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320" windowHeight="12120" tabRatio="887"/>
  </bookViews>
  <sheets>
    <sheet name="Disclaimer" sheetId="104" r:id="rId1"/>
    <sheet name="Navigation" sheetId="81" r:id="rId2"/>
    <sheet name="TED OP Attendances" sheetId="103" r:id="rId3"/>
    <sheet name="OPATT_Cost_Quantum" sheetId="45" r:id="rId4"/>
    <sheet name="OPATT_Activities" sheetId="46" r:id="rId5"/>
    <sheet name="Non-mandatory OPROC HRGs" sheetId="97" r:id="rId6"/>
    <sheet name="Price Adjustments" sheetId="100" r:id="rId7"/>
    <sheet name="Mandatory" sheetId="54" r:id="rId8"/>
    <sheet name="Mapping HRGs to TFCs" sheetId="51" r:id="rId9"/>
    <sheet name="Expert &amp; Final Monitor comments" sheetId="106" r:id="rId10"/>
    <sheet name="14-15 tariff" sheetId="90" r:id="rId11"/>
    <sheet name="HRGs to TFCs 1" sheetId="52" r:id="rId12"/>
    <sheet name="HRGs to TFCs 2" sheetId="53" r:id="rId13"/>
    <sheet name="HRGs to TFCs % Split" sheetId="55" r:id="rId14"/>
    <sheet name="Allocate OPROC cost" sheetId="50" r:id="rId15"/>
    <sheet name="Front-loading" sheetId="57" r:id="rId16"/>
    <sheet name="Further adjustment" sheetId="58" r:id="rId17"/>
    <sheet name="Manual adjustments" sheetId="101" r:id="rId18"/>
    <sheet name="PRICES" sheetId="64" r:id="rId19"/>
    <sheet name="Linked Sheet" sheetId="102" r:id="rId20"/>
    <sheet name="Post manual recon" sheetId="82" r:id="rId21"/>
  </sheets>
  <externalReferences>
    <externalReference r:id="rId22"/>
  </externalReferences>
  <definedNames>
    <definedName name="_xlnm._FilterDatabase" localSheetId="9" hidden="1">'Expert &amp; Final Monitor comments'!$A$2:$BS$20</definedName>
    <definedName name="_xlnm._FilterDatabase" localSheetId="15" hidden="1">'Front-loading'!$A$8:$AG$118</definedName>
    <definedName name="_xlnm._FilterDatabase" localSheetId="16" hidden="1">'Further adjustment'!$A$9:$U$9</definedName>
    <definedName name="_xlnm._FilterDatabase" localSheetId="19" hidden="1">'Linked Sheet'!#REF!</definedName>
    <definedName name="_xlnm._FilterDatabase" localSheetId="8" hidden="1">'Mapping HRGs to TFCs'!$A$2:$L$3235</definedName>
    <definedName name="_xlnm._FilterDatabase" localSheetId="5" hidden="1">'Non-mandatory OPROC HRGs'!$A$3:$W$422</definedName>
    <definedName name="_xlnm._FilterDatabase" localSheetId="20" hidden="1">'Post manual recon'!$L$4:$Q$60</definedName>
    <definedName name="_xlnm._FilterDatabase" localSheetId="18" hidden="1">PRICES!$A$5:$BO$61</definedName>
    <definedName name="_xlnm._FilterDatabase" localSheetId="2" hidden="1">'TED OP Attendances'!$A$4:$F$60</definedName>
    <definedName name="BMGHIndex" hidden="1">"O"</definedName>
    <definedName name="bpth" localSheetId="0">#REF!</definedName>
    <definedName name="bpth" localSheetId="19">#REF!</definedName>
    <definedName name="bpth" localSheetId="17">#REF!</definedName>
    <definedName name="bpth" localSheetId="1">#REF!</definedName>
    <definedName name="bpth" localSheetId="20">#REF!</definedName>
    <definedName name="bpth" localSheetId="6">#REF!</definedName>
    <definedName name="bpth">#REF!</definedName>
    <definedName name="BPTHOME" localSheetId="0">#REF!</definedName>
    <definedName name="BPTHOME" localSheetId="19">#REF!</definedName>
    <definedName name="BPTHOME" localSheetId="17">#REF!</definedName>
    <definedName name="BPTHOME" localSheetId="1">#REF!</definedName>
    <definedName name="BPTHOME" localSheetId="20">#REF!</definedName>
    <definedName name="BPTHOME" localSheetId="6">#REF!</definedName>
    <definedName name="BPTHOME">#REF!</definedName>
    <definedName name="HRG_Codes" localSheetId="14">#REF!</definedName>
    <definedName name="HRG_Codes" localSheetId="0">#REF!</definedName>
    <definedName name="HRG_Codes" localSheetId="15">#REF!</definedName>
    <definedName name="HRG_Codes" localSheetId="16">#REF!</definedName>
    <definedName name="HRG_Codes" localSheetId="19">#REF!</definedName>
    <definedName name="HRG_Codes" localSheetId="17">#REF!</definedName>
    <definedName name="HRG_Codes" localSheetId="1">#REF!</definedName>
    <definedName name="HRG_Codes" localSheetId="20">#REF!</definedName>
    <definedName name="HRG_Codes" localSheetId="6">#REF!</definedName>
    <definedName name="HRG_Codes" localSheetId="2">#REF!</definedName>
    <definedName name="HRG_Codes">#REF!</definedName>
    <definedName name="ICD_Codes" localSheetId="14">#REF!</definedName>
    <definedName name="ICD_Codes" localSheetId="0">#REF!</definedName>
    <definedName name="ICD_Codes" localSheetId="15">#REF!</definedName>
    <definedName name="ICD_Codes" localSheetId="16">#REF!</definedName>
    <definedName name="ICD_Codes" localSheetId="19">#REF!</definedName>
    <definedName name="ICD_Codes" localSheetId="17">#REF!</definedName>
    <definedName name="ICD_Codes" localSheetId="1">#REF!</definedName>
    <definedName name="ICD_Codes" localSheetId="20">#REF!</definedName>
    <definedName name="ICD_Codes" localSheetId="6">#REF!</definedName>
    <definedName name="ICD_Codes" localSheetId="2">#REF!</definedName>
    <definedName name="ICD_Codes">#REF!</definedName>
    <definedName name="OPCS_Codes" localSheetId="14">#REF!</definedName>
    <definedName name="OPCS_Codes" localSheetId="0">#REF!</definedName>
    <definedName name="OPCS_Codes" localSheetId="15">#REF!</definedName>
    <definedName name="OPCS_Codes" localSheetId="16">#REF!</definedName>
    <definedName name="OPCS_Codes" localSheetId="19">#REF!</definedName>
    <definedName name="OPCS_Codes" localSheetId="17">#REF!</definedName>
    <definedName name="OPCS_Codes" localSheetId="1">#REF!</definedName>
    <definedName name="OPCS_Codes" localSheetId="20">#REF!</definedName>
    <definedName name="OPCS_Codes" localSheetId="6">#REF!</definedName>
    <definedName name="OPCS_Codes" localSheetId="2">#REF!</definedName>
    <definedName name="OPCS_Codes">#REF!</definedName>
    <definedName name="_xlnm.Print_Area" localSheetId="19">'Linked Sheet'!#REF!</definedName>
    <definedName name="_xlnm.Print_Area" localSheetId="20">'Post manual recon'!$L$1:$Q$60</definedName>
    <definedName name="_xlnm.Print_Area" localSheetId="6">'Price Adjustments'!$A$1:$I$114</definedName>
    <definedName name="_xlnm.Print_Area" localSheetId="2">'TED OP Attendances'!$A$1:$F$60</definedName>
    <definedName name="_xlnm.Print_Titles" localSheetId="19">'Linked Sheet'!$1:$4</definedName>
    <definedName name="_xlnm.Print_Titles" localSheetId="20">'Post manual recon'!$1:$4</definedName>
    <definedName name="_xlnm.Print_Titles" localSheetId="2">'TED OP Attendances'!$1:$4</definedName>
    <definedName name="rngComparison3">OFFSET([1]Summary!$O$5,0,0,COUNTA([1]Summary!$O:$O)-2,)</definedName>
    <definedName name="Test" localSheetId="0">#REF!</definedName>
    <definedName name="Test" localSheetId="19">#REF!</definedName>
    <definedName name="Test" localSheetId="17">#REF!</definedName>
    <definedName name="Test">#REF!</definedName>
    <definedName name="x" localSheetId="0">#REF!</definedName>
    <definedName name="x" localSheetId="19">#REF!</definedName>
    <definedName name="x" localSheetId="17">#REF!</definedName>
    <definedName name="x" localSheetId="1">#REF!</definedName>
    <definedName name="x" localSheetId="20">#REF!</definedName>
    <definedName name="x" localSheetId="6">#REF!</definedName>
    <definedName name="x">#REF!</definedName>
  </definedNames>
  <calcPr calcId="145621"/>
</workbook>
</file>

<file path=xl/calcChain.xml><?xml version="1.0" encoding="utf-8"?>
<calcChain xmlns="http://schemas.openxmlformats.org/spreadsheetml/2006/main">
  <c r="N6" i="102" l="1"/>
  <c r="O6" i="102"/>
  <c r="P6" i="102"/>
  <c r="Q6" i="102"/>
  <c r="N7" i="102"/>
  <c r="O7" i="102"/>
  <c r="P7" i="102"/>
  <c r="Q7" i="102"/>
  <c r="N8" i="102"/>
  <c r="O8" i="102"/>
  <c r="P8" i="102"/>
  <c r="Q8" i="102"/>
  <c r="N9" i="102"/>
  <c r="O9" i="102"/>
  <c r="P9" i="102"/>
  <c r="Q9" i="102"/>
  <c r="N10" i="102"/>
  <c r="O10" i="102"/>
  <c r="P10" i="102"/>
  <c r="Q10" i="102"/>
  <c r="N11" i="102"/>
  <c r="O11" i="102"/>
  <c r="P11" i="102"/>
  <c r="Q11" i="102"/>
  <c r="N12" i="102"/>
  <c r="O12" i="102"/>
  <c r="P12" i="102"/>
  <c r="Q12" i="102"/>
  <c r="N13" i="102"/>
  <c r="O13" i="102"/>
  <c r="P13" i="102"/>
  <c r="Q13" i="102"/>
  <c r="N14" i="102"/>
  <c r="O14" i="102"/>
  <c r="P14" i="102"/>
  <c r="Q14" i="102"/>
  <c r="N15" i="102"/>
  <c r="O15" i="102"/>
  <c r="P15" i="102"/>
  <c r="Q15" i="102"/>
  <c r="N16" i="102"/>
  <c r="O16" i="102"/>
  <c r="P16" i="102"/>
  <c r="Q16" i="102"/>
  <c r="N17" i="102"/>
  <c r="O17" i="102"/>
  <c r="P17" i="102"/>
  <c r="Q17" i="102"/>
  <c r="N18" i="102"/>
  <c r="O18" i="102"/>
  <c r="P18" i="102"/>
  <c r="Q18" i="102"/>
  <c r="N19" i="102"/>
  <c r="O19" i="102"/>
  <c r="P19" i="102"/>
  <c r="Q19" i="102"/>
  <c r="N20" i="102"/>
  <c r="O20" i="102"/>
  <c r="P20" i="102"/>
  <c r="Q20" i="102"/>
  <c r="N21" i="102"/>
  <c r="O21" i="102"/>
  <c r="P21" i="102"/>
  <c r="Q21" i="102"/>
  <c r="N22" i="102"/>
  <c r="O22" i="102"/>
  <c r="P22" i="102"/>
  <c r="Q22" i="102"/>
  <c r="N23" i="102"/>
  <c r="O23" i="102"/>
  <c r="P23" i="102"/>
  <c r="Q23" i="102"/>
  <c r="N24" i="102"/>
  <c r="O24" i="102"/>
  <c r="P24" i="102"/>
  <c r="Q24" i="102"/>
  <c r="N25" i="102"/>
  <c r="O25" i="102"/>
  <c r="P25" i="102"/>
  <c r="Q25" i="102"/>
  <c r="N26" i="102"/>
  <c r="O26" i="102"/>
  <c r="P26" i="102"/>
  <c r="Q26" i="102"/>
  <c r="N27" i="102"/>
  <c r="O27" i="102"/>
  <c r="P27" i="102"/>
  <c r="Q27" i="102"/>
  <c r="N28" i="102"/>
  <c r="O28" i="102"/>
  <c r="P28" i="102"/>
  <c r="Q28" i="102"/>
  <c r="N29" i="102"/>
  <c r="O29" i="102"/>
  <c r="P29" i="102"/>
  <c r="Q29" i="102"/>
  <c r="N30" i="102"/>
  <c r="O30" i="102"/>
  <c r="P30" i="102"/>
  <c r="Q30" i="102"/>
  <c r="N31" i="102"/>
  <c r="O31" i="102"/>
  <c r="P31" i="102"/>
  <c r="Q31" i="102"/>
  <c r="N32" i="102"/>
  <c r="O32" i="102"/>
  <c r="P32" i="102"/>
  <c r="Q32" i="102"/>
  <c r="N33" i="102"/>
  <c r="O33" i="102"/>
  <c r="P33" i="102"/>
  <c r="Q33" i="102"/>
  <c r="N34" i="102"/>
  <c r="O34" i="102"/>
  <c r="P34" i="102"/>
  <c r="Q34" i="102"/>
  <c r="N35" i="102"/>
  <c r="O35" i="102"/>
  <c r="P35" i="102"/>
  <c r="Q35" i="102"/>
  <c r="N36" i="102"/>
  <c r="O36" i="102"/>
  <c r="P36" i="102"/>
  <c r="Q36" i="102"/>
  <c r="N37" i="102"/>
  <c r="O37" i="102"/>
  <c r="P37" i="102"/>
  <c r="Q37" i="102"/>
  <c r="N38" i="102"/>
  <c r="O38" i="102"/>
  <c r="P38" i="102"/>
  <c r="Q38" i="102"/>
  <c r="N39" i="102"/>
  <c r="O39" i="102"/>
  <c r="P39" i="102"/>
  <c r="Q39" i="102"/>
  <c r="N40" i="102"/>
  <c r="O40" i="102"/>
  <c r="P40" i="102"/>
  <c r="Q40" i="102"/>
  <c r="N41" i="102"/>
  <c r="O41" i="102"/>
  <c r="P41" i="102"/>
  <c r="Q41" i="102"/>
  <c r="N42" i="102"/>
  <c r="O42" i="102"/>
  <c r="P42" i="102"/>
  <c r="Q42" i="102"/>
  <c r="N43" i="102"/>
  <c r="O43" i="102"/>
  <c r="P43" i="102"/>
  <c r="Q43" i="102"/>
  <c r="N44" i="102"/>
  <c r="O44" i="102"/>
  <c r="P44" i="102"/>
  <c r="Q44" i="102"/>
  <c r="N45" i="102"/>
  <c r="O45" i="102"/>
  <c r="P45" i="102"/>
  <c r="Q45" i="102"/>
  <c r="N46" i="102"/>
  <c r="O46" i="102"/>
  <c r="P46" i="102"/>
  <c r="Q46" i="102"/>
  <c r="N47" i="102"/>
  <c r="O47" i="102"/>
  <c r="P47" i="102"/>
  <c r="Q47" i="102"/>
  <c r="N48" i="102"/>
  <c r="O48" i="102"/>
  <c r="P48" i="102"/>
  <c r="Q48" i="102"/>
  <c r="N49" i="102"/>
  <c r="O49" i="102"/>
  <c r="P49" i="102"/>
  <c r="Q49" i="102"/>
  <c r="N50" i="102"/>
  <c r="O50" i="102"/>
  <c r="P50" i="102"/>
  <c r="Q50" i="102"/>
  <c r="N51" i="102"/>
  <c r="O51" i="102"/>
  <c r="P51" i="102"/>
  <c r="Q51" i="102"/>
  <c r="N52" i="102"/>
  <c r="O52" i="102"/>
  <c r="P52" i="102"/>
  <c r="Q52" i="102"/>
  <c r="N53" i="102"/>
  <c r="O53" i="102"/>
  <c r="P53" i="102"/>
  <c r="Q53" i="102"/>
  <c r="N54" i="102"/>
  <c r="O54" i="102"/>
  <c r="P54" i="102"/>
  <c r="Q54" i="102"/>
  <c r="N55" i="102"/>
  <c r="O55" i="102"/>
  <c r="P55" i="102"/>
  <c r="Q55" i="102"/>
  <c r="N56" i="102"/>
  <c r="O56" i="102"/>
  <c r="P56" i="102"/>
  <c r="Q56" i="102"/>
  <c r="N57" i="102"/>
  <c r="O57" i="102"/>
  <c r="P57" i="102"/>
  <c r="Q57" i="102"/>
  <c r="N58" i="102"/>
  <c r="O58" i="102"/>
  <c r="P58" i="102"/>
  <c r="Q58" i="102"/>
  <c r="N59" i="102"/>
  <c r="O59" i="102"/>
  <c r="P59" i="102"/>
  <c r="Q59" i="102"/>
  <c r="N60" i="102"/>
  <c r="O60" i="102"/>
  <c r="P60" i="102"/>
  <c r="Q60" i="102"/>
  <c r="Q5" i="102"/>
  <c r="P5" i="102"/>
  <c r="O5" i="102"/>
  <c r="N5" i="102"/>
  <c r="BR7" i="64" l="1"/>
  <c r="BR8" i="64"/>
  <c r="BR9" i="64"/>
  <c r="BR10" i="64"/>
  <c r="BR11" i="64"/>
  <c r="BR12" i="64"/>
  <c r="BR13" i="64"/>
  <c r="BR14" i="64"/>
  <c r="BR15" i="64"/>
  <c r="BR16" i="64"/>
  <c r="BR17" i="64"/>
  <c r="BR18" i="64"/>
  <c r="BR19" i="64"/>
  <c r="BR20" i="64"/>
  <c r="BR21" i="64"/>
  <c r="BR22" i="64"/>
  <c r="BR23" i="64"/>
  <c r="BR24" i="64"/>
  <c r="BR25" i="64"/>
  <c r="BR26" i="64"/>
  <c r="BR27" i="64"/>
  <c r="BR28" i="64"/>
  <c r="BR29" i="64"/>
  <c r="BR30" i="64"/>
  <c r="BR31" i="64"/>
  <c r="BR32" i="64"/>
  <c r="BR33" i="64"/>
  <c r="BR34" i="64"/>
  <c r="BR35" i="64"/>
  <c r="BR36" i="64"/>
  <c r="BR37" i="64"/>
  <c r="BR38" i="64"/>
  <c r="BR39" i="64"/>
  <c r="BR40" i="64"/>
  <c r="BR41" i="64"/>
  <c r="BR42" i="64"/>
  <c r="BR43" i="64"/>
  <c r="BR44" i="64"/>
  <c r="BR45" i="64"/>
  <c r="BR46" i="64"/>
  <c r="BR47" i="64"/>
  <c r="BR48" i="64"/>
  <c r="BR49" i="64"/>
  <c r="BR50" i="64"/>
  <c r="BR51" i="64"/>
  <c r="BR52" i="64"/>
  <c r="BR53" i="64"/>
  <c r="BR54" i="64"/>
  <c r="BR55" i="64"/>
  <c r="BR56" i="64"/>
  <c r="BR57" i="64"/>
  <c r="BR58" i="64"/>
  <c r="BR59" i="64"/>
  <c r="BR60" i="64"/>
  <c r="BR61" i="64"/>
  <c r="BR6" i="64"/>
  <c r="G5" i="82" l="1"/>
  <c r="J5" i="82"/>
  <c r="I5" i="82"/>
  <c r="H5" i="82"/>
  <c r="G5" i="102"/>
  <c r="I5" i="102"/>
  <c r="J5" i="102"/>
  <c r="H5" i="102"/>
  <c r="J57" i="82"/>
  <c r="G57" i="82"/>
  <c r="H57" i="82"/>
  <c r="I57" i="82"/>
  <c r="J57" i="102"/>
  <c r="G57" i="102"/>
  <c r="I57" i="102"/>
  <c r="H57" i="102"/>
  <c r="J53" i="82"/>
  <c r="G53" i="82"/>
  <c r="H53" i="82"/>
  <c r="I53" i="82"/>
  <c r="J53" i="102"/>
  <c r="G53" i="102"/>
  <c r="H53" i="102"/>
  <c r="I53" i="102"/>
  <c r="J49" i="82"/>
  <c r="G49" i="82"/>
  <c r="H49" i="82"/>
  <c r="I49" i="82"/>
  <c r="J49" i="102"/>
  <c r="G49" i="102"/>
  <c r="I49" i="102"/>
  <c r="H49" i="102"/>
  <c r="J45" i="82"/>
  <c r="G45" i="82"/>
  <c r="H45" i="82"/>
  <c r="I45" i="82"/>
  <c r="J45" i="102"/>
  <c r="G45" i="102"/>
  <c r="I45" i="102"/>
  <c r="H45" i="102"/>
  <c r="J41" i="82"/>
  <c r="G41" i="82"/>
  <c r="H41" i="82"/>
  <c r="I41" i="82"/>
  <c r="J41" i="102"/>
  <c r="G41" i="102"/>
  <c r="I41" i="102"/>
  <c r="H41" i="102"/>
  <c r="J37" i="82"/>
  <c r="G37" i="82"/>
  <c r="H37" i="82"/>
  <c r="I37" i="82"/>
  <c r="J37" i="102"/>
  <c r="G37" i="102"/>
  <c r="I37" i="102"/>
  <c r="H37" i="102"/>
  <c r="J33" i="82"/>
  <c r="G33" i="82"/>
  <c r="H33" i="82"/>
  <c r="H33" i="102"/>
  <c r="I33" i="82"/>
  <c r="I33" i="102"/>
  <c r="J33" i="102"/>
  <c r="G33" i="102"/>
  <c r="J29" i="82"/>
  <c r="J29" i="102"/>
  <c r="G29" i="82"/>
  <c r="G29" i="102"/>
  <c r="H29" i="82"/>
  <c r="H29" i="102"/>
  <c r="I29" i="82"/>
  <c r="I29" i="102"/>
  <c r="J25" i="82"/>
  <c r="J25" i="102"/>
  <c r="G25" i="82"/>
  <c r="G25" i="102"/>
  <c r="H25" i="82"/>
  <c r="H25" i="102"/>
  <c r="I25" i="82"/>
  <c r="I25" i="102"/>
  <c r="J21" i="82"/>
  <c r="J21" i="102"/>
  <c r="G21" i="82"/>
  <c r="G21" i="102"/>
  <c r="H21" i="82"/>
  <c r="H21" i="102"/>
  <c r="I21" i="82"/>
  <c r="I21" i="102"/>
  <c r="J17" i="82"/>
  <c r="J17" i="102"/>
  <c r="G17" i="82"/>
  <c r="G17" i="102"/>
  <c r="H17" i="82"/>
  <c r="H17" i="102"/>
  <c r="I17" i="82"/>
  <c r="I17" i="102"/>
  <c r="J13" i="82"/>
  <c r="J13" i="102"/>
  <c r="G13" i="82"/>
  <c r="G13" i="102"/>
  <c r="H13" i="82"/>
  <c r="H13" i="102"/>
  <c r="I13" i="82"/>
  <c r="I13" i="102"/>
  <c r="J9" i="82"/>
  <c r="J9" i="102"/>
  <c r="G9" i="82"/>
  <c r="G9" i="102"/>
  <c r="H9" i="82"/>
  <c r="H9" i="102"/>
  <c r="I9" i="82"/>
  <c r="I9" i="102"/>
  <c r="J60" i="82"/>
  <c r="G60" i="82"/>
  <c r="H60" i="82"/>
  <c r="I60" i="82"/>
  <c r="J60" i="102"/>
  <c r="G60" i="102"/>
  <c r="I60" i="102"/>
  <c r="H60" i="102"/>
  <c r="J56" i="82"/>
  <c r="G56" i="82"/>
  <c r="H56" i="82"/>
  <c r="I56" i="82"/>
  <c r="J56" i="102"/>
  <c r="G56" i="102"/>
  <c r="H56" i="102"/>
  <c r="I56" i="102"/>
  <c r="J52" i="82"/>
  <c r="G52" i="82"/>
  <c r="H52" i="82"/>
  <c r="I52" i="82"/>
  <c r="J52" i="102"/>
  <c r="G52" i="102"/>
  <c r="I52" i="102"/>
  <c r="H52" i="102"/>
  <c r="J48" i="82"/>
  <c r="G48" i="82"/>
  <c r="H48" i="82"/>
  <c r="I48" i="82"/>
  <c r="J48" i="102"/>
  <c r="G48" i="102"/>
  <c r="H48" i="102"/>
  <c r="I48" i="102"/>
  <c r="J44" i="82"/>
  <c r="G44" i="82"/>
  <c r="H44" i="82"/>
  <c r="I44" i="82"/>
  <c r="J44" i="102"/>
  <c r="G44" i="102"/>
  <c r="H44" i="102"/>
  <c r="I44" i="102"/>
  <c r="J40" i="82"/>
  <c r="G40" i="82"/>
  <c r="H40" i="82"/>
  <c r="I40" i="82"/>
  <c r="J40" i="102"/>
  <c r="G40" i="102"/>
  <c r="H40" i="102"/>
  <c r="I40" i="102"/>
  <c r="J36" i="82"/>
  <c r="G36" i="82"/>
  <c r="H36" i="82"/>
  <c r="I36" i="82"/>
  <c r="J36" i="102"/>
  <c r="G36" i="102"/>
  <c r="H36" i="102"/>
  <c r="I36" i="102"/>
  <c r="J32" i="82"/>
  <c r="J32" i="102"/>
  <c r="G32" i="82"/>
  <c r="H32" i="82"/>
  <c r="H32" i="102"/>
  <c r="I32" i="82"/>
  <c r="G32" i="102"/>
  <c r="I32" i="102"/>
  <c r="J28" i="82"/>
  <c r="J28" i="102"/>
  <c r="G28" i="82"/>
  <c r="G28" i="102"/>
  <c r="H28" i="82"/>
  <c r="H28" i="102"/>
  <c r="I28" i="82"/>
  <c r="I28" i="102"/>
  <c r="J24" i="82"/>
  <c r="J24" i="102"/>
  <c r="G24" i="82"/>
  <c r="G24" i="102"/>
  <c r="H24" i="82"/>
  <c r="H24" i="102"/>
  <c r="I24" i="82"/>
  <c r="I24" i="102"/>
  <c r="J20" i="82"/>
  <c r="J20" i="102"/>
  <c r="G20" i="82"/>
  <c r="G20" i="102"/>
  <c r="H20" i="82"/>
  <c r="H20" i="102"/>
  <c r="I20" i="82"/>
  <c r="I20" i="102"/>
  <c r="J16" i="82"/>
  <c r="J16" i="102"/>
  <c r="G16" i="82"/>
  <c r="G16" i="102"/>
  <c r="H16" i="82"/>
  <c r="H16" i="102"/>
  <c r="I16" i="82"/>
  <c r="I16" i="102"/>
  <c r="J12" i="82"/>
  <c r="J12" i="102"/>
  <c r="G12" i="82"/>
  <c r="G12" i="102"/>
  <c r="H12" i="82"/>
  <c r="H12" i="102"/>
  <c r="I12" i="82"/>
  <c r="I12" i="102"/>
  <c r="J8" i="82"/>
  <c r="J8" i="102"/>
  <c r="G8" i="82"/>
  <c r="G8" i="102"/>
  <c r="H8" i="82"/>
  <c r="H8" i="102"/>
  <c r="I8" i="82"/>
  <c r="I8" i="102"/>
  <c r="J59" i="82"/>
  <c r="G59" i="82"/>
  <c r="H59" i="82"/>
  <c r="I59" i="82"/>
  <c r="J59" i="102"/>
  <c r="G59" i="102"/>
  <c r="H59" i="102"/>
  <c r="I59" i="102"/>
  <c r="J55" i="82"/>
  <c r="G55" i="82"/>
  <c r="H55" i="82"/>
  <c r="I55" i="82"/>
  <c r="J55" i="102"/>
  <c r="H55" i="102"/>
  <c r="G55" i="102"/>
  <c r="I55" i="102"/>
  <c r="J51" i="82"/>
  <c r="G51" i="82"/>
  <c r="H51" i="82"/>
  <c r="I51" i="82"/>
  <c r="J51" i="102"/>
  <c r="G51" i="102"/>
  <c r="H51" i="102"/>
  <c r="I51" i="102"/>
  <c r="J47" i="82"/>
  <c r="G47" i="82"/>
  <c r="H47" i="82"/>
  <c r="I47" i="82"/>
  <c r="J47" i="102"/>
  <c r="G47" i="102"/>
  <c r="I47" i="102"/>
  <c r="H47" i="102"/>
  <c r="J43" i="82"/>
  <c r="G43" i="82"/>
  <c r="H43" i="82"/>
  <c r="I43" i="82"/>
  <c r="J43" i="102"/>
  <c r="G43" i="102"/>
  <c r="I43" i="102"/>
  <c r="H43" i="102"/>
  <c r="J39" i="82"/>
  <c r="G39" i="82"/>
  <c r="H39" i="82"/>
  <c r="I39" i="82"/>
  <c r="J39" i="102"/>
  <c r="G39" i="102"/>
  <c r="I39" i="102"/>
  <c r="H39" i="102"/>
  <c r="J35" i="82"/>
  <c r="G35" i="82"/>
  <c r="H35" i="82"/>
  <c r="I35" i="82"/>
  <c r="J35" i="102"/>
  <c r="G35" i="102"/>
  <c r="I35" i="102"/>
  <c r="H35" i="102"/>
  <c r="J31" i="82"/>
  <c r="J31" i="102"/>
  <c r="G31" i="82"/>
  <c r="H31" i="82"/>
  <c r="H31" i="102"/>
  <c r="I31" i="82"/>
  <c r="I31" i="102"/>
  <c r="G31" i="102"/>
  <c r="J27" i="82"/>
  <c r="J27" i="102"/>
  <c r="G27" i="82"/>
  <c r="G27" i="102"/>
  <c r="H27" i="82"/>
  <c r="H27" i="102"/>
  <c r="I27" i="82"/>
  <c r="I27" i="102"/>
  <c r="J23" i="82"/>
  <c r="J23" i="102"/>
  <c r="G23" i="82"/>
  <c r="G23" i="102"/>
  <c r="H23" i="82"/>
  <c r="H23" i="102"/>
  <c r="I23" i="82"/>
  <c r="I23" i="102"/>
  <c r="J19" i="82"/>
  <c r="J19" i="102"/>
  <c r="G19" i="82"/>
  <c r="G19" i="102"/>
  <c r="H19" i="82"/>
  <c r="H19" i="102"/>
  <c r="I19" i="82"/>
  <c r="I19" i="102"/>
  <c r="J15" i="82"/>
  <c r="J15" i="102"/>
  <c r="G15" i="82"/>
  <c r="G15" i="102"/>
  <c r="H15" i="82"/>
  <c r="H15" i="102"/>
  <c r="I15" i="82"/>
  <c r="I15" i="102"/>
  <c r="J11" i="82"/>
  <c r="J11" i="102"/>
  <c r="G11" i="82"/>
  <c r="G11" i="102"/>
  <c r="H11" i="82"/>
  <c r="H11" i="102"/>
  <c r="I11" i="82"/>
  <c r="I11" i="102"/>
  <c r="J7" i="82"/>
  <c r="J7" i="102"/>
  <c r="G7" i="82"/>
  <c r="G7" i="102"/>
  <c r="H7" i="82"/>
  <c r="H7" i="102"/>
  <c r="I7" i="82"/>
  <c r="I7" i="102"/>
  <c r="J58" i="82"/>
  <c r="G58" i="82"/>
  <c r="H58" i="82"/>
  <c r="I58" i="82"/>
  <c r="J58" i="102"/>
  <c r="G58" i="102"/>
  <c r="H58" i="102"/>
  <c r="I58" i="102"/>
  <c r="J54" i="82"/>
  <c r="G54" i="82"/>
  <c r="H54" i="82"/>
  <c r="I54" i="82"/>
  <c r="J54" i="102"/>
  <c r="G54" i="102"/>
  <c r="I54" i="102"/>
  <c r="H54" i="102"/>
  <c r="J50" i="82"/>
  <c r="G50" i="82"/>
  <c r="H50" i="82"/>
  <c r="I50" i="82"/>
  <c r="J50" i="102"/>
  <c r="H50" i="102"/>
  <c r="G50" i="102"/>
  <c r="I50" i="102"/>
  <c r="J46" i="82"/>
  <c r="G46" i="82"/>
  <c r="H46" i="82"/>
  <c r="I46" i="82"/>
  <c r="J46" i="102"/>
  <c r="G46" i="102"/>
  <c r="H46" i="102"/>
  <c r="I46" i="102"/>
  <c r="J42" i="82"/>
  <c r="G42" i="82"/>
  <c r="H42" i="82"/>
  <c r="I42" i="82"/>
  <c r="J42" i="102"/>
  <c r="G42" i="102"/>
  <c r="H42" i="102"/>
  <c r="I42" i="102"/>
  <c r="J38" i="82"/>
  <c r="G38" i="82"/>
  <c r="H38" i="82"/>
  <c r="I38" i="82"/>
  <c r="J38" i="102"/>
  <c r="G38" i="102"/>
  <c r="H38" i="102"/>
  <c r="I38" i="102"/>
  <c r="J34" i="82"/>
  <c r="G34" i="82"/>
  <c r="H34" i="82"/>
  <c r="H34" i="102"/>
  <c r="I34" i="82"/>
  <c r="J34" i="102"/>
  <c r="G34" i="102"/>
  <c r="I34" i="102"/>
  <c r="J30" i="82"/>
  <c r="J30" i="102"/>
  <c r="G30" i="82"/>
  <c r="H30" i="82"/>
  <c r="H30" i="102"/>
  <c r="I30" i="82"/>
  <c r="G30" i="102"/>
  <c r="I30" i="102"/>
  <c r="J26" i="82"/>
  <c r="J26" i="102"/>
  <c r="G26" i="82"/>
  <c r="G26" i="102"/>
  <c r="H26" i="82"/>
  <c r="H26" i="102"/>
  <c r="I26" i="82"/>
  <c r="I26" i="102"/>
  <c r="J22" i="82"/>
  <c r="J22" i="102"/>
  <c r="G22" i="82"/>
  <c r="G22" i="102"/>
  <c r="H22" i="82"/>
  <c r="H22" i="102"/>
  <c r="I22" i="82"/>
  <c r="I22" i="102"/>
  <c r="J18" i="82"/>
  <c r="J18" i="102"/>
  <c r="G18" i="82"/>
  <c r="G18" i="102"/>
  <c r="H18" i="82"/>
  <c r="H18" i="102"/>
  <c r="I18" i="82"/>
  <c r="I18" i="102"/>
  <c r="J14" i="82"/>
  <c r="J14" i="102"/>
  <c r="G14" i="82"/>
  <c r="G14" i="102"/>
  <c r="H14" i="82"/>
  <c r="H14" i="102"/>
  <c r="I14" i="82"/>
  <c r="I14" i="102"/>
  <c r="J10" i="82"/>
  <c r="J10" i="102"/>
  <c r="G10" i="82"/>
  <c r="G10" i="102"/>
  <c r="H10" i="82"/>
  <c r="H10" i="102"/>
  <c r="I10" i="82"/>
  <c r="I10" i="102"/>
  <c r="J6" i="82"/>
  <c r="J6" i="102"/>
  <c r="G6" i="82"/>
  <c r="G6" i="102"/>
  <c r="H6" i="82"/>
  <c r="H6" i="102"/>
  <c r="I6" i="82"/>
  <c r="I6" i="102"/>
  <c r="U12" i="82"/>
  <c r="V12" i="82"/>
  <c r="W12" i="82"/>
  <c r="X12" i="82"/>
  <c r="U32" i="82"/>
  <c r="V32" i="82"/>
  <c r="W32" i="82"/>
  <c r="X32" i="82"/>
  <c r="B8" i="50" l="1"/>
  <c r="C8" i="50"/>
  <c r="D8" i="50"/>
  <c r="E8" i="50"/>
  <c r="F8" i="50"/>
  <c r="G8" i="50"/>
  <c r="H8" i="50"/>
  <c r="I8" i="50"/>
  <c r="V86" i="97" l="1"/>
  <c r="W86" i="97"/>
  <c r="V106" i="97"/>
  <c r="W106" i="97"/>
  <c r="V107" i="97"/>
  <c r="W107" i="97"/>
  <c r="V108" i="97"/>
  <c r="W108" i="97"/>
  <c r="V109" i="97"/>
  <c r="W109" i="97"/>
  <c r="V110" i="97"/>
  <c r="W110" i="97"/>
  <c r="BL7" i="64" l="1"/>
  <c r="BL6" i="64"/>
  <c r="BL8" i="64"/>
  <c r="BL9" i="64"/>
  <c r="BL10" i="64"/>
  <c r="BL12" i="64"/>
  <c r="BL13" i="64"/>
  <c r="BL14" i="64"/>
  <c r="BL16" i="64"/>
  <c r="BL17" i="64"/>
  <c r="BL18" i="64"/>
  <c r="BL20" i="64"/>
  <c r="BL21" i="64"/>
  <c r="BL22" i="64"/>
  <c r="BL24" i="64"/>
  <c r="BL25" i="64"/>
  <c r="BL26" i="64"/>
  <c r="BL28" i="64"/>
  <c r="BL29" i="64"/>
  <c r="BL30" i="64"/>
  <c r="BL32" i="64"/>
  <c r="BL33" i="64"/>
  <c r="BL34" i="64"/>
  <c r="BL35" i="64"/>
  <c r="BL36" i="64"/>
  <c r="BL37" i="64"/>
  <c r="BL38" i="64"/>
  <c r="BL39" i="64"/>
  <c r="BL40" i="64"/>
  <c r="BL41" i="64"/>
  <c r="BL42" i="64"/>
  <c r="BL43" i="64"/>
  <c r="BL44" i="64"/>
  <c r="BL45" i="64"/>
  <c r="BL46" i="64"/>
  <c r="BL47" i="64"/>
  <c r="BL48" i="64"/>
  <c r="BL49" i="64"/>
  <c r="BL50" i="64"/>
  <c r="BL51" i="64"/>
  <c r="BL52" i="64"/>
  <c r="BL53" i="64"/>
  <c r="BL54" i="64"/>
  <c r="BL55" i="64"/>
  <c r="BL56" i="64"/>
  <c r="BL57" i="64"/>
  <c r="BL58" i="64"/>
  <c r="BL59" i="64"/>
  <c r="BL60" i="64"/>
  <c r="BL61" i="64"/>
  <c r="BL31" i="64" l="1"/>
  <c r="BL27" i="64"/>
  <c r="BL23" i="64"/>
  <c r="BL19" i="64"/>
  <c r="BL15" i="64"/>
  <c r="BL11"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 i="64"/>
  <c r="AJ7" i="64"/>
  <c r="AJ8" i="64"/>
  <c r="AJ9" i="64"/>
  <c r="AJ10" i="64"/>
  <c r="AJ11" i="64"/>
  <c r="AJ12" i="64"/>
  <c r="AJ13" i="64"/>
  <c r="AJ14" i="64"/>
  <c r="AJ15" i="64"/>
  <c r="AJ16" i="64"/>
  <c r="AJ17" i="64"/>
  <c r="AJ18" i="64"/>
  <c r="AJ19" i="64"/>
  <c r="AJ20" i="64"/>
  <c r="AJ21" i="64"/>
  <c r="AJ22" i="64"/>
  <c r="AJ23" i="64"/>
  <c r="AJ24" i="64"/>
  <c r="AJ25" i="64"/>
  <c r="AJ26" i="64"/>
  <c r="AJ27" i="64"/>
  <c r="AJ28" i="64"/>
  <c r="AJ29" i="64"/>
  <c r="AJ30" i="64"/>
  <c r="AJ31" i="64"/>
  <c r="AJ32" i="64"/>
  <c r="AJ33" i="64"/>
  <c r="AJ34" i="64"/>
  <c r="AJ35" i="64"/>
  <c r="AJ36" i="64"/>
  <c r="AJ37" i="64"/>
  <c r="AJ38" i="64"/>
  <c r="AJ39" i="64"/>
  <c r="AJ40" i="64"/>
  <c r="AJ41" i="64"/>
  <c r="AJ42" i="64"/>
  <c r="AJ43" i="64"/>
  <c r="AJ44" i="64"/>
  <c r="AJ45" i="64"/>
  <c r="AJ46" i="64"/>
  <c r="AJ47" i="64"/>
  <c r="AJ48" i="64"/>
  <c r="AJ49" i="64"/>
  <c r="AJ50" i="64"/>
  <c r="AJ51" i="64"/>
  <c r="AJ52" i="64"/>
  <c r="AJ53" i="64"/>
  <c r="AJ54" i="64"/>
  <c r="AJ55" i="64"/>
  <c r="AJ56" i="64"/>
  <c r="AJ57" i="64"/>
  <c r="AJ58" i="64"/>
  <c r="AJ59" i="64"/>
  <c r="AJ60" i="64"/>
  <c r="AJ61" i="64"/>
  <c r="AJ6" i="64"/>
  <c r="AI7" i="64"/>
  <c r="AI8" i="64"/>
  <c r="AI9" i="64"/>
  <c r="AI10" i="64"/>
  <c r="AI11" i="64"/>
  <c r="AI12" i="64"/>
  <c r="AI13" i="64"/>
  <c r="AI14" i="64"/>
  <c r="AI15" i="64"/>
  <c r="AI16" i="64"/>
  <c r="AI17" i="64"/>
  <c r="AI18" i="64"/>
  <c r="AI19" i="64"/>
  <c r="AI20" i="64"/>
  <c r="AI21" i="64"/>
  <c r="AI22" i="64"/>
  <c r="AI23" i="64"/>
  <c r="AI24" i="64"/>
  <c r="AI25" i="64"/>
  <c r="AI26" i="64"/>
  <c r="AI27" i="64"/>
  <c r="AI28" i="64"/>
  <c r="AI29" i="64"/>
  <c r="AI30" i="64"/>
  <c r="AI31" i="64"/>
  <c r="AI32" i="64"/>
  <c r="AI33" i="64"/>
  <c r="AI34" i="64"/>
  <c r="AI35" i="64"/>
  <c r="AI36" i="64"/>
  <c r="AI37" i="64"/>
  <c r="AI38" i="64"/>
  <c r="AI39" i="64"/>
  <c r="AI40" i="64"/>
  <c r="AI41" i="64"/>
  <c r="AI42" i="64"/>
  <c r="AI43" i="64"/>
  <c r="AI44" i="64"/>
  <c r="AI45" i="64"/>
  <c r="AI46" i="64"/>
  <c r="AI47" i="64"/>
  <c r="AI48" i="64"/>
  <c r="AI49" i="64"/>
  <c r="AI50" i="64"/>
  <c r="AI51" i="64"/>
  <c r="AI52" i="64"/>
  <c r="AI53" i="64"/>
  <c r="AI54" i="64"/>
  <c r="AI55" i="64"/>
  <c r="AI56" i="64"/>
  <c r="AI57" i="64"/>
  <c r="AI58" i="64"/>
  <c r="AI59" i="64"/>
  <c r="AI60" i="64"/>
  <c r="AI61" i="64"/>
  <c r="AI6" i="64"/>
  <c r="U5" i="97" l="1"/>
  <c r="W5" i="97" s="1"/>
  <c r="U6" i="97"/>
  <c r="W6" i="97" s="1"/>
  <c r="U7" i="97"/>
  <c r="W7" i="97" s="1"/>
  <c r="U8" i="97"/>
  <c r="W8" i="97" s="1"/>
  <c r="U9" i="97"/>
  <c r="W9" i="97" s="1"/>
  <c r="U10" i="97"/>
  <c r="W10" i="97" s="1"/>
  <c r="U11" i="97"/>
  <c r="W11" i="97" s="1"/>
  <c r="U12" i="97"/>
  <c r="W12" i="97" s="1"/>
  <c r="U13" i="97"/>
  <c r="W13" i="97" s="1"/>
  <c r="U14" i="97"/>
  <c r="W14" i="97" s="1"/>
  <c r="U15" i="97"/>
  <c r="W15" i="97" s="1"/>
  <c r="U16" i="97"/>
  <c r="W16" i="97" s="1"/>
  <c r="U17" i="97"/>
  <c r="W17" i="97" s="1"/>
  <c r="U18" i="97"/>
  <c r="W18" i="97" s="1"/>
  <c r="U19" i="97"/>
  <c r="W19" i="97" s="1"/>
  <c r="U20" i="97"/>
  <c r="W20" i="97" s="1"/>
  <c r="U21" i="97"/>
  <c r="W21" i="97" s="1"/>
  <c r="U22" i="97"/>
  <c r="W22" i="97" s="1"/>
  <c r="U23" i="97"/>
  <c r="W23" i="97" s="1"/>
  <c r="U24" i="97"/>
  <c r="W24" i="97" s="1"/>
  <c r="U25" i="97"/>
  <c r="W25" i="97" s="1"/>
  <c r="U26" i="97"/>
  <c r="W26" i="97" s="1"/>
  <c r="U27" i="97"/>
  <c r="W27" i="97" s="1"/>
  <c r="U28" i="97"/>
  <c r="W28" i="97" s="1"/>
  <c r="U29" i="97"/>
  <c r="W29" i="97" s="1"/>
  <c r="U30" i="97"/>
  <c r="W30" i="97" s="1"/>
  <c r="U31" i="97"/>
  <c r="W31" i="97" s="1"/>
  <c r="U32" i="97"/>
  <c r="W32" i="97" s="1"/>
  <c r="U33" i="97"/>
  <c r="W33" i="97" s="1"/>
  <c r="U34" i="97"/>
  <c r="W34" i="97" s="1"/>
  <c r="U35" i="97"/>
  <c r="W35" i="97" s="1"/>
  <c r="U36" i="97"/>
  <c r="W36" i="97" s="1"/>
  <c r="U37" i="97"/>
  <c r="W37" i="97" s="1"/>
  <c r="U38" i="97"/>
  <c r="W38" i="97" s="1"/>
  <c r="U39" i="97"/>
  <c r="W39" i="97" s="1"/>
  <c r="U40" i="97"/>
  <c r="W40" i="97" s="1"/>
  <c r="U41" i="97"/>
  <c r="W41" i="97" s="1"/>
  <c r="U42" i="97"/>
  <c r="W42" i="97" s="1"/>
  <c r="U43" i="97"/>
  <c r="W43" i="97" s="1"/>
  <c r="U44" i="97"/>
  <c r="W44" i="97" s="1"/>
  <c r="U45" i="97"/>
  <c r="W45" i="97" s="1"/>
  <c r="U46" i="97"/>
  <c r="W46" i="97" s="1"/>
  <c r="U47" i="97"/>
  <c r="W47" i="97" s="1"/>
  <c r="U48" i="97"/>
  <c r="W48" i="97" s="1"/>
  <c r="U49" i="97"/>
  <c r="W49" i="97" s="1"/>
  <c r="U50" i="97"/>
  <c r="W50" i="97" s="1"/>
  <c r="U51" i="97"/>
  <c r="W51" i="97" s="1"/>
  <c r="U52" i="97"/>
  <c r="W52" i="97" s="1"/>
  <c r="U53" i="97"/>
  <c r="W53" i="97" s="1"/>
  <c r="U54" i="97"/>
  <c r="W54" i="97" s="1"/>
  <c r="U55" i="97"/>
  <c r="W55" i="97" s="1"/>
  <c r="U56" i="97"/>
  <c r="W56" i="97" s="1"/>
  <c r="U57" i="97"/>
  <c r="W57" i="97" s="1"/>
  <c r="U58" i="97"/>
  <c r="W58" i="97" s="1"/>
  <c r="U59" i="97"/>
  <c r="W59" i="97" s="1"/>
  <c r="U60" i="97"/>
  <c r="W60" i="97" s="1"/>
  <c r="U61" i="97"/>
  <c r="W61" i="97" s="1"/>
  <c r="U62" i="97"/>
  <c r="W62" i="97" s="1"/>
  <c r="U63" i="97"/>
  <c r="W63" i="97" s="1"/>
  <c r="U64" i="97"/>
  <c r="W64" i="97" s="1"/>
  <c r="U65" i="97"/>
  <c r="W65" i="97" s="1"/>
  <c r="U66" i="97"/>
  <c r="W66" i="97" s="1"/>
  <c r="U67" i="97"/>
  <c r="W67" i="97" s="1"/>
  <c r="U68" i="97"/>
  <c r="W68" i="97" s="1"/>
  <c r="U69" i="97"/>
  <c r="W69" i="97" s="1"/>
  <c r="U70" i="97"/>
  <c r="W70" i="97" s="1"/>
  <c r="U71" i="97"/>
  <c r="W71" i="97" s="1"/>
  <c r="U72" i="97"/>
  <c r="W72" i="97" s="1"/>
  <c r="U73" i="97"/>
  <c r="W73" i="97" s="1"/>
  <c r="U74" i="97"/>
  <c r="W74" i="97" s="1"/>
  <c r="U75" i="97"/>
  <c r="W75" i="97" s="1"/>
  <c r="U76" i="97"/>
  <c r="W76" i="97" s="1"/>
  <c r="U77" i="97"/>
  <c r="W77" i="97" s="1"/>
  <c r="U78" i="97"/>
  <c r="W78" i="97" s="1"/>
  <c r="U79" i="97"/>
  <c r="W79" i="97" s="1"/>
  <c r="U80" i="97"/>
  <c r="W80" i="97" s="1"/>
  <c r="U81" i="97"/>
  <c r="W81" i="97" s="1"/>
  <c r="U82" i="97"/>
  <c r="W82" i="97" s="1"/>
  <c r="U83" i="97"/>
  <c r="W83" i="97" s="1"/>
  <c r="U84" i="97"/>
  <c r="W84" i="97" s="1"/>
  <c r="U85" i="97"/>
  <c r="W85" i="97" s="1"/>
  <c r="U86" i="97"/>
  <c r="U87" i="97"/>
  <c r="W87" i="97" s="1"/>
  <c r="U88" i="97"/>
  <c r="W88" i="97" s="1"/>
  <c r="U89" i="97"/>
  <c r="W89" i="97" s="1"/>
  <c r="U90" i="97"/>
  <c r="W90" i="97" s="1"/>
  <c r="U91" i="97"/>
  <c r="W91" i="97" s="1"/>
  <c r="U92" i="97"/>
  <c r="W92" i="97" s="1"/>
  <c r="U93" i="97"/>
  <c r="W93" i="97" s="1"/>
  <c r="U94" i="97"/>
  <c r="W94" i="97" s="1"/>
  <c r="U95" i="97"/>
  <c r="W95" i="97" s="1"/>
  <c r="U96" i="97"/>
  <c r="W96" i="97" s="1"/>
  <c r="U97" i="97"/>
  <c r="W97" i="97" s="1"/>
  <c r="U98" i="97"/>
  <c r="W98" i="97" s="1"/>
  <c r="U99" i="97"/>
  <c r="W99" i="97" s="1"/>
  <c r="U100" i="97"/>
  <c r="W100" i="97" s="1"/>
  <c r="U101" i="97"/>
  <c r="W101" i="97" s="1"/>
  <c r="U102" i="97"/>
  <c r="W102" i="97" s="1"/>
  <c r="U103" i="97"/>
  <c r="W103" i="97" s="1"/>
  <c r="U104" i="97"/>
  <c r="W104" i="97" s="1"/>
  <c r="U105" i="97"/>
  <c r="W105" i="97" s="1"/>
  <c r="U106" i="97"/>
  <c r="U107" i="97"/>
  <c r="U108" i="97"/>
  <c r="U109" i="97"/>
  <c r="U110" i="97"/>
  <c r="U111" i="97"/>
  <c r="W111" i="97" s="1"/>
  <c r="U112" i="97"/>
  <c r="W112" i="97" s="1"/>
  <c r="U113" i="97"/>
  <c r="W113" i="97" s="1"/>
  <c r="U114" i="97"/>
  <c r="W114" i="97" s="1"/>
  <c r="U115" i="97"/>
  <c r="W115" i="97" s="1"/>
  <c r="U116" i="97"/>
  <c r="W116" i="97" s="1"/>
  <c r="U117" i="97"/>
  <c r="W117" i="97" s="1"/>
  <c r="U118" i="97"/>
  <c r="W118" i="97" s="1"/>
  <c r="U119" i="97"/>
  <c r="W119" i="97" s="1"/>
  <c r="U120" i="97"/>
  <c r="W120" i="97" s="1"/>
  <c r="U121" i="97"/>
  <c r="W121" i="97" s="1"/>
  <c r="U122" i="97"/>
  <c r="W122" i="97" s="1"/>
  <c r="U123" i="97"/>
  <c r="W123" i="97" s="1"/>
  <c r="U124" i="97"/>
  <c r="W124" i="97" s="1"/>
  <c r="U125" i="97"/>
  <c r="W125" i="97" s="1"/>
  <c r="U126" i="97"/>
  <c r="W126" i="97" s="1"/>
  <c r="U127" i="97"/>
  <c r="W127" i="97" s="1"/>
  <c r="U128" i="97"/>
  <c r="W128" i="97" s="1"/>
  <c r="U129" i="97"/>
  <c r="W129" i="97" s="1"/>
  <c r="U130" i="97"/>
  <c r="W130" i="97" s="1"/>
  <c r="U131" i="97"/>
  <c r="W131" i="97" s="1"/>
  <c r="U132" i="97"/>
  <c r="W132" i="97" s="1"/>
  <c r="U133" i="97"/>
  <c r="W133" i="97" s="1"/>
  <c r="U134" i="97"/>
  <c r="W134" i="97" s="1"/>
  <c r="U135" i="97"/>
  <c r="W135" i="97" s="1"/>
  <c r="U136" i="97"/>
  <c r="W136" i="97" s="1"/>
  <c r="U137" i="97"/>
  <c r="W137" i="97" s="1"/>
  <c r="U138" i="97"/>
  <c r="W138" i="97" s="1"/>
  <c r="U139" i="97"/>
  <c r="W139" i="97" s="1"/>
  <c r="U140" i="97"/>
  <c r="W140" i="97" s="1"/>
  <c r="U141" i="97"/>
  <c r="W141" i="97" s="1"/>
  <c r="U142" i="97"/>
  <c r="W142" i="97" s="1"/>
  <c r="U143" i="97"/>
  <c r="W143" i="97" s="1"/>
  <c r="U144" i="97"/>
  <c r="W144" i="97" s="1"/>
  <c r="U145" i="97"/>
  <c r="W145" i="97" s="1"/>
  <c r="U146" i="97"/>
  <c r="W146" i="97" s="1"/>
  <c r="U147" i="97"/>
  <c r="W147" i="97" s="1"/>
  <c r="U148" i="97"/>
  <c r="W148" i="97" s="1"/>
  <c r="U149" i="97"/>
  <c r="W149" i="97" s="1"/>
  <c r="U150" i="97"/>
  <c r="W150" i="97" s="1"/>
  <c r="U151" i="97"/>
  <c r="W151" i="97" s="1"/>
  <c r="U152" i="97"/>
  <c r="W152" i="97" s="1"/>
  <c r="U153" i="97"/>
  <c r="W153" i="97" s="1"/>
  <c r="U154" i="97"/>
  <c r="W154" i="97" s="1"/>
  <c r="U155" i="97"/>
  <c r="W155" i="97" s="1"/>
  <c r="U156" i="97"/>
  <c r="W156" i="97" s="1"/>
  <c r="U157" i="97"/>
  <c r="W157" i="97" s="1"/>
  <c r="U158" i="97"/>
  <c r="W158" i="97" s="1"/>
  <c r="U159" i="97"/>
  <c r="W159" i="97" s="1"/>
  <c r="U160" i="97"/>
  <c r="W160" i="97" s="1"/>
  <c r="U161" i="97"/>
  <c r="W161" i="97" s="1"/>
  <c r="U162" i="97"/>
  <c r="W162" i="97" s="1"/>
  <c r="U163" i="97"/>
  <c r="W163" i="97" s="1"/>
  <c r="U164" i="97"/>
  <c r="W164" i="97" s="1"/>
  <c r="U165" i="97"/>
  <c r="W165" i="97" s="1"/>
  <c r="U166" i="97"/>
  <c r="W166" i="97" s="1"/>
  <c r="U167" i="97"/>
  <c r="W167" i="97" s="1"/>
  <c r="U168" i="97"/>
  <c r="W168" i="97" s="1"/>
  <c r="U169" i="97"/>
  <c r="W169" i="97" s="1"/>
  <c r="U170" i="97"/>
  <c r="W170" i="97" s="1"/>
  <c r="U171" i="97"/>
  <c r="W171" i="97" s="1"/>
  <c r="U172" i="97"/>
  <c r="W172" i="97" s="1"/>
  <c r="U173" i="97"/>
  <c r="W173" i="97" s="1"/>
  <c r="U174" i="97"/>
  <c r="W174" i="97" s="1"/>
  <c r="U175" i="97"/>
  <c r="W175" i="97" s="1"/>
  <c r="U176" i="97"/>
  <c r="W176" i="97" s="1"/>
  <c r="U177" i="97"/>
  <c r="W177" i="97" s="1"/>
  <c r="U178" i="97"/>
  <c r="W178" i="97" s="1"/>
  <c r="U179" i="97"/>
  <c r="W179" i="97" s="1"/>
  <c r="U180" i="97"/>
  <c r="W180" i="97" s="1"/>
  <c r="U181" i="97"/>
  <c r="W181" i="97" s="1"/>
  <c r="U182" i="97"/>
  <c r="W182" i="97" s="1"/>
  <c r="U183" i="97"/>
  <c r="W183" i="97" s="1"/>
  <c r="U184" i="97"/>
  <c r="W184" i="97" s="1"/>
  <c r="U185" i="97"/>
  <c r="W185" i="97" s="1"/>
  <c r="U186" i="97"/>
  <c r="W186" i="97" s="1"/>
  <c r="U187" i="97"/>
  <c r="W187" i="97" s="1"/>
  <c r="U188" i="97"/>
  <c r="W188" i="97" s="1"/>
  <c r="U189" i="97"/>
  <c r="W189" i="97" s="1"/>
  <c r="U190" i="97"/>
  <c r="W190" i="97" s="1"/>
  <c r="U191" i="97"/>
  <c r="W191" i="97" s="1"/>
  <c r="U192" i="97"/>
  <c r="W192" i="97" s="1"/>
  <c r="U193" i="97"/>
  <c r="W193" i="97" s="1"/>
  <c r="U194" i="97"/>
  <c r="W194" i="97" s="1"/>
  <c r="U195" i="97"/>
  <c r="W195" i="97" s="1"/>
  <c r="U196" i="97"/>
  <c r="W196" i="97" s="1"/>
  <c r="U197" i="97"/>
  <c r="W197" i="97" s="1"/>
  <c r="U198" i="97"/>
  <c r="W198" i="97" s="1"/>
  <c r="U199" i="97"/>
  <c r="W199" i="97" s="1"/>
  <c r="U200" i="97"/>
  <c r="W200" i="97" s="1"/>
  <c r="U201" i="97"/>
  <c r="W201" i="97" s="1"/>
  <c r="U202" i="97"/>
  <c r="W202" i="97" s="1"/>
  <c r="U203" i="97"/>
  <c r="W203" i="97" s="1"/>
  <c r="U204" i="97"/>
  <c r="W204" i="97" s="1"/>
  <c r="U205" i="97"/>
  <c r="W205" i="97" s="1"/>
  <c r="U206" i="97"/>
  <c r="W206" i="97" s="1"/>
  <c r="U207" i="97"/>
  <c r="W207" i="97" s="1"/>
  <c r="U208" i="97"/>
  <c r="W208" i="97" s="1"/>
  <c r="U209" i="97"/>
  <c r="W209" i="97" s="1"/>
  <c r="U210" i="97"/>
  <c r="W210" i="97" s="1"/>
  <c r="U211" i="97"/>
  <c r="W211" i="97" s="1"/>
  <c r="U212" i="97"/>
  <c r="W212" i="97" s="1"/>
  <c r="U213" i="97"/>
  <c r="W213" i="97" s="1"/>
  <c r="U214" i="97"/>
  <c r="W214" i="97" s="1"/>
  <c r="U215" i="97"/>
  <c r="W215" i="97" s="1"/>
  <c r="U216" i="97"/>
  <c r="W216" i="97" s="1"/>
  <c r="U217" i="97"/>
  <c r="W217" i="97" s="1"/>
  <c r="U218" i="97"/>
  <c r="W218" i="97" s="1"/>
  <c r="U219" i="97"/>
  <c r="W219" i="97" s="1"/>
  <c r="U220" i="97"/>
  <c r="W220" i="97" s="1"/>
  <c r="U221" i="97"/>
  <c r="W221" i="97" s="1"/>
  <c r="U222" i="97"/>
  <c r="W222" i="97" s="1"/>
  <c r="U223" i="97"/>
  <c r="W223" i="97" s="1"/>
  <c r="U224" i="97"/>
  <c r="W224" i="97" s="1"/>
  <c r="U225" i="97"/>
  <c r="W225" i="97" s="1"/>
  <c r="U226" i="97"/>
  <c r="W226" i="97" s="1"/>
  <c r="U227" i="97"/>
  <c r="W227" i="97" s="1"/>
  <c r="U228" i="97"/>
  <c r="W228" i="97" s="1"/>
  <c r="U229" i="97"/>
  <c r="W229" i="97" s="1"/>
  <c r="U230" i="97"/>
  <c r="W230" i="97" s="1"/>
  <c r="U231" i="97"/>
  <c r="W231" i="97" s="1"/>
  <c r="U232" i="97"/>
  <c r="W232" i="97" s="1"/>
  <c r="U233" i="97"/>
  <c r="W233" i="97" s="1"/>
  <c r="U234" i="97"/>
  <c r="W234" i="97" s="1"/>
  <c r="U235" i="97"/>
  <c r="W235" i="97" s="1"/>
  <c r="U236" i="97"/>
  <c r="W236" i="97" s="1"/>
  <c r="U237" i="97"/>
  <c r="W237" i="97" s="1"/>
  <c r="U238" i="97"/>
  <c r="W238" i="97" s="1"/>
  <c r="U239" i="97"/>
  <c r="W239" i="97" s="1"/>
  <c r="U240" i="97"/>
  <c r="W240" i="97" s="1"/>
  <c r="U241" i="97"/>
  <c r="W241" i="97" s="1"/>
  <c r="U242" i="97"/>
  <c r="W242" i="97" s="1"/>
  <c r="U243" i="97"/>
  <c r="W243" i="97" s="1"/>
  <c r="U244" i="97"/>
  <c r="W244" i="97" s="1"/>
  <c r="U245" i="97"/>
  <c r="W245" i="97" s="1"/>
  <c r="U246" i="97"/>
  <c r="W246" i="97" s="1"/>
  <c r="U247" i="97"/>
  <c r="W247" i="97" s="1"/>
  <c r="U248" i="97"/>
  <c r="W248" i="97" s="1"/>
  <c r="U249" i="97"/>
  <c r="W249" i="97" s="1"/>
  <c r="U250" i="97"/>
  <c r="W250" i="97" s="1"/>
  <c r="U251" i="97"/>
  <c r="W251" i="97" s="1"/>
  <c r="U252" i="97"/>
  <c r="W252" i="97" s="1"/>
  <c r="U253" i="97"/>
  <c r="W253" i="97" s="1"/>
  <c r="U254" i="97"/>
  <c r="W254" i="97" s="1"/>
  <c r="U255" i="97"/>
  <c r="W255" i="97" s="1"/>
  <c r="U256" i="97"/>
  <c r="W256" i="97" s="1"/>
  <c r="U257" i="97"/>
  <c r="W257" i="97" s="1"/>
  <c r="U258" i="97"/>
  <c r="W258" i="97" s="1"/>
  <c r="U259" i="97"/>
  <c r="W259" i="97" s="1"/>
  <c r="U260" i="97"/>
  <c r="W260" i="97" s="1"/>
  <c r="U261" i="97"/>
  <c r="W261" i="97" s="1"/>
  <c r="U262" i="97"/>
  <c r="W262" i="97" s="1"/>
  <c r="U263" i="97"/>
  <c r="W263" i="97" s="1"/>
  <c r="U264" i="97"/>
  <c r="W264" i="97" s="1"/>
  <c r="U265" i="97"/>
  <c r="W265" i="97" s="1"/>
  <c r="U266" i="97"/>
  <c r="W266" i="97" s="1"/>
  <c r="U267" i="97"/>
  <c r="W267" i="97" s="1"/>
  <c r="U268" i="97"/>
  <c r="W268" i="97" s="1"/>
  <c r="U269" i="97"/>
  <c r="W269" i="97" s="1"/>
  <c r="U270" i="97"/>
  <c r="W270" i="97" s="1"/>
  <c r="U271" i="97"/>
  <c r="W271" i="97" s="1"/>
  <c r="U272" i="97"/>
  <c r="W272" i="97" s="1"/>
  <c r="U273" i="97"/>
  <c r="W273" i="97" s="1"/>
  <c r="U274" i="97"/>
  <c r="W274" i="97" s="1"/>
  <c r="U275" i="97"/>
  <c r="W275" i="97" s="1"/>
  <c r="U276" i="97"/>
  <c r="W276" i="97" s="1"/>
  <c r="U277" i="97"/>
  <c r="W277" i="97" s="1"/>
  <c r="U278" i="97"/>
  <c r="W278" i="97" s="1"/>
  <c r="U279" i="97"/>
  <c r="W279" i="97" s="1"/>
  <c r="U280" i="97"/>
  <c r="W280" i="97" s="1"/>
  <c r="U281" i="97"/>
  <c r="W281" i="97" s="1"/>
  <c r="U282" i="97"/>
  <c r="W282" i="97" s="1"/>
  <c r="U283" i="97"/>
  <c r="W283" i="97" s="1"/>
  <c r="U284" i="97"/>
  <c r="W284" i="97" s="1"/>
  <c r="U285" i="97"/>
  <c r="W285" i="97" s="1"/>
  <c r="U286" i="97"/>
  <c r="W286" i="97" s="1"/>
  <c r="U287" i="97"/>
  <c r="W287" i="97" s="1"/>
  <c r="U288" i="97"/>
  <c r="W288" i="97" s="1"/>
  <c r="U289" i="97"/>
  <c r="W289" i="97" s="1"/>
  <c r="U290" i="97"/>
  <c r="W290" i="97" s="1"/>
  <c r="U291" i="97"/>
  <c r="W291" i="97" s="1"/>
  <c r="U292" i="97"/>
  <c r="W292" i="97" s="1"/>
  <c r="U293" i="97"/>
  <c r="W293" i="97" s="1"/>
  <c r="U294" i="97"/>
  <c r="W294" i="97" s="1"/>
  <c r="U295" i="97"/>
  <c r="W295" i="97" s="1"/>
  <c r="U296" i="97"/>
  <c r="W296" i="97" s="1"/>
  <c r="U297" i="97"/>
  <c r="W297" i="97" s="1"/>
  <c r="U298" i="97"/>
  <c r="W298" i="97" s="1"/>
  <c r="U299" i="97"/>
  <c r="W299" i="97" s="1"/>
  <c r="U300" i="97"/>
  <c r="W300" i="97" s="1"/>
  <c r="U301" i="97"/>
  <c r="W301" i="97" s="1"/>
  <c r="U302" i="97"/>
  <c r="W302" i="97" s="1"/>
  <c r="U303" i="97"/>
  <c r="W303" i="97" s="1"/>
  <c r="U304" i="97"/>
  <c r="W304" i="97" s="1"/>
  <c r="U305" i="97"/>
  <c r="W305" i="97" s="1"/>
  <c r="U306" i="97"/>
  <c r="W306" i="97" s="1"/>
  <c r="U307" i="97"/>
  <c r="W307" i="97" s="1"/>
  <c r="U308" i="97"/>
  <c r="W308" i="97" s="1"/>
  <c r="U309" i="97"/>
  <c r="W309" i="97" s="1"/>
  <c r="U310" i="97"/>
  <c r="W310" i="97" s="1"/>
  <c r="U311" i="97"/>
  <c r="W311" i="97" s="1"/>
  <c r="U312" i="97"/>
  <c r="W312" i="97" s="1"/>
  <c r="U313" i="97"/>
  <c r="W313" i="97" s="1"/>
  <c r="U314" i="97"/>
  <c r="W314" i="97" s="1"/>
  <c r="U315" i="97"/>
  <c r="W315" i="97" s="1"/>
  <c r="U316" i="97"/>
  <c r="W316" i="97" s="1"/>
  <c r="U317" i="97"/>
  <c r="W317" i="97" s="1"/>
  <c r="U318" i="97"/>
  <c r="W318" i="97" s="1"/>
  <c r="U319" i="97"/>
  <c r="W319" i="97" s="1"/>
  <c r="U320" i="97"/>
  <c r="W320" i="97" s="1"/>
  <c r="U321" i="97"/>
  <c r="W321" i="97" s="1"/>
  <c r="U322" i="97"/>
  <c r="W322" i="97" s="1"/>
  <c r="U323" i="97"/>
  <c r="W323" i="97" s="1"/>
  <c r="U324" i="97"/>
  <c r="W324" i="97" s="1"/>
  <c r="U325" i="97"/>
  <c r="W325" i="97" s="1"/>
  <c r="U326" i="97"/>
  <c r="W326" i="97" s="1"/>
  <c r="U327" i="97"/>
  <c r="W327" i="97" s="1"/>
  <c r="U328" i="97"/>
  <c r="W328" i="97" s="1"/>
  <c r="U329" i="97"/>
  <c r="W329" i="97" s="1"/>
  <c r="U330" i="97"/>
  <c r="W330" i="97" s="1"/>
  <c r="U331" i="97"/>
  <c r="W331" i="97" s="1"/>
  <c r="U332" i="97"/>
  <c r="W332" i="97" s="1"/>
  <c r="U333" i="97"/>
  <c r="W333" i="97" s="1"/>
  <c r="U334" i="97"/>
  <c r="W334" i="97" s="1"/>
  <c r="U335" i="97"/>
  <c r="W335" i="97" s="1"/>
  <c r="U336" i="97"/>
  <c r="W336" i="97" s="1"/>
  <c r="U337" i="97"/>
  <c r="W337" i="97" s="1"/>
  <c r="U338" i="97"/>
  <c r="W338" i="97" s="1"/>
  <c r="U339" i="97"/>
  <c r="W339" i="97" s="1"/>
  <c r="U340" i="97"/>
  <c r="W340" i="97" s="1"/>
  <c r="U341" i="97"/>
  <c r="W341" i="97" s="1"/>
  <c r="U342" i="97"/>
  <c r="W342" i="97" s="1"/>
  <c r="U343" i="97"/>
  <c r="W343" i="97" s="1"/>
  <c r="U344" i="97"/>
  <c r="W344" i="97" s="1"/>
  <c r="U345" i="97"/>
  <c r="W345" i="97" s="1"/>
  <c r="U346" i="97"/>
  <c r="W346" i="97" s="1"/>
  <c r="U347" i="97"/>
  <c r="W347" i="97" s="1"/>
  <c r="U348" i="97"/>
  <c r="W348" i="97" s="1"/>
  <c r="U349" i="97"/>
  <c r="W349" i="97" s="1"/>
  <c r="U350" i="97"/>
  <c r="W350" i="97" s="1"/>
  <c r="U351" i="97"/>
  <c r="W351" i="97" s="1"/>
  <c r="U352" i="97"/>
  <c r="W352" i="97" s="1"/>
  <c r="U353" i="97"/>
  <c r="W353" i="97" s="1"/>
  <c r="U354" i="97"/>
  <c r="W354" i="97" s="1"/>
  <c r="U355" i="97"/>
  <c r="W355" i="97" s="1"/>
  <c r="U356" i="97"/>
  <c r="W356" i="97" s="1"/>
  <c r="U357" i="97"/>
  <c r="W357" i="97" s="1"/>
  <c r="U358" i="97"/>
  <c r="W358" i="97" s="1"/>
  <c r="U359" i="97"/>
  <c r="W359" i="97" s="1"/>
  <c r="U360" i="97"/>
  <c r="W360" i="97" s="1"/>
  <c r="U361" i="97"/>
  <c r="W361" i="97" s="1"/>
  <c r="U362" i="97"/>
  <c r="W362" i="97" s="1"/>
  <c r="U363" i="97"/>
  <c r="W363" i="97" s="1"/>
  <c r="U364" i="97"/>
  <c r="W364" i="97" s="1"/>
  <c r="U365" i="97"/>
  <c r="W365" i="97" s="1"/>
  <c r="U366" i="97"/>
  <c r="W366" i="97" s="1"/>
  <c r="U367" i="97"/>
  <c r="W367" i="97" s="1"/>
  <c r="U368" i="97"/>
  <c r="W368" i="97" s="1"/>
  <c r="U369" i="97"/>
  <c r="W369" i="97" s="1"/>
  <c r="U370" i="97"/>
  <c r="W370" i="97" s="1"/>
  <c r="U371" i="97"/>
  <c r="W371" i="97" s="1"/>
  <c r="U372" i="97"/>
  <c r="W372" i="97" s="1"/>
  <c r="U373" i="97"/>
  <c r="W373" i="97" s="1"/>
  <c r="U374" i="97"/>
  <c r="W374" i="97" s="1"/>
  <c r="U375" i="97"/>
  <c r="W375" i="97" s="1"/>
  <c r="U376" i="97"/>
  <c r="W376" i="97" s="1"/>
  <c r="U377" i="97"/>
  <c r="W377" i="97" s="1"/>
  <c r="U378" i="97"/>
  <c r="W378" i="97" s="1"/>
  <c r="U379" i="97"/>
  <c r="W379" i="97" s="1"/>
  <c r="U380" i="97"/>
  <c r="W380" i="97" s="1"/>
  <c r="U381" i="97"/>
  <c r="W381" i="97" s="1"/>
  <c r="U382" i="97"/>
  <c r="W382" i="97" s="1"/>
  <c r="U383" i="97"/>
  <c r="W383" i="97" s="1"/>
  <c r="U384" i="97"/>
  <c r="W384" i="97" s="1"/>
  <c r="U385" i="97"/>
  <c r="W385" i="97" s="1"/>
  <c r="U386" i="97"/>
  <c r="W386" i="97" s="1"/>
  <c r="U387" i="97"/>
  <c r="W387" i="97" s="1"/>
  <c r="U388" i="97"/>
  <c r="W388" i="97" s="1"/>
  <c r="U389" i="97"/>
  <c r="W389" i="97" s="1"/>
  <c r="U390" i="97"/>
  <c r="W390" i="97" s="1"/>
  <c r="U391" i="97"/>
  <c r="W391" i="97" s="1"/>
  <c r="U392" i="97"/>
  <c r="W392" i="97" s="1"/>
  <c r="U393" i="97"/>
  <c r="W393" i="97" s="1"/>
  <c r="U394" i="97"/>
  <c r="W394" i="97" s="1"/>
  <c r="U395" i="97"/>
  <c r="W395" i="97" s="1"/>
  <c r="U396" i="97"/>
  <c r="W396" i="97" s="1"/>
  <c r="U397" i="97"/>
  <c r="W397" i="97" s="1"/>
  <c r="U398" i="97"/>
  <c r="W398" i="97" s="1"/>
  <c r="U399" i="97"/>
  <c r="W399" i="97" s="1"/>
  <c r="U400" i="97"/>
  <c r="W400" i="97" s="1"/>
  <c r="U401" i="97"/>
  <c r="W401" i="97" s="1"/>
  <c r="U402" i="97"/>
  <c r="W402" i="97" s="1"/>
  <c r="U403" i="97"/>
  <c r="W403" i="97" s="1"/>
  <c r="U404" i="97"/>
  <c r="W404" i="97" s="1"/>
  <c r="U405" i="97"/>
  <c r="W405" i="97" s="1"/>
  <c r="U406" i="97"/>
  <c r="W406" i="97" s="1"/>
  <c r="U407" i="97"/>
  <c r="W407" i="97" s="1"/>
  <c r="U408" i="97"/>
  <c r="W408" i="97" s="1"/>
  <c r="U409" i="97"/>
  <c r="W409" i="97" s="1"/>
  <c r="U410" i="97"/>
  <c r="W410" i="97" s="1"/>
  <c r="U411" i="97"/>
  <c r="W411" i="97" s="1"/>
  <c r="U412" i="97"/>
  <c r="W412" i="97" s="1"/>
  <c r="U413" i="97"/>
  <c r="W413" i="97" s="1"/>
  <c r="U414" i="97"/>
  <c r="W414" i="97" s="1"/>
  <c r="U415" i="97"/>
  <c r="W415" i="97" s="1"/>
  <c r="U416" i="97"/>
  <c r="W416" i="97" s="1"/>
  <c r="U417" i="97"/>
  <c r="W417" i="97" s="1"/>
  <c r="U418" i="97"/>
  <c r="W418" i="97" s="1"/>
  <c r="U419" i="97"/>
  <c r="W419" i="97" s="1"/>
  <c r="U420" i="97"/>
  <c r="W420" i="97" s="1"/>
  <c r="U421" i="97"/>
  <c r="W421" i="97" s="1"/>
  <c r="U422" i="97"/>
  <c r="W422" i="97" s="1"/>
  <c r="U4" i="97"/>
  <c r="W4" i="97" s="1"/>
  <c r="T5" i="97"/>
  <c r="V5" i="97" s="1"/>
  <c r="T6" i="97"/>
  <c r="V6" i="97" s="1"/>
  <c r="T7" i="97"/>
  <c r="V7" i="97" s="1"/>
  <c r="T8" i="97"/>
  <c r="V8" i="97" s="1"/>
  <c r="T9" i="97"/>
  <c r="V9" i="97" s="1"/>
  <c r="T10" i="97"/>
  <c r="V10" i="97" s="1"/>
  <c r="T11" i="97"/>
  <c r="V11" i="97" s="1"/>
  <c r="T12" i="97"/>
  <c r="V12" i="97" s="1"/>
  <c r="T13" i="97"/>
  <c r="V13" i="97" s="1"/>
  <c r="T14" i="97"/>
  <c r="V14" i="97" s="1"/>
  <c r="T15" i="97"/>
  <c r="V15" i="97" s="1"/>
  <c r="T16" i="97"/>
  <c r="V16" i="97" s="1"/>
  <c r="T17" i="97"/>
  <c r="V17" i="97" s="1"/>
  <c r="T18" i="97"/>
  <c r="V18" i="97" s="1"/>
  <c r="T19" i="97"/>
  <c r="V19" i="97" s="1"/>
  <c r="T20" i="97"/>
  <c r="V20" i="97" s="1"/>
  <c r="T21" i="97"/>
  <c r="V21" i="97" s="1"/>
  <c r="T22" i="97"/>
  <c r="V22" i="97" s="1"/>
  <c r="T23" i="97"/>
  <c r="V23" i="97" s="1"/>
  <c r="T24" i="97"/>
  <c r="V24" i="97" s="1"/>
  <c r="T25" i="97"/>
  <c r="V25" i="97" s="1"/>
  <c r="T26" i="97"/>
  <c r="V26" i="97" s="1"/>
  <c r="T27" i="97"/>
  <c r="V27" i="97" s="1"/>
  <c r="T28" i="97"/>
  <c r="V28" i="97" s="1"/>
  <c r="T29" i="97"/>
  <c r="V29" i="97" s="1"/>
  <c r="T30" i="97"/>
  <c r="V30" i="97" s="1"/>
  <c r="T31" i="97"/>
  <c r="V31" i="97" s="1"/>
  <c r="T32" i="97"/>
  <c r="V32" i="97" s="1"/>
  <c r="T33" i="97"/>
  <c r="V33" i="97" s="1"/>
  <c r="T34" i="97"/>
  <c r="V34" i="97" s="1"/>
  <c r="T35" i="97"/>
  <c r="V35" i="97" s="1"/>
  <c r="T36" i="97"/>
  <c r="V36" i="97" s="1"/>
  <c r="T37" i="97"/>
  <c r="V37" i="97" s="1"/>
  <c r="T38" i="97"/>
  <c r="V38" i="97" s="1"/>
  <c r="T39" i="97"/>
  <c r="V39" i="97" s="1"/>
  <c r="T40" i="97"/>
  <c r="V40" i="97" s="1"/>
  <c r="T41" i="97"/>
  <c r="V41" i="97" s="1"/>
  <c r="T42" i="97"/>
  <c r="V42" i="97" s="1"/>
  <c r="T43" i="97"/>
  <c r="V43" i="97" s="1"/>
  <c r="T44" i="97"/>
  <c r="V44" i="97" s="1"/>
  <c r="T45" i="97"/>
  <c r="V45" i="97" s="1"/>
  <c r="T46" i="97"/>
  <c r="V46" i="97" s="1"/>
  <c r="T47" i="97"/>
  <c r="V47" i="97" s="1"/>
  <c r="T48" i="97"/>
  <c r="V48" i="97" s="1"/>
  <c r="T49" i="97"/>
  <c r="V49" i="97" s="1"/>
  <c r="T50" i="97"/>
  <c r="V50" i="97" s="1"/>
  <c r="T51" i="97"/>
  <c r="V51" i="97" s="1"/>
  <c r="T52" i="97"/>
  <c r="V52" i="97" s="1"/>
  <c r="T53" i="97"/>
  <c r="V53" i="97" s="1"/>
  <c r="T54" i="97"/>
  <c r="V54" i="97" s="1"/>
  <c r="T55" i="97"/>
  <c r="V55" i="97" s="1"/>
  <c r="T56" i="97"/>
  <c r="V56" i="97" s="1"/>
  <c r="T57" i="97"/>
  <c r="V57" i="97" s="1"/>
  <c r="T58" i="97"/>
  <c r="V58" i="97" s="1"/>
  <c r="T59" i="97"/>
  <c r="V59" i="97" s="1"/>
  <c r="T60" i="97"/>
  <c r="V60" i="97" s="1"/>
  <c r="T61" i="97"/>
  <c r="V61" i="97" s="1"/>
  <c r="T62" i="97"/>
  <c r="V62" i="97" s="1"/>
  <c r="T63" i="97"/>
  <c r="V63" i="97" s="1"/>
  <c r="T64" i="97"/>
  <c r="V64" i="97" s="1"/>
  <c r="T65" i="97"/>
  <c r="V65" i="97" s="1"/>
  <c r="T66" i="97"/>
  <c r="V66" i="97" s="1"/>
  <c r="T67" i="97"/>
  <c r="V67" i="97" s="1"/>
  <c r="T68" i="97"/>
  <c r="V68" i="97" s="1"/>
  <c r="T69" i="97"/>
  <c r="V69" i="97" s="1"/>
  <c r="T70" i="97"/>
  <c r="V70" i="97" s="1"/>
  <c r="T71" i="97"/>
  <c r="V71" i="97" s="1"/>
  <c r="T72" i="97"/>
  <c r="V72" i="97" s="1"/>
  <c r="T73" i="97"/>
  <c r="V73" i="97" s="1"/>
  <c r="T74" i="97"/>
  <c r="V74" i="97" s="1"/>
  <c r="T75" i="97"/>
  <c r="V75" i="97" s="1"/>
  <c r="T76" i="97"/>
  <c r="V76" i="97" s="1"/>
  <c r="T77" i="97"/>
  <c r="V77" i="97" s="1"/>
  <c r="T78" i="97"/>
  <c r="V78" i="97" s="1"/>
  <c r="T79" i="97"/>
  <c r="V79" i="97" s="1"/>
  <c r="T80" i="97"/>
  <c r="V80" i="97" s="1"/>
  <c r="T81" i="97"/>
  <c r="V81" i="97" s="1"/>
  <c r="T82" i="97"/>
  <c r="V82" i="97" s="1"/>
  <c r="T83" i="97"/>
  <c r="V83" i="97" s="1"/>
  <c r="T84" i="97"/>
  <c r="V84" i="97" s="1"/>
  <c r="T85" i="97"/>
  <c r="V85" i="97" s="1"/>
  <c r="T86" i="97"/>
  <c r="T87" i="97"/>
  <c r="V87" i="97" s="1"/>
  <c r="T88" i="97"/>
  <c r="V88" i="97" s="1"/>
  <c r="T89" i="97"/>
  <c r="V89" i="97" s="1"/>
  <c r="T90" i="97"/>
  <c r="V90" i="97" s="1"/>
  <c r="T91" i="97"/>
  <c r="V91" i="97" s="1"/>
  <c r="T92" i="97"/>
  <c r="V92" i="97" s="1"/>
  <c r="T93" i="97"/>
  <c r="V93" i="97" s="1"/>
  <c r="T94" i="97"/>
  <c r="V94" i="97" s="1"/>
  <c r="T95" i="97"/>
  <c r="V95" i="97" s="1"/>
  <c r="T96" i="97"/>
  <c r="V96" i="97" s="1"/>
  <c r="T97" i="97"/>
  <c r="V97" i="97" s="1"/>
  <c r="T98" i="97"/>
  <c r="V98" i="97" s="1"/>
  <c r="T99" i="97"/>
  <c r="V99" i="97" s="1"/>
  <c r="T100" i="97"/>
  <c r="V100" i="97" s="1"/>
  <c r="T101" i="97"/>
  <c r="V101" i="97" s="1"/>
  <c r="T102" i="97"/>
  <c r="V102" i="97" s="1"/>
  <c r="T103" i="97"/>
  <c r="V103" i="97" s="1"/>
  <c r="T104" i="97"/>
  <c r="V104" i="97" s="1"/>
  <c r="T105" i="97"/>
  <c r="V105" i="97" s="1"/>
  <c r="T106" i="97"/>
  <c r="T107" i="97"/>
  <c r="T108" i="97"/>
  <c r="T109" i="97"/>
  <c r="T110" i="97"/>
  <c r="T111" i="97"/>
  <c r="V111" i="97" s="1"/>
  <c r="T112" i="97"/>
  <c r="V112" i="97" s="1"/>
  <c r="T113" i="97"/>
  <c r="V113" i="97" s="1"/>
  <c r="T114" i="97"/>
  <c r="V114" i="97" s="1"/>
  <c r="T115" i="97"/>
  <c r="V115" i="97" s="1"/>
  <c r="T116" i="97"/>
  <c r="V116" i="97" s="1"/>
  <c r="T117" i="97"/>
  <c r="V117" i="97" s="1"/>
  <c r="T118" i="97"/>
  <c r="V118" i="97" s="1"/>
  <c r="T119" i="97"/>
  <c r="V119" i="97" s="1"/>
  <c r="T120" i="97"/>
  <c r="V120" i="97" s="1"/>
  <c r="T121" i="97"/>
  <c r="V121" i="97" s="1"/>
  <c r="T122" i="97"/>
  <c r="V122" i="97" s="1"/>
  <c r="T123" i="97"/>
  <c r="V123" i="97" s="1"/>
  <c r="T124" i="97"/>
  <c r="V124" i="97" s="1"/>
  <c r="T125" i="97"/>
  <c r="V125" i="97" s="1"/>
  <c r="T126" i="97"/>
  <c r="V126" i="97" s="1"/>
  <c r="T127" i="97"/>
  <c r="V127" i="97" s="1"/>
  <c r="T128" i="97"/>
  <c r="V128" i="97" s="1"/>
  <c r="T129" i="97"/>
  <c r="V129" i="97" s="1"/>
  <c r="T130" i="97"/>
  <c r="V130" i="97" s="1"/>
  <c r="T131" i="97"/>
  <c r="V131" i="97" s="1"/>
  <c r="T132" i="97"/>
  <c r="V132" i="97" s="1"/>
  <c r="T133" i="97"/>
  <c r="V133" i="97" s="1"/>
  <c r="T134" i="97"/>
  <c r="V134" i="97" s="1"/>
  <c r="T135" i="97"/>
  <c r="V135" i="97" s="1"/>
  <c r="T136" i="97"/>
  <c r="V136" i="97" s="1"/>
  <c r="T137" i="97"/>
  <c r="V137" i="97" s="1"/>
  <c r="T138" i="97"/>
  <c r="V138" i="97" s="1"/>
  <c r="T139" i="97"/>
  <c r="V139" i="97" s="1"/>
  <c r="T140" i="97"/>
  <c r="V140" i="97" s="1"/>
  <c r="T141" i="97"/>
  <c r="V141" i="97" s="1"/>
  <c r="T142" i="97"/>
  <c r="V142" i="97" s="1"/>
  <c r="T143" i="97"/>
  <c r="V143" i="97" s="1"/>
  <c r="T144" i="97"/>
  <c r="V144" i="97" s="1"/>
  <c r="T145" i="97"/>
  <c r="V145" i="97" s="1"/>
  <c r="T146" i="97"/>
  <c r="V146" i="97" s="1"/>
  <c r="T147" i="97"/>
  <c r="V147" i="97" s="1"/>
  <c r="T148" i="97"/>
  <c r="V148" i="97" s="1"/>
  <c r="T149" i="97"/>
  <c r="V149" i="97" s="1"/>
  <c r="T150" i="97"/>
  <c r="V150" i="97" s="1"/>
  <c r="T151" i="97"/>
  <c r="V151" i="97" s="1"/>
  <c r="T152" i="97"/>
  <c r="V152" i="97" s="1"/>
  <c r="T153" i="97"/>
  <c r="V153" i="97" s="1"/>
  <c r="T154" i="97"/>
  <c r="V154" i="97" s="1"/>
  <c r="T155" i="97"/>
  <c r="V155" i="97" s="1"/>
  <c r="T156" i="97"/>
  <c r="V156" i="97" s="1"/>
  <c r="T157" i="97"/>
  <c r="V157" i="97" s="1"/>
  <c r="T158" i="97"/>
  <c r="V158" i="97" s="1"/>
  <c r="T159" i="97"/>
  <c r="V159" i="97" s="1"/>
  <c r="T160" i="97"/>
  <c r="V160" i="97" s="1"/>
  <c r="T161" i="97"/>
  <c r="V161" i="97" s="1"/>
  <c r="T162" i="97"/>
  <c r="V162" i="97" s="1"/>
  <c r="T163" i="97"/>
  <c r="V163" i="97" s="1"/>
  <c r="T164" i="97"/>
  <c r="V164" i="97" s="1"/>
  <c r="T165" i="97"/>
  <c r="V165" i="97" s="1"/>
  <c r="T166" i="97"/>
  <c r="V166" i="97" s="1"/>
  <c r="T167" i="97"/>
  <c r="V167" i="97" s="1"/>
  <c r="T168" i="97"/>
  <c r="V168" i="97" s="1"/>
  <c r="T169" i="97"/>
  <c r="V169" i="97" s="1"/>
  <c r="T170" i="97"/>
  <c r="V170" i="97" s="1"/>
  <c r="T171" i="97"/>
  <c r="V171" i="97" s="1"/>
  <c r="T172" i="97"/>
  <c r="V172" i="97" s="1"/>
  <c r="T173" i="97"/>
  <c r="V173" i="97" s="1"/>
  <c r="T174" i="97"/>
  <c r="V174" i="97" s="1"/>
  <c r="T175" i="97"/>
  <c r="V175" i="97" s="1"/>
  <c r="T176" i="97"/>
  <c r="V176" i="97" s="1"/>
  <c r="T177" i="97"/>
  <c r="V177" i="97" s="1"/>
  <c r="T178" i="97"/>
  <c r="V178" i="97" s="1"/>
  <c r="T179" i="97"/>
  <c r="V179" i="97" s="1"/>
  <c r="T180" i="97"/>
  <c r="V180" i="97" s="1"/>
  <c r="T181" i="97"/>
  <c r="V181" i="97" s="1"/>
  <c r="T182" i="97"/>
  <c r="V182" i="97" s="1"/>
  <c r="T183" i="97"/>
  <c r="V183" i="97" s="1"/>
  <c r="T184" i="97"/>
  <c r="V184" i="97" s="1"/>
  <c r="T185" i="97"/>
  <c r="V185" i="97" s="1"/>
  <c r="T186" i="97"/>
  <c r="V186" i="97" s="1"/>
  <c r="T187" i="97"/>
  <c r="V187" i="97" s="1"/>
  <c r="T188" i="97"/>
  <c r="V188" i="97" s="1"/>
  <c r="T189" i="97"/>
  <c r="V189" i="97" s="1"/>
  <c r="T190" i="97"/>
  <c r="V190" i="97" s="1"/>
  <c r="T191" i="97"/>
  <c r="V191" i="97" s="1"/>
  <c r="T192" i="97"/>
  <c r="V192" i="97" s="1"/>
  <c r="T193" i="97"/>
  <c r="V193" i="97" s="1"/>
  <c r="T194" i="97"/>
  <c r="V194" i="97" s="1"/>
  <c r="T195" i="97"/>
  <c r="V195" i="97" s="1"/>
  <c r="T196" i="97"/>
  <c r="V196" i="97" s="1"/>
  <c r="T197" i="97"/>
  <c r="V197" i="97" s="1"/>
  <c r="T198" i="97"/>
  <c r="V198" i="97" s="1"/>
  <c r="T199" i="97"/>
  <c r="V199" i="97" s="1"/>
  <c r="T200" i="97"/>
  <c r="V200" i="97" s="1"/>
  <c r="T201" i="97"/>
  <c r="V201" i="97" s="1"/>
  <c r="T202" i="97"/>
  <c r="V202" i="97" s="1"/>
  <c r="T203" i="97"/>
  <c r="V203" i="97" s="1"/>
  <c r="T204" i="97"/>
  <c r="V204" i="97" s="1"/>
  <c r="T205" i="97"/>
  <c r="V205" i="97" s="1"/>
  <c r="T206" i="97"/>
  <c r="V206" i="97" s="1"/>
  <c r="T207" i="97"/>
  <c r="V207" i="97" s="1"/>
  <c r="T208" i="97"/>
  <c r="V208" i="97" s="1"/>
  <c r="T209" i="97"/>
  <c r="V209" i="97" s="1"/>
  <c r="T210" i="97"/>
  <c r="V210" i="97" s="1"/>
  <c r="T211" i="97"/>
  <c r="V211" i="97" s="1"/>
  <c r="T212" i="97"/>
  <c r="V212" i="97" s="1"/>
  <c r="T213" i="97"/>
  <c r="V213" i="97" s="1"/>
  <c r="T214" i="97"/>
  <c r="V214" i="97" s="1"/>
  <c r="T215" i="97"/>
  <c r="V215" i="97" s="1"/>
  <c r="T216" i="97"/>
  <c r="V216" i="97" s="1"/>
  <c r="T217" i="97"/>
  <c r="V217" i="97" s="1"/>
  <c r="T218" i="97"/>
  <c r="V218" i="97" s="1"/>
  <c r="T219" i="97"/>
  <c r="V219" i="97" s="1"/>
  <c r="T220" i="97"/>
  <c r="V220" i="97" s="1"/>
  <c r="T221" i="97"/>
  <c r="V221" i="97" s="1"/>
  <c r="T222" i="97"/>
  <c r="V222" i="97" s="1"/>
  <c r="T223" i="97"/>
  <c r="V223" i="97" s="1"/>
  <c r="T224" i="97"/>
  <c r="V224" i="97" s="1"/>
  <c r="T225" i="97"/>
  <c r="V225" i="97" s="1"/>
  <c r="T226" i="97"/>
  <c r="V226" i="97" s="1"/>
  <c r="T227" i="97"/>
  <c r="V227" i="97" s="1"/>
  <c r="T228" i="97"/>
  <c r="V228" i="97" s="1"/>
  <c r="T229" i="97"/>
  <c r="V229" i="97" s="1"/>
  <c r="T230" i="97"/>
  <c r="V230" i="97" s="1"/>
  <c r="T231" i="97"/>
  <c r="V231" i="97" s="1"/>
  <c r="T232" i="97"/>
  <c r="V232" i="97" s="1"/>
  <c r="T233" i="97"/>
  <c r="V233" i="97" s="1"/>
  <c r="T234" i="97"/>
  <c r="V234" i="97" s="1"/>
  <c r="T235" i="97"/>
  <c r="V235" i="97" s="1"/>
  <c r="T236" i="97"/>
  <c r="V236" i="97" s="1"/>
  <c r="T237" i="97"/>
  <c r="V237" i="97" s="1"/>
  <c r="T238" i="97"/>
  <c r="V238" i="97" s="1"/>
  <c r="T239" i="97"/>
  <c r="V239" i="97" s="1"/>
  <c r="T240" i="97"/>
  <c r="V240" i="97" s="1"/>
  <c r="T241" i="97"/>
  <c r="V241" i="97" s="1"/>
  <c r="T242" i="97"/>
  <c r="V242" i="97" s="1"/>
  <c r="T243" i="97"/>
  <c r="V243" i="97" s="1"/>
  <c r="T244" i="97"/>
  <c r="V244" i="97" s="1"/>
  <c r="T245" i="97"/>
  <c r="V245" i="97" s="1"/>
  <c r="T246" i="97"/>
  <c r="V246" i="97" s="1"/>
  <c r="T247" i="97"/>
  <c r="V247" i="97" s="1"/>
  <c r="T248" i="97"/>
  <c r="V248" i="97" s="1"/>
  <c r="T249" i="97"/>
  <c r="V249" i="97" s="1"/>
  <c r="T250" i="97"/>
  <c r="V250" i="97" s="1"/>
  <c r="T251" i="97"/>
  <c r="V251" i="97" s="1"/>
  <c r="T252" i="97"/>
  <c r="V252" i="97" s="1"/>
  <c r="T253" i="97"/>
  <c r="V253" i="97" s="1"/>
  <c r="T254" i="97"/>
  <c r="V254" i="97" s="1"/>
  <c r="T255" i="97"/>
  <c r="V255" i="97" s="1"/>
  <c r="T256" i="97"/>
  <c r="V256" i="97" s="1"/>
  <c r="T257" i="97"/>
  <c r="V257" i="97" s="1"/>
  <c r="T258" i="97"/>
  <c r="V258" i="97" s="1"/>
  <c r="T259" i="97"/>
  <c r="V259" i="97" s="1"/>
  <c r="T260" i="97"/>
  <c r="V260" i="97" s="1"/>
  <c r="T261" i="97"/>
  <c r="V261" i="97" s="1"/>
  <c r="T262" i="97"/>
  <c r="V262" i="97" s="1"/>
  <c r="T263" i="97"/>
  <c r="V263" i="97" s="1"/>
  <c r="T264" i="97"/>
  <c r="V264" i="97" s="1"/>
  <c r="T265" i="97"/>
  <c r="V265" i="97" s="1"/>
  <c r="T266" i="97"/>
  <c r="V266" i="97" s="1"/>
  <c r="T267" i="97"/>
  <c r="V267" i="97" s="1"/>
  <c r="T268" i="97"/>
  <c r="V268" i="97" s="1"/>
  <c r="T269" i="97"/>
  <c r="V269" i="97" s="1"/>
  <c r="T270" i="97"/>
  <c r="V270" i="97" s="1"/>
  <c r="T271" i="97"/>
  <c r="V271" i="97" s="1"/>
  <c r="T272" i="97"/>
  <c r="V272" i="97" s="1"/>
  <c r="T273" i="97"/>
  <c r="V273" i="97" s="1"/>
  <c r="T274" i="97"/>
  <c r="V274" i="97" s="1"/>
  <c r="T275" i="97"/>
  <c r="V275" i="97" s="1"/>
  <c r="T276" i="97"/>
  <c r="V276" i="97" s="1"/>
  <c r="T277" i="97"/>
  <c r="V277" i="97" s="1"/>
  <c r="T278" i="97"/>
  <c r="V278" i="97" s="1"/>
  <c r="T279" i="97"/>
  <c r="V279" i="97" s="1"/>
  <c r="T280" i="97"/>
  <c r="V280" i="97" s="1"/>
  <c r="T281" i="97"/>
  <c r="V281" i="97" s="1"/>
  <c r="T282" i="97"/>
  <c r="V282" i="97" s="1"/>
  <c r="T283" i="97"/>
  <c r="V283" i="97" s="1"/>
  <c r="T284" i="97"/>
  <c r="V284" i="97" s="1"/>
  <c r="T285" i="97"/>
  <c r="V285" i="97" s="1"/>
  <c r="T286" i="97"/>
  <c r="V286" i="97" s="1"/>
  <c r="T287" i="97"/>
  <c r="V287" i="97" s="1"/>
  <c r="T288" i="97"/>
  <c r="V288" i="97" s="1"/>
  <c r="T289" i="97"/>
  <c r="V289" i="97" s="1"/>
  <c r="T290" i="97"/>
  <c r="V290" i="97" s="1"/>
  <c r="T291" i="97"/>
  <c r="V291" i="97" s="1"/>
  <c r="T292" i="97"/>
  <c r="V292" i="97" s="1"/>
  <c r="T293" i="97"/>
  <c r="V293" i="97" s="1"/>
  <c r="T294" i="97"/>
  <c r="V294" i="97" s="1"/>
  <c r="T295" i="97"/>
  <c r="V295" i="97" s="1"/>
  <c r="T296" i="97"/>
  <c r="V296" i="97" s="1"/>
  <c r="T297" i="97"/>
  <c r="V297" i="97" s="1"/>
  <c r="T298" i="97"/>
  <c r="V298" i="97" s="1"/>
  <c r="T299" i="97"/>
  <c r="V299" i="97" s="1"/>
  <c r="T300" i="97"/>
  <c r="V300" i="97" s="1"/>
  <c r="T301" i="97"/>
  <c r="V301" i="97" s="1"/>
  <c r="T302" i="97"/>
  <c r="V302" i="97" s="1"/>
  <c r="T303" i="97"/>
  <c r="V303" i="97" s="1"/>
  <c r="T304" i="97"/>
  <c r="V304" i="97" s="1"/>
  <c r="T305" i="97"/>
  <c r="V305" i="97" s="1"/>
  <c r="T306" i="97"/>
  <c r="V306" i="97" s="1"/>
  <c r="T307" i="97"/>
  <c r="V307" i="97" s="1"/>
  <c r="T308" i="97"/>
  <c r="V308" i="97" s="1"/>
  <c r="T309" i="97"/>
  <c r="V309" i="97" s="1"/>
  <c r="T310" i="97"/>
  <c r="V310" i="97" s="1"/>
  <c r="T311" i="97"/>
  <c r="V311" i="97" s="1"/>
  <c r="T312" i="97"/>
  <c r="V312" i="97" s="1"/>
  <c r="T313" i="97"/>
  <c r="V313" i="97" s="1"/>
  <c r="T314" i="97"/>
  <c r="V314" i="97" s="1"/>
  <c r="T315" i="97"/>
  <c r="V315" i="97" s="1"/>
  <c r="T316" i="97"/>
  <c r="V316" i="97" s="1"/>
  <c r="T317" i="97"/>
  <c r="V317" i="97" s="1"/>
  <c r="T318" i="97"/>
  <c r="V318" i="97" s="1"/>
  <c r="T319" i="97"/>
  <c r="V319" i="97" s="1"/>
  <c r="T320" i="97"/>
  <c r="V320" i="97" s="1"/>
  <c r="T321" i="97"/>
  <c r="V321" i="97" s="1"/>
  <c r="T322" i="97"/>
  <c r="V322" i="97" s="1"/>
  <c r="T323" i="97"/>
  <c r="V323" i="97" s="1"/>
  <c r="T324" i="97"/>
  <c r="V324" i="97" s="1"/>
  <c r="T325" i="97"/>
  <c r="V325" i="97" s="1"/>
  <c r="T326" i="97"/>
  <c r="V326" i="97" s="1"/>
  <c r="T327" i="97"/>
  <c r="V327" i="97" s="1"/>
  <c r="T328" i="97"/>
  <c r="V328" i="97" s="1"/>
  <c r="T329" i="97"/>
  <c r="V329" i="97" s="1"/>
  <c r="T330" i="97"/>
  <c r="V330" i="97" s="1"/>
  <c r="T331" i="97"/>
  <c r="V331" i="97" s="1"/>
  <c r="T332" i="97"/>
  <c r="V332" i="97" s="1"/>
  <c r="T333" i="97"/>
  <c r="V333" i="97" s="1"/>
  <c r="T334" i="97"/>
  <c r="V334" i="97" s="1"/>
  <c r="T335" i="97"/>
  <c r="V335" i="97" s="1"/>
  <c r="T336" i="97"/>
  <c r="V336" i="97" s="1"/>
  <c r="T337" i="97"/>
  <c r="V337" i="97" s="1"/>
  <c r="T338" i="97"/>
  <c r="V338" i="97" s="1"/>
  <c r="T339" i="97"/>
  <c r="V339" i="97" s="1"/>
  <c r="T340" i="97"/>
  <c r="V340" i="97" s="1"/>
  <c r="T341" i="97"/>
  <c r="V341" i="97" s="1"/>
  <c r="T342" i="97"/>
  <c r="V342" i="97" s="1"/>
  <c r="T343" i="97"/>
  <c r="V343" i="97" s="1"/>
  <c r="T344" i="97"/>
  <c r="V344" i="97" s="1"/>
  <c r="T345" i="97"/>
  <c r="V345" i="97" s="1"/>
  <c r="T346" i="97"/>
  <c r="V346" i="97" s="1"/>
  <c r="T347" i="97"/>
  <c r="V347" i="97" s="1"/>
  <c r="T348" i="97"/>
  <c r="V348" i="97" s="1"/>
  <c r="T349" i="97"/>
  <c r="V349" i="97" s="1"/>
  <c r="T350" i="97"/>
  <c r="V350" i="97" s="1"/>
  <c r="T351" i="97"/>
  <c r="V351" i="97" s="1"/>
  <c r="T352" i="97"/>
  <c r="V352" i="97" s="1"/>
  <c r="T353" i="97"/>
  <c r="V353" i="97" s="1"/>
  <c r="T354" i="97"/>
  <c r="V354" i="97" s="1"/>
  <c r="T355" i="97"/>
  <c r="V355" i="97" s="1"/>
  <c r="T356" i="97"/>
  <c r="V356" i="97" s="1"/>
  <c r="T357" i="97"/>
  <c r="V357" i="97" s="1"/>
  <c r="T358" i="97"/>
  <c r="V358" i="97" s="1"/>
  <c r="T359" i="97"/>
  <c r="V359" i="97" s="1"/>
  <c r="T360" i="97"/>
  <c r="V360" i="97" s="1"/>
  <c r="T361" i="97"/>
  <c r="V361" i="97" s="1"/>
  <c r="T362" i="97"/>
  <c r="V362" i="97" s="1"/>
  <c r="T363" i="97"/>
  <c r="V363" i="97" s="1"/>
  <c r="T364" i="97"/>
  <c r="V364" i="97" s="1"/>
  <c r="T365" i="97"/>
  <c r="V365" i="97" s="1"/>
  <c r="T366" i="97"/>
  <c r="V366" i="97" s="1"/>
  <c r="T367" i="97"/>
  <c r="V367" i="97" s="1"/>
  <c r="T368" i="97"/>
  <c r="V368" i="97" s="1"/>
  <c r="T369" i="97"/>
  <c r="V369" i="97" s="1"/>
  <c r="T370" i="97"/>
  <c r="V370" i="97" s="1"/>
  <c r="T371" i="97"/>
  <c r="V371" i="97" s="1"/>
  <c r="T372" i="97"/>
  <c r="V372" i="97" s="1"/>
  <c r="T373" i="97"/>
  <c r="V373" i="97" s="1"/>
  <c r="T374" i="97"/>
  <c r="V374" i="97" s="1"/>
  <c r="T375" i="97"/>
  <c r="V375" i="97" s="1"/>
  <c r="T376" i="97"/>
  <c r="V376" i="97" s="1"/>
  <c r="T377" i="97"/>
  <c r="V377" i="97" s="1"/>
  <c r="T378" i="97"/>
  <c r="V378" i="97" s="1"/>
  <c r="T379" i="97"/>
  <c r="V379" i="97" s="1"/>
  <c r="T380" i="97"/>
  <c r="V380" i="97" s="1"/>
  <c r="T381" i="97"/>
  <c r="V381" i="97" s="1"/>
  <c r="T382" i="97"/>
  <c r="V382" i="97" s="1"/>
  <c r="T383" i="97"/>
  <c r="V383" i="97" s="1"/>
  <c r="T384" i="97"/>
  <c r="V384" i="97" s="1"/>
  <c r="T385" i="97"/>
  <c r="V385" i="97" s="1"/>
  <c r="T386" i="97"/>
  <c r="V386" i="97" s="1"/>
  <c r="T387" i="97"/>
  <c r="V387" i="97" s="1"/>
  <c r="T388" i="97"/>
  <c r="V388" i="97" s="1"/>
  <c r="T389" i="97"/>
  <c r="V389" i="97" s="1"/>
  <c r="T390" i="97"/>
  <c r="V390" i="97" s="1"/>
  <c r="T391" i="97"/>
  <c r="V391" i="97" s="1"/>
  <c r="T392" i="97"/>
  <c r="V392" i="97" s="1"/>
  <c r="T393" i="97"/>
  <c r="V393" i="97" s="1"/>
  <c r="T394" i="97"/>
  <c r="V394" i="97" s="1"/>
  <c r="T395" i="97"/>
  <c r="V395" i="97" s="1"/>
  <c r="T396" i="97"/>
  <c r="V396" i="97" s="1"/>
  <c r="T397" i="97"/>
  <c r="V397" i="97" s="1"/>
  <c r="T398" i="97"/>
  <c r="V398" i="97" s="1"/>
  <c r="T399" i="97"/>
  <c r="V399" i="97" s="1"/>
  <c r="T400" i="97"/>
  <c r="V400" i="97" s="1"/>
  <c r="T401" i="97"/>
  <c r="V401" i="97" s="1"/>
  <c r="T402" i="97"/>
  <c r="V402" i="97" s="1"/>
  <c r="T403" i="97"/>
  <c r="V403" i="97" s="1"/>
  <c r="T404" i="97"/>
  <c r="V404" i="97" s="1"/>
  <c r="T405" i="97"/>
  <c r="V405" i="97" s="1"/>
  <c r="T406" i="97"/>
  <c r="V406" i="97" s="1"/>
  <c r="T407" i="97"/>
  <c r="V407" i="97" s="1"/>
  <c r="T408" i="97"/>
  <c r="V408" i="97" s="1"/>
  <c r="T409" i="97"/>
  <c r="V409" i="97" s="1"/>
  <c r="T410" i="97"/>
  <c r="V410" i="97" s="1"/>
  <c r="T411" i="97"/>
  <c r="V411" i="97" s="1"/>
  <c r="T412" i="97"/>
  <c r="V412" i="97" s="1"/>
  <c r="T413" i="97"/>
  <c r="V413" i="97" s="1"/>
  <c r="T414" i="97"/>
  <c r="V414" i="97" s="1"/>
  <c r="T415" i="97"/>
  <c r="V415" i="97" s="1"/>
  <c r="T416" i="97"/>
  <c r="V416" i="97" s="1"/>
  <c r="T417" i="97"/>
  <c r="V417" i="97" s="1"/>
  <c r="T418" i="97"/>
  <c r="V418" i="97" s="1"/>
  <c r="T419" i="97"/>
  <c r="V419" i="97" s="1"/>
  <c r="T420" i="97"/>
  <c r="V420" i="97" s="1"/>
  <c r="T421" i="97"/>
  <c r="V421" i="97" s="1"/>
  <c r="T422" i="97"/>
  <c r="V422" i="97" s="1"/>
  <c r="T4" i="97"/>
  <c r="V4" i="97" s="1"/>
  <c r="Z3" i="50" l="1"/>
  <c r="R3" i="50"/>
  <c r="H13" i="64" l="1"/>
  <c r="I13" i="64"/>
  <c r="J13" i="64"/>
  <c r="K13" i="64"/>
  <c r="H33" i="64"/>
  <c r="I33" i="64"/>
  <c r="J33" i="64"/>
  <c r="K33" i="64"/>
  <c r="Z13" i="64" l="1"/>
  <c r="AK13" i="64" s="1"/>
  <c r="AA13" i="64"/>
  <c r="AL13" i="64" s="1"/>
  <c r="AB13" i="64"/>
  <c r="AM13" i="64" s="1"/>
  <c r="AC13" i="64"/>
  <c r="AN13" i="64" s="1"/>
  <c r="Z33" i="64"/>
  <c r="AK33" i="64" s="1"/>
  <c r="AA33" i="64"/>
  <c r="AL33" i="64" s="1"/>
  <c r="AB33" i="64"/>
  <c r="AM33" i="64" s="1"/>
  <c r="AC33" i="64"/>
  <c r="AN33" i="64" s="1"/>
  <c r="Q13" i="64"/>
  <c r="U13" i="64" s="1"/>
  <c r="R13" i="64"/>
  <c r="V13" i="64" s="1"/>
  <c r="S13" i="64"/>
  <c r="W13" i="64" s="1"/>
  <c r="T13" i="64"/>
  <c r="X13" i="64" s="1"/>
  <c r="Q33" i="64"/>
  <c r="U33" i="64" s="1"/>
  <c r="R33" i="64"/>
  <c r="V33" i="64" s="1"/>
  <c r="S33" i="64"/>
  <c r="W33" i="64" s="1"/>
  <c r="T33" i="64"/>
  <c r="X33" i="64" s="1"/>
  <c r="C13" i="64"/>
  <c r="L13" i="64" s="1"/>
  <c r="D13" i="64"/>
  <c r="M13" i="64" s="1"/>
  <c r="E13" i="64"/>
  <c r="N13" i="64" s="1"/>
  <c r="F13" i="64"/>
  <c r="O13" i="64" s="1"/>
  <c r="C33" i="64"/>
  <c r="L33" i="64" s="1"/>
  <c r="D33" i="64"/>
  <c r="M33" i="64" s="1"/>
  <c r="E33" i="64"/>
  <c r="N33" i="64" s="1"/>
  <c r="F33" i="64"/>
  <c r="O33" i="64" s="1"/>
  <c r="AD13" i="64" l="1"/>
  <c r="AE33" i="64"/>
  <c r="AE13" i="64"/>
  <c r="AF33" i="64"/>
  <c r="AF13" i="64"/>
  <c r="AD33" i="64"/>
  <c r="AG33" i="64"/>
  <c r="AG13" i="64"/>
  <c r="AU49" i="64" l="1"/>
  <c r="AT7" i="64"/>
  <c r="AT8" i="64"/>
  <c r="AT9" i="64"/>
  <c r="AT10" i="64"/>
  <c r="AT11" i="64"/>
  <c r="AT12" i="64"/>
  <c r="AT13" i="64"/>
  <c r="BC13" i="64" s="1"/>
  <c r="AT14" i="64"/>
  <c r="AT15" i="64"/>
  <c r="AT16" i="64"/>
  <c r="AT17" i="64"/>
  <c r="AT18" i="64"/>
  <c r="AT19" i="64"/>
  <c r="AT20" i="64"/>
  <c r="AT21" i="64"/>
  <c r="AT22" i="64"/>
  <c r="AT23" i="64"/>
  <c r="AT24" i="64"/>
  <c r="AT25" i="64"/>
  <c r="AT26" i="64"/>
  <c r="AT27" i="64"/>
  <c r="AT28" i="64"/>
  <c r="AU7" i="64"/>
  <c r="AU8" i="64"/>
  <c r="AU9" i="64"/>
  <c r="AU10" i="64"/>
  <c r="AU11" i="64"/>
  <c r="AU12" i="64"/>
  <c r="AU13" i="64"/>
  <c r="BD13" i="64" s="1"/>
  <c r="AU14" i="64"/>
  <c r="AU15" i="64"/>
  <c r="AU16" i="64"/>
  <c r="AU17" i="64"/>
  <c r="AU18" i="64"/>
  <c r="AU19" i="64"/>
  <c r="AU20" i="64"/>
  <c r="AU21" i="64"/>
  <c r="AU22" i="64"/>
  <c r="AU23" i="64"/>
  <c r="AU24" i="64"/>
  <c r="AU25" i="64"/>
  <c r="AU26" i="64"/>
  <c r="AU27" i="64"/>
  <c r="AU28" i="64"/>
  <c r="AU29" i="64"/>
  <c r="AU30" i="64"/>
  <c r="AU31" i="64"/>
  <c r="AU32" i="64"/>
  <c r="AU33" i="64"/>
  <c r="BD33" i="64" s="1"/>
  <c r="AU34" i="64"/>
  <c r="AV7" i="64"/>
  <c r="AV8" i="64"/>
  <c r="AV9" i="64"/>
  <c r="AV10" i="64"/>
  <c r="AV11" i="64"/>
  <c r="AV12" i="64"/>
  <c r="AV13" i="64"/>
  <c r="BE13" i="64" s="1"/>
  <c r="AV14" i="64"/>
  <c r="AV15" i="64"/>
  <c r="AV16" i="64"/>
  <c r="AV17" i="64"/>
  <c r="AV18" i="64"/>
  <c r="AV19" i="64"/>
  <c r="AV20" i="64"/>
  <c r="AV21" i="64"/>
  <c r="AV22" i="64"/>
  <c r="AV23" i="64"/>
  <c r="AV24" i="64"/>
  <c r="AV25" i="64"/>
  <c r="AV26" i="64"/>
  <c r="AV27" i="64"/>
  <c r="AV28" i="64"/>
  <c r="AV29" i="64"/>
  <c r="AV30" i="64"/>
  <c r="AV31" i="64"/>
  <c r="AV32" i="64"/>
  <c r="AV33" i="64"/>
  <c r="BE33" i="64" s="1"/>
  <c r="AV34" i="64"/>
  <c r="AV35" i="64"/>
  <c r="AV36" i="64"/>
  <c r="AV37" i="64"/>
  <c r="AV38" i="64"/>
  <c r="AV39" i="64"/>
  <c r="AV40" i="64"/>
  <c r="AV41" i="64"/>
  <c r="AV42" i="64"/>
  <c r="AV43" i="64"/>
  <c r="AV44" i="64"/>
  <c r="AV45" i="64"/>
  <c r="AV46" i="64"/>
  <c r="AV47" i="64"/>
  <c r="AV48" i="64"/>
  <c r="AV49" i="64"/>
  <c r="AV50" i="64"/>
  <c r="AV51" i="64"/>
  <c r="AV52" i="64"/>
  <c r="AV53" i="64"/>
  <c r="AV54" i="64"/>
  <c r="AV55" i="64"/>
  <c r="AV56" i="64"/>
  <c r="AV57" i="64"/>
  <c r="AV58" i="64"/>
  <c r="AV59" i="64"/>
  <c r="AV60" i="64"/>
  <c r="AV61" i="64"/>
  <c r="BE61" i="64" s="1"/>
  <c r="AU6" i="64"/>
  <c r="AW7" i="64"/>
  <c r="AW8" i="64"/>
  <c r="AW9" i="64"/>
  <c r="AW10" i="64"/>
  <c r="AW11" i="64"/>
  <c r="AW12" i="64"/>
  <c r="AW13" i="64"/>
  <c r="BF13" i="64" s="1"/>
  <c r="AW14" i="64"/>
  <c r="AW15" i="64"/>
  <c r="AW16" i="64"/>
  <c r="AW17" i="64"/>
  <c r="AW18" i="64"/>
  <c r="AW19" i="64"/>
  <c r="AW20" i="64"/>
  <c r="AW21" i="64"/>
  <c r="AW22" i="64"/>
  <c r="AW23" i="64"/>
  <c r="AW24" i="64"/>
  <c r="AW25" i="64"/>
  <c r="AW26" i="64"/>
  <c r="AW27" i="64"/>
  <c r="AW28" i="64"/>
  <c r="AW29" i="64"/>
  <c r="AW30" i="64"/>
  <c r="AW31" i="64"/>
  <c r="AW32" i="64"/>
  <c r="AW33" i="64"/>
  <c r="BF33" i="64" s="1"/>
  <c r="AW34" i="64"/>
  <c r="AW35" i="64"/>
  <c r="AT6" i="64"/>
  <c r="AT60" i="64"/>
  <c r="AW58" i="64"/>
  <c r="AU57" i="64"/>
  <c r="AW54" i="64"/>
  <c r="AU53" i="64"/>
  <c r="AT52" i="64"/>
  <c r="AW50" i="64"/>
  <c r="AV6" i="64"/>
  <c r="AT61" i="64"/>
  <c r="BC61" i="64" s="1"/>
  <c r="AW59" i="64"/>
  <c r="AU58" i="64"/>
  <c r="AT57" i="64"/>
  <c r="AW55" i="64"/>
  <c r="AU54" i="64"/>
  <c r="AT53" i="64"/>
  <c r="AW51" i="64"/>
  <c r="AU50" i="64"/>
  <c r="AT49" i="64"/>
  <c r="AW47" i="64"/>
  <c r="AU46" i="64"/>
  <c r="AT45" i="64"/>
  <c r="AW43" i="64"/>
  <c r="AU42" i="64"/>
  <c r="AT41" i="64"/>
  <c r="AW39" i="64"/>
  <c r="AU38" i="64"/>
  <c r="AT37" i="64"/>
  <c r="AU35" i="64"/>
  <c r="AT32" i="64"/>
  <c r="AW6" i="64"/>
  <c r="AW60" i="64"/>
  <c r="AU59" i="64"/>
  <c r="AT58" i="64"/>
  <c r="AW56" i="64"/>
  <c r="AU55" i="64"/>
  <c r="AT54" i="64"/>
  <c r="AW52" i="64"/>
  <c r="AU51" i="64"/>
  <c r="AT50" i="64"/>
  <c r="AW48" i="64"/>
  <c r="AU47" i="64"/>
  <c r="AT46" i="64"/>
  <c r="AW44" i="64"/>
  <c r="AU43" i="64"/>
  <c r="AT42" i="64"/>
  <c r="AW40" i="64"/>
  <c r="AU39" i="64"/>
  <c r="AT38" i="64"/>
  <c r="AW36" i="64"/>
  <c r="AT35" i="64"/>
  <c r="AT31" i="64"/>
  <c r="AU61" i="64"/>
  <c r="BD61" i="64" s="1"/>
  <c r="AT56" i="64"/>
  <c r="AW61" i="64"/>
  <c r="BF61" i="64" s="1"/>
  <c r="AU60" i="64"/>
  <c r="AT59" i="64"/>
  <c r="AW57" i="64"/>
  <c r="AU56" i="64"/>
  <c r="AT55" i="64"/>
  <c r="AW53" i="64"/>
  <c r="AU52" i="64"/>
  <c r="AT51" i="64"/>
  <c r="AW49" i="64"/>
  <c r="AU48" i="64"/>
  <c r="AT47" i="64"/>
  <c r="AW45" i="64"/>
  <c r="AU44" i="64"/>
  <c r="AT43" i="64"/>
  <c r="AW41" i="64"/>
  <c r="AU40" i="64"/>
  <c r="AT39" i="64"/>
  <c r="AW37" i="64"/>
  <c r="AU36" i="64"/>
  <c r="AT34" i="64"/>
  <c r="AT30" i="64"/>
  <c r="AT48" i="64"/>
  <c r="AW46" i="64"/>
  <c r="AU45" i="64"/>
  <c r="AT44" i="64"/>
  <c r="AW42" i="64"/>
  <c r="AU41" i="64"/>
  <c r="AT40" i="64"/>
  <c r="AW38" i="64"/>
  <c r="AU37" i="64"/>
  <c r="AT36" i="64"/>
  <c r="AT33" i="64"/>
  <c r="BC33" i="64" s="1"/>
  <c r="AT29" i="64"/>
  <c r="BM13" i="64" l="1"/>
  <c r="BS13" i="64" s="1"/>
  <c r="N12" i="82" s="1"/>
  <c r="AO13" i="64"/>
  <c r="AP33" i="64"/>
  <c r="AO33" i="64"/>
  <c r="AQ33" i="64"/>
  <c r="AR13" i="64"/>
  <c r="AR33" i="64"/>
  <c r="AP13" i="64"/>
  <c r="AQ13" i="64"/>
  <c r="BO13" i="64" l="1"/>
  <c r="BU13" i="64" s="1"/>
  <c r="P12" i="82" s="1"/>
  <c r="BP33" i="64"/>
  <c r="BV33" i="64" s="1"/>
  <c r="Q32" i="82" s="1"/>
  <c r="BO33" i="64"/>
  <c r="BU33" i="64" s="1"/>
  <c r="P32" i="82" s="1"/>
  <c r="BN33" i="64"/>
  <c r="BT33" i="64" s="1"/>
  <c r="O32" i="82" s="1"/>
  <c r="BN13" i="64"/>
  <c r="BT13" i="64" s="1"/>
  <c r="O12" i="82" s="1"/>
  <c r="BP13" i="64"/>
  <c r="BV13" i="64" s="1"/>
  <c r="Q12" i="82" s="1"/>
  <c r="BM33" i="64"/>
  <c r="BS33" i="64" s="1"/>
  <c r="N32" i="82" s="1"/>
  <c r="B1" i="50" l="1"/>
  <c r="C1" i="50" s="1"/>
  <c r="D1" i="50" s="1"/>
  <c r="E1" i="50" s="1"/>
  <c r="F1" i="50" s="1"/>
  <c r="G1" i="50" s="1"/>
  <c r="H1" i="50" s="1"/>
  <c r="I1" i="50" s="1"/>
  <c r="J1" i="50" s="1"/>
  <c r="K1" i="50" s="1"/>
  <c r="L1" i="50" s="1"/>
  <c r="M1" i="50" s="1"/>
  <c r="N1" i="50" s="1"/>
  <c r="O1" i="50" s="1"/>
  <c r="P1" i="50" s="1"/>
  <c r="Q1" i="50" s="1"/>
  <c r="R1" i="50" s="1"/>
  <c r="S1" i="50" s="1"/>
  <c r="T1" i="50" s="1"/>
  <c r="U1" i="50" s="1"/>
  <c r="V1" i="50" s="1"/>
  <c r="W1" i="50" s="1"/>
  <c r="X1" i="50" s="1"/>
  <c r="Y1" i="50" s="1"/>
  <c r="Z1" i="50" s="1"/>
  <c r="AA1" i="50" s="1"/>
  <c r="AB1" i="50" s="1"/>
  <c r="AC1" i="50" s="1"/>
  <c r="AD1" i="50" s="1"/>
  <c r="AE1" i="50" s="1"/>
  <c r="AF1" i="50" s="1"/>
  <c r="AG1" i="50" s="1"/>
  <c r="AH1" i="50" s="1"/>
  <c r="AI1" i="50" s="1"/>
  <c r="AJ1" i="50" s="1"/>
  <c r="AK1" i="50" s="1"/>
  <c r="AL1" i="50" s="1"/>
  <c r="AM1" i="50" s="1"/>
  <c r="AN1" i="50" s="1"/>
  <c r="AO1" i="50" s="1"/>
  <c r="AP1" i="50" s="1"/>
  <c r="AQ1" i="50" s="1"/>
  <c r="AR1" i="50" s="1"/>
  <c r="AS1" i="50" s="1"/>
  <c r="N6" i="57" l="1"/>
  <c r="N7" i="57" l="1"/>
  <c r="B85" i="50" l="1"/>
  <c r="C85" i="50"/>
  <c r="D85" i="50"/>
  <c r="E85" i="50"/>
  <c r="F85" i="50"/>
  <c r="G85" i="50"/>
  <c r="H85" i="50"/>
  <c r="I85" i="50"/>
  <c r="N85" i="50"/>
  <c r="O85" i="50"/>
  <c r="P85" i="50"/>
  <c r="Q85" i="50"/>
  <c r="V85" i="50"/>
  <c r="W85" i="50"/>
  <c r="X85" i="50"/>
  <c r="Y85" i="50"/>
  <c r="AT85" i="50"/>
  <c r="B62" i="50"/>
  <c r="C62" i="50"/>
  <c r="D62" i="50"/>
  <c r="E62" i="50"/>
  <c r="F62" i="50"/>
  <c r="G62" i="50"/>
  <c r="H62" i="50"/>
  <c r="I62" i="50"/>
  <c r="N62" i="50"/>
  <c r="O62" i="50"/>
  <c r="P62" i="50"/>
  <c r="Q62" i="50"/>
  <c r="V62" i="50"/>
  <c r="W62" i="50"/>
  <c r="X62" i="50"/>
  <c r="Y62" i="50"/>
  <c r="AT62" i="50"/>
  <c r="E92" i="58"/>
  <c r="D92" i="58"/>
  <c r="E77" i="58"/>
  <c r="D77" i="58"/>
  <c r="L62" i="50" l="1"/>
  <c r="F39" i="64" s="1"/>
  <c r="M85" i="50"/>
  <c r="E48" i="64" s="1"/>
  <c r="L85" i="50"/>
  <c r="F48" i="64" s="1"/>
  <c r="K62" i="50"/>
  <c r="J62" i="50"/>
  <c r="K85" i="50"/>
  <c r="M62" i="50"/>
  <c r="E39" i="64" s="1"/>
  <c r="J85" i="50"/>
  <c r="C39" i="64" l="1"/>
  <c r="D48" i="64"/>
  <c r="C48" i="64"/>
  <c r="D39" i="64"/>
  <c r="U7" i="57" l="1"/>
  <c r="P4" i="57" l="1"/>
  <c r="Q63" i="57" l="1"/>
  <c r="P86" i="57"/>
  <c r="Q86" i="57"/>
  <c r="P63" i="57"/>
  <c r="B5" i="57" l="1"/>
  <c r="C5" i="57" s="1"/>
  <c r="D5" i="57" s="1"/>
  <c r="E5" i="57" s="1"/>
  <c r="F5" i="57" s="1"/>
  <c r="G5" i="57" s="1"/>
  <c r="H5" i="57" s="1"/>
  <c r="I5" i="57" s="1"/>
  <c r="J5" i="57" s="1"/>
  <c r="K5" i="57" s="1"/>
  <c r="L5" i="57" s="1"/>
  <c r="M5" i="57" s="1"/>
  <c r="N5" i="57" s="1"/>
  <c r="O5" i="57" s="1"/>
  <c r="P5" i="57" s="1"/>
  <c r="Q5" i="57" s="1"/>
  <c r="R5" i="57" s="1"/>
  <c r="S5" i="57" s="1"/>
  <c r="T5" i="57" s="1"/>
  <c r="U5" i="57" s="1"/>
  <c r="V5" i="57" s="1"/>
  <c r="W5" i="57" s="1"/>
  <c r="X5" i="57" s="1"/>
  <c r="Y5" i="57" s="1"/>
  <c r="Z5" i="57" s="1"/>
  <c r="AA5" i="57" s="1"/>
  <c r="AB5" i="57" s="1"/>
  <c r="AC5" i="57" s="1"/>
  <c r="AD5" i="57" s="1"/>
  <c r="AE5" i="57" s="1"/>
  <c r="AF5" i="57" s="1"/>
  <c r="AG5" i="57" s="1"/>
  <c r="C1" i="58" l="1"/>
  <c r="D1" i="58"/>
  <c r="E1" i="58"/>
  <c r="F1" i="58" s="1"/>
  <c r="G1" i="58" s="1"/>
  <c r="H1" i="58" s="1"/>
  <c r="I1" i="58" s="1"/>
  <c r="J1" i="58" s="1"/>
  <c r="K1" i="58" s="1"/>
  <c r="L1" i="58" s="1"/>
  <c r="M1" i="58" s="1"/>
  <c r="N1" i="58" s="1"/>
  <c r="O1" i="58" s="1"/>
  <c r="P1" i="58" s="1"/>
  <c r="Q1" i="58" s="1"/>
  <c r="R1" i="58" s="1"/>
  <c r="S1" i="58" s="1"/>
  <c r="T1" i="58" s="1"/>
  <c r="U1" i="58" s="1"/>
  <c r="V1" i="58" s="1"/>
  <c r="W1" i="58" s="1"/>
  <c r="X1" i="58" s="1"/>
  <c r="Y1" i="58" s="1"/>
  <c r="Z1" i="58" s="1"/>
  <c r="AA1" i="58" s="1"/>
  <c r="AB1" i="58" s="1"/>
  <c r="AC1" i="58" s="1"/>
  <c r="AD1" i="58" s="1"/>
  <c r="AE1" i="58" s="1"/>
  <c r="AF1" i="58" s="1"/>
  <c r="AG1" i="58" s="1"/>
  <c r="AH1" i="58" s="1"/>
  <c r="AI1" i="58" s="1"/>
  <c r="AJ1" i="58" s="1"/>
  <c r="AK1" i="58" s="1"/>
  <c r="AL1" i="58" s="1"/>
  <c r="AM1" i="58" s="1"/>
  <c r="AN1" i="58" s="1"/>
  <c r="AO1" i="58" s="1"/>
  <c r="AP1" i="58" s="1"/>
  <c r="AQ1" i="58" s="1"/>
  <c r="AR1" i="58" s="1"/>
  <c r="AS1" i="58" s="1"/>
  <c r="AT1" i="58" s="1"/>
  <c r="AU1" i="58" s="1"/>
  <c r="AV1" i="58" s="1"/>
  <c r="AW1" i="58" s="1"/>
  <c r="AX1" i="58" s="1"/>
  <c r="AY1" i="58" s="1"/>
  <c r="AZ1" i="58" s="1"/>
  <c r="BA1" i="58" s="1"/>
  <c r="BB1" i="58" s="1"/>
  <c r="BC1" i="58" s="1"/>
  <c r="BD1" i="58" s="1"/>
  <c r="BE1" i="58" s="1"/>
  <c r="BF1" i="58" s="1"/>
  <c r="BG1" i="58" s="1"/>
  <c r="BH1" i="58" s="1"/>
  <c r="BI1" i="58" s="1"/>
  <c r="B1" i="58"/>
  <c r="P10" i="57" l="1"/>
  <c r="Q10" i="57"/>
  <c r="P11" i="57"/>
  <c r="Q11" i="57"/>
  <c r="P12" i="57"/>
  <c r="Q12" i="57"/>
  <c r="P13" i="57"/>
  <c r="Q13" i="57"/>
  <c r="P14" i="57"/>
  <c r="Q14" i="57"/>
  <c r="P15" i="57"/>
  <c r="Q15" i="57"/>
  <c r="P16" i="57"/>
  <c r="Q16" i="57"/>
  <c r="P17" i="57"/>
  <c r="Q17" i="57"/>
  <c r="P18" i="57"/>
  <c r="Q18" i="57"/>
  <c r="P19" i="57"/>
  <c r="Q19" i="57"/>
  <c r="P20" i="57"/>
  <c r="Q20" i="57"/>
  <c r="P21" i="57"/>
  <c r="Q21" i="57"/>
  <c r="P22" i="57"/>
  <c r="Q22" i="57"/>
  <c r="P23" i="57"/>
  <c r="Q23" i="57"/>
  <c r="P24" i="57"/>
  <c r="Q24" i="57"/>
  <c r="P25" i="57"/>
  <c r="Q25" i="57"/>
  <c r="P26" i="57"/>
  <c r="Q26" i="57"/>
  <c r="P27" i="57"/>
  <c r="Q27" i="57"/>
  <c r="P28" i="57"/>
  <c r="Q28" i="57"/>
  <c r="P29" i="57"/>
  <c r="Q29" i="57"/>
  <c r="P30" i="57"/>
  <c r="Q30" i="57"/>
  <c r="P31" i="57"/>
  <c r="Q31" i="57"/>
  <c r="P32" i="57"/>
  <c r="Q32" i="57"/>
  <c r="P33" i="57"/>
  <c r="Q33" i="57"/>
  <c r="P34" i="57"/>
  <c r="Q34" i="57"/>
  <c r="P35" i="57"/>
  <c r="Q35" i="57"/>
  <c r="P36" i="57"/>
  <c r="Q36" i="57"/>
  <c r="P37" i="57"/>
  <c r="Q37" i="57"/>
  <c r="P38" i="57"/>
  <c r="Q38" i="57"/>
  <c r="P39" i="57"/>
  <c r="Q39" i="57"/>
  <c r="P40" i="57"/>
  <c r="Q40" i="57"/>
  <c r="P41" i="57"/>
  <c r="Q41" i="57"/>
  <c r="P42" i="57"/>
  <c r="Q42" i="57"/>
  <c r="P43" i="57"/>
  <c r="Q43" i="57"/>
  <c r="P44" i="57"/>
  <c r="Q44" i="57"/>
  <c r="P45" i="57"/>
  <c r="Q45" i="57"/>
  <c r="P46" i="57"/>
  <c r="Q46" i="57"/>
  <c r="P47" i="57"/>
  <c r="Q47" i="57"/>
  <c r="P48" i="57"/>
  <c r="Q48" i="57"/>
  <c r="P49" i="57"/>
  <c r="Q49" i="57"/>
  <c r="P50" i="57"/>
  <c r="Q50" i="57"/>
  <c r="P51" i="57"/>
  <c r="Q51" i="57"/>
  <c r="P52" i="57"/>
  <c r="Q52" i="57"/>
  <c r="P53" i="57"/>
  <c r="Q53" i="57"/>
  <c r="P54" i="57"/>
  <c r="Q54" i="57"/>
  <c r="P55" i="57"/>
  <c r="Q55" i="57"/>
  <c r="P56" i="57"/>
  <c r="Q56" i="57"/>
  <c r="P57" i="57"/>
  <c r="Q57" i="57"/>
  <c r="P58" i="57"/>
  <c r="Q58" i="57"/>
  <c r="P59" i="57"/>
  <c r="Q59" i="57"/>
  <c r="P60" i="57"/>
  <c r="Q60" i="57"/>
  <c r="P61" i="57"/>
  <c r="Q61" i="57"/>
  <c r="P62" i="57"/>
  <c r="Q62" i="57"/>
  <c r="P64" i="57"/>
  <c r="Q64" i="57"/>
  <c r="P65" i="57"/>
  <c r="Q65" i="57"/>
  <c r="P66" i="57"/>
  <c r="Q66" i="57"/>
  <c r="P67" i="57"/>
  <c r="Q67" i="57"/>
  <c r="P68" i="57"/>
  <c r="Q68" i="57"/>
  <c r="P69" i="57"/>
  <c r="Q69" i="57"/>
  <c r="P70" i="57"/>
  <c r="Q70" i="57"/>
  <c r="P71" i="57"/>
  <c r="Q71" i="57"/>
  <c r="P72" i="57"/>
  <c r="Q72" i="57"/>
  <c r="P73" i="57"/>
  <c r="Q73" i="57"/>
  <c r="P74" i="57"/>
  <c r="Q74" i="57"/>
  <c r="P75" i="57"/>
  <c r="Q75" i="57"/>
  <c r="P76" i="57"/>
  <c r="Q76" i="57"/>
  <c r="P77" i="57"/>
  <c r="Q77" i="57"/>
  <c r="P78" i="57"/>
  <c r="Q78" i="57"/>
  <c r="P79" i="57"/>
  <c r="Q79" i="57"/>
  <c r="P80" i="57"/>
  <c r="Q80" i="57"/>
  <c r="P81" i="57"/>
  <c r="Q81" i="57"/>
  <c r="P82" i="57"/>
  <c r="Q82" i="57"/>
  <c r="P83" i="57"/>
  <c r="Q83" i="57"/>
  <c r="P84" i="57"/>
  <c r="Q84" i="57"/>
  <c r="P85" i="57"/>
  <c r="Q85" i="57"/>
  <c r="P87" i="57"/>
  <c r="Q87" i="57"/>
  <c r="P88" i="57"/>
  <c r="Q88" i="57"/>
  <c r="P89" i="57"/>
  <c r="Q89" i="57"/>
  <c r="P90" i="57"/>
  <c r="Q90" i="57"/>
  <c r="P91" i="57"/>
  <c r="Q91" i="57"/>
  <c r="P92" i="57"/>
  <c r="Q92" i="57"/>
  <c r="P93" i="57"/>
  <c r="Q93" i="57"/>
  <c r="P94" i="57"/>
  <c r="Q94" i="57"/>
  <c r="P95" i="57"/>
  <c r="Q95" i="57"/>
  <c r="P96" i="57"/>
  <c r="Q96" i="57"/>
  <c r="P97" i="57"/>
  <c r="Q97" i="57"/>
  <c r="P98" i="57"/>
  <c r="Q98" i="57"/>
  <c r="P99" i="57"/>
  <c r="Q99" i="57"/>
  <c r="P100" i="57"/>
  <c r="Q100" i="57"/>
  <c r="P101" i="57"/>
  <c r="Q101" i="57"/>
  <c r="P102" i="57"/>
  <c r="Q102" i="57"/>
  <c r="P103" i="57"/>
  <c r="Q103" i="57"/>
  <c r="P104" i="57"/>
  <c r="Q104" i="57"/>
  <c r="P105" i="57"/>
  <c r="Q105" i="57"/>
  <c r="P106" i="57"/>
  <c r="Q106" i="57"/>
  <c r="P107" i="57"/>
  <c r="Q107" i="57"/>
  <c r="P108" i="57"/>
  <c r="Q108" i="57"/>
  <c r="P109" i="57"/>
  <c r="Q109" i="57"/>
  <c r="P110" i="57"/>
  <c r="Q110" i="57"/>
  <c r="P111" i="57"/>
  <c r="Q111" i="57"/>
  <c r="P112" i="57"/>
  <c r="Q112" i="57"/>
  <c r="P113" i="57"/>
  <c r="Q113" i="57"/>
  <c r="P114" i="57"/>
  <c r="Q114" i="57"/>
  <c r="P115" i="57"/>
  <c r="Q115" i="57"/>
  <c r="P116" i="57"/>
  <c r="Q116" i="57"/>
  <c r="P117" i="57"/>
  <c r="Q117" i="57"/>
  <c r="P118" i="57"/>
  <c r="Q118" i="57"/>
  <c r="AR3" i="58" l="1"/>
  <c r="AR4" i="58"/>
  <c r="AR2" i="58"/>
  <c r="AQ5" i="58" l="1"/>
  <c r="E11" i="58" l="1"/>
  <c r="E12" i="58"/>
  <c r="E13" i="58"/>
  <c r="E14" i="58"/>
  <c r="E15" i="58"/>
  <c r="E16" i="58"/>
  <c r="E17" i="58"/>
  <c r="E18" i="58"/>
  <c r="E19" i="58"/>
  <c r="E20" i="58"/>
  <c r="E21" i="58"/>
  <c r="E22" i="58"/>
  <c r="E23" i="58"/>
  <c r="E24" i="58"/>
  <c r="E25" i="58"/>
  <c r="E26" i="58"/>
  <c r="E27" i="58"/>
  <c r="E28" i="58"/>
  <c r="E29" i="58"/>
  <c r="E30" i="58"/>
  <c r="E31" i="58"/>
  <c r="E32" i="58"/>
  <c r="E33" i="58"/>
  <c r="E34" i="58"/>
  <c r="E35" i="58"/>
  <c r="E36" i="58"/>
  <c r="E37" i="58"/>
  <c r="E38" i="58"/>
  <c r="E39" i="58"/>
  <c r="E40" i="58"/>
  <c r="E41" i="58"/>
  <c r="E42" i="58"/>
  <c r="E43" i="58"/>
  <c r="E44" i="58"/>
  <c r="E45" i="58"/>
  <c r="E46" i="58"/>
  <c r="E47" i="58"/>
  <c r="E48" i="58"/>
  <c r="E49" i="58"/>
  <c r="E50" i="58"/>
  <c r="E51" i="58"/>
  <c r="E52" i="58"/>
  <c r="E53" i="58"/>
  <c r="E54" i="58"/>
  <c r="E55" i="58"/>
  <c r="E56" i="58"/>
  <c r="E57" i="58"/>
  <c r="E58" i="58"/>
  <c r="E59" i="58"/>
  <c r="E60" i="58"/>
  <c r="E61" i="58"/>
  <c r="E62" i="58"/>
  <c r="E63" i="58"/>
  <c r="E64" i="58"/>
  <c r="E65" i="58"/>
  <c r="E66" i="58"/>
  <c r="E67" i="58"/>
  <c r="E68" i="58"/>
  <c r="E69" i="58"/>
  <c r="E70" i="58"/>
  <c r="E71" i="58"/>
  <c r="E72" i="58"/>
  <c r="E73" i="58"/>
  <c r="E74" i="58"/>
  <c r="E75" i="58"/>
  <c r="E76" i="58"/>
  <c r="E78" i="58"/>
  <c r="E79" i="58"/>
  <c r="E80" i="58"/>
  <c r="E81" i="58"/>
  <c r="E82" i="58"/>
  <c r="E83" i="58"/>
  <c r="E84" i="58"/>
  <c r="E85" i="58"/>
  <c r="E86" i="58"/>
  <c r="E87" i="58"/>
  <c r="E88" i="58"/>
  <c r="E89" i="58"/>
  <c r="E90" i="58"/>
  <c r="E91" i="58"/>
  <c r="E93" i="58"/>
  <c r="E94" i="58"/>
  <c r="E95" i="58"/>
  <c r="E96" i="58"/>
  <c r="E97" i="58"/>
  <c r="E98" i="58"/>
  <c r="E99" i="58"/>
  <c r="E100" i="58"/>
  <c r="E101" i="58"/>
  <c r="E102" i="58"/>
  <c r="E103" i="58"/>
  <c r="E104" i="58"/>
  <c r="E105" i="58"/>
  <c r="E106" i="58"/>
  <c r="E107" i="58"/>
  <c r="E108" i="58"/>
  <c r="E109" i="58"/>
  <c r="E110" i="58"/>
  <c r="E111" i="58"/>
  <c r="E112" i="58"/>
  <c r="E113" i="58"/>
  <c r="E114" i="58"/>
  <c r="E115" i="58"/>
  <c r="E116" i="58"/>
  <c r="E117" i="58"/>
  <c r="E118" i="58"/>
  <c r="E119" i="58"/>
  <c r="E10" i="58"/>
  <c r="C63" i="58"/>
  <c r="C62" i="58"/>
  <c r="C61" i="58"/>
  <c r="C60" i="58"/>
  <c r="C59" i="58"/>
  <c r="C58" i="58"/>
  <c r="C57" i="58"/>
  <c r="C56" i="58"/>
  <c r="C55" i="58"/>
  <c r="C54" i="58"/>
  <c r="C53" i="58"/>
  <c r="C52" i="58"/>
  <c r="C51" i="58"/>
  <c r="C50" i="58"/>
  <c r="C49" i="58"/>
  <c r="C48" i="58"/>
  <c r="C47" i="58"/>
  <c r="C46" i="58"/>
  <c r="C45" i="58"/>
  <c r="C44" i="58"/>
  <c r="C43" i="58"/>
  <c r="C42" i="58"/>
  <c r="C41" i="58"/>
  <c r="C40" i="58"/>
  <c r="C39" i="58"/>
  <c r="C38" i="58"/>
  <c r="C37" i="58"/>
  <c r="C36" i="58"/>
  <c r="C35" i="58"/>
  <c r="C34" i="58"/>
  <c r="C33" i="58"/>
  <c r="C32" i="58"/>
  <c r="C31" i="58"/>
  <c r="C30" i="58"/>
  <c r="C29" i="58"/>
  <c r="C28" i="58"/>
  <c r="C27" i="58"/>
  <c r="C26" i="58"/>
  <c r="C25" i="58"/>
  <c r="C24" i="58"/>
  <c r="C23" i="58"/>
  <c r="C22" i="58"/>
  <c r="C21" i="58"/>
  <c r="C20" i="58"/>
  <c r="C19" i="58"/>
  <c r="C18" i="58"/>
  <c r="C17" i="58"/>
  <c r="C16" i="58"/>
  <c r="C15" i="58"/>
  <c r="C14" i="58"/>
  <c r="C13" i="58"/>
  <c r="C12" i="58"/>
  <c r="C11" i="58"/>
  <c r="C10" i="58"/>
  <c r="D11" i="58"/>
  <c r="D12" i="58"/>
  <c r="D13" i="58"/>
  <c r="D14" i="58"/>
  <c r="D15" i="58"/>
  <c r="D16" i="58"/>
  <c r="D17" i="58"/>
  <c r="D18" i="58"/>
  <c r="D19" i="58"/>
  <c r="D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8" i="58"/>
  <c r="D79" i="58"/>
  <c r="D80" i="58"/>
  <c r="D81" i="58"/>
  <c r="D82" i="58"/>
  <c r="D83" i="58"/>
  <c r="D84" i="58"/>
  <c r="D85" i="58"/>
  <c r="D86" i="58"/>
  <c r="D87" i="58"/>
  <c r="D88" i="58"/>
  <c r="D89" i="58"/>
  <c r="D90" i="58"/>
  <c r="D91"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0" i="58"/>
  <c r="Q9" i="57"/>
  <c r="P9" i="57"/>
  <c r="AT9" i="50"/>
  <c r="AT10" i="50"/>
  <c r="AT11" i="50"/>
  <c r="AT12" i="50"/>
  <c r="AT13" i="50"/>
  <c r="AT14" i="50"/>
  <c r="AT15" i="50"/>
  <c r="AT16" i="50"/>
  <c r="AT17" i="50"/>
  <c r="AT18" i="50"/>
  <c r="AT19" i="50"/>
  <c r="AT20" i="50"/>
  <c r="AT21" i="50"/>
  <c r="AT22" i="50"/>
  <c r="AT23" i="50"/>
  <c r="AT24" i="50"/>
  <c r="AT25" i="50"/>
  <c r="AT26" i="50"/>
  <c r="AT27" i="50"/>
  <c r="AT28" i="50"/>
  <c r="AT29" i="50"/>
  <c r="AT30" i="50"/>
  <c r="AT31" i="50"/>
  <c r="AT32" i="50"/>
  <c r="AT33" i="50"/>
  <c r="AT34" i="50"/>
  <c r="AT35" i="50"/>
  <c r="AT36" i="50"/>
  <c r="AT37" i="50"/>
  <c r="AT38" i="50"/>
  <c r="AT39" i="50"/>
  <c r="AT40" i="50"/>
  <c r="AT41" i="50"/>
  <c r="AT42" i="50"/>
  <c r="AT43" i="50"/>
  <c r="AT44" i="50"/>
  <c r="AT45" i="50"/>
  <c r="AT46" i="50"/>
  <c r="AT47" i="50"/>
  <c r="AT48" i="50"/>
  <c r="AT49" i="50"/>
  <c r="AT50" i="50"/>
  <c r="AT51" i="50"/>
  <c r="AT52" i="50"/>
  <c r="AT53" i="50"/>
  <c r="AT54" i="50"/>
  <c r="AT55" i="50"/>
  <c r="AT56" i="50"/>
  <c r="AT57" i="50"/>
  <c r="AT58" i="50"/>
  <c r="AT59" i="50"/>
  <c r="AT60" i="50"/>
  <c r="AT61" i="50"/>
  <c r="AT63" i="50"/>
  <c r="AT64" i="50"/>
  <c r="AT65" i="50"/>
  <c r="AT66" i="50"/>
  <c r="AT67" i="50"/>
  <c r="AT68" i="50"/>
  <c r="AT69" i="50"/>
  <c r="AT70" i="50"/>
  <c r="AT71" i="50"/>
  <c r="AT72" i="50"/>
  <c r="AT73" i="50"/>
  <c r="AT74" i="50"/>
  <c r="AT75" i="50"/>
  <c r="AT76" i="50"/>
  <c r="AT77" i="50"/>
  <c r="AT78" i="50"/>
  <c r="AT79" i="50"/>
  <c r="AT80" i="50"/>
  <c r="AT81" i="50"/>
  <c r="AT82" i="50"/>
  <c r="AT83" i="50"/>
  <c r="AT84" i="50"/>
  <c r="AT86" i="50"/>
  <c r="AT87" i="50"/>
  <c r="AT88" i="50"/>
  <c r="AT89" i="50"/>
  <c r="AT90" i="50"/>
  <c r="AT91" i="50"/>
  <c r="AT92" i="50"/>
  <c r="AT93" i="50"/>
  <c r="AT94" i="50"/>
  <c r="AT95" i="50"/>
  <c r="AT96" i="50"/>
  <c r="AT97" i="50"/>
  <c r="AT98" i="50"/>
  <c r="AT99" i="50"/>
  <c r="AT100" i="50"/>
  <c r="AT101" i="50"/>
  <c r="AT102" i="50"/>
  <c r="AT103" i="50"/>
  <c r="AT104" i="50"/>
  <c r="AT105" i="50"/>
  <c r="AT106" i="50"/>
  <c r="AT107" i="50"/>
  <c r="AT108" i="50"/>
  <c r="AT109" i="50"/>
  <c r="AT110" i="50"/>
  <c r="AT111" i="50"/>
  <c r="AT112" i="50"/>
  <c r="AT113" i="50"/>
  <c r="AT114" i="50"/>
  <c r="AT115" i="50"/>
  <c r="AT116" i="50"/>
  <c r="AT117" i="50"/>
  <c r="AT8" i="50"/>
  <c r="J31" i="55"/>
  <c r="K31" i="55"/>
  <c r="L31" i="55"/>
  <c r="M31" i="55"/>
  <c r="J35" i="55"/>
  <c r="K35" i="55"/>
  <c r="L35" i="55"/>
  <c r="M35" i="55"/>
  <c r="J37" i="55"/>
  <c r="K37" i="55"/>
  <c r="L37" i="55"/>
  <c r="M37" i="55"/>
  <c r="J47" i="55"/>
  <c r="K47" i="55"/>
  <c r="L47" i="55"/>
  <c r="M47" i="55"/>
  <c r="J48" i="55"/>
  <c r="K48" i="55"/>
  <c r="L48" i="55"/>
  <c r="M48" i="55"/>
  <c r="J49" i="55"/>
  <c r="K49" i="55"/>
  <c r="L49" i="55"/>
  <c r="M49" i="55"/>
  <c r="J53" i="55"/>
  <c r="K53" i="55"/>
  <c r="L53" i="55"/>
  <c r="M53" i="55"/>
  <c r="J62" i="55"/>
  <c r="K62" i="55"/>
  <c r="L62" i="55"/>
  <c r="M62" i="55"/>
  <c r="J68" i="55"/>
  <c r="K68" i="55"/>
  <c r="L68" i="55"/>
  <c r="M68" i="55"/>
  <c r="J71" i="55"/>
  <c r="K71" i="55"/>
  <c r="L71" i="55"/>
  <c r="M71" i="55"/>
  <c r="J72" i="55"/>
  <c r="K72" i="55"/>
  <c r="L72" i="55"/>
  <c r="M72" i="55"/>
  <c r="J73" i="55"/>
  <c r="K73" i="55"/>
  <c r="L73" i="55"/>
  <c r="M73" i="55"/>
  <c r="J76" i="55"/>
  <c r="K76" i="55"/>
  <c r="L76" i="55"/>
  <c r="M76" i="55"/>
  <c r="J78" i="55"/>
  <c r="K78" i="55"/>
  <c r="L78" i="55"/>
  <c r="M78" i="55"/>
  <c r="J79" i="55"/>
  <c r="K79" i="55"/>
  <c r="L79" i="55"/>
  <c r="M79" i="55"/>
  <c r="J82" i="55"/>
  <c r="K82" i="55"/>
  <c r="L82" i="55"/>
  <c r="M82" i="55"/>
  <c r="J89" i="55"/>
  <c r="K89" i="55"/>
  <c r="L89" i="55"/>
  <c r="M89" i="55"/>
  <c r="J90" i="55"/>
  <c r="K90" i="55"/>
  <c r="L90" i="55"/>
  <c r="M90" i="55"/>
  <c r="J99" i="55"/>
  <c r="K99" i="55"/>
  <c r="L99" i="55"/>
  <c r="M99" i="55"/>
  <c r="J101" i="55"/>
  <c r="K101" i="55"/>
  <c r="L101" i="55"/>
  <c r="M101" i="55"/>
  <c r="J114" i="55"/>
  <c r="K114" i="55"/>
  <c r="L114" i="55"/>
  <c r="M114" i="55"/>
  <c r="J115" i="55"/>
  <c r="K115" i="55"/>
  <c r="L115" i="55"/>
  <c r="M115" i="55"/>
  <c r="D31" i="55"/>
  <c r="E31" i="55"/>
  <c r="D35" i="55"/>
  <c r="E35" i="55"/>
  <c r="D37" i="55"/>
  <c r="E37" i="55"/>
  <c r="D47" i="55"/>
  <c r="E47" i="55"/>
  <c r="D48" i="55"/>
  <c r="E48" i="55"/>
  <c r="D49" i="55"/>
  <c r="E49" i="55"/>
  <c r="D53" i="55"/>
  <c r="E53" i="55"/>
  <c r="D62" i="55"/>
  <c r="E62" i="55"/>
  <c r="D68" i="55"/>
  <c r="E68" i="55"/>
  <c r="D71" i="55"/>
  <c r="E71" i="55"/>
  <c r="D72" i="55"/>
  <c r="E72" i="55"/>
  <c r="D73" i="55"/>
  <c r="E73" i="55"/>
  <c r="D76" i="55"/>
  <c r="E76" i="55"/>
  <c r="D78" i="55"/>
  <c r="E78" i="55"/>
  <c r="D79" i="55"/>
  <c r="E79" i="55"/>
  <c r="D82" i="55"/>
  <c r="E82" i="55"/>
  <c r="D89" i="55"/>
  <c r="E89" i="55"/>
  <c r="D90" i="55"/>
  <c r="E90" i="55"/>
  <c r="D99" i="55"/>
  <c r="E99" i="55"/>
  <c r="D101" i="55"/>
  <c r="E101" i="55"/>
  <c r="D114" i="55"/>
  <c r="E114" i="55"/>
  <c r="D115" i="55"/>
  <c r="E115" i="55"/>
  <c r="C31" i="55"/>
  <c r="C35" i="55"/>
  <c r="C37" i="55"/>
  <c r="C47" i="55"/>
  <c r="C48" i="55"/>
  <c r="C49" i="55"/>
  <c r="C53" i="55"/>
  <c r="C62" i="55"/>
  <c r="C68" i="55"/>
  <c r="C71" i="55"/>
  <c r="C72" i="55"/>
  <c r="C73" i="55"/>
  <c r="C76" i="55"/>
  <c r="C78" i="55"/>
  <c r="C79" i="55"/>
  <c r="C82" i="55"/>
  <c r="C89" i="55"/>
  <c r="C90" i="55"/>
  <c r="C99" i="55"/>
  <c r="C101" i="55"/>
  <c r="C114" i="55"/>
  <c r="C115" i="55"/>
  <c r="B31" i="55"/>
  <c r="B35" i="55"/>
  <c r="B37" i="55"/>
  <c r="B47" i="55"/>
  <c r="B48" i="55"/>
  <c r="B49" i="55"/>
  <c r="B53" i="55"/>
  <c r="B62" i="55"/>
  <c r="B68" i="55"/>
  <c r="B71" i="55"/>
  <c r="B72" i="55"/>
  <c r="B73" i="55"/>
  <c r="B76" i="55"/>
  <c r="B78" i="55"/>
  <c r="B79" i="55"/>
  <c r="B82" i="55"/>
  <c r="B89" i="55"/>
  <c r="B90" i="55"/>
  <c r="B99" i="55"/>
  <c r="B101" i="55"/>
  <c r="B114" i="55"/>
  <c r="B115" i="55"/>
  <c r="BJ13" i="64" l="1"/>
  <c r="BH33" i="64"/>
  <c r="BJ33" i="64"/>
  <c r="BI13" i="64"/>
  <c r="BH13" i="64"/>
  <c r="BI33" i="64"/>
  <c r="U86" i="57"/>
  <c r="U63" i="57"/>
  <c r="U9" i="57"/>
  <c r="U54" i="57"/>
  <c r="U58" i="57"/>
  <c r="U60" i="57"/>
  <c r="U62" i="57"/>
  <c r="U67" i="57"/>
  <c r="U69" i="57"/>
  <c r="U71" i="57"/>
  <c r="U73" i="57"/>
  <c r="U75" i="57"/>
  <c r="U76" i="57"/>
  <c r="U80" i="57"/>
  <c r="U82" i="57"/>
  <c r="U84" i="57"/>
  <c r="U87" i="57"/>
  <c r="U89" i="57"/>
  <c r="U91" i="57"/>
  <c r="U93" i="57"/>
  <c r="U95" i="57"/>
  <c r="U97" i="57"/>
  <c r="U99" i="57"/>
  <c r="U101" i="57"/>
  <c r="U103" i="57"/>
  <c r="U107" i="57"/>
  <c r="U109" i="57"/>
  <c r="U111" i="57"/>
  <c r="U113" i="57"/>
  <c r="U115" i="57"/>
  <c r="U117" i="57"/>
  <c r="U10" i="57"/>
  <c r="U12" i="57"/>
  <c r="U14" i="57"/>
  <c r="U16" i="57"/>
  <c r="U18" i="57"/>
  <c r="U20" i="57"/>
  <c r="U22" i="57"/>
  <c r="U24" i="57"/>
  <c r="U26" i="57"/>
  <c r="U28" i="57"/>
  <c r="U30" i="57"/>
  <c r="U32" i="57"/>
  <c r="U34" i="57"/>
  <c r="U36" i="57"/>
  <c r="U38" i="57"/>
  <c r="U40" i="57"/>
  <c r="U42" i="57"/>
  <c r="U44" i="57"/>
  <c r="U46" i="57"/>
  <c r="U48" i="57"/>
  <c r="U50" i="57"/>
  <c r="U52" i="57"/>
  <c r="U56" i="57"/>
  <c r="U65" i="57"/>
  <c r="U78" i="57"/>
  <c r="U11" i="57"/>
  <c r="U13" i="57"/>
  <c r="U15" i="57"/>
  <c r="U17" i="57"/>
  <c r="U19" i="57"/>
  <c r="U21" i="57"/>
  <c r="U23" i="57"/>
  <c r="U25" i="57"/>
  <c r="U27" i="57"/>
  <c r="U29" i="57"/>
  <c r="U31" i="57"/>
  <c r="U33" i="57"/>
  <c r="U35" i="57"/>
  <c r="U37" i="57"/>
  <c r="U39" i="57"/>
  <c r="U41" i="57"/>
  <c r="U43" i="57"/>
  <c r="U45" i="57"/>
  <c r="U47" i="57"/>
  <c r="U49" i="57"/>
  <c r="U51" i="57"/>
  <c r="U53" i="57"/>
  <c r="U55" i="57"/>
  <c r="U57" i="57"/>
  <c r="U59" i="57"/>
  <c r="U66" i="57"/>
  <c r="U74" i="57"/>
  <c r="U81" i="57"/>
  <c r="U90" i="57"/>
  <c r="U98" i="57"/>
  <c r="U105" i="57"/>
  <c r="U112" i="57"/>
  <c r="U116" i="57"/>
  <c r="U68" i="57"/>
  <c r="U83" i="57"/>
  <c r="U92" i="57"/>
  <c r="U100" i="57"/>
  <c r="U106" i="57"/>
  <c r="U61" i="57"/>
  <c r="U70" i="57"/>
  <c r="U77" i="57"/>
  <c r="U85" i="57"/>
  <c r="U94" i="57"/>
  <c r="U102" i="57"/>
  <c r="U108" i="57"/>
  <c r="U114" i="57"/>
  <c r="U118" i="57"/>
  <c r="U64" i="57"/>
  <c r="U72" i="57"/>
  <c r="U79" i="57"/>
  <c r="U88" i="57"/>
  <c r="U96" i="57"/>
  <c r="U104" i="57"/>
  <c r="U110" i="57"/>
  <c r="T63" i="57"/>
  <c r="T86" i="57"/>
  <c r="T10" i="57"/>
  <c r="T12" i="57"/>
  <c r="T14" i="57"/>
  <c r="T16" i="57"/>
  <c r="T18" i="57"/>
  <c r="T20" i="57"/>
  <c r="T22" i="57"/>
  <c r="T24" i="57"/>
  <c r="T26" i="57"/>
  <c r="T28" i="57"/>
  <c r="T30" i="57"/>
  <c r="T32" i="57"/>
  <c r="T34" i="57"/>
  <c r="T36" i="57"/>
  <c r="T38" i="57"/>
  <c r="T40" i="57"/>
  <c r="T42" i="57"/>
  <c r="T44" i="57"/>
  <c r="T46" i="57"/>
  <c r="T48" i="57"/>
  <c r="T50" i="57"/>
  <c r="T52" i="57"/>
  <c r="T54" i="57"/>
  <c r="T56" i="57"/>
  <c r="T58" i="57"/>
  <c r="T60" i="57"/>
  <c r="T62" i="57"/>
  <c r="T65" i="57"/>
  <c r="T67" i="57"/>
  <c r="T69" i="57"/>
  <c r="T71" i="57"/>
  <c r="T73" i="57"/>
  <c r="T75" i="57"/>
  <c r="T76" i="57"/>
  <c r="T78" i="57"/>
  <c r="T80" i="57"/>
  <c r="T82" i="57"/>
  <c r="T84" i="57"/>
  <c r="T87" i="57"/>
  <c r="T89" i="57"/>
  <c r="T91" i="57"/>
  <c r="T93" i="57"/>
  <c r="T95" i="57"/>
  <c r="T97" i="57"/>
  <c r="T99" i="57"/>
  <c r="T101" i="57"/>
  <c r="T103" i="57"/>
  <c r="T105" i="57"/>
  <c r="T107" i="57"/>
  <c r="T109" i="57"/>
  <c r="T111" i="57"/>
  <c r="T113" i="57"/>
  <c r="T115" i="57"/>
  <c r="T117" i="57"/>
  <c r="T9" i="57"/>
  <c r="T112" i="57"/>
  <c r="T11" i="57"/>
  <c r="T13" i="57"/>
  <c r="T15" i="57"/>
  <c r="T17" i="57"/>
  <c r="T19" i="57"/>
  <c r="T21" i="57"/>
  <c r="T23" i="57"/>
  <c r="T25" i="57"/>
  <c r="T27" i="57"/>
  <c r="T29" i="57"/>
  <c r="T31" i="57"/>
  <c r="T33" i="57"/>
  <c r="T35" i="57"/>
  <c r="T37" i="57"/>
  <c r="T39" i="57"/>
  <c r="T41" i="57"/>
  <c r="T43" i="57"/>
  <c r="T45" i="57"/>
  <c r="T47" i="57"/>
  <c r="T49" i="57"/>
  <c r="T51" i="57"/>
  <c r="T53" i="57"/>
  <c r="T55" i="57"/>
  <c r="T57" i="57"/>
  <c r="T59" i="57"/>
  <c r="T61" i="57"/>
  <c r="T64" i="57"/>
  <c r="T66" i="57"/>
  <c r="T68" i="57"/>
  <c r="T70" i="57"/>
  <c r="T72" i="57"/>
  <c r="T74" i="57"/>
  <c r="T77" i="57"/>
  <c r="T79" i="57"/>
  <c r="T81" i="57"/>
  <c r="T83" i="57"/>
  <c r="T85" i="57"/>
  <c r="T88" i="57"/>
  <c r="T90" i="57"/>
  <c r="T92" i="57"/>
  <c r="T94" i="57"/>
  <c r="T96" i="57"/>
  <c r="T98" i="57"/>
  <c r="T100" i="57"/>
  <c r="T102" i="57"/>
  <c r="T104" i="57"/>
  <c r="T106" i="57"/>
  <c r="T108" i="57"/>
  <c r="T110" i="57"/>
  <c r="T114" i="57"/>
  <c r="T118" i="57"/>
  <c r="T116" i="57"/>
  <c r="K4" i="53"/>
  <c r="K5"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73" i="53"/>
  <c r="K74" i="53"/>
  <c r="K75" i="53"/>
  <c r="K76" i="53"/>
  <c r="K77" i="53"/>
  <c r="K78" i="53"/>
  <c r="K79" i="53"/>
  <c r="K80" i="53"/>
  <c r="K81" i="53"/>
  <c r="K82" i="53"/>
  <c r="K83" i="53"/>
  <c r="K84" i="53"/>
  <c r="K85" i="53"/>
  <c r="K86" i="53"/>
  <c r="K87" i="53"/>
  <c r="K88" i="53"/>
  <c r="K89" i="53"/>
  <c r="K90" i="53"/>
  <c r="K91" i="53"/>
  <c r="K92" i="53"/>
  <c r="K93" i="53"/>
  <c r="K3" i="53"/>
  <c r="K4" i="52"/>
  <c r="K5" i="52"/>
  <c r="K6" i="52"/>
  <c r="K7" i="52"/>
  <c r="K8" i="52"/>
  <c r="K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3" i="52"/>
  <c r="J4" i="52"/>
  <c r="J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83" i="52"/>
  <c r="J84" i="52"/>
  <c r="J85" i="52"/>
  <c r="J86" i="52"/>
  <c r="J87" i="52"/>
  <c r="J88" i="52"/>
  <c r="J89" i="52"/>
  <c r="J90" i="52"/>
  <c r="J91" i="52"/>
  <c r="J92" i="52"/>
  <c r="J93" i="52"/>
  <c r="J94" i="52"/>
  <c r="J95" i="52"/>
  <c r="J96" i="52"/>
  <c r="J3" i="52"/>
  <c r="I4" i="52"/>
  <c r="I5"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3" i="52"/>
  <c r="H4" i="52"/>
  <c r="H5" i="52"/>
  <c r="H6" i="52"/>
  <c r="H7" i="52"/>
  <c r="H8" i="52"/>
  <c r="H9" i="52"/>
  <c r="H10" i="52"/>
  <c r="H11" i="52"/>
  <c r="H12" i="52"/>
  <c r="H13" i="52"/>
  <c r="H14" i="52"/>
  <c r="H15" i="52"/>
  <c r="H16" i="52"/>
  <c r="H17" i="52"/>
  <c r="H18" i="52"/>
  <c r="H19" i="52"/>
  <c r="H20" i="52"/>
  <c r="H21" i="52"/>
  <c r="H22" i="52"/>
  <c r="H23" i="52"/>
  <c r="H24" i="52"/>
  <c r="H25" i="52"/>
  <c r="H26" i="52"/>
  <c r="H27" i="52"/>
  <c r="H28" i="52"/>
  <c r="H29" i="52"/>
  <c r="H30" i="52"/>
  <c r="H31" i="52"/>
  <c r="H32" i="52"/>
  <c r="H33" i="52"/>
  <c r="H34" i="52"/>
  <c r="H35" i="52"/>
  <c r="H36" i="52"/>
  <c r="H37" i="52"/>
  <c r="H38" i="52"/>
  <c r="H39" i="52"/>
  <c r="H40" i="52"/>
  <c r="H41" i="52"/>
  <c r="H42" i="52"/>
  <c r="H43" i="52"/>
  <c r="H44" i="52"/>
  <c r="H45" i="52"/>
  <c r="H46" i="52"/>
  <c r="H47" i="52"/>
  <c r="H48" i="52"/>
  <c r="H49" i="52"/>
  <c r="H50" i="52"/>
  <c r="H51" i="52"/>
  <c r="H52" i="52"/>
  <c r="H53" i="52"/>
  <c r="H54" i="52"/>
  <c r="H55" i="52"/>
  <c r="H56" i="52"/>
  <c r="H57" i="52"/>
  <c r="H58" i="52"/>
  <c r="H59" i="52"/>
  <c r="H60" i="52"/>
  <c r="H61" i="52"/>
  <c r="H62" i="52"/>
  <c r="H63" i="52"/>
  <c r="H64" i="52"/>
  <c r="H65" i="52"/>
  <c r="H66" i="52"/>
  <c r="H67" i="52"/>
  <c r="H68" i="52"/>
  <c r="H69" i="52"/>
  <c r="H70" i="52"/>
  <c r="H71" i="52"/>
  <c r="H72" i="52"/>
  <c r="H73" i="52"/>
  <c r="H74" i="52"/>
  <c r="H75" i="52"/>
  <c r="H76" i="52"/>
  <c r="H77" i="52"/>
  <c r="H78" i="52"/>
  <c r="H79" i="52"/>
  <c r="H80" i="52"/>
  <c r="H81" i="52"/>
  <c r="H82" i="52"/>
  <c r="H83" i="52"/>
  <c r="H84" i="52"/>
  <c r="H85" i="52"/>
  <c r="H86" i="52"/>
  <c r="H87" i="52"/>
  <c r="H88" i="52"/>
  <c r="H89" i="52"/>
  <c r="H90" i="52"/>
  <c r="H91" i="52"/>
  <c r="H92" i="52"/>
  <c r="H93" i="52"/>
  <c r="H94" i="52"/>
  <c r="H95" i="52"/>
  <c r="H96" i="52"/>
  <c r="H3" i="52"/>
  <c r="G4" i="52"/>
  <c r="G5" i="52"/>
  <c r="G6" i="52"/>
  <c r="G7" i="52"/>
  <c r="G8" i="52"/>
  <c r="G9" i="52"/>
  <c r="G10" i="52"/>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3" i="52"/>
  <c r="F4" i="52"/>
  <c r="F4" i="53" s="1"/>
  <c r="F5" i="52"/>
  <c r="F5" i="53" s="1"/>
  <c r="F6" i="52"/>
  <c r="F6" i="53" s="1"/>
  <c r="F7" i="52"/>
  <c r="F7" i="53" s="1"/>
  <c r="F8" i="52"/>
  <c r="F8" i="53" s="1"/>
  <c r="F9" i="52"/>
  <c r="F9" i="53" s="1"/>
  <c r="F10" i="52"/>
  <c r="F10" i="53" s="1"/>
  <c r="F11" i="52"/>
  <c r="F11" i="53" s="1"/>
  <c r="F12" i="52"/>
  <c r="F12" i="53" s="1"/>
  <c r="F13" i="52"/>
  <c r="F13" i="53" s="1"/>
  <c r="F14" i="52"/>
  <c r="F14" i="53" s="1"/>
  <c r="F15" i="52"/>
  <c r="F15" i="53" s="1"/>
  <c r="F16" i="52"/>
  <c r="F16" i="53" s="1"/>
  <c r="F17" i="52"/>
  <c r="F17" i="53" s="1"/>
  <c r="F18" i="52"/>
  <c r="F18" i="53" s="1"/>
  <c r="F19" i="52"/>
  <c r="F19" i="53" s="1"/>
  <c r="F20" i="52"/>
  <c r="F20" i="53" s="1"/>
  <c r="F21" i="52"/>
  <c r="F21" i="53" s="1"/>
  <c r="F22" i="52"/>
  <c r="F22" i="53" s="1"/>
  <c r="F23" i="52"/>
  <c r="F23" i="53" s="1"/>
  <c r="F24" i="52"/>
  <c r="F24" i="53" s="1"/>
  <c r="F25" i="52"/>
  <c r="F25" i="53" s="1"/>
  <c r="F26" i="52"/>
  <c r="F26" i="53" s="1"/>
  <c r="F27" i="52"/>
  <c r="F27" i="53" s="1"/>
  <c r="F28" i="52"/>
  <c r="F28" i="53" s="1"/>
  <c r="F29" i="52"/>
  <c r="F29" i="53" s="1"/>
  <c r="F30" i="52"/>
  <c r="F30" i="53" s="1"/>
  <c r="F31" i="52"/>
  <c r="F31" i="53" s="1"/>
  <c r="F32" i="52"/>
  <c r="F32" i="53" s="1"/>
  <c r="F33" i="52"/>
  <c r="F33" i="53" s="1"/>
  <c r="F34" i="52"/>
  <c r="F34" i="53" s="1"/>
  <c r="F35" i="52"/>
  <c r="F35" i="53" s="1"/>
  <c r="F36" i="52"/>
  <c r="F36" i="53" s="1"/>
  <c r="F37" i="52"/>
  <c r="F37" i="53" s="1"/>
  <c r="F38" i="52"/>
  <c r="F38" i="53" s="1"/>
  <c r="F39" i="52"/>
  <c r="F39" i="53" s="1"/>
  <c r="F40" i="52"/>
  <c r="F40" i="53" s="1"/>
  <c r="F41" i="52"/>
  <c r="F41" i="53" s="1"/>
  <c r="F42" i="52"/>
  <c r="F42" i="53" s="1"/>
  <c r="F43" i="52"/>
  <c r="F43" i="53" s="1"/>
  <c r="F44" i="52"/>
  <c r="F44" i="53" s="1"/>
  <c r="F45" i="52"/>
  <c r="F45" i="53" s="1"/>
  <c r="F46" i="52"/>
  <c r="F46" i="53" s="1"/>
  <c r="F47" i="52"/>
  <c r="F47" i="53" s="1"/>
  <c r="F48" i="52"/>
  <c r="F48" i="53" s="1"/>
  <c r="F49" i="52"/>
  <c r="F49" i="53" s="1"/>
  <c r="F50" i="52"/>
  <c r="F50" i="53" s="1"/>
  <c r="F51" i="52"/>
  <c r="F51" i="53" s="1"/>
  <c r="F52" i="52"/>
  <c r="F52" i="53" s="1"/>
  <c r="F53" i="52"/>
  <c r="F53" i="53" s="1"/>
  <c r="F54" i="52"/>
  <c r="F54" i="53" s="1"/>
  <c r="F55" i="52"/>
  <c r="F55" i="53" s="1"/>
  <c r="F56" i="52"/>
  <c r="F56" i="53" s="1"/>
  <c r="F57" i="52"/>
  <c r="F57" i="53" s="1"/>
  <c r="F58" i="52"/>
  <c r="F58" i="53" s="1"/>
  <c r="F59" i="52"/>
  <c r="F59" i="53" s="1"/>
  <c r="F60" i="52"/>
  <c r="F60" i="53" s="1"/>
  <c r="F61" i="52"/>
  <c r="F61" i="53" s="1"/>
  <c r="F62" i="52"/>
  <c r="F62" i="53" s="1"/>
  <c r="F63" i="52"/>
  <c r="F63" i="53" s="1"/>
  <c r="F64" i="52"/>
  <c r="F64" i="53" s="1"/>
  <c r="F65" i="52"/>
  <c r="F65" i="53" s="1"/>
  <c r="F66" i="52"/>
  <c r="F66" i="53" s="1"/>
  <c r="F67" i="52"/>
  <c r="F67" i="53" s="1"/>
  <c r="F68" i="52"/>
  <c r="F68" i="53" s="1"/>
  <c r="F69" i="52"/>
  <c r="F69" i="53" s="1"/>
  <c r="F70" i="52"/>
  <c r="F70" i="53" s="1"/>
  <c r="F71" i="52"/>
  <c r="F71" i="53" s="1"/>
  <c r="F72" i="52"/>
  <c r="F72" i="53" s="1"/>
  <c r="F73" i="52"/>
  <c r="F73" i="53" s="1"/>
  <c r="F74" i="52"/>
  <c r="F74" i="53" s="1"/>
  <c r="F75" i="52"/>
  <c r="F75" i="53" s="1"/>
  <c r="F76" i="52"/>
  <c r="F76" i="53" s="1"/>
  <c r="F77" i="52"/>
  <c r="F77" i="53" s="1"/>
  <c r="F78" i="52"/>
  <c r="F78" i="53" s="1"/>
  <c r="F79" i="52"/>
  <c r="F79" i="53" s="1"/>
  <c r="F80" i="52"/>
  <c r="F80" i="53" s="1"/>
  <c r="F81" i="52"/>
  <c r="F81" i="53" s="1"/>
  <c r="F82" i="52"/>
  <c r="F82" i="53" s="1"/>
  <c r="F83" i="52"/>
  <c r="F83" i="53" s="1"/>
  <c r="F84" i="52"/>
  <c r="F84" i="53" s="1"/>
  <c r="F85" i="52"/>
  <c r="F85" i="53" s="1"/>
  <c r="F86" i="52"/>
  <c r="F86" i="53" s="1"/>
  <c r="F87" i="52"/>
  <c r="F87" i="53" s="1"/>
  <c r="F88" i="52"/>
  <c r="F88" i="53" s="1"/>
  <c r="F89" i="52"/>
  <c r="F89" i="53" s="1"/>
  <c r="F90" i="52"/>
  <c r="F90" i="53" s="1"/>
  <c r="F91" i="52"/>
  <c r="F91" i="53" s="1"/>
  <c r="F92" i="52"/>
  <c r="F93" i="52"/>
  <c r="F92" i="53" s="1"/>
  <c r="F94" i="52"/>
  <c r="F93" i="53" s="1"/>
  <c r="F95" i="52"/>
  <c r="F96" i="52"/>
  <c r="F3" i="52"/>
  <c r="F3" i="53" s="1"/>
  <c r="E4" i="52"/>
  <c r="B4" i="53" s="1"/>
  <c r="B9" i="55" s="1"/>
  <c r="E5" i="52"/>
  <c r="B5" i="53" s="1"/>
  <c r="B10" i="55" s="1"/>
  <c r="E6" i="52"/>
  <c r="B6" i="53" s="1"/>
  <c r="B11" i="55" s="1"/>
  <c r="E7" i="52"/>
  <c r="B7" i="53" s="1"/>
  <c r="B12" i="55" s="1"/>
  <c r="E8" i="52"/>
  <c r="B8" i="53" s="1"/>
  <c r="B13" i="55" s="1"/>
  <c r="E9" i="52"/>
  <c r="B9" i="53" s="1"/>
  <c r="B14" i="55" s="1"/>
  <c r="E10" i="52"/>
  <c r="B10" i="53" s="1"/>
  <c r="B15" i="55" s="1"/>
  <c r="E11" i="52"/>
  <c r="B11" i="53" s="1"/>
  <c r="B16" i="55" s="1"/>
  <c r="E12" i="52"/>
  <c r="B12" i="53" s="1"/>
  <c r="B17" i="55" s="1"/>
  <c r="E13" i="52"/>
  <c r="B13" i="53" s="1"/>
  <c r="B18" i="55" s="1"/>
  <c r="E14" i="52"/>
  <c r="B14" i="53" s="1"/>
  <c r="B19" i="55" s="1"/>
  <c r="E15" i="52"/>
  <c r="B15" i="53" s="1"/>
  <c r="B20" i="55" s="1"/>
  <c r="E16" i="52"/>
  <c r="B16" i="53" s="1"/>
  <c r="B21" i="55" s="1"/>
  <c r="E17" i="52"/>
  <c r="B17" i="53" s="1"/>
  <c r="B22" i="55" s="1"/>
  <c r="E18" i="52"/>
  <c r="B18" i="53" s="1"/>
  <c r="B23" i="55" s="1"/>
  <c r="E19" i="52"/>
  <c r="B19" i="53" s="1"/>
  <c r="B24" i="55" s="1"/>
  <c r="E20" i="52"/>
  <c r="B20" i="53" s="1"/>
  <c r="B25" i="55" s="1"/>
  <c r="E21" i="52"/>
  <c r="B21" i="53" s="1"/>
  <c r="B26" i="55" s="1"/>
  <c r="E22" i="52"/>
  <c r="B22" i="53" s="1"/>
  <c r="B27" i="55" s="1"/>
  <c r="E23" i="52"/>
  <c r="B23" i="53" s="1"/>
  <c r="B28" i="55" s="1"/>
  <c r="E24" i="52"/>
  <c r="B24" i="53" s="1"/>
  <c r="B29" i="55" s="1"/>
  <c r="E25" i="52"/>
  <c r="B25" i="53" s="1"/>
  <c r="B30" i="55" s="1"/>
  <c r="E26" i="52"/>
  <c r="B26" i="53" s="1"/>
  <c r="B32" i="55" s="1"/>
  <c r="E27" i="52"/>
  <c r="B27" i="53" s="1"/>
  <c r="B33" i="55" s="1"/>
  <c r="E28" i="52"/>
  <c r="B28" i="53" s="1"/>
  <c r="B34" i="55" s="1"/>
  <c r="E29" i="52"/>
  <c r="B29" i="53" s="1"/>
  <c r="B36" i="55" s="1"/>
  <c r="E30" i="52"/>
  <c r="B30" i="53" s="1"/>
  <c r="B38" i="55" s="1"/>
  <c r="E31" i="52"/>
  <c r="B31" i="53" s="1"/>
  <c r="B39" i="55" s="1"/>
  <c r="E32" i="52"/>
  <c r="B32" i="53" s="1"/>
  <c r="B40" i="55" s="1"/>
  <c r="E33" i="52"/>
  <c r="B33" i="53" s="1"/>
  <c r="B41" i="55" s="1"/>
  <c r="E34" i="52"/>
  <c r="B34" i="53" s="1"/>
  <c r="B42" i="55" s="1"/>
  <c r="E35" i="52"/>
  <c r="B35" i="53" s="1"/>
  <c r="B43" i="55" s="1"/>
  <c r="E36" i="52"/>
  <c r="B36" i="53" s="1"/>
  <c r="B44" i="55" s="1"/>
  <c r="E37" i="52"/>
  <c r="B37" i="53" s="1"/>
  <c r="B45" i="55" s="1"/>
  <c r="E38" i="52"/>
  <c r="B38" i="53" s="1"/>
  <c r="B46" i="55" s="1"/>
  <c r="E39" i="52"/>
  <c r="B39" i="53" s="1"/>
  <c r="B50" i="55" s="1"/>
  <c r="E40" i="52"/>
  <c r="B40" i="53" s="1"/>
  <c r="B51" i="55" s="1"/>
  <c r="E41" i="52"/>
  <c r="B41" i="53" s="1"/>
  <c r="B52" i="55" s="1"/>
  <c r="E42" i="52"/>
  <c r="B42" i="53" s="1"/>
  <c r="B54" i="55" s="1"/>
  <c r="E43" i="52"/>
  <c r="B43" i="53" s="1"/>
  <c r="B55" i="55" s="1"/>
  <c r="E44" i="52"/>
  <c r="B44" i="53" s="1"/>
  <c r="B56" i="55" s="1"/>
  <c r="E45" i="52"/>
  <c r="B45" i="53" s="1"/>
  <c r="B57" i="55" s="1"/>
  <c r="E46" i="52"/>
  <c r="B46" i="53" s="1"/>
  <c r="B58" i="55" s="1"/>
  <c r="E47" i="52"/>
  <c r="B47" i="53" s="1"/>
  <c r="B59" i="55" s="1"/>
  <c r="E48" i="52"/>
  <c r="B48" i="53" s="1"/>
  <c r="B60" i="55" s="1"/>
  <c r="E49" i="52"/>
  <c r="B49" i="53" s="1"/>
  <c r="B61" i="55" s="1"/>
  <c r="E50" i="52"/>
  <c r="B50" i="53" s="1"/>
  <c r="B63" i="55" s="1"/>
  <c r="E51" i="52"/>
  <c r="B51" i="53" s="1"/>
  <c r="B64" i="55" s="1"/>
  <c r="E52" i="52"/>
  <c r="B52" i="53" s="1"/>
  <c r="B65" i="55" s="1"/>
  <c r="E53" i="52"/>
  <c r="B53" i="53" s="1"/>
  <c r="B66" i="55" s="1"/>
  <c r="E54" i="52"/>
  <c r="B54" i="53" s="1"/>
  <c r="B67" i="55" s="1"/>
  <c r="E55" i="52"/>
  <c r="B55" i="53" s="1"/>
  <c r="B69" i="55" s="1"/>
  <c r="E56" i="52"/>
  <c r="B56" i="53" s="1"/>
  <c r="B70" i="55" s="1"/>
  <c r="E57" i="52"/>
  <c r="B57" i="53" s="1"/>
  <c r="E58" i="52"/>
  <c r="B58" i="53" s="1"/>
  <c r="B74" i="55" s="1"/>
  <c r="E59" i="52"/>
  <c r="B59" i="53" s="1"/>
  <c r="B75" i="55" s="1"/>
  <c r="E60" i="52"/>
  <c r="B60" i="53" s="1"/>
  <c r="B77" i="55" s="1"/>
  <c r="E61" i="52"/>
  <c r="B61" i="53" s="1"/>
  <c r="B80" i="55" s="1"/>
  <c r="E62" i="52"/>
  <c r="B62" i="53" s="1"/>
  <c r="B81" i="55" s="1"/>
  <c r="E63" i="52"/>
  <c r="B63" i="53" s="1"/>
  <c r="B83" i="55" s="1"/>
  <c r="E64" i="52"/>
  <c r="B64" i="53" s="1"/>
  <c r="B84" i="55" s="1"/>
  <c r="E65" i="52"/>
  <c r="B65" i="53" s="1"/>
  <c r="B85" i="55" s="1"/>
  <c r="E66" i="52"/>
  <c r="B66" i="53" s="1"/>
  <c r="B86" i="55" s="1"/>
  <c r="E67" i="52"/>
  <c r="B67" i="53" s="1"/>
  <c r="B87" i="55" s="1"/>
  <c r="E68" i="52"/>
  <c r="B68" i="53" s="1"/>
  <c r="B88" i="55" s="1"/>
  <c r="E69" i="52"/>
  <c r="B69" i="53" s="1"/>
  <c r="B91" i="55" s="1"/>
  <c r="E70" i="52"/>
  <c r="B70" i="53" s="1"/>
  <c r="B92" i="55" s="1"/>
  <c r="E71" i="52"/>
  <c r="B71" i="53" s="1"/>
  <c r="B93" i="55" s="1"/>
  <c r="E72" i="52"/>
  <c r="B72" i="53" s="1"/>
  <c r="B94" i="55" s="1"/>
  <c r="E73" i="52"/>
  <c r="B73" i="53" s="1"/>
  <c r="B95" i="55" s="1"/>
  <c r="E74" i="52"/>
  <c r="B74" i="53" s="1"/>
  <c r="B96" i="55" s="1"/>
  <c r="E75" i="52"/>
  <c r="B75" i="53" s="1"/>
  <c r="B97" i="55" s="1"/>
  <c r="E76" i="52"/>
  <c r="B76" i="53" s="1"/>
  <c r="B98" i="55" s="1"/>
  <c r="E77" i="52"/>
  <c r="B77" i="53" s="1"/>
  <c r="B100" i="55" s="1"/>
  <c r="E78" i="52"/>
  <c r="B78" i="53" s="1"/>
  <c r="B102" i="55" s="1"/>
  <c r="E79" i="52"/>
  <c r="B79" i="53" s="1"/>
  <c r="B103" i="55" s="1"/>
  <c r="E80" i="52"/>
  <c r="B80" i="53" s="1"/>
  <c r="B104" i="55" s="1"/>
  <c r="E81" i="52"/>
  <c r="B81" i="53" s="1"/>
  <c r="B105" i="55" s="1"/>
  <c r="E82" i="52"/>
  <c r="B82" i="53" s="1"/>
  <c r="B106" i="55" s="1"/>
  <c r="E83" i="52"/>
  <c r="B83" i="53" s="1"/>
  <c r="B107" i="55" s="1"/>
  <c r="E84" i="52"/>
  <c r="B84" i="53" s="1"/>
  <c r="B108" i="55" s="1"/>
  <c r="E85" i="52"/>
  <c r="B85" i="53" s="1"/>
  <c r="B109" i="55" s="1"/>
  <c r="E86" i="52"/>
  <c r="B86" i="53" s="1"/>
  <c r="B110" i="55" s="1"/>
  <c r="E87" i="52"/>
  <c r="B87" i="53" s="1"/>
  <c r="B111" i="55" s="1"/>
  <c r="E88" i="52"/>
  <c r="B88" i="53" s="1"/>
  <c r="B112" i="55" s="1"/>
  <c r="E89" i="52"/>
  <c r="B89" i="53" s="1"/>
  <c r="E90" i="52"/>
  <c r="B90" i="53" s="1"/>
  <c r="B113" i="55" s="1"/>
  <c r="E91" i="52"/>
  <c r="B91" i="53" s="1"/>
  <c r="E92" i="52"/>
  <c r="E93" i="52"/>
  <c r="B92" i="53" s="1"/>
  <c r="B116" i="55" s="1"/>
  <c r="E94" i="52"/>
  <c r="B93" i="53" s="1"/>
  <c r="B117" i="55" s="1"/>
  <c r="E95" i="52"/>
  <c r="E96" i="52"/>
  <c r="E3" i="52"/>
  <c r="B3" i="53" s="1"/>
  <c r="B8" i="55" s="1"/>
  <c r="D4" i="52"/>
  <c r="D4" i="53" s="1"/>
  <c r="D9" i="55" s="1"/>
  <c r="D5" i="52"/>
  <c r="D5" i="53" s="1"/>
  <c r="D10" i="55" s="1"/>
  <c r="D6" i="52"/>
  <c r="D6" i="53" s="1"/>
  <c r="D11" i="55" s="1"/>
  <c r="D7" i="52"/>
  <c r="D7" i="53" s="1"/>
  <c r="D12" i="55" s="1"/>
  <c r="D8" i="52"/>
  <c r="D8" i="53" s="1"/>
  <c r="D13" i="55" s="1"/>
  <c r="D9" i="52"/>
  <c r="D9" i="53" s="1"/>
  <c r="D14" i="55" s="1"/>
  <c r="D10" i="52"/>
  <c r="D10" i="53" s="1"/>
  <c r="D15" i="55" s="1"/>
  <c r="D11" i="52"/>
  <c r="D11" i="53" s="1"/>
  <c r="D16" i="55" s="1"/>
  <c r="D12" i="52"/>
  <c r="D12" i="53" s="1"/>
  <c r="D17" i="55" s="1"/>
  <c r="D13" i="52"/>
  <c r="D13" i="53" s="1"/>
  <c r="D18" i="55" s="1"/>
  <c r="D14" i="52"/>
  <c r="D14" i="53" s="1"/>
  <c r="D19" i="55" s="1"/>
  <c r="D15" i="52"/>
  <c r="D15" i="53" s="1"/>
  <c r="D20" i="55" s="1"/>
  <c r="D16" i="52"/>
  <c r="D16" i="53" s="1"/>
  <c r="D21" i="55" s="1"/>
  <c r="D17" i="52"/>
  <c r="D17" i="53" s="1"/>
  <c r="D22" i="55" s="1"/>
  <c r="D18" i="52"/>
  <c r="D18" i="53" s="1"/>
  <c r="D23" i="55" s="1"/>
  <c r="D19" i="52"/>
  <c r="D19" i="53" s="1"/>
  <c r="D24" i="55" s="1"/>
  <c r="D20" i="52"/>
  <c r="D20" i="53" s="1"/>
  <c r="D25" i="55" s="1"/>
  <c r="D21" i="52"/>
  <c r="D21" i="53" s="1"/>
  <c r="D26" i="55" s="1"/>
  <c r="D22" i="52"/>
  <c r="D22" i="53" s="1"/>
  <c r="D27" i="55" s="1"/>
  <c r="D23" i="52"/>
  <c r="D23" i="53" s="1"/>
  <c r="D28" i="55" s="1"/>
  <c r="D24" i="52"/>
  <c r="D24" i="53" s="1"/>
  <c r="D29" i="55" s="1"/>
  <c r="D25" i="52"/>
  <c r="D25" i="53" s="1"/>
  <c r="D30" i="55" s="1"/>
  <c r="D26" i="52"/>
  <c r="D26" i="53" s="1"/>
  <c r="D32" i="55" s="1"/>
  <c r="D27" i="52"/>
  <c r="D27" i="53" s="1"/>
  <c r="D33" i="55" s="1"/>
  <c r="D28" i="52"/>
  <c r="D28" i="53" s="1"/>
  <c r="D34" i="55" s="1"/>
  <c r="D29" i="52"/>
  <c r="D29" i="53" s="1"/>
  <c r="D36" i="55" s="1"/>
  <c r="D30" i="52"/>
  <c r="D30" i="53" s="1"/>
  <c r="D38" i="55" s="1"/>
  <c r="D31" i="52"/>
  <c r="D31" i="53" s="1"/>
  <c r="D39" i="55" s="1"/>
  <c r="D32" i="52"/>
  <c r="D32" i="53" s="1"/>
  <c r="D40" i="55" s="1"/>
  <c r="D33" i="52"/>
  <c r="D33" i="53" s="1"/>
  <c r="D41" i="55" s="1"/>
  <c r="D34" i="52"/>
  <c r="D34" i="53" s="1"/>
  <c r="D42" i="55" s="1"/>
  <c r="D35" i="52"/>
  <c r="D35" i="53" s="1"/>
  <c r="D43" i="55" s="1"/>
  <c r="D36" i="52"/>
  <c r="D36" i="53" s="1"/>
  <c r="D44" i="55" s="1"/>
  <c r="D37" i="52"/>
  <c r="D37" i="53" s="1"/>
  <c r="D45" i="55" s="1"/>
  <c r="D38" i="52"/>
  <c r="D38" i="53" s="1"/>
  <c r="D46" i="55" s="1"/>
  <c r="D39" i="52"/>
  <c r="D39" i="53" s="1"/>
  <c r="D50" i="55" s="1"/>
  <c r="D40" i="52"/>
  <c r="D40" i="53" s="1"/>
  <c r="D51" i="55" s="1"/>
  <c r="D41" i="52"/>
  <c r="D41" i="53" s="1"/>
  <c r="D52" i="55" s="1"/>
  <c r="D42" i="52"/>
  <c r="D42" i="53" s="1"/>
  <c r="D54" i="55" s="1"/>
  <c r="D43" i="52"/>
  <c r="D43" i="53" s="1"/>
  <c r="D55" i="55" s="1"/>
  <c r="D44" i="52"/>
  <c r="D44" i="53" s="1"/>
  <c r="D56" i="55" s="1"/>
  <c r="D45" i="52"/>
  <c r="D45" i="53" s="1"/>
  <c r="D57" i="55" s="1"/>
  <c r="D46" i="52"/>
  <c r="D46" i="53" s="1"/>
  <c r="D58" i="55" s="1"/>
  <c r="D47" i="52"/>
  <c r="D47" i="53" s="1"/>
  <c r="D59" i="55" s="1"/>
  <c r="D48" i="52"/>
  <c r="D48" i="53" s="1"/>
  <c r="D60" i="55" s="1"/>
  <c r="D49" i="52"/>
  <c r="D49" i="53" s="1"/>
  <c r="D61" i="55" s="1"/>
  <c r="D50" i="52"/>
  <c r="D50" i="53" s="1"/>
  <c r="D63" i="55" s="1"/>
  <c r="D51" i="52"/>
  <c r="D51" i="53" s="1"/>
  <c r="D64" i="55" s="1"/>
  <c r="D52" i="52"/>
  <c r="D52" i="53" s="1"/>
  <c r="D65" i="55" s="1"/>
  <c r="D53" i="52"/>
  <c r="D53" i="53" s="1"/>
  <c r="D66" i="55" s="1"/>
  <c r="D54" i="52"/>
  <c r="D54" i="53" s="1"/>
  <c r="D67" i="55" s="1"/>
  <c r="D55" i="52"/>
  <c r="D55" i="53" s="1"/>
  <c r="D69" i="55" s="1"/>
  <c r="D56" i="52"/>
  <c r="D56" i="53" s="1"/>
  <c r="D70" i="55" s="1"/>
  <c r="D57" i="52"/>
  <c r="D57" i="53" s="1"/>
  <c r="D58" i="52"/>
  <c r="D58" i="53" s="1"/>
  <c r="D74" i="55" s="1"/>
  <c r="D59" i="52"/>
  <c r="D59" i="53" s="1"/>
  <c r="D75" i="55" s="1"/>
  <c r="D60" i="52"/>
  <c r="D60" i="53" s="1"/>
  <c r="D77" i="55" s="1"/>
  <c r="D61" i="52"/>
  <c r="D61" i="53" s="1"/>
  <c r="D80" i="55" s="1"/>
  <c r="D62" i="52"/>
  <c r="D62" i="53" s="1"/>
  <c r="D81" i="55" s="1"/>
  <c r="D63" i="52"/>
  <c r="D63" i="53" s="1"/>
  <c r="D83" i="55" s="1"/>
  <c r="D64" i="52"/>
  <c r="D64" i="53" s="1"/>
  <c r="D84" i="55" s="1"/>
  <c r="D65" i="52"/>
  <c r="D65" i="53" s="1"/>
  <c r="D85" i="55" s="1"/>
  <c r="D66" i="52"/>
  <c r="D66" i="53" s="1"/>
  <c r="D86" i="55" s="1"/>
  <c r="D67" i="52"/>
  <c r="D67" i="53" s="1"/>
  <c r="D87" i="55" s="1"/>
  <c r="D68" i="52"/>
  <c r="D68" i="53" s="1"/>
  <c r="D88" i="55" s="1"/>
  <c r="D69" i="52"/>
  <c r="D69" i="53" s="1"/>
  <c r="D91" i="55" s="1"/>
  <c r="D70" i="52"/>
  <c r="D70" i="53" s="1"/>
  <c r="D92" i="55" s="1"/>
  <c r="D71" i="52"/>
  <c r="D71" i="53" s="1"/>
  <c r="D93" i="55" s="1"/>
  <c r="D72" i="52"/>
  <c r="D72" i="53" s="1"/>
  <c r="D94" i="55" s="1"/>
  <c r="D73" i="52"/>
  <c r="D73" i="53" s="1"/>
  <c r="D95" i="55" s="1"/>
  <c r="D74" i="52"/>
  <c r="D74" i="53" s="1"/>
  <c r="D96" i="55" s="1"/>
  <c r="D75" i="52"/>
  <c r="D75" i="53" s="1"/>
  <c r="D97" i="55" s="1"/>
  <c r="D76" i="52"/>
  <c r="D76" i="53" s="1"/>
  <c r="D98" i="55" s="1"/>
  <c r="D77" i="52"/>
  <c r="D77" i="53" s="1"/>
  <c r="D100" i="55" s="1"/>
  <c r="D78" i="52"/>
  <c r="D78" i="53" s="1"/>
  <c r="D102" i="55" s="1"/>
  <c r="D79" i="52"/>
  <c r="D79" i="53" s="1"/>
  <c r="D103" i="55" s="1"/>
  <c r="D80" i="52"/>
  <c r="D80" i="53" s="1"/>
  <c r="D104" i="55" s="1"/>
  <c r="D81" i="52"/>
  <c r="D81" i="53" s="1"/>
  <c r="D105" i="55" s="1"/>
  <c r="D82" i="52"/>
  <c r="D82" i="53" s="1"/>
  <c r="D106" i="55" s="1"/>
  <c r="D83" i="52"/>
  <c r="D83" i="53" s="1"/>
  <c r="D107" i="55" s="1"/>
  <c r="D84" i="52"/>
  <c r="D84" i="53" s="1"/>
  <c r="D108" i="55" s="1"/>
  <c r="D85" i="52"/>
  <c r="D85" i="53" s="1"/>
  <c r="D109" i="55" s="1"/>
  <c r="D86" i="52"/>
  <c r="D86" i="53" s="1"/>
  <c r="D110" i="55" s="1"/>
  <c r="D87" i="52"/>
  <c r="D87" i="53" s="1"/>
  <c r="D111" i="55" s="1"/>
  <c r="D88" i="52"/>
  <c r="D88" i="53" s="1"/>
  <c r="D112" i="55" s="1"/>
  <c r="D89" i="52"/>
  <c r="D89" i="53" s="1"/>
  <c r="D90" i="52"/>
  <c r="D90" i="53" s="1"/>
  <c r="D113" i="55" s="1"/>
  <c r="D91" i="52"/>
  <c r="D91" i="53" s="1"/>
  <c r="D92" i="52"/>
  <c r="D93" i="52"/>
  <c r="D92" i="53" s="1"/>
  <c r="D116" i="55" s="1"/>
  <c r="D94" i="52"/>
  <c r="D93" i="53" s="1"/>
  <c r="D117" i="55" s="1"/>
  <c r="D95" i="52"/>
  <c r="D96" i="52"/>
  <c r="D3" i="52"/>
  <c r="D3" i="53" s="1"/>
  <c r="D8" i="55" s="1"/>
  <c r="C4" i="52"/>
  <c r="C4" i="53" s="1"/>
  <c r="C9" i="55" s="1"/>
  <c r="C5" i="52"/>
  <c r="C5" i="53" s="1"/>
  <c r="C10" i="55" s="1"/>
  <c r="C6" i="52"/>
  <c r="C6" i="53" s="1"/>
  <c r="C11" i="55" s="1"/>
  <c r="C7" i="52"/>
  <c r="C7" i="53" s="1"/>
  <c r="C12" i="55" s="1"/>
  <c r="C8" i="52"/>
  <c r="C8" i="53" s="1"/>
  <c r="C13" i="55" s="1"/>
  <c r="C9" i="52"/>
  <c r="C9" i="53" s="1"/>
  <c r="C14" i="55" s="1"/>
  <c r="C10" i="52"/>
  <c r="C10" i="53" s="1"/>
  <c r="C15" i="55" s="1"/>
  <c r="C11" i="52"/>
  <c r="C11" i="53" s="1"/>
  <c r="C16" i="55" s="1"/>
  <c r="C12" i="52"/>
  <c r="C12" i="53" s="1"/>
  <c r="C17" i="55" s="1"/>
  <c r="C13" i="52"/>
  <c r="C13" i="53" s="1"/>
  <c r="C18" i="55" s="1"/>
  <c r="C14" i="52"/>
  <c r="C14" i="53" s="1"/>
  <c r="C19" i="55" s="1"/>
  <c r="C15" i="52"/>
  <c r="C15" i="53" s="1"/>
  <c r="C20" i="55" s="1"/>
  <c r="C16" i="52"/>
  <c r="C16" i="53" s="1"/>
  <c r="C21" i="55" s="1"/>
  <c r="C17" i="52"/>
  <c r="C17" i="53" s="1"/>
  <c r="C22" i="55" s="1"/>
  <c r="C18" i="52"/>
  <c r="C18" i="53" s="1"/>
  <c r="C23" i="55" s="1"/>
  <c r="C19" i="52"/>
  <c r="C19" i="53" s="1"/>
  <c r="C24" i="55" s="1"/>
  <c r="C20" i="52"/>
  <c r="C20" i="53" s="1"/>
  <c r="C25" i="55" s="1"/>
  <c r="C21" i="52"/>
  <c r="C21" i="53" s="1"/>
  <c r="C26" i="55" s="1"/>
  <c r="C22" i="52"/>
  <c r="C22" i="53" s="1"/>
  <c r="C27" i="55" s="1"/>
  <c r="C23" i="52"/>
  <c r="C23" i="53" s="1"/>
  <c r="C28" i="55" s="1"/>
  <c r="C24" i="52"/>
  <c r="C24" i="53" s="1"/>
  <c r="C29" i="55" s="1"/>
  <c r="C25" i="52"/>
  <c r="C25" i="53" s="1"/>
  <c r="C30" i="55" s="1"/>
  <c r="C26" i="52"/>
  <c r="C26" i="53" s="1"/>
  <c r="C32" i="55" s="1"/>
  <c r="C27" i="52"/>
  <c r="C27" i="53" s="1"/>
  <c r="C33" i="55" s="1"/>
  <c r="C28" i="52"/>
  <c r="C28" i="53" s="1"/>
  <c r="C34" i="55" s="1"/>
  <c r="C29" i="52"/>
  <c r="C29" i="53" s="1"/>
  <c r="C36" i="55" s="1"/>
  <c r="C30" i="52"/>
  <c r="C30" i="53" s="1"/>
  <c r="C38" i="55" s="1"/>
  <c r="C31" i="52"/>
  <c r="C31" i="53" s="1"/>
  <c r="C39" i="55" s="1"/>
  <c r="C32" i="52"/>
  <c r="C32" i="53" s="1"/>
  <c r="C40" i="55" s="1"/>
  <c r="C33" i="52"/>
  <c r="C33" i="53" s="1"/>
  <c r="C41" i="55" s="1"/>
  <c r="C34" i="52"/>
  <c r="C34" i="53" s="1"/>
  <c r="C42" i="55" s="1"/>
  <c r="C35" i="52"/>
  <c r="C35" i="53" s="1"/>
  <c r="C43" i="55" s="1"/>
  <c r="C36" i="52"/>
  <c r="C36" i="53" s="1"/>
  <c r="C44" i="55" s="1"/>
  <c r="C37" i="52"/>
  <c r="C37" i="53" s="1"/>
  <c r="C45" i="55" s="1"/>
  <c r="C38" i="52"/>
  <c r="C38" i="53" s="1"/>
  <c r="C46" i="55" s="1"/>
  <c r="C39" i="52"/>
  <c r="C39" i="53" s="1"/>
  <c r="C50" i="55" s="1"/>
  <c r="C40" i="52"/>
  <c r="C40" i="53" s="1"/>
  <c r="C51" i="55" s="1"/>
  <c r="C41" i="52"/>
  <c r="C41" i="53" s="1"/>
  <c r="C52" i="55" s="1"/>
  <c r="C42" i="52"/>
  <c r="C42" i="53" s="1"/>
  <c r="C54" i="55" s="1"/>
  <c r="C43" i="52"/>
  <c r="C43" i="53" s="1"/>
  <c r="C55" i="55" s="1"/>
  <c r="C44" i="52"/>
  <c r="C44" i="53" s="1"/>
  <c r="C56" i="55" s="1"/>
  <c r="C45" i="52"/>
  <c r="C45" i="53" s="1"/>
  <c r="C57" i="55" s="1"/>
  <c r="C46" i="52"/>
  <c r="C46" i="53" s="1"/>
  <c r="C58" i="55" s="1"/>
  <c r="C47" i="52"/>
  <c r="C47" i="53" s="1"/>
  <c r="C59" i="55" s="1"/>
  <c r="C48" i="52"/>
  <c r="C48" i="53" s="1"/>
  <c r="C60" i="55" s="1"/>
  <c r="C49" i="52"/>
  <c r="C49" i="53" s="1"/>
  <c r="C61" i="55" s="1"/>
  <c r="C50" i="52"/>
  <c r="C50" i="53" s="1"/>
  <c r="C63" i="55" s="1"/>
  <c r="C51" i="52"/>
  <c r="C51" i="53" s="1"/>
  <c r="C64" i="55" s="1"/>
  <c r="C52" i="52"/>
  <c r="C52" i="53" s="1"/>
  <c r="C65" i="55" s="1"/>
  <c r="C53" i="52"/>
  <c r="C53" i="53" s="1"/>
  <c r="C66" i="55" s="1"/>
  <c r="C54" i="52"/>
  <c r="C54" i="53" s="1"/>
  <c r="C67" i="55" s="1"/>
  <c r="C55" i="52"/>
  <c r="C55" i="53" s="1"/>
  <c r="C69" i="55" s="1"/>
  <c r="C56" i="52"/>
  <c r="C56" i="53" s="1"/>
  <c r="C70" i="55" s="1"/>
  <c r="C57" i="52"/>
  <c r="C57" i="53" s="1"/>
  <c r="C58" i="52"/>
  <c r="C58" i="53" s="1"/>
  <c r="C74" i="55" s="1"/>
  <c r="C59" i="52"/>
  <c r="C59" i="53" s="1"/>
  <c r="C75" i="55" s="1"/>
  <c r="C60" i="52"/>
  <c r="C60" i="53" s="1"/>
  <c r="C77" i="55" s="1"/>
  <c r="C61" i="52"/>
  <c r="C61" i="53" s="1"/>
  <c r="C80" i="55" s="1"/>
  <c r="C62" i="52"/>
  <c r="C62" i="53" s="1"/>
  <c r="C81" i="55" s="1"/>
  <c r="C63" i="52"/>
  <c r="C63" i="53" s="1"/>
  <c r="C83" i="55" s="1"/>
  <c r="C64" i="52"/>
  <c r="C64" i="53" s="1"/>
  <c r="C84" i="55" s="1"/>
  <c r="C65" i="52"/>
  <c r="C65" i="53" s="1"/>
  <c r="C85" i="55" s="1"/>
  <c r="C66" i="52"/>
  <c r="C66" i="53" s="1"/>
  <c r="C86" i="55" s="1"/>
  <c r="C67" i="52"/>
  <c r="C67" i="53" s="1"/>
  <c r="C87" i="55" s="1"/>
  <c r="C68" i="52"/>
  <c r="C68" i="53" s="1"/>
  <c r="C88" i="55" s="1"/>
  <c r="C69" i="52"/>
  <c r="C69" i="53" s="1"/>
  <c r="C91" i="55" s="1"/>
  <c r="C70" i="52"/>
  <c r="C70" i="53" s="1"/>
  <c r="C92" i="55" s="1"/>
  <c r="C71" i="52"/>
  <c r="C71" i="53" s="1"/>
  <c r="C93" i="55" s="1"/>
  <c r="C72" i="52"/>
  <c r="C72" i="53" s="1"/>
  <c r="C94" i="55" s="1"/>
  <c r="C73" i="52"/>
  <c r="C73" i="53" s="1"/>
  <c r="C95" i="55" s="1"/>
  <c r="C74" i="52"/>
  <c r="C74" i="53" s="1"/>
  <c r="C96" i="55" s="1"/>
  <c r="C75" i="52"/>
  <c r="C75" i="53" s="1"/>
  <c r="C97" i="55" s="1"/>
  <c r="C76" i="52"/>
  <c r="C76" i="53" s="1"/>
  <c r="C98" i="55" s="1"/>
  <c r="C77" i="52"/>
  <c r="C77" i="53" s="1"/>
  <c r="C100" i="55" s="1"/>
  <c r="C78" i="52"/>
  <c r="C78" i="53" s="1"/>
  <c r="C102" i="55" s="1"/>
  <c r="C79" i="52"/>
  <c r="C79" i="53" s="1"/>
  <c r="C103" i="55" s="1"/>
  <c r="C80" i="52"/>
  <c r="C80" i="53" s="1"/>
  <c r="C104" i="55" s="1"/>
  <c r="C81" i="52"/>
  <c r="C81" i="53" s="1"/>
  <c r="C105" i="55" s="1"/>
  <c r="C82" i="52"/>
  <c r="C82" i="53" s="1"/>
  <c r="C106" i="55" s="1"/>
  <c r="C83" i="52"/>
  <c r="C83" i="53" s="1"/>
  <c r="C107" i="55" s="1"/>
  <c r="C84" i="52"/>
  <c r="C84" i="53" s="1"/>
  <c r="C108" i="55" s="1"/>
  <c r="C85" i="52"/>
  <c r="C85" i="53" s="1"/>
  <c r="C109" i="55" s="1"/>
  <c r="C86" i="52"/>
  <c r="C86" i="53" s="1"/>
  <c r="C110" i="55" s="1"/>
  <c r="C87" i="52"/>
  <c r="C87" i="53" s="1"/>
  <c r="C111" i="55" s="1"/>
  <c r="C88" i="52"/>
  <c r="C88" i="53" s="1"/>
  <c r="C112" i="55" s="1"/>
  <c r="C89" i="52"/>
  <c r="C89" i="53" s="1"/>
  <c r="C90" i="52"/>
  <c r="C90" i="53" s="1"/>
  <c r="C113" i="55" s="1"/>
  <c r="C91" i="52"/>
  <c r="C91" i="53" s="1"/>
  <c r="C92" i="52"/>
  <c r="C93" i="52"/>
  <c r="C92" i="53" s="1"/>
  <c r="C116" i="55" s="1"/>
  <c r="C94" i="52"/>
  <c r="C93" i="53" s="1"/>
  <c r="C117" i="55" s="1"/>
  <c r="C95" i="52"/>
  <c r="C96" i="52"/>
  <c r="C3" i="52"/>
  <c r="C3" i="53" s="1"/>
  <c r="C8" i="55" s="1"/>
  <c r="B3" i="52"/>
  <c r="E3" i="53" s="1"/>
  <c r="E8" i="55" s="1"/>
  <c r="B4" i="52"/>
  <c r="E4" i="53" s="1"/>
  <c r="E9" i="55" s="1"/>
  <c r="B5" i="52"/>
  <c r="E5" i="53" s="1"/>
  <c r="E10" i="55" s="1"/>
  <c r="B6" i="52"/>
  <c r="E6" i="53" s="1"/>
  <c r="E11" i="55" s="1"/>
  <c r="B7" i="52"/>
  <c r="E7" i="53" s="1"/>
  <c r="E12" i="55" s="1"/>
  <c r="B8" i="52"/>
  <c r="E8" i="53" s="1"/>
  <c r="E13" i="55" s="1"/>
  <c r="B9" i="52"/>
  <c r="E9" i="53" s="1"/>
  <c r="E14" i="55" s="1"/>
  <c r="B10" i="52"/>
  <c r="E10" i="53" s="1"/>
  <c r="E15" i="55" s="1"/>
  <c r="B11" i="52"/>
  <c r="E11" i="53" s="1"/>
  <c r="E16" i="55" s="1"/>
  <c r="B12" i="52"/>
  <c r="E12" i="53" s="1"/>
  <c r="E17" i="55" s="1"/>
  <c r="B13" i="52"/>
  <c r="E13" i="53" s="1"/>
  <c r="E18" i="55" s="1"/>
  <c r="B14" i="52"/>
  <c r="E14" i="53" s="1"/>
  <c r="E19" i="55" s="1"/>
  <c r="B15" i="52"/>
  <c r="E15" i="53" s="1"/>
  <c r="E20" i="55" s="1"/>
  <c r="B16" i="52"/>
  <c r="E16" i="53" s="1"/>
  <c r="E21" i="55" s="1"/>
  <c r="B17" i="52"/>
  <c r="E17" i="53" s="1"/>
  <c r="E22" i="55" s="1"/>
  <c r="B18" i="52"/>
  <c r="E18" i="53" s="1"/>
  <c r="E23" i="55" s="1"/>
  <c r="B19" i="52"/>
  <c r="E19" i="53" s="1"/>
  <c r="E24" i="55" s="1"/>
  <c r="B20" i="52"/>
  <c r="E20" i="53" s="1"/>
  <c r="E25" i="55" s="1"/>
  <c r="B21" i="52"/>
  <c r="E21" i="53" s="1"/>
  <c r="E26" i="55" s="1"/>
  <c r="B22" i="52"/>
  <c r="E22" i="53" s="1"/>
  <c r="E27" i="55" s="1"/>
  <c r="B23" i="52"/>
  <c r="E23" i="53" s="1"/>
  <c r="E28" i="55" s="1"/>
  <c r="B24" i="52"/>
  <c r="E24" i="53" s="1"/>
  <c r="E29" i="55" s="1"/>
  <c r="B25" i="52"/>
  <c r="E25" i="53" s="1"/>
  <c r="E30" i="55" s="1"/>
  <c r="B26" i="52"/>
  <c r="E26" i="53" s="1"/>
  <c r="E32" i="55" s="1"/>
  <c r="B27" i="52"/>
  <c r="E27" i="53" s="1"/>
  <c r="E33" i="55" s="1"/>
  <c r="B28" i="52"/>
  <c r="E28" i="53" s="1"/>
  <c r="E34" i="55" s="1"/>
  <c r="B29" i="52"/>
  <c r="E29" i="53" s="1"/>
  <c r="E36" i="55" s="1"/>
  <c r="B30" i="52"/>
  <c r="E30" i="53" s="1"/>
  <c r="E38" i="55" s="1"/>
  <c r="B31" i="52"/>
  <c r="E31" i="53" s="1"/>
  <c r="E39" i="55" s="1"/>
  <c r="B32" i="52"/>
  <c r="E32" i="53" s="1"/>
  <c r="E40" i="55" s="1"/>
  <c r="B33" i="52"/>
  <c r="E33" i="53" s="1"/>
  <c r="E41" i="55" s="1"/>
  <c r="B34" i="52"/>
  <c r="E34" i="53" s="1"/>
  <c r="E42" i="55" s="1"/>
  <c r="B35" i="52"/>
  <c r="E35" i="53" s="1"/>
  <c r="E43" i="55" s="1"/>
  <c r="B36" i="52"/>
  <c r="E36" i="53" s="1"/>
  <c r="E44" i="55" s="1"/>
  <c r="B37" i="52"/>
  <c r="E37" i="53" s="1"/>
  <c r="E45" i="55" s="1"/>
  <c r="B38" i="52"/>
  <c r="E38" i="53" s="1"/>
  <c r="E46" i="55" s="1"/>
  <c r="B39" i="52"/>
  <c r="E39" i="53" s="1"/>
  <c r="E50" i="55" s="1"/>
  <c r="B40" i="52"/>
  <c r="E40" i="53" s="1"/>
  <c r="E51" i="55" s="1"/>
  <c r="B41" i="52"/>
  <c r="E41" i="53" s="1"/>
  <c r="E52" i="55" s="1"/>
  <c r="B42" i="52"/>
  <c r="E42" i="53" s="1"/>
  <c r="E54" i="55" s="1"/>
  <c r="B43" i="52"/>
  <c r="E43" i="53" s="1"/>
  <c r="E55" i="55" s="1"/>
  <c r="B44" i="52"/>
  <c r="E44" i="53" s="1"/>
  <c r="E56" i="55" s="1"/>
  <c r="B45" i="52"/>
  <c r="E45" i="53" s="1"/>
  <c r="E57" i="55" s="1"/>
  <c r="B46" i="52"/>
  <c r="E46" i="53" s="1"/>
  <c r="E58" i="55" s="1"/>
  <c r="B47" i="52"/>
  <c r="E47" i="53" s="1"/>
  <c r="E59" i="55" s="1"/>
  <c r="B48" i="52"/>
  <c r="E48" i="53" s="1"/>
  <c r="E60" i="55" s="1"/>
  <c r="B49" i="52"/>
  <c r="E49" i="53" s="1"/>
  <c r="E61" i="55" s="1"/>
  <c r="B50" i="52"/>
  <c r="E50" i="53" s="1"/>
  <c r="E63" i="55" s="1"/>
  <c r="B51" i="52"/>
  <c r="E51" i="53" s="1"/>
  <c r="E64" i="55" s="1"/>
  <c r="B52" i="52"/>
  <c r="E52" i="53" s="1"/>
  <c r="E65" i="55" s="1"/>
  <c r="B53" i="52"/>
  <c r="E53" i="53" s="1"/>
  <c r="E66" i="55" s="1"/>
  <c r="B54" i="52"/>
  <c r="E54" i="53" s="1"/>
  <c r="E67" i="55" s="1"/>
  <c r="B55" i="52"/>
  <c r="E55" i="53" s="1"/>
  <c r="E69" i="55" s="1"/>
  <c r="B56" i="52"/>
  <c r="E56" i="53" s="1"/>
  <c r="E70" i="55" s="1"/>
  <c r="B57" i="52"/>
  <c r="E57" i="53" s="1"/>
  <c r="B58" i="52"/>
  <c r="E58" i="53" s="1"/>
  <c r="E74" i="55" s="1"/>
  <c r="B59" i="52"/>
  <c r="E59" i="53" s="1"/>
  <c r="E75" i="55" s="1"/>
  <c r="B60" i="52"/>
  <c r="E60" i="53" s="1"/>
  <c r="E77" i="55" s="1"/>
  <c r="B61" i="52"/>
  <c r="E61" i="53" s="1"/>
  <c r="E80" i="55" s="1"/>
  <c r="B62" i="52"/>
  <c r="E62" i="53" s="1"/>
  <c r="E81" i="55" s="1"/>
  <c r="B63" i="52"/>
  <c r="E63" i="53" s="1"/>
  <c r="E83" i="55" s="1"/>
  <c r="B64" i="52"/>
  <c r="E64" i="53" s="1"/>
  <c r="E84" i="55" s="1"/>
  <c r="B65" i="52"/>
  <c r="E65" i="53" s="1"/>
  <c r="E85" i="55" s="1"/>
  <c r="B66" i="52"/>
  <c r="E66" i="53" s="1"/>
  <c r="E86" i="55" s="1"/>
  <c r="B67" i="52"/>
  <c r="E67" i="53" s="1"/>
  <c r="E87" i="55" s="1"/>
  <c r="B68" i="52"/>
  <c r="E68" i="53" s="1"/>
  <c r="E88" i="55" s="1"/>
  <c r="B69" i="52"/>
  <c r="E69" i="53" s="1"/>
  <c r="E91" i="55" s="1"/>
  <c r="B70" i="52"/>
  <c r="E70" i="53" s="1"/>
  <c r="E92" i="55" s="1"/>
  <c r="B71" i="52"/>
  <c r="E71" i="53" s="1"/>
  <c r="E93" i="55" s="1"/>
  <c r="B72" i="52"/>
  <c r="E72" i="53" s="1"/>
  <c r="E94" i="55" s="1"/>
  <c r="B73" i="52"/>
  <c r="E73" i="53" s="1"/>
  <c r="E95" i="55" s="1"/>
  <c r="B74" i="52"/>
  <c r="E74" i="53" s="1"/>
  <c r="E96" i="55" s="1"/>
  <c r="B75" i="52"/>
  <c r="E75" i="53" s="1"/>
  <c r="E97" i="55" s="1"/>
  <c r="B76" i="52"/>
  <c r="E76" i="53" s="1"/>
  <c r="E98" i="55" s="1"/>
  <c r="B77" i="52"/>
  <c r="E77" i="53" s="1"/>
  <c r="E100" i="55" s="1"/>
  <c r="B78" i="52"/>
  <c r="E78" i="53" s="1"/>
  <c r="E102" i="55" s="1"/>
  <c r="B79" i="52"/>
  <c r="E79" i="53" s="1"/>
  <c r="E103" i="55" s="1"/>
  <c r="B80" i="52"/>
  <c r="E80" i="53" s="1"/>
  <c r="E104" i="55" s="1"/>
  <c r="B81" i="52"/>
  <c r="E81" i="53" s="1"/>
  <c r="E105" i="55" s="1"/>
  <c r="B82" i="52"/>
  <c r="E82" i="53" s="1"/>
  <c r="E106" i="55" s="1"/>
  <c r="B83" i="52"/>
  <c r="E83" i="53" s="1"/>
  <c r="E107" i="55" s="1"/>
  <c r="B84" i="52"/>
  <c r="E84" i="53" s="1"/>
  <c r="E108" i="55" s="1"/>
  <c r="B85" i="52"/>
  <c r="E85" i="53" s="1"/>
  <c r="E109" i="55" s="1"/>
  <c r="B86" i="52"/>
  <c r="E86" i="53" s="1"/>
  <c r="E110" i="55" s="1"/>
  <c r="B87" i="52"/>
  <c r="E87" i="53" s="1"/>
  <c r="E111" i="55" s="1"/>
  <c r="B88" i="52"/>
  <c r="E88" i="53" s="1"/>
  <c r="E112" i="55" s="1"/>
  <c r="B89" i="52"/>
  <c r="E89" i="53" s="1"/>
  <c r="B90" i="52"/>
  <c r="E90" i="53" s="1"/>
  <c r="E113" i="55" s="1"/>
  <c r="B91" i="52"/>
  <c r="E91" i="53" s="1"/>
  <c r="B92" i="52"/>
  <c r="B93" i="52"/>
  <c r="E92" i="53" s="1"/>
  <c r="E116" i="55" s="1"/>
  <c r="B94" i="52"/>
  <c r="E93" i="53" s="1"/>
  <c r="E117" i="55" s="1"/>
  <c r="B95" i="52"/>
  <c r="B96" i="52"/>
  <c r="J1" i="53"/>
  <c r="I1" i="53"/>
  <c r="H1" i="53"/>
  <c r="G1" i="53"/>
  <c r="G79" i="53" s="1"/>
  <c r="J103" i="55" s="1"/>
  <c r="I117" i="50"/>
  <c r="H117" i="50"/>
  <c r="G117" i="50"/>
  <c r="F117" i="50"/>
  <c r="E117" i="50"/>
  <c r="D117" i="50"/>
  <c r="C117" i="50"/>
  <c r="B117" i="50"/>
  <c r="I116" i="50"/>
  <c r="H116" i="50"/>
  <c r="G116" i="50"/>
  <c r="F116" i="50"/>
  <c r="E116" i="50"/>
  <c r="D116" i="50"/>
  <c r="C116" i="50"/>
  <c r="B116" i="50"/>
  <c r="I115" i="50"/>
  <c r="H115" i="50"/>
  <c r="G115" i="50"/>
  <c r="F115" i="50"/>
  <c r="E115" i="50"/>
  <c r="D115" i="50"/>
  <c r="C115" i="50"/>
  <c r="B115" i="50"/>
  <c r="I114" i="50"/>
  <c r="H114" i="50"/>
  <c r="G114" i="50"/>
  <c r="F114" i="50"/>
  <c r="E114" i="50"/>
  <c r="D114" i="50"/>
  <c r="C114" i="50"/>
  <c r="B114" i="50"/>
  <c r="I113" i="50"/>
  <c r="H113" i="50"/>
  <c r="G113" i="50"/>
  <c r="F113" i="50"/>
  <c r="E113" i="50"/>
  <c r="D113" i="50"/>
  <c r="C113" i="50"/>
  <c r="B113" i="50"/>
  <c r="I112" i="50"/>
  <c r="H112" i="50"/>
  <c r="G112" i="50"/>
  <c r="F112" i="50"/>
  <c r="E112" i="50"/>
  <c r="D112" i="50"/>
  <c r="L112" i="50" s="1"/>
  <c r="C112" i="50"/>
  <c r="B112" i="50"/>
  <c r="I111" i="50"/>
  <c r="H111" i="50"/>
  <c r="G111" i="50"/>
  <c r="F111" i="50"/>
  <c r="E111" i="50"/>
  <c r="D111" i="50"/>
  <c r="C111" i="50"/>
  <c r="B111" i="50"/>
  <c r="I110" i="50"/>
  <c r="H110" i="50"/>
  <c r="G110" i="50"/>
  <c r="F110" i="50"/>
  <c r="E110" i="50"/>
  <c r="D110" i="50"/>
  <c r="L110" i="50" s="1"/>
  <c r="C110" i="50"/>
  <c r="B110" i="50"/>
  <c r="J110" i="50" s="1"/>
  <c r="I109" i="50"/>
  <c r="H109" i="50"/>
  <c r="G109" i="50"/>
  <c r="F109" i="50"/>
  <c r="E109" i="50"/>
  <c r="D109" i="50"/>
  <c r="C109" i="50"/>
  <c r="B109" i="50"/>
  <c r="I108" i="50"/>
  <c r="H108" i="50"/>
  <c r="G108" i="50"/>
  <c r="F108" i="50"/>
  <c r="E108" i="50"/>
  <c r="D108" i="50"/>
  <c r="L108" i="50" s="1"/>
  <c r="C108" i="50"/>
  <c r="B108" i="50"/>
  <c r="I107" i="50"/>
  <c r="H107" i="50"/>
  <c r="G107" i="50"/>
  <c r="F107" i="50"/>
  <c r="E107" i="50"/>
  <c r="D107" i="50"/>
  <c r="C107" i="50"/>
  <c r="B107" i="50"/>
  <c r="I106" i="50"/>
  <c r="H106" i="50"/>
  <c r="G106" i="50"/>
  <c r="F106" i="50"/>
  <c r="E106" i="50"/>
  <c r="D106" i="50"/>
  <c r="C106" i="50"/>
  <c r="B106" i="50"/>
  <c r="I105" i="50"/>
  <c r="H105" i="50"/>
  <c r="G105" i="50"/>
  <c r="F105" i="50"/>
  <c r="E105" i="50"/>
  <c r="D105" i="50"/>
  <c r="C105" i="50"/>
  <c r="B105" i="50"/>
  <c r="I104" i="50"/>
  <c r="H104" i="50"/>
  <c r="G104" i="50"/>
  <c r="F104" i="50"/>
  <c r="E104" i="50"/>
  <c r="D104" i="50"/>
  <c r="C104" i="50"/>
  <c r="B104" i="50"/>
  <c r="I103" i="50"/>
  <c r="H103" i="50"/>
  <c r="G103" i="50"/>
  <c r="F103" i="50"/>
  <c r="E103" i="50"/>
  <c r="D103" i="50"/>
  <c r="C103" i="50"/>
  <c r="B103" i="50"/>
  <c r="I102" i="50"/>
  <c r="H102" i="50"/>
  <c r="G102" i="50"/>
  <c r="F102" i="50"/>
  <c r="E102" i="50"/>
  <c r="D102" i="50"/>
  <c r="C102" i="50"/>
  <c r="B102" i="50"/>
  <c r="I101" i="50"/>
  <c r="H101" i="50"/>
  <c r="G101" i="50"/>
  <c r="F101" i="50"/>
  <c r="E101" i="50"/>
  <c r="D101" i="50"/>
  <c r="C101" i="50"/>
  <c r="B101" i="50"/>
  <c r="I100" i="50"/>
  <c r="H100" i="50"/>
  <c r="G100" i="50"/>
  <c r="F100" i="50"/>
  <c r="E100" i="50"/>
  <c r="D100" i="50"/>
  <c r="C100" i="50"/>
  <c r="B100" i="50"/>
  <c r="I99" i="50"/>
  <c r="H99" i="50"/>
  <c r="G99" i="50"/>
  <c r="F99" i="50"/>
  <c r="E99" i="50"/>
  <c r="D99" i="50"/>
  <c r="C99" i="50"/>
  <c r="B99" i="50"/>
  <c r="I98" i="50"/>
  <c r="H98" i="50"/>
  <c r="G98" i="50"/>
  <c r="F98" i="50"/>
  <c r="E98" i="50"/>
  <c r="D98" i="50"/>
  <c r="C98" i="50"/>
  <c r="B98" i="50"/>
  <c r="I97" i="50"/>
  <c r="H97" i="50"/>
  <c r="G97" i="50"/>
  <c r="F97" i="50"/>
  <c r="E97" i="50"/>
  <c r="D97" i="50"/>
  <c r="C97" i="50"/>
  <c r="B97" i="50"/>
  <c r="I96" i="50"/>
  <c r="H96" i="50"/>
  <c r="G96" i="50"/>
  <c r="F96" i="50"/>
  <c r="E96" i="50"/>
  <c r="D96" i="50"/>
  <c r="C96" i="50"/>
  <c r="B96" i="50"/>
  <c r="I95" i="50"/>
  <c r="H95" i="50"/>
  <c r="G95" i="50"/>
  <c r="F95" i="50"/>
  <c r="E95" i="50"/>
  <c r="D95" i="50"/>
  <c r="C95" i="50"/>
  <c r="B95" i="50"/>
  <c r="I94" i="50"/>
  <c r="H94" i="50"/>
  <c r="G94" i="50"/>
  <c r="F94" i="50"/>
  <c r="E94" i="50"/>
  <c r="D94" i="50"/>
  <c r="C94" i="50"/>
  <c r="B94" i="50"/>
  <c r="I93" i="50"/>
  <c r="H93" i="50"/>
  <c r="G93" i="50"/>
  <c r="F93" i="50"/>
  <c r="E93" i="50"/>
  <c r="D93" i="50"/>
  <c r="C93" i="50"/>
  <c r="B93" i="50"/>
  <c r="I92" i="50"/>
  <c r="H92" i="50"/>
  <c r="G92" i="50"/>
  <c r="F92" i="50"/>
  <c r="E92" i="50"/>
  <c r="D92" i="50"/>
  <c r="C92" i="50"/>
  <c r="B92" i="50"/>
  <c r="I91" i="50"/>
  <c r="H91" i="50"/>
  <c r="G91" i="50"/>
  <c r="F91" i="50"/>
  <c r="E91" i="50"/>
  <c r="D91" i="50"/>
  <c r="C91" i="50"/>
  <c r="B91" i="50"/>
  <c r="I90" i="50"/>
  <c r="H90" i="50"/>
  <c r="G90" i="50"/>
  <c r="F90" i="50"/>
  <c r="E90" i="50"/>
  <c r="D90" i="50"/>
  <c r="C90" i="50"/>
  <c r="B90" i="50"/>
  <c r="I89" i="50"/>
  <c r="H89" i="50"/>
  <c r="G89" i="50"/>
  <c r="F89" i="50"/>
  <c r="E89" i="50"/>
  <c r="D89" i="50"/>
  <c r="C89" i="50"/>
  <c r="B89" i="50"/>
  <c r="I88" i="50"/>
  <c r="H88" i="50"/>
  <c r="G88" i="50"/>
  <c r="F88" i="50"/>
  <c r="E88" i="50"/>
  <c r="D88" i="50"/>
  <c r="C88" i="50"/>
  <c r="B88" i="50"/>
  <c r="I87" i="50"/>
  <c r="H87" i="50"/>
  <c r="G87" i="50"/>
  <c r="F87" i="50"/>
  <c r="E87" i="50"/>
  <c r="D87" i="50"/>
  <c r="C87" i="50"/>
  <c r="B87" i="50"/>
  <c r="I86" i="50"/>
  <c r="H86" i="50"/>
  <c r="G86" i="50"/>
  <c r="F86" i="50"/>
  <c r="E86" i="50"/>
  <c r="D86" i="50"/>
  <c r="C86" i="50"/>
  <c r="B86" i="50"/>
  <c r="I84" i="50"/>
  <c r="H84" i="50"/>
  <c r="G84" i="50"/>
  <c r="F84" i="50"/>
  <c r="E84" i="50"/>
  <c r="D84" i="50"/>
  <c r="C84" i="50"/>
  <c r="B84" i="50"/>
  <c r="I83" i="50"/>
  <c r="H83" i="50"/>
  <c r="G83" i="50"/>
  <c r="F83" i="50"/>
  <c r="E83" i="50"/>
  <c r="D83" i="50"/>
  <c r="C83" i="50"/>
  <c r="B83" i="50"/>
  <c r="I82" i="50"/>
  <c r="H82" i="50"/>
  <c r="G82" i="50"/>
  <c r="F82" i="50"/>
  <c r="E82" i="50"/>
  <c r="D82" i="50"/>
  <c r="C82" i="50"/>
  <c r="B82" i="50"/>
  <c r="I81" i="50"/>
  <c r="H81" i="50"/>
  <c r="G81" i="50"/>
  <c r="F81" i="50"/>
  <c r="E81" i="50"/>
  <c r="D81" i="50"/>
  <c r="C81" i="50"/>
  <c r="B81" i="50"/>
  <c r="I80" i="50"/>
  <c r="H80" i="50"/>
  <c r="G80" i="50"/>
  <c r="F80" i="50"/>
  <c r="E80" i="50"/>
  <c r="D80" i="50"/>
  <c r="C80" i="50"/>
  <c r="B80" i="50"/>
  <c r="I79" i="50"/>
  <c r="H79" i="50"/>
  <c r="G79" i="50"/>
  <c r="F79" i="50"/>
  <c r="E79" i="50"/>
  <c r="D79" i="50"/>
  <c r="C79" i="50"/>
  <c r="B79" i="50"/>
  <c r="I78" i="50"/>
  <c r="H78" i="50"/>
  <c r="G78" i="50"/>
  <c r="F78" i="50"/>
  <c r="E78" i="50"/>
  <c r="D78" i="50"/>
  <c r="C78" i="50"/>
  <c r="B78" i="50"/>
  <c r="I77" i="50"/>
  <c r="H77" i="50"/>
  <c r="G77" i="50"/>
  <c r="F77" i="50"/>
  <c r="E77" i="50"/>
  <c r="D77" i="50"/>
  <c r="C77" i="50"/>
  <c r="B77" i="50"/>
  <c r="I76" i="50"/>
  <c r="H76" i="50"/>
  <c r="G76" i="50"/>
  <c r="F76" i="50"/>
  <c r="E76" i="50"/>
  <c r="D76" i="50"/>
  <c r="C76" i="50"/>
  <c r="B76" i="50"/>
  <c r="I75" i="50"/>
  <c r="H75" i="50"/>
  <c r="G75" i="50"/>
  <c r="F75" i="50"/>
  <c r="E75" i="50"/>
  <c r="D75" i="50"/>
  <c r="C75" i="50"/>
  <c r="B75" i="50"/>
  <c r="I74" i="50"/>
  <c r="H74" i="50"/>
  <c r="G74" i="50"/>
  <c r="F74" i="50"/>
  <c r="E74" i="50"/>
  <c r="D74" i="50"/>
  <c r="C74" i="50"/>
  <c r="B74" i="50"/>
  <c r="I73" i="50"/>
  <c r="H73" i="50"/>
  <c r="G73" i="50"/>
  <c r="F73" i="50"/>
  <c r="E73" i="50"/>
  <c r="D73" i="50"/>
  <c r="C73" i="50"/>
  <c r="B73" i="50"/>
  <c r="I72" i="50"/>
  <c r="H72" i="50"/>
  <c r="G72" i="50"/>
  <c r="F72" i="50"/>
  <c r="E72" i="50"/>
  <c r="D72" i="50"/>
  <c r="C72" i="50"/>
  <c r="B72" i="50"/>
  <c r="I71" i="50"/>
  <c r="H71" i="50"/>
  <c r="G71" i="50"/>
  <c r="F71" i="50"/>
  <c r="E71" i="50"/>
  <c r="D71" i="50"/>
  <c r="C71" i="50"/>
  <c r="B71" i="50"/>
  <c r="I70" i="50"/>
  <c r="H70" i="50"/>
  <c r="G70" i="50"/>
  <c r="F70" i="50"/>
  <c r="E70" i="50"/>
  <c r="D70" i="50"/>
  <c r="C70" i="50"/>
  <c r="B70" i="50"/>
  <c r="I69" i="50"/>
  <c r="H69" i="50"/>
  <c r="G69" i="50"/>
  <c r="F69" i="50"/>
  <c r="E69" i="50"/>
  <c r="D69" i="50"/>
  <c r="C69" i="50"/>
  <c r="B69" i="50"/>
  <c r="I68" i="50"/>
  <c r="H68" i="50"/>
  <c r="G68" i="50"/>
  <c r="F68" i="50"/>
  <c r="E68" i="50"/>
  <c r="D68" i="50"/>
  <c r="C68" i="50"/>
  <c r="B68" i="50"/>
  <c r="I67" i="50"/>
  <c r="H67" i="50"/>
  <c r="G67" i="50"/>
  <c r="F67" i="50"/>
  <c r="E67" i="50"/>
  <c r="D67" i="50"/>
  <c r="C67" i="50"/>
  <c r="B67" i="50"/>
  <c r="I66" i="50"/>
  <c r="H66" i="50"/>
  <c r="G66" i="50"/>
  <c r="F66" i="50"/>
  <c r="E66" i="50"/>
  <c r="D66" i="50"/>
  <c r="C66" i="50"/>
  <c r="B66" i="50"/>
  <c r="I65" i="50"/>
  <c r="H65" i="50"/>
  <c r="G65" i="50"/>
  <c r="F65" i="50"/>
  <c r="E65" i="50"/>
  <c r="D65" i="50"/>
  <c r="L65" i="50" s="1"/>
  <c r="C65" i="50"/>
  <c r="B65" i="50"/>
  <c r="I64" i="50"/>
  <c r="H64" i="50"/>
  <c r="G64" i="50"/>
  <c r="F64" i="50"/>
  <c r="E64" i="50"/>
  <c r="D64" i="50"/>
  <c r="C64" i="50"/>
  <c r="B64" i="50"/>
  <c r="I63" i="50"/>
  <c r="H63" i="50"/>
  <c r="G63" i="50"/>
  <c r="F63" i="50"/>
  <c r="E63" i="50"/>
  <c r="D63" i="50"/>
  <c r="C63" i="50"/>
  <c r="B63" i="50"/>
  <c r="I61" i="50"/>
  <c r="H61" i="50"/>
  <c r="G61" i="50"/>
  <c r="F61" i="50"/>
  <c r="E61" i="50"/>
  <c r="D61" i="50"/>
  <c r="C61" i="50"/>
  <c r="B61" i="50"/>
  <c r="I60" i="50"/>
  <c r="H60" i="50"/>
  <c r="G60" i="50"/>
  <c r="F60" i="50"/>
  <c r="E60" i="50"/>
  <c r="D60" i="50"/>
  <c r="C60" i="50"/>
  <c r="B60" i="50"/>
  <c r="I59" i="50"/>
  <c r="H59" i="50"/>
  <c r="G59" i="50"/>
  <c r="F59" i="50"/>
  <c r="E59" i="50"/>
  <c r="D59" i="50"/>
  <c r="C59" i="50"/>
  <c r="B59" i="50"/>
  <c r="I58" i="50"/>
  <c r="H58" i="50"/>
  <c r="G58" i="50"/>
  <c r="F58" i="50"/>
  <c r="E58" i="50"/>
  <c r="D58" i="50"/>
  <c r="C58" i="50"/>
  <c r="B58" i="50"/>
  <c r="I57" i="50"/>
  <c r="H57" i="50"/>
  <c r="G57" i="50"/>
  <c r="F57" i="50"/>
  <c r="E57" i="50"/>
  <c r="D57" i="50"/>
  <c r="C57" i="50"/>
  <c r="B57" i="50"/>
  <c r="I56" i="50"/>
  <c r="H56" i="50"/>
  <c r="G56" i="50"/>
  <c r="F56" i="50"/>
  <c r="E56" i="50"/>
  <c r="D56" i="50"/>
  <c r="C56" i="50"/>
  <c r="B56" i="50"/>
  <c r="I55" i="50"/>
  <c r="H55" i="50"/>
  <c r="G55" i="50"/>
  <c r="F55" i="50"/>
  <c r="E55" i="50"/>
  <c r="D55" i="50"/>
  <c r="C55" i="50"/>
  <c r="B55" i="50"/>
  <c r="I54" i="50"/>
  <c r="H54" i="50"/>
  <c r="G54" i="50"/>
  <c r="F54" i="50"/>
  <c r="E54" i="50"/>
  <c r="D54" i="50"/>
  <c r="C54" i="50"/>
  <c r="B54" i="50"/>
  <c r="I53" i="50"/>
  <c r="H53" i="50"/>
  <c r="G53" i="50"/>
  <c r="F53" i="50"/>
  <c r="E53" i="50"/>
  <c r="D53" i="50"/>
  <c r="C53" i="50"/>
  <c r="B53" i="50"/>
  <c r="I52" i="50"/>
  <c r="H52" i="50"/>
  <c r="G52" i="50"/>
  <c r="F52" i="50"/>
  <c r="E52" i="50"/>
  <c r="D52" i="50"/>
  <c r="C52" i="50"/>
  <c r="B52" i="50"/>
  <c r="I51" i="50"/>
  <c r="H51" i="50"/>
  <c r="G51" i="50"/>
  <c r="F51" i="50"/>
  <c r="E51" i="50"/>
  <c r="D51" i="50"/>
  <c r="C51" i="50"/>
  <c r="B51" i="50"/>
  <c r="I50" i="50"/>
  <c r="H50" i="50"/>
  <c r="G50" i="50"/>
  <c r="F50" i="50"/>
  <c r="E50" i="50"/>
  <c r="D50" i="50"/>
  <c r="C50" i="50"/>
  <c r="B50" i="50"/>
  <c r="I49" i="50"/>
  <c r="H49" i="50"/>
  <c r="G49" i="50"/>
  <c r="F49" i="50"/>
  <c r="E49" i="50"/>
  <c r="D49" i="50"/>
  <c r="C49" i="50"/>
  <c r="B49" i="50"/>
  <c r="I48" i="50"/>
  <c r="H48" i="50"/>
  <c r="G48" i="50"/>
  <c r="F48" i="50"/>
  <c r="E48" i="50"/>
  <c r="D48" i="50"/>
  <c r="C48" i="50"/>
  <c r="B48" i="50"/>
  <c r="I47" i="50"/>
  <c r="H47" i="50"/>
  <c r="G47" i="50"/>
  <c r="F47" i="50"/>
  <c r="E47" i="50"/>
  <c r="D47" i="50"/>
  <c r="C47" i="50"/>
  <c r="B47" i="50"/>
  <c r="I46" i="50"/>
  <c r="H46" i="50"/>
  <c r="G46" i="50"/>
  <c r="F46" i="50"/>
  <c r="E46" i="50"/>
  <c r="D46" i="50"/>
  <c r="C46" i="50"/>
  <c r="B46" i="50"/>
  <c r="I45" i="50"/>
  <c r="H45" i="50"/>
  <c r="G45" i="50"/>
  <c r="F45" i="50"/>
  <c r="E45" i="50"/>
  <c r="D45" i="50"/>
  <c r="C45" i="50"/>
  <c r="B45" i="50"/>
  <c r="I44" i="50"/>
  <c r="H44" i="50"/>
  <c r="G44" i="50"/>
  <c r="F44" i="50"/>
  <c r="E44" i="50"/>
  <c r="D44" i="50"/>
  <c r="C44" i="50"/>
  <c r="B44" i="50"/>
  <c r="I43" i="50"/>
  <c r="H43" i="50"/>
  <c r="G43" i="50"/>
  <c r="F43" i="50"/>
  <c r="E43" i="50"/>
  <c r="D43" i="50"/>
  <c r="C43" i="50"/>
  <c r="B43" i="50"/>
  <c r="I42" i="50"/>
  <c r="H42" i="50"/>
  <c r="G42" i="50"/>
  <c r="F42" i="50"/>
  <c r="E42" i="50"/>
  <c r="D42" i="50"/>
  <c r="C42" i="50"/>
  <c r="B42" i="50"/>
  <c r="I41" i="50"/>
  <c r="H41" i="50"/>
  <c r="G41" i="50"/>
  <c r="F41" i="50"/>
  <c r="E41" i="50"/>
  <c r="D41" i="50"/>
  <c r="C41" i="50"/>
  <c r="B41" i="50"/>
  <c r="I40" i="50"/>
  <c r="H40" i="50"/>
  <c r="G40" i="50"/>
  <c r="F40" i="50"/>
  <c r="E40" i="50"/>
  <c r="D40" i="50"/>
  <c r="C40" i="50"/>
  <c r="B40" i="50"/>
  <c r="I39" i="50"/>
  <c r="H39" i="50"/>
  <c r="G39" i="50"/>
  <c r="F39" i="50"/>
  <c r="E39" i="50"/>
  <c r="D39" i="50"/>
  <c r="C39" i="50"/>
  <c r="B39" i="50"/>
  <c r="I38" i="50"/>
  <c r="H38" i="50"/>
  <c r="G38" i="50"/>
  <c r="F38" i="50"/>
  <c r="E38" i="50"/>
  <c r="D38" i="50"/>
  <c r="C38" i="50"/>
  <c r="B38" i="50"/>
  <c r="I37" i="50"/>
  <c r="H37" i="50"/>
  <c r="G37" i="50"/>
  <c r="F37" i="50"/>
  <c r="E37" i="50"/>
  <c r="D37" i="50"/>
  <c r="C37" i="50"/>
  <c r="B37" i="50"/>
  <c r="I36" i="50"/>
  <c r="H36" i="50"/>
  <c r="G36" i="50"/>
  <c r="F36" i="50"/>
  <c r="E36" i="50"/>
  <c r="D36" i="50"/>
  <c r="C36" i="50"/>
  <c r="B36" i="50"/>
  <c r="I35" i="50"/>
  <c r="H35" i="50"/>
  <c r="G35" i="50"/>
  <c r="F35" i="50"/>
  <c r="E35" i="50"/>
  <c r="D35" i="50"/>
  <c r="C35" i="50"/>
  <c r="B35" i="50"/>
  <c r="I34" i="50"/>
  <c r="H34" i="50"/>
  <c r="G34" i="50"/>
  <c r="F34" i="50"/>
  <c r="E34" i="50"/>
  <c r="D34" i="50"/>
  <c r="C34" i="50"/>
  <c r="B34" i="50"/>
  <c r="I33" i="50"/>
  <c r="H33" i="50"/>
  <c r="G33" i="50"/>
  <c r="F33" i="50"/>
  <c r="E33" i="50"/>
  <c r="D33" i="50"/>
  <c r="C33" i="50"/>
  <c r="B33" i="50"/>
  <c r="I32" i="50"/>
  <c r="H32" i="50"/>
  <c r="G32" i="50"/>
  <c r="F32" i="50"/>
  <c r="E32" i="50"/>
  <c r="D32" i="50"/>
  <c r="C32" i="50"/>
  <c r="B32" i="50"/>
  <c r="I31" i="50"/>
  <c r="H31" i="50"/>
  <c r="G31" i="50"/>
  <c r="F31" i="50"/>
  <c r="E31" i="50"/>
  <c r="D31" i="50"/>
  <c r="C31" i="50"/>
  <c r="B31" i="50"/>
  <c r="I30" i="50"/>
  <c r="H30" i="50"/>
  <c r="G30" i="50"/>
  <c r="F30" i="50"/>
  <c r="E30" i="50"/>
  <c r="D30" i="50"/>
  <c r="C30" i="50"/>
  <c r="B30" i="50"/>
  <c r="I29" i="50"/>
  <c r="H29" i="50"/>
  <c r="G29" i="50"/>
  <c r="F29" i="50"/>
  <c r="E29" i="50"/>
  <c r="D29" i="50"/>
  <c r="C29" i="50"/>
  <c r="B29" i="50"/>
  <c r="I28" i="50"/>
  <c r="H28" i="50"/>
  <c r="G28" i="50"/>
  <c r="F28" i="50"/>
  <c r="E28" i="50"/>
  <c r="D28" i="50"/>
  <c r="C28" i="50"/>
  <c r="B28" i="50"/>
  <c r="I27" i="50"/>
  <c r="H27" i="50"/>
  <c r="G27" i="50"/>
  <c r="F27" i="50"/>
  <c r="E27" i="50"/>
  <c r="D27" i="50"/>
  <c r="C27" i="50"/>
  <c r="B27" i="50"/>
  <c r="I26" i="50"/>
  <c r="H26" i="50"/>
  <c r="G26" i="50"/>
  <c r="F26" i="50"/>
  <c r="E26" i="50"/>
  <c r="D26" i="50"/>
  <c r="C26" i="50"/>
  <c r="B26" i="50"/>
  <c r="I25" i="50"/>
  <c r="H25" i="50"/>
  <c r="G25" i="50"/>
  <c r="F25" i="50"/>
  <c r="E25" i="50"/>
  <c r="D25" i="50"/>
  <c r="C25" i="50"/>
  <c r="B25" i="50"/>
  <c r="I24" i="50"/>
  <c r="H24" i="50"/>
  <c r="G24" i="50"/>
  <c r="F24" i="50"/>
  <c r="E24" i="50"/>
  <c r="D24" i="50"/>
  <c r="C24" i="50"/>
  <c r="B24" i="50"/>
  <c r="I23" i="50"/>
  <c r="H23" i="50"/>
  <c r="G23" i="50"/>
  <c r="F23" i="50"/>
  <c r="E23" i="50"/>
  <c r="D23" i="50"/>
  <c r="C23" i="50"/>
  <c r="B23" i="50"/>
  <c r="I22" i="50"/>
  <c r="H22" i="50"/>
  <c r="G22" i="50"/>
  <c r="F22" i="50"/>
  <c r="E22" i="50"/>
  <c r="D22" i="50"/>
  <c r="C22" i="50"/>
  <c r="B22" i="50"/>
  <c r="I21" i="50"/>
  <c r="H21" i="50"/>
  <c r="G21" i="50"/>
  <c r="F21" i="50"/>
  <c r="E21" i="50"/>
  <c r="D21" i="50"/>
  <c r="C21" i="50"/>
  <c r="B21" i="50"/>
  <c r="I20" i="50"/>
  <c r="H20" i="50"/>
  <c r="G20" i="50"/>
  <c r="F20" i="50"/>
  <c r="E20" i="50"/>
  <c r="D20" i="50"/>
  <c r="C20" i="50"/>
  <c r="B20" i="50"/>
  <c r="I19" i="50"/>
  <c r="H19" i="50"/>
  <c r="G19" i="50"/>
  <c r="F19" i="50"/>
  <c r="E19" i="50"/>
  <c r="D19" i="50"/>
  <c r="C19" i="50"/>
  <c r="B19" i="50"/>
  <c r="I18" i="50"/>
  <c r="H18" i="50"/>
  <c r="G18" i="50"/>
  <c r="F18" i="50"/>
  <c r="E18" i="50"/>
  <c r="D18" i="50"/>
  <c r="C18" i="50"/>
  <c r="B18" i="50"/>
  <c r="I17" i="50"/>
  <c r="H17" i="50"/>
  <c r="G17" i="50"/>
  <c r="F17" i="50"/>
  <c r="E17" i="50"/>
  <c r="D17" i="50"/>
  <c r="C17" i="50"/>
  <c r="B17" i="50"/>
  <c r="I16" i="50"/>
  <c r="H16" i="50"/>
  <c r="G16" i="50"/>
  <c r="F16" i="50"/>
  <c r="E16" i="50"/>
  <c r="D16" i="50"/>
  <c r="C16" i="50"/>
  <c r="B16" i="50"/>
  <c r="I15" i="50"/>
  <c r="H15" i="50"/>
  <c r="G15" i="50"/>
  <c r="F15" i="50"/>
  <c r="E15" i="50"/>
  <c r="D15" i="50"/>
  <c r="C15" i="50"/>
  <c r="B15" i="50"/>
  <c r="I14" i="50"/>
  <c r="H14" i="50"/>
  <c r="G14" i="50"/>
  <c r="F14" i="50"/>
  <c r="E14" i="50"/>
  <c r="D14" i="50"/>
  <c r="C14" i="50"/>
  <c r="B14" i="50"/>
  <c r="I13" i="50"/>
  <c r="H13" i="50"/>
  <c r="G13" i="50"/>
  <c r="F13" i="50"/>
  <c r="E13" i="50"/>
  <c r="D13" i="50"/>
  <c r="C13" i="50"/>
  <c r="B13" i="50"/>
  <c r="I12" i="50"/>
  <c r="H12" i="50"/>
  <c r="G12" i="50"/>
  <c r="F12" i="50"/>
  <c r="E12" i="50"/>
  <c r="D12" i="50"/>
  <c r="C12" i="50"/>
  <c r="B12" i="50"/>
  <c r="I11" i="50"/>
  <c r="H11" i="50"/>
  <c r="G11" i="50"/>
  <c r="F11" i="50"/>
  <c r="E11" i="50"/>
  <c r="D11" i="50"/>
  <c r="C11" i="50"/>
  <c r="B11" i="50"/>
  <c r="I10" i="50"/>
  <c r="H10" i="50"/>
  <c r="G10" i="50"/>
  <c r="F10" i="50"/>
  <c r="E10" i="50"/>
  <c r="D10" i="50"/>
  <c r="C10" i="50"/>
  <c r="B10" i="50"/>
  <c r="I9" i="50"/>
  <c r="H9" i="50"/>
  <c r="G9" i="50"/>
  <c r="F9" i="50"/>
  <c r="E9" i="50"/>
  <c r="D9" i="50"/>
  <c r="C9" i="50"/>
  <c r="B9" i="50"/>
  <c r="K108" i="50" l="1"/>
  <c r="K109" i="50"/>
  <c r="K110" i="50"/>
  <c r="K112" i="50"/>
  <c r="L109" i="50"/>
  <c r="K65" i="50"/>
  <c r="C41" i="64" s="1"/>
  <c r="M112" i="50"/>
  <c r="M108" i="50"/>
  <c r="M21" i="50"/>
  <c r="M65" i="50"/>
  <c r="E41" i="64" s="1"/>
  <c r="M69" i="50"/>
  <c r="M109" i="50"/>
  <c r="M110" i="50"/>
  <c r="J65" i="50"/>
  <c r="D41" i="64" s="1"/>
  <c r="J108" i="50"/>
  <c r="J109" i="50"/>
  <c r="J112" i="50"/>
  <c r="AC85" i="50"/>
  <c r="AK85" i="50" s="1"/>
  <c r="I86" i="57" s="1"/>
  <c r="Y86" i="57" s="1"/>
  <c r="M92" i="58" s="1"/>
  <c r="Z85" i="50"/>
  <c r="AH85" i="50" s="1"/>
  <c r="F86" i="57" s="1"/>
  <c r="AB85" i="50"/>
  <c r="AJ85" i="50" s="1"/>
  <c r="H86" i="57" s="1"/>
  <c r="X86" i="57" s="1"/>
  <c r="L92" i="58" s="1"/>
  <c r="AA85" i="50"/>
  <c r="AI85" i="50" s="1"/>
  <c r="G86" i="57" s="1"/>
  <c r="R85" i="50"/>
  <c r="AD85" i="50" s="1"/>
  <c r="T85" i="50"/>
  <c r="AF85" i="50" s="1"/>
  <c r="U85" i="50"/>
  <c r="AG85" i="50" s="1"/>
  <c r="S85" i="50"/>
  <c r="AE85" i="50" s="1"/>
  <c r="F41" i="64"/>
  <c r="L111" i="50"/>
  <c r="M111" i="50"/>
  <c r="K63" i="50"/>
  <c r="K64" i="50"/>
  <c r="K111" i="50"/>
  <c r="L63" i="50"/>
  <c r="L64" i="50"/>
  <c r="M63" i="50"/>
  <c r="M64" i="50"/>
  <c r="E40" i="64" s="1"/>
  <c r="J63" i="50"/>
  <c r="J64" i="50"/>
  <c r="D40" i="64" s="1"/>
  <c r="J111" i="50"/>
  <c r="BG33" i="64"/>
  <c r="BG13" i="64"/>
  <c r="R62" i="50"/>
  <c r="AD62" i="50" s="1"/>
  <c r="B63" i="57" s="1"/>
  <c r="S62" i="50"/>
  <c r="AE62" i="50" s="1"/>
  <c r="U62" i="50"/>
  <c r="AG62" i="50" s="1"/>
  <c r="T62" i="50"/>
  <c r="AF62" i="50" s="1"/>
  <c r="AA62" i="50"/>
  <c r="AI62" i="50" s="1"/>
  <c r="G63" i="57" s="1"/>
  <c r="Z62" i="50"/>
  <c r="AH62" i="50" s="1"/>
  <c r="F63" i="57" s="1"/>
  <c r="AC62" i="50"/>
  <c r="AK62" i="50" s="1"/>
  <c r="I63" i="57" s="1"/>
  <c r="Y63" i="57" s="1"/>
  <c r="M77" i="58" s="1"/>
  <c r="AB62" i="50"/>
  <c r="AJ62" i="50" s="1"/>
  <c r="H63" i="57" s="1"/>
  <c r="X63" i="57" s="1"/>
  <c r="L77" i="58" s="1"/>
  <c r="E4" i="55"/>
  <c r="F93" i="55" s="1"/>
  <c r="I4" i="53"/>
  <c r="L9" i="55" s="1"/>
  <c r="I8" i="53"/>
  <c r="L13" i="55" s="1"/>
  <c r="I12" i="53"/>
  <c r="L17" i="55" s="1"/>
  <c r="I16" i="53"/>
  <c r="L21" i="55" s="1"/>
  <c r="I20" i="53"/>
  <c r="L25" i="55" s="1"/>
  <c r="I24" i="53"/>
  <c r="L29" i="55" s="1"/>
  <c r="I28" i="53"/>
  <c r="L34" i="55" s="1"/>
  <c r="I32" i="53"/>
  <c r="L40" i="55" s="1"/>
  <c r="I36" i="53"/>
  <c r="L44" i="55" s="1"/>
  <c r="I40" i="53"/>
  <c r="L51" i="55" s="1"/>
  <c r="I44" i="53"/>
  <c r="L56" i="55" s="1"/>
  <c r="I48" i="53"/>
  <c r="L60" i="55" s="1"/>
  <c r="I52" i="53"/>
  <c r="L65" i="55" s="1"/>
  <c r="I56" i="53"/>
  <c r="L70" i="55" s="1"/>
  <c r="I60" i="53"/>
  <c r="L77" i="55" s="1"/>
  <c r="I64" i="53"/>
  <c r="L84" i="55" s="1"/>
  <c r="I68" i="53"/>
  <c r="L88" i="55" s="1"/>
  <c r="I72" i="53"/>
  <c r="L94" i="55" s="1"/>
  <c r="I76" i="53"/>
  <c r="L98" i="55" s="1"/>
  <c r="I80" i="53"/>
  <c r="L104" i="55" s="1"/>
  <c r="I84" i="53"/>
  <c r="L108" i="55" s="1"/>
  <c r="I88" i="53"/>
  <c r="L112" i="55" s="1"/>
  <c r="I92" i="53"/>
  <c r="L116" i="55" s="1"/>
  <c r="I3" i="53"/>
  <c r="L8" i="55" s="1"/>
  <c r="I5" i="53"/>
  <c r="L10" i="55" s="1"/>
  <c r="I9" i="53"/>
  <c r="L14" i="55" s="1"/>
  <c r="I13" i="53"/>
  <c r="L18" i="55" s="1"/>
  <c r="I17" i="53"/>
  <c r="L22" i="55" s="1"/>
  <c r="I21" i="53"/>
  <c r="L26" i="55" s="1"/>
  <c r="I25" i="53"/>
  <c r="L30" i="55" s="1"/>
  <c r="I29" i="53"/>
  <c r="L36" i="55" s="1"/>
  <c r="I33" i="53"/>
  <c r="L41" i="55" s="1"/>
  <c r="I37" i="53"/>
  <c r="L45" i="55" s="1"/>
  <c r="I41" i="53"/>
  <c r="L52" i="55" s="1"/>
  <c r="I45" i="53"/>
  <c r="L57" i="55" s="1"/>
  <c r="I49" i="53"/>
  <c r="L61" i="55" s="1"/>
  <c r="I53" i="53"/>
  <c r="L66" i="55" s="1"/>
  <c r="I57" i="53"/>
  <c r="I61" i="53"/>
  <c r="L80" i="55" s="1"/>
  <c r="I65" i="53"/>
  <c r="L85" i="55" s="1"/>
  <c r="I69" i="53"/>
  <c r="L91" i="55" s="1"/>
  <c r="I73" i="53"/>
  <c r="L95" i="55" s="1"/>
  <c r="I77" i="53"/>
  <c r="L100" i="55" s="1"/>
  <c r="I81" i="53"/>
  <c r="L105" i="55" s="1"/>
  <c r="I85" i="53"/>
  <c r="L109" i="55" s="1"/>
  <c r="I89" i="53"/>
  <c r="I93" i="53"/>
  <c r="L117" i="55" s="1"/>
  <c r="I6" i="53"/>
  <c r="L11" i="55" s="1"/>
  <c r="I10" i="53"/>
  <c r="L15" i="55" s="1"/>
  <c r="I14" i="53"/>
  <c r="L19" i="55" s="1"/>
  <c r="I18" i="53"/>
  <c r="L23" i="55" s="1"/>
  <c r="I22" i="53"/>
  <c r="L27" i="55" s="1"/>
  <c r="I26" i="53"/>
  <c r="L32" i="55" s="1"/>
  <c r="I30" i="53"/>
  <c r="L38" i="55" s="1"/>
  <c r="I34" i="53"/>
  <c r="L42" i="55" s="1"/>
  <c r="I38" i="53"/>
  <c r="L46" i="55" s="1"/>
  <c r="I42" i="53"/>
  <c r="L54" i="55" s="1"/>
  <c r="I46" i="53"/>
  <c r="L58" i="55" s="1"/>
  <c r="I50" i="53"/>
  <c r="L63" i="55" s="1"/>
  <c r="I54" i="53"/>
  <c r="L67" i="55" s="1"/>
  <c r="I58" i="53"/>
  <c r="L74" i="55" s="1"/>
  <c r="I62" i="53"/>
  <c r="L81" i="55" s="1"/>
  <c r="I66" i="53"/>
  <c r="L86" i="55" s="1"/>
  <c r="I70" i="53"/>
  <c r="L92" i="55" s="1"/>
  <c r="I74" i="53"/>
  <c r="L96" i="55" s="1"/>
  <c r="I78" i="53"/>
  <c r="L102" i="55" s="1"/>
  <c r="I82" i="53"/>
  <c r="L106" i="55" s="1"/>
  <c r="I86" i="53"/>
  <c r="L110" i="55" s="1"/>
  <c r="I90" i="53"/>
  <c r="L113" i="55" s="1"/>
  <c r="I7" i="53"/>
  <c r="L12" i="55" s="1"/>
  <c r="I11" i="53"/>
  <c r="L16" i="55" s="1"/>
  <c r="I15" i="53"/>
  <c r="L20" i="55" s="1"/>
  <c r="I19" i="53"/>
  <c r="L24" i="55" s="1"/>
  <c r="I23" i="53"/>
  <c r="L28" i="55" s="1"/>
  <c r="I27" i="53"/>
  <c r="L33" i="55" s="1"/>
  <c r="I31" i="53"/>
  <c r="L39" i="55" s="1"/>
  <c r="I35" i="53"/>
  <c r="L43" i="55" s="1"/>
  <c r="I39" i="53"/>
  <c r="L50" i="55" s="1"/>
  <c r="I43" i="53"/>
  <c r="L55" i="55" s="1"/>
  <c r="I47" i="53"/>
  <c r="L59" i="55" s="1"/>
  <c r="I51" i="53"/>
  <c r="L64" i="55" s="1"/>
  <c r="I55" i="53"/>
  <c r="L69" i="55" s="1"/>
  <c r="I59" i="53"/>
  <c r="L75" i="55" s="1"/>
  <c r="I63" i="53"/>
  <c r="L83" i="55" s="1"/>
  <c r="I67" i="53"/>
  <c r="L87" i="55" s="1"/>
  <c r="I71" i="53"/>
  <c r="L93" i="55" s="1"/>
  <c r="I75" i="53"/>
  <c r="L97" i="55" s="1"/>
  <c r="I79" i="53"/>
  <c r="L103" i="55" s="1"/>
  <c r="I83" i="53"/>
  <c r="L107" i="55" s="1"/>
  <c r="I87" i="53"/>
  <c r="L111" i="55" s="1"/>
  <c r="I91" i="53"/>
  <c r="G88" i="53"/>
  <c r="J112" i="55" s="1"/>
  <c r="G80" i="53"/>
  <c r="J104" i="55" s="1"/>
  <c r="G71" i="53"/>
  <c r="J93" i="55" s="1"/>
  <c r="J5" i="53"/>
  <c r="M10" i="55" s="1"/>
  <c r="J9" i="53"/>
  <c r="M14" i="55" s="1"/>
  <c r="J13" i="53"/>
  <c r="M18" i="55" s="1"/>
  <c r="J17" i="53"/>
  <c r="M22" i="55" s="1"/>
  <c r="J21" i="53"/>
  <c r="M26" i="55" s="1"/>
  <c r="J25" i="53"/>
  <c r="M30" i="55" s="1"/>
  <c r="J29" i="53"/>
  <c r="M36" i="55" s="1"/>
  <c r="J33" i="53"/>
  <c r="M41" i="55" s="1"/>
  <c r="J37" i="53"/>
  <c r="M45" i="55" s="1"/>
  <c r="J41" i="53"/>
  <c r="M52" i="55" s="1"/>
  <c r="J45" i="53"/>
  <c r="M57" i="55" s="1"/>
  <c r="J49" i="53"/>
  <c r="M61" i="55" s="1"/>
  <c r="J53" i="53"/>
  <c r="M66" i="55" s="1"/>
  <c r="J57" i="53"/>
  <c r="J61" i="53"/>
  <c r="M80" i="55" s="1"/>
  <c r="J65" i="53"/>
  <c r="M85" i="55" s="1"/>
  <c r="J69" i="53"/>
  <c r="M91" i="55" s="1"/>
  <c r="J73" i="53"/>
  <c r="M95" i="55" s="1"/>
  <c r="J77" i="53"/>
  <c r="M100" i="55" s="1"/>
  <c r="J81" i="53"/>
  <c r="M105" i="55" s="1"/>
  <c r="J85" i="53"/>
  <c r="M109" i="55" s="1"/>
  <c r="J89" i="53"/>
  <c r="J93" i="53"/>
  <c r="M117" i="55" s="1"/>
  <c r="J6" i="53"/>
  <c r="M11" i="55" s="1"/>
  <c r="J10" i="53"/>
  <c r="M15" i="55" s="1"/>
  <c r="J14" i="53"/>
  <c r="M19" i="55" s="1"/>
  <c r="J18" i="53"/>
  <c r="M23" i="55" s="1"/>
  <c r="J22" i="53"/>
  <c r="M27" i="55" s="1"/>
  <c r="J26" i="53"/>
  <c r="M32" i="55" s="1"/>
  <c r="J30" i="53"/>
  <c r="M38" i="55" s="1"/>
  <c r="J34" i="53"/>
  <c r="M42" i="55" s="1"/>
  <c r="J38" i="53"/>
  <c r="M46" i="55" s="1"/>
  <c r="J42" i="53"/>
  <c r="M54" i="55" s="1"/>
  <c r="J46" i="53"/>
  <c r="M58" i="55" s="1"/>
  <c r="J50" i="53"/>
  <c r="M63" i="55" s="1"/>
  <c r="J54" i="53"/>
  <c r="M67" i="55" s="1"/>
  <c r="J58" i="53"/>
  <c r="M74" i="55" s="1"/>
  <c r="J62" i="53"/>
  <c r="M81" i="55" s="1"/>
  <c r="J66" i="53"/>
  <c r="M86" i="55" s="1"/>
  <c r="J70" i="53"/>
  <c r="M92" i="55" s="1"/>
  <c r="J74" i="53"/>
  <c r="M96" i="55" s="1"/>
  <c r="J78" i="53"/>
  <c r="M102" i="55" s="1"/>
  <c r="J82" i="53"/>
  <c r="M106" i="55" s="1"/>
  <c r="J86" i="53"/>
  <c r="M110" i="55" s="1"/>
  <c r="J90" i="53"/>
  <c r="M113" i="55" s="1"/>
  <c r="J7" i="53"/>
  <c r="M12" i="55" s="1"/>
  <c r="J11" i="53"/>
  <c r="M16" i="55" s="1"/>
  <c r="J15" i="53"/>
  <c r="M20" i="55" s="1"/>
  <c r="J19" i="53"/>
  <c r="M24" i="55" s="1"/>
  <c r="J23" i="53"/>
  <c r="M28" i="55" s="1"/>
  <c r="J27" i="53"/>
  <c r="M33" i="55" s="1"/>
  <c r="J31" i="53"/>
  <c r="M39" i="55" s="1"/>
  <c r="J35" i="53"/>
  <c r="M43" i="55" s="1"/>
  <c r="J39" i="53"/>
  <c r="M50" i="55" s="1"/>
  <c r="J43" i="53"/>
  <c r="M55" i="55" s="1"/>
  <c r="J47" i="53"/>
  <c r="M59" i="55" s="1"/>
  <c r="J51" i="53"/>
  <c r="M64" i="55" s="1"/>
  <c r="J55" i="53"/>
  <c r="M69" i="55" s="1"/>
  <c r="J59" i="53"/>
  <c r="M75" i="55" s="1"/>
  <c r="J63" i="53"/>
  <c r="M83" i="55" s="1"/>
  <c r="J67" i="53"/>
  <c r="M87" i="55" s="1"/>
  <c r="J71" i="53"/>
  <c r="M93" i="55" s="1"/>
  <c r="J75" i="53"/>
  <c r="M97" i="55" s="1"/>
  <c r="J79" i="53"/>
  <c r="M103" i="55" s="1"/>
  <c r="J83" i="53"/>
  <c r="M107" i="55" s="1"/>
  <c r="J87" i="53"/>
  <c r="M111" i="55" s="1"/>
  <c r="J91" i="53"/>
  <c r="J4" i="53"/>
  <c r="M9" i="55" s="1"/>
  <c r="J8" i="53"/>
  <c r="M13" i="55" s="1"/>
  <c r="J12" i="53"/>
  <c r="M17" i="55" s="1"/>
  <c r="J16" i="53"/>
  <c r="M21" i="55" s="1"/>
  <c r="J20" i="53"/>
  <c r="M25" i="55" s="1"/>
  <c r="J24" i="53"/>
  <c r="M29" i="55" s="1"/>
  <c r="J28" i="53"/>
  <c r="M34" i="55" s="1"/>
  <c r="J32" i="53"/>
  <c r="M40" i="55" s="1"/>
  <c r="J36" i="53"/>
  <c r="M44" i="55" s="1"/>
  <c r="J40" i="53"/>
  <c r="M51" i="55" s="1"/>
  <c r="J44" i="53"/>
  <c r="M56" i="55" s="1"/>
  <c r="J48" i="53"/>
  <c r="M60" i="55" s="1"/>
  <c r="J52" i="53"/>
  <c r="M65" i="55" s="1"/>
  <c r="J56" i="53"/>
  <c r="M70" i="55" s="1"/>
  <c r="J60" i="53"/>
  <c r="M77" i="55" s="1"/>
  <c r="J64" i="53"/>
  <c r="M84" i="55" s="1"/>
  <c r="J68" i="53"/>
  <c r="M88" i="55" s="1"/>
  <c r="J72" i="53"/>
  <c r="M94" i="55" s="1"/>
  <c r="J76" i="53"/>
  <c r="M98" i="55" s="1"/>
  <c r="J80" i="53"/>
  <c r="M104" i="55" s="1"/>
  <c r="J84" i="53"/>
  <c r="M108" i="55" s="1"/>
  <c r="J88" i="53"/>
  <c r="M112" i="55" s="1"/>
  <c r="J92" i="53"/>
  <c r="M116" i="55" s="1"/>
  <c r="J3" i="53"/>
  <c r="M8" i="55" s="1"/>
  <c r="G87" i="53"/>
  <c r="J111" i="55" s="1"/>
  <c r="G6" i="53"/>
  <c r="J11" i="55" s="1"/>
  <c r="G10" i="53"/>
  <c r="J15" i="55" s="1"/>
  <c r="G14" i="53"/>
  <c r="J19" i="55" s="1"/>
  <c r="G18" i="53"/>
  <c r="J23" i="55" s="1"/>
  <c r="G22" i="53"/>
  <c r="J27" i="55" s="1"/>
  <c r="G26" i="53"/>
  <c r="J32" i="55" s="1"/>
  <c r="G30" i="53"/>
  <c r="J38" i="55" s="1"/>
  <c r="G34" i="53"/>
  <c r="J42" i="55" s="1"/>
  <c r="G38" i="53"/>
  <c r="J46" i="55" s="1"/>
  <c r="G42" i="53"/>
  <c r="J54" i="55" s="1"/>
  <c r="G46" i="53"/>
  <c r="J58" i="55" s="1"/>
  <c r="G50" i="53"/>
  <c r="J63" i="55" s="1"/>
  <c r="G54" i="53"/>
  <c r="J67" i="55" s="1"/>
  <c r="G58" i="53"/>
  <c r="J74" i="55" s="1"/>
  <c r="G62" i="53"/>
  <c r="J81" i="55" s="1"/>
  <c r="G66" i="53"/>
  <c r="J86" i="55" s="1"/>
  <c r="G70" i="53"/>
  <c r="J92" i="55" s="1"/>
  <c r="G74" i="53"/>
  <c r="J96" i="55" s="1"/>
  <c r="G78" i="53"/>
  <c r="J102" i="55" s="1"/>
  <c r="G82" i="53"/>
  <c r="J106" i="55" s="1"/>
  <c r="G86" i="53"/>
  <c r="J110" i="55" s="1"/>
  <c r="G90" i="53"/>
  <c r="J113" i="55" s="1"/>
  <c r="G7" i="53"/>
  <c r="J12" i="55" s="1"/>
  <c r="G11" i="53"/>
  <c r="J16" i="55" s="1"/>
  <c r="G15" i="53"/>
  <c r="J20" i="55" s="1"/>
  <c r="G19" i="53"/>
  <c r="J24" i="55" s="1"/>
  <c r="G23" i="53"/>
  <c r="J28" i="55" s="1"/>
  <c r="G27" i="53"/>
  <c r="J33" i="55" s="1"/>
  <c r="G31" i="53"/>
  <c r="J39" i="55" s="1"/>
  <c r="G35" i="53"/>
  <c r="J43" i="55" s="1"/>
  <c r="G39" i="53"/>
  <c r="J50" i="55" s="1"/>
  <c r="G43" i="53"/>
  <c r="J55" i="55" s="1"/>
  <c r="G47" i="53"/>
  <c r="J59" i="55" s="1"/>
  <c r="G51" i="53"/>
  <c r="J64" i="55" s="1"/>
  <c r="G55" i="53"/>
  <c r="J69" i="55" s="1"/>
  <c r="G59" i="53"/>
  <c r="J75" i="55" s="1"/>
  <c r="G63" i="53"/>
  <c r="J83" i="55" s="1"/>
  <c r="G67" i="53"/>
  <c r="J87" i="55" s="1"/>
  <c r="G4" i="53"/>
  <c r="J9" i="55" s="1"/>
  <c r="G8" i="53"/>
  <c r="J13" i="55" s="1"/>
  <c r="G12" i="53"/>
  <c r="J17" i="55" s="1"/>
  <c r="G16" i="53"/>
  <c r="J21" i="55" s="1"/>
  <c r="G20" i="53"/>
  <c r="J25" i="55" s="1"/>
  <c r="G24" i="53"/>
  <c r="J29" i="55" s="1"/>
  <c r="G28" i="53"/>
  <c r="J34" i="55" s="1"/>
  <c r="G32" i="53"/>
  <c r="J40" i="55" s="1"/>
  <c r="G36" i="53"/>
  <c r="J44" i="55" s="1"/>
  <c r="G40" i="53"/>
  <c r="J51" i="55" s="1"/>
  <c r="G44" i="53"/>
  <c r="J56" i="55" s="1"/>
  <c r="G48" i="53"/>
  <c r="J60" i="55" s="1"/>
  <c r="G52" i="53"/>
  <c r="J65" i="55" s="1"/>
  <c r="G56" i="53"/>
  <c r="J70" i="55" s="1"/>
  <c r="G60" i="53"/>
  <c r="J77" i="55" s="1"/>
  <c r="G64" i="53"/>
  <c r="J84" i="55" s="1"/>
  <c r="G68" i="53"/>
  <c r="J88" i="55" s="1"/>
  <c r="G72" i="53"/>
  <c r="J94" i="55" s="1"/>
  <c r="G5" i="53"/>
  <c r="J10" i="55" s="1"/>
  <c r="G9" i="53"/>
  <c r="J14" i="55" s="1"/>
  <c r="G13" i="53"/>
  <c r="J18" i="55" s="1"/>
  <c r="G17" i="53"/>
  <c r="J22" i="55" s="1"/>
  <c r="G21" i="53"/>
  <c r="J26" i="55" s="1"/>
  <c r="G25" i="53"/>
  <c r="J30" i="55" s="1"/>
  <c r="G29" i="53"/>
  <c r="J36" i="55" s="1"/>
  <c r="G33" i="53"/>
  <c r="J41" i="55" s="1"/>
  <c r="G37" i="53"/>
  <c r="J45" i="55" s="1"/>
  <c r="G41" i="53"/>
  <c r="J52" i="55" s="1"/>
  <c r="G45" i="53"/>
  <c r="J57" i="55" s="1"/>
  <c r="G49" i="53"/>
  <c r="J61" i="55" s="1"/>
  <c r="G53" i="53"/>
  <c r="J66" i="55" s="1"/>
  <c r="G57" i="53"/>
  <c r="G61" i="53"/>
  <c r="J80" i="55" s="1"/>
  <c r="G65" i="53"/>
  <c r="J85" i="55" s="1"/>
  <c r="G69" i="53"/>
  <c r="J91" i="55" s="1"/>
  <c r="G73" i="53"/>
  <c r="J95" i="55" s="1"/>
  <c r="G77" i="53"/>
  <c r="J100" i="55" s="1"/>
  <c r="G81" i="53"/>
  <c r="J105" i="55" s="1"/>
  <c r="G85" i="53"/>
  <c r="J109" i="55" s="1"/>
  <c r="G89" i="53"/>
  <c r="G93" i="53"/>
  <c r="J117" i="55" s="1"/>
  <c r="G92" i="53"/>
  <c r="J116" i="55" s="1"/>
  <c r="G84" i="53"/>
  <c r="J108" i="55" s="1"/>
  <c r="G76" i="53"/>
  <c r="J98" i="55" s="1"/>
  <c r="H7" i="53"/>
  <c r="K12" i="55" s="1"/>
  <c r="H11" i="53"/>
  <c r="K16" i="55" s="1"/>
  <c r="H15" i="53"/>
  <c r="K20" i="55" s="1"/>
  <c r="H19" i="53"/>
  <c r="K24" i="55" s="1"/>
  <c r="H23" i="53"/>
  <c r="K28" i="55" s="1"/>
  <c r="H27" i="53"/>
  <c r="K33" i="55" s="1"/>
  <c r="H31" i="53"/>
  <c r="K39" i="55" s="1"/>
  <c r="H35" i="53"/>
  <c r="K43" i="55" s="1"/>
  <c r="H39" i="53"/>
  <c r="K50" i="55" s="1"/>
  <c r="H43" i="53"/>
  <c r="K55" i="55" s="1"/>
  <c r="H47" i="53"/>
  <c r="K59" i="55" s="1"/>
  <c r="H51" i="53"/>
  <c r="K64" i="55" s="1"/>
  <c r="H55" i="53"/>
  <c r="K69" i="55" s="1"/>
  <c r="H59" i="53"/>
  <c r="K75" i="55" s="1"/>
  <c r="H63" i="53"/>
  <c r="K83" i="55" s="1"/>
  <c r="H67" i="53"/>
  <c r="K87" i="55" s="1"/>
  <c r="H71" i="53"/>
  <c r="K93" i="55" s="1"/>
  <c r="H75" i="53"/>
  <c r="K97" i="55" s="1"/>
  <c r="H79" i="53"/>
  <c r="K103" i="55" s="1"/>
  <c r="H83" i="53"/>
  <c r="K107" i="55" s="1"/>
  <c r="H87" i="53"/>
  <c r="K111" i="55" s="1"/>
  <c r="H91" i="53"/>
  <c r="H4" i="53"/>
  <c r="K9" i="55" s="1"/>
  <c r="H8" i="53"/>
  <c r="K13" i="55" s="1"/>
  <c r="H12" i="53"/>
  <c r="K17" i="55" s="1"/>
  <c r="H16" i="53"/>
  <c r="K21" i="55" s="1"/>
  <c r="H20" i="53"/>
  <c r="K25" i="55" s="1"/>
  <c r="H24" i="53"/>
  <c r="K29" i="55" s="1"/>
  <c r="H28" i="53"/>
  <c r="K34" i="55" s="1"/>
  <c r="H32" i="53"/>
  <c r="K40" i="55" s="1"/>
  <c r="H36" i="53"/>
  <c r="K44" i="55" s="1"/>
  <c r="H40" i="53"/>
  <c r="K51" i="55" s="1"/>
  <c r="H44" i="53"/>
  <c r="K56" i="55" s="1"/>
  <c r="H48" i="53"/>
  <c r="K60" i="55" s="1"/>
  <c r="H52" i="53"/>
  <c r="K65" i="55" s="1"/>
  <c r="H56" i="53"/>
  <c r="K70" i="55" s="1"/>
  <c r="H60" i="53"/>
  <c r="K77" i="55" s="1"/>
  <c r="H64" i="53"/>
  <c r="K84" i="55" s="1"/>
  <c r="H68" i="53"/>
  <c r="K88" i="55" s="1"/>
  <c r="H72" i="53"/>
  <c r="K94" i="55" s="1"/>
  <c r="H76" i="53"/>
  <c r="K98" i="55" s="1"/>
  <c r="H80" i="53"/>
  <c r="K104" i="55" s="1"/>
  <c r="H84" i="53"/>
  <c r="K108" i="55" s="1"/>
  <c r="H88" i="53"/>
  <c r="K112" i="55" s="1"/>
  <c r="H92" i="53"/>
  <c r="K116" i="55" s="1"/>
  <c r="H3" i="53"/>
  <c r="K8" i="55" s="1"/>
  <c r="H5" i="53"/>
  <c r="K10" i="55" s="1"/>
  <c r="H9" i="53"/>
  <c r="K14" i="55" s="1"/>
  <c r="H13" i="53"/>
  <c r="K18" i="55" s="1"/>
  <c r="H17" i="53"/>
  <c r="K22" i="55" s="1"/>
  <c r="H21" i="53"/>
  <c r="K26" i="55" s="1"/>
  <c r="H25" i="53"/>
  <c r="K30" i="55" s="1"/>
  <c r="H29" i="53"/>
  <c r="K36" i="55" s="1"/>
  <c r="H33" i="53"/>
  <c r="K41" i="55" s="1"/>
  <c r="H37" i="53"/>
  <c r="K45" i="55" s="1"/>
  <c r="H41" i="53"/>
  <c r="K52" i="55" s="1"/>
  <c r="H45" i="53"/>
  <c r="K57" i="55" s="1"/>
  <c r="H49" i="53"/>
  <c r="K61" i="55" s="1"/>
  <c r="H53" i="53"/>
  <c r="K66" i="55" s="1"/>
  <c r="H57" i="53"/>
  <c r="H61" i="53"/>
  <c r="K80" i="55" s="1"/>
  <c r="H65" i="53"/>
  <c r="K85" i="55" s="1"/>
  <c r="H69" i="53"/>
  <c r="K91" i="55" s="1"/>
  <c r="H73" i="53"/>
  <c r="K95" i="55" s="1"/>
  <c r="H77" i="53"/>
  <c r="K100" i="55" s="1"/>
  <c r="H81" i="53"/>
  <c r="K105" i="55" s="1"/>
  <c r="H85" i="53"/>
  <c r="K109" i="55" s="1"/>
  <c r="H89" i="53"/>
  <c r="H93" i="53"/>
  <c r="K117" i="55" s="1"/>
  <c r="H6" i="53"/>
  <c r="K11" i="55" s="1"/>
  <c r="H10" i="53"/>
  <c r="K15" i="55" s="1"/>
  <c r="H14" i="53"/>
  <c r="K19" i="55" s="1"/>
  <c r="H18" i="53"/>
  <c r="K23" i="55" s="1"/>
  <c r="H22" i="53"/>
  <c r="K27" i="55" s="1"/>
  <c r="H26" i="53"/>
  <c r="K32" i="55" s="1"/>
  <c r="H30" i="53"/>
  <c r="K38" i="55" s="1"/>
  <c r="H34" i="53"/>
  <c r="K42" i="55" s="1"/>
  <c r="H38" i="53"/>
  <c r="K46" i="55" s="1"/>
  <c r="H42" i="53"/>
  <c r="K54" i="55" s="1"/>
  <c r="H46" i="53"/>
  <c r="K58" i="55" s="1"/>
  <c r="H50" i="53"/>
  <c r="K63" i="55" s="1"/>
  <c r="H54" i="53"/>
  <c r="K67" i="55" s="1"/>
  <c r="H58" i="53"/>
  <c r="K74" i="55" s="1"/>
  <c r="H62" i="53"/>
  <c r="K81" i="55" s="1"/>
  <c r="H66" i="53"/>
  <c r="K86" i="55" s="1"/>
  <c r="H70" i="53"/>
  <c r="K92" i="55" s="1"/>
  <c r="H74" i="53"/>
  <c r="K96" i="55" s="1"/>
  <c r="H78" i="53"/>
  <c r="K102" i="55" s="1"/>
  <c r="H82" i="53"/>
  <c r="K106" i="55" s="1"/>
  <c r="H86" i="53"/>
  <c r="K110" i="55" s="1"/>
  <c r="H90" i="53"/>
  <c r="K113" i="55" s="1"/>
  <c r="G3" i="53"/>
  <c r="J8" i="55" s="1"/>
  <c r="G91" i="53"/>
  <c r="G83" i="53"/>
  <c r="J107" i="55" s="1"/>
  <c r="G75" i="53"/>
  <c r="J97" i="55" s="1"/>
  <c r="I110" i="55"/>
  <c r="J17" i="50"/>
  <c r="M22" i="50"/>
  <c r="M24" i="50"/>
  <c r="M26" i="50"/>
  <c r="M28" i="50"/>
  <c r="M29" i="50"/>
  <c r="M32" i="50"/>
  <c r="M33" i="50"/>
  <c r="M36" i="50"/>
  <c r="M38" i="50"/>
  <c r="M40" i="50"/>
  <c r="M41" i="50"/>
  <c r="M42" i="50"/>
  <c r="M43" i="50"/>
  <c r="M45" i="50"/>
  <c r="M47" i="50"/>
  <c r="K70" i="50"/>
  <c r="K71" i="50"/>
  <c r="K72" i="50"/>
  <c r="K73" i="50"/>
  <c r="K74" i="50"/>
  <c r="K75" i="50"/>
  <c r="K76" i="50"/>
  <c r="K78" i="50"/>
  <c r="K80" i="50"/>
  <c r="K81" i="50"/>
  <c r="J84" i="50"/>
  <c r="J87" i="50"/>
  <c r="J90" i="50"/>
  <c r="J91" i="50"/>
  <c r="J93" i="50"/>
  <c r="J95" i="50"/>
  <c r="J97" i="50"/>
  <c r="J99" i="50"/>
  <c r="J101" i="50"/>
  <c r="K14" i="50"/>
  <c r="K15" i="50"/>
  <c r="K16" i="50"/>
  <c r="K19" i="50"/>
  <c r="J42" i="50"/>
  <c r="J44" i="50"/>
  <c r="J45" i="50"/>
  <c r="J46" i="50"/>
  <c r="J47" i="50"/>
  <c r="AP47" i="50" s="1"/>
  <c r="J48" i="50"/>
  <c r="AP48" i="50" s="1"/>
  <c r="J49" i="50"/>
  <c r="AP49" i="50" s="1"/>
  <c r="M49" i="50"/>
  <c r="M51" i="50"/>
  <c r="M52" i="50"/>
  <c r="M53" i="50"/>
  <c r="M54" i="50"/>
  <c r="M55" i="50"/>
  <c r="M57" i="50"/>
  <c r="M58" i="50"/>
  <c r="M59" i="50"/>
  <c r="M61" i="50"/>
  <c r="M67" i="50"/>
  <c r="L70" i="50"/>
  <c r="L72" i="50"/>
  <c r="L73" i="50"/>
  <c r="L74" i="50"/>
  <c r="L76" i="50"/>
  <c r="L77" i="50"/>
  <c r="L78" i="50"/>
  <c r="L79" i="50"/>
  <c r="L80" i="50"/>
  <c r="L81" i="50"/>
  <c r="K83" i="50"/>
  <c r="K84" i="50"/>
  <c r="K86" i="50"/>
  <c r="K87" i="50"/>
  <c r="K88" i="50"/>
  <c r="K90" i="50"/>
  <c r="K92" i="50"/>
  <c r="K94" i="50"/>
  <c r="K102" i="50"/>
  <c r="K103" i="50"/>
  <c r="K104" i="50"/>
  <c r="K105" i="50"/>
  <c r="K106" i="50"/>
  <c r="J14" i="50"/>
  <c r="J15" i="50"/>
  <c r="J18" i="50"/>
  <c r="M25" i="50"/>
  <c r="K42" i="50"/>
  <c r="K43" i="50"/>
  <c r="J50" i="50"/>
  <c r="J51" i="50"/>
  <c r="J54" i="50"/>
  <c r="J55" i="50"/>
  <c r="J58" i="50"/>
  <c r="J59" i="50"/>
  <c r="J61" i="50"/>
  <c r="J67" i="50"/>
  <c r="J69" i="50"/>
  <c r="M70" i="50"/>
  <c r="M71" i="50"/>
  <c r="M74" i="50"/>
  <c r="M75" i="50"/>
  <c r="M76" i="50"/>
  <c r="M77" i="50"/>
  <c r="M78" i="50"/>
  <c r="M79" i="50"/>
  <c r="M81" i="50"/>
  <c r="L102" i="50"/>
  <c r="L103" i="50"/>
  <c r="L105" i="50"/>
  <c r="L106" i="50"/>
  <c r="L107" i="50"/>
  <c r="L113" i="50"/>
  <c r="L114" i="50"/>
  <c r="K116" i="50"/>
  <c r="K117" i="50"/>
  <c r="J13" i="50"/>
  <c r="K9" i="50"/>
  <c r="M13" i="50"/>
  <c r="M14" i="50"/>
  <c r="M15" i="50"/>
  <c r="M16" i="50"/>
  <c r="M18" i="50"/>
  <c r="M19" i="50"/>
  <c r="M20" i="50"/>
  <c r="K52" i="50"/>
  <c r="K55" i="50"/>
  <c r="K56" i="50"/>
  <c r="K59" i="50"/>
  <c r="J82" i="50"/>
  <c r="AP82" i="50" s="1"/>
  <c r="M82" i="50"/>
  <c r="M83" i="50"/>
  <c r="M84" i="50"/>
  <c r="M86" i="50"/>
  <c r="M87" i="50"/>
  <c r="M89" i="50"/>
  <c r="M90" i="50"/>
  <c r="M91" i="50"/>
  <c r="M92" i="50"/>
  <c r="M94" i="50"/>
  <c r="M95" i="50"/>
  <c r="M96" i="50"/>
  <c r="M97" i="50"/>
  <c r="M98" i="50"/>
  <c r="M99" i="50"/>
  <c r="M103" i="50"/>
  <c r="M104" i="50"/>
  <c r="M105" i="50"/>
  <c r="K18" i="50"/>
  <c r="M37" i="50"/>
  <c r="M30" i="50"/>
  <c r="M34" i="50"/>
  <c r="F63" i="55"/>
  <c r="G75" i="55"/>
  <c r="G83" i="55"/>
  <c r="F30" i="55"/>
  <c r="I18" i="55"/>
  <c r="G99" i="55"/>
  <c r="G71" i="55"/>
  <c r="F13" i="55"/>
  <c r="L8" i="50"/>
  <c r="L9" i="50"/>
  <c r="L10" i="50"/>
  <c r="L11" i="50"/>
  <c r="L12" i="50"/>
  <c r="L13" i="50"/>
  <c r="J16" i="50"/>
  <c r="K17" i="50"/>
  <c r="M23" i="50"/>
  <c r="M27" i="50"/>
  <c r="M31" i="50"/>
  <c r="M35" i="50"/>
  <c r="M39" i="50"/>
  <c r="K8" i="50"/>
  <c r="K10" i="50"/>
  <c r="K11" i="50"/>
  <c r="K12" i="50"/>
  <c r="K13" i="50"/>
  <c r="M8" i="50"/>
  <c r="M9" i="50"/>
  <c r="M10" i="50"/>
  <c r="M11" i="50"/>
  <c r="M12" i="50"/>
  <c r="M17" i="50"/>
  <c r="J19" i="50"/>
  <c r="J8" i="50"/>
  <c r="J9" i="50"/>
  <c r="J10" i="50"/>
  <c r="J11" i="50"/>
  <c r="J12" i="50"/>
  <c r="M44" i="50"/>
  <c r="K20" i="50"/>
  <c r="K21" i="50"/>
  <c r="K22" i="50"/>
  <c r="K23" i="50"/>
  <c r="K24" i="50"/>
  <c r="K25" i="50"/>
  <c r="K26" i="50"/>
  <c r="K27" i="50"/>
  <c r="K28" i="50"/>
  <c r="K29" i="50"/>
  <c r="K30" i="50"/>
  <c r="K31" i="50"/>
  <c r="K32" i="50"/>
  <c r="K33" i="50"/>
  <c r="K34" i="50"/>
  <c r="K35" i="50"/>
  <c r="K36" i="50"/>
  <c r="K37" i="50"/>
  <c r="K38" i="50"/>
  <c r="K39" i="50"/>
  <c r="K40" i="50"/>
  <c r="K41" i="50"/>
  <c r="J43" i="50"/>
  <c r="K44" i="50"/>
  <c r="J52" i="50"/>
  <c r="J53" i="50"/>
  <c r="AP53" i="50" s="1"/>
  <c r="K54" i="50"/>
  <c r="M56" i="50"/>
  <c r="M72" i="50"/>
  <c r="M80" i="50"/>
  <c r="L14" i="50"/>
  <c r="L15" i="50"/>
  <c r="L16" i="50"/>
  <c r="L17" i="50"/>
  <c r="L18" i="50"/>
  <c r="L19" i="50"/>
  <c r="L20" i="50"/>
  <c r="L21" i="50"/>
  <c r="L22" i="50"/>
  <c r="L23" i="50"/>
  <c r="L24" i="50"/>
  <c r="L25" i="50"/>
  <c r="L26" i="50"/>
  <c r="L27" i="50"/>
  <c r="L28" i="50"/>
  <c r="L29" i="50"/>
  <c r="L30" i="50"/>
  <c r="L31" i="50"/>
  <c r="L32" i="50"/>
  <c r="L33" i="50"/>
  <c r="L34" i="50"/>
  <c r="L35" i="50"/>
  <c r="AR35" i="50" s="1"/>
  <c r="L36" i="50"/>
  <c r="L37" i="50"/>
  <c r="L38" i="50"/>
  <c r="L39" i="50"/>
  <c r="L40" i="50"/>
  <c r="L41" i="50"/>
  <c r="L42" i="50"/>
  <c r="M46" i="50"/>
  <c r="M48" i="50"/>
  <c r="M50" i="50"/>
  <c r="M66" i="50"/>
  <c r="J68" i="50"/>
  <c r="J89" i="50"/>
  <c r="J66" i="50"/>
  <c r="L75" i="50"/>
  <c r="J20" i="50"/>
  <c r="J21" i="50"/>
  <c r="J22" i="50"/>
  <c r="J23" i="50"/>
  <c r="J24" i="50"/>
  <c r="J25" i="50"/>
  <c r="J26" i="50"/>
  <c r="J27" i="50"/>
  <c r="J28" i="50"/>
  <c r="J29" i="50"/>
  <c r="J30" i="50"/>
  <c r="J31" i="50"/>
  <c r="AP31" i="50" s="1"/>
  <c r="J32" i="50"/>
  <c r="J33" i="50"/>
  <c r="J34" i="50"/>
  <c r="J35" i="50"/>
  <c r="AP35" i="50" s="1"/>
  <c r="J36" i="50"/>
  <c r="J37" i="50"/>
  <c r="J38" i="50"/>
  <c r="J39" i="50"/>
  <c r="J40" i="50"/>
  <c r="J41" i="50"/>
  <c r="J57" i="50"/>
  <c r="K58" i="50"/>
  <c r="M60" i="50"/>
  <c r="J70" i="50"/>
  <c r="M73" i="50"/>
  <c r="K82" i="50"/>
  <c r="K45" i="50"/>
  <c r="K46" i="50"/>
  <c r="K47" i="50"/>
  <c r="K48" i="50"/>
  <c r="K49" i="50"/>
  <c r="K50" i="50"/>
  <c r="K51" i="50"/>
  <c r="K53" i="50"/>
  <c r="J56" i="50"/>
  <c r="K57" i="50"/>
  <c r="J60" i="50"/>
  <c r="M68" i="50"/>
  <c r="L71" i="50"/>
  <c r="K79" i="50"/>
  <c r="L43" i="50"/>
  <c r="L44" i="50"/>
  <c r="L45" i="50"/>
  <c r="L46" i="50"/>
  <c r="L47" i="50"/>
  <c r="AR47" i="50" s="1"/>
  <c r="L48" i="50"/>
  <c r="AR48" i="50" s="1"/>
  <c r="L49" i="50"/>
  <c r="AR49" i="50" s="1"/>
  <c r="L50" i="50"/>
  <c r="L51" i="50"/>
  <c r="L52" i="50"/>
  <c r="K60" i="50"/>
  <c r="K77" i="50"/>
  <c r="M100" i="50"/>
  <c r="J102" i="50"/>
  <c r="L53" i="50"/>
  <c r="AR53" i="50" s="1"/>
  <c r="L54" i="50"/>
  <c r="L55" i="50"/>
  <c r="L56" i="50"/>
  <c r="L57" i="50"/>
  <c r="L58" i="50"/>
  <c r="L59" i="50"/>
  <c r="L60" i="50"/>
  <c r="L61" i="50"/>
  <c r="L66" i="50"/>
  <c r="L67" i="50"/>
  <c r="L68" i="50"/>
  <c r="AR68" i="50" s="1"/>
  <c r="L69" i="50"/>
  <c r="K91" i="50"/>
  <c r="J94" i="50"/>
  <c r="AP94" i="50" s="1"/>
  <c r="L104" i="50"/>
  <c r="K61" i="50"/>
  <c r="K66" i="50"/>
  <c r="K67" i="50"/>
  <c r="K68" i="50"/>
  <c r="K69" i="50"/>
  <c r="J83" i="50"/>
  <c r="M88" i="50"/>
  <c r="M93" i="50"/>
  <c r="M101" i="50"/>
  <c r="J86" i="50"/>
  <c r="J92" i="50"/>
  <c r="K93" i="50"/>
  <c r="J98" i="50"/>
  <c r="K113" i="50"/>
  <c r="J96" i="50"/>
  <c r="M102" i="50"/>
  <c r="K107" i="50"/>
  <c r="J88" i="50"/>
  <c r="K89" i="50"/>
  <c r="K95" i="50"/>
  <c r="J100" i="50"/>
  <c r="J71" i="50"/>
  <c r="J72" i="50"/>
  <c r="J73" i="50"/>
  <c r="J74" i="50"/>
  <c r="J75" i="50"/>
  <c r="J76" i="50"/>
  <c r="J77" i="50"/>
  <c r="J78" i="50"/>
  <c r="J79" i="50"/>
  <c r="J80" i="50"/>
  <c r="J81" i="50"/>
  <c r="K115" i="50"/>
  <c r="L82" i="50"/>
  <c r="AR82" i="50" s="1"/>
  <c r="L83" i="50"/>
  <c r="L84" i="50"/>
  <c r="L86" i="50"/>
  <c r="L87" i="50"/>
  <c r="L88" i="50"/>
  <c r="L89" i="50"/>
  <c r="L90" i="50"/>
  <c r="L91" i="50"/>
  <c r="L92" i="50"/>
  <c r="L93" i="50"/>
  <c r="L94" i="50"/>
  <c r="AR94" i="50" s="1"/>
  <c r="L95" i="50"/>
  <c r="L96" i="50"/>
  <c r="L97" i="50"/>
  <c r="L98" i="50"/>
  <c r="L99" i="50"/>
  <c r="L100" i="50"/>
  <c r="L101" i="50"/>
  <c r="K114" i="50"/>
  <c r="K96" i="50"/>
  <c r="K97" i="50"/>
  <c r="K98" i="50"/>
  <c r="K99" i="50"/>
  <c r="K100" i="50"/>
  <c r="K101" i="50"/>
  <c r="J103" i="50"/>
  <c r="J104" i="50"/>
  <c r="J105" i="50"/>
  <c r="J106" i="50"/>
  <c r="J107" i="50"/>
  <c r="J113" i="50"/>
  <c r="J114" i="50"/>
  <c r="J115" i="50"/>
  <c r="J116" i="50"/>
  <c r="J117" i="50"/>
  <c r="L115" i="50"/>
  <c r="L116" i="50"/>
  <c r="L117" i="50"/>
  <c r="M106" i="50"/>
  <c r="M107" i="50"/>
  <c r="M113" i="50"/>
  <c r="M114" i="50"/>
  <c r="M115" i="50"/>
  <c r="M116" i="50"/>
  <c r="M117" i="50"/>
  <c r="F71" i="55" l="1"/>
  <c r="F33" i="55"/>
  <c r="I77" i="55"/>
  <c r="G15" i="55"/>
  <c r="H22" i="55"/>
  <c r="I48" i="55"/>
  <c r="I94" i="55"/>
  <c r="G17" i="55"/>
  <c r="F42" i="55"/>
  <c r="N42" i="50" s="1"/>
  <c r="R42" i="50" s="1"/>
  <c r="AD42" i="50" s="1"/>
  <c r="B43" i="57" s="1"/>
  <c r="G96" i="55"/>
  <c r="F29" i="55"/>
  <c r="H106" i="55"/>
  <c r="G60" i="55"/>
  <c r="G100" i="55"/>
  <c r="H21" i="55"/>
  <c r="G35" i="55"/>
  <c r="F35" i="55"/>
  <c r="N35" i="50" s="1"/>
  <c r="R35" i="50" s="1"/>
  <c r="AD35" i="50" s="1"/>
  <c r="B36" i="57" s="1"/>
  <c r="I89" i="55"/>
  <c r="F15" i="55"/>
  <c r="H70" i="55"/>
  <c r="H93" i="55"/>
  <c r="P94" i="50" s="1"/>
  <c r="T94" i="50" s="1"/>
  <c r="AF94" i="50" s="1"/>
  <c r="D95" i="57" s="1"/>
  <c r="G65" i="55"/>
  <c r="I105" i="55"/>
  <c r="G87" i="55"/>
  <c r="F60" i="55"/>
  <c r="O60" i="50" s="1"/>
  <c r="S60" i="50" s="1"/>
  <c r="AE60" i="50" s="1"/>
  <c r="C61" i="57" s="1"/>
  <c r="F8" i="55"/>
  <c r="N8" i="50" s="1"/>
  <c r="R8" i="50" s="1"/>
  <c r="AD8" i="50" s="1"/>
  <c r="B9" i="57" s="1"/>
  <c r="H18" i="55"/>
  <c r="H68" i="55"/>
  <c r="G76" i="55"/>
  <c r="H101" i="55"/>
  <c r="G45" i="55"/>
  <c r="G50" i="55"/>
  <c r="F57" i="55"/>
  <c r="N57" i="50" s="1"/>
  <c r="R57" i="50" s="1"/>
  <c r="AD57" i="50" s="1"/>
  <c r="B58" i="57" s="1"/>
  <c r="F84" i="55"/>
  <c r="N84" i="50" s="1"/>
  <c r="R84" i="50" s="1"/>
  <c r="AD84" i="50" s="1"/>
  <c r="B85" i="57" s="1"/>
  <c r="G97" i="55"/>
  <c r="H92" i="55"/>
  <c r="G38" i="55"/>
  <c r="G41" i="55"/>
  <c r="G25" i="55"/>
  <c r="G88" i="55"/>
  <c r="G24" i="55"/>
  <c r="F109" i="55"/>
  <c r="I106" i="55"/>
  <c r="H117" i="55"/>
  <c r="F54" i="55"/>
  <c r="I102" i="55"/>
  <c r="G93" i="55"/>
  <c r="O94" i="50" s="1"/>
  <c r="S94" i="50" s="1"/>
  <c r="AE94" i="50" s="1"/>
  <c r="C95" i="57" s="1"/>
  <c r="H97" i="55"/>
  <c r="F87" i="55"/>
  <c r="F81" i="55"/>
  <c r="N81" i="50" s="1"/>
  <c r="R81" i="50" s="1"/>
  <c r="AD81" i="50" s="1"/>
  <c r="B82" i="57" s="1"/>
  <c r="I45" i="55"/>
  <c r="F67" i="55"/>
  <c r="N68" i="50" s="1"/>
  <c r="R68" i="50" s="1"/>
  <c r="AD68" i="50" s="1"/>
  <c r="B69" i="57" s="1"/>
  <c r="H113" i="55"/>
  <c r="P114" i="50" s="1"/>
  <c r="T114" i="50" s="1"/>
  <c r="AF114" i="50" s="1"/>
  <c r="D115" i="57" s="1"/>
  <c r="F113" i="55"/>
  <c r="N114" i="50" s="1"/>
  <c r="R114" i="50" s="1"/>
  <c r="AD114" i="50" s="1"/>
  <c r="B115" i="57" s="1"/>
  <c r="F70" i="55"/>
  <c r="H111" i="55"/>
  <c r="H95" i="55"/>
  <c r="H77" i="55"/>
  <c r="H38" i="55"/>
  <c r="F58" i="55"/>
  <c r="N58" i="50" s="1"/>
  <c r="R58" i="50" s="1"/>
  <c r="AD58" i="50" s="1"/>
  <c r="B59" i="57" s="1"/>
  <c r="H43" i="55"/>
  <c r="G39" i="55"/>
  <c r="F107" i="55"/>
  <c r="N108" i="50" s="1"/>
  <c r="R108" i="50" s="1"/>
  <c r="AD108" i="50" s="1"/>
  <c r="B109" i="57" s="1"/>
  <c r="G77" i="55"/>
  <c r="I64" i="55"/>
  <c r="G46" i="55"/>
  <c r="H32" i="55"/>
  <c r="I109" i="55"/>
  <c r="I100" i="55"/>
  <c r="H86" i="55"/>
  <c r="H108" i="55"/>
  <c r="H98" i="55"/>
  <c r="G103" i="55"/>
  <c r="F116" i="55"/>
  <c r="F106" i="55"/>
  <c r="Q107" i="50" s="1"/>
  <c r="U107" i="50" s="1"/>
  <c r="AG107" i="50" s="1"/>
  <c r="E108" i="57" s="1"/>
  <c r="I93" i="55"/>
  <c r="Q94" i="50" s="1"/>
  <c r="U94" i="50" s="1"/>
  <c r="AG94" i="50" s="1"/>
  <c r="E95" i="57" s="1"/>
  <c r="H75" i="55"/>
  <c r="F36" i="55"/>
  <c r="I33" i="55"/>
  <c r="Q33" i="50" s="1"/>
  <c r="U33" i="50" s="1"/>
  <c r="AG33" i="50" s="1"/>
  <c r="E34" i="57" s="1"/>
  <c r="F40" i="55"/>
  <c r="N40" i="50" s="1"/>
  <c r="R40" i="50" s="1"/>
  <c r="AD40" i="50" s="1"/>
  <c r="B41" i="57" s="1"/>
  <c r="I32" i="55"/>
  <c r="F22" i="55"/>
  <c r="H29" i="55"/>
  <c r="F52" i="55"/>
  <c r="N52" i="50" s="1"/>
  <c r="R52" i="50" s="1"/>
  <c r="AD52" i="50" s="1"/>
  <c r="B53" i="57" s="1"/>
  <c r="F61" i="55"/>
  <c r="N61" i="50" s="1"/>
  <c r="R61" i="50" s="1"/>
  <c r="AD61" i="50" s="1"/>
  <c r="B62" i="57" s="1"/>
  <c r="F74" i="55"/>
  <c r="I43" i="55"/>
  <c r="F80" i="55"/>
  <c r="N80" i="50" s="1"/>
  <c r="R80" i="50" s="1"/>
  <c r="AD80" i="50" s="1"/>
  <c r="B81" i="57" s="1"/>
  <c r="G95" i="55"/>
  <c r="G98" i="55"/>
  <c r="G108" i="55"/>
  <c r="H80" i="55"/>
  <c r="F85" i="55"/>
  <c r="N86" i="50" s="1"/>
  <c r="R86" i="50" s="1"/>
  <c r="AD86" i="50" s="1"/>
  <c r="B87" i="57" s="1"/>
  <c r="G40" i="55"/>
  <c r="H45" i="55"/>
  <c r="G57" i="55"/>
  <c r="G66" i="55"/>
  <c r="I41" i="55"/>
  <c r="H56" i="55"/>
  <c r="H65" i="55"/>
  <c r="H42" i="55"/>
  <c r="P42" i="50" s="1"/>
  <c r="T42" i="50" s="1"/>
  <c r="AF42" i="50" s="1"/>
  <c r="D43" i="57" s="1"/>
  <c r="I55" i="55"/>
  <c r="I34" i="55"/>
  <c r="I44" i="55"/>
  <c r="H24" i="55"/>
  <c r="G42" i="55"/>
  <c r="G27" i="55"/>
  <c r="F26" i="55"/>
  <c r="I10" i="55"/>
  <c r="H8" i="55"/>
  <c r="F19" i="55"/>
  <c r="N19" i="50" s="1"/>
  <c r="R19" i="50" s="1"/>
  <c r="AD19" i="50" s="1"/>
  <c r="B20" i="57" s="1"/>
  <c r="I17" i="55"/>
  <c r="H15" i="55"/>
  <c r="G13" i="55"/>
  <c r="O13" i="50" s="1"/>
  <c r="S13" i="50" s="1"/>
  <c r="AE13" i="50" s="1"/>
  <c r="C14" i="57" s="1"/>
  <c r="I115" i="55"/>
  <c r="H115" i="55"/>
  <c r="H90" i="55"/>
  <c r="H78" i="55"/>
  <c r="G101" i="55"/>
  <c r="F115" i="55"/>
  <c r="F90" i="55"/>
  <c r="P91" i="50" s="1"/>
  <c r="T91" i="50" s="1"/>
  <c r="AF91" i="50" s="1"/>
  <c r="D92" i="57" s="1"/>
  <c r="G79" i="55"/>
  <c r="I83" i="55"/>
  <c r="G26" i="55"/>
  <c r="G113" i="55"/>
  <c r="I98" i="55"/>
  <c r="I95" i="55"/>
  <c r="H105" i="55"/>
  <c r="I116" i="55"/>
  <c r="F105" i="55"/>
  <c r="I58" i="55"/>
  <c r="G107" i="55"/>
  <c r="H64" i="55"/>
  <c r="H96" i="55"/>
  <c r="H100" i="55"/>
  <c r="H66" i="55"/>
  <c r="H103" i="55"/>
  <c r="F100" i="55"/>
  <c r="F43" i="55"/>
  <c r="F51" i="55"/>
  <c r="N51" i="50" s="1"/>
  <c r="R51" i="50" s="1"/>
  <c r="AD51" i="50" s="1"/>
  <c r="B52" i="57" s="1"/>
  <c r="G23" i="55"/>
  <c r="F117" i="55"/>
  <c r="I74" i="55"/>
  <c r="I39" i="55"/>
  <c r="I29" i="55"/>
  <c r="I107" i="55"/>
  <c r="H94" i="55"/>
  <c r="H110" i="55"/>
  <c r="G92" i="55"/>
  <c r="H87" i="55"/>
  <c r="F108" i="55"/>
  <c r="N109" i="50" s="1"/>
  <c r="R109" i="50" s="1"/>
  <c r="AD109" i="50" s="1"/>
  <c r="B110" i="57" s="1"/>
  <c r="I85" i="55"/>
  <c r="I51" i="55"/>
  <c r="H50" i="55"/>
  <c r="F65" i="55"/>
  <c r="N66" i="50" s="1"/>
  <c r="R66" i="50" s="1"/>
  <c r="AD66" i="50" s="1"/>
  <c r="B67" i="57" s="1"/>
  <c r="F10" i="55"/>
  <c r="H27" i="55"/>
  <c r="F55" i="55"/>
  <c r="F66" i="55"/>
  <c r="N67" i="50" s="1"/>
  <c r="R67" i="50" s="1"/>
  <c r="AD67" i="50" s="1"/>
  <c r="B68" i="57" s="1"/>
  <c r="I36" i="55"/>
  <c r="H74" i="55"/>
  <c r="P75" i="50" s="1"/>
  <c r="T75" i="50" s="1"/>
  <c r="AF75" i="50" s="1"/>
  <c r="D76" i="57" s="1"/>
  <c r="F88" i="55"/>
  <c r="G106" i="55"/>
  <c r="G86" i="55"/>
  <c r="F95" i="55"/>
  <c r="N96" i="50" s="1"/>
  <c r="R96" i="50" s="1"/>
  <c r="AD96" i="50" s="1"/>
  <c r="B97" i="57" s="1"/>
  <c r="I42" i="55"/>
  <c r="G59" i="55"/>
  <c r="G74" i="55"/>
  <c r="H54" i="55"/>
  <c r="H67" i="55"/>
  <c r="I50" i="55"/>
  <c r="I61" i="55"/>
  <c r="I30" i="55"/>
  <c r="Q30" i="50" s="1"/>
  <c r="U30" i="50" s="1"/>
  <c r="AG30" i="50" s="1"/>
  <c r="E31" i="57" s="1"/>
  <c r="F23" i="55"/>
  <c r="G29" i="55"/>
  <c r="I23" i="55"/>
  <c r="H16" i="55"/>
  <c r="G10" i="55"/>
  <c r="I13" i="55"/>
  <c r="Q13" i="50" s="1"/>
  <c r="U13" i="50" s="1"/>
  <c r="AG13" i="50" s="1"/>
  <c r="E14" i="57" s="1"/>
  <c r="G21" i="55"/>
  <c r="F14" i="55"/>
  <c r="N14" i="50" s="1"/>
  <c r="R14" i="50" s="1"/>
  <c r="AD14" i="50" s="1"/>
  <c r="B15" i="57" s="1"/>
  <c r="H114" i="55"/>
  <c r="H82" i="55"/>
  <c r="G114" i="55"/>
  <c r="F114" i="55"/>
  <c r="N115" i="50" s="1"/>
  <c r="R115" i="50" s="1"/>
  <c r="AD115" i="50" s="1"/>
  <c r="B116" i="57" s="1"/>
  <c r="F82" i="55"/>
  <c r="H71" i="55"/>
  <c r="P72" i="50" s="1"/>
  <c r="T72" i="50" s="1"/>
  <c r="AF72" i="50" s="1"/>
  <c r="D73" i="57" s="1"/>
  <c r="I96" i="55"/>
  <c r="I88" i="55"/>
  <c r="G78" i="55"/>
  <c r="F76" i="55"/>
  <c r="N77" i="50" s="1"/>
  <c r="R77" i="50" s="1"/>
  <c r="AD77" i="50" s="1"/>
  <c r="B78" i="57" s="1"/>
  <c r="I72" i="55"/>
  <c r="F53" i="55"/>
  <c r="N53" i="50" s="1"/>
  <c r="R53" i="50" s="1"/>
  <c r="AD53" i="50" s="1"/>
  <c r="B54" i="57" s="1"/>
  <c r="F37" i="55"/>
  <c r="G72" i="55"/>
  <c r="I49" i="55"/>
  <c r="I35" i="55"/>
  <c r="I71" i="55"/>
  <c r="Q72" i="50" s="1"/>
  <c r="U72" i="50" s="1"/>
  <c r="AG72" i="50" s="1"/>
  <c r="E73" i="57" s="1"/>
  <c r="H49" i="55"/>
  <c r="G73" i="55"/>
  <c r="G53" i="55"/>
  <c r="G37" i="55"/>
  <c r="G30" i="55"/>
  <c r="O30" i="50" s="1"/>
  <c r="S30" i="50" s="1"/>
  <c r="AE30" i="50" s="1"/>
  <c r="C31" i="57" s="1"/>
  <c r="H23" i="55"/>
  <c r="I21" i="55"/>
  <c r="I8" i="55"/>
  <c r="G20" i="55"/>
  <c r="F17" i="55"/>
  <c r="O17" i="50" s="1"/>
  <c r="S17" i="50" s="1"/>
  <c r="AE17" i="50" s="1"/>
  <c r="C18" i="57" s="1"/>
  <c r="G34" i="55"/>
  <c r="I65" i="55"/>
  <c r="G67" i="55"/>
  <c r="G105" i="55"/>
  <c r="I46" i="55"/>
  <c r="G81" i="55"/>
  <c r="H84" i="55"/>
  <c r="H26" i="55"/>
  <c r="G51" i="55"/>
  <c r="I63" i="55"/>
  <c r="Q64" i="50" s="1"/>
  <c r="U64" i="50" s="1"/>
  <c r="AG64" i="50" s="1"/>
  <c r="E65" i="57" s="1"/>
  <c r="G70" i="55"/>
  <c r="H81" i="55"/>
  <c r="I87" i="55"/>
  <c r="I112" i="55"/>
  <c r="G109" i="55"/>
  <c r="I70" i="55"/>
  <c r="H55" i="55"/>
  <c r="G54" i="55"/>
  <c r="F96" i="55"/>
  <c r="N97" i="50" s="1"/>
  <c r="R97" i="50" s="1"/>
  <c r="AD97" i="50" s="1"/>
  <c r="B98" i="57" s="1"/>
  <c r="G91" i="55"/>
  <c r="I66" i="55"/>
  <c r="Q67" i="50" s="1"/>
  <c r="U67" i="50" s="1"/>
  <c r="AG67" i="50" s="1"/>
  <c r="E68" i="57" s="1"/>
  <c r="F75" i="55"/>
  <c r="O76" i="50" s="1"/>
  <c r="S76" i="50" s="1"/>
  <c r="AE76" i="50" s="1"/>
  <c r="C77" i="57" s="1"/>
  <c r="I113" i="55"/>
  <c r="I103" i="55"/>
  <c r="H116" i="55"/>
  <c r="H104" i="55"/>
  <c r="G111" i="55"/>
  <c r="F112" i="55"/>
  <c r="N113" i="50" s="1"/>
  <c r="R113" i="50" s="1"/>
  <c r="AD113" i="50" s="1"/>
  <c r="B114" i="57" s="1"/>
  <c r="F102" i="55"/>
  <c r="N103" i="50" s="1"/>
  <c r="R103" i="50" s="1"/>
  <c r="AD103" i="50" s="1"/>
  <c r="B104" i="57" s="1"/>
  <c r="G80" i="55"/>
  <c r="H69" i="55"/>
  <c r="G56" i="55"/>
  <c r="I40" i="55"/>
  <c r="F24" i="55"/>
  <c r="N24" i="50" s="1"/>
  <c r="R24" i="50" s="1"/>
  <c r="AD24" i="50" s="1"/>
  <c r="B25" i="57" s="1"/>
  <c r="I27" i="55"/>
  <c r="F59" i="55"/>
  <c r="N59" i="50" s="1"/>
  <c r="R59" i="50" s="1"/>
  <c r="AD59" i="50" s="1"/>
  <c r="B60" i="57" s="1"/>
  <c r="F38" i="55"/>
  <c r="N38" i="50" s="1"/>
  <c r="R38" i="50" s="1"/>
  <c r="AD38" i="50" s="1"/>
  <c r="B39" i="57" s="1"/>
  <c r="F39" i="55"/>
  <c r="G85" i="55"/>
  <c r="G102" i="55"/>
  <c r="G112" i="55"/>
  <c r="H83" i="55"/>
  <c r="H36" i="55"/>
  <c r="G52" i="55"/>
  <c r="G64" i="55"/>
  <c r="H46" i="55"/>
  <c r="H60" i="55"/>
  <c r="F34" i="55"/>
  <c r="I57" i="55"/>
  <c r="Q57" i="50" s="1"/>
  <c r="U57" i="50" s="1"/>
  <c r="AG57" i="50" s="1"/>
  <c r="E58" i="57" s="1"/>
  <c r="H39" i="55"/>
  <c r="I26" i="55"/>
  <c r="G36" i="55"/>
  <c r="F27" i="55"/>
  <c r="P27" i="50" s="1"/>
  <c r="T27" i="50" s="1"/>
  <c r="AF27" i="50" s="1"/>
  <c r="D28" i="57" s="1"/>
  <c r="I14" i="55"/>
  <c r="G18" i="55"/>
  <c r="F11" i="55"/>
  <c r="N11" i="50" s="1"/>
  <c r="R11" i="50" s="1"/>
  <c r="AD11" i="50" s="1"/>
  <c r="B12" i="57" s="1"/>
  <c r="H19" i="55"/>
  <c r="G9" i="55"/>
  <c r="I101" i="55"/>
  <c r="H99" i="55"/>
  <c r="H76" i="55"/>
  <c r="G90" i="55"/>
  <c r="F99" i="55"/>
  <c r="N100" i="50" s="1"/>
  <c r="R100" i="50" s="1"/>
  <c r="AD100" i="50" s="1"/>
  <c r="B101" i="57" s="1"/>
  <c r="H73" i="55"/>
  <c r="I81" i="55"/>
  <c r="I92" i="55"/>
  <c r="I84" i="55"/>
  <c r="I79" i="55"/>
  <c r="I76" i="55"/>
  <c r="Q77" i="50" s="1"/>
  <c r="U77" i="50" s="1"/>
  <c r="AG77" i="50" s="1"/>
  <c r="E78" i="57" s="1"/>
  <c r="F68" i="55"/>
  <c r="F48" i="55"/>
  <c r="Q48" i="50" s="1"/>
  <c r="U48" i="50" s="1"/>
  <c r="AG48" i="50" s="1"/>
  <c r="E49" i="57" s="1"/>
  <c r="F31" i="55"/>
  <c r="N31" i="50" s="1"/>
  <c r="R31" i="50" s="1"/>
  <c r="AD31" i="50" s="1"/>
  <c r="B32" i="57" s="1"/>
  <c r="I62" i="55"/>
  <c r="I47" i="55"/>
  <c r="I73" i="55"/>
  <c r="H62" i="55"/>
  <c r="H47" i="55"/>
  <c r="G68" i="55"/>
  <c r="G48" i="55"/>
  <c r="G32" i="55"/>
  <c r="H35" i="55"/>
  <c r="P35" i="50" s="1"/>
  <c r="T35" i="50" s="1"/>
  <c r="AF35" i="50" s="1"/>
  <c r="D36" i="57" s="1"/>
  <c r="I24" i="55"/>
  <c r="I16" i="55"/>
  <c r="H14" i="55"/>
  <c r="G12" i="55"/>
  <c r="F9" i="55"/>
  <c r="O9" i="50" s="1"/>
  <c r="S9" i="50" s="1"/>
  <c r="AE9" i="50" s="1"/>
  <c r="C10" i="57" s="1"/>
  <c r="I11" i="55"/>
  <c r="H9" i="55"/>
  <c r="F20" i="55"/>
  <c r="F12" i="55"/>
  <c r="G19" i="55"/>
  <c r="I15" i="55"/>
  <c r="G8" i="55"/>
  <c r="I12" i="55"/>
  <c r="G31" i="55"/>
  <c r="G47" i="55"/>
  <c r="H37" i="55"/>
  <c r="F72" i="55"/>
  <c r="I53" i="55"/>
  <c r="F47" i="55"/>
  <c r="N47" i="50" s="1"/>
  <c r="R47" i="50" s="1"/>
  <c r="AD47" i="50" s="1"/>
  <c r="B48" i="57" s="1"/>
  <c r="F73" i="55"/>
  <c r="N74" i="50" s="1"/>
  <c r="R74" i="50" s="1"/>
  <c r="AD74" i="50" s="1"/>
  <c r="B75" i="57" s="1"/>
  <c r="G82" i="55"/>
  <c r="I80" i="55"/>
  <c r="F89" i="55"/>
  <c r="N90" i="50" s="1"/>
  <c r="R90" i="50" s="1"/>
  <c r="AD90" i="50" s="1"/>
  <c r="B91" i="57" s="1"/>
  <c r="G115" i="55"/>
  <c r="I99" i="55"/>
  <c r="H11" i="55"/>
  <c r="G14" i="55"/>
  <c r="F28" i="55"/>
  <c r="N28" i="50" s="1"/>
  <c r="R28" i="50" s="1"/>
  <c r="AD28" i="50" s="1"/>
  <c r="B29" i="57" s="1"/>
  <c r="H34" i="55"/>
  <c r="I59" i="55"/>
  <c r="H63" i="55"/>
  <c r="P64" i="50" s="1"/>
  <c r="T64" i="50" s="1"/>
  <c r="AF64" i="50" s="1"/>
  <c r="D65" i="57" s="1"/>
  <c r="G69" i="55"/>
  <c r="F25" i="55"/>
  <c r="G116" i="55"/>
  <c r="F83" i="55"/>
  <c r="N83" i="50" s="1"/>
  <c r="R83" i="50" s="1"/>
  <c r="AD83" i="50" s="1"/>
  <c r="B84" i="57" s="1"/>
  <c r="H41" i="55"/>
  <c r="F50" i="55"/>
  <c r="P50" i="50" s="1"/>
  <c r="T50" i="50" s="1"/>
  <c r="AF50" i="50" s="1"/>
  <c r="D51" i="57" s="1"/>
  <c r="H30" i="55"/>
  <c r="P30" i="50" s="1"/>
  <c r="T30" i="50" s="1"/>
  <c r="AF30" i="50" s="1"/>
  <c r="D31" i="57" s="1"/>
  <c r="H59" i="55"/>
  <c r="F98" i="55"/>
  <c r="N99" i="50" s="1"/>
  <c r="R99" i="50" s="1"/>
  <c r="AD99" i="50" s="1"/>
  <c r="B100" i="57" s="1"/>
  <c r="F92" i="55"/>
  <c r="N93" i="50" s="1"/>
  <c r="R93" i="50" s="1"/>
  <c r="AD93" i="50" s="1"/>
  <c r="B94" i="57" s="1"/>
  <c r="H112" i="55"/>
  <c r="I111" i="55"/>
  <c r="H52" i="55"/>
  <c r="F86" i="55"/>
  <c r="G58" i="55"/>
  <c r="H91" i="55"/>
  <c r="I67" i="55"/>
  <c r="G63" i="55"/>
  <c r="O64" i="50" s="1"/>
  <c r="S64" i="50" s="1"/>
  <c r="AE64" i="50" s="1"/>
  <c r="C65" i="57" s="1"/>
  <c r="G94" i="55"/>
  <c r="F111" i="55"/>
  <c r="N112" i="50" s="1"/>
  <c r="R112" i="50" s="1"/>
  <c r="AD112" i="50" s="1"/>
  <c r="B113" i="57" s="1"/>
  <c r="H40" i="55"/>
  <c r="F103" i="55"/>
  <c r="F16" i="55"/>
  <c r="N16" i="50" s="1"/>
  <c r="R16" i="50" s="1"/>
  <c r="AD16" i="50" s="1"/>
  <c r="B17" i="57" s="1"/>
  <c r="H13" i="55"/>
  <c r="P13" i="50" s="1"/>
  <c r="T13" i="50" s="1"/>
  <c r="AF13" i="50" s="1"/>
  <c r="D14" i="57" s="1"/>
  <c r="I19" i="55"/>
  <c r="G16" i="55"/>
  <c r="I20" i="55"/>
  <c r="H31" i="55"/>
  <c r="G49" i="55"/>
  <c r="H48" i="55"/>
  <c r="I75" i="55"/>
  <c r="I68" i="55"/>
  <c r="F49" i="55"/>
  <c r="N49" i="50" s="1"/>
  <c r="R49" i="50" s="1"/>
  <c r="AD49" i="50" s="1"/>
  <c r="B50" i="57" s="1"/>
  <c r="F79" i="55"/>
  <c r="I86" i="55"/>
  <c r="I82" i="55"/>
  <c r="F101" i="55"/>
  <c r="P102" i="50" s="1"/>
  <c r="T102" i="50" s="1"/>
  <c r="AF102" i="50" s="1"/>
  <c r="D103" i="57" s="1"/>
  <c r="H79" i="55"/>
  <c r="I114" i="55"/>
  <c r="I9" i="55"/>
  <c r="H12" i="55"/>
  <c r="H25" i="55"/>
  <c r="I28" i="55"/>
  <c r="I52" i="55"/>
  <c r="H58" i="55"/>
  <c r="G61" i="55"/>
  <c r="G28" i="55"/>
  <c r="G110" i="55"/>
  <c r="I91" i="55"/>
  <c r="F69" i="55"/>
  <c r="H33" i="55"/>
  <c r="P33" i="50" s="1"/>
  <c r="T33" i="50" s="1"/>
  <c r="AF33" i="50" s="1"/>
  <c r="D34" i="57" s="1"/>
  <c r="F56" i="55"/>
  <c r="N56" i="50" s="1"/>
  <c r="R56" i="50" s="1"/>
  <c r="AD56" i="50" s="1"/>
  <c r="B57" i="57" s="1"/>
  <c r="F41" i="55"/>
  <c r="N41" i="50" s="1"/>
  <c r="R41" i="50" s="1"/>
  <c r="AD41" i="50" s="1"/>
  <c r="B42" i="57" s="1"/>
  <c r="F104" i="55"/>
  <c r="G84" i="55"/>
  <c r="O84" i="50" s="1"/>
  <c r="S84" i="50" s="1"/>
  <c r="AE84" i="50" s="1"/>
  <c r="C85" i="57" s="1"/>
  <c r="F91" i="55"/>
  <c r="N92" i="50" s="1"/>
  <c r="R92" i="50" s="1"/>
  <c r="AD92" i="50" s="1"/>
  <c r="B93" i="57" s="1"/>
  <c r="I117" i="55"/>
  <c r="I69" i="55"/>
  <c r="H28" i="55"/>
  <c r="H61" i="55"/>
  <c r="G117" i="55"/>
  <c r="H85" i="55"/>
  <c r="F32" i="55"/>
  <c r="P32" i="50" s="1"/>
  <c r="T32" i="50" s="1"/>
  <c r="AF32" i="50" s="1"/>
  <c r="D33" i="57" s="1"/>
  <c r="H57" i="55"/>
  <c r="P57" i="50" s="1"/>
  <c r="T57" i="50" s="1"/>
  <c r="AF57" i="50" s="1"/>
  <c r="D58" i="57" s="1"/>
  <c r="I108" i="55"/>
  <c r="H109" i="55"/>
  <c r="G11" i="55"/>
  <c r="H17" i="55"/>
  <c r="I25" i="55"/>
  <c r="H10" i="55"/>
  <c r="G22" i="55"/>
  <c r="I31" i="55"/>
  <c r="Q31" i="50" s="1"/>
  <c r="U31" i="50" s="1"/>
  <c r="AG31" i="50" s="1"/>
  <c r="E32" i="57" s="1"/>
  <c r="G62" i="55"/>
  <c r="H53" i="55"/>
  <c r="I37" i="55"/>
  <c r="I78" i="55"/>
  <c r="F62" i="55"/>
  <c r="N63" i="50" s="1"/>
  <c r="R63" i="50" s="1"/>
  <c r="AD63" i="50" s="1"/>
  <c r="B64" i="57" s="1"/>
  <c r="F78" i="55"/>
  <c r="I90" i="55"/>
  <c r="H72" i="55"/>
  <c r="G89" i="55"/>
  <c r="H89" i="55"/>
  <c r="F18" i="55"/>
  <c r="N18" i="50" s="1"/>
  <c r="R18" i="50" s="1"/>
  <c r="AD18" i="50" s="1"/>
  <c r="B19" i="57" s="1"/>
  <c r="I22" i="55"/>
  <c r="H20" i="55"/>
  <c r="G33" i="55"/>
  <c r="O33" i="50" s="1"/>
  <c r="S33" i="50" s="1"/>
  <c r="AE33" i="50" s="1"/>
  <c r="C34" i="57" s="1"/>
  <c r="F77" i="55"/>
  <c r="N78" i="50" s="1"/>
  <c r="R78" i="50" s="1"/>
  <c r="AD78" i="50" s="1"/>
  <c r="B79" i="57" s="1"/>
  <c r="F45" i="55"/>
  <c r="H51" i="55"/>
  <c r="G55" i="55"/>
  <c r="H88" i="55"/>
  <c r="G104" i="55"/>
  <c r="H44" i="55"/>
  <c r="F64" i="55"/>
  <c r="G43" i="55"/>
  <c r="F44" i="55"/>
  <c r="I60" i="55"/>
  <c r="Q60" i="50" s="1"/>
  <c r="U60" i="50" s="1"/>
  <c r="AG60" i="50" s="1"/>
  <c r="E61" i="57" s="1"/>
  <c r="F110" i="55"/>
  <c r="N111" i="50" s="1"/>
  <c r="R111" i="50" s="1"/>
  <c r="AD111" i="50" s="1"/>
  <c r="B112" i="57" s="1"/>
  <c r="H102" i="55"/>
  <c r="F97" i="55"/>
  <c r="N98" i="50" s="1"/>
  <c r="R98" i="50" s="1"/>
  <c r="AD98" i="50" s="1"/>
  <c r="B99" i="57" s="1"/>
  <c r="F46" i="55"/>
  <c r="Q46" i="50" s="1"/>
  <c r="U46" i="50" s="1"/>
  <c r="AG46" i="50" s="1"/>
  <c r="E47" i="57" s="1"/>
  <c r="I97" i="55"/>
  <c r="I38" i="55"/>
  <c r="I54" i="55"/>
  <c r="I104" i="55"/>
  <c r="H107" i="55"/>
  <c r="I56" i="55"/>
  <c r="G44" i="55"/>
  <c r="F21" i="55"/>
  <c r="P21" i="50" s="1"/>
  <c r="T21" i="50" s="1"/>
  <c r="AF21" i="50" s="1"/>
  <c r="D22" i="57" s="1"/>
  <c r="F94" i="55"/>
  <c r="N95" i="50" s="1"/>
  <c r="R95" i="50" s="1"/>
  <c r="AD95" i="50" s="1"/>
  <c r="B96" i="57" s="1"/>
  <c r="F40" i="64"/>
  <c r="C40" i="64"/>
  <c r="N86" i="57"/>
  <c r="R86" i="57" s="1"/>
  <c r="V86" i="57" s="1"/>
  <c r="J92" i="58" s="1"/>
  <c r="D86" i="57"/>
  <c r="AN85" i="50"/>
  <c r="B86" i="57"/>
  <c r="AL85" i="50"/>
  <c r="AM85" i="50"/>
  <c r="C86" i="57"/>
  <c r="O86" i="57"/>
  <c r="S86" i="57" s="1"/>
  <c r="W86" i="57" s="1"/>
  <c r="K92" i="58" s="1"/>
  <c r="AO85" i="50"/>
  <c r="E86" i="57"/>
  <c r="O63" i="57"/>
  <c r="S63" i="57" s="1"/>
  <c r="W63" i="57" s="1"/>
  <c r="K77" i="58" s="1"/>
  <c r="AP115" i="50"/>
  <c r="D61" i="64"/>
  <c r="C57" i="64"/>
  <c r="F51" i="64"/>
  <c r="D46" i="64"/>
  <c r="E54" i="64"/>
  <c r="F32" i="64"/>
  <c r="D27" i="64"/>
  <c r="D22" i="64"/>
  <c r="F28" i="64"/>
  <c r="F17" i="64"/>
  <c r="C32" i="64"/>
  <c r="C21" i="64"/>
  <c r="D7" i="64"/>
  <c r="E53" i="64"/>
  <c r="E10" i="64"/>
  <c r="F59" i="64"/>
  <c r="E20" i="64"/>
  <c r="E35" i="64"/>
  <c r="D31" i="64"/>
  <c r="E30" i="64"/>
  <c r="D60" i="64"/>
  <c r="F50" i="64"/>
  <c r="C52" i="64"/>
  <c r="D53" i="64"/>
  <c r="F35" i="64"/>
  <c r="F31" i="64"/>
  <c r="F26" i="64"/>
  <c r="F18" i="64"/>
  <c r="F11" i="64"/>
  <c r="C26" i="64"/>
  <c r="D9" i="64"/>
  <c r="C10" i="64"/>
  <c r="F10" i="64"/>
  <c r="E49" i="64"/>
  <c r="C36" i="64"/>
  <c r="F60" i="64"/>
  <c r="D16" i="64"/>
  <c r="F47" i="64"/>
  <c r="D57" i="64"/>
  <c r="E29" i="64"/>
  <c r="E61" i="64"/>
  <c r="E59" i="64"/>
  <c r="C60" i="64"/>
  <c r="F56" i="64"/>
  <c r="F49" i="64"/>
  <c r="C61" i="64"/>
  <c r="D45" i="64"/>
  <c r="D51" i="64"/>
  <c r="D49" i="64"/>
  <c r="C42" i="64"/>
  <c r="F42" i="64"/>
  <c r="F34" i="64"/>
  <c r="C38" i="64"/>
  <c r="C34" i="64"/>
  <c r="D38" i="64"/>
  <c r="D26" i="64"/>
  <c r="D24" i="64"/>
  <c r="D18" i="64"/>
  <c r="D42" i="64"/>
  <c r="E34" i="64"/>
  <c r="F30" i="64"/>
  <c r="F25" i="64"/>
  <c r="F23" i="64"/>
  <c r="F20" i="64"/>
  <c r="F15" i="64"/>
  <c r="E46" i="64"/>
  <c r="C30" i="64"/>
  <c r="C25" i="64"/>
  <c r="C23" i="64"/>
  <c r="C20" i="64"/>
  <c r="D8" i="64"/>
  <c r="D17" i="64"/>
  <c r="C9" i="64"/>
  <c r="E28" i="64"/>
  <c r="E19" i="64"/>
  <c r="F9" i="64"/>
  <c r="F6" i="64"/>
  <c r="E24" i="64"/>
  <c r="E12" i="64"/>
  <c r="D10" i="64"/>
  <c r="D43" i="64"/>
  <c r="D12" i="64"/>
  <c r="C53" i="64"/>
  <c r="C49" i="64"/>
  <c r="F46" i="64"/>
  <c r="F44" i="64"/>
  <c r="C14" i="64"/>
  <c r="C47" i="64"/>
  <c r="C45" i="64"/>
  <c r="E23" i="64"/>
  <c r="E18" i="64"/>
  <c r="D59" i="64"/>
  <c r="C55" i="64"/>
  <c r="F53" i="64"/>
  <c r="C54" i="64"/>
  <c r="F37" i="64"/>
  <c r="F36" i="64"/>
  <c r="D29" i="64"/>
  <c r="F21" i="64"/>
  <c r="F12" i="64"/>
  <c r="E37" i="64"/>
  <c r="C28" i="64"/>
  <c r="C19" i="64"/>
  <c r="E32" i="64"/>
  <c r="E6" i="64"/>
  <c r="D14" i="64"/>
  <c r="E55" i="64"/>
  <c r="E16" i="64"/>
  <c r="E47" i="64"/>
  <c r="E44" i="64"/>
  <c r="D35" i="64"/>
  <c r="C59" i="64"/>
  <c r="C51" i="64"/>
  <c r="C11" i="64"/>
  <c r="D50" i="64"/>
  <c r="E25" i="64"/>
  <c r="F61" i="64"/>
  <c r="D58" i="64"/>
  <c r="E51" i="64"/>
  <c r="C43" i="64"/>
  <c r="F43" i="64"/>
  <c r="C35" i="64"/>
  <c r="D28" i="64"/>
  <c r="D21" i="64"/>
  <c r="D19" i="64"/>
  <c r="E42" i="64"/>
  <c r="F24" i="64"/>
  <c r="F16" i="64"/>
  <c r="C24" i="64"/>
  <c r="C18" i="64"/>
  <c r="D6" i="64"/>
  <c r="E8" i="64"/>
  <c r="C6" i="64"/>
  <c r="E21" i="64"/>
  <c r="F7" i="64"/>
  <c r="E26" i="64"/>
  <c r="C16" i="64"/>
  <c r="E14" i="64"/>
  <c r="C7" i="64"/>
  <c r="F58" i="64"/>
  <c r="D34" i="64"/>
  <c r="C58" i="64"/>
  <c r="C50" i="64"/>
  <c r="C17" i="64"/>
  <c r="D54" i="64"/>
  <c r="E60" i="64"/>
  <c r="C56" i="64"/>
  <c r="F57" i="64"/>
  <c r="F55" i="64"/>
  <c r="F54" i="64"/>
  <c r="F52" i="64"/>
  <c r="D47" i="64"/>
  <c r="D56" i="64"/>
  <c r="E57" i="64"/>
  <c r="F38" i="64"/>
  <c r="F45" i="64"/>
  <c r="D37" i="64"/>
  <c r="D44" i="64"/>
  <c r="D30" i="64"/>
  <c r="D25" i="64"/>
  <c r="D23" i="64"/>
  <c r="D20" i="64"/>
  <c r="D52" i="64"/>
  <c r="F29" i="64"/>
  <c r="F27" i="64"/>
  <c r="F22" i="64"/>
  <c r="F14" i="64"/>
  <c r="D36" i="64"/>
  <c r="C29" i="64"/>
  <c r="C27" i="64"/>
  <c r="C22" i="64"/>
  <c r="E15" i="64"/>
  <c r="E7" i="64"/>
  <c r="C8" i="64"/>
  <c r="C15" i="64"/>
  <c r="F8" i="64"/>
  <c r="E58" i="64"/>
  <c r="E56" i="64"/>
  <c r="E52" i="64"/>
  <c r="C37" i="64"/>
  <c r="E17" i="64"/>
  <c r="E11" i="64"/>
  <c r="E45" i="64"/>
  <c r="C31" i="64"/>
  <c r="D11" i="64"/>
  <c r="E43" i="64"/>
  <c r="E38" i="64"/>
  <c r="E36" i="64"/>
  <c r="D32" i="64"/>
  <c r="C12" i="64"/>
  <c r="D55" i="64"/>
  <c r="C46" i="64"/>
  <c r="C44" i="64"/>
  <c r="E31" i="64"/>
  <c r="E27" i="64"/>
  <c r="E22" i="64"/>
  <c r="D15" i="64"/>
  <c r="N63" i="57"/>
  <c r="R63" i="57" s="1"/>
  <c r="V63" i="57" s="1"/>
  <c r="J77" i="58" s="1"/>
  <c r="F19" i="64"/>
  <c r="E9" i="64"/>
  <c r="E50" i="64"/>
  <c r="L6" i="53"/>
  <c r="D63" i="57"/>
  <c r="AN62" i="50"/>
  <c r="AR62" i="50" s="1"/>
  <c r="E63" i="57"/>
  <c r="AO62" i="50"/>
  <c r="AS62" i="50" s="1"/>
  <c r="AM62" i="50"/>
  <c r="AQ62" i="50" s="1"/>
  <c r="C63" i="57"/>
  <c r="AL62" i="50"/>
  <c r="AP62" i="50" s="1"/>
  <c r="M4" i="55"/>
  <c r="O74" i="55" s="1"/>
  <c r="Q78" i="50"/>
  <c r="U78" i="50" s="1"/>
  <c r="AG78" i="50" s="1"/>
  <c r="E79" i="57" s="1"/>
  <c r="N43" i="50"/>
  <c r="R43" i="50" s="1"/>
  <c r="AD43" i="50" s="1"/>
  <c r="B44" i="57" s="1"/>
  <c r="N94" i="50"/>
  <c r="R94" i="50" s="1"/>
  <c r="AD94" i="50" s="1"/>
  <c r="B95" i="57" s="1"/>
  <c r="N30" i="50"/>
  <c r="R30" i="50" s="1"/>
  <c r="AD30" i="50" s="1"/>
  <c r="B31" i="57" s="1"/>
  <c r="N13" i="50"/>
  <c r="R13" i="50" s="1"/>
  <c r="AD13" i="50" s="1"/>
  <c r="B14" i="57" s="1"/>
  <c r="N72" i="50"/>
  <c r="R72" i="50" s="1"/>
  <c r="AD72" i="50" s="1"/>
  <c r="B73" i="57" s="1"/>
  <c r="O72" i="50"/>
  <c r="S72" i="50" s="1"/>
  <c r="AE72" i="50" s="1"/>
  <c r="C73" i="57" s="1"/>
  <c r="N15" i="50"/>
  <c r="R15" i="50" s="1"/>
  <c r="AD15" i="50" s="1"/>
  <c r="B16" i="57" s="1"/>
  <c r="O15" i="50"/>
  <c r="S15" i="50" s="1"/>
  <c r="AE15" i="50" s="1"/>
  <c r="C16" i="57" s="1"/>
  <c r="N33" i="50"/>
  <c r="R33" i="50" s="1"/>
  <c r="AD33" i="50" s="1"/>
  <c r="B34" i="57" s="1"/>
  <c r="N64" i="50"/>
  <c r="R64" i="50" s="1"/>
  <c r="AD64" i="50" s="1"/>
  <c r="B65" i="57" s="1"/>
  <c r="N91" i="50"/>
  <c r="R91" i="50" s="1"/>
  <c r="AD91" i="50" s="1"/>
  <c r="B92" i="57" s="1"/>
  <c r="O19" i="50"/>
  <c r="S19" i="50" s="1"/>
  <c r="AE19" i="50" s="1"/>
  <c r="C20" i="57" s="1"/>
  <c r="N71" i="50"/>
  <c r="R71" i="50" s="1"/>
  <c r="AD71" i="50" s="1"/>
  <c r="B72" i="57" s="1"/>
  <c r="O71" i="50"/>
  <c r="S71" i="50" s="1"/>
  <c r="AE71" i="50" s="1"/>
  <c r="C72" i="57" s="1"/>
  <c r="N88" i="50"/>
  <c r="R88" i="50" s="1"/>
  <c r="AD88" i="50" s="1"/>
  <c r="B89" i="57" s="1"/>
  <c r="N110" i="50"/>
  <c r="R110" i="50" s="1"/>
  <c r="AD110" i="50" s="1"/>
  <c r="B111" i="57" s="1"/>
  <c r="L4" i="53"/>
  <c r="L5" i="53"/>
  <c r="L10" i="53"/>
  <c r="L20" i="53"/>
  <c r="L7" i="53"/>
  <c r="L23" i="53"/>
  <c r="L39" i="53"/>
  <c r="L30" i="53"/>
  <c r="L9" i="53"/>
  <c r="L25" i="53"/>
  <c r="L41" i="53"/>
  <c r="L57" i="53"/>
  <c r="L52" i="53"/>
  <c r="L65" i="53"/>
  <c r="L55" i="53"/>
  <c r="L42" i="53"/>
  <c r="L58" i="53"/>
  <c r="L76" i="53"/>
  <c r="L92" i="53"/>
  <c r="L75" i="53"/>
  <c r="L91" i="53"/>
  <c r="L74" i="53"/>
  <c r="L90" i="53"/>
  <c r="L85" i="53"/>
  <c r="L8" i="53"/>
  <c r="L24" i="53"/>
  <c r="L11" i="53"/>
  <c r="L27" i="53"/>
  <c r="L18" i="53"/>
  <c r="L32" i="53"/>
  <c r="L13" i="53"/>
  <c r="L29" i="53"/>
  <c r="L45" i="53"/>
  <c r="L61" i="53"/>
  <c r="L56" i="53"/>
  <c r="L43" i="53"/>
  <c r="L59" i="53"/>
  <c r="L46" i="53"/>
  <c r="L69" i="53"/>
  <c r="L80" i="53"/>
  <c r="L63" i="53"/>
  <c r="L79" i="53"/>
  <c r="L62" i="53"/>
  <c r="L78" i="53"/>
  <c r="L73" i="53"/>
  <c r="L89" i="53"/>
  <c r="L12" i="53"/>
  <c r="L28" i="53"/>
  <c r="L15" i="53"/>
  <c r="L31" i="53"/>
  <c r="L22" i="53"/>
  <c r="L36" i="53"/>
  <c r="L17" i="53"/>
  <c r="L33" i="53"/>
  <c r="L49" i="53"/>
  <c r="L44" i="53"/>
  <c r="L60" i="53"/>
  <c r="L47" i="53"/>
  <c r="L34" i="53"/>
  <c r="L50" i="53"/>
  <c r="L68" i="53"/>
  <c r="L84" i="53"/>
  <c r="L67" i="53"/>
  <c r="L83" i="53"/>
  <c r="L66" i="53"/>
  <c r="L82" i="53"/>
  <c r="L77" i="53"/>
  <c r="L93" i="53"/>
  <c r="L14" i="53"/>
  <c r="L16" i="53"/>
  <c r="L3" i="53"/>
  <c r="L19" i="53"/>
  <c r="L35" i="53"/>
  <c r="L26" i="53"/>
  <c r="L40" i="53"/>
  <c r="L21" i="53"/>
  <c r="L37" i="53"/>
  <c r="L53" i="53"/>
  <c r="L48" i="53"/>
  <c r="L64" i="53"/>
  <c r="L51" i="53"/>
  <c r="L38" i="53"/>
  <c r="L54" i="53"/>
  <c r="L72" i="53"/>
  <c r="L88" i="53"/>
  <c r="L71" i="53"/>
  <c r="L87" i="53"/>
  <c r="L70" i="53"/>
  <c r="L86" i="53"/>
  <c r="L81" i="53"/>
  <c r="Q58" i="50" l="1"/>
  <c r="U58" i="50" s="1"/>
  <c r="AG58" i="50" s="1"/>
  <c r="E59" i="57" s="1"/>
  <c r="N102" i="50"/>
  <c r="R102" i="50" s="1"/>
  <c r="AD102" i="50" s="1"/>
  <c r="B103" i="57" s="1"/>
  <c r="O86" i="50"/>
  <c r="S86" i="50" s="1"/>
  <c r="AE86" i="50" s="1"/>
  <c r="C87" i="57" s="1"/>
  <c r="O38" i="50"/>
  <c r="S38" i="50" s="1"/>
  <c r="AE38" i="50" s="1"/>
  <c r="C39" i="57" s="1"/>
  <c r="G15" i="58" s="1"/>
  <c r="P41" i="50"/>
  <c r="T41" i="50" s="1"/>
  <c r="AF41" i="50" s="1"/>
  <c r="D42" i="57" s="1"/>
  <c r="O43" i="50"/>
  <c r="S43" i="50" s="1"/>
  <c r="AE43" i="50" s="1"/>
  <c r="C44" i="57" s="1"/>
  <c r="O107" i="50"/>
  <c r="S107" i="50" s="1"/>
  <c r="AE107" i="50" s="1"/>
  <c r="C108" i="57" s="1"/>
  <c r="N32" i="50"/>
  <c r="R32" i="50" s="1"/>
  <c r="AD32" i="50" s="1"/>
  <c r="B33" i="57" s="1"/>
  <c r="F74" i="58" s="1"/>
  <c r="N46" i="50"/>
  <c r="R46" i="50" s="1"/>
  <c r="AD46" i="50" s="1"/>
  <c r="B47" i="57" s="1"/>
  <c r="N48" i="50"/>
  <c r="R48" i="50" s="1"/>
  <c r="AD48" i="50" s="1"/>
  <c r="B49" i="57" s="1"/>
  <c r="F35" i="58" s="1"/>
  <c r="Q109" i="50"/>
  <c r="U109" i="50" s="1"/>
  <c r="AG109" i="50" s="1"/>
  <c r="E110" i="57" s="1"/>
  <c r="O18" i="50"/>
  <c r="S18" i="50" s="1"/>
  <c r="AE18" i="50" s="1"/>
  <c r="C19" i="57" s="1"/>
  <c r="G20" i="58" s="1"/>
  <c r="U15" i="82" s="1"/>
  <c r="P109" i="50"/>
  <c r="T109" i="50" s="1"/>
  <c r="AF109" i="50" s="1"/>
  <c r="D110" i="57" s="1"/>
  <c r="Q34" i="50"/>
  <c r="U34" i="50" s="1"/>
  <c r="AG34" i="50" s="1"/>
  <c r="E35" i="57" s="1"/>
  <c r="P107" i="50"/>
  <c r="T107" i="50" s="1"/>
  <c r="AF107" i="50" s="1"/>
  <c r="D108" i="57" s="1"/>
  <c r="P71" i="50"/>
  <c r="T71" i="50" s="1"/>
  <c r="AF71" i="50" s="1"/>
  <c r="D72" i="57" s="1"/>
  <c r="H82" i="58" s="1"/>
  <c r="Q73" i="50"/>
  <c r="U73" i="50" s="1"/>
  <c r="AG73" i="50" s="1"/>
  <c r="E74" i="57" s="1"/>
  <c r="O34" i="50"/>
  <c r="S34" i="50" s="1"/>
  <c r="AE34" i="50" s="1"/>
  <c r="C35" i="57" s="1"/>
  <c r="G34" i="58" s="1"/>
  <c r="U25" i="82" s="1"/>
  <c r="Q21" i="50"/>
  <c r="U21" i="50" s="1"/>
  <c r="AG21" i="50" s="1"/>
  <c r="E22" i="57" s="1"/>
  <c r="I115" i="58" s="1"/>
  <c r="N27" i="50"/>
  <c r="R27" i="50" s="1"/>
  <c r="AD27" i="50" s="1"/>
  <c r="B28" i="57" s="1"/>
  <c r="F72" i="58" s="1"/>
  <c r="V20" i="82" s="1"/>
  <c r="Q74" i="50"/>
  <c r="U74" i="50" s="1"/>
  <c r="AG74" i="50" s="1"/>
  <c r="E75" i="57" s="1"/>
  <c r="O66" i="50"/>
  <c r="S66" i="50" s="1"/>
  <c r="AE66" i="50" s="1"/>
  <c r="C67" i="57" s="1"/>
  <c r="G38" i="58" s="1"/>
  <c r="U41" i="82" s="1"/>
  <c r="O97" i="50"/>
  <c r="S97" i="50" s="1"/>
  <c r="AE97" i="50" s="1"/>
  <c r="C98" i="57" s="1"/>
  <c r="G62" i="58" s="1"/>
  <c r="U54" i="82" s="1"/>
  <c r="P20" i="50"/>
  <c r="T20" i="50" s="1"/>
  <c r="AF20" i="50" s="1"/>
  <c r="D21" i="57" s="1"/>
  <c r="H70" i="58" s="1"/>
  <c r="Q88" i="50"/>
  <c r="U88" i="50" s="1"/>
  <c r="AG88" i="50" s="1"/>
  <c r="E89" i="57" s="1"/>
  <c r="Q54" i="50"/>
  <c r="U54" i="50" s="1"/>
  <c r="AG54" i="50" s="1"/>
  <c r="E55" i="57" s="1"/>
  <c r="I45" i="58" s="1"/>
  <c r="Q28" i="50"/>
  <c r="U28" i="50" s="1"/>
  <c r="AG28" i="50" s="1"/>
  <c r="E29" i="57" s="1"/>
  <c r="I116" i="58" s="1"/>
  <c r="W21" i="82" s="1"/>
  <c r="O57" i="50"/>
  <c r="S57" i="50" s="1"/>
  <c r="AE57" i="50" s="1"/>
  <c r="C58" i="57" s="1"/>
  <c r="G51" i="58" s="1"/>
  <c r="U37" i="82" s="1"/>
  <c r="O53" i="50"/>
  <c r="S53" i="50" s="1"/>
  <c r="AE53" i="50" s="1"/>
  <c r="C54" i="57" s="1"/>
  <c r="O96" i="50"/>
  <c r="S96" i="50" s="1"/>
  <c r="AE96" i="50" s="1"/>
  <c r="C97" i="57" s="1"/>
  <c r="G60" i="58" s="1"/>
  <c r="Q27" i="50"/>
  <c r="U27" i="50" s="1"/>
  <c r="AG27" i="50" s="1"/>
  <c r="E28" i="57" s="1"/>
  <c r="I72" i="58" s="1"/>
  <c r="W20" i="82" s="1"/>
  <c r="N20" i="50"/>
  <c r="R20" i="50" s="1"/>
  <c r="AD20" i="50" s="1"/>
  <c r="B21" i="57" s="1"/>
  <c r="F70" i="58" s="1"/>
  <c r="P54" i="50"/>
  <c r="T54" i="50" s="1"/>
  <c r="AF54" i="50" s="1"/>
  <c r="D55" i="57" s="1"/>
  <c r="Q53" i="50"/>
  <c r="U53" i="50" s="1"/>
  <c r="AG53" i="50" s="1"/>
  <c r="E54" i="57" s="1"/>
  <c r="I43" i="58" s="1"/>
  <c r="Q38" i="50"/>
  <c r="U38" i="50" s="1"/>
  <c r="AG38" i="50" s="1"/>
  <c r="E39" i="57" s="1"/>
  <c r="P49" i="50"/>
  <c r="T49" i="50" s="1"/>
  <c r="AF49" i="50" s="1"/>
  <c r="D50" i="57" s="1"/>
  <c r="H117" i="58" s="1"/>
  <c r="O8" i="50"/>
  <c r="S8" i="50" s="1"/>
  <c r="AE8" i="50" s="1"/>
  <c r="C9" i="57" s="1"/>
  <c r="P96" i="50"/>
  <c r="T96" i="50" s="1"/>
  <c r="AF96" i="50" s="1"/>
  <c r="D97" i="57" s="1"/>
  <c r="Q63" i="50"/>
  <c r="U63" i="50" s="1"/>
  <c r="AG63" i="50" s="1"/>
  <c r="E64" i="57" s="1"/>
  <c r="I61" i="58" s="1"/>
  <c r="Q65" i="50"/>
  <c r="U65" i="50" s="1"/>
  <c r="AG65" i="50" s="1"/>
  <c r="E66" i="57" s="1"/>
  <c r="I36" i="58" s="1"/>
  <c r="P53" i="50"/>
  <c r="T53" i="50" s="1"/>
  <c r="AF53" i="50" s="1"/>
  <c r="D54" i="57" s="1"/>
  <c r="P86" i="50"/>
  <c r="T86" i="50" s="1"/>
  <c r="AF86" i="50" s="1"/>
  <c r="D87" i="57" s="1"/>
  <c r="Q105" i="50"/>
  <c r="U105" i="50" s="1"/>
  <c r="AG105" i="50" s="1"/>
  <c r="E106" i="57" s="1"/>
  <c r="I102" i="58" s="1"/>
  <c r="W57" i="82" s="1"/>
  <c r="O61" i="50"/>
  <c r="S61" i="50" s="1"/>
  <c r="AE61" i="50" s="1"/>
  <c r="C62" i="57" s="1"/>
  <c r="G63" i="58" s="1"/>
  <c r="P104" i="50"/>
  <c r="T104" i="50" s="1"/>
  <c r="AF104" i="50" s="1"/>
  <c r="D105" i="57" s="1"/>
  <c r="P12" i="50"/>
  <c r="T12" i="50" s="1"/>
  <c r="AF12" i="50" s="1"/>
  <c r="D13" i="57" s="1"/>
  <c r="H66" i="58" s="1"/>
  <c r="X8" i="82" s="1"/>
  <c r="O91" i="50"/>
  <c r="S91" i="50" s="1"/>
  <c r="AE91" i="50" s="1"/>
  <c r="C92" i="57" s="1"/>
  <c r="G95" i="58" s="1"/>
  <c r="Q14" i="50"/>
  <c r="U14" i="50" s="1"/>
  <c r="AG14" i="50" s="1"/>
  <c r="E15" i="57" s="1"/>
  <c r="I14" i="58" s="1"/>
  <c r="W10" i="82" s="1"/>
  <c r="P46" i="50"/>
  <c r="T46" i="50" s="1"/>
  <c r="AF46" i="50" s="1"/>
  <c r="D47" i="57" s="1"/>
  <c r="O54" i="50"/>
  <c r="S54" i="50" s="1"/>
  <c r="AE54" i="50" s="1"/>
  <c r="C55" i="57" s="1"/>
  <c r="G45" i="58" s="1"/>
  <c r="Q8" i="50"/>
  <c r="U8" i="50" s="1"/>
  <c r="AG8" i="50" s="1"/>
  <c r="E9" i="57" s="1"/>
  <c r="I64" i="58" s="1"/>
  <c r="W5" i="82" s="1"/>
  <c r="P37" i="50"/>
  <c r="T37" i="50" s="1"/>
  <c r="AF37" i="50" s="1"/>
  <c r="D38" i="57" s="1"/>
  <c r="H13" i="58" s="1"/>
  <c r="P115" i="50"/>
  <c r="T115" i="50" s="1"/>
  <c r="AF115" i="50" s="1"/>
  <c r="D116" i="57" s="1"/>
  <c r="P88" i="50"/>
  <c r="T88" i="50" s="1"/>
  <c r="AF88" i="50" s="1"/>
  <c r="D89" i="57" s="1"/>
  <c r="H93" i="58" s="1"/>
  <c r="X50" i="82" s="1"/>
  <c r="Q99" i="50"/>
  <c r="U99" i="50" s="1"/>
  <c r="AG99" i="50" s="1"/>
  <c r="E100" i="57" s="1"/>
  <c r="I59" i="58" s="1"/>
  <c r="P8" i="50"/>
  <c r="T8" i="50" s="1"/>
  <c r="AF8" i="50" s="1"/>
  <c r="D9" i="57" s="1"/>
  <c r="H64" i="58" s="1"/>
  <c r="X5" i="82" s="1"/>
  <c r="Q41" i="50"/>
  <c r="U41" i="50" s="1"/>
  <c r="AG41" i="50" s="1"/>
  <c r="E42" i="57" s="1"/>
  <c r="O99" i="50"/>
  <c r="S99" i="50" s="1"/>
  <c r="AE99" i="50" s="1"/>
  <c r="C100" i="57" s="1"/>
  <c r="Q116" i="50"/>
  <c r="U116" i="50" s="1"/>
  <c r="AG116" i="50" s="1"/>
  <c r="E117" i="57" s="1"/>
  <c r="I113" i="58" s="1"/>
  <c r="O46" i="50"/>
  <c r="S46" i="50" s="1"/>
  <c r="AE46" i="50" s="1"/>
  <c r="C47" i="57" s="1"/>
  <c r="G31" i="58" s="1"/>
  <c r="Q103" i="50"/>
  <c r="U103" i="50" s="1"/>
  <c r="AG103" i="50" s="1"/>
  <c r="E104" i="57" s="1"/>
  <c r="P15" i="50"/>
  <c r="T15" i="50" s="1"/>
  <c r="AF15" i="50" s="1"/>
  <c r="D16" i="57" s="1"/>
  <c r="H68" i="58" s="1"/>
  <c r="X11" i="82" s="1"/>
  <c r="Q29" i="50"/>
  <c r="U29" i="50" s="1"/>
  <c r="AG29" i="50" s="1"/>
  <c r="E30" i="57" s="1"/>
  <c r="I30" i="58" s="1"/>
  <c r="W22" i="82" s="1"/>
  <c r="P61" i="50"/>
  <c r="T61" i="50" s="1"/>
  <c r="AF61" i="50" s="1"/>
  <c r="D62" i="57" s="1"/>
  <c r="H63" i="58" s="1"/>
  <c r="O14" i="50"/>
  <c r="S14" i="50" s="1"/>
  <c r="AE14" i="50" s="1"/>
  <c r="C15" i="57" s="1"/>
  <c r="P14" i="50"/>
  <c r="T14" i="50" s="1"/>
  <c r="AF14" i="50" s="1"/>
  <c r="D15" i="57" s="1"/>
  <c r="P63" i="50"/>
  <c r="T63" i="50" s="1"/>
  <c r="AF63" i="50" s="1"/>
  <c r="D64" i="57" s="1"/>
  <c r="H61" i="58" s="1"/>
  <c r="P74" i="50"/>
  <c r="T74" i="50" s="1"/>
  <c r="AF74" i="50" s="1"/>
  <c r="D75" i="57" s="1"/>
  <c r="H84" i="58" s="1"/>
  <c r="O103" i="50"/>
  <c r="S103" i="50" s="1"/>
  <c r="AE103" i="50" s="1"/>
  <c r="C104" i="57" s="1"/>
  <c r="O74" i="50"/>
  <c r="S74" i="50" s="1"/>
  <c r="AE74" i="50" s="1"/>
  <c r="C75" i="57" s="1"/>
  <c r="G84" i="58" s="1"/>
  <c r="Q49" i="50"/>
  <c r="U49" i="50" s="1"/>
  <c r="AG49" i="50" s="1"/>
  <c r="E50" i="57" s="1"/>
  <c r="I117" i="58" s="1"/>
  <c r="O115" i="50"/>
  <c r="S115" i="50" s="1"/>
  <c r="AE115" i="50" s="1"/>
  <c r="C116" i="57" s="1"/>
  <c r="G112" i="58" s="1"/>
  <c r="U60" i="82" s="1"/>
  <c r="O21" i="50"/>
  <c r="S21" i="50" s="1"/>
  <c r="AE21" i="50" s="1"/>
  <c r="C22" i="57" s="1"/>
  <c r="Q61" i="50"/>
  <c r="U61" i="50" s="1"/>
  <c r="AG61" i="50" s="1"/>
  <c r="E62" i="57" s="1"/>
  <c r="I63" i="58" s="1"/>
  <c r="Q10" i="50"/>
  <c r="U10" i="50" s="1"/>
  <c r="AG10" i="50" s="1"/>
  <c r="E11" i="57" s="1"/>
  <c r="I12" i="58" s="1"/>
  <c r="Q86" i="50"/>
  <c r="U86" i="50" s="1"/>
  <c r="AG86" i="50" s="1"/>
  <c r="E87" i="57" s="1"/>
  <c r="I48" i="58" s="1"/>
  <c r="W48" i="82" s="1"/>
  <c r="Q40" i="50"/>
  <c r="U40" i="50" s="1"/>
  <c r="AG40" i="50" s="1"/>
  <c r="E41" i="57" s="1"/>
  <c r="Q68" i="50"/>
  <c r="U68" i="50" s="1"/>
  <c r="AG68" i="50" s="1"/>
  <c r="E69" i="57" s="1"/>
  <c r="I79" i="58" s="1"/>
  <c r="N54" i="50"/>
  <c r="R54" i="50" s="1"/>
  <c r="AD54" i="50" s="1"/>
  <c r="B55" i="57" s="1"/>
  <c r="F45" i="58" s="1"/>
  <c r="Q91" i="50"/>
  <c r="U91" i="50" s="1"/>
  <c r="AG91" i="50" s="1"/>
  <c r="E92" i="57" s="1"/>
  <c r="I95" i="58" s="1"/>
  <c r="N21" i="50"/>
  <c r="R21" i="50" s="1"/>
  <c r="AD21" i="50" s="1"/>
  <c r="B22" i="57" s="1"/>
  <c r="O49" i="50"/>
  <c r="S49" i="50" s="1"/>
  <c r="AE49" i="50" s="1"/>
  <c r="C50" i="57" s="1"/>
  <c r="G117" i="58" s="1"/>
  <c r="Q102" i="50"/>
  <c r="U102" i="50" s="1"/>
  <c r="AG102" i="50" s="1"/>
  <c r="E103" i="57" s="1"/>
  <c r="I99" i="58" s="1"/>
  <c r="O63" i="50"/>
  <c r="S63" i="50" s="1"/>
  <c r="AE63" i="50" s="1"/>
  <c r="C64" i="57" s="1"/>
  <c r="G61" i="58" s="1"/>
  <c r="P103" i="50"/>
  <c r="T103" i="50" s="1"/>
  <c r="AF103" i="50" s="1"/>
  <c r="D104" i="57" s="1"/>
  <c r="Q32" i="50"/>
  <c r="U32" i="50" s="1"/>
  <c r="AG32" i="50" s="1"/>
  <c r="E33" i="57" s="1"/>
  <c r="I74" i="58" s="1"/>
  <c r="P28" i="50"/>
  <c r="T28" i="50" s="1"/>
  <c r="AF28" i="50" s="1"/>
  <c r="D29" i="57" s="1"/>
  <c r="H116" i="58" s="1"/>
  <c r="X21" i="82" s="1"/>
  <c r="O28" i="50"/>
  <c r="S28" i="50" s="1"/>
  <c r="AE28" i="50" s="1"/>
  <c r="C29" i="57" s="1"/>
  <c r="G116" i="58" s="1"/>
  <c r="U21" i="82" s="1"/>
  <c r="Q115" i="50"/>
  <c r="U115" i="50" s="1"/>
  <c r="AG115" i="50" s="1"/>
  <c r="E116" i="57" s="1"/>
  <c r="Q20" i="50"/>
  <c r="U20" i="50" s="1"/>
  <c r="AG20" i="50" s="1"/>
  <c r="E21" i="57" s="1"/>
  <c r="I70" i="58" s="1"/>
  <c r="Q84" i="50"/>
  <c r="U84" i="50" s="1"/>
  <c r="AG84" i="50" s="1"/>
  <c r="E85" i="57" s="1"/>
  <c r="I91" i="58" s="1"/>
  <c r="P84" i="50"/>
  <c r="T84" i="50" s="1"/>
  <c r="AF84" i="50" s="1"/>
  <c r="D85" i="57" s="1"/>
  <c r="H91" i="58" s="1"/>
  <c r="O20" i="50"/>
  <c r="S20" i="50" s="1"/>
  <c r="AE20" i="50" s="1"/>
  <c r="C21" i="57" s="1"/>
  <c r="P43" i="50"/>
  <c r="T43" i="50" s="1"/>
  <c r="AF43" i="50" s="1"/>
  <c r="D44" i="57" s="1"/>
  <c r="H25" i="58" s="1"/>
  <c r="Q96" i="50"/>
  <c r="U96" i="50" s="1"/>
  <c r="AG96" i="50" s="1"/>
  <c r="E97" i="57" s="1"/>
  <c r="I60" i="58" s="1"/>
  <c r="O102" i="50"/>
  <c r="S102" i="50" s="1"/>
  <c r="AE102" i="50" s="1"/>
  <c r="C103" i="57" s="1"/>
  <c r="G99" i="58" s="1"/>
  <c r="P19" i="50"/>
  <c r="T19" i="50" s="1"/>
  <c r="AF19" i="50" s="1"/>
  <c r="D20" i="57" s="1"/>
  <c r="O27" i="50"/>
  <c r="S27" i="50" s="1"/>
  <c r="AE27" i="50" s="1"/>
  <c r="C28" i="57" s="1"/>
  <c r="G72" i="58" s="1"/>
  <c r="U20" i="82" s="1"/>
  <c r="P38" i="50"/>
  <c r="T38" i="50" s="1"/>
  <c r="AF38" i="50" s="1"/>
  <c r="D39" i="57" s="1"/>
  <c r="H15" i="58" s="1"/>
  <c r="O88" i="50"/>
  <c r="S88" i="50" s="1"/>
  <c r="AE88" i="50" s="1"/>
  <c r="C89" i="57" s="1"/>
  <c r="G93" i="58" s="1"/>
  <c r="U50" i="82" s="1"/>
  <c r="P25" i="50"/>
  <c r="T25" i="50" s="1"/>
  <c r="AF25" i="50" s="1"/>
  <c r="D26" i="57" s="1"/>
  <c r="P116" i="50"/>
  <c r="T116" i="50" s="1"/>
  <c r="AF116" i="50" s="1"/>
  <c r="D117" i="57" s="1"/>
  <c r="H113" i="58" s="1"/>
  <c r="N60" i="50"/>
  <c r="R60" i="50" s="1"/>
  <c r="AD60" i="50" s="1"/>
  <c r="B61" i="57" s="1"/>
  <c r="F118" i="58" s="1"/>
  <c r="Q35" i="50"/>
  <c r="U35" i="50" s="1"/>
  <c r="AG35" i="50" s="1"/>
  <c r="E36" i="57" s="1"/>
  <c r="I76" i="58" s="1"/>
  <c r="O29" i="50"/>
  <c r="S29" i="50" s="1"/>
  <c r="AE29" i="50" s="1"/>
  <c r="C30" i="57" s="1"/>
  <c r="O58" i="50"/>
  <c r="S58" i="50" s="1"/>
  <c r="AE58" i="50" s="1"/>
  <c r="C59" i="57" s="1"/>
  <c r="G55" i="58" s="1"/>
  <c r="P60" i="50"/>
  <c r="T60" i="50" s="1"/>
  <c r="AF60" i="50" s="1"/>
  <c r="D61" i="57" s="1"/>
  <c r="H118" i="58" s="1"/>
  <c r="Q97" i="50"/>
  <c r="U97" i="50" s="1"/>
  <c r="AG97" i="50" s="1"/>
  <c r="E98" i="57" s="1"/>
  <c r="I62" i="58" s="1"/>
  <c r="W54" i="82" s="1"/>
  <c r="O77" i="50"/>
  <c r="S77" i="50" s="1"/>
  <c r="AE77" i="50" s="1"/>
  <c r="C78" i="57" s="1"/>
  <c r="Q70" i="50"/>
  <c r="U70" i="50" s="1"/>
  <c r="AG70" i="50" s="1"/>
  <c r="E71" i="57" s="1"/>
  <c r="I81" i="58" s="1"/>
  <c r="Q18" i="50"/>
  <c r="U18" i="50" s="1"/>
  <c r="AG18" i="50" s="1"/>
  <c r="E19" i="57" s="1"/>
  <c r="I20" i="58" s="1"/>
  <c r="W15" i="82" s="1"/>
  <c r="P16" i="50"/>
  <c r="T16" i="50" s="1"/>
  <c r="AF16" i="50" s="1"/>
  <c r="D17" i="57" s="1"/>
  <c r="H16" i="58" s="1"/>
  <c r="X13" i="82" s="1"/>
  <c r="N29" i="50"/>
  <c r="R29" i="50" s="1"/>
  <c r="AD29" i="50" s="1"/>
  <c r="B30" i="57" s="1"/>
  <c r="F30" i="58" s="1"/>
  <c r="V22" i="82" s="1"/>
  <c r="O45" i="50"/>
  <c r="S45" i="50" s="1"/>
  <c r="AE45" i="50" s="1"/>
  <c r="C46" i="57" s="1"/>
  <c r="G29" i="58" s="1"/>
  <c r="Q15" i="50"/>
  <c r="U15" i="50" s="1"/>
  <c r="AG15" i="50" s="1"/>
  <c r="E16" i="57" s="1"/>
  <c r="I68" i="58" s="1"/>
  <c r="W11" i="82" s="1"/>
  <c r="O32" i="50"/>
  <c r="S32" i="50" s="1"/>
  <c r="AE32" i="50" s="1"/>
  <c r="C33" i="57" s="1"/>
  <c r="G74" i="58" s="1"/>
  <c r="P100" i="50"/>
  <c r="T100" i="50" s="1"/>
  <c r="AF100" i="50" s="1"/>
  <c r="D101" i="57" s="1"/>
  <c r="H97" i="58" s="1"/>
  <c r="O26" i="50"/>
  <c r="S26" i="50" s="1"/>
  <c r="AE26" i="50" s="1"/>
  <c r="C27" i="57" s="1"/>
  <c r="G28" i="58" s="1"/>
  <c r="Q52" i="50"/>
  <c r="U52" i="50" s="1"/>
  <c r="AG52" i="50" s="1"/>
  <c r="E53" i="57" s="1"/>
  <c r="I41" i="58" s="1"/>
  <c r="P93" i="50"/>
  <c r="T93" i="50" s="1"/>
  <c r="AF93" i="50" s="1"/>
  <c r="D94" i="57" s="1"/>
  <c r="H56" i="58" s="1"/>
  <c r="O48" i="50"/>
  <c r="S48" i="50" s="1"/>
  <c r="AE48" i="50" s="1"/>
  <c r="C49" i="57" s="1"/>
  <c r="G35" i="58" s="1"/>
  <c r="P29" i="50"/>
  <c r="T29" i="50" s="1"/>
  <c r="AF29" i="50" s="1"/>
  <c r="D30" i="57" s="1"/>
  <c r="H30" i="58" s="1"/>
  <c r="X22" i="82" s="1"/>
  <c r="O35" i="50"/>
  <c r="S35" i="50" s="1"/>
  <c r="AE35" i="50" s="1"/>
  <c r="C36" i="57" s="1"/>
  <c r="G76" i="58" s="1"/>
  <c r="O108" i="50"/>
  <c r="S108" i="50" s="1"/>
  <c r="AE108" i="50" s="1"/>
  <c r="C109" i="57" s="1"/>
  <c r="G105" i="58" s="1"/>
  <c r="O67" i="50"/>
  <c r="S67" i="50" s="1"/>
  <c r="AE67" i="50" s="1"/>
  <c r="C68" i="57" s="1"/>
  <c r="G40" i="58" s="1"/>
  <c r="U42" i="82" s="1"/>
  <c r="Q59" i="50"/>
  <c r="U59" i="50" s="1"/>
  <c r="AG59" i="50" s="1"/>
  <c r="E60" i="57" s="1"/>
  <c r="I57" i="58" s="1"/>
  <c r="O100" i="50"/>
  <c r="S100" i="50" s="1"/>
  <c r="AE100" i="50" s="1"/>
  <c r="C101" i="57" s="1"/>
  <c r="G97" i="58" s="1"/>
  <c r="Q16" i="50"/>
  <c r="U16" i="50" s="1"/>
  <c r="AG16" i="50" s="1"/>
  <c r="E17" i="57" s="1"/>
  <c r="I16" i="58" s="1"/>
  <c r="W13" i="82" s="1"/>
  <c r="Q43" i="50"/>
  <c r="U43" i="50" s="1"/>
  <c r="AG43" i="50" s="1"/>
  <c r="E44" i="57" s="1"/>
  <c r="P48" i="50"/>
  <c r="T48" i="50" s="1"/>
  <c r="AF48" i="50" s="1"/>
  <c r="D49" i="57" s="1"/>
  <c r="H35" i="58" s="1"/>
  <c r="O16" i="50"/>
  <c r="S16" i="50" s="1"/>
  <c r="AE16" i="50" s="1"/>
  <c r="C17" i="57" s="1"/>
  <c r="G16" i="58" s="1"/>
  <c r="U13" i="82" s="1"/>
  <c r="Q100" i="50"/>
  <c r="U100" i="50" s="1"/>
  <c r="AG100" i="50" s="1"/>
  <c r="E101" i="57" s="1"/>
  <c r="I97" i="58" s="1"/>
  <c r="Q66" i="50"/>
  <c r="U66" i="50" s="1"/>
  <c r="AG66" i="50" s="1"/>
  <c r="E67" i="57" s="1"/>
  <c r="I38" i="58" s="1"/>
  <c r="W41" i="82" s="1"/>
  <c r="Q37" i="50"/>
  <c r="U37" i="50" s="1"/>
  <c r="AG37" i="50" s="1"/>
  <c r="E38" i="57" s="1"/>
  <c r="Q42" i="50"/>
  <c r="U42" i="50" s="1"/>
  <c r="AG42" i="50" s="1"/>
  <c r="E43" i="57" s="1"/>
  <c r="I23" i="58" s="1"/>
  <c r="W30" i="82" s="1"/>
  <c r="Q108" i="50"/>
  <c r="U108" i="50" s="1"/>
  <c r="AG108" i="50" s="1"/>
  <c r="E109" i="57" s="1"/>
  <c r="I105" i="58" s="1"/>
  <c r="P97" i="50"/>
  <c r="T97" i="50" s="1"/>
  <c r="AF97" i="50" s="1"/>
  <c r="D98" i="57" s="1"/>
  <c r="H62" i="58" s="1"/>
  <c r="X54" i="82" s="1"/>
  <c r="O42" i="50"/>
  <c r="S42" i="50" s="1"/>
  <c r="AE42" i="50" s="1"/>
  <c r="C43" i="57" s="1"/>
  <c r="G23" i="58" s="1"/>
  <c r="U30" i="82" s="1"/>
  <c r="O40" i="50"/>
  <c r="S40" i="50" s="1"/>
  <c r="AE40" i="50" s="1"/>
  <c r="C41" i="57" s="1"/>
  <c r="G19" i="58" s="1"/>
  <c r="U28" i="82" s="1"/>
  <c r="Q75" i="50"/>
  <c r="U75" i="50" s="1"/>
  <c r="AG75" i="50" s="1"/>
  <c r="E76" i="57" s="1"/>
  <c r="I44" i="58" s="1"/>
  <c r="O22" i="50"/>
  <c r="S22" i="50" s="1"/>
  <c r="AE22" i="50" s="1"/>
  <c r="C23" i="57" s="1"/>
  <c r="G71" i="58" s="1"/>
  <c r="U17" i="82" s="1"/>
  <c r="P36" i="50"/>
  <c r="T36" i="50" s="1"/>
  <c r="AF36" i="50" s="1"/>
  <c r="D37" i="57" s="1"/>
  <c r="H11" i="58" s="1"/>
  <c r="X26" i="82" s="1"/>
  <c r="P78" i="50"/>
  <c r="T78" i="50" s="1"/>
  <c r="AF78" i="50" s="1"/>
  <c r="D79" i="57" s="1"/>
  <c r="H87" i="58" s="1"/>
  <c r="O110" i="50"/>
  <c r="S110" i="50" s="1"/>
  <c r="AE110" i="50" s="1"/>
  <c r="C111" i="57" s="1"/>
  <c r="G107" i="58" s="1"/>
  <c r="O41" i="50"/>
  <c r="S41" i="50" s="1"/>
  <c r="AE41" i="50" s="1"/>
  <c r="C42" i="57" s="1"/>
  <c r="G21" i="58" s="1"/>
  <c r="U29" i="82" s="1"/>
  <c r="Q71" i="50"/>
  <c r="U71" i="50" s="1"/>
  <c r="AG71" i="50" s="1"/>
  <c r="E72" i="57" s="1"/>
  <c r="I82" i="58" s="1"/>
  <c r="N107" i="50"/>
  <c r="R107" i="50" s="1"/>
  <c r="AD107" i="50" s="1"/>
  <c r="B108" i="57" s="1"/>
  <c r="F104" i="58" s="1"/>
  <c r="Q19" i="50"/>
  <c r="U19" i="50" s="1"/>
  <c r="AG19" i="50" s="1"/>
  <c r="E20" i="57" s="1"/>
  <c r="I69" i="58" s="1"/>
  <c r="W16" i="82" s="1"/>
  <c r="P77" i="50"/>
  <c r="T77" i="50" s="1"/>
  <c r="AF77" i="50" s="1"/>
  <c r="D78" i="57" s="1"/>
  <c r="H86" i="58" s="1"/>
  <c r="Q83" i="50"/>
  <c r="U83" i="50" s="1"/>
  <c r="AG83" i="50" s="1"/>
  <c r="E84" i="57" s="1"/>
  <c r="I90" i="58" s="1"/>
  <c r="Q11" i="50"/>
  <c r="U11" i="50" s="1"/>
  <c r="AG11" i="50" s="1"/>
  <c r="E12" i="57" s="1"/>
  <c r="I65" i="58" s="1"/>
  <c r="W7" i="82" s="1"/>
  <c r="P18" i="50"/>
  <c r="T18" i="50" s="1"/>
  <c r="AF18" i="50" s="1"/>
  <c r="D19" i="57" s="1"/>
  <c r="H20" i="58" s="1"/>
  <c r="X15" i="82" s="1"/>
  <c r="O109" i="50"/>
  <c r="S109" i="50" s="1"/>
  <c r="AE109" i="50" s="1"/>
  <c r="C110" i="57" s="1"/>
  <c r="G106" i="58" s="1"/>
  <c r="P108" i="50"/>
  <c r="T108" i="50" s="1"/>
  <c r="AF108" i="50" s="1"/>
  <c r="D109" i="57" s="1"/>
  <c r="H105" i="58" s="1"/>
  <c r="Q98" i="50"/>
  <c r="U98" i="50" s="1"/>
  <c r="AG98" i="50" s="1"/>
  <c r="E99" i="57" s="1"/>
  <c r="I119" i="58" s="1"/>
  <c r="W55" i="82" s="1"/>
  <c r="Q80" i="50"/>
  <c r="U80" i="50" s="1"/>
  <c r="AG80" i="50" s="1"/>
  <c r="E81" i="57" s="1"/>
  <c r="I46" i="58" s="1"/>
  <c r="W45" i="82" s="1"/>
  <c r="O104" i="50"/>
  <c r="S104" i="50" s="1"/>
  <c r="AE104" i="50" s="1"/>
  <c r="C105" i="57" s="1"/>
  <c r="G101" i="58" s="1"/>
  <c r="Q51" i="50"/>
  <c r="U51" i="50" s="1"/>
  <c r="AG51" i="50" s="1"/>
  <c r="E52" i="57" s="1"/>
  <c r="I39" i="58" s="1"/>
  <c r="O10" i="50"/>
  <c r="S10" i="50" s="1"/>
  <c r="AE10" i="50" s="1"/>
  <c r="C11" i="57" s="1"/>
  <c r="G12" i="58" s="1"/>
  <c r="P67" i="50"/>
  <c r="T67" i="50" s="1"/>
  <c r="AF67" i="50" s="1"/>
  <c r="D68" i="57" s="1"/>
  <c r="H40" i="58" s="1"/>
  <c r="X42" i="82" s="1"/>
  <c r="O68" i="50"/>
  <c r="S68" i="50" s="1"/>
  <c r="AE68" i="50" s="1"/>
  <c r="C69" i="57" s="1"/>
  <c r="G79" i="58" s="1"/>
  <c r="Q95" i="50"/>
  <c r="U95" i="50" s="1"/>
  <c r="AG95" i="50" s="1"/>
  <c r="E96" i="57" s="1"/>
  <c r="I58" i="58" s="1"/>
  <c r="O95" i="50"/>
  <c r="S95" i="50" s="1"/>
  <c r="AE95" i="50" s="1"/>
  <c r="C96" i="57" s="1"/>
  <c r="G58" i="58" s="1"/>
  <c r="P95" i="50"/>
  <c r="T95" i="50" s="1"/>
  <c r="AF95" i="50" s="1"/>
  <c r="D96" i="57" s="1"/>
  <c r="H58" i="58" s="1"/>
  <c r="N79" i="50"/>
  <c r="R79" i="50" s="1"/>
  <c r="AD79" i="50" s="1"/>
  <c r="B80" i="57" s="1"/>
  <c r="F88" i="58" s="1"/>
  <c r="P79" i="50"/>
  <c r="T79" i="50" s="1"/>
  <c r="AF79" i="50" s="1"/>
  <c r="D80" i="57" s="1"/>
  <c r="H88" i="58" s="1"/>
  <c r="Q79" i="50"/>
  <c r="U79" i="50" s="1"/>
  <c r="AG79" i="50" s="1"/>
  <c r="E80" i="57" s="1"/>
  <c r="I88" i="58" s="1"/>
  <c r="Q87" i="50"/>
  <c r="U87" i="50" s="1"/>
  <c r="AG87" i="50" s="1"/>
  <c r="E88" i="57" s="1"/>
  <c r="I50" i="58" s="1"/>
  <c r="P87" i="50"/>
  <c r="T87" i="50" s="1"/>
  <c r="AF87" i="50" s="1"/>
  <c r="D88" i="57" s="1"/>
  <c r="H50" i="58" s="1"/>
  <c r="O50" i="50"/>
  <c r="S50" i="50" s="1"/>
  <c r="AE50" i="50" s="1"/>
  <c r="C51" i="57" s="1"/>
  <c r="G37" i="58" s="1"/>
  <c r="U33" i="82" s="1"/>
  <c r="Q50" i="50"/>
  <c r="U50" i="50" s="1"/>
  <c r="AG50" i="50" s="1"/>
  <c r="E51" i="57" s="1"/>
  <c r="I37" i="58" s="1"/>
  <c r="W33" i="82" s="1"/>
  <c r="N50" i="50"/>
  <c r="R50" i="50" s="1"/>
  <c r="AD50" i="50" s="1"/>
  <c r="B51" i="57" s="1"/>
  <c r="F37" i="58" s="1"/>
  <c r="V33" i="82" s="1"/>
  <c r="N73" i="50"/>
  <c r="R73" i="50" s="1"/>
  <c r="AD73" i="50" s="1"/>
  <c r="B74" i="57" s="1"/>
  <c r="F42" i="58" s="1"/>
  <c r="O73" i="50"/>
  <c r="S73" i="50" s="1"/>
  <c r="AE73" i="50" s="1"/>
  <c r="C74" i="57" s="1"/>
  <c r="G42" i="58" s="1"/>
  <c r="N69" i="50"/>
  <c r="R69" i="50" s="1"/>
  <c r="AD69" i="50" s="1"/>
  <c r="B70" i="57" s="1"/>
  <c r="F80" i="58" s="1"/>
  <c r="P69" i="50"/>
  <c r="T69" i="50" s="1"/>
  <c r="AF69" i="50" s="1"/>
  <c r="D70" i="57" s="1"/>
  <c r="H80" i="58" s="1"/>
  <c r="P39" i="50"/>
  <c r="T39" i="50" s="1"/>
  <c r="AF39" i="50" s="1"/>
  <c r="D40" i="57" s="1"/>
  <c r="H17" i="58" s="1"/>
  <c r="X27" i="82" s="1"/>
  <c r="N39" i="50"/>
  <c r="R39" i="50" s="1"/>
  <c r="AD39" i="50" s="1"/>
  <c r="B40" i="57" s="1"/>
  <c r="F17" i="58" s="1"/>
  <c r="V27" i="82" s="1"/>
  <c r="O39" i="50"/>
  <c r="S39" i="50" s="1"/>
  <c r="AE39" i="50" s="1"/>
  <c r="C40" i="57" s="1"/>
  <c r="G17" i="58" s="1"/>
  <c r="U27" i="82" s="1"/>
  <c r="P76" i="50"/>
  <c r="T76" i="50" s="1"/>
  <c r="AF76" i="50" s="1"/>
  <c r="D77" i="57" s="1"/>
  <c r="H85" i="58" s="1"/>
  <c r="N76" i="50"/>
  <c r="R76" i="50" s="1"/>
  <c r="AD76" i="50" s="1"/>
  <c r="B77" i="57" s="1"/>
  <c r="F85" i="58" s="1"/>
  <c r="O82" i="50"/>
  <c r="S82" i="50" s="1"/>
  <c r="AE82" i="50" s="1"/>
  <c r="C83" i="57" s="1"/>
  <c r="G89" i="58" s="1"/>
  <c r="P82" i="50"/>
  <c r="T82" i="50" s="1"/>
  <c r="AF82" i="50" s="1"/>
  <c r="D83" i="57" s="1"/>
  <c r="H89" i="58" s="1"/>
  <c r="N82" i="50"/>
  <c r="R82" i="50" s="1"/>
  <c r="AD82" i="50" s="1"/>
  <c r="B83" i="57" s="1"/>
  <c r="F89" i="58" s="1"/>
  <c r="Q89" i="50"/>
  <c r="U89" i="50" s="1"/>
  <c r="AG89" i="50" s="1"/>
  <c r="E90" i="57" s="1"/>
  <c r="I52" i="58" s="1"/>
  <c r="N89" i="50"/>
  <c r="R89" i="50" s="1"/>
  <c r="AD89" i="50" s="1"/>
  <c r="B90" i="57" s="1"/>
  <c r="P55" i="50"/>
  <c r="T55" i="50" s="1"/>
  <c r="AF55" i="50" s="1"/>
  <c r="D56" i="57" s="1"/>
  <c r="H53" i="58" s="1"/>
  <c r="N55" i="50"/>
  <c r="R55" i="50" s="1"/>
  <c r="AD55" i="50" s="1"/>
  <c r="B56" i="57" s="1"/>
  <c r="F53" i="58" s="1"/>
  <c r="O55" i="50"/>
  <c r="S55" i="50" s="1"/>
  <c r="AE55" i="50" s="1"/>
  <c r="C56" i="57" s="1"/>
  <c r="Q117" i="50"/>
  <c r="U117" i="50" s="1"/>
  <c r="AG117" i="50" s="1"/>
  <c r="E118" i="57" s="1"/>
  <c r="I114" i="58" s="1"/>
  <c r="O117" i="50"/>
  <c r="S117" i="50" s="1"/>
  <c r="AE117" i="50" s="1"/>
  <c r="C118" i="57" s="1"/>
  <c r="G114" i="58" s="1"/>
  <c r="N101" i="50"/>
  <c r="R101" i="50" s="1"/>
  <c r="AD101" i="50" s="1"/>
  <c r="B102" i="57" s="1"/>
  <c r="F98" i="58" s="1"/>
  <c r="V56" i="82" s="1"/>
  <c r="P101" i="50"/>
  <c r="T101" i="50" s="1"/>
  <c r="AF101" i="50" s="1"/>
  <c r="D102" i="57" s="1"/>
  <c r="H98" i="58" s="1"/>
  <c r="X56" i="82" s="1"/>
  <c r="Q101" i="50"/>
  <c r="U101" i="50" s="1"/>
  <c r="AG101" i="50" s="1"/>
  <c r="E102" i="57" s="1"/>
  <c r="I98" i="58" s="1"/>
  <c r="W56" i="82" s="1"/>
  <c r="O36" i="50"/>
  <c r="S36" i="50" s="1"/>
  <c r="AE36" i="50" s="1"/>
  <c r="C37" i="57" s="1"/>
  <c r="G11" i="58" s="1"/>
  <c r="U26" i="82" s="1"/>
  <c r="Q81" i="50"/>
  <c r="U81" i="50" s="1"/>
  <c r="AG81" i="50" s="1"/>
  <c r="E82" i="57" s="1"/>
  <c r="I47" i="58" s="1"/>
  <c r="W46" i="82" s="1"/>
  <c r="Q114" i="50"/>
  <c r="U114" i="50" s="1"/>
  <c r="AG114" i="50" s="1"/>
  <c r="E115" i="57" s="1"/>
  <c r="I111" i="58" s="1"/>
  <c r="N116" i="50"/>
  <c r="R116" i="50" s="1"/>
  <c r="AD116" i="50" s="1"/>
  <c r="B117" i="57" s="1"/>
  <c r="F113" i="58" s="1"/>
  <c r="N75" i="50"/>
  <c r="R75" i="50" s="1"/>
  <c r="AD75" i="50" s="1"/>
  <c r="B76" i="57" s="1"/>
  <c r="F44" i="58" s="1"/>
  <c r="N37" i="50"/>
  <c r="R37" i="50" s="1"/>
  <c r="AD37" i="50" s="1"/>
  <c r="B38" i="57" s="1"/>
  <c r="F13" i="58" s="1"/>
  <c r="N12" i="50"/>
  <c r="R12" i="50" s="1"/>
  <c r="AD12" i="50" s="1"/>
  <c r="B13" i="57" s="1"/>
  <c r="F66" i="58" s="1"/>
  <c r="V8" i="82" s="1"/>
  <c r="P89" i="50"/>
  <c r="T89" i="50" s="1"/>
  <c r="AF89" i="50" s="1"/>
  <c r="D90" i="57" s="1"/>
  <c r="H52" i="58" s="1"/>
  <c r="N117" i="50"/>
  <c r="R117" i="50" s="1"/>
  <c r="AD117" i="50" s="1"/>
  <c r="B118" i="57" s="1"/>
  <c r="F114" i="58" s="1"/>
  <c r="O79" i="50"/>
  <c r="S79" i="50" s="1"/>
  <c r="AE79" i="50" s="1"/>
  <c r="C80" i="57" s="1"/>
  <c r="G88" i="58" s="1"/>
  <c r="Q12" i="50"/>
  <c r="U12" i="50" s="1"/>
  <c r="AG12" i="50" s="1"/>
  <c r="E13" i="57" s="1"/>
  <c r="I66" i="58" s="1"/>
  <c r="W8" i="82" s="1"/>
  <c r="Q76" i="50"/>
  <c r="U76" i="50" s="1"/>
  <c r="AG76" i="50" s="1"/>
  <c r="E77" i="57" s="1"/>
  <c r="I85" i="58" s="1"/>
  <c r="N105" i="50"/>
  <c r="R105" i="50" s="1"/>
  <c r="AD105" i="50" s="1"/>
  <c r="B106" i="57" s="1"/>
  <c r="F102" i="58" s="1"/>
  <c r="V57" i="82" s="1"/>
  <c r="O101" i="50"/>
  <c r="S101" i="50" s="1"/>
  <c r="AE101" i="50" s="1"/>
  <c r="C102" i="57" s="1"/>
  <c r="G98" i="58" s="1"/>
  <c r="U56" i="82" s="1"/>
  <c r="Q111" i="50"/>
  <c r="U111" i="50" s="1"/>
  <c r="AG111" i="50" s="1"/>
  <c r="E112" i="57" s="1"/>
  <c r="I108" i="58" s="1"/>
  <c r="P65" i="50"/>
  <c r="T65" i="50" s="1"/>
  <c r="AF65" i="50" s="1"/>
  <c r="D66" i="57" s="1"/>
  <c r="H36" i="58" s="1"/>
  <c r="N65" i="50"/>
  <c r="R65" i="50" s="1"/>
  <c r="AD65" i="50" s="1"/>
  <c r="B66" i="57" s="1"/>
  <c r="F36" i="58" s="1"/>
  <c r="O65" i="50"/>
  <c r="S65" i="50" s="1"/>
  <c r="AE65" i="50" s="1"/>
  <c r="C66" i="57" s="1"/>
  <c r="G36" i="58" s="1"/>
  <c r="P70" i="50"/>
  <c r="T70" i="50" s="1"/>
  <c r="AF70" i="50" s="1"/>
  <c r="D71" i="57" s="1"/>
  <c r="H81" i="58" s="1"/>
  <c r="N70" i="50"/>
  <c r="R70" i="50" s="1"/>
  <c r="AD70" i="50" s="1"/>
  <c r="B71" i="57" s="1"/>
  <c r="F81" i="58" s="1"/>
  <c r="O70" i="50"/>
  <c r="S70" i="50" s="1"/>
  <c r="AE70" i="50" s="1"/>
  <c r="C71" i="57" s="1"/>
  <c r="G81" i="58" s="1"/>
  <c r="Q93" i="50"/>
  <c r="U93" i="50" s="1"/>
  <c r="AG93" i="50" s="1"/>
  <c r="E94" i="57" s="1"/>
  <c r="I56" i="58" s="1"/>
  <c r="O93" i="50"/>
  <c r="S93" i="50" s="1"/>
  <c r="AE93" i="50" s="1"/>
  <c r="C94" i="57" s="1"/>
  <c r="G56" i="58" s="1"/>
  <c r="Q25" i="50"/>
  <c r="U25" i="50" s="1"/>
  <c r="AG25" i="50" s="1"/>
  <c r="E26" i="57" s="1"/>
  <c r="I26" i="58" s="1"/>
  <c r="W19" i="82" s="1"/>
  <c r="N25" i="50"/>
  <c r="R25" i="50" s="1"/>
  <c r="AD25" i="50" s="1"/>
  <c r="B26" i="57" s="1"/>
  <c r="F26" i="58" s="1"/>
  <c r="V19" i="82" s="1"/>
  <c r="O25" i="50"/>
  <c r="S25" i="50" s="1"/>
  <c r="AE25" i="50" s="1"/>
  <c r="C26" i="57" s="1"/>
  <c r="G26" i="58" s="1"/>
  <c r="U19" i="82" s="1"/>
  <c r="P24" i="50"/>
  <c r="T24" i="50" s="1"/>
  <c r="AF24" i="50" s="1"/>
  <c r="D25" i="57" s="1"/>
  <c r="H24" i="58" s="1"/>
  <c r="O24" i="50"/>
  <c r="S24" i="50" s="1"/>
  <c r="AE24" i="50" s="1"/>
  <c r="C25" i="57" s="1"/>
  <c r="G24" i="58" s="1"/>
  <c r="Q24" i="50"/>
  <c r="U24" i="50" s="1"/>
  <c r="AG24" i="50" s="1"/>
  <c r="E25" i="57" s="1"/>
  <c r="I24" i="58" s="1"/>
  <c r="O23" i="50"/>
  <c r="S23" i="50" s="1"/>
  <c r="AE23" i="50" s="1"/>
  <c r="C24" i="57" s="1"/>
  <c r="G22" i="58" s="1"/>
  <c r="U18" i="82" s="1"/>
  <c r="Q23" i="50"/>
  <c r="U23" i="50" s="1"/>
  <c r="AG23" i="50" s="1"/>
  <c r="E24" i="57" s="1"/>
  <c r="I22" i="58" s="1"/>
  <c r="W18" i="82" s="1"/>
  <c r="N23" i="50"/>
  <c r="R23" i="50" s="1"/>
  <c r="AD23" i="50" s="1"/>
  <c r="B24" i="57" s="1"/>
  <c r="F22" i="58" s="1"/>
  <c r="V18" i="82" s="1"/>
  <c r="N106" i="50"/>
  <c r="R106" i="50" s="1"/>
  <c r="AD106" i="50" s="1"/>
  <c r="B107" i="57" s="1"/>
  <c r="F103" i="58" s="1"/>
  <c r="V58" i="82" s="1"/>
  <c r="Q106" i="50"/>
  <c r="U106" i="50" s="1"/>
  <c r="AG106" i="50" s="1"/>
  <c r="E107" i="57" s="1"/>
  <c r="I103" i="58" s="1"/>
  <c r="W58" i="82" s="1"/>
  <c r="P110" i="50"/>
  <c r="T110" i="50" s="1"/>
  <c r="AF110" i="50" s="1"/>
  <c r="D111" i="57" s="1"/>
  <c r="H107" i="58" s="1"/>
  <c r="Q110" i="50"/>
  <c r="U110" i="50" s="1"/>
  <c r="AG110" i="50" s="1"/>
  <c r="E111" i="57" s="1"/>
  <c r="I107" i="58" s="1"/>
  <c r="O81" i="50"/>
  <c r="S81" i="50" s="1"/>
  <c r="AE81" i="50" s="1"/>
  <c r="C82" i="57" s="1"/>
  <c r="G47" i="58" s="1"/>
  <c r="U46" i="82" s="1"/>
  <c r="N22" i="50"/>
  <c r="R22" i="50" s="1"/>
  <c r="AD22" i="50" s="1"/>
  <c r="B23" i="57" s="1"/>
  <c r="F71" i="58" s="1"/>
  <c r="V17" i="82" s="1"/>
  <c r="N104" i="50"/>
  <c r="R104" i="50" s="1"/>
  <c r="AD104" i="50" s="1"/>
  <c r="B105" i="57" s="1"/>
  <c r="F101" i="58" s="1"/>
  <c r="O114" i="50"/>
  <c r="S114" i="50" s="1"/>
  <c r="AE114" i="50" s="1"/>
  <c r="C115" i="57" s="1"/>
  <c r="G111" i="58" s="1"/>
  <c r="O116" i="50"/>
  <c r="S116" i="50" s="1"/>
  <c r="AE116" i="50" s="1"/>
  <c r="C117" i="57" s="1"/>
  <c r="G113" i="58" s="1"/>
  <c r="N36" i="50"/>
  <c r="R36" i="50" s="1"/>
  <c r="AD36" i="50" s="1"/>
  <c r="B37" i="57" s="1"/>
  <c r="F11" i="58" s="1"/>
  <c r="V26" i="82" s="1"/>
  <c r="P22" i="50"/>
  <c r="T22" i="50" s="1"/>
  <c r="AF22" i="50" s="1"/>
  <c r="D23" i="57" s="1"/>
  <c r="H71" i="58" s="1"/>
  <c r="X17" i="82" s="1"/>
  <c r="O37" i="50"/>
  <c r="S37" i="50" s="1"/>
  <c r="AE37" i="50" s="1"/>
  <c r="C38" i="57" s="1"/>
  <c r="G13" i="58" s="1"/>
  <c r="O12" i="50"/>
  <c r="S12" i="50" s="1"/>
  <c r="AE12" i="50" s="1"/>
  <c r="C13" i="57" s="1"/>
  <c r="G66" i="58" s="1"/>
  <c r="U8" i="82" s="1"/>
  <c r="Q104" i="50"/>
  <c r="U104" i="50" s="1"/>
  <c r="AG104" i="50" s="1"/>
  <c r="E105" i="57" s="1"/>
  <c r="I101" i="58" s="1"/>
  <c r="P105" i="50"/>
  <c r="T105" i="50" s="1"/>
  <c r="AF105" i="50" s="1"/>
  <c r="D106" i="57" s="1"/>
  <c r="H102" i="58" s="1"/>
  <c r="X57" i="82" s="1"/>
  <c r="Q55" i="50"/>
  <c r="U55" i="50" s="1"/>
  <c r="AG55" i="50" s="1"/>
  <c r="E56" i="57" s="1"/>
  <c r="I53" i="58" s="1"/>
  <c r="N87" i="50"/>
  <c r="R87" i="50" s="1"/>
  <c r="AD87" i="50" s="1"/>
  <c r="B88" i="57" s="1"/>
  <c r="F50" i="58" s="1"/>
  <c r="Q39" i="50"/>
  <c r="U39" i="50" s="1"/>
  <c r="AG39" i="50" s="1"/>
  <c r="E40" i="57" s="1"/>
  <c r="I17" i="58" s="1"/>
  <c r="W27" i="82" s="1"/>
  <c r="O69" i="50"/>
  <c r="S69" i="50" s="1"/>
  <c r="AE69" i="50" s="1"/>
  <c r="C70" i="57" s="1"/>
  <c r="N9" i="50"/>
  <c r="R9" i="50" s="1"/>
  <c r="AD9" i="50" s="1"/>
  <c r="B10" i="57" s="1"/>
  <c r="F10" i="58" s="1"/>
  <c r="V6" i="82" s="1"/>
  <c r="O105" i="50"/>
  <c r="S105" i="50" s="1"/>
  <c r="AE105" i="50" s="1"/>
  <c r="C106" i="57" s="1"/>
  <c r="G102" i="58" s="1"/>
  <c r="U57" i="82" s="1"/>
  <c r="Q22" i="50"/>
  <c r="U22" i="50" s="1"/>
  <c r="AG22" i="50" s="1"/>
  <c r="E23" i="57" s="1"/>
  <c r="I71" i="58" s="1"/>
  <c r="W17" i="82" s="1"/>
  <c r="P73" i="50"/>
  <c r="T73" i="50" s="1"/>
  <c r="AF73" i="50" s="1"/>
  <c r="D74" i="57" s="1"/>
  <c r="H42" i="58" s="1"/>
  <c r="O111" i="50"/>
  <c r="S111" i="50" s="1"/>
  <c r="AE111" i="50" s="1"/>
  <c r="C112" i="57" s="1"/>
  <c r="G108" i="58" s="1"/>
  <c r="Q9" i="50"/>
  <c r="U9" i="50" s="1"/>
  <c r="AG9" i="50" s="1"/>
  <c r="E10" i="57" s="1"/>
  <c r="I10" i="58" s="1"/>
  <c r="W6" i="82" s="1"/>
  <c r="Q82" i="50"/>
  <c r="U82" i="50" s="1"/>
  <c r="AG82" i="50" s="1"/>
  <c r="E83" i="57" s="1"/>
  <c r="I89" i="58" s="1"/>
  <c r="Q69" i="50"/>
  <c r="U69" i="50" s="1"/>
  <c r="AG69" i="50" s="1"/>
  <c r="E70" i="57" s="1"/>
  <c r="I80" i="58" s="1"/>
  <c r="P9" i="50"/>
  <c r="T9" i="50" s="1"/>
  <c r="AF9" i="50" s="1"/>
  <c r="D10" i="57" s="1"/>
  <c r="H10" i="58" s="1"/>
  <c r="X6" i="82" s="1"/>
  <c r="P81" i="50"/>
  <c r="T81" i="50" s="1"/>
  <c r="AF81" i="50" s="1"/>
  <c r="D82" i="57" s="1"/>
  <c r="H47" i="58" s="1"/>
  <c r="X46" i="82" s="1"/>
  <c r="O106" i="50"/>
  <c r="S106" i="50" s="1"/>
  <c r="AE106" i="50" s="1"/>
  <c r="C107" i="57" s="1"/>
  <c r="G103" i="58" s="1"/>
  <c r="U58" i="82" s="1"/>
  <c r="P23" i="50"/>
  <c r="T23" i="50" s="1"/>
  <c r="AF23" i="50" s="1"/>
  <c r="D24" i="57" s="1"/>
  <c r="H22" i="58" s="1"/>
  <c r="X18" i="82" s="1"/>
  <c r="O75" i="50"/>
  <c r="S75" i="50" s="1"/>
  <c r="AE75" i="50" s="1"/>
  <c r="C76" i="57" s="1"/>
  <c r="G44" i="58" s="1"/>
  <c r="O87" i="50"/>
  <c r="S87" i="50" s="1"/>
  <c r="AE87" i="50" s="1"/>
  <c r="C88" i="57" s="1"/>
  <c r="G50" i="58" s="1"/>
  <c r="Q36" i="50"/>
  <c r="U36" i="50" s="1"/>
  <c r="AG36" i="50" s="1"/>
  <c r="E37" i="57" s="1"/>
  <c r="I11" i="58" s="1"/>
  <c r="W26" i="82" s="1"/>
  <c r="P111" i="50"/>
  <c r="T111" i="50" s="1"/>
  <c r="AF111" i="50" s="1"/>
  <c r="D112" i="57" s="1"/>
  <c r="H108" i="58" s="1"/>
  <c r="P106" i="50"/>
  <c r="T106" i="50" s="1"/>
  <c r="AF106" i="50" s="1"/>
  <c r="D107" i="57" s="1"/>
  <c r="H103" i="58" s="1"/>
  <c r="X58" i="82" s="1"/>
  <c r="N17" i="50"/>
  <c r="R17" i="50" s="1"/>
  <c r="AD17" i="50" s="1"/>
  <c r="B18" i="57" s="1"/>
  <c r="F18" i="58" s="1"/>
  <c r="V14" i="82" s="1"/>
  <c r="Q113" i="50"/>
  <c r="U113" i="50" s="1"/>
  <c r="AG113" i="50" s="1"/>
  <c r="E114" i="57" s="1"/>
  <c r="I110" i="58" s="1"/>
  <c r="N45" i="50"/>
  <c r="R45" i="50" s="1"/>
  <c r="AD45" i="50" s="1"/>
  <c r="B46" i="57" s="1"/>
  <c r="F29" i="58" s="1"/>
  <c r="Q90" i="50"/>
  <c r="U90" i="50" s="1"/>
  <c r="AG90" i="50" s="1"/>
  <c r="E91" i="57" s="1"/>
  <c r="I94" i="58" s="1"/>
  <c r="Q112" i="50"/>
  <c r="U112" i="50" s="1"/>
  <c r="AG112" i="50" s="1"/>
  <c r="E113" i="57" s="1"/>
  <c r="I109" i="58" s="1"/>
  <c r="W75" i="50"/>
  <c r="AA75" i="50" s="1"/>
  <c r="AI75" i="50" s="1"/>
  <c r="G76" i="57" s="1"/>
  <c r="O44" i="50"/>
  <c r="S44" i="50" s="1"/>
  <c r="AE44" i="50" s="1"/>
  <c r="C45" i="57" s="1"/>
  <c r="G27" i="58" s="1"/>
  <c r="Q26" i="50"/>
  <c r="U26" i="50" s="1"/>
  <c r="AG26" i="50" s="1"/>
  <c r="E27" i="57" s="1"/>
  <c r="I28" i="58" s="1"/>
  <c r="P66" i="50"/>
  <c r="T66" i="50" s="1"/>
  <c r="AF66" i="50" s="1"/>
  <c r="D67" i="57" s="1"/>
  <c r="H38" i="58" s="1"/>
  <c r="X41" i="82" s="1"/>
  <c r="O52" i="50"/>
  <c r="S52" i="50" s="1"/>
  <c r="AE52" i="50" s="1"/>
  <c r="C53" i="57" s="1"/>
  <c r="G41" i="58" s="1"/>
  <c r="P99" i="50"/>
  <c r="T99" i="50" s="1"/>
  <c r="AF99" i="50" s="1"/>
  <c r="D100" i="57" s="1"/>
  <c r="H59" i="58" s="1"/>
  <c r="O78" i="50"/>
  <c r="S78" i="50" s="1"/>
  <c r="AE78" i="50" s="1"/>
  <c r="C79" i="57" s="1"/>
  <c r="G87" i="58" s="1"/>
  <c r="P58" i="50"/>
  <c r="T58" i="50" s="1"/>
  <c r="AF58" i="50" s="1"/>
  <c r="D59" i="57" s="1"/>
  <c r="H55" i="58" s="1"/>
  <c r="P68" i="50"/>
  <c r="T68" i="50" s="1"/>
  <c r="AF68" i="50" s="1"/>
  <c r="D69" i="57" s="1"/>
  <c r="H79" i="58" s="1"/>
  <c r="P117" i="50"/>
  <c r="T117" i="50" s="1"/>
  <c r="AF117" i="50" s="1"/>
  <c r="D118" i="57" s="1"/>
  <c r="H114" i="58" s="1"/>
  <c r="O89" i="50"/>
  <c r="S89" i="50" s="1"/>
  <c r="AE89" i="50" s="1"/>
  <c r="C90" i="57" s="1"/>
  <c r="G52" i="58" s="1"/>
  <c r="Q47" i="50"/>
  <c r="U47" i="50" s="1"/>
  <c r="AG47" i="50" s="1"/>
  <c r="E48" i="57" s="1"/>
  <c r="I33" i="58" s="1"/>
  <c r="Q92" i="50"/>
  <c r="U92" i="50" s="1"/>
  <c r="AG92" i="50" s="1"/>
  <c r="E93" i="57" s="1"/>
  <c r="I54" i="58" s="1"/>
  <c r="W52" i="82" s="1"/>
  <c r="N44" i="50"/>
  <c r="R44" i="50" s="1"/>
  <c r="AD44" i="50" s="1"/>
  <c r="B45" i="57" s="1"/>
  <c r="F27" i="58" s="1"/>
  <c r="Q56" i="50"/>
  <c r="U56" i="50" s="1"/>
  <c r="AG56" i="50" s="1"/>
  <c r="E57" i="57" s="1"/>
  <c r="I49" i="58" s="1"/>
  <c r="W36" i="82" s="1"/>
  <c r="P40" i="50"/>
  <c r="T40" i="50" s="1"/>
  <c r="AF40" i="50" s="1"/>
  <c r="D41" i="57" s="1"/>
  <c r="H19" i="58" s="1"/>
  <c r="X28" i="82" s="1"/>
  <c r="P52" i="50"/>
  <c r="T52" i="50" s="1"/>
  <c r="AF52" i="50" s="1"/>
  <c r="D53" i="57" s="1"/>
  <c r="H41" i="58" s="1"/>
  <c r="P80" i="50"/>
  <c r="T80" i="50" s="1"/>
  <c r="AF80" i="50" s="1"/>
  <c r="D81" i="57" s="1"/>
  <c r="H46" i="58" s="1"/>
  <c r="X45" i="82" s="1"/>
  <c r="P26" i="50"/>
  <c r="T26" i="50" s="1"/>
  <c r="AF26" i="50" s="1"/>
  <c r="D27" i="57" s="1"/>
  <c r="H28" i="58" s="1"/>
  <c r="P17" i="50"/>
  <c r="T17" i="50" s="1"/>
  <c r="AF17" i="50" s="1"/>
  <c r="D18" i="57" s="1"/>
  <c r="H18" i="58" s="1"/>
  <c r="X14" i="82" s="1"/>
  <c r="P51" i="50"/>
  <c r="T51" i="50" s="1"/>
  <c r="AF51" i="50" s="1"/>
  <c r="D52" i="57" s="1"/>
  <c r="H39" i="58" s="1"/>
  <c r="P98" i="50"/>
  <c r="T98" i="50" s="1"/>
  <c r="AF98" i="50" s="1"/>
  <c r="D99" i="57" s="1"/>
  <c r="H119" i="58" s="1"/>
  <c r="X55" i="82" s="1"/>
  <c r="P113" i="50"/>
  <c r="T113" i="50" s="1"/>
  <c r="AF113" i="50" s="1"/>
  <c r="D114" i="57" s="1"/>
  <c r="H110" i="58" s="1"/>
  <c r="P83" i="50"/>
  <c r="T83" i="50" s="1"/>
  <c r="AF83" i="50" s="1"/>
  <c r="D84" i="57" s="1"/>
  <c r="H90" i="58" s="1"/>
  <c r="P45" i="50"/>
  <c r="T45" i="50" s="1"/>
  <c r="AF45" i="50" s="1"/>
  <c r="D46" i="57" s="1"/>
  <c r="H29" i="58" s="1"/>
  <c r="P90" i="50"/>
  <c r="T90" i="50" s="1"/>
  <c r="AF90" i="50" s="1"/>
  <c r="D91" i="57" s="1"/>
  <c r="H94" i="58" s="1"/>
  <c r="P112" i="50"/>
  <c r="T112" i="50" s="1"/>
  <c r="AF112" i="50" s="1"/>
  <c r="D113" i="57" s="1"/>
  <c r="H109" i="58" s="1"/>
  <c r="P56" i="50"/>
  <c r="T56" i="50" s="1"/>
  <c r="AF56" i="50" s="1"/>
  <c r="D57" i="57" s="1"/>
  <c r="H49" i="58" s="1"/>
  <c r="X36" i="82" s="1"/>
  <c r="P10" i="50"/>
  <c r="T10" i="50" s="1"/>
  <c r="AF10" i="50" s="1"/>
  <c r="D11" i="57" s="1"/>
  <c r="H12" i="58" s="1"/>
  <c r="P11" i="50"/>
  <c r="T11" i="50" s="1"/>
  <c r="AF11" i="50" s="1"/>
  <c r="D12" i="57" s="1"/>
  <c r="H65" i="58" s="1"/>
  <c r="X7" i="82" s="1"/>
  <c r="P31" i="50"/>
  <c r="T31" i="50" s="1"/>
  <c r="AF31" i="50" s="1"/>
  <c r="D32" i="57" s="1"/>
  <c r="H73" i="58" s="1"/>
  <c r="P59" i="50"/>
  <c r="T59" i="50" s="1"/>
  <c r="AF59" i="50" s="1"/>
  <c r="D60" i="57" s="1"/>
  <c r="H57" i="58" s="1"/>
  <c r="P34" i="50"/>
  <c r="T34" i="50" s="1"/>
  <c r="AF34" i="50" s="1"/>
  <c r="D35" i="57" s="1"/>
  <c r="H34" i="58" s="1"/>
  <c r="X25" i="82" s="1"/>
  <c r="P47" i="50"/>
  <c r="T47" i="50" s="1"/>
  <c r="AF47" i="50" s="1"/>
  <c r="D48" i="57" s="1"/>
  <c r="H33" i="58" s="1"/>
  <c r="P92" i="50"/>
  <c r="T92" i="50" s="1"/>
  <c r="AF92" i="50" s="1"/>
  <c r="D93" i="57" s="1"/>
  <c r="H54" i="58" s="1"/>
  <c r="X52" i="82" s="1"/>
  <c r="P44" i="50"/>
  <c r="T44" i="50" s="1"/>
  <c r="AF44" i="50" s="1"/>
  <c r="D45" i="57" s="1"/>
  <c r="H27" i="58" s="1"/>
  <c r="O80" i="50"/>
  <c r="S80" i="50" s="1"/>
  <c r="AE80" i="50" s="1"/>
  <c r="C81" i="57" s="1"/>
  <c r="G46" i="58" s="1"/>
  <c r="U45" i="82" s="1"/>
  <c r="N26" i="50"/>
  <c r="R26" i="50" s="1"/>
  <c r="AD26" i="50" s="1"/>
  <c r="B27" i="57" s="1"/>
  <c r="F28" i="58" s="1"/>
  <c r="Q17" i="50"/>
  <c r="U17" i="50" s="1"/>
  <c r="AG17" i="50" s="1"/>
  <c r="E18" i="57" s="1"/>
  <c r="I18" i="58" s="1"/>
  <c r="W14" i="82" s="1"/>
  <c r="O51" i="50"/>
  <c r="S51" i="50" s="1"/>
  <c r="AE51" i="50" s="1"/>
  <c r="C52" i="57" s="1"/>
  <c r="G39" i="58" s="1"/>
  <c r="O98" i="50"/>
  <c r="S98" i="50" s="1"/>
  <c r="AE98" i="50" s="1"/>
  <c r="C99" i="57" s="1"/>
  <c r="G119" i="58" s="1"/>
  <c r="U55" i="82" s="1"/>
  <c r="O113" i="50"/>
  <c r="S113" i="50" s="1"/>
  <c r="AE113" i="50" s="1"/>
  <c r="C114" i="57" s="1"/>
  <c r="G110" i="58" s="1"/>
  <c r="O83" i="50"/>
  <c r="S83" i="50" s="1"/>
  <c r="AE83" i="50" s="1"/>
  <c r="C84" i="57" s="1"/>
  <c r="G90" i="58" s="1"/>
  <c r="Q45" i="50"/>
  <c r="U45" i="50" s="1"/>
  <c r="AG45" i="50" s="1"/>
  <c r="E46" i="57" s="1"/>
  <c r="I29" i="58" s="1"/>
  <c r="O90" i="50"/>
  <c r="S90" i="50" s="1"/>
  <c r="AE90" i="50" s="1"/>
  <c r="C91" i="57" s="1"/>
  <c r="G94" i="58" s="1"/>
  <c r="O112" i="50"/>
  <c r="S112" i="50" s="1"/>
  <c r="AE112" i="50" s="1"/>
  <c r="C113" i="57" s="1"/>
  <c r="G109" i="58" s="1"/>
  <c r="O56" i="50"/>
  <c r="S56" i="50" s="1"/>
  <c r="AE56" i="50" s="1"/>
  <c r="C57" i="57" s="1"/>
  <c r="G49" i="58" s="1"/>
  <c r="U36" i="82" s="1"/>
  <c r="N10" i="50"/>
  <c r="R10" i="50" s="1"/>
  <c r="AD10" i="50" s="1"/>
  <c r="B11" i="57" s="1"/>
  <c r="F12" i="58" s="1"/>
  <c r="O11" i="50"/>
  <c r="S11" i="50" s="1"/>
  <c r="AE11" i="50" s="1"/>
  <c r="C12" i="57" s="1"/>
  <c r="G65" i="58" s="1"/>
  <c r="U7" i="82" s="1"/>
  <c r="O31" i="50"/>
  <c r="S31" i="50" s="1"/>
  <c r="AE31" i="50" s="1"/>
  <c r="C32" i="57" s="1"/>
  <c r="G73" i="58" s="1"/>
  <c r="O59" i="50"/>
  <c r="S59" i="50" s="1"/>
  <c r="AE59" i="50" s="1"/>
  <c r="C60" i="57" s="1"/>
  <c r="G57" i="58" s="1"/>
  <c r="N34" i="50"/>
  <c r="R34" i="50" s="1"/>
  <c r="AD34" i="50" s="1"/>
  <c r="B35" i="57" s="1"/>
  <c r="F34" i="58" s="1"/>
  <c r="V25" i="82" s="1"/>
  <c r="O47" i="50"/>
  <c r="S47" i="50" s="1"/>
  <c r="AE47" i="50" s="1"/>
  <c r="C48" i="57" s="1"/>
  <c r="G33" i="58" s="1"/>
  <c r="O92" i="50"/>
  <c r="S92" i="50" s="1"/>
  <c r="AE92" i="50" s="1"/>
  <c r="C93" i="57" s="1"/>
  <c r="G54" i="58" s="1"/>
  <c r="U52" i="82" s="1"/>
  <c r="Q44" i="50"/>
  <c r="U44" i="50" s="1"/>
  <c r="AG44" i="50" s="1"/>
  <c r="E45" i="57" s="1"/>
  <c r="I27" i="58" s="1"/>
  <c r="Z86" i="57"/>
  <c r="J86" i="57"/>
  <c r="F92" i="58"/>
  <c r="V47" i="82" s="1"/>
  <c r="G92" i="58"/>
  <c r="U47" i="82" s="1"/>
  <c r="AA86" i="57"/>
  <c r="K86" i="57"/>
  <c r="AR85" i="50"/>
  <c r="K48" i="64"/>
  <c r="O48" i="64" s="1"/>
  <c r="M86" i="57"/>
  <c r="I92" i="58"/>
  <c r="W47" i="82" s="1"/>
  <c r="AC86" i="57"/>
  <c r="H48" i="64"/>
  <c r="L48" i="64" s="1"/>
  <c r="AQ85" i="50"/>
  <c r="L86" i="57"/>
  <c r="H92" i="58"/>
  <c r="X47" i="82" s="1"/>
  <c r="AB86" i="57"/>
  <c r="AS85" i="50"/>
  <c r="J48" i="64"/>
  <c r="N48" i="64" s="1"/>
  <c r="AP85" i="50"/>
  <c r="I48" i="64"/>
  <c r="M48" i="64" s="1"/>
  <c r="I39" i="64"/>
  <c r="M39" i="64" s="1"/>
  <c r="K39" i="64"/>
  <c r="O39" i="64" s="1"/>
  <c r="J39" i="64"/>
  <c r="N39" i="64" s="1"/>
  <c r="H39" i="64"/>
  <c r="L39" i="64" s="1"/>
  <c r="F77" i="58"/>
  <c r="V38" i="82" s="1"/>
  <c r="J63" i="57"/>
  <c r="Z63" i="57"/>
  <c r="AC63" i="57"/>
  <c r="I77" i="58"/>
  <c r="M63" i="57"/>
  <c r="K63" i="57"/>
  <c r="G77" i="58"/>
  <c r="U38" i="82" s="1"/>
  <c r="AA63" i="57"/>
  <c r="H77" i="58"/>
  <c r="AB63" i="57"/>
  <c r="L63" i="57"/>
  <c r="O91" i="55"/>
  <c r="W92" i="50" s="1"/>
  <c r="AA92" i="50" s="1"/>
  <c r="AI92" i="50" s="1"/>
  <c r="G93" i="57" s="1"/>
  <c r="O109" i="55"/>
  <c r="W110" i="50" s="1"/>
  <c r="AA110" i="50" s="1"/>
  <c r="AI110" i="50" s="1"/>
  <c r="G111" i="57" s="1"/>
  <c r="N8" i="55"/>
  <c r="V8" i="50" s="1"/>
  <c r="Z8" i="50" s="1"/>
  <c r="AH8" i="50" s="1"/>
  <c r="Q98" i="55"/>
  <c r="Y99" i="50" s="1"/>
  <c r="AC99" i="50" s="1"/>
  <c r="AK99" i="50" s="1"/>
  <c r="I100" i="57" s="1"/>
  <c r="Q112" i="55"/>
  <c r="Y113" i="50" s="1"/>
  <c r="AC113" i="50" s="1"/>
  <c r="AK113" i="50" s="1"/>
  <c r="I114" i="57" s="1"/>
  <c r="P61" i="55"/>
  <c r="X61" i="50" s="1"/>
  <c r="AB61" i="50" s="1"/>
  <c r="AJ61" i="50" s="1"/>
  <c r="H62" i="57" s="1"/>
  <c r="Q109" i="55"/>
  <c r="Y110" i="50" s="1"/>
  <c r="AC110" i="50" s="1"/>
  <c r="AK110" i="50" s="1"/>
  <c r="I111" i="57" s="1"/>
  <c r="Q42" i="55"/>
  <c r="Y42" i="50" s="1"/>
  <c r="AC42" i="50" s="1"/>
  <c r="AK42" i="50" s="1"/>
  <c r="I43" i="57" s="1"/>
  <c r="Q108" i="55"/>
  <c r="Y109" i="50" s="1"/>
  <c r="AC109" i="50" s="1"/>
  <c r="AK109" i="50" s="1"/>
  <c r="I110" i="57" s="1"/>
  <c r="N36" i="55"/>
  <c r="V36" i="50" s="1"/>
  <c r="Z36" i="50" s="1"/>
  <c r="AH36" i="50" s="1"/>
  <c r="F37" i="57" s="1"/>
  <c r="O92" i="55"/>
  <c r="W93" i="50" s="1"/>
  <c r="AA93" i="50" s="1"/>
  <c r="AI93" i="50" s="1"/>
  <c r="G94" i="57" s="1"/>
  <c r="P96" i="55"/>
  <c r="X97" i="50" s="1"/>
  <c r="AB97" i="50" s="1"/>
  <c r="AJ97" i="50" s="1"/>
  <c r="H98" i="57" s="1"/>
  <c r="Q53" i="55"/>
  <c r="Y53" i="50" s="1"/>
  <c r="AC53" i="50" s="1"/>
  <c r="AK53" i="50" s="1"/>
  <c r="I54" i="57" s="1"/>
  <c r="P98" i="55"/>
  <c r="X99" i="50" s="1"/>
  <c r="AB99" i="50" s="1"/>
  <c r="AJ99" i="50" s="1"/>
  <c r="H100" i="57" s="1"/>
  <c r="O67" i="55"/>
  <c r="W68" i="50" s="1"/>
  <c r="AA68" i="50" s="1"/>
  <c r="AI68" i="50" s="1"/>
  <c r="G69" i="57" s="1"/>
  <c r="Q25" i="55"/>
  <c r="Y25" i="50" s="1"/>
  <c r="AC25" i="50" s="1"/>
  <c r="AK25" i="50" s="1"/>
  <c r="I26" i="57" s="1"/>
  <c r="N89" i="55"/>
  <c r="V90" i="50" s="1"/>
  <c r="Z90" i="50" s="1"/>
  <c r="AH90" i="50" s="1"/>
  <c r="F91" i="57" s="1"/>
  <c r="Q117" i="55"/>
  <c r="Y117" i="50" s="1"/>
  <c r="AC117" i="50" s="1"/>
  <c r="AK117" i="50" s="1"/>
  <c r="I118" i="57" s="1"/>
  <c r="P112" i="55"/>
  <c r="X113" i="50" s="1"/>
  <c r="AB113" i="50" s="1"/>
  <c r="AJ113" i="50" s="1"/>
  <c r="O98" i="55"/>
  <c r="W99" i="50" s="1"/>
  <c r="AA99" i="50" s="1"/>
  <c r="AI99" i="50" s="1"/>
  <c r="AM99" i="50" s="1"/>
  <c r="AQ99" i="50" s="1"/>
  <c r="Q41" i="55"/>
  <c r="Y41" i="50" s="1"/>
  <c r="AC41" i="50" s="1"/>
  <c r="AK41" i="50" s="1"/>
  <c r="I42" i="57" s="1"/>
  <c r="N41" i="55"/>
  <c r="V41" i="50" s="1"/>
  <c r="Z41" i="50" s="1"/>
  <c r="AH41" i="50" s="1"/>
  <c r="F42" i="57" s="1"/>
  <c r="P53" i="55"/>
  <c r="X53" i="50" s="1"/>
  <c r="AB53" i="50" s="1"/>
  <c r="AJ53" i="50" s="1"/>
  <c r="H54" i="57" s="1"/>
  <c r="P8" i="55"/>
  <c r="X8" i="50" s="1"/>
  <c r="AB8" i="50" s="1"/>
  <c r="AJ8" i="50" s="1"/>
  <c r="H9" i="57" s="1"/>
  <c r="O112" i="55"/>
  <c r="W113" i="50" s="1"/>
  <c r="AA113" i="50" s="1"/>
  <c r="AI113" i="50" s="1"/>
  <c r="G114" i="57" s="1"/>
  <c r="O114" i="57" s="1"/>
  <c r="S114" i="57" s="1"/>
  <c r="Q67" i="55"/>
  <c r="Y68" i="50" s="1"/>
  <c r="AC68" i="50" s="1"/>
  <c r="AK68" i="50" s="1"/>
  <c r="I69" i="57" s="1"/>
  <c r="N65" i="55"/>
  <c r="V66" i="50" s="1"/>
  <c r="Z66" i="50" s="1"/>
  <c r="AH66" i="50" s="1"/>
  <c r="F67" i="57" s="1"/>
  <c r="Q48" i="55"/>
  <c r="Y48" i="50" s="1"/>
  <c r="AC48" i="50" s="1"/>
  <c r="AK48" i="50" s="1"/>
  <c r="I49" i="57" s="1"/>
  <c r="O18" i="55"/>
  <c r="W18" i="50" s="1"/>
  <c r="AA18" i="50" s="1"/>
  <c r="AI18" i="50" s="1"/>
  <c r="G19" i="57" s="1"/>
  <c r="Q102" i="55"/>
  <c r="Y103" i="50" s="1"/>
  <c r="AC103" i="50" s="1"/>
  <c r="AK103" i="50" s="1"/>
  <c r="I104" i="57" s="1"/>
  <c r="P109" i="55"/>
  <c r="X110" i="50" s="1"/>
  <c r="AB110" i="50" s="1"/>
  <c r="AJ110" i="50" s="1"/>
  <c r="H111" i="57" s="1"/>
  <c r="N84" i="55"/>
  <c r="V84" i="50" s="1"/>
  <c r="Z84" i="50" s="1"/>
  <c r="AH84" i="50" s="1"/>
  <c r="F85" i="57" s="1"/>
  <c r="N113" i="55"/>
  <c r="V114" i="50" s="1"/>
  <c r="Z114" i="50" s="1"/>
  <c r="AH114" i="50" s="1"/>
  <c r="F115" i="57" s="1"/>
  <c r="O81" i="55"/>
  <c r="W81" i="50" s="1"/>
  <c r="AA81" i="50" s="1"/>
  <c r="AI81" i="50" s="1"/>
  <c r="G82" i="57" s="1"/>
  <c r="P55" i="55"/>
  <c r="X55" i="50" s="1"/>
  <c r="AB55" i="50" s="1"/>
  <c r="AJ55" i="50" s="1"/>
  <c r="N33" i="55"/>
  <c r="V33" i="50" s="1"/>
  <c r="Z33" i="50" s="1"/>
  <c r="AH33" i="50" s="1"/>
  <c r="F34" i="57" s="1"/>
  <c r="P28" i="55"/>
  <c r="X28" i="50" s="1"/>
  <c r="AB28" i="50" s="1"/>
  <c r="AJ28" i="50" s="1"/>
  <c r="AN28" i="50" s="1"/>
  <c r="O68" i="55"/>
  <c r="W69" i="50" s="1"/>
  <c r="AA69" i="50" s="1"/>
  <c r="AI69" i="50" s="1"/>
  <c r="G70" i="57" s="1"/>
  <c r="P72" i="55"/>
  <c r="X73" i="50" s="1"/>
  <c r="AB73" i="50" s="1"/>
  <c r="AJ73" i="50" s="1"/>
  <c r="H74" i="57" s="1"/>
  <c r="N12" i="55"/>
  <c r="V12" i="50" s="1"/>
  <c r="Z12" i="50" s="1"/>
  <c r="AH12" i="50" s="1"/>
  <c r="F13" i="57" s="1"/>
  <c r="P95" i="55"/>
  <c r="X96" i="50" s="1"/>
  <c r="AB96" i="50" s="1"/>
  <c r="AJ96" i="50" s="1"/>
  <c r="H97" i="57" s="1"/>
  <c r="O102" i="55"/>
  <c r="W103" i="50" s="1"/>
  <c r="AA103" i="50" s="1"/>
  <c r="AI103" i="50" s="1"/>
  <c r="G104" i="57" s="1"/>
  <c r="O104" i="57" s="1"/>
  <c r="S104" i="57" s="1"/>
  <c r="P86" i="55"/>
  <c r="X87" i="50" s="1"/>
  <c r="AB87" i="50" s="1"/>
  <c r="AJ87" i="50" s="1"/>
  <c r="H88" i="57" s="1"/>
  <c r="Q46" i="55"/>
  <c r="Y46" i="50" s="1"/>
  <c r="AC46" i="50" s="1"/>
  <c r="AK46" i="50" s="1"/>
  <c r="I47" i="57" s="1"/>
  <c r="O60" i="55"/>
  <c r="W60" i="50" s="1"/>
  <c r="AA60" i="50" s="1"/>
  <c r="AI60" i="50" s="1"/>
  <c r="G61" i="57" s="1"/>
  <c r="P44" i="55"/>
  <c r="X44" i="50" s="1"/>
  <c r="AB44" i="50" s="1"/>
  <c r="AJ44" i="50" s="1"/>
  <c r="H45" i="57" s="1"/>
  <c r="O26" i="55"/>
  <c r="W26" i="50" s="1"/>
  <c r="AA26" i="50" s="1"/>
  <c r="AI26" i="50" s="1"/>
  <c r="G27" i="57" s="1"/>
  <c r="Q35" i="55"/>
  <c r="Y35" i="50" s="1"/>
  <c r="AC35" i="50" s="1"/>
  <c r="AK35" i="50" s="1"/>
  <c r="I36" i="57" s="1"/>
  <c r="O115" i="55"/>
  <c r="P10" i="55"/>
  <c r="X10" i="50" s="1"/>
  <c r="AB10" i="50" s="1"/>
  <c r="AJ10" i="50" s="1"/>
  <c r="H11" i="57" s="1"/>
  <c r="N115" i="55"/>
  <c r="N15" i="55"/>
  <c r="V15" i="50" s="1"/>
  <c r="Z15" i="50" s="1"/>
  <c r="AH15" i="50" s="1"/>
  <c r="F16" i="57" s="1"/>
  <c r="O15" i="55"/>
  <c r="W15" i="50" s="1"/>
  <c r="AA15" i="50" s="1"/>
  <c r="AI15" i="50" s="1"/>
  <c r="G16" i="57" s="1"/>
  <c r="N81" i="55"/>
  <c r="V81" i="50" s="1"/>
  <c r="Z81" i="50" s="1"/>
  <c r="AH81" i="50" s="1"/>
  <c r="F82" i="57" s="1"/>
  <c r="P103" i="55"/>
  <c r="X104" i="50" s="1"/>
  <c r="AB104" i="50" s="1"/>
  <c r="AJ104" i="50" s="1"/>
  <c r="H105" i="57" s="1"/>
  <c r="O117" i="55"/>
  <c r="W117" i="50" s="1"/>
  <c r="AA117" i="50" s="1"/>
  <c r="AI117" i="50" s="1"/>
  <c r="O97" i="55"/>
  <c r="W98" i="50" s="1"/>
  <c r="AA98" i="50" s="1"/>
  <c r="AI98" i="50" s="1"/>
  <c r="G99" i="57" s="1"/>
  <c r="N107" i="55"/>
  <c r="V108" i="50" s="1"/>
  <c r="Z108" i="50" s="1"/>
  <c r="AH108" i="50" s="1"/>
  <c r="F109" i="57" s="1"/>
  <c r="Q95" i="55"/>
  <c r="Y96" i="50" s="1"/>
  <c r="AC96" i="50" s="1"/>
  <c r="AK96" i="50" s="1"/>
  <c r="I97" i="57" s="1"/>
  <c r="Q69" i="55"/>
  <c r="Y70" i="50" s="1"/>
  <c r="AC70" i="50" s="1"/>
  <c r="AK70" i="50" s="1"/>
  <c r="I71" i="57" s="1"/>
  <c r="Q39" i="55"/>
  <c r="Y39" i="50" s="1"/>
  <c r="AC39" i="50" s="1"/>
  <c r="AK39" i="50" s="1"/>
  <c r="I40" i="57" s="1"/>
  <c r="P45" i="55"/>
  <c r="X45" i="50" s="1"/>
  <c r="AB45" i="50" s="1"/>
  <c r="AJ45" i="50" s="1"/>
  <c r="H46" i="57" s="1"/>
  <c r="X46" i="57" s="1"/>
  <c r="L29" i="58" s="1"/>
  <c r="O56" i="55"/>
  <c r="W56" i="50" s="1"/>
  <c r="AA56" i="50" s="1"/>
  <c r="AI56" i="50" s="1"/>
  <c r="G57" i="57" s="1"/>
  <c r="N66" i="55"/>
  <c r="V67" i="50" s="1"/>
  <c r="Z67" i="50" s="1"/>
  <c r="AH67" i="50" s="1"/>
  <c r="F68" i="57" s="1"/>
  <c r="P40" i="55"/>
  <c r="X40" i="50" s="1"/>
  <c r="AB40" i="50" s="1"/>
  <c r="AJ40" i="50" s="1"/>
  <c r="H41" i="57" s="1"/>
  <c r="N21" i="55"/>
  <c r="V21" i="50" s="1"/>
  <c r="Z21" i="50" s="1"/>
  <c r="AH21" i="50" s="1"/>
  <c r="F22" i="57" s="1"/>
  <c r="O23" i="55"/>
  <c r="W23" i="50" s="1"/>
  <c r="AA23" i="50" s="1"/>
  <c r="AI23" i="50" s="1"/>
  <c r="G24" i="57" s="1"/>
  <c r="O53" i="55"/>
  <c r="W53" i="50" s="1"/>
  <c r="AA53" i="50" s="1"/>
  <c r="AI53" i="50" s="1"/>
  <c r="AM53" i="50" s="1"/>
  <c r="AQ53" i="50" s="1"/>
  <c r="Q68" i="55"/>
  <c r="Y69" i="50" s="1"/>
  <c r="AC69" i="50" s="1"/>
  <c r="AK69" i="50" s="1"/>
  <c r="I70" i="57" s="1"/>
  <c r="N79" i="55"/>
  <c r="O101" i="55"/>
  <c r="W102" i="50" s="1"/>
  <c r="AA102" i="50" s="1"/>
  <c r="AI102" i="50" s="1"/>
  <c r="G103" i="57" s="1"/>
  <c r="N16" i="55"/>
  <c r="V16" i="50" s="1"/>
  <c r="Z16" i="50" s="1"/>
  <c r="AH16" i="50" s="1"/>
  <c r="F17" i="57" s="1"/>
  <c r="Q10" i="55"/>
  <c r="Y10" i="50" s="1"/>
  <c r="AC10" i="50" s="1"/>
  <c r="AK10" i="50" s="1"/>
  <c r="I11" i="57" s="1"/>
  <c r="O17" i="55"/>
  <c r="W17" i="50" s="1"/>
  <c r="AA17" i="50" s="1"/>
  <c r="AI17" i="50" s="1"/>
  <c r="G18" i="57" s="1"/>
  <c r="O93" i="55"/>
  <c r="W94" i="50" s="1"/>
  <c r="AA94" i="50" s="1"/>
  <c r="AI94" i="50" s="1"/>
  <c r="G95" i="57" s="1"/>
  <c r="N104" i="55"/>
  <c r="V105" i="50" s="1"/>
  <c r="Z105" i="50" s="1"/>
  <c r="AH105" i="50" s="1"/>
  <c r="F106" i="57" s="1"/>
  <c r="Q92" i="55"/>
  <c r="Y93" i="50" s="1"/>
  <c r="AC93" i="50" s="1"/>
  <c r="AK93" i="50" s="1"/>
  <c r="I94" i="57" s="1"/>
  <c r="Q66" i="55"/>
  <c r="Y67" i="50" s="1"/>
  <c r="AC67" i="50" s="1"/>
  <c r="AK67" i="50" s="1"/>
  <c r="I68" i="57" s="1"/>
  <c r="P69" i="55"/>
  <c r="X70" i="50" s="1"/>
  <c r="AB70" i="50" s="1"/>
  <c r="AJ70" i="50" s="1"/>
  <c r="H71" i="57" s="1"/>
  <c r="N42" i="55"/>
  <c r="V42" i="50" s="1"/>
  <c r="Z42" i="50" s="1"/>
  <c r="AH42" i="50" s="1"/>
  <c r="F43" i="57" s="1"/>
  <c r="O54" i="55"/>
  <c r="W54" i="50" s="1"/>
  <c r="AA54" i="50" s="1"/>
  <c r="AI54" i="50" s="1"/>
  <c r="G55" i="57" s="1"/>
  <c r="N63" i="55"/>
  <c r="V64" i="50" s="1"/>
  <c r="Z64" i="50" s="1"/>
  <c r="AH64" i="50" s="1"/>
  <c r="F65" i="57" s="1"/>
  <c r="Q36" i="55"/>
  <c r="Y36" i="50" s="1"/>
  <c r="AC36" i="50" s="1"/>
  <c r="AK36" i="50" s="1"/>
  <c r="I37" i="57" s="1"/>
  <c r="O41" i="55"/>
  <c r="W41" i="50" s="1"/>
  <c r="AA41" i="50" s="1"/>
  <c r="AI41" i="50" s="1"/>
  <c r="P32" i="55"/>
  <c r="X32" i="50" s="1"/>
  <c r="AB32" i="50" s="1"/>
  <c r="AJ32" i="50" s="1"/>
  <c r="H33" i="57" s="1"/>
  <c r="P48" i="55"/>
  <c r="X48" i="50" s="1"/>
  <c r="AB48" i="50" s="1"/>
  <c r="AJ48" i="50" s="1"/>
  <c r="H49" i="57" s="1"/>
  <c r="N48" i="55"/>
  <c r="V48" i="50" s="1"/>
  <c r="Z48" i="50" s="1"/>
  <c r="AH48" i="50" s="1"/>
  <c r="Q79" i="55"/>
  <c r="P90" i="55"/>
  <c r="X91" i="50" s="1"/>
  <c r="AB91" i="50" s="1"/>
  <c r="AJ91" i="50" s="1"/>
  <c r="AN91" i="50" s="1"/>
  <c r="AR91" i="50" s="1"/>
  <c r="N19" i="55"/>
  <c r="V19" i="50" s="1"/>
  <c r="Z19" i="50" s="1"/>
  <c r="AH19" i="50" s="1"/>
  <c r="F20" i="57" s="1"/>
  <c r="Q13" i="55"/>
  <c r="Y13" i="50" s="1"/>
  <c r="AC13" i="50" s="1"/>
  <c r="AK13" i="50" s="1"/>
  <c r="I14" i="57" s="1"/>
  <c r="O19" i="55"/>
  <c r="W19" i="50" s="1"/>
  <c r="AA19" i="50" s="1"/>
  <c r="AI19" i="50" s="1"/>
  <c r="G20" i="57" s="1"/>
  <c r="N105" i="55"/>
  <c r="V106" i="50" s="1"/>
  <c r="Z106" i="50" s="1"/>
  <c r="AH106" i="50" s="1"/>
  <c r="F107" i="57" s="1"/>
  <c r="N85" i="55"/>
  <c r="V86" i="50" s="1"/>
  <c r="Z86" i="50" s="1"/>
  <c r="AH86" i="50" s="1"/>
  <c r="F87" i="57" s="1"/>
  <c r="N75" i="55"/>
  <c r="V76" i="50" s="1"/>
  <c r="Z76" i="50" s="1"/>
  <c r="AH76" i="50" s="1"/>
  <c r="F77" i="57" s="1"/>
  <c r="Q60" i="55"/>
  <c r="Y60" i="50" s="1"/>
  <c r="AC60" i="50" s="1"/>
  <c r="AK60" i="50" s="1"/>
  <c r="I61" i="57" s="1"/>
  <c r="P70" i="55"/>
  <c r="X71" i="50" s="1"/>
  <c r="AB71" i="50" s="1"/>
  <c r="AJ71" i="50" s="1"/>
  <c r="H72" i="57" s="1"/>
  <c r="P51" i="55"/>
  <c r="X51" i="50" s="1"/>
  <c r="AB51" i="50" s="1"/>
  <c r="AJ51" i="50" s="1"/>
  <c r="H52" i="57" s="1"/>
  <c r="O66" i="55"/>
  <c r="W67" i="50" s="1"/>
  <c r="AA67" i="50" s="1"/>
  <c r="AI67" i="50" s="1"/>
  <c r="G68" i="57" s="1"/>
  <c r="O45" i="55"/>
  <c r="W45" i="50" s="1"/>
  <c r="AA45" i="50" s="1"/>
  <c r="AI45" i="50" s="1"/>
  <c r="G46" i="57" s="1"/>
  <c r="N64" i="55"/>
  <c r="V65" i="50" s="1"/>
  <c r="Z65" i="50" s="1"/>
  <c r="AH65" i="50" s="1"/>
  <c r="F66" i="57" s="1"/>
  <c r="N43" i="55"/>
  <c r="V43" i="50" s="1"/>
  <c r="Z43" i="50" s="1"/>
  <c r="AH43" i="50" s="1"/>
  <c r="F44" i="57" s="1"/>
  <c r="O24" i="55"/>
  <c r="W24" i="50" s="1"/>
  <c r="AA24" i="50" s="1"/>
  <c r="AI24" i="50" s="1"/>
  <c r="G25" i="57" s="1"/>
  <c r="O22" i="55"/>
  <c r="W22" i="50" s="1"/>
  <c r="AA22" i="50" s="1"/>
  <c r="AI22" i="50" s="1"/>
  <c r="G23" i="57" s="1"/>
  <c r="O47" i="55"/>
  <c r="W47" i="50" s="1"/>
  <c r="AA47" i="50" s="1"/>
  <c r="AI47" i="50" s="1"/>
  <c r="G48" i="57" s="1"/>
  <c r="O72" i="55"/>
  <c r="W73" i="50" s="1"/>
  <c r="AA73" i="50" s="1"/>
  <c r="AI73" i="50" s="1"/>
  <c r="G74" i="57" s="1"/>
  <c r="N47" i="55"/>
  <c r="V47" i="50" s="1"/>
  <c r="Z47" i="50" s="1"/>
  <c r="AH47" i="50" s="1"/>
  <c r="Q90" i="55"/>
  <c r="Y91" i="50" s="1"/>
  <c r="AC91" i="50" s="1"/>
  <c r="AK91" i="50" s="1"/>
  <c r="I92" i="57" s="1"/>
  <c r="O89" i="55"/>
  <c r="W90" i="50" s="1"/>
  <c r="AA90" i="50" s="1"/>
  <c r="AI90" i="50" s="1"/>
  <c r="G91" i="57" s="1"/>
  <c r="Q99" i="55"/>
  <c r="Y100" i="50" s="1"/>
  <c r="AC100" i="50" s="1"/>
  <c r="AK100" i="50" s="1"/>
  <c r="I101" i="57" s="1"/>
  <c r="N9" i="55"/>
  <c r="V9" i="50" s="1"/>
  <c r="Z9" i="50" s="1"/>
  <c r="AH9" i="50" s="1"/>
  <c r="F10" i="57" s="1"/>
  <c r="Q8" i="55"/>
  <c r="Y8" i="50" s="1"/>
  <c r="AC8" i="50" s="1"/>
  <c r="AK8" i="50" s="1"/>
  <c r="I9" i="57" s="1"/>
  <c r="O20" i="55"/>
  <c r="W20" i="50" s="1"/>
  <c r="AA20" i="50" s="1"/>
  <c r="AI20" i="50" s="1"/>
  <c r="G21" i="57" s="1"/>
  <c r="Q51" i="55"/>
  <c r="Y51" i="50" s="1"/>
  <c r="AC51" i="50" s="1"/>
  <c r="AK51" i="50" s="1"/>
  <c r="I52" i="57" s="1"/>
  <c r="N40" i="55"/>
  <c r="V40" i="50" s="1"/>
  <c r="Z40" i="50" s="1"/>
  <c r="AH40" i="50" s="1"/>
  <c r="F41" i="57" s="1"/>
  <c r="O57" i="55"/>
  <c r="W57" i="50" s="1"/>
  <c r="AA57" i="50" s="1"/>
  <c r="AI57" i="50" s="1"/>
  <c r="G58" i="57" s="1"/>
  <c r="N55" i="55"/>
  <c r="V55" i="50" s="1"/>
  <c r="Z55" i="50" s="1"/>
  <c r="AH55" i="50" s="1"/>
  <c r="Q33" i="55"/>
  <c r="Y33" i="50" s="1"/>
  <c r="AC33" i="50" s="1"/>
  <c r="AK33" i="50" s="1"/>
  <c r="I34" i="57" s="1"/>
  <c r="Q73" i="55"/>
  <c r="Y74" i="50" s="1"/>
  <c r="AC74" i="50" s="1"/>
  <c r="AK74" i="50" s="1"/>
  <c r="I75" i="57" s="1"/>
  <c r="O76" i="55"/>
  <c r="W77" i="50" s="1"/>
  <c r="AA77" i="50" s="1"/>
  <c r="AI77" i="50" s="1"/>
  <c r="G78" i="57" s="1"/>
  <c r="P79" i="55"/>
  <c r="N17" i="55"/>
  <c r="V17" i="50" s="1"/>
  <c r="Z17" i="50" s="1"/>
  <c r="AH17" i="50" s="1"/>
  <c r="F18" i="57" s="1"/>
  <c r="P15" i="55"/>
  <c r="X15" i="50" s="1"/>
  <c r="AB15" i="50" s="1"/>
  <c r="AJ15" i="50" s="1"/>
  <c r="H16" i="57" s="1"/>
  <c r="X16" i="57" s="1"/>
  <c r="L68" i="58" s="1"/>
  <c r="O12" i="55"/>
  <c r="W12" i="50" s="1"/>
  <c r="AA12" i="50" s="1"/>
  <c r="AI12" i="50" s="1"/>
  <c r="G13" i="57" s="1"/>
  <c r="N117" i="55"/>
  <c r="V117" i="50" s="1"/>
  <c r="Z117" i="50" s="1"/>
  <c r="AH117" i="50" s="1"/>
  <c r="F118" i="57" s="1"/>
  <c r="Q100" i="55"/>
  <c r="Y101" i="50" s="1"/>
  <c r="AC101" i="50" s="1"/>
  <c r="AK101" i="50" s="1"/>
  <c r="I102" i="57" s="1"/>
  <c r="Q27" i="55"/>
  <c r="Y27" i="50" s="1"/>
  <c r="AC27" i="50" s="1"/>
  <c r="AK27" i="50" s="1"/>
  <c r="I28" i="57" s="1"/>
  <c r="O84" i="55"/>
  <c r="W84" i="50" s="1"/>
  <c r="AA84" i="50" s="1"/>
  <c r="AI84" i="50" s="1"/>
  <c r="G85" i="57" s="1"/>
  <c r="P77" i="55"/>
  <c r="X78" i="50" s="1"/>
  <c r="AB78" i="50" s="1"/>
  <c r="AJ78" i="50" s="1"/>
  <c r="H79" i="57" s="1"/>
  <c r="O25" i="55"/>
  <c r="W25" i="50" s="1"/>
  <c r="AA25" i="50" s="1"/>
  <c r="AI25" i="50" s="1"/>
  <c r="G26" i="57" s="1"/>
  <c r="P75" i="55"/>
  <c r="X76" i="50" s="1"/>
  <c r="AB76" i="50" s="1"/>
  <c r="AJ76" i="50" s="1"/>
  <c r="Q58" i="55"/>
  <c r="Y58" i="50" s="1"/>
  <c r="AC58" i="50" s="1"/>
  <c r="AK58" i="50" s="1"/>
  <c r="I59" i="57" s="1"/>
  <c r="Q104" i="55"/>
  <c r="Y105" i="50" s="1"/>
  <c r="AC105" i="50" s="1"/>
  <c r="AK105" i="50" s="1"/>
  <c r="I106" i="57" s="1"/>
  <c r="O106" i="55"/>
  <c r="W107" i="50" s="1"/>
  <c r="AA107" i="50" s="1"/>
  <c r="AI107" i="50" s="1"/>
  <c r="G108" i="57" s="1"/>
  <c r="N52" i="55"/>
  <c r="V52" i="50" s="1"/>
  <c r="Z52" i="50" s="1"/>
  <c r="AH52" i="50" s="1"/>
  <c r="F53" i="57" s="1"/>
  <c r="P30" i="55"/>
  <c r="X30" i="50" s="1"/>
  <c r="AB30" i="50" s="1"/>
  <c r="AJ30" i="50" s="1"/>
  <c r="AN30" i="50" s="1"/>
  <c r="N25" i="55"/>
  <c r="V25" i="50" s="1"/>
  <c r="Z25" i="50" s="1"/>
  <c r="AH25" i="50" s="1"/>
  <c r="F26" i="57" s="1"/>
  <c r="Q105" i="55"/>
  <c r="Y106" i="50" s="1"/>
  <c r="AC106" i="50" s="1"/>
  <c r="AK106" i="50" s="1"/>
  <c r="I107" i="57" s="1"/>
  <c r="P105" i="55"/>
  <c r="X106" i="50" s="1"/>
  <c r="AB106" i="50" s="1"/>
  <c r="AJ106" i="50" s="1"/>
  <c r="H107" i="57" s="1"/>
  <c r="N108" i="55"/>
  <c r="V109" i="50" s="1"/>
  <c r="Z109" i="50" s="1"/>
  <c r="AH109" i="50" s="1"/>
  <c r="F110" i="57" s="1"/>
  <c r="P46" i="55"/>
  <c r="X46" i="50" s="1"/>
  <c r="AB46" i="50" s="1"/>
  <c r="AJ46" i="50" s="1"/>
  <c r="AN46" i="50" s="1"/>
  <c r="AR46" i="50" s="1"/>
  <c r="P23" i="55"/>
  <c r="X23" i="50" s="1"/>
  <c r="AB23" i="50" s="1"/>
  <c r="AJ23" i="50" s="1"/>
  <c r="H24" i="57" s="1"/>
  <c r="N49" i="55"/>
  <c r="V49" i="50" s="1"/>
  <c r="Z49" i="50" s="1"/>
  <c r="AH49" i="50" s="1"/>
  <c r="P110" i="55"/>
  <c r="X111" i="50" s="1"/>
  <c r="AB111" i="50" s="1"/>
  <c r="AJ111" i="50" s="1"/>
  <c r="H112" i="57" s="1"/>
  <c r="O95" i="55"/>
  <c r="W96" i="50" s="1"/>
  <c r="AA96" i="50" s="1"/>
  <c r="AI96" i="50" s="1"/>
  <c r="N29" i="55"/>
  <c r="V29" i="50" s="1"/>
  <c r="Z29" i="50" s="1"/>
  <c r="AH29" i="50" s="1"/>
  <c r="F30" i="57" s="1"/>
  <c r="P38" i="55"/>
  <c r="X38" i="50" s="1"/>
  <c r="AB38" i="50" s="1"/>
  <c r="AJ38" i="50" s="1"/>
  <c r="Q78" i="55"/>
  <c r="Y79" i="50" s="1"/>
  <c r="AC79" i="50" s="1"/>
  <c r="AK79" i="50" s="1"/>
  <c r="I80" i="57" s="1"/>
  <c r="Q116" i="55"/>
  <c r="Y116" i="50" s="1"/>
  <c r="AC116" i="50" s="1"/>
  <c r="AK116" i="50" s="1"/>
  <c r="I117" i="57" s="1"/>
  <c r="O94" i="55"/>
  <c r="W95" i="50" s="1"/>
  <c r="AA95" i="50" s="1"/>
  <c r="AI95" i="50" s="1"/>
  <c r="G96" i="57" s="1"/>
  <c r="P104" i="55"/>
  <c r="X105" i="50" s="1"/>
  <c r="AB105" i="50" s="1"/>
  <c r="AJ105" i="50" s="1"/>
  <c r="AN105" i="50" s="1"/>
  <c r="O110" i="55"/>
  <c r="W111" i="50" s="1"/>
  <c r="AA111" i="50" s="1"/>
  <c r="AI111" i="50" s="1"/>
  <c r="G112" i="57" s="1"/>
  <c r="N103" i="55"/>
  <c r="V104" i="50" s="1"/>
  <c r="Z104" i="50" s="1"/>
  <c r="AH104" i="50" s="1"/>
  <c r="Q64" i="55"/>
  <c r="Y65" i="50" s="1"/>
  <c r="AC65" i="50" s="1"/>
  <c r="AK65" i="50" s="1"/>
  <c r="I66" i="57" s="1"/>
  <c r="P41" i="55"/>
  <c r="X41" i="50" s="1"/>
  <c r="AB41" i="50" s="1"/>
  <c r="AJ41" i="50" s="1"/>
  <c r="H42" i="57" s="1"/>
  <c r="X42" i="57" s="1"/>
  <c r="L21" i="58" s="1"/>
  <c r="N61" i="55"/>
  <c r="V61" i="50" s="1"/>
  <c r="Z61" i="50" s="1"/>
  <c r="AH61" i="50" s="1"/>
  <c r="AL61" i="50" s="1"/>
  <c r="AP61" i="50" s="1"/>
  <c r="O28" i="55"/>
  <c r="W28" i="50" s="1"/>
  <c r="AA28" i="50" s="1"/>
  <c r="AI28" i="50" s="1"/>
  <c r="G29" i="57" s="1"/>
  <c r="P68" i="55"/>
  <c r="X69" i="50" s="1"/>
  <c r="AB69" i="50" s="1"/>
  <c r="AJ69" i="50" s="1"/>
  <c r="H70" i="57" s="1"/>
  <c r="O99" i="55"/>
  <c r="W100" i="50" s="1"/>
  <c r="AA100" i="50" s="1"/>
  <c r="AI100" i="50" s="1"/>
  <c r="Q14" i="55"/>
  <c r="Y14" i="50" s="1"/>
  <c r="AC14" i="50" s="1"/>
  <c r="AK14" i="50" s="1"/>
  <c r="I15" i="57" s="1"/>
  <c r="N88" i="55"/>
  <c r="V89" i="50" s="1"/>
  <c r="Z89" i="50" s="1"/>
  <c r="AH89" i="50" s="1"/>
  <c r="F90" i="57" s="1"/>
  <c r="O85" i="55"/>
  <c r="W86" i="50" s="1"/>
  <c r="AA86" i="50" s="1"/>
  <c r="AI86" i="50" s="1"/>
  <c r="G87" i="57" s="1"/>
  <c r="Q86" i="55"/>
  <c r="Y87" i="50" s="1"/>
  <c r="AC87" i="50" s="1"/>
  <c r="AK87" i="50" s="1"/>
  <c r="I88" i="57" s="1"/>
  <c r="P64" i="55"/>
  <c r="X65" i="50" s="1"/>
  <c r="AB65" i="50" s="1"/>
  <c r="AJ65" i="50" s="1"/>
  <c r="H66" i="57" s="1"/>
  <c r="O46" i="55"/>
  <c r="W46" i="50" s="1"/>
  <c r="AA46" i="50" s="1"/>
  <c r="AI46" i="50" s="1"/>
  <c r="G47" i="57" s="1"/>
  <c r="Q30" i="55"/>
  <c r="Y30" i="50" s="1"/>
  <c r="AC30" i="50" s="1"/>
  <c r="AK30" i="50" s="1"/>
  <c r="I31" i="57" s="1"/>
  <c r="O37" i="55"/>
  <c r="W37" i="50" s="1"/>
  <c r="AA37" i="50" s="1"/>
  <c r="AI37" i="50" s="1"/>
  <c r="G38" i="57" s="1"/>
  <c r="N31" i="55"/>
  <c r="V31" i="50" s="1"/>
  <c r="Z31" i="50" s="1"/>
  <c r="AH31" i="50" s="1"/>
  <c r="Q114" i="55"/>
  <c r="Y115" i="50" s="1"/>
  <c r="AC115" i="50" s="1"/>
  <c r="AK115" i="50" s="1"/>
  <c r="I116" i="57" s="1"/>
  <c r="O10" i="55"/>
  <c r="W10" i="50" s="1"/>
  <c r="AA10" i="50" s="1"/>
  <c r="AI10" i="50" s="1"/>
  <c r="G11" i="57" s="1"/>
  <c r="P89" i="55"/>
  <c r="X90" i="50" s="1"/>
  <c r="AB90" i="50" s="1"/>
  <c r="AJ90" i="50" s="1"/>
  <c r="H91" i="57" s="1"/>
  <c r="Q19" i="55"/>
  <c r="Y19" i="50" s="1"/>
  <c r="AC19" i="50" s="1"/>
  <c r="AK19" i="50" s="1"/>
  <c r="I20" i="57" s="1"/>
  <c r="Q103" i="55"/>
  <c r="Y104" i="50" s="1"/>
  <c r="AC104" i="50" s="1"/>
  <c r="AK104" i="50" s="1"/>
  <c r="I105" i="57" s="1"/>
  <c r="P117" i="55"/>
  <c r="X117" i="50" s="1"/>
  <c r="AB117" i="50" s="1"/>
  <c r="AJ117" i="50" s="1"/>
  <c r="H118" i="57" s="1"/>
  <c r="P97" i="55"/>
  <c r="X98" i="50" s="1"/>
  <c r="AB98" i="50" s="1"/>
  <c r="AJ98" i="50" s="1"/>
  <c r="H99" i="57" s="1"/>
  <c r="O111" i="55"/>
  <c r="W112" i="50" s="1"/>
  <c r="AA112" i="50" s="1"/>
  <c r="AI112" i="50" s="1"/>
  <c r="O87" i="55"/>
  <c r="W88" i="50" s="1"/>
  <c r="AA88" i="50" s="1"/>
  <c r="AI88" i="50" s="1"/>
  <c r="G89" i="57" s="1"/>
  <c r="N102" i="55"/>
  <c r="V103" i="50" s="1"/>
  <c r="Z103" i="50" s="1"/>
  <c r="AH103" i="50" s="1"/>
  <c r="F104" i="57" s="1"/>
  <c r="Q87" i="55"/>
  <c r="Y88" i="50" s="1"/>
  <c r="AC88" i="50" s="1"/>
  <c r="AK88" i="50" s="1"/>
  <c r="I89" i="57" s="1"/>
  <c r="Q63" i="55"/>
  <c r="Y64" i="50" s="1"/>
  <c r="AC64" i="50" s="1"/>
  <c r="AK64" i="50" s="1"/>
  <c r="I65" i="57" s="1"/>
  <c r="P66" i="55"/>
  <c r="X67" i="50" s="1"/>
  <c r="AB67" i="50" s="1"/>
  <c r="AJ67" i="50" s="1"/>
  <c r="H68" i="57" s="1"/>
  <c r="P39" i="55"/>
  <c r="X39" i="50" s="1"/>
  <c r="AB39" i="50" s="1"/>
  <c r="AJ39" i="50" s="1"/>
  <c r="H40" i="57" s="1"/>
  <c r="X40" i="57" s="1"/>
  <c r="L17" i="58" s="1"/>
  <c r="O50" i="55"/>
  <c r="W50" i="50" s="1"/>
  <c r="AA50" i="50" s="1"/>
  <c r="AI50" i="50" s="1"/>
  <c r="G51" i="57" s="1"/>
  <c r="N60" i="55"/>
  <c r="V60" i="50" s="1"/>
  <c r="Z60" i="50" s="1"/>
  <c r="AH60" i="50" s="1"/>
  <c r="F61" i="57" s="1"/>
  <c r="Q32" i="55"/>
  <c r="Y32" i="50" s="1"/>
  <c r="AC32" i="50" s="1"/>
  <c r="AK32" i="50" s="1"/>
  <c r="I33" i="57" s="1"/>
  <c r="O39" i="55"/>
  <c r="W39" i="50" s="1"/>
  <c r="AA39" i="50" s="1"/>
  <c r="AI39" i="50" s="1"/>
  <c r="Q31" i="55"/>
  <c r="Y31" i="50" s="1"/>
  <c r="AC31" i="50" s="1"/>
  <c r="AK31" i="50" s="1"/>
  <c r="I32" i="57" s="1"/>
  <c r="P37" i="55"/>
  <c r="X37" i="50" s="1"/>
  <c r="AB37" i="50" s="1"/>
  <c r="AJ37" i="50" s="1"/>
  <c r="H38" i="57" s="1"/>
  <c r="N35" i="55"/>
  <c r="V35" i="50" s="1"/>
  <c r="Z35" i="50" s="1"/>
  <c r="AH35" i="50" s="1"/>
  <c r="P73" i="55"/>
  <c r="X74" i="50" s="1"/>
  <c r="AB74" i="50" s="1"/>
  <c r="AJ74" i="50" s="1"/>
  <c r="H75" i="57" s="1"/>
  <c r="X75" i="57" s="1"/>
  <c r="L84" i="58" s="1"/>
  <c r="P82" i="55"/>
  <c r="X82" i="50" s="1"/>
  <c r="AB82" i="50" s="1"/>
  <c r="AJ82" i="50" s="1"/>
  <c r="H83" i="57" s="1"/>
  <c r="N11" i="55"/>
  <c r="V11" i="50" s="1"/>
  <c r="Z11" i="50" s="1"/>
  <c r="AH11" i="50" s="1"/>
  <c r="F12" i="57" s="1"/>
  <c r="P20" i="55"/>
  <c r="X20" i="50" s="1"/>
  <c r="AB20" i="50" s="1"/>
  <c r="AJ20" i="50" s="1"/>
  <c r="H21" i="57" s="1"/>
  <c r="O11" i="55"/>
  <c r="W11" i="50" s="1"/>
  <c r="AA11" i="50" s="1"/>
  <c r="AI11" i="50" s="1"/>
  <c r="G12" i="57" s="1"/>
  <c r="P83" i="55"/>
  <c r="X83" i="50" s="1"/>
  <c r="AB83" i="50" s="1"/>
  <c r="AJ83" i="50" s="1"/>
  <c r="H84" i="57" s="1"/>
  <c r="N97" i="55"/>
  <c r="V98" i="50" s="1"/>
  <c r="Z98" i="50" s="1"/>
  <c r="AH98" i="50" s="1"/>
  <c r="F99" i="57" s="1"/>
  <c r="Q85" i="55"/>
  <c r="Y86" i="50" s="1"/>
  <c r="AC86" i="50" s="1"/>
  <c r="AK86" i="50" s="1"/>
  <c r="I87" i="57" s="1"/>
  <c r="Q59" i="55"/>
  <c r="Y59" i="50" s="1"/>
  <c r="AC59" i="50" s="1"/>
  <c r="AK59" i="50" s="1"/>
  <c r="I60" i="57" s="1"/>
  <c r="P63" i="55"/>
  <c r="X64" i="50" s="1"/>
  <c r="AB64" i="50" s="1"/>
  <c r="AJ64" i="50" s="1"/>
  <c r="AN64" i="50" s="1"/>
  <c r="O75" i="55"/>
  <c r="W76" i="50" s="1"/>
  <c r="AA76" i="50" s="1"/>
  <c r="AI76" i="50" s="1"/>
  <c r="G77" i="57" s="1"/>
  <c r="Q44" i="55"/>
  <c r="Y44" i="50" s="1"/>
  <c r="AC44" i="50" s="1"/>
  <c r="AK44" i="50" s="1"/>
  <c r="I45" i="57" s="1"/>
  <c r="N57" i="55"/>
  <c r="V57" i="50" s="1"/>
  <c r="Z57" i="50" s="1"/>
  <c r="AH57" i="50" s="1"/>
  <c r="F58" i="57" s="1"/>
  <c r="Q29" i="55"/>
  <c r="Y29" i="50" s="1"/>
  <c r="AC29" i="50" s="1"/>
  <c r="AK29" i="50" s="1"/>
  <c r="I30" i="57" s="1"/>
  <c r="O34" i="55"/>
  <c r="W34" i="50" s="1"/>
  <c r="AA34" i="50" s="1"/>
  <c r="AI34" i="50" s="1"/>
  <c r="G35" i="57" s="1"/>
  <c r="O38" i="55"/>
  <c r="W38" i="50" s="1"/>
  <c r="AA38" i="50" s="1"/>
  <c r="AI38" i="50" s="1"/>
  <c r="G39" i="57" s="1"/>
  <c r="O77" i="55"/>
  <c r="W78" i="50" s="1"/>
  <c r="AA78" i="50" s="1"/>
  <c r="AI78" i="50" s="1"/>
  <c r="G79" i="57" s="1"/>
  <c r="O71" i="55"/>
  <c r="W72" i="50" s="1"/>
  <c r="AA72" i="50" s="1"/>
  <c r="AI72" i="50" s="1"/>
  <c r="G73" i="57" s="1"/>
  <c r="N90" i="55"/>
  <c r="V91" i="50" s="1"/>
  <c r="Z91" i="50" s="1"/>
  <c r="AH91" i="50" s="1"/>
  <c r="AL91" i="50" s="1"/>
  <c r="AP91" i="50" s="1"/>
  <c r="Q101" i="55"/>
  <c r="Y102" i="50" s="1"/>
  <c r="AC102" i="50" s="1"/>
  <c r="AK102" i="50" s="1"/>
  <c r="I103" i="57" s="1"/>
  <c r="N14" i="55"/>
  <c r="V14" i="50" s="1"/>
  <c r="Z14" i="50" s="1"/>
  <c r="AH14" i="50" s="1"/>
  <c r="F15" i="57" s="1"/>
  <c r="P22" i="55"/>
  <c r="X22" i="50" s="1"/>
  <c r="AB22" i="50" s="1"/>
  <c r="AJ22" i="50" s="1"/>
  <c r="H23" i="57" s="1"/>
  <c r="O14" i="55"/>
  <c r="W14" i="50" s="1"/>
  <c r="AA14" i="50" s="1"/>
  <c r="AI14" i="50" s="1"/>
  <c r="AM14" i="50" s="1"/>
  <c r="N100" i="55"/>
  <c r="V101" i="50" s="1"/>
  <c r="Z101" i="50" s="1"/>
  <c r="AH101" i="50" s="1"/>
  <c r="F102" i="57" s="1"/>
  <c r="Q94" i="55"/>
  <c r="Y95" i="50" s="1"/>
  <c r="AC95" i="50" s="1"/>
  <c r="AK95" i="50" s="1"/>
  <c r="I96" i="57" s="1"/>
  <c r="N77" i="55"/>
  <c r="V78" i="50" s="1"/>
  <c r="Z78" i="50" s="1"/>
  <c r="AH78" i="50" s="1"/>
  <c r="F79" i="57" s="1"/>
  <c r="Q56" i="55"/>
  <c r="Y56" i="50" s="1"/>
  <c r="AC56" i="50" s="1"/>
  <c r="AK56" i="50" s="1"/>
  <c r="I57" i="57" s="1"/>
  <c r="P65" i="55"/>
  <c r="X66" i="50" s="1"/>
  <c r="AB66" i="50" s="1"/>
  <c r="AJ66" i="50" s="1"/>
  <c r="AN66" i="50" s="1"/>
  <c r="N44" i="55"/>
  <c r="V44" i="50" s="1"/>
  <c r="Z44" i="50" s="1"/>
  <c r="AH44" i="50" s="1"/>
  <c r="F45" i="57" s="1"/>
  <c r="N45" i="57" s="1"/>
  <c r="R45" i="57" s="1"/>
  <c r="V45" i="57" s="1"/>
  <c r="J27" i="58" s="1"/>
  <c r="O61" i="55"/>
  <c r="W61" i="50" s="1"/>
  <c r="AA61" i="50" s="1"/>
  <c r="AI61" i="50" s="1"/>
  <c r="G62" i="57" s="1"/>
  <c r="Q38" i="55"/>
  <c r="Y38" i="50" s="1"/>
  <c r="AC38" i="50" s="1"/>
  <c r="AK38" i="50" s="1"/>
  <c r="I39" i="57" s="1"/>
  <c r="N59" i="55"/>
  <c r="V59" i="50" s="1"/>
  <c r="Z59" i="50" s="1"/>
  <c r="AH59" i="50" s="1"/>
  <c r="F60" i="57" s="1"/>
  <c r="N39" i="55"/>
  <c r="V39" i="50" s="1"/>
  <c r="Z39" i="50" s="1"/>
  <c r="AH39" i="50" s="1"/>
  <c r="F40" i="57" s="1"/>
  <c r="N40" i="57" s="1"/>
  <c r="R40" i="57" s="1"/>
  <c r="V40" i="57" s="1"/>
  <c r="J17" i="58" s="1"/>
  <c r="P26" i="55"/>
  <c r="X26" i="50" s="1"/>
  <c r="AB26" i="50" s="1"/>
  <c r="AJ26" i="50" s="1"/>
  <c r="H27" i="57" s="1"/>
  <c r="O35" i="55"/>
  <c r="W35" i="50" s="1"/>
  <c r="AA35" i="50" s="1"/>
  <c r="AI35" i="50" s="1"/>
  <c r="O62" i="55"/>
  <c r="W63" i="50" s="1"/>
  <c r="AA63" i="50" s="1"/>
  <c r="AI63" i="50" s="1"/>
  <c r="G64" i="57" s="1"/>
  <c r="Q47" i="55"/>
  <c r="Y47" i="50" s="1"/>
  <c r="AC47" i="50" s="1"/>
  <c r="AK47" i="50" s="1"/>
  <c r="I48" i="57" s="1"/>
  <c r="N62" i="55"/>
  <c r="V63" i="50" s="1"/>
  <c r="Z63" i="50" s="1"/>
  <c r="AH63" i="50" s="1"/>
  <c r="F64" i="57" s="1"/>
  <c r="N76" i="55"/>
  <c r="V77" i="50" s="1"/>
  <c r="Z77" i="50" s="1"/>
  <c r="AH77" i="50" s="1"/>
  <c r="F78" i="57" s="1"/>
  <c r="O114" i="55"/>
  <c r="W115" i="50" s="1"/>
  <c r="AA115" i="50" s="1"/>
  <c r="AI115" i="50" s="1"/>
  <c r="N28" i="55"/>
  <c r="V28" i="50" s="1"/>
  <c r="Z28" i="50" s="1"/>
  <c r="AH28" i="50" s="1"/>
  <c r="F29" i="57" s="1"/>
  <c r="Q20" i="55"/>
  <c r="Y20" i="50" s="1"/>
  <c r="AC20" i="50" s="1"/>
  <c r="AK20" i="50" s="1"/>
  <c r="I21" i="57" s="1"/>
  <c r="Y21" i="57" s="1"/>
  <c r="M70" i="58" s="1"/>
  <c r="P19" i="55"/>
  <c r="X19" i="50" s="1"/>
  <c r="AB19" i="50" s="1"/>
  <c r="AJ19" i="50" s="1"/>
  <c r="AN19" i="50" s="1"/>
  <c r="O16" i="55"/>
  <c r="W16" i="50" s="1"/>
  <c r="AA16" i="50" s="1"/>
  <c r="AI16" i="50" s="1"/>
  <c r="G17" i="57" s="1"/>
  <c r="N4" i="55"/>
  <c r="P58" i="55"/>
  <c r="X58" i="50" s="1"/>
  <c r="AB58" i="50" s="1"/>
  <c r="AJ58" i="50" s="1"/>
  <c r="H59" i="57" s="1"/>
  <c r="P106" i="55"/>
  <c r="X107" i="50" s="1"/>
  <c r="AB107" i="50" s="1"/>
  <c r="AJ107" i="50" s="1"/>
  <c r="P108" i="55"/>
  <c r="X109" i="50" s="1"/>
  <c r="AB109" i="50" s="1"/>
  <c r="AJ109" i="50" s="1"/>
  <c r="AN109" i="50" s="1"/>
  <c r="AR109" i="50" s="1"/>
  <c r="O49" i="55"/>
  <c r="W49" i="50" s="1"/>
  <c r="AA49" i="50" s="1"/>
  <c r="AI49" i="50" s="1"/>
  <c r="G50" i="57" s="1"/>
  <c r="N86" i="55"/>
  <c r="V87" i="50" s="1"/>
  <c r="Z87" i="50" s="1"/>
  <c r="AH87" i="50" s="1"/>
  <c r="P85" i="55"/>
  <c r="X86" i="50" s="1"/>
  <c r="AB86" i="50" s="1"/>
  <c r="AJ86" i="50" s="1"/>
  <c r="AN86" i="50" s="1"/>
  <c r="Q111" i="55"/>
  <c r="Y112" i="50" s="1"/>
  <c r="AC112" i="50" s="1"/>
  <c r="AK112" i="50" s="1"/>
  <c r="I113" i="57" s="1"/>
  <c r="P100" i="55"/>
  <c r="X101" i="50" s="1"/>
  <c r="AB101" i="50" s="1"/>
  <c r="AJ101" i="50" s="1"/>
  <c r="H102" i="57" s="1"/>
  <c r="X102" i="57" s="1"/>
  <c r="L98" i="58" s="1"/>
  <c r="O70" i="55"/>
  <c r="W71" i="50" s="1"/>
  <c r="AA71" i="50" s="1"/>
  <c r="AI71" i="50" s="1"/>
  <c r="G72" i="57" s="1"/>
  <c r="O86" i="55"/>
  <c r="W87" i="50" s="1"/>
  <c r="AA87" i="50" s="1"/>
  <c r="AI87" i="50" s="1"/>
  <c r="G88" i="57" s="1"/>
  <c r="N93" i="55"/>
  <c r="V94" i="50" s="1"/>
  <c r="Z94" i="50" s="1"/>
  <c r="AH94" i="50" s="1"/>
  <c r="O79" i="55"/>
  <c r="P47" i="55"/>
  <c r="X47" i="50" s="1"/>
  <c r="AB47" i="50" s="1"/>
  <c r="AJ47" i="50" s="1"/>
  <c r="H48" i="57" s="1"/>
  <c r="N18" i="55"/>
  <c r="V18" i="50" s="1"/>
  <c r="Z18" i="50" s="1"/>
  <c r="AH18" i="50" s="1"/>
  <c r="F19" i="57" s="1"/>
  <c r="O96" i="55"/>
  <c r="W97" i="50" s="1"/>
  <c r="AA97" i="50" s="1"/>
  <c r="AI97" i="50" s="1"/>
  <c r="G98" i="57" s="1"/>
  <c r="N94" i="55"/>
  <c r="V95" i="50" s="1"/>
  <c r="Z95" i="50" s="1"/>
  <c r="AH95" i="50" s="1"/>
  <c r="F96" i="57" s="1"/>
  <c r="Q96" i="55"/>
  <c r="Y97" i="50" s="1"/>
  <c r="AC97" i="50" s="1"/>
  <c r="AK97" i="50" s="1"/>
  <c r="I98" i="57" s="1"/>
  <c r="O58" i="55"/>
  <c r="W58" i="50" s="1"/>
  <c r="AA58" i="50" s="1"/>
  <c r="AI58" i="50" s="1"/>
  <c r="AM58" i="50" s="1"/>
  <c r="AQ58" i="50" s="1"/>
  <c r="O32" i="55"/>
  <c r="W32" i="50" s="1"/>
  <c r="AA32" i="50" s="1"/>
  <c r="AI32" i="50" s="1"/>
  <c r="N101" i="55"/>
  <c r="V102" i="50" s="1"/>
  <c r="Z102" i="50" s="1"/>
  <c r="AH102" i="50" s="1"/>
  <c r="F103" i="57" s="1"/>
  <c r="P102" i="55"/>
  <c r="X103" i="50" s="1"/>
  <c r="AB103" i="50" s="1"/>
  <c r="AJ103" i="50" s="1"/>
  <c r="AN103" i="50" s="1"/>
  <c r="AR103" i="50" s="1"/>
  <c r="N106" i="55"/>
  <c r="V107" i="50" s="1"/>
  <c r="Z107" i="50" s="1"/>
  <c r="AH107" i="50" s="1"/>
  <c r="P43" i="55"/>
  <c r="X43" i="50" s="1"/>
  <c r="AB43" i="50" s="1"/>
  <c r="AJ43" i="50" s="1"/>
  <c r="H44" i="57" s="1"/>
  <c r="O43" i="55"/>
  <c r="W43" i="50" s="1"/>
  <c r="AA43" i="50" s="1"/>
  <c r="AI43" i="50" s="1"/>
  <c r="G44" i="57" s="1"/>
  <c r="P78" i="55"/>
  <c r="X79" i="50" s="1"/>
  <c r="AB79" i="50" s="1"/>
  <c r="AJ79" i="50" s="1"/>
  <c r="H80" i="57" s="1"/>
  <c r="Q110" i="55"/>
  <c r="Y111" i="50" s="1"/>
  <c r="AC111" i="50" s="1"/>
  <c r="AK111" i="50" s="1"/>
  <c r="I112" i="57" s="1"/>
  <c r="N83" i="55"/>
  <c r="V83" i="50" s="1"/>
  <c r="Z83" i="50" s="1"/>
  <c r="AH83" i="50" s="1"/>
  <c r="F84" i="57" s="1"/>
  <c r="N96" i="55"/>
  <c r="V97" i="50" s="1"/>
  <c r="Z97" i="50" s="1"/>
  <c r="AH97" i="50" s="1"/>
  <c r="F98" i="57" s="1"/>
  <c r="O104" i="55"/>
  <c r="W105" i="50" s="1"/>
  <c r="AA105" i="50" s="1"/>
  <c r="AI105" i="50" s="1"/>
  <c r="G106" i="57" s="1"/>
  <c r="P88" i="55"/>
  <c r="X89" i="50" s="1"/>
  <c r="AB89" i="50" s="1"/>
  <c r="AJ89" i="50" s="1"/>
  <c r="H90" i="57" s="1"/>
  <c r="Q52" i="55"/>
  <c r="Y52" i="50" s="1"/>
  <c r="AC52" i="50" s="1"/>
  <c r="AK52" i="50" s="1"/>
  <c r="I53" i="57" s="1"/>
  <c r="O64" i="55"/>
  <c r="W65" i="50" s="1"/>
  <c r="AA65" i="50" s="1"/>
  <c r="AI65" i="50" s="1"/>
  <c r="G66" i="57" s="1"/>
  <c r="O66" i="57" s="1"/>
  <c r="S66" i="57" s="1"/>
  <c r="N46" i="55"/>
  <c r="V46" i="50" s="1"/>
  <c r="Z46" i="50" s="1"/>
  <c r="AH46" i="50" s="1"/>
  <c r="Q22" i="55"/>
  <c r="Y22" i="50" s="1"/>
  <c r="AC22" i="50" s="1"/>
  <c r="AK22" i="50" s="1"/>
  <c r="I23" i="57" s="1"/>
  <c r="N71" i="55"/>
  <c r="V72" i="50" s="1"/>
  <c r="Z72" i="50" s="1"/>
  <c r="AH72" i="50" s="1"/>
  <c r="F73" i="57" s="1"/>
  <c r="P115" i="55"/>
  <c r="P16" i="55"/>
  <c r="X16" i="50" s="1"/>
  <c r="AB16" i="50" s="1"/>
  <c r="AJ16" i="50" s="1"/>
  <c r="H17" i="57" s="1"/>
  <c r="O116" i="55"/>
  <c r="W116" i="50" s="1"/>
  <c r="AA116" i="50" s="1"/>
  <c r="AI116" i="50" s="1"/>
  <c r="N111" i="55"/>
  <c r="V112" i="50" s="1"/>
  <c r="Z112" i="50" s="1"/>
  <c r="AH112" i="50" s="1"/>
  <c r="AL112" i="50" s="1"/>
  <c r="AP112" i="50" s="1"/>
  <c r="Q75" i="55"/>
  <c r="Y76" i="50" s="1"/>
  <c r="AC76" i="50" s="1"/>
  <c r="AK76" i="50" s="1"/>
  <c r="I77" i="57" s="1"/>
  <c r="P52" i="55"/>
  <c r="X52" i="50" s="1"/>
  <c r="AB52" i="50" s="1"/>
  <c r="AJ52" i="50" s="1"/>
  <c r="H53" i="57" s="1"/>
  <c r="N74" i="55"/>
  <c r="V75" i="50" s="1"/>
  <c r="Z75" i="50" s="1"/>
  <c r="AH75" i="50" s="1"/>
  <c r="F76" i="57" s="1"/>
  <c r="P25" i="55"/>
  <c r="X25" i="50" s="1"/>
  <c r="AB25" i="50" s="1"/>
  <c r="AJ25" i="50" s="1"/>
  <c r="AN25" i="50" s="1"/>
  <c r="O42" i="55"/>
  <c r="W42" i="50" s="1"/>
  <c r="AA42" i="50" s="1"/>
  <c r="AI42" i="50" s="1"/>
  <c r="G43" i="57" s="1"/>
  <c r="O73" i="55"/>
  <c r="W74" i="50" s="1"/>
  <c r="AA74" i="50" s="1"/>
  <c r="AI74" i="50" s="1"/>
  <c r="N10" i="55"/>
  <c r="V10" i="50" s="1"/>
  <c r="Z10" i="50" s="1"/>
  <c r="AH10" i="50" s="1"/>
  <c r="Q82" i="55"/>
  <c r="Y82" i="50" s="1"/>
  <c r="AC82" i="50" s="1"/>
  <c r="AK82" i="50" s="1"/>
  <c r="I83" i="57" s="1"/>
  <c r="N27" i="55"/>
  <c r="V27" i="50" s="1"/>
  <c r="Z27" i="50" s="1"/>
  <c r="AH27" i="50" s="1"/>
  <c r="F28" i="57" s="1"/>
  <c r="Q9" i="55"/>
  <c r="Y9" i="50" s="1"/>
  <c r="AC9" i="50" s="1"/>
  <c r="AK9" i="50" s="1"/>
  <c r="I10" i="57" s="1"/>
  <c r="Q97" i="55"/>
  <c r="Y98" i="50" s="1"/>
  <c r="AC98" i="50" s="1"/>
  <c r="AK98" i="50" s="1"/>
  <c r="I99" i="57" s="1"/>
  <c r="P111" i="55"/>
  <c r="X112" i="50" s="1"/>
  <c r="AB112" i="50" s="1"/>
  <c r="AJ112" i="50" s="1"/>
  <c r="H113" i="57" s="1"/>
  <c r="P93" i="55"/>
  <c r="X94" i="50" s="1"/>
  <c r="AB94" i="50" s="1"/>
  <c r="AJ94" i="50" s="1"/>
  <c r="H95" i="57" s="1"/>
  <c r="O107" i="55"/>
  <c r="W108" i="50" s="1"/>
  <c r="AA108" i="50" s="1"/>
  <c r="AI108" i="50" s="1"/>
  <c r="P80" i="55"/>
  <c r="X80" i="50" s="1"/>
  <c r="AB80" i="50" s="1"/>
  <c r="AJ80" i="50" s="1"/>
  <c r="P94" i="55"/>
  <c r="X95" i="50" s="1"/>
  <c r="AB95" i="50" s="1"/>
  <c r="AJ95" i="50" s="1"/>
  <c r="Q81" i="55"/>
  <c r="Y81" i="50" s="1"/>
  <c r="AC81" i="50" s="1"/>
  <c r="AK81" i="50" s="1"/>
  <c r="I82" i="57" s="1"/>
  <c r="Q57" i="55"/>
  <c r="Y57" i="50" s="1"/>
  <c r="AC57" i="50" s="1"/>
  <c r="AK57" i="50" s="1"/>
  <c r="I58" i="57" s="1"/>
  <c r="P59" i="55"/>
  <c r="X59" i="50" s="1"/>
  <c r="AB59" i="50" s="1"/>
  <c r="AJ59" i="50" s="1"/>
  <c r="H60" i="57" s="1"/>
  <c r="O69" i="55"/>
  <c r="W70" i="50" s="1"/>
  <c r="AA70" i="50" s="1"/>
  <c r="AI70" i="50" s="1"/>
  <c r="G71" i="57" s="1"/>
  <c r="Q40" i="55"/>
  <c r="Y40" i="50" s="1"/>
  <c r="AC40" i="50" s="1"/>
  <c r="AK40" i="50" s="1"/>
  <c r="I41" i="57" s="1"/>
  <c r="N54" i="55"/>
  <c r="V54" i="50" s="1"/>
  <c r="Z54" i="50" s="1"/>
  <c r="AH54" i="50" s="1"/>
  <c r="F55" i="57" s="1"/>
  <c r="Q26" i="55"/>
  <c r="Y26" i="50" s="1"/>
  <c r="AC26" i="50" s="1"/>
  <c r="AK26" i="50" s="1"/>
  <c r="I27" i="57" s="1"/>
  <c r="O33" i="55"/>
  <c r="W33" i="50" s="1"/>
  <c r="AA33" i="50" s="1"/>
  <c r="AI33" i="50" s="1"/>
  <c r="AM33" i="50" s="1"/>
  <c r="P35" i="55"/>
  <c r="X35" i="50" s="1"/>
  <c r="AB35" i="50" s="1"/>
  <c r="AJ35" i="50" s="1"/>
  <c r="H36" i="57" s="1"/>
  <c r="P62" i="55"/>
  <c r="X63" i="50" s="1"/>
  <c r="AB63" i="50" s="1"/>
  <c r="AJ63" i="50" s="1"/>
  <c r="H64" i="57" s="1"/>
  <c r="N53" i="55"/>
  <c r="V53" i="50" s="1"/>
  <c r="Z53" i="50" s="1"/>
  <c r="AH53" i="50" s="1"/>
  <c r="N82" i="55"/>
  <c r="V82" i="50" s="1"/>
  <c r="Z82" i="50" s="1"/>
  <c r="AH82" i="50" s="1"/>
  <c r="P114" i="55"/>
  <c r="X115" i="50" s="1"/>
  <c r="AB115" i="50" s="1"/>
  <c r="AJ115" i="50" s="1"/>
  <c r="H116" i="57" s="1"/>
  <c r="Q21" i="55"/>
  <c r="Y21" i="50" s="1"/>
  <c r="AC21" i="50" s="1"/>
  <c r="AK21" i="50" s="1"/>
  <c r="P14" i="55"/>
  <c r="X14" i="50" s="1"/>
  <c r="AB14" i="50" s="1"/>
  <c r="AJ14" i="50" s="1"/>
  <c r="AN14" i="50" s="1"/>
  <c r="O105" i="55"/>
  <c r="W106" i="50" s="1"/>
  <c r="AA106" i="50" s="1"/>
  <c r="AI106" i="50" s="1"/>
  <c r="N116" i="55"/>
  <c r="V116" i="50" s="1"/>
  <c r="Z116" i="50" s="1"/>
  <c r="AH116" i="50" s="1"/>
  <c r="F117" i="57" s="1"/>
  <c r="P92" i="55"/>
  <c r="X93" i="50" s="1"/>
  <c r="AB93" i="50" s="1"/>
  <c r="AJ93" i="50" s="1"/>
  <c r="P74" i="55"/>
  <c r="X75" i="50" s="1"/>
  <c r="AB75" i="50" s="1"/>
  <c r="AJ75" i="50" s="1"/>
  <c r="H76" i="57" s="1"/>
  <c r="Q54" i="55"/>
  <c r="Y54" i="50" s="1"/>
  <c r="AC54" i="50" s="1"/>
  <c r="AK54" i="50" s="1"/>
  <c r="I55" i="57" s="1"/>
  <c r="P57" i="55"/>
  <c r="X57" i="50" s="1"/>
  <c r="AB57" i="50" s="1"/>
  <c r="AJ57" i="50" s="1"/>
  <c r="H58" i="57" s="1"/>
  <c r="X58" i="57" s="1"/>
  <c r="L51" i="58" s="1"/>
  <c r="O65" i="55"/>
  <c r="W66" i="50" s="1"/>
  <c r="AA66" i="50" s="1"/>
  <c r="AI66" i="50" s="1"/>
  <c r="G67" i="57" s="1"/>
  <c r="N34" i="55"/>
  <c r="V34" i="50" s="1"/>
  <c r="Z34" i="50" s="1"/>
  <c r="AH34" i="50" s="1"/>
  <c r="F35" i="57" s="1"/>
  <c r="N51" i="55"/>
  <c r="V51" i="50" s="1"/>
  <c r="Z51" i="50" s="1"/>
  <c r="AH51" i="50" s="1"/>
  <c r="AL51" i="50" s="1"/>
  <c r="P29" i="55"/>
  <c r="X29" i="50" s="1"/>
  <c r="AB29" i="50" s="1"/>
  <c r="AJ29" i="50" s="1"/>
  <c r="H30" i="57" s="1"/>
  <c r="N30" i="57" s="1"/>
  <c r="R30" i="57" s="1"/>
  <c r="O30" i="55"/>
  <c r="W30" i="50" s="1"/>
  <c r="AA30" i="50" s="1"/>
  <c r="AI30" i="50" s="1"/>
  <c r="AM30" i="50" s="1"/>
  <c r="O48" i="55"/>
  <c r="W48" i="50" s="1"/>
  <c r="AA48" i="50" s="1"/>
  <c r="AI48" i="50" s="1"/>
  <c r="Q49" i="55"/>
  <c r="Y49" i="50" s="1"/>
  <c r="AC49" i="50" s="1"/>
  <c r="AK49" i="50" s="1"/>
  <c r="AO49" i="50" s="1"/>
  <c r="AS49" i="50" s="1"/>
  <c r="Q89" i="55"/>
  <c r="Y90" i="50" s="1"/>
  <c r="AC90" i="50" s="1"/>
  <c r="AK90" i="50" s="1"/>
  <c r="I91" i="57" s="1"/>
  <c r="O90" i="55"/>
  <c r="W91" i="50" s="1"/>
  <c r="AA91" i="50" s="1"/>
  <c r="AI91" i="50" s="1"/>
  <c r="G92" i="57" s="1"/>
  <c r="N26" i="55"/>
  <c r="V26" i="50" s="1"/>
  <c r="Z26" i="50" s="1"/>
  <c r="AH26" i="50" s="1"/>
  <c r="Q24" i="55"/>
  <c r="Y24" i="50" s="1"/>
  <c r="AC24" i="50" s="1"/>
  <c r="AK24" i="50" s="1"/>
  <c r="I25" i="57" s="1"/>
  <c r="P17" i="55"/>
  <c r="X17" i="50" s="1"/>
  <c r="AB17" i="50" s="1"/>
  <c r="AJ17" i="50" s="1"/>
  <c r="H18" i="57" s="1"/>
  <c r="O9" i="55"/>
  <c r="W9" i="50" s="1"/>
  <c r="AA9" i="50" s="1"/>
  <c r="AI9" i="50" s="1"/>
  <c r="AM9" i="50" s="1"/>
  <c r="N95" i="55"/>
  <c r="V96" i="50" s="1"/>
  <c r="Z96" i="50" s="1"/>
  <c r="AH96" i="50" s="1"/>
  <c r="AL96" i="50" s="1"/>
  <c r="AP96" i="50" s="1"/>
  <c r="Q88" i="55"/>
  <c r="Y89" i="50" s="1"/>
  <c r="AC89" i="50" s="1"/>
  <c r="AK89" i="50" s="1"/>
  <c r="I90" i="57" s="1"/>
  <c r="Q70" i="55"/>
  <c r="Y71" i="50" s="1"/>
  <c r="AC71" i="50" s="1"/>
  <c r="AK71" i="50" s="1"/>
  <c r="I72" i="57" s="1"/>
  <c r="P60" i="55"/>
  <c r="X60" i="50" s="1"/>
  <c r="AB60" i="50" s="1"/>
  <c r="AJ60" i="50" s="1"/>
  <c r="H61" i="57" s="1"/>
  <c r="N32" i="55"/>
  <c r="V32" i="50" s="1"/>
  <c r="Z32" i="50" s="1"/>
  <c r="AH32" i="50" s="1"/>
  <c r="O21" i="55"/>
  <c r="W21" i="50" s="1"/>
  <c r="AA21" i="50" s="1"/>
  <c r="AI21" i="50" s="1"/>
  <c r="G22" i="57" s="1"/>
  <c r="Q62" i="55"/>
  <c r="Y63" i="50" s="1"/>
  <c r="AC63" i="50" s="1"/>
  <c r="AK63" i="50" s="1"/>
  <c r="I64" i="57" s="1"/>
  <c r="O83" i="55"/>
  <c r="W83" i="50" s="1"/>
  <c r="AA83" i="50" s="1"/>
  <c r="AI83" i="50" s="1"/>
  <c r="G84" i="57" s="1"/>
  <c r="Q16" i="55"/>
  <c r="Y16" i="50" s="1"/>
  <c r="AC16" i="50" s="1"/>
  <c r="AK16" i="50" s="1"/>
  <c r="I17" i="57" s="1"/>
  <c r="P101" i="55"/>
  <c r="X102" i="50" s="1"/>
  <c r="AB102" i="50" s="1"/>
  <c r="AJ102" i="50" s="1"/>
  <c r="AN102" i="50" s="1"/>
  <c r="AR102" i="50" s="1"/>
  <c r="P81" i="55"/>
  <c r="X81" i="50" s="1"/>
  <c r="AB81" i="50" s="1"/>
  <c r="AJ81" i="50" s="1"/>
  <c r="H82" i="57" s="1"/>
  <c r="N82" i="57" s="1"/>
  <c r="R82" i="57" s="1"/>
  <c r="P21" i="55"/>
  <c r="X21" i="50" s="1"/>
  <c r="AB21" i="50" s="1"/>
  <c r="AJ21" i="50" s="1"/>
  <c r="AN21" i="50" s="1"/>
  <c r="AR21" i="50" s="1"/>
  <c r="Q83" i="55"/>
  <c r="Y83" i="50" s="1"/>
  <c r="AC83" i="50" s="1"/>
  <c r="AK83" i="50" s="1"/>
  <c r="I84" i="57" s="1"/>
  <c r="Q113" i="55"/>
  <c r="Y114" i="50" s="1"/>
  <c r="AC114" i="50" s="1"/>
  <c r="AK114" i="50" s="1"/>
  <c r="I115" i="57" s="1"/>
  <c r="Q80" i="55"/>
  <c r="Y80" i="50" s="1"/>
  <c r="AC80" i="50" s="1"/>
  <c r="AK80" i="50" s="1"/>
  <c r="I81" i="57" s="1"/>
  <c r="Q106" i="55"/>
  <c r="Y107" i="50" s="1"/>
  <c r="AC107" i="50" s="1"/>
  <c r="AK107" i="50" s="1"/>
  <c r="I108" i="57" s="1"/>
  <c r="O108" i="55"/>
  <c r="W109" i="50" s="1"/>
  <c r="AA109" i="50" s="1"/>
  <c r="AI109" i="50" s="1"/>
  <c r="N56" i="55"/>
  <c r="V56" i="50" s="1"/>
  <c r="Z56" i="50" s="1"/>
  <c r="AH56" i="50" s="1"/>
  <c r="F57" i="57" s="1"/>
  <c r="P113" i="55"/>
  <c r="X114" i="50" s="1"/>
  <c r="AB114" i="50" s="1"/>
  <c r="AJ114" i="50" s="1"/>
  <c r="H115" i="57" s="1"/>
  <c r="Q55" i="55"/>
  <c r="Y55" i="50" s="1"/>
  <c r="AC55" i="50" s="1"/>
  <c r="AK55" i="50" s="1"/>
  <c r="I56" i="57" s="1"/>
  <c r="N20" i="55"/>
  <c r="V20" i="50" s="1"/>
  <c r="Z20" i="50" s="1"/>
  <c r="AH20" i="50" s="1"/>
  <c r="N37" i="55"/>
  <c r="V37" i="50" s="1"/>
  <c r="Z37" i="50" s="1"/>
  <c r="AH37" i="50" s="1"/>
  <c r="F38" i="57" s="1"/>
  <c r="P18" i="55"/>
  <c r="X18" i="50" s="1"/>
  <c r="AB18" i="50" s="1"/>
  <c r="AJ18" i="50" s="1"/>
  <c r="H19" i="57" s="1"/>
  <c r="N80" i="55"/>
  <c r="V80" i="50" s="1"/>
  <c r="Z80" i="50" s="1"/>
  <c r="AH80" i="50" s="1"/>
  <c r="F81" i="57" s="1"/>
  <c r="Q74" i="55"/>
  <c r="Y75" i="50" s="1"/>
  <c r="AC75" i="50" s="1"/>
  <c r="AK75" i="50" s="1"/>
  <c r="N67" i="55"/>
  <c r="V68" i="50" s="1"/>
  <c r="Z68" i="50" s="1"/>
  <c r="AH68" i="50" s="1"/>
  <c r="F69" i="57" s="1"/>
  <c r="P33" i="55"/>
  <c r="X33" i="50" s="1"/>
  <c r="AB33" i="50" s="1"/>
  <c r="AJ33" i="50" s="1"/>
  <c r="H34" i="57" s="1"/>
  <c r="X34" i="57" s="1"/>
  <c r="L75" i="58" s="1"/>
  <c r="Q23" i="55"/>
  <c r="Y23" i="50" s="1"/>
  <c r="AC23" i="50" s="1"/>
  <c r="AK23" i="50" s="1"/>
  <c r="AO23" i="50" s="1"/>
  <c r="N92" i="55"/>
  <c r="V93" i="50" s="1"/>
  <c r="Z93" i="50" s="1"/>
  <c r="AH93" i="50" s="1"/>
  <c r="F94" i="57" s="1"/>
  <c r="Q93" i="55"/>
  <c r="Y94" i="50" s="1"/>
  <c r="AC94" i="50" s="1"/>
  <c r="AK94" i="50" s="1"/>
  <c r="AO94" i="50" s="1"/>
  <c r="AS94" i="50" s="1"/>
  <c r="O55" i="55"/>
  <c r="W55" i="50" s="1"/>
  <c r="AA55" i="50" s="1"/>
  <c r="AI55" i="50" s="1"/>
  <c r="G56" i="57" s="1"/>
  <c r="O31" i="55"/>
  <c r="W31" i="50" s="1"/>
  <c r="AA31" i="50" s="1"/>
  <c r="AI31" i="50" s="1"/>
  <c r="AM31" i="50" s="1"/>
  <c r="AQ31" i="50" s="1"/>
  <c r="Q17" i="55"/>
  <c r="Y17" i="50" s="1"/>
  <c r="AC17" i="50" s="1"/>
  <c r="AK17" i="50" s="1"/>
  <c r="AO17" i="50" s="1"/>
  <c r="Q107" i="55"/>
  <c r="Y108" i="50" s="1"/>
  <c r="AC108" i="50" s="1"/>
  <c r="AK108" i="50" s="1"/>
  <c r="I109" i="57" s="1"/>
  <c r="P116" i="55"/>
  <c r="X116" i="50" s="1"/>
  <c r="AB116" i="50" s="1"/>
  <c r="AJ116" i="50" s="1"/>
  <c r="H117" i="57" s="1"/>
  <c r="N117" i="57" s="1"/>
  <c r="R117" i="57" s="1"/>
  <c r="P91" i="55"/>
  <c r="X92" i="50" s="1"/>
  <c r="AB92" i="50" s="1"/>
  <c r="AJ92" i="50" s="1"/>
  <c r="H93" i="57" s="1"/>
  <c r="Q91" i="55"/>
  <c r="Y92" i="50" s="1"/>
  <c r="AC92" i="50" s="1"/>
  <c r="AK92" i="50" s="1"/>
  <c r="P67" i="55"/>
  <c r="X68" i="50" s="1"/>
  <c r="AB68" i="50" s="1"/>
  <c r="AJ68" i="50" s="1"/>
  <c r="H69" i="57" s="1"/>
  <c r="O51" i="55"/>
  <c r="W51" i="50" s="1"/>
  <c r="AA51" i="50" s="1"/>
  <c r="AI51" i="50" s="1"/>
  <c r="Q34" i="55"/>
  <c r="Y34" i="50" s="1"/>
  <c r="AC34" i="50" s="1"/>
  <c r="AK34" i="50" s="1"/>
  <c r="I35" i="57" s="1"/>
  <c r="P36" i="55"/>
  <c r="X36" i="50" s="1"/>
  <c r="AB36" i="50" s="1"/>
  <c r="AJ36" i="50" s="1"/>
  <c r="AN36" i="50" s="1"/>
  <c r="N68" i="55"/>
  <c r="V69" i="50" s="1"/>
  <c r="Z69" i="50" s="1"/>
  <c r="AH69" i="50" s="1"/>
  <c r="AL69" i="50" s="1"/>
  <c r="AP69" i="50" s="1"/>
  <c r="P24" i="55"/>
  <c r="X24" i="50" s="1"/>
  <c r="AB24" i="50" s="1"/>
  <c r="AJ24" i="50" s="1"/>
  <c r="H25" i="57" s="1"/>
  <c r="X25" i="57" s="1"/>
  <c r="L24" i="58" s="1"/>
  <c r="O13" i="55"/>
  <c r="W13" i="50" s="1"/>
  <c r="AA13" i="50" s="1"/>
  <c r="AI13" i="50" s="1"/>
  <c r="AM13" i="50" s="1"/>
  <c r="N98" i="55"/>
  <c r="V99" i="50" s="1"/>
  <c r="Z99" i="50" s="1"/>
  <c r="AH99" i="50" s="1"/>
  <c r="AL99" i="50" s="1"/>
  <c r="AP99" i="50" s="1"/>
  <c r="Q61" i="55"/>
  <c r="Y61" i="50" s="1"/>
  <c r="AC61" i="50" s="1"/>
  <c r="AK61" i="50" s="1"/>
  <c r="I62" i="57" s="1"/>
  <c r="N38" i="55"/>
  <c r="V38" i="50" s="1"/>
  <c r="Z38" i="50" s="1"/>
  <c r="AH38" i="50" s="1"/>
  <c r="F39" i="57" s="1"/>
  <c r="N39" i="57" s="1"/>
  <c r="R39" i="57" s="1"/>
  <c r="V39" i="57" s="1"/>
  <c r="J15" i="58" s="1"/>
  <c r="N58" i="55"/>
  <c r="V58" i="50" s="1"/>
  <c r="Z58" i="50" s="1"/>
  <c r="AH58" i="50" s="1"/>
  <c r="AL58" i="50" s="1"/>
  <c r="AP58" i="50" s="1"/>
  <c r="O36" i="55"/>
  <c r="W36" i="50" s="1"/>
  <c r="AA36" i="50" s="1"/>
  <c r="AI36" i="50" s="1"/>
  <c r="N72" i="55"/>
  <c r="V73" i="50" s="1"/>
  <c r="Z73" i="50" s="1"/>
  <c r="AH73" i="50" s="1"/>
  <c r="O82" i="55"/>
  <c r="W82" i="50" s="1"/>
  <c r="AA82" i="50" s="1"/>
  <c r="AI82" i="50" s="1"/>
  <c r="G83" i="57" s="1"/>
  <c r="Q11" i="55"/>
  <c r="Y11" i="50" s="1"/>
  <c r="AC11" i="50" s="1"/>
  <c r="AK11" i="50" s="1"/>
  <c r="N78" i="55"/>
  <c r="V79" i="50" s="1"/>
  <c r="Z79" i="50" s="1"/>
  <c r="AH79" i="50" s="1"/>
  <c r="N22" i="55"/>
  <c r="V22" i="50" s="1"/>
  <c r="Z22" i="50" s="1"/>
  <c r="AH22" i="50" s="1"/>
  <c r="P13" i="55"/>
  <c r="X13" i="50" s="1"/>
  <c r="AB13" i="50" s="1"/>
  <c r="AJ13" i="50" s="1"/>
  <c r="H14" i="57" s="1"/>
  <c r="O88" i="55"/>
  <c r="W89" i="50" s="1"/>
  <c r="AA89" i="50" s="1"/>
  <c r="AI89" i="50" s="1"/>
  <c r="G90" i="57" s="1"/>
  <c r="P107" i="55"/>
  <c r="X108" i="50" s="1"/>
  <c r="AB108" i="50" s="1"/>
  <c r="AJ108" i="50" s="1"/>
  <c r="H109" i="57" s="1"/>
  <c r="P87" i="55"/>
  <c r="X88" i="50" s="1"/>
  <c r="AB88" i="50" s="1"/>
  <c r="AJ88" i="50" s="1"/>
  <c r="H89" i="57" s="1"/>
  <c r="O103" i="55"/>
  <c r="W104" i="50" s="1"/>
  <c r="AA104" i="50" s="1"/>
  <c r="AI104" i="50" s="1"/>
  <c r="G105" i="57" s="1"/>
  <c r="N112" i="55"/>
  <c r="V113" i="50" s="1"/>
  <c r="Z113" i="50" s="1"/>
  <c r="AH113" i="50" s="1"/>
  <c r="AL113" i="50" s="1"/>
  <c r="AP113" i="50" s="1"/>
  <c r="N87" i="55"/>
  <c r="V88" i="50" s="1"/>
  <c r="Z88" i="50" s="1"/>
  <c r="AH88" i="50" s="1"/>
  <c r="F89" i="57" s="1"/>
  <c r="O80" i="55"/>
  <c r="W80" i="50" s="1"/>
  <c r="AA80" i="50" s="1"/>
  <c r="AI80" i="50" s="1"/>
  <c r="Q50" i="55"/>
  <c r="Y50" i="50" s="1"/>
  <c r="AC50" i="50" s="1"/>
  <c r="AK50" i="50" s="1"/>
  <c r="I51" i="57" s="1"/>
  <c r="P54" i="55"/>
  <c r="X54" i="50" s="1"/>
  <c r="AB54" i="50" s="1"/>
  <c r="AJ54" i="50" s="1"/>
  <c r="AN54" i="50" s="1"/>
  <c r="AR54" i="50" s="1"/>
  <c r="O63" i="55"/>
  <c r="W64" i="50" s="1"/>
  <c r="AA64" i="50" s="1"/>
  <c r="AI64" i="50" s="1"/>
  <c r="AM64" i="50" s="1"/>
  <c r="N30" i="55"/>
  <c r="V30" i="50" s="1"/>
  <c r="Z30" i="50" s="1"/>
  <c r="AH30" i="50" s="1"/>
  <c r="F31" i="57" s="1"/>
  <c r="N45" i="55"/>
  <c r="V45" i="50" s="1"/>
  <c r="Z45" i="50" s="1"/>
  <c r="AH45" i="50" s="1"/>
  <c r="F46" i="57" s="1"/>
  <c r="N46" i="57" s="1"/>
  <c r="R46" i="57" s="1"/>
  <c r="P27" i="55"/>
  <c r="X27" i="50" s="1"/>
  <c r="AB27" i="50" s="1"/>
  <c r="AJ27" i="50" s="1"/>
  <c r="AN27" i="50" s="1"/>
  <c r="O27" i="55"/>
  <c r="W27" i="50" s="1"/>
  <c r="AA27" i="50" s="1"/>
  <c r="AI27" i="50" s="1"/>
  <c r="AM27" i="50" s="1"/>
  <c r="O44" i="55"/>
  <c r="W44" i="50" s="1"/>
  <c r="AA44" i="50" s="1"/>
  <c r="AI44" i="50" s="1"/>
  <c r="Q37" i="55"/>
  <c r="Y37" i="50" s="1"/>
  <c r="AC37" i="50" s="1"/>
  <c r="AK37" i="50" s="1"/>
  <c r="I38" i="57" s="1"/>
  <c r="O78" i="55"/>
  <c r="W79" i="50" s="1"/>
  <c r="AA79" i="50" s="1"/>
  <c r="AI79" i="50" s="1"/>
  <c r="G80" i="57" s="1"/>
  <c r="N114" i="55"/>
  <c r="V115" i="50" s="1"/>
  <c r="Z115" i="50" s="1"/>
  <c r="AH115" i="50" s="1"/>
  <c r="Q115" i="55"/>
  <c r="Q15" i="55"/>
  <c r="Y15" i="50" s="1"/>
  <c r="AC15" i="50" s="1"/>
  <c r="AK15" i="50" s="1"/>
  <c r="I16" i="57" s="1"/>
  <c r="P9" i="55"/>
  <c r="X9" i="50" s="1"/>
  <c r="AB9" i="50" s="1"/>
  <c r="AJ9" i="50" s="1"/>
  <c r="H10" i="57" s="1"/>
  <c r="O100" i="55"/>
  <c r="W101" i="50" s="1"/>
  <c r="AA101" i="50" s="1"/>
  <c r="AI101" i="50" s="1"/>
  <c r="N110" i="55"/>
  <c r="V111" i="50" s="1"/>
  <c r="Z111" i="50" s="1"/>
  <c r="AH111" i="50" s="1"/>
  <c r="F112" i="57" s="1"/>
  <c r="P84" i="55"/>
  <c r="X84" i="50" s="1"/>
  <c r="AB84" i="50" s="1"/>
  <c r="AJ84" i="50" s="1"/>
  <c r="H85" i="57" s="1"/>
  <c r="Q77" i="55"/>
  <c r="Y78" i="50" s="1"/>
  <c r="AC78" i="50" s="1"/>
  <c r="AK78" i="50" s="1"/>
  <c r="AO78" i="50" s="1"/>
  <c r="AS78" i="50" s="1"/>
  <c r="Q45" i="55"/>
  <c r="Y45" i="50" s="1"/>
  <c r="AC45" i="50" s="1"/>
  <c r="AK45" i="50" s="1"/>
  <c r="I46" i="57" s="1"/>
  <c r="P50" i="55"/>
  <c r="X50" i="50" s="1"/>
  <c r="AB50" i="50" s="1"/>
  <c r="AJ50" i="50" s="1"/>
  <c r="AN50" i="50" s="1"/>
  <c r="O59" i="55"/>
  <c r="W59" i="50" s="1"/>
  <c r="AA59" i="50" s="1"/>
  <c r="AI59" i="50" s="1"/>
  <c r="N70" i="55"/>
  <c r="V71" i="50" s="1"/>
  <c r="Z71" i="50" s="1"/>
  <c r="AH71" i="50" s="1"/>
  <c r="AL71" i="50" s="1"/>
  <c r="P42" i="55"/>
  <c r="X42" i="50" s="1"/>
  <c r="AB42" i="50" s="1"/>
  <c r="AJ42" i="50" s="1"/>
  <c r="AN42" i="50" s="1"/>
  <c r="N24" i="55"/>
  <c r="V24" i="50" s="1"/>
  <c r="Z24" i="50" s="1"/>
  <c r="AH24" i="50" s="1"/>
  <c r="AL24" i="50" s="1"/>
  <c r="AP24" i="50" s="1"/>
  <c r="P31" i="55"/>
  <c r="X31" i="50" s="1"/>
  <c r="AB31" i="50" s="1"/>
  <c r="AJ31" i="50" s="1"/>
  <c r="H32" i="57" s="1"/>
  <c r="Q71" i="55"/>
  <c r="Y72" i="50" s="1"/>
  <c r="AC72" i="50" s="1"/>
  <c r="AK72" i="50" s="1"/>
  <c r="I73" i="57" s="1"/>
  <c r="Q72" i="55"/>
  <c r="Y73" i="50" s="1"/>
  <c r="AC73" i="50" s="1"/>
  <c r="AK73" i="50" s="1"/>
  <c r="P71" i="55"/>
  <c r="X72" i="50" s="1"/>
  <c r="AB72" i="50" s="1"/>
  <c r="AJ72" i="50" s="1"/>
  <c r="H73" i="57" s="1"/>
  <c r="X73" i="57" s="1"/>
  <c r="L83" i="58" s="1"/>
  <c r="P76" i="55"/>
  <c r="X77" i="50" s="1"/>
  <c r="AB77" i="50" s="1"/>
  <c r="AJ77" i="50" s="1"/>
  <c r="H78" i="57" s="1"/>
  <c r="N23" i="55"/>
  <c r="V23" i="50" s="1"/>
  <c r="Z23" i="50" s="1"/>
  <c r="AH23" i="50" s="1"/>
  <c r="Q18" i="55"/>
  <c r="Y18" i="50" s="1"/>
  <c r="AC18" i="50" s="1"/>
  <c r="AK18" i="50" s="1"/>
  <c r="I19" i="57" s="1"/>
  <c r="P12" i="55"/>
  <c r="X12" i="50" s="1"/>
  <c r="AB12" i="50" s="1"/>
  <c r="AJ12" i="50" s="1"/>
  <c r="N109" i="55"/>
  <c r="V110" i="50" s="1"/>
  <c r="Z110" i="50" s="1"/>
  <c r="AH110" i="50" s="1"/>
  <c r="F111" i="57" s="1"/>
  <c r="N111" i="57" s="1"/>
  <c r="R111" i="57" s="1"/>
  <c r="N91" i="55"/>
  <c r="V92" i="50" s="1"/>
  <c r="Z92" i="50" s="1"/>
  <c r="AH92" i="50" s="1"/>
  <c r="AL92" i="50" s="1"/>
  <c r="Q84" i="55"/>
  <c r="Y84" i="50" s="1"/>
  <c r="AC84" i="50" s="1"/>
  <c r="AK84" i="50" s="1"/>
  <c r="Q65" i="55"/>
  <c r="Y66" i="50" s="1"/>
  <c r="AC66" i="50" s="1"/>
  <c r="AK66" i="50" s="1"/>
  <c r="I67" i="57" s="1"/>
  <c r="Q43" i="55"/>
  <c r="Y43" i="50" s="1"/>
  <c r="AC43" i="50" s="1"/>
  <c r="AK43" i="50" s="1"/>
  <c r="I44" i="57" s="1"/>
  <c r="O44" i="57" s="1"/>
  <c r="S44" i="57" s="1"/>
  <c r="P56" i="55"/>
  <c r="X56" i="50" s="1"/>
  <c r="AB56" i="50" s="1"/>
  <c r="AJ56" i="50" s="1"/>
  <c r="O52" i="55"/>
  <c r="W52" i="50" s="1"/>
  <c r="AA52" i="50" s="1"/>
  <c r="AI52" i="50" s="1"/>
  <c r="N69" i="55"/>
  <c r="V70" i="50" s="1"/>
  <c r="Z70" i="50" s="1"/>
  <c r="AH70" i="50" s="1"/>
  <c r="N50" i="55"/>
  <c r="V50" i="50" s="1"/>
  <c r="Z50" i="50" s="1"/>
  <c r="AH50" i="50" s="1"/>
  <c r="F51" i="57" s="1"/>
  <c r="Q28" i="55"/>
  <c r="Y28" i="50" s="1"/>
  <c r="AC28" i="50" s="1"/>
  <c r="AK28" i="50" s="1"/>
  <c r="I29" i="57" s="1"/>
  <c r="O29" i="55"/>
  <c r="W29" i="50" s="1"/>
  <c r="AA29" i="50" s="1"/>
  <c r="AI29" i="50" s="1"/>
  <c r="AM29" i="50" s="1"/>
  <c r="O40" i="55"/>
  <c r="W40" i="50" s="1"/>
  <c r="AA40" i="50" s="1"/>
  <c r="AI40" i="50" s="1"/>
  <c r="AM40" i="50" s="1"/>
  <c r="P49" i="55"/>
  <c r="X49" i="50" s="1"/>
  <c r="AB49" i="50" s="1"/>
  <c r="AJ49" i="50" s="1"/>
  <c r="H50" i="57" s="1"/>
  <c r="N73" i="55"/>
  <c r="V74" i="50" s="1"/>
  <c r="Z74" i="50" s="1"/>
  <c r="AH74" i="50" s="1"/>
  <c r="AL74" i="50" s="1"/>
  <c r="AP74" i="50" s="1"/>
  <c r="Q76" i="55"/>
  <c r="Y77" i="50" s="1"/>
  <c r="AC77" i="50" s="1"/>
  <c r="AK77" i="50" s="1"/>
  <c r="AO77" i="50" s="1"/>
  <c r="AS77" i="50" s="1"/>
  <c r="N99" i="55"/>
  <c r="V100" i="50" s="1"/>
  <c r="Z100" i="50" s="1"/>
  <c r="AH100" i="50" s="1"/>
  <c r="F101" i="57" s="1"/>
  <c r="P99" i="55"/>
  <c r="X100" i="50" s="1"/>
  <c r="AB100" i="50" s="1"/>
  <c r="AJ100" i="50" s="1"/>
  <c r="H101" i="57" s="1"/>
  <c r="N13" i="55"/>
  <c r="V13" i="50" s="1"/>
  <c r="Z13" i="50" s="1"/>
  <c r="AH13" i="50" s="1"/>
  <c r="F14" i="57" s="1"/>
  <c r="Q12" i="55"/>
  <c r="Y12" i="50" s="1"/>
  <c r="AC12" i="50" s="1"/>
  <c r="AK12" i="50" s="1"/>
  <c r="I13" i="57" s="1"/>
  <c r="P11" i="55"/>
  <c r="X11" i="50" s="1"/>
  <c r="AB11" i="50" s="1"/>
  <c r="AJ11" i="50" s="1"/>
  <c r="H12" i="57" s="1"/>
  <c r="O8" i="55"/>
  <c r="W8" i="50" s="1"/>
  <c r="AA8" i="50" s="1"/>
  <c r="AI8" i="50" s="1"/>
  <c r="AM8" i="50" s="1"/>
  <c r="P34" i="55"/>
  <c r="X34" i="50" s="1"/>
  <c r="AB34" i="50" s="1"/>
  <c r="AJ34" i="50" s="1"/>
  <c r="O113" i="55"/>
  <c r="W114" i="50" s="1"/>
  <c r="AA114" i="50" s="1"/>
  <c r="AI114" i="50" s="1"/>
  <c r="AM114" i="50" s="1"/>
  <c r="G14" i="58"/>
  <c r="U10" i="82" s="1"/>
  <c r="F19" i="58"/>
  <c r="V28" i="82" s="1"/>
  <c r="I86" i="58"/>
  <c r="AN53" i="50"/>
  <c r="H43" i="58"/>
  <c r="F115" i="58"/>
  <c r="I118" i="58"/>
  <c r="I78" i="58"/>
  <c r="I83" i="58"/>
  <c r="F67" i="58"/>
  <c r="V9" i="82" s="1"/>
  <c r="F64" i="58"/>
  <c r="V5" i="82" s="1"/>
  <c r="H51" i="58"/>
  <c r="X37" i="82" s="1"/>
  <c r="I40" i="58"/>
  <c r="W42" i="82" s="1"/>
  <c r="I35" i="58"/>
  <c r="I73" i="58"/>
  <c r="I106" i="58"/>
  <c r="G32" i="58"/>
  <c r="U23" i="82" s="1"/>
  <c r="F116" i="58"/>
  <c r="V21" i="82" s="1"/>
  <c r="I84" i="58"/>
  <c r="I42" i="58"/>
  <c r="I96" i="58"/>
  <c r="I25" i="58"/>
  <c r="I87" i="58"/>
  <c r="H45" i="58"/>
  <c r="I93" i="58"/>
  <c r="W50" i="82" s="1"/>
  <c r="G82" i="58"/>
  <c r="G104" i="58"/>
  <c r="I104" i="58"/>
  <c r="I19" i="58"/>
  <c r="W28" i="82" s="1"/>
  <c r="G48" i="58"/>
  <c r="U48" i="82" s="1"/>
  <c r="G69" i="58"/>
  <c r="U16" i="82" s="1"/>
  <c r="H69" i="58"/>
  <c r="X16" i="82" s="1"/>
  <c r="G86" i="58"/>
  <c r="G43" i="58"/>
  <c r="I13" i="58"/>
  <c r="H115" i="58"/>
  <c r="G118" i="58"/>
  <c r="H74" i="58"/>
  <c r="G78" i="58"/>
  <c r="H78" i="58"/>
  <c r="G85" i="58"/>
  <c r="G53" i="58"/>
  <c r="F15" i="58"/>
  <c r="I75" i="58"/>
  <c r="W24" i="82" s="1"/>
  <c r="H75" i="58"/>
  <c r="X24" i="82" s="1"/>
  <c r="F23" i="58"/>
  <c r="V30" i="82" s="1"/>
  <c r="H23" i="58"/>
  <c r="X30" i="82" s="1"/>
  <c r="G68" i="58"/>
  <c r="U11" i="82" s="1"/>
  <c r="I112" i="58"/>
  <c r="W60" i="82" s="1"/>
  <c r="G83" i="58"/>
  <c r="H83" i="58"/>
  <c r="AN35" i="50"/>
  <c r="H76" i="58"/>
  <c r="P76" i="58" s="1"/>
  <c r="H67" i="58"/>
  <c r="X9" i="82" s="1"/>
  <c r="F31" i="58"/>
  <c r="H31" i="58"/>
  <c r="G100" i="58"/>
  <c r="I100" i="58"/>
  <c r="H26" i="58"/>
  <c r="X19" i="82" s="1"/>
  <c r="H72" i="58"/>
  <c r="X20" i="82" s="1"/>
  <c r="F20" i="58"/>
  <c r="V15" i="82" s="1"/>
  <c r="G80" i="58"/>
  <c r="F32" i="58"/>
  <c r="V23" i="82" s="1"/>
  <c r="H32" i="58"/>
  <c r="X23" i="82" s="1"/>
  <c r="F14" i="58"/>
  <c r="V10" i="82" s="1"/>
  <c r="H14" i="58"/>
  <c r="X10" i="82" s="1"/>
  <c r="G96" i="58"/>
  <c r="G25" i="58"/>
  <c r="G91" i="58"/>
  <c r="G59" i="58"/>
  <c r="I21" i="58"/>
  <c r="W29" i="82" s="1"/>
  <c r="H21" i="58"/>
  <c r="X29" i="82" s="1"/>
  <c r="H37" i="58"/>
  <c r="X33" i="82" s="1"/>
  <c r="F47" i="58"/>
  <c r="V46" i="82" s="1"/>
  <c r="H111" i="58"/>
  <c r="F82" i="58"/>
  <c r="F55" i="58"/>
  <c r="H104" i="58"/>
  <c r="F63" i="58"/>
  <c r="H44" i="58"/>
  <c r="H48" i="58"/>
  <c r="X48" i="82" s="1"/>
  <c r="F69" i="58"/>
  <c r="V16" i="82" s="1"/>
  <c r="H95" i="58"/>
  <c r="F86" i="58"/>
  <c r="AL53" i="50"/>
  <c r="F43" i="58"/>
  <c r="G115" i="58"/>
  <c r="F39" i="58"/>
  <c r="F62" i="58"/>
  <c r="V54" i="82" s="1"/>
  <c r="F56" i="58"/>
  <c r="F110" i="58"/>
  <c r="I15" i="58"/>
  <c r="G75" i="58"/>
  <c r="U24" i="82" s="1"/>
  <c r="F68" i="58"/>
  <c r="V11" i="82" s="1"/>
  <c r="H112" i="58"/>
  <c r="X60" i="82" s="1"/>
  <c r="AL49" i="50"/>
  <c r="F117" i="58"/>
  <c r="AL35" i="50"/>
  <c r="F76" i="58"/>
  <c r="I67" i="58"/>
  <c r="W9" i="82" s="1"/>
  <c r="G64" i="58"/>
  <c r="U5" i="82" s="1"/>
  <c r="I31" i="58"/>
  <c r="H100" i="58"/>
  <c r="F51" i="58"/>
  <c r="V37" i="82" s="1"/>
  <c r="F40" i="58"/>
  <c r="V42" i="82" s="1"/>
  <c r="F52" i="58"/>
  <c r="F65" i="58"/>
  <c r="V7" i="82" s="1"/>
  <c r="H99" i="58"/>
  <c r="AL31" i="50"/>
  <c r="F73" i="58"/>
  <c r="G10" i="58"/>
  <c r="U6" i="82" s="1"/>
  <c r="G70" i="58"/>
  <c r="F106" i="58"/>
  <c r="H106" i="58"/>
  <c r="F57" i="58"/>
  <c r="I32" i="58"/>
  <c r="W23" i="82" s="1"/>
  <c r="I34" i="58"/>
  <c r="W25" i="82" s="1"/>
  <c r="F61" i="58"/>
  <c r="AL47" i="50"/>
  <c r="F33" i="58"/>
  <c r="AN94" i="50"/>
  <c r="H96" i="58"/>
  <c r="F25" i="58"/>
  <c r="F91" i="58"/>
  <c r="G30" i="58"/>
  <c r="U22" i="82" s="1"/>
  <c r="F107" i="58"/>
  <c r="F93" i="58"/>
  <c r="V50" i="82" s="1"/>
  <c r="F79" i="58"/>
  <c r="F111" i="58"/>
  <c r="I55" i="58"/>
  <c r="F105" i="58"/>
  <c r="F41" i="58"/>
  <c r="F46" i="58"/>
  <c r="V45" i="82" s="1"/>
  <c r="F48" i="58"/>
  <c r="V48" i="82" s="1"/>
  <c r="F95" i="58"/>
  <c r="G18" i="58"/>
  <c r="U14" i="82" s="1"/>
  <c r="H101" i="58"/>
  <c r="F78" i="58"/>
  <c r="F119" i="58"/>
  <c r="V55" i="82" s="1"/>
  <c r="F38" i="58"/>
  <c r="V41" i="82" s="1"/>
  <c r="F24" i="58"/>
  <c r="F75" i="58"/>
  <c r="V24" i="82" s="1"/>
  <c r="F90" i="58"/>
  <c r="AL115" i="50"/>
  <c r="F112" i="58"/>
  <c r="V60" i="82" s="1"/>
  <c r="F94" i="58"/>
  <c r="F83" i="58"/>
  <c r="G67" i="58"/>
  <c r="U9" i="82" s="1"/>
  <c r="F58" i="58"/>
  <c r="F109" i="58"/>
  <c r="F108" i="58"/>
  <c r="F100" i="58"/>
  <c r="F49" i="58"/>
  <c r="V36" i="82" s="1"/>
  <c r="I51" i="58"/>
  <c r="W37" i="82" s="1"/>
  <c r="F60" i="58"/>
  <c r="H60" i="58"/>
  <c r="F99" i="58"/>
  <c r="AL48" i="50"/>
  <c r="F97" i="58"/>
  <c r="F84" i="58"/>
  <c r="F16" i="58"/>
  <c r="V13" i="82" s="1"/>
  <c r="AL94" i="50"/>
  <c r="F96" i="58"/>
  <c r="F54" i="58"/>
  <c r="V52" i="82" s="1"/>
  <c r="F59" i="58"/>
  <c r="F21" i="58"/>
  <c r="V29" i="82" s="1"/>
  <c r="F87" i="58"/>
  <c r="AL38" i="50"/>
  <c r="AP38" i="50" s="1"/>
  <c r="AL46" i="50"/>
  <c r="AP46" i="50" s="1"/>
  <c r="AL110" i="50"/>
  <c r="AP110" i="50" s="1"/>
  <c r="AL32" i="50" l="1"/>
  <c r="AP32" i="50" s="1"/>
  <c r="AN107" i="50"/>
  <c r="AR107" i="50" s="1"/>
  <c r="AM74" i="50"/>
  <c r="AQ74" i="50" s="1"/>
  <c r="AN48" i="50"/>
  <c r="AN12" i="50"/>
  <c r="AM96" i="50"/>
  <c r="AQ96" i="50" s="1"/>
  <c r="AO21" i="50"/>
  <c r="AS21" i="50" s="1"/>
  <c r="AN82" i="50"/>
  <c r="AO11" i="50"/>
  <c r="AS11" i="50" s="1"/>
  <c r="AL87" i="50"/>
  <c r="AP87" i="50" s="1"/>
  <c r="AM100" i="50"/>
  <c r="AQ100" i="50" s="1"/>
  <c r="AN38" i="50"/>
  <c r="AR38" i="50" s="1"/>
  <c r="AN55" i="50"/>
  <c r="AR55" i="50" s="1"/>
  <c r="AM39" i="50"/>
  <c r="H28" i="64" s="1"/>
  <c r="L28" i="64" s="1"/>
  <c r="AO75" i="50"/>
  <c r="AS75" i="50" s="1"/>
  <c r="AL20" i="50"/>
  <c r="AP20" i="50" s="1"/>
  <c r="U59" i="82"/>
  <c r="X51" i="82"/>
  <c r="U53" i="82"/>
  <c r="X49" i="82"/>
  <c r="I8" i="101"/>
  <c r="V43" i="82"/>
  <c r="V49" i="82"/>
  <c r="V59" i="82"/>
  <c r="V34" i="82"/>
  <c r="X44" i="82"/>
  <c r="W34" i="82"/>
  <c r="W44" i="82"/>
  <c r="W31" i="82"/>
  <c r="U51" i="82"/>
  <c r="K7" i="101"/>
  <c r="X40" i="82"/>
  <c r="V44" i="82"/>
  <c r="U44" i="82"/>
  <c r="J6" i="101"/>
  <c r="W39" i="82"/>
  <c r="V31" i="82"/>
  <c r="U31" i="82"/>
  <c r="K8" i="101"/>
  <c r="X43" i="82"/>
  <c r="W59" i="82"/>
  <c r="W51" i="82"/>
  <c r="I6" i="101"/>
  <c r="V39" i="82"/>
  <c r="V35" i="82"/>
  <c r="V51" i="82"/>
  <c r="V53" i="82"/>
  <c r="X59" i="82"/>
  <c r="K6" i="101"/>
  <c r="X39" i="82"/>
  <c r="X38" i="82"/>
  <c r="X34" i="82"/>
  <c r="X35" i="82"/>
  <c r="U35" i="82"/>
  <c r="W53" i="82"/>
  <c r="H7" i="101"/>
  <c r="U40" i="82"/>
  <c r="W49" i="82"/>
  <c r="X53" i="82"/>
  <c r="J7" i="101"/>
  <c r="W40" i="82"/>
  <c r="H6" i="101"/>
  <c r="U39" i="82"/>
  <c r="J8" i="101"/>
  <c r="W43" i="82"/>
  <c r="W38" i="82"/>
  <c r="U34" i="82"/>
  <c r="X31" i="82"/>
  <c r="U49" i="82"/>
  <c r="H8" i="101"/>
  <c r="U43" i="82"/>
  <c r="I7" i="101"/>
  <c r="V40" i="82"/>
  <c r="W35" i="82"/>
  <c r="AM75" i="50"/>
  <c r="AQ75" i="50" s="1"/>
  <c r="AO84" i="50"/>
  <c r="AS84" i="50" s="1"/>
  <c r="AM36" i="50"/>
  <c r="AM116" i="50"/>
  <c r="AQ116" i="50" s="1"/>
  <c r="AL107" i="50"/>
  <c r="AP107" i="50" s="1"/>
  <c r="AM35" i="50"/>
  <c r="AQ35" i="50" s="1"/>
  <c r="AM117" i="50"/>
  <c r="AQ117" i="50" s="1"/>
  <c r="AL82" i="50"/>
  <c r="AN49" i="50"/>
  <c r="AL70" i="50"/>
  <c r="AL22" i="50"/>
  <c r="I18" i="64" s="1"/>
  <c r="M18" i="64" s="1"/>
  <c r="AM106" i="50"/>
  <c r="H59" i="64" s="1"/>
  <c r="L59" i="64" s="1"/>
  <c r="AN95" i="50"/>
  <c r="AR95" i="50" s="1"/>
  <c r="AM32" i="50"/>
  <c r="AQ32" i="50" s="1"/>
  <c r="AM115" i="50"/>
  <c r="AL55" i="50"/>
  <c r="AP55" i="50" s="1"/>
  <c r="AL23" i="50"/>
  <c r="AP23" i="50" s="1"/>
  <c r="AN93" i="50"/>
  <c r="AR93" i="50" s="1"/>
  <c r="AM108" i="50"/>
  <c r="AQ108" i="50" s="1"/>
  <c r="AL104" i="50"/>
  <c r="AP104" i="50" s="1"/>
  <c r="AL73" i="50"/>
  <c r="AP73" i="50" s="1"/>
  <c r="AL79" i="50"/>
  <c r="AP79" i="50" s="1"/>
  <c r="AM109" i="50"/>
  <c r="AQ109" i="50" s="1"/>
  <c r="AM48" i="50"/>
  <c r="AQ48" i="50" s="1"/>
  <c r="AM41" i="50"/>
  <c r="AQ41" i="50" s="1"/>
  <c r="AM101" i="50"/>
  <c r="AQ101" i="50" s="1"/>
  <c r="AN76" i="50"/>
  <c r="AR76" i="50" s="1"/>
  <c r="AM10" i="50"/>
  <c r="AQ10" i="50" s="1"/>
  <c r="AO82" i="50"/>
  <c r="AS82" i="50" s="1"/>
  <c r="AL90" i="50"/>
  <c r="AP90" i="50" s="1"/>
  <c r="AM51" i="50"/>
  <c r="AM21" i="50"/>
  <c r="AQ21" i="50" s="1"/>
  <c r="AL10" i="50"/>
  <c r="AP10" i="50" s="1"/>
  <c r="AO113" i="50"/>
  <c r="AS113" i="50" s="1"/>
  <c r="AN56" i="50"/>
  <c r="AN47" i="50"/>
  <c r="AD3" i="50"/>
  <c r="AL26" i="50"/>
  <c r="AP26" i="50" s="1"/>
  <c r="AN61" i="50"/>
  <c r="AR61" i="50" s="1"/>
  <c r="AM44" i="50"/>
  <c r="AQ44" i="50" s="1"/>
  <c r="AN80" i="50"/>
  <c r="AR80" i="50" s="1"/>
  <c r="AM112" i="50"/>
  <c r="AQ112" i="50" s="1"/>
  <c r="AL81" i="50"/>
  <c r="AP81" i="50" s="1"/>
  <c r="AN44" i="50"/>
  <c r="K32" i="64" s="1"/>
  <c r="O32" i="64" s="1"/>
  <c r="AN45" i="50"/>
  <c r="AR45" i="50" s="1"/>
  <c r="AN68" i="50"/>
  <c r="AM80" i="50"/>
  <c r="AQ80" i="50" s="1"/>
  <c r="AO117" i="50"/>
  <c r="AS117" i="50" s="1"/>
  <c r="AM52" i="50"/>
  <c r="AO92" i="50"/>
  <c r="AS92" i="50" s="1"/>
  <c r="AO101" i="50"/>
  <c r="AS101" i="50" s="1"/>
  <c r="AN34" i="50"/>
  <c r="AR34" i="50" s="1"/>
  <c r="AG3" i="50"/>
  <c r="AN113" i="50"/>
  <c r="AR113" i="50" s="1"/>
  <c r="AN65" i="50"/>
  <c r="AR65" i="50" s="1"/>
  <c r="AM59" i="50"/>
  <c r="AQ59" i="50" s="1"/>
  <c r="AE3" i="50"/>
  <c r="AF3" i="50"/>
  <c r="AL12" i="50"/>
  <c r="AO48" i="50"/>
  <c r="AS48" i="50" s="1"/>
  <c r="AN116" i="50"/>
  <c r="AR116" i="50" s="1"/>
  <c r="AM42" i="50"/>
  <c r="H31" i="64" s="1"/>
  <c r="L31" i="64" s="1"/>
  <c r="AO52" i="50"/>
  <c r="AM63" i="50"/>
  <c r="AQ63" i="50" s="1"/>
  <c r="AO102" i="50"/>
  <c r="AS102" i="50" s="1"/>
  <c r="AL114" i="50"/>
  <c r="AL101" i="50"/>
  <c r="AP101" i="50" s="1"/>
  <c r="AN40" i="50"/>
  <c r="AR40" i="50" s="1"/>
  <c r="AM92" i="50"/>
  <c r="AQ92" i="50" s="1"/>
  <c r="AO44" i="50"/>
  <c r="J32" i="64" s="1"/>
  <c r="N32" i="64" s="1"/>
  <c r="AN96" i="50"/>
  <c r="AR96" i="50" s="1"/>
  <c r="AM97" i="50"/>
  <c r="AO53" i="50"/>
  <c r="AS53" i="50" s="1"/>
  <c r="AL106" i="50"/>
  <c r="AP106" i="50" s="1"/>
  <c r="AL83" i="50"/>
  <c r="AP83" i="50" s="1"/>
  <c r="AM20" i="50"/>
  <c r="AQ20" i="50" s="1"/>
  <c r="AN71" i="50"/>
  <c r="K45" i="64" s="1"/>
  <c r="O45" i="64" s="1"/>
  <c r="AO89" i="50"/>
  <c r="AS89" i="50" s="1"/>
  <c r="AM38" i="50"/>
  <c r="AQ38" i="50" s="1"/>
  <c r="AM28" i="50"/>
  <c r="AN11" i="50"/>
  <c r="K8" i="64" s="1"/>
  <c r="O8" i="64" s="1"/>
  <c r="AM90" i="50"/>
  <c r="AQ90" i="50" s="1"/>
  <c r="AM60" i="50"/>
  <c r="AQ60" i="50" s="1"/>
  <c r="AO116" i="50"/>
  <c r="AS116" i="50" s="1"/>
  <c r="AO61" i="50"/>
  <c r="AS61" i="50" s="1"/>
  <c r="AL68" i="50"/>
  <c r="AP68" i="50" s="1"/>
  <c r="AO39" i="50"/>
  <c r="AS39" i="50" s="1"/>
  <c r="AO104" i="50"/>
  <c r="AS104" i="50" s="1"/>
  <c r="AM88" i="50"/>
  <c r="H51" i="64" s="1"/>
  <c r="L51" i="64" s="1"/>
  <c r="AO69" i="50"/>
  <c r="AS69" i="50" s="1"/>
  <c r="AL111" i="50"/>
  <c r="AP111" i="50" s="1"/>
  <c r="AL89" i="50"/>
  <c r="AP89" i="50" s="1"/>
  <c r="AL65" i="50"/>
  <c r="I41" i="64" s="1"/>
  <c r="M41" i="64" s="1"/>
  <c r="AN32" i="50"/>
  <c r="AR32" i="50" s="1"/>
  <c r="AN20" i="50"/>
  <c r="AR20" i="50" s="1"/>
  <c r="AO86" i="50"/>
  <c r="AS86" i="50" s="1"/>
  <c r="AL30" i="50"/>
  <c r="I24" i="64" s="1"/>
  <c r="M24" i="64" s="1"/>
  <c r="AN43" i="50"/>
  <c r="AR43" i="50" s="1"/>
  <c r="AL117" i="50"/>
  <c r="AP117" i="50" s="1"/>
  <c r="AL72" i="50"/>
  <c r="AP72" i="50" s="1"/>
  <c r="AL67" i="50"/>
  <c r="AP67" i="50" s="1"/>
  <c r="AL105" i="50"/>
  <c r="AP105" i="50" s="1"/>
  <c r="AM45" i="50"/>
  <c r="AQ45" i="50" s="1"/>
  <c r="AN37" i="50"/>
  <c r="AR37" i="50" s="1"/>
  <c r="AO25" i="50"/>
  <c r="AL42" i="50"/>
  <c r="I31" i="64" s="1"/>
  <c r="M31" i="64" s="1"/>
  <c r="AM84" i="50"/>
  <c r="AQ84" i="50" s="1"/>
  <c r="AL25" i="50"/>
  <c r="AP25" i="50" s="1"/>
  <c r="AN112" i="50"/>
  <c r="AR112" i="50" s="1"/>
  <c r="AM16" i="50"/>
  <c r="AQ16" i="50" s="1"/>
  <c r="AO10" i="50"/>
  <c r="AS10" i="50" s="1"/>
  <c r="AO31" i="50"/>
  <c r="AS31" i="50" s="1"/>
  <c r="AO93" i="50"/>
  <c r="J54" i="64" s="1"/>
  <c r="N54" i="64" s="1"/>
  <c r="AL56" i="50"/>
  <c r="AP56" i="50" s="1"/>
  <c r="AO115" i="50"/>
  <c r="AM98" i="50"/>
  <c r="AQ98" i="50" s="1"/>
  <c r="AO108" i="50"/>
  <c r="AS108" i="50" s="1"/>
  <c r="AO41" i="50"/>
  <c r="AM94" i="50"/>
  <c r="AQ94" i="50" s="1"/>
  <c r="AN72" i="50"/>
  <c r="AR72" i="50" s="1"/>
  <c r="AL59" i="50"/>
  <c r="AP59" i="50" s="1"/>
  <c r="AM24" i="50"/>
  <c r="AQ24" i="50" s="1"/>
  <c r="AN110" i="50"/>
  <c r="AR110" i="50" s="1"/>
  <c r="AN52" i="50"/>
  <c r="K36" i="64" s="1"/>
  <c r="O36" i="64" s="1"/>
  <c r="AM23" i="50"/>
  <c r="AQ23" i="50" s="1"/>
  <c r="AL108" i="50"/>
  <c r="AP108" i="50" s="1"/>
  <c r="AN101" i="50"/>
  <c r="AR101" i="50" s="1"/>
  <c r="AL28" i="50"/>
  <c r="I22" i="64" s="1"/>
  <c r="M22" i="64" s="1"/>
  <c r="AM78" i="50"/>
  <c r="AQ78" i="50" s="1"/>
  <c r="AO9" i="50"/>
  <c r="AS9" i="50" s="1"/>
  <c r="AN104" i="50"/>
  <c r="AR104" i="50" s="1"/>
  <c r="AL41" i="50"/>
  <c r="AN10" i="50"/>
  <c r="AR10" i="50" s="1"/>
  <c r="AM55" i="50"/>
  <c r="AQ55" i="50" s="1"/>
  <c r="AN22" i="50"/>
  <c r="AR22" i="50" s="1"/>
  <c r="AM110" i="50"/>
  <c r="AQ110" i="50" s="1"/>
  <c r="AO87" i="50"/>
  <c r="AS87" i="50" s="1"/>
  <c r="AM73" i="50"/>
  <c r="AQ73" i="50" s="1"/>
  <c r="AM67" i="50"/>
  <c r="AQ67" i="50" s="1"/>
  <c r="AN83" i="50"/>
  <c r="AR83" i="50" s="1"/>
  <c r="AO34" i="50"/>
  <c r="AS34" i="50" s="1"/>
  <c r="AN9" i="50"/>
  <c r="AR9" i="50" s="1"/>
  <c r="AM93" i="50"/>
  <c r="AQ93" i="50" s="1"/>
  <c r="AO110" i="50"/>
  <c r="AS110" i="50" s="1"/>
  <c r="AN99" i="50"/>
  <c r="AR99" i="50" s="1"/>
  <c r="AM25" i="50"/>
  <c r="AQ25" i="50" s="1"/>
  <c r="AL19" i="50"/>
  <c r="I17" i="64" s="1"/>
  <c r="M17" i="64" s="1"/>
  <c r="AO100" i="50"/>
  <c r="AS100" i="50" s="1"/>
  <c r="AM65" i="50"/>
  <c r="AL109" i="50"/>
  <c r="AP109" i="50" s="1"/>
  <c r="AO46" i="50"/>
  <c r="AS46" i="50" s="1"/>
  <c r="AL15" i="50"/>
  <c r="AP15" i="50" s="1"/>
  <c r="AO56" i="50"/>
  <c r="J37" i="64" s="1"/>
  <c r="N37" i="64" s="1"/>
  <c r="AO91" i="50"/>
  <c r="AS91" i="50" s="1"/>
  <c r="AN8" i="50"/>
  <c r="AR8" i="50" s="1"/>
  <c r="AL93" i="50"/>
  <c r="AP93" i="50" s="1"/>
  <c r="AL98" i="50"/>
  <c r="I56" i="64" s="1"/>
  <c r="M56" i="64" s="1"/>
  <c r="AM111" i="50"/>
  <c r="AQ111" i="50" s="1"/>
  <c r="AO79" i="50"/>
  <c r="AS79" i="50" s="1"/>
  <c r="AM17" i="50"/>
  <c r="AQ17" i="50" s="1"/>
  <c r="AN69" i="50"/>
  <c r="AR69" i="50" s="1"/>
  <c r="AN33" i="50"/>
  <c r="AR33" i="50" s="1"/>
  <c r="AO59" i="50"/>
  <c r="AS59" i="50" s="1"/>
  <c r="AL21" i="50"/>
  <c r="AP21" i="50" s="1"/>
  <c r="AL29" i="50"/>
  <c r="AP29" i="50" s="1"/>
  <c r="AO107" i="50"/>
  <c r="AS107" i="50" s="1"/>
  <c r="AO103" i="50"/>
  <c r="AS103" i="50" s="1"/>
  <c r="AL39" i="50"/>
  <c r="I28" i="64" s="1"/>
  <c r="M28" i="64" s="1"/>
  <c r="AL57" i="50"/>
  <c r="AO67" i="50"/>
  <c r="AS67" i="50" s="1"/>
  <c r="AN73" i="50"/>
  <c r="AR73" i="50" s="1"/>
  <c r="AN67" i="50"/>
  <c r="K43" i="64" s="1"/>
  <c r="O43" i="64" s="1"/>
  <c r="AN87" i="50"/>
  <c r="AR87" i="50" s="1"/>
  <c r="AN90" i="50"/>
  <c r="AR90" i="50" s="1"/>
  <c r="AM15" i="50"/>
  <c r="AQ15" i="50" s="1"/>
  <c r="AN26" i="50"/>
  <c r="AR26" i="50" s="1"/>
  <c r="AM54" i="50"/>
  <c r="AQ54" i="50" s="1"/>
  <c r="AO109" i="50"/>
  <c r="AS109" i="50" s="1"/>
  <c r="AO27" i="50"/>
  <c r="AS27" i="50" s="1"/>
  <c r="AM46" i="50"/>
  <c r="AQ46" i="50" s="1"/>
  <c r="AO105" i="50"/>
  <c r="AS105" i="50" s="1"/>
  <c r="AN78" i="50"/>
  <c r="AR78" i="50" s="1"/>
  <c r="AM47" i="50"/>
  <c r="AQ47" i="50" s="1"/>
  <c r="AN70" i="50"/>
  <c r="AR70" i="50" s="1"/>
  <c r="AN18" i="50"/>
  <c r="AO112" i="50"/>
  <c r="AS112" i="50" s="1"/>
  <c r="AM72" i="50"/>
  <c r="AQ72" i="50" s="1"/>
  <c r="AO33" i="50"/>
  <c r="AM113" i="50"/>
  <c r="AQ113" i="50" s="1"/>
  <c r="AO32" i="50"/>
  <c r="AS32" i="50" s="1"/>
  <c r="AO114" i="50"/>
  <c r="AS114" i="50" s="1"/>
  <c r="AM107" i="50"/>
  <c r="AQ107" i="50" s="1"/>
  <c r="AM68" i="50"/>
  <c r="AQ68" i="50" s="1"/>
  <c r="AO29" i="50"/>
  <c r="J23" i="64" s="1"/>
  <c r="N23" i="64" s="1"/>
  <c r="AM43" i="50"/>
  <c r="AQ43" i="50" s="1"/>
  <c r="AM103" i="50"/>
  <c r="AQ103" i="50" s="1"/>
  <c r="AM50" i="50"/>
  <c r="AM81" i="50"/>
  <c r="AQ81" i="50" s="1"/>
  <c r="AL76" i="50"/>
  <c r="AP76" i="50" s="1"/>
  <c r="AL78" i="50"/>
  <c r="AP78" i="50" s="1"/>
  <c r="AL43" i="50"/>
  <c r="AP43" i="50" s="1"/>
  <c r="AM18" i="50"/>
  <c r="AN100" i="50"/>
  <c r="AR100" i="50" s="1"/>
  <c r="AO19" i="50"/>
  <c r="AS19" i="50" s="1"/>
  <c r="AL84" i="50"/>
  <c r="AP84" i="50" s="1"/>
  <c r="AO14" i="50"/>
  <c r="AN97" i="50"/>
  <c r="K55" i="64" s="1"/>
  <c r="O55" i="64" s="1"/>
  <c r="AM19" i="50"/>
  <c r="AQ19" i="50" s="1"/>
  <c r="AO60" i="50"/>
  <c r="AS60" i="50" s="1"/>
  <c r="AL18" i="50"/>
  <c r="AP18" i="50" s="1"/>
  <c r="AO83" i="50"/>
  <c r="AS83" i="50" s="1"/>
  <c r="AM76" i="50"/>
  <c r="AQ76" i="50" s="1"/>
  <c r="AL33" i="50"/>
  <c r="AP33" i="50" s="1"/>
  <c r="AM77" i="50"/>
  <c r="AQ77" i="50" s="1"/>
  <c r="AM57" i="50"/>
  <c r="AQ57" i="50" s="1"/>
  <c r="AM49" i="50"/>
  <c r="AQ49" i="50" s="1"/>
  <c r="AO65" i="50"/>
  <c r="AF86" i="57"/>
  <c r="S48" i="64"/>
  <c r="W48" i="64" s="1"/>
  <c r="O92" i="58"/>
  <c r="S92" i="58" s="1"/>
  <c r="W92" i="58" s="1"/>
  <c r="Q92" i="58"/>
  <c r="U92" i="58" s="1"/>
  <c r="Y92" i="58" s="1"/>
  <c r="N92" i="58"/>
  <c r="R92" i="58"/>
  <c r="T92" i="58"/>
  <c r="X92" i="58" s="1"/>
  <c r="AN108" i="50"/>
  <c r="AR108" i="50" s="1"/>
  <c r="AN89" i="50"/>
  <c r="K52" i="64" s="1"/>
  <c r="O52" i="64" s="1"/>
  <c r="AO42" i="50"/>
  <c r="AM12" i="50"/>
  <c r="H9" i="64" s="1"/>
  <c r="L9" i="64" s="1"/>
  <c r="AL75" i="50"/>
  <c r="AP75" i="50" s="1"/>
  <c r="AO76" i="50"/>
  <c r="AS76" i="50" s="1"/>
  <c r="AM34" i="50"/>
  <c r="H26" i="64" s="1"/>
  <c r="L26" i="64" s="1"/>
  <c r="AO35" i="50"/>
  <c r="AS35" i="50" s="1"/>
  <c r="AO99" i="50"/>
  <c r="AS99" i="50" s="1"/>
  <c r="AO111" i="50"/>
  <c r="AS111" i="50" s="1"/>
  <c r="AM87" i="50"/>
  <c r="AO8" i="50"/>
  <c r="AS8" i="50" s="1"/>
  <c r="O89" i="57"/>
  <c r="S89" i="57" s="1"/>
  <c r="W89" i="57" s="1"/>
  <c r="K93" i="58" s="1"/>
  <c r="O93" i="58" s="1"/>
  <c r="S93" i="58" s="1"/>
  <c r="W93" i="58" s="1"/>
  <c r="AE63" i="57"/>
  <c r="T48" i="64"/>
  <c r="X48" i="64" s="1"/>
  <c r="AG86" i="57"/>
  <c r="AE86" i="57"/>
  <c r="AD86" i="57"/>
  <c r="AG63" i="57"/>
  <c r="P92" i="58"/>
  <c r="Q48" i="64"/>
  <c r="U48" i="64" s="1"/>
  <c r="R48" i="64"/>
  <c r="V48" i="64" s="1"/>
  <c r="AD63" i="57"/>
  <c r="N66" i="57"/>
  <c r="R66" i="57" s="1"/>
  <c r="V66" i="57" s="1"/>
  <c r="J36" i="58" s="1"/>
  <c r="N36" i="58" s="1"/>
  <c r="R36" i="58" s="1"/>
  <c r="AF63" i="57"/>
  <c r="AN106" i="50"/>
  <c r="AR106" i="50" s="1"/>
  <c r="AN63" i="50"/>
  <c r="AR63" i="50" s="1"/>
  <c r="AN98" i="50"/>
  <c r="AR98" i="50" s="1"/>
  <c r="AM37" i="50"/>
  <c r="AQ37" i="50" s="1"/>
  <c r="AM91" i="50"/>
  <c r="AQ91" i="50" s="1"/>
  <c r="AL13" i="50"/>
  <c r="AO55" i="50"/>
  <c r="AS55" i="50" s="1"/>
  <c r="AO97" i="50"/>
  <c r="AL40" i="50"/>
  <c r="AP40" i="50" s="1"/>
  <c r="AO96" i="50"/>
  <c r="AS96" i="50" s="1"/>
  <c r="AM56" i="50"/>
  <c r="AM66" i="50"/>
  <c r="AO88" i="50"/>
  <c r="J51" i="64" s="1"/>
  <c r="N51" i="64" s="1"/>
  <c r="AL52" i="50"/>
  <c r="AP52" i="50" s="1"/>
  <c r="AM89" i="50"/>
  <c r="H52" i="64" s="1"/>
  <c r="L52" i="64" s="1"/>
  <c r="AL66" i="50"/>
  <c r="AO20" i="50"/>
  <c r="AS20" i="50" s="1"/>
  <c r="AM61" i="50"/>
  <c r="AQ61" i="50" s="1"/>
  <c r="N109" i="57"/>
  <c r="R109" i="57" s="1"/>
  <c r="V109" i="57" s="1"/>
  <c r="J105" i="58" s="1"/>
  <c r="N105" i="58" s="1"/>
  <c r="R105" i="58" s="1"/>
  <c r="O111" i="57"/>
  <c r="S111" i="57" s="1"/>
  <c r="W111" i="57" s="1"/>
  <c r="K107" i="58" s="1"/>
  <c r="O107" i="58" s="1"/>
  <c r="S107" i="58" s="1"/>
  <c r="W107" i="58" s="1"/>
  <c r="AL9" i="50"/>
  <c r="AP9" i="50" s="1"/>
  <c r="AN79" i="50"/>
  <c r="AR79" i="50" s="1"/>
  <c r="AL63" i="50"/>
  <c r="AP63" i="50" s="1"/>
  <c r="AM95" i="50"/>
  <c r="AQ95" i="50" s="1"/>
  <c r="AN58" i="50"/>
  <c r="AR58" i="50" s="1"/>
  <c r="AO68" i="50"/>
  <c r="AS68" i="50" s="1"/>
  <c r="AO47" i="50"/>
  <c r="AS47" i="50" s="1"/>
  <c r="AO51" i="50"/>
  <c r="AS51" i="50" s="1"/>
  <c r="AM26" i="50"/>
  <c r="AQ26" i="50" s="1"/>
  <c r="AL36" i="50"/>
  <c r="AP36" i="50" s="1"/>
  <c r="AN74" i="50"/>
  <c r="AR74" i="50" s="1"/>
  <c r="AL14" i="50"/>
  <c r="AP14" i="50" s="1"/>
  <c r="AM102" i="50"/>
  <c r="AQ102" i="50" s="1"/>
  <c r="AN23" i="50"/>
  <c r="K19" i="64" s="1"/>
  <c r="O19" i="64" s="1"/>
  <c r="AN15" i="50"/>
  <c r="AM105" i="50"/>
  <c r="AM86" i="50"/>
  <c r="H49" i="64" s="1"/>
  <c r="L49" i="64" s="1"/>
  <c r="AO36" i="50"/>
  <c r="AS36" i="50" s="1"/>
  <c r="AM11" i="50"/>
  <c r="AQ11" i="50" s="1"/>
  <c r="AN39" i="50"/>
  <c r="AR39" i="50" s="1"/>
  <c r="AO95" i="50"/>
  <c r="AS95" i="50" s="1"/>
  <c r="AN59" i="50"/>
  <c r="AR59" i="50" s="1"/>
  <c r="AN41" i="50"/>
  <c r="AL80" i="50"/>
  <c r="AO57" i="50"/>
  <c r="AS57" i="50" s="1"/>
  <c r="AN117" i="50"/>
  <c r="AR117" i="50" s="1"/>
  <c r="AO13" i="50"/>
  <c r="AS13" i="50" s="1"/>
  <c r="AL54" i="50"/>
  <c r="AP54" i="50" s="1"/>
  <c r="AM79" i="50"/>
  <c r="AQ79" i="50" s="1"/>
  <c r="AM69" i="50"/>
  <c r="AQ69" i="50" s="1"/>
  <c r="AO74" i="50"/>
  <c r="AS74" i="50" s="1"/>
  <c r="AO12" i="50"/>
  <c r="AO18" i="50"/>
  <c r="AS18" i="50" s="1"/>
  <c r="AL88" i="50"/>
  <c r="AO28" i="50"/>
  <c r="J22" i="64" s="1"/>
  <c r="N22" i="64" s="1"/>
  <c r="AO16" i="50"/>
  <c r="AN92" i="50"/>
  <c r="AR92" i="50" s="1"/>
  <c r="AL95" i="50"/>
  <c r="AP95" i="50" s="1"/>
  <c r="AL77" i="50"/>
  <c r="AP77" i="50" s="1"/>
  <c r="AN75" i="50"/>
  <c r="AR75" i="50" s="1"/>
  <c r="AN60" i="50"/>
  <c r="AR60" i="50" s="1"/>
  <c r="AN16" i="50"/>
  <c r="K14" i="64" s="1"/>
  <c r="O14" i="64" s="1"/>
  <c r="AO15" i="50"/>
  <c r="AS15" i="50" s="1"/>
  <c r="AN24" i="50"/>
  <c r="AR24" i="50" s="1"/>
  <c r="AO98" i="50"/>
  <c r="J56" i="64" s="1"/>
  <c r="N56" i="64" s="1"/>
  <c r="AL34" i="50"/>
  <c r="AM83" i="50"/>
  <c r="AQ83" i="50" s="1"/>
  <c r="AL60" i="50"/>
  <c r="AP60" i="50" s="1"/>
  <c r="AM71" i="50"/>
  <c r="H45" i="64" s="1"/>
  <c r="L45" i="64" s="1"/>
  <c r="AQ40" i="50"/>
  <c r="H29" i="64"/>
  <c r="L29" i="64" s="1"/>
  <c r="AR50" i="50"/>
  <c r="K34" i="64"/>
  <c r="O34" i="64" s="1"/>
  <c r="AR12" i="50"/>
  <c r="K9" i="64"/>
  <c r="O9" i="64" s="1"/>
  <c r="AP51" i="50"/>
  <c r="I35" i="64"/>
  <c r="M35" i="64" s="1"/>
  <c r="AR27" i="50"/>
  <c r="K21" i="64"/>
  <c r="O21" i="64" s="1"/>
  <c r="AL100" i="50"/>
  <c r="AP100" i="50" s="1"/>
  <c r="AN88" i="50"/>
  <c r="J8" i="64"/>
  <c r="N8" i="64" s="1"/>
  <c r="AR25" i="50"/>
  <c r="K20" i="64"/>
  <c r="O20" i="64" s="1"/>
  <c r="AQ64" i="50"/>
  <c r="H40" i="64"/>
  <c r="L40" i="64" s="1"/>
  <c r="AL37" i="50"/>
  <c r="AP37" i="50" s="1"/>
  <c r="AR14" i="50"/>
  <c r="K11" i="64"/>
  <c r="O11" i="64" s="1"/>
  <c r="AQ14" i="50"/>
  <c r="H11" i="64"/>
  <c r="L11" i="64" s="1"/>
  <c r="AQ27" i="50"/>
  <c r="H21" i="64"/>
  <c r="L21" i="64" s="1"/>
  <c r="AR19" i="50"/>
  <c r="K17" i="64"/>
  <c r="O17" i="64" s="1"/>
  <c r="H30" i="64"/>
  <c r="L30" i="64" s="1"/>
  <c r="S39" i="64"/>
  <c r="W39" i="64" s="1"/>
  <c r="AQ9" i="50"/>
  <c r="H7" i="64"/>
  <c r="L7" i="64" s="1"/>
  <c r="AR105" i="50"/>
  <c r="K58" i="64"/>
  <c r="O58" i="64" s="1"/>
  <c r="AR42" i="50"/>
  <c r="K31" i="64"/>
  <c r="O31" i="64" s="1"/>
  <c r="AP92" i="50"/>
  <c r="I53" i="64"/>
  <c r="M53" i="64" s="1"/>
  <c r="AQ29" i="50"/>
  <c r="H23" i="64"/>
  <c r="L23" i="64" s="1"/>
  <c r="T39" i="64"/>
  <c r="X39" i="64" s="1"/>
  <c r="R39" i="64"/>
  <c r="V39" i="64" s="1"/>
  <c r="AQ33" i="50"/>
  <c r="H25" i="64"/>
  <c r="L25" i="64" s="1"/>
  <c r="AR36" i="50"/>
  <c r="K27" i="64"/>
  <c r="O27" i="64" s="1"/>
  <c r="AR86" i="50"/>
  <c r="K49" i="64"/>
  <c r="O49" i="64" s="1"/>
  <c r="AP71" i="50"/>
  <c r="I45" i="64"/>
  <c r="M45" i="64" s="1"/>
  <c r="AR28" i="50"/>
  <c r="K22" i="64"/>
  <c r="O22" i="64" s="1"/>
  <c r="AQ13" i="50"/>
  <c r="H10" i="64"/>
  <c r="L10" i="64" s="1"/>
  <c r="AQ30" i="50"/>
  <c r="H24" i="64"/>
  <c r="L24" i="64" s="1"/>
  <c r="AS23" i="50"/>
  <c r="J19" i="64"/>
  <c r="N19" i="64" s="1"/>
  <c r="AR66" i="50"/>
  <c r="K42" i="64"/>
  <c r="O42" i="64" s="1"/>
  <c r="AS17" i="50"/>
  <c r="J15" i="64"/>
  <c r="N15" i="64" s="1"/>
  <c r="AQ114" i="50"/>
  <c r="H60" i="64"/>
  <c r="L60" i="64" s="1"/>
  <c r="I61" i="64"/>
  <c r="M61" i="64" s="1"/>
  <c r="AQ8" i="50"/>
  <c r="H6" i="64"/>
  <c r="L6" i="64" s="1"/>
  <c r="AR64" i="50"/>
  <c r="K40" i="64"/>
  <c r="O40" i="64" s="1"/>
  <c r="AR30" i="50"/>
  <c r="K24" i="64"/>
  <c r="O24" i="64" s="1"/>
  <c r="Q39" i="64"/>
  <c r="U39" i="64" s="1"/>
  <c r="P77" i="58"/>
  <c r="T77" i="58" s="1"/>
  <c r="Q77" i="58"/>
  <c r="U77" i="58" s="1"/>
  <c r="Y77" i="58" s="1"/>
  <c r="N99" i="57"/>
  <c r="R99" i="57" s="1"/>
  <c r="V99" i="57" s="1"/>
  <c r="J119" i="58" s="1"/>
  <c r="N119" i="58" s="1"/>
  <c r="R119" i="58" s="1"/>
  <c r="O87" i="57"/>
  <c r="S87" i="57" s="1"/>
  <c r="W87" i="57" s="1"/>
  <c r="K48" i="58" s="1"/>
  <c r="O48" i="58" s="1"/>
  <c r="S48" i="58" s="1"/>
  <c r="W48" i="58" s="1"/>
  <c r="N91" i="57"/>
  <c r="R91" i="57" s="1"/>
  <c r="V91" i="57" s="1"/>
  <c r="J94" i="58" s="1"/>
  <c r="N94" i="58" s="1"/>
  <c r="O16" i="57"/>
  <c r="S16" i="57" s="1"/>
  <c r="W16" i="57" s="1"/>
  <c r="K68" i="58" s="1"/>
  <c r="O68" i="58" s="1"/>
  <c r="S68" i="58" s="1"/>
  <c r="W68" i="58" s="1"/>
  <c r="O105" i="57"/>
  <c r="S105" i="57" s="1"/>
  <c r="W105" i="57" s="1"/>
  <c r="K101" i="58" s="1"/>
  <c r="O101" i="58" s="1"/>
  <c r="S101" i="58" s="1"/>
  <c r="W101" i="58" s="1"/>
  <c r="O83" i="57"/>
  <c r="S83" i="57" s="1"/>
  <c r="W83" i="57" s="1"/>
  <c r="K89" i="58" s="1"/>
  <c r="O89" i="58" s="1"/>
  <c r="S89" i="58" s="1"/>
  <c r="O91" i="57"/>
  <c r="S91" i="57" s="1"/>
  <c r="W91" i="57" s="1"/>
  <c r="K94" i="58" s="1"/>
  <c r="O94" i="58" s="1"/>
  <c r="S94" i="58" s="1"/>
  <c r="W94" i="58" s="1"/>
  <c r="O11" i="57"/>
  <c r="S11" i="57" s="1"/>
  <c r="W11" i="57" s="1"/>
  <c r="K12" i="58" s="1"/>
  <c r="O12" i="58" s="1"/>
  <c r="O96" i="57"/>
  <c r="S96" i="57" s="1"/>
  <c r="W96" i="57" s="1"/>
  <c r="K58" i="58" s="1"/>
  <c r="O58" i="58" s="1"/>
  <c r="S58" i="58" s="1"/>
  <c r="W58" i="58" s="1"/>
  <c r="N18" i="57"/>
  <c r="R18" i="57" s="1"/>
  <c r="V18" i="57" s="1"/>
  <c r="J18" i="58" s="1"/>
  <c r="N18" i="58" s="1"/>
  <c r="R18" i="58" s="1"/>
  <c r="N44" i="57"/>
  <c r="R44" i="57" s="1"/>
  <c r="V44" i="57" s="1"/>
  <c r="J25" i="58" s="1"/>
  <c r="N25" i="58" s="1"/>
  <c r="O70" i="57"/>
  <c r="S70" i="57" s="1"/>
  <c r="W70" i="57" s="1"/>
  <c r="K80" i="58" s="1"/>
  <c r="O80" i="58" s="1"/>
  <c r="S80" i="58" s="1"/>
  <c r="W80" i="58" s="1"/>
  <c r="O82" i="57"/>
  <c r="S82" i="57" s="1"/>
  <c r="W82" i="57" s="1"/>
  <c r="K47" i="58" s="1"/>
  <c r="O47" i="58" s="1"/>
  <c r="S47" i="58" s="1"/>
  <c r="W47" i="58" s="1"/>
  <c r="X30" i="57"/>
  <c r="L30" i="58" s="1"/>
  <c r="P30" i="58" s="1"/>
  <c r="AN114" i="50"/>
  <c r="AN13" i="50"/>
  <c r="AO81" i="50"/>
  <c r="O77" i="58"/>
  <c r="S77" i="58" s="1"/>
  <c r="W77" i="58" s="1"/>
  <c r="AL116" i="50"/>
  <c r="AP116" i="50" s="1"/>
  <c r="AN84" i="50"/>
  <c r="AR84" i="50" s="1"/>
  <c r="AJ3" i="50"/>
  <c r="AO37" i="50"/>
  <c r="AS37" i="50" s="1"/>
  <c r="AO80" i="50"/>
  <c r="AO71" i="50"/>
  <c r="AI3" i="50"/>
  <c r="AO43" i="50"/>
  <c r="AS43" i="50" s="1"/>
  <c r="AM82" i="50"/>
  <c r="AQ82" i="50" s="1"/>
  <c r="AM104" i="50"/>
  <c r="AQ104" i="50" s="1"/>
  <c r="AN29" i="50"/>
  <c r="AL50" i="50"/>
  <c r="AO50" i="50"/>
  <c r="AN115" i="50"/>
  <c r="AN57" i="50"/>
  <c r="AO106" i="50"/>
  <c r="AK3" i="50"/>
  <c r="AL102" i="50"/>
  <c r="AP102" i="50" s="1"/>
  <c r="AL103" i="50"/>
  <c r="AP103" i="50" s="1"/>
  <c r="AL86" i="50"/>
  <c r="AO30" i="50"/>
  <c r="AL11" i="50"/>
  <c r="AN111" i="50"/>
  <c r="AR111" i="50" s="1"/>
  <c r="AO38" i="50"/>
  <c r="AS38" i="50" s="1"/>
  <c r="AL97" i="50"/>
  <c r="AN77" i="50"/>
  <c r="AR77" i="50" s="1"/>
  <c r="AO26" i="50"/>
  <c r="AS26" i="50" s="1"/>
  <c r="AN81" i="50"/>
  <c r="AN51" i="50"/>
  <c r="AL44" i="50"/>
  <c r="AO90" i="50"/>
  <c r="AS90" i="50" s="1"/>
  <c r="AL17" i="50"/>
  <c r="AM70" i="50"/>
  <c r="AO45" i="50"/>
  <c r="AS45" i="50" s="1"/>
  <c r="AN17" i="50"/>
  <c r="AO40" i="50"/>
  <c r="AL45" i="50"/>
  <c r="AP45" i="50" s="1"/>
  <c r="AN31" i="50"/>
  <c r="AR31" i="50" s="1"/>
  <c r="AO54" i="50"/>
  <c r="AS54" i="50" s="1"/>
  <c r="AL64" i="50"/>
  <c r="AL16" i="50"/>
  <c r="AO22" i="50"/>
  <c r="AO58" i="50"/>
  <c r="AS58" i="50" s="1"/>
  <c r="AL27" i="50"/>
  <c r="AO24" i="50"/>
  <c r="AS24" i="50" s="1"/>
  <c r="AO63" i="50"/>
  <c r="AS63" i="50" s="1"/>
  <c r="AO66" i="50"/>
  <c r="N42" i="57"/>
  <c r="R42" i="57" s="1"/>
  <c r="V42" i="57" s="1"/>
  <c r="J21" i="58" s="1"/>
  <c r="N21" i="58" s="1"/>
  <c r="R21" i="58" s="1"/>
  <c r="N58" i="57"/>
  <c r="R58" i="57" s="1"/>
  <c r="V58" i="57" s="1"/>
  <c r="J51" i="58" s="1"/>
  <c r="N51" i="58" s="1"/>
  <c r="R51" i="58" s="1"/>
  <c r="N77" i="58"/>
  <c r="R77" i="58" s="1"/>
  <c r="O51" i="57"/>
  <c r="S51" i="57" s="1"/>
  <c r="W51" i="57" s="1"/>
  <c r="K37" i="58" s="1"/>
  <c r="O37" i="58" s="1"/>
  <c r="S37" i="58" s="1"/>
  <c r="W37" i="58" s="1"/>
  <c r="G115" i="57"/>
  <c r="O115" i="57" s="1"/>
  <c r="S115" i="57" s="1"/>
  <c r="W115" i="57" s="1"/>
  <c r="I78" i="57"/>
  <c r="M78" i="57" s="1"/>
  <c r="G30" i="57"/>
  <c r="O30" i="57" s="1"/>
  <c r="S30" i="57" s="1"/>
  <c r="W30" i="57" s="1"/>
  <c r="K30" i="58" s="1"/>
  <c r="O30" i="58" s="1"/>
  <c r="S30" i="58" s="1"/>
  <c r="W30" i="58" s="1"/>
  <c r="G53" i="57"/>
  <c r="O53" i="57" s="1"/>
  <c r="S53" i="57" s="1"/>
  <c r="W53" i="57" s="1"/>
  <c r="K41" i="58" s="1"/>
  <c r="O41" i="58" s="1"/>
  <c r="S41" i="58" s="1"/>
  <c r="W41" i="58" s="1"/>
  <c r="I85" i="57"/>
  <c r="O85" i="57" s="1"/>
  <c r="S85" i="57" s="1"/>
  <c r="W85" i="57" s="1"/>
  <c r="K91" i="58" s="1"/>
  <c r="O91" i="58" s="1"/>
  <c r="S91" i="58" s="1"/>
  <c r="W91" i="58" s="1"/>
  <c r="I74" i="57"/>
  <c r="M74" i="57" s="1"/>
  <c r="H43" i="57"/>
  <c r="X43" i="57" s="1"/>
  <c r="L23" i="58" s="1"/>
  <c r="P23" i="58" s="1"/>
  <c r="T23" i="58" s="1"/>
  <c r="G102" i="57"/>
  <c r="O102" i="57" s="1"/>
  <c r="S102" i="57" s="1"/>
  <c r="W102" i="57" s="1"/>
  <c r="K98" i="58" s="1"/>
  <c r="O98" i="58" s="1"/>
  <c r="S98" i="58" s="1"/>
  <c r="W98" i="58" s="1"/>
  <c r="F116" i="57"/>
  <c r="N116" i="57" s="1"/>
  <c r="R116" i="57" s="1"/>
  <c r="V116" i="57" s="1"/>
  <c r="J112" i="58" s="1"/>
  <c r="G28" i="57"/>
  <c r="O28" i="57" s="1"/>
  <c r="S28" i="57" s="1"/>
  <c r="W28" i="57" s="1"/>
  <c r="K72" i="58" s="1"/>
  <c r="O72" i="58" s="1"/>
  <c r="S72" i="58" s="1"/>
  <c r="W72" i="58" s="1"/>
  <c r="G65" i="57"/>
  <c r="O65" i="57" s="1"/>
  <c r="S65" i="57" s="1"/>
  <c r="W65" i="57" s="1"/>
  <c r="K78" i="58" s="1"/>
  <c r="O78" i="58" s="1"/>
  <c r="S78" i="58" s="1"/>
  <c r="W78" i="58" s="1"/>
  <c r="F80" i="57"/>
  <c r="N80" i="57" s="1"/>
  <c r="R80" i="57" s="1"/>
  <c r="V80" i="57" s="1"/>
  <c r="J88" i="58" s="1"/>
  <c r="N88" i="58" s="1"/>
  <c r="G37" i="57"/>
  <c r="O37" i="57" s="1"/>
  <c r="S37" i="57" s="1"/>
  <c r="W37" i="57" s="1"/>
  <c r="K11" i="58" s="1"/>
  <c r="O11" i="58" s="1"/>
  <c r="F100" i="57"/>
  <c r="N100" i="57" s="1"/>
  <c r="R100" i="57" s="1"/>
  <c r="V100" i="57" s="1"/>
  <c r="J59" i="58" s="1"/>
  <c r="N59" i="58" s="1"/>
  <c r="R59" i="58" s="1"/>
  <c r="H37" i="57"/>
  <c r="N37" i="57" s="1"/>
  <c r="R37" i="57" s="1"/>
  <c r="V37" i="57" s="1"/>
  <c r="J11" i="58" s="1"/>
  <c r="N11" i="58" s="1"/>
  <c r="I93" i="57"/>
  <c r="I18" i="57"/>
  <c r="O18" i="57" s="1"/>
  <c r="S18" i="57" s="1"/>
  <c r="W18" i="57" s="1"/>
  <c r="K18" i="58" s="1"/>
  <c r="O18" i="58" s="1"/>
  <c r="S18" i="58" s="1"/>
  <c r="W18" i="58" s="1"/>
  <c r="I76" i="57"/>
  <c r="O76" i="57" s="1"/>
  <c r="S76" i="57" s="1"/>
  <c r="W76" i="57" s="1"/>
  <c r="K44" i="58" s="1"/>
  <c r="O44" i="58" s="1"/>
  <c r="S44" i="58" s="1"/>
  <c r="W44" i="58" s="1"/>
  <c r="F21" i="57"/>
  <c r="N21" i="57" s="1"/>
  <c r="R21" i="57" s="1"/>
  <c r="V21" i="57" s="1"/>
  <c r="J70" i="58" s="1"/>
  <c r="N70" i="58" s="1"/>
  <c r="R70" i="58" s="1"/>
  <c r="G110" i="57"/>
  <c r="O110" i="57" s="1"/>
  <c r="S110" i="57" s="1"/>
  <c r="W110" i="57" s="1"/>
  <c r="K106" i="58" s="1"/>
  <c r="O106" i="58" s="1"/>
  <c r="S106" i="58" s="1"/>
  <c r="W106" i="58" s="1"/>
  <c r="F33" i="57"/>
  <c r="N33" i="57" s="1"/>
  <c r="R33" i="57" s="1"/>
  <c r="V33" i="57" s="1"/>
  <c r="J74" i="58" s="1"/>
  <c r="N74" i="58" s="1"/>
  <c r="F97" i="57"/>
  <c r="N97" i="57" s="1"/>
  <c r="R97" i="57" s="1"/>
  <c r="V97" i="57" s="1"/>
  <c r="J60" i="58" s="1"/>
  <c r="N60" i="58" s="1"/>
  <c r="R60" i="58" s="1"/>
  <c r="F27" i="57"/>
  <c r="N27" i="57" s="1"/>
  <c r="R27" i="57" s="1"/>
  <c r="V27" i="57" s="1"/>
  <c r="J28" i="58" s="1"/>
  <c r="N28" i="58" s="1"/>
  <c r="G49" i="57"/>
  <c r="O49" i="57" s="1"/>
  <c r="S49" i="57" s="1"/>
  <c r="W49" i="57" s="1"/>
  <c r="H15" i="57"/>
  <c r="N15" i="57" s="1"/>
  <c r="R15" i="57" s="1"/>
  <c r="V15" i="57" s="1"/>
  <c r="J14" i="58" s="1"/>
  <c r="N14" i="58" s="1"/>
  <c r="R14" i="58" s="1"/>
  <c r="F54" i="57"/>
  <c r="N54" i="57" s="1"/>
  <c r="R54" i="57" s="1"/>
  <c r="V54" i="57" s="1"/>
  <c r="J43" i="58" s="1"/>
  <c r="H81" i="57"/>
  <c r="X81" i="57" s="1"/>
  <c r="L46" i="58" s="1"/>
  <c r="P46" i="58" s="1"/>
  <c r="T46" i="58" s="1"/>
  <c r="F11" i="57"/>
  <c r="J11" i="57" s="1"/>
  <c r="G117" i="57"/>
  <c r="O117" i="57" s="1"/>
  <c r="S117" i="57" s="1"/>
  <c r="W117" i="57" s="1"/>
  <c r="K113" i="58" s="1"/>
  <c r="O113" i="58" s="1"/>
  <c r="S113" i="58" s="1"/>
  <c r="W113" i="58" s="1"/>
  <c r="F108" i="57"/>
  <c r="J108" i="57" s="1"/>
  <c r="G59" i="57"/>
  <c r="O59" i="57" s="1"/>
  <c r="S59" i="57" s="1"/>
  <c r="W59" i="57" s="1"/>
  <c r="K55" i="58" s="1"/>
  <c r="O55" i="58" s="1"/>
  <c r="S55" i="58" s="1"/>
  <c r="W55" i="58" s="1"/>
  <c r="H87" i="57"/>
  <c r="H108" i="57"/>
  <c r="X108" i="57" s="1"/>
  <c r="L104" i="58" s="1"/>
  <c r="P104" i="58" s="1"/>
  <c r="T104" i="58" s="1"/>
  <c r="H20" i="57"/>
  <c r="L20" i="57" s="1"/>
  <c r="G36" i="57"/>
  <c r="O36" i="57" s="1"/>
  <c r="S36" i="57" s="1"/>
  <c r="W36" i="57" s="1"/>
  <c r="K76" i="58" s="1"/>
  <c r="O76" i="58" s="1"/>
  <c r="S76" i="58" s="1"/>
  <c r="W76" i="58" s="1"/>
  <c r="G15" i="57"/>
  <c r="O15" i="57" s="1"/>
  <c r="S15" i="57" s="1"/>
  <c r="W15" i="57" s="1"/>
  <c r="K14" i="58" s="1"/>
  <c r="O14" i="58" s="1"/>
  <c r="F92" i="57"/>
  <c r="J92" i="57" s="1"/>
  <c r="G113" i="57"/>
  <c r="O113" i="57" s="1"/>
  <c r="S113" i="57" s="1"/>
  <c r="W113" i="57" s="1"/>
  <c r="K109" i="58" s="1"/>
  <c r="O109" i="58" s="1"/>
  <c r="S109" i="58" s="1"/>
  <c r="W109" i="58" s="1"/>
  <c r="F32" i="57"/>
  <c r="N32" i="57" s="1"/>
  <c r="R32" i="57" s="1"/>
  <c r="V32" i="57" s="1"/>
  <c r="J73" i="58" s="1"/>
  <c r="F62" i="57"/>
  <c r="N62" i="57" s="1"/>
  <c r="R62" i="57" s="1"/>
  <c r="V62" i="57" s="1"/>
  <c r="J63" i="58" s="1"/>
  <c r="N63" i="58" s="1"/>
  <c r="R63" i="58" s="1"/>
  <c r="H31" i="57"/>
  <c r="X31" i="57" s="1"/>
  <c r="L32" i="58" s="1"/>
  <c r="P32" i="58" s="1"/>
  <c r="G42" i="57"/>
  <c r="O42" i="57" s="1"/>
  <c r="S42" i="57" s="1"/>
  <c r="W42" i="57" s="1"/>
  <c r="K21" i="58" s="1"/>
  <c r="O21" i="58" s="1"/>
  <c r="S21" i="58" s="1"/>
  <c r="W21" i="58" s="1"/>
  <c r="G54" i="57"/>
  <c r="O54" i="57" s="1"/>
  <c r="S54" i="57" s="1"/>
  <c r="W54" i="57" s="1"/>
  <c r="K43" i="58" s="1"/>
  <c r="O43" i="58" s="1"/>
  <c r="S43" i="58" s="1"/>
  <c r="G118" i="57"/>
  <c r="O118" i="57" s="1"/>
  <c r="S118" i="57" s="1"/>
  <c r="W118" i="57" s="1"/>
  <c r="K114" i="58" s="1"/>
  <c r="O114" i="58" s="1"/>
  <c r="S114" i="58" s="1"/>
  <c r="G100" i="57"/>
  <c r="O100" i="57" s="1"/>
  <c r="S100" i="57" s="1"/>
  <c r="W100" i="57" s="1"/>
  <c r="K59" i="58" s="1"/>
  <c r="O59" i="58" s="1"/>
  <c r="S59" i="58" s="1"/>
  <c r="W59" i="58" s="1"/>
  <c r="H35" i="57"/>
  <c r="L35" i="57" s="1"/>
  <c r="F75" i="57"/>
  <c r="N75" i="57" s="1"/>
  <c r="R75" i="57" s="1"/>
  <c r="V75" i="57" s="1"/>
  <c r="J84" i="58" s="1"/>
  <c r="N84" i="58" s="1"/>
  <c r="H57" i="57"/>
  <c r="F93" i="57"/>
  <c r="N93" i="57" s="1"/>
  <c r="R93" i="57" s="1"/>
  <c r="V93" i="57" s="1"/>
  <c r="J54" i="58" s="1"/>
  <c r="N54" i="58" s="1"/>
  <c r="R54" i="58" s="1"/>
  <c r="F24" i="57"/>
  <c r="N24" i="57" s="1"/>
  <c r="R24" i="57" s="1"/>
  <c r="V24" i="57" s="1"/>
  <c r="J22" i="58" s="1"/>
  <c r="N22" i="58" s="1"/>
  <c r="R22" i="58" s="1"/>
  <c r="F72" i="57"/>
  <c r="N72" i="57" s="1"/>
  <c r="R72" i="57" s="1"/>
  <c r="V72" i="57" s="1"/>
  <c r="J82" i="58" s="1"/>
  <c r="N82" i="58" s="1"/>
  <c r="R82" i="58" s="1"/>
  <c r="I79" i="57"/>
  <c r="M79" i="57" s="1"/>
  <c r="H28" i="57"/>
  <c r="N28" i="57" s="1"/>
  <c r="R28" i="57" s="1"/>
  <c r="V28" i="57" s="1"/>
  <c r="J72" i="58" s="1"/>
  <c r="N72" i="58" s="1"/>
  <c r="R72" i="58" s="1"/>
  <c r="H55" i="57"/>
  <c r="X55" i="57" s="1"/>
  <c r="L45" i="58" s="1"/>
  <c r="P45" i="58" s="1"/>
  <c r="T45" i="58" s="1"/>
  <c r="F114" i="57"/>
  <c r="J114" i="57" s="1"/>
  <c r="I12" i="57"/>
  <c r="Y12" i="57" s="1"/>
  <c r="M65" i="58" s="1"/>
  <c r="Q65" i="58" s="1"/>
  <c r="U65" i="58" s="1"/>
  <c r="Y65" i="58" s="1"/>
  <c r="F59" i="57"/>
  <c r="N59" i="57" s="1"/>
  <c r="R59" i="57" s="1"/>
  <c r="V59" i="57" s="1"/>
  <c r="J55" i="58" s="1"/>
  <c r="N55" i="58" s="1"/>
  <c r="R55" i="58" s="1"/>
  <c r="G14" i="57"/>
  <c r="O14" i="57" s="1"/>
  <c r="S14" i="57" s="1"/>
  <c r="W14" i="57" s="1"/>
  <c r="K67" i="58" s="1"/>
  <c r="O67" i="58" s="1"/>
  <c r="S67" i="58" s="1"/>
  <c r="W67" i="58" s="1"/>
  <c r="G32" i="57"/>
  <c r="O32" i="57" s="1"/>
  <c r="S32" i="57" s="1"/>
  <c r="W32" i="57" s="1"/>
  <c r="K73" i="58" s="1"/>
  <c r="O73" i="58" s="1"/>
  <c r="S73" i="58" s="1"/>
  <c r="W73" i="58" s="1"/>
  <c r="I24" i="57"/>
  <c r="O24" i="57" s="1"/>
  <c r="S24" i="57" s="1"/>
  <c r="W24" i="57" s="1"/>
  <c r="K22" i="58" s="1"/>
  <c r="O22" i="58" s="1"/>
  <c r="S22" i="58" s="1"/>
  <c r="W22" i="58" s="1"/>
  <c r="H22" i="57"/>
  <c r="X22" i="57" s="1"/>
  <c r="L115" i="58" s="1"/>
  <c r="P115" i="58" s="1"/>
  <c r="T115" i="58" s="1"/>
  <c r="G10" i="57"/>
  <c r="O10" i="57" s="1"/>
  <c r="S10" i="57" s="1"/>
  <c r="W10" i="57" s="1"/>
  <c r="K10" i="58" s="1"/>
  <c r="O10" i="58" s="1"/>
  <c r="G31" i="57"/>
  <c r="O31" i="57" s="1"/>
  <c r="S31" i="57" s="1"/>
  <c r="W31" i="57" s="1"/>
  <c r="K32" i="58" s="1"/>
  <c r="O32" i="58" s="1"/>
  <c r="S32" i="58" s="1"/>
  <c r="W32" i="58" s="1"/>
  <c r="H94" i="57"/>
  <c r="X94" i="57" s="1"/>
  <c r="L56" i="58" s="1"/>
  <c r="P56" i="58" s="1"/>
  <c r="T56" i="58" s="1"/>
  <c r="I22" i="57"/>
  <c r="Y22" i="57" s="1"/>
  <c r="M115" i="58" s="1"/>
  <c r="Q115" i="58" s="1"/>
  <c r="U115" i="58" s="1"/>
  <c r="Y115" i="58" s="1"/>
  <c r="G109" i="57"/>
  <c r="O109" i="57" s="1"/>
  <c r="S109" i="57" s="1"/>
  <c r="W109" i="57" s="1"/>
  <c r="K105" i="58" s="1"/>
  <c r="O105" i="58" s="1"/>
  <c r="S105" i="58" s="1"/>
  <c r="W105" i="58" s="1"/>
  <c r="G75" i="57"/>
  <c r="O75" i="57" s="1"/>
  <c r="S75" i="57" s="1"/>
  <c r="W75" i="57" s="1"/>
  <c r="K84" i="58" s="1"/>
  <c r="O84" i="58" s="1"/>
  <c r="S84" i="58" s="1"/>
  <c r="W84" i="58" s="1"/>
  <c r="F47" i="57"/>
  <c r="N47" i="57" s="1"/>
  <c r="R47" i="57" s="1"/>
  <c r="V47" i="57" s="1"/>
  <c r="J31" i="58" s="1"/>
  <c r="H104" i="57"/>
  <c r="N104" i="57" s="1"/>
  <c r="R104" i="57" s="1"/>
  <c r="V104" i="57" s="1"/>
  <c r="J100" i="58" s="1"/>
  <c r="N100" i="58" s="1"/>
  <c r="R100" i="58" s="1"/>
  <c r="F88" i="57"/>
  <c r="N88" i="57" s="1"/>
  <c r="R88" i="57" s="1"/>
  <c r="V88" i="57" s="1"/>
  <c r="J50" i="58" s="1"/>
  <c r="N50" i="58" s="1"/>
  <c r="R50" i="58" s="1"/>
  <c r="H65" i="57"/>
  <c r="N65" i="57" s="1"/>
  <c r="R65" i="57" s="1"/>
  <c r="V65" i="57" s="1"/>
  <c r="J78" i="58" s="1"/>
  <c r="N78" i="58" s="1"/>
  <c r="R78" i="58" s="1"/>
  <c r="G101" i="57"/>
  <c r="O101" i="57" s="1"/>
  <c r="S101" i="57" s="1"/>
  <c r="W101" i="57" s="1"/>
  <c r="K97" i="58" s="1"/>
  <c r="O97" i="58" s="1"/>
  <c r="S97" i="58" s="1"/>
  <c r="W97" i="58" s="1"/>
  <c r="H106" i="57"/>
  <c r="X106" i="57" s="1"/>
  <c r="L102" i="58" s="1"/>
  <c r="P102" i="58" s="1"/>
  <c r="T102" i="58" s="1"/>
  <c r="H39" i="57"/>
  <c r="X39" i="57" s="1"/>
  <c r="L15" i="58" s="1"/>
  <c r="P15" i="58" s="1"/>
  <c r="F50" i="57"/>
  <c r="N50" i="57" s="1"/>
  <c r="R50" i="57" s="1"/>
  <c r="V50" i="57" s="1"/>
  <c r="J117" i="58" s="1"/>
  <c r="H77" i="57"/>
  <c r="F48" i="57"/>
  <c r="N48" i="57" s="1"/>
  <c r="R48" i="57" s="1"/>
  <c r="V48" i="57" s="1"/>
  <c r="J33" i="58" s="1"/>
  <c r="F49" i="57"/>
  <c r="N49" i="57" s="1"/>
  <c r="R49" i="57" s="1"/>
  <c r="V49" i="57" s="1"/>
  <c r="J35" i="58" s="1"/>
  <c r="H56" i="57"/>
  <c r="X56" i="57" s="1"/>
  <c r="L53" i="58" s="1"/>
  <c r="P53" i="58" s="1"/>
  <c r="H114" i="57"/>
  <c r="X114" i="57" s="1"/>
  <c r="L110" i="58" s="1"/>
  <c r="P110" i="58" s="1"/>
  <c r="G9" i="57"/>
  <c r="O9" i="57" s="1"/>
  <c r="S9" i="57" s="1"/>
  <c r="W9" i="57" s="1"/>
  <c r="AA9" i="57" s="1"/>
  <c r="G60" i="57"/>
  <c r="O60" i="57" s="1"/>
  <c r="S60" i="57" s="1"/>
  <c r="W60" i="57" s="1"/>
  <c r="K57" i="58" s="1"/>
  <c r="O57" i="58" s="1"/>
  <c r="S57" i="58" s="1"/>
  <c r="W57" i="58" s="1"/>
  <c r="G52" i="57"/>
  <c r="O52" i="57" s="1"/>
  <c r="S52" i="57" s="1"/>
  <c r="W52" i="57" s="1"/>
  <c r="K39" i="58" s="1"/>
  <c r="O39" i="58" s="1"/>
  <c r="S39" i="58" s="1"/>
  <c r="W39" i="58" s="1"/>
  <c r="G40" i="57"/>
  <c r="O40" i="57" s="1"/>
  <c r="S40" i="57" s="1"/>
  <c r="W40" i="57" s="1"/>
  <c r="K17" i="58" s="1"/>
  <c r="O17" i="58" s="1"/>
  <c r="S17" i="58" s="1"/>
  <c r="W17" i="58" s="1"/>
  <c r="F9" i="57"/>
  <c r="N9" i="57" s="1"/>
  <c r="R9" i="57" s="1"/>
  <c r="G41" i="57"/>
  <c r="O41" i="57" s="1"/>
  <c r="S41" i="57" s="1"/>
  <c r="W41" i="57" s="1"/>
  <c r="K19" i="58" s="1"/>
  <c r="O19" i="58" s="1"/>
  <c r="S19" i="58" s="1"/>
  <c r="W19" i="58" s="1"/>
  <c r="F71" i="57"/>
  <c r="N71" i="57" s="1"/>
  <c r="R71" i="57" s="1"/>
  <c r="V71" i="57" s="1"/>
  <c r="J81" i="58" s="1"/>
  <c r="N81" i="58" s="1"/>
  <c r="R81" i="58" s="1"/>
  <c r="H13" i="57"/>
  <c r="F25" i="57"/>
  <c r="N25" i="57" s="1"/>
  <c r="R25" i="57" s="1"/>
  <c r="V25" i="57" s="1"/>
  <c r="J24" i="58" s="1"/>
  <c r="N24" i="58" s="1"/>
  <c r="R24" i="58" s="1"/>
  <c r="H51" i="57"/>
  <c r="L51" i="57" s="1"/>
  <c r="G45" i="57"/>
  <c r="O45" i="57" s="1"/>
  <c r="S45" i="57" s="1"/>
  <c r="W45" i="57" s="1"/>
  <c r="K27" i="58" s="1"/>
  <c r="O27" i="58" s="1"/>
  <c r="S27" i="58" s="1"/>
  <c r="W27" i="58" s="1"/>
  <c r="G81" i="57"/>
  <c r="O81" i="57" s="1"/>
  <c r="S81" i="57" s="1"/>
  <c r="W81" i="57" s="1"/>
  <c r="F23" i="57"/>
  <c r="N23" i="57" s="1"/>
  <c r="R23" i="57" s="1"/>
  <c r="V23" i="57" s="1"/>
  <c r="J71" i="58" s="1"/>
  <c r="N71" i="58" s="1"/>
  <c r="R71" i="58" s="1"/>
  <c r="F74" i="57"/>
  <c r="N74" i="57" s="1"/>
  <c r="R74" i="57" s="1"/>
  <c r="V74" i="57" s="1"/>
  <c r="J42" i="58" s="1"/>
  <c r="N42" i="58" s="1"/>
  <c r="F70" i="57"/>
  <c r="N70" i="57" s="1"/>
  <c r="R70" i="57" s="1"/>
  <c r="V70" i="57" s="1"/>
  <c r="J80" i="58" s="1"/>
  <c r="N80" i="58" s="1"/>
  <c r="I95" i="57"/>
  <c r="O95" i="57" s="1"/>
  <c r="S95" i="57" s="1"/>
  <c r="W95" i="57" s="1"/>
  <c r="K96" i="58" s="1"/>
  <c r="O96" i="58" s="1"/>
  <c r="S96" i="58" s="1"/>
  <c r="H103" i="57"/>
  <c r="N103" i="57" s="1"/>
  <c r="R103" i="57" s="1"/>
  <c r="V103" i="57" s="1"/>
  <c r="J99" i="58" s="1"/>
  <c r="N99" i="58" s="1"/>
  <c r="I50" i="57"/>
  <c r="O50" i="57" s="1"/>
  <c r="S50" i="57" s="1"/>
  <c r="W50" i="57" s="1"/>
  <c r="K117" i="58" s="1"/>
  <c r="F52" i="57"/>
  <c r="N52" i="57" s="1"/>
  <c r="R52" i="57" s="1"/>
  <c r="V52" i="57" s="1"/>
  <c r="J39" i="58" s="1"/>
  <c r="N39" i="58" s="1"/>
  <c r="R39" i="58" s="1"/>
  <c r="G107" i="57"/>
  <c r="O107" i="57" s="1"/>
  <c r="S107" i="57" s="1"/>
  <c r="W107" i="57" s="1"/>
  <c r="F83" i="57"/>
  <c r="N83" i="57" s="1"/>
  <c r="R83" i="57" s="1"/>
  <c r="V83" i="57" s="1"/>
  <c r="J89" i="58" s="1"/>
  <c r="G34" i="57"/>
  <c r="O34" i="57" s="1"/>
  <c r="S34" i="57" s="1"/>
  <c r="W34" i="57" s="1"/>
  <c r="K75" i="58" s="1"/>
  <c r="O75" i="58" s="1"/>
  <c r="S75" i="58" s="1"/>
  <c r="W75" i="58" s="1"/>
  <c r="H96" i="57"/>
  <c r="N96" i="57" s="1"/>
  <c r="R96" i="57" s="1"/>
  <c r="V96" i="57" s="1"/>
  <c r="J58" i="58" s="1"/>
  <c r="N58" i="58" s="1"/>
  <c r="R58" i="58" s="1"/>
  <c r="H26" i="57"/>
  <c r="L26" i="57" s="1"/>
  <c r="F113" i="57"/>
  <c r="N113" i="57" s="1"/>
  <c r="R113" i="57" s="1"/>
  <c r="V113" i="57" s="1"/>
  <c r="J109" i="58" s="1"/>
  <c r="N109" i="58" s="1"/>
  <c r="R109" i="58" s="1"/>
  <c r="G33" i="57"/>
  <c r="O33" i="57" s="1"/>
  <c r="S33" i="57" s="1"/>
  <c r="W33" i="57" s="1"/>
  <c r="K74" i="58" s="1"/>
  <c r="O74" i="58" s="1"/>
  <c r="S74" i="58" s="1"/>
  <c r="W74" i="58" s="1"/>
  <c r="F95" i="57"/>
  <c r="N95" i="57" s="1"/>
  <c r="R95" i="57" s="1"/>
  <c r="V95" i="57" s="1"/>
  <c r="J96" i="58" s="1"/>
  <c r="H110" i="57"/>
  <c r="X110" i="57" s="1"/>
  <c r="L106" i="58" s="1"/>
  <c r="P106" i="58" s="1"/>
  <c r="T106" i="58" s="1"/>
  <c r="G116" i="57"/>
  <c r="O116" i="57" s="1"/>
  <c r="S116" i="57" s="1"/>
  <c r="W116" i="57" s="1"/>
  <c r="K112" i="58" s="1"/>
  <c r="O112" i="58" s="1"/>
  <c r="S112" i="58" s="1"/>
  <c r="H67" i="57"/>
  <c r="X67" i="57" s="1"/>
  <c r="L38" i="58" s="1"/>
  <c r="P38" i="58" s="1"/>
  <c r="T38" i="58" s="1"/>
  <c r="F36" i="57"/>
  <c r="N36" i="57" s="1"/>
  <c r="R36" i="57" s="1"/>
  <c r="V36" i="57" s="1"/>
  <c r="J76" i="58" s="1"/>
  <c r="F105" i="57"/>
  <c r="N105" i="57" s="1"/>
  <c r="R105" i="57" s="1"/>
  <c r="V105" i="57" s="1"/>
  <c r="J101" i="58" s="1"/>
  <c r="N101" i="58" s="1"/>
  <c r="R101" i="58" s="1"/>
  <c r="G97" i="57"/>
  <c r="O97" i="57" s="1"/>
  <c r="S97" i="57" s="1"/>
  <c r="W97" i="57" s="1"/>
  <c r="K60" i="58" s="1"/>
  <c r="O60" i="58" s="1"/>
  <c r="S60" i="58" s="1"/>
  <c r="W60" i="58" s="1"/>
  <c r="H47" i="57"/>
  <c r="X47" i="57" s="1"/>
  <c r="L31" i="58" s="1"/>
  <c r="P31" i="58" s="1"/>
  <c r="F56" i="57"/>
  <c r="N56" i="57" s="1"/>
  <c r="R56" i="57" s="1"/>
  <c r="V56" i="57" s="1"/>
  <c r="J53" i="58" s="1"/>
  <c r="H92" i="57"/>
  <c r="X92" i="57" s="1"/>
  <c r="L95" i="58" s="1"/>
  <c r="P95" i="58" s="1"/>
  <c r="T95" i="58" s="1"/>
  <c r="H29" i="57"/>
  <c r="N29" i="57" s="1"/>
  <c r="R29" i="57" s="1"/>
  <c r="V29" i="57" s="1"/>
  <c r="J116" i="58" s="1"/>
  <c r="N116" i="58" s="1"/>
  <c r="R116" i="58" s="1"/>
  <c r="N14" i="57"/>
  <c r="R14" i="57" s="1"/>
  <c r="V14" i="57" s="1"/>
  <c r="J67" i="58" s="1"/>
  <c r="N67" i="58" s="1"/>
  <c r="R67" i="58" s="1"/>
  <c r="O90" i="57"/>
  <c r="S90" i="57" s="1"/>
  <c r="W90" i="57" s="1"/>
  <c r="K52" i="58" s="1"/>
  <c r="O52" i="58" s="1"/>
  <c r="S52" i="58" s="1"/>
  <c r="W52" i="58" s="1"/>
  <c r="O106" i="57"/>
  <c r="S106" i="57" s="1"/>
  <c r="W106" i="57" s="1"/>
  <c r="K102" i="58" s="1"/>
  <c r="O102" i="58" s="1"/>
  <c r="S102" i="58" s="1"/>
  <c r="W102" i="58" s="1"/>
  <c r="O72" i="57"/>
  <c r="S72" i="57" s="1"/>
  <c r="W72" i="57" s="1"/>
  <c r="K82" i="58" s="1"/>
  <c r="O82" i="58" s="1"/>
  <c r="S82" i="58" s="1"/>
  <c r="W82" i="58" s="1"/>
  <c r="N79" i="57"/>
  <c r="R79" i="57" s="1"/>
  <c r="V79" i="57" s="1"/>
  <c r="J87" i="58" s="1"/>
  <c r="N87" i="58" s="1"/>
  <c r="R87" i="58" s="1"/>
  <c r="N41" i="57"/>
  <c r="R41" i="57" s="1"/>
  <c r="V41" i="57" s="1"/>
  <c r="O68" i="57"/>
  <c r="S68" i="57" s="1"/>
  <c r="W68" i="57" s="1"/>
  <c r="K40" i="58" s="1"/>
  <c r="O40" i="58" s="1"/>
  <c r="S40" i="58" s="1"/>
  <c r="W40" i="58" s="1"/>
  <c r="N31" i="57"/>
  <c r="R31" i="57" s="1"/>
  <c r="V31" i="57" s="1"/>
  <c r="J32" i="58" s="1"/>
  <c r="N89" i="57"/>
  <c r="R89" i="57" s="1"/>
  <c r="V89" i="57" s="1"/>
  <c r="J93" i="58" s="1"/>
  <c r="N93" i="58" s="1"/>
  <c r="R93" i="58" s="1"/>
  <c r="O69" i="57"/>
  <c r="S69" i="57" s="1"/>
  <c r="W69" i="57" s="1"/>
  <c r="K79" i="58" s="1"/>
  <c r="O79" i="58" s="1"/>
  <c r="S79" i="58" s="1"/>
  <c r="N19" i="57"/>
  <c r="R19" i="57" s="1"/>
  <c r="V19" i="57" s="1"/>
  <c r="J20" i="58" s="1"/>
  <c r="N20" i="58" s="1"/>
  <c r="R20" i="58" s="1"/>
  <c r="O88" i="57"/>
  <c r="S88" i="57" s="1"/>
  <c r="W88" i="57" s="1"/>
  <c r="O38" i="57"/>
  <c r="S38" i="57" s="1"/>
  <c r="W38" i="57" s="1"/>
  <c r="K13" i="58" s="1"/>
  <c r="O13" i="58" s="1"/>
  <c r="AO72" i="50"/>
  <c r="AS72" i="50" s="1"/>
  <c r="N84" i="57"/>
  <c r="R84" i="57" s="1"/>
  <c r="V84" i="57" s="1"/>
  <c r="J90" i="58" s="1"/>
  <c r="N90" i="58" s="1"/>
  <c r="O64" i="57"/>
  <c r="S64" i="57" s="1"/>
  <c r="W64" i="57" s="1"/>
  <c r="K61" i="58" s="1"/>
  <c r="O61" i="58" s="1"/>
  <c r="S61" i="58" s="1"/>
  <c r="W61" i="58" s="1"/>
  <c r="N78" i="57"/>
  <c r="R78" i="57" s="1"/>
  <c r="V78" i="57" s="1"/>
  <c r="J86" i="58" s="1"/>
  <c r="N86" i="58" s="1"/>
  <c r="O67" i="57"/>
  <c r="S67" i="57" s="1"/>
  <c r="W67" i="57" s="1"/>
  <c r="K38" i="58" s="1"/>
  <c r="O38" i="58" s="1"/>
  <c r="S38" i="58" s="1"/>
  <c r="W38" i="58" s="1"/>
  <c r="N64" i="57"/>
  <c r="R64" i="57" s="1"/>
  <c r="V64" i="57" s="1"/>
  <c r="J61" i="58" s="1"/>
  <c r="N61" i="58" s="1"/>
  <c r="R61" i="58" s="1"/>
  <c r="O62" i="57"/>
  <c r="S62" i="57" s="1"/>
  <c r="W62" i="57" s="1"/>
  <c r="K63" i="58" s="1"/>
  <c r="O63" i="58" s="1"/>
  <c r="S63" i="58" s="1"/>
  <c r="W63" i="58" s="1"/>
  <c r="O73" i="57"/>
  <c r="S73" i="57" s="1"/>
  <c r="W73" i="57" s="1"/>
  <c r="K83" i="58" s="1"/>
  <c r="O83" i="58" s="1"/>
  <c r="S83" i="58" s="1"/>
  <c r="W83" i="58" s="1"/>
  <c r="N53" i="57"/>
  <c r="R53" i="57" s="1"/>
  <c r="V53" i="57" s="1"/>
  <c r="J41" i="58" s="1"/>
  <c r="N41" i="58" s="1"/>
  <c r="R41" i="58" s="1"/>
  <c r="N10" i="57"/>
  <c r="R10" i="57" s="1"/>
  <c r="V10" i="57" s="1"/>
  <c r="J10" i="58" s="1"/>
  <c r="N10" i="58" s="1"/>
  <c r="O103" i="57"/>
  <c r="S103" i="57" s="1"/>
  <c r="W103" i="57" s="1"/>
  <c r="K99" i="58" s="1"/>
  <c r="O99" i="58" s="1"/>
  <c r="S99" i="58" s="1"/>
  <c r="W99" i="58" s="1"/>
  <c r="O94" i="57"/>
  <c r="S94" i="57" s="1"/>
  <c r="W94" i="57" s="1"/>
  <c r="AC3" i="50"/>
  <c r="N73" i="57"/>
  <c r="R73" i="57" s="1"/>
  <c r="V73" i="57" s="1"/>
  <c r="J83" i="58" s="1"/>
  <c r="N83" i="58" s="1"/>
  <c r="R83" i="58" s="1"/>
  <c r="O98" i="57"/>
  <c r="S98" i="57" s="1"/>
  <c r="W98" i="57" s="1"/>
  <c r="K62" i="58" s="1"/>
  <c r="O62" i="58" s="1"/>
  <c r="S62" i="58" s="1"/>
  <c r="W62" i="58" s="1"/>
  <c r="O29" i="57"/>
  <c r="S29" i="57" s="1"/>
  <c r="W29" i="57" s="1"/>
  <c r="K116" i="58" s="1"/>
  <c r="O116" i="58" s="1"/>
  <c r="S116" i="58" s="1"/>
  <c r="W116" i="58" s="1"/>
  <c r="N107" i="57"/>
  <c r="R107" i="57" s="1"/>
  <c r="V107" i="57" s="1"/>
  <c r="J103" i="58" s="1"/>
  <c r="N103" i="58" s="1"/>
  <c r="R103" i="58" s="1"/>
  <c r="O55" i="57"/>
  <c r="S55" i="57" s="1"/>
  <c r="W55" i="57" s="1"/>
  <c r="O61" i="57"/>
  <c r="S61" i="57" s="1"/>
  <c r="W61" i="57" s="1"/>
  <c r="N115" i="57"/>
  <c r="R115" i="57" s="1"/>
  <c r="V115" i="57" s="1"/>
  <c r="J111" i="58" s="1"/>
  <c r="N111" i="58" s="1"/>
  <c r="R111" i="58" s="1"/>
  <c r="O19" i="57"/>
  <c r="S19" i="57" s="1"/>
  <c r="W19" i="57" s="1"/>
  <c r="K20" i="58" s="1"/>
  <c r="O20" i="58" s="1"/>
  <c r="S20" i="58" s="1"/>
  <c r="W20" i="58" s="1"/>
  <c r="O99" i="57"/>
  <c r="S99" i="57" s="1"/>
  <c r="W99" i="57" s="1"/>
  <c r="K119" i="58" s="1"/>
  <c r="O119" i="58" s="1"/>
  <c r="S119" i="58" s="1"/>
  <c r="W119" i="58" s="1"/>
  <c r="N60" i="57"/>
  <c r="R60" i="57" s="1"/>
  <c r="V60" i="57" s="1"/>
  <c r="J57" i="58" s="1"/>
  <c r="N57" i="58" s="1"/>
  <c r="R57" i="58" s="1"/>
  <c r="O84" i="57"/>
  <c r="S84" i="57" s="1"/>
  <c r="W84" i="57" s="1"/>
  <c r="K90" i="58" s="1"/>
  <c r="O90" i="58" s="1"/>
  <c r="S90" i="58" s="1"/>
  <c r="W90" i="58" s="1"/>
  <c r="O27" i="57"/>
  <c r="S27" i="57" s="1"/>
  <c r="W27" i="57" s="1"/>
  <c r="K28" i="58" s="1"/>
  <c r="O28" i="58" s="1"/>
  <c r="S28" i="58" s="1"/>
  <c r="W28" i="58" s="1"/>
  <c r="O57" i="57"/>
  <c r="S57" i="57" s="1"/>
  <c r="W57" i="57" s="1"/>
  <c r="K49" i="58" s="1"/>
  <c r="O49" i="58" s="1"/>
  <c r="S49" i="58" s="1"/>
  <c r="W49" i="58" s="1"/>
  <c r="O77" i="57"/>
  <c r="S77" i="57" s="1"/>
  <c r="W77" i="57" s="1"/>
  <c r="K85" i="58" s="1"/>
  <c r="O85" i="58" s="1"/>
  <c r="S85" i="58" s="1"/>
  <c r="W85" i="58" s="1"/>
  <c r="N38" i="57"/>
  <c r="R38" i="57" s="1"/>
  <c r="V38" i="57" s="1"/>
  <c r="J13" i="58" s="1"/>
  <c r="N13" i="58" s="1"/>
  <c r="N101" i="57"/>
  <c r="R101" i="57" s="1"/>
  <c r="V101" i="57" s="1"/>
  <c r="J97" i="58" s="1"/>
  <c r="N97" i="58" s="1"/>
  <c r="R97" i="58" s="1"/>
  <c r="N76" i="57"/>
  <c r="R76" i="57" s="1"/>
  <c r="V76" i="57" s="1"/>
  <c r="J44" i="58" s="1"/>
  <c r="N44" i="58" s="1"/>
  <c r="R44" i="58" s="1"/>
  <c r="N12" i="57"/>
  <c r="R12" i="57" s="1"/>
  <c r="V12" i="57" s="1"/>
  <c r="J65" i="58" s="1"/>
  <c r="N65" i="58" s="1"/>
  <c r="R65" i="58" s="1"/>
  <c r="N61" i="57"/>
  <c r="R61" i="57" s="1"/>
  <c r="V61" i="57" s="1"/>
  <c r="J118" i="58" s="1"/>
  <c r="N118" i="58" s="1"/>
  <c r="O112" i="57"/>
  <c r="S112" i="57" s="1"/>
  <c r="W112" i="57" s="1"/>
  <c r="K108" i="58" s="1"/>
  <c r="O108" i="58" s="1"/>
  <c r="S108" i="58" s="1"/>
  <c r="W108" i="58" s="1"/>
  <c r="O80" i="57"/>
  <c r="S80" i="57" s="1"/>
  <c r="W80" i="57" s="1"/>
  <c r="K88" i="58" s="1"/>
  <c r="O88" i="58" s="1"/>
  <c r="S88" i="58" s="1"/>
  <c r="W88" i="58" s="1"/>
  <c r="N112" i="57"/>
  <c r="R112" i="57" s="1"/>
  <c r="V112" i="57" s="1"/>
  <c r="J108" i="58" s="1"/>
  <c r="N108" i="58" s="1"/>
  <c r="R108" i="58" s="1"/>
  <c r="O58" i="57"/>
  <c r="S58" i="57" s="1"/>
  <c r="W58" i="57" s="1"/>
  <c r="K51" i="58" s="1"/>
  <c r="O51" i="58" s="1"/>
  <c r="S51" i="58" s="1"/>
  <c r="W51" i="58" s="1"/>
  <c r="O92" i="57"/>
  <c r="S92" i="57" s="1"/>
  <c r="W92" i="57" s="1"/>
  <c r="K95" i="58" s="1"/>
  <c r="O95" i="58" s="1"/>
  <c r="S95" i="58" s="1"/>
  <c r="W95" i="58" s="1"/>
  <c r="O23" i="57"/>
  <c r="S23" i="57" s="1"/>
  <c r="W23" i="57" s="1"/>
  <c r="K71" i="58" s="1"/>
  <c r="O71" i="58" s="1"/>
  <c r="S71" i="58" s="1"/>
  <c r="W71" i="58" s="1"/>
  <c r="O46" i="57"/>
  <c r="S46" i="57" s="1"/>
  <c r="W46" i="57" s="1"/>
  <c r="K29" i="58" s="1"/>
  <c r="O29" i="58" s="1"/>
  <c r="S29" i="58" s="1"/>
  <c r="W29" i="58" s="1"/>
  <c r="O20" i="57"/>
  <c r="S20" i="57" s="1"/>
  <c r="W20" i="57" s="1"/>
  <c r="K69" i="58" s="1"/>
  <c r="O69" i="58" s="1"/>
  <c r="S69" i="58" s="1"/>
  <c r="W69" i="58" s="1"/>
  <c r="N17" i="57"/>
  <c r="R17" i="57" s="1"/>
  <c r="V17" i="57" s="1"/>
  <c r="J16" i="58" s="1"/>
  <c r="N16" i="58" s="1"/>
  <c r="R16" i="58" s="1"/>
  <c r="N68" i="57"/>
  <c r="R68" i="57" s="1"/>
  <c r="V68" i="57" s="1"/>
  <c r="J40" i="58" s="1"/>
  <c r="N40" i="58" s="1"/>
  <c r="R40" i="58" s="1"/>
  <c r="O71" i="57"/>
  <c r="S71" i="57" s="1"/>
  <c r="W71" i="57" s="1"/>
  <c r="K81" i="58" s="1"/>
  <c r="O81" i="58" s="1"/>
  <c r="S81" i="58" s="1"/>
  <c r="W81" i="58" s="1"/>
  <c r="N16" i="57"/>
  <c r="R16" i="57" s="1"/>
  <c r="V16" i="57" s="1"/>
  <c r="J68" i="58" s="1"/>
  <c r="N68" i="58" s="1"/>
  <c r="R68" i="58" s="1"/>
  <c r="O47" i="57"/>
  <c r="S47" i="57" s="1"/>
  <c r="W47" i="57" s="1"/>
  <c r="K31" i="58" s="1"/>
  <c r="O31" i="58" s="1"/>
  <c r="S31" i="58" s="1"/>
  <c r="W31" i="58" s="1"/>
  <c r="N34" i="57"/>
  <c r="R34" i="57" s="1"/>
  <c r="V34" i="57" s="1"/>
  <c r="J75" i="58" s="1"/>
  <c r="R75" i="58" s="1"/>
  <c r="O26" i="57"/>
  <c r="S26" i="57" s="1"/>
  <c r="W26" i="57" s="1"/>
  <c r="K26" i="58" s="1"/>
  <c r="O26" i="58" s="1"/>
  <c r="S26" i="58" s="1"/>
  <c r="W26" i="58" s="1"/>
  <c r="AO70" i="50"/>
  <c r="AO64" i="50"/>
  <c r="AM22" i="50"/>
  <c r="X60" i="57"/>
  <c r="L57" i="58" s="1"/>
  <c r="P57" i="58" s="1"/>
  <c r="T57" i="58" s="1"/>
  <c r="O43" i="57"/>
  <c r="S43" i="57" s="1"/>
  <c r="W43" i="57" s="1"/>
  <c r="K23" i="58" s="1"/>
  <c r="O23" i="58" s="1"/>
  <c r="S23" i="58" s="1"/>
  <c r="W23" i="58" s="1"/>
  <c r="N98" i="57"/>
  <c r="R98" i="57" s="1"/>
  <c r="V98" i="57" s="1"/>
  <c r="J62" i="58" s="1"/>
  <c r="N62" i="58" s="1"/>
  <c r="R62" i="58" s="1"/>
  <c r="AO73" i="50"/>
  <c r="AS73" i="50" s="1"/>
  <c r="N69" i="57"/>
  <c r="R69" i="57" s="1"/>
  <c r="V69" i="57" s="1"/>
  <c r="O39" i="57"/>
  <c r="S39" i="57" s="1"/>
  <c r="W39" i="57" s="1"/>
  <c r="K15" i="58" s="1"/>
  <c r="O15" i="58" s="1"/>
  <c r="N118" i="57"/>
  <c r="R118" i="57" s="1"/>
  <c r="V118" i="57" s="1"/>
  <c r="J114" i="58" s="1"/>
  <c r="N114" i="58" s="1"/>
  <c r="O35" i="57"/>
  <c r="S35" i="57" s="1"/>
  <c r="W35" i="57" s="1"/>
  <c r="K34" i="58" s="1"/>
  <c r="O34" i="58" s="1"/>
  <c r="S34" i="58" s="1"/>
  <c r="W34" i="58" s="1"/>
  <c r="O13" i="57"/>
  <c r="S13" i="57" s="1"/>
  <c r="W13" i="57" s="1"/>
  <c r="K66" i="58" s="1"/>
  <c r="O66" i="58" s="1"/>
  <c r="S66" i="58" s="1"/>
  <c r="W66" i="58" s="1"/>
  <c r="N85" i="57"/>
  <c r="R85" i="57" s="1"/>
  <c r="V85" i="57" s="1"/>
  <c r="J91" i="58" s="1"/>
  <c r="N91" i="58" s="1"/>
  <c r="R91" i="58" s="1"/>
  <c r="O25" i="57"/>
  <c r="S25" i="57" s="1"/>
  <c r="W25" i="57" s="1"/>
  <c r="K24" i="58" s="1"/>
  <c r="O24" i="58" s="1"/>
  <c r="S24" i="58" s="1"/>
  <c r="W24" i="58" s="1"/>
  <c r="O56" i="57"/>
  <c r="S56" i="57" s="1"/>
  <c r="W56" i="57" s="1"/>
  <c r="K53" i="58" s="1"/>
  <c r="O53" i="58" s="1"/>
  <c r="S53" i="58" s="1"/>
  <c r="W53" i="58" s="1"/>
  <c r="O108" i="57"/>
  <c r="S108" i="57" s="1"/>
  <c r="W108" i="57" s="1"/>
  <c r="K104" i="58" s="1"/>
  <c r="O104" i="58" s="1"/>
  <c r="S104" i="58" s="1"/>
  <c r="W104" i="58" s="1"/>
  <c r="O17" i="57"/>
  <c r="S17" i="57" s="1"/>
  <c r="W17" i="57" s="1"/>
  <c r="K16" i="58" s="1"/>
  <c r="O16" i="58" s="1"/>
  <c r="S16" i="58" s="1"/>
  <c r="W16" i="58" s="1"/>
  <c r="N102" i="57"/>
  <c r="R102" i="57" s="1"/>
  <c r="V102" i="57" s="1"/>
  <c r="J98" i="58" s="1"/>
  <c r="N98" i="58" s="1"/>
  <c r="R98" i="58" s="1"/>
  <c r="N90" i="57"/>
  <c r="R90" i="57" s="1"/>
  <c r="V90" i="57" s="1"/>
  <c r="J52" i="58" s="1"/>
  <c r="N52" i="58" s="1"/>
  <c r="R52" i="58" s="1"/>
  <c r="O21" i="57"/>
  <c r="S21" i="57" s="1"/>
  <c r="W21" i="57" s="1"/>
  <c r="K70" i="58" s="1"/>
  <c r="O70" i="58" s="1"/>
  <c r="S70" i="58" s="1"/>
  <c r="W70" i="58" s="1"/>
  <c r="O48" i="57"/>
  <c r="S48" i="57" s="1"/>
  <c r="W48" i="57" s="1"/>
  <c r="K33" i="58" s="1"/>
  <c r="O33" i="58" s="1"/>
  <c r="S33" i="58" s="1"/>
  <c r="N76" i="58"/>
  <c r="X45" i="57"/>
  <c r="L27" i="58" s="1"/>
  <c r="P27" i="58" s="1"/>
  <c r="T27" i="58" s="1"/>
  <c r="X44" i="57"/>
  <c r="L25" i="58" s="1"/>
  <c r="V46" i="57"/>
  <c r="J29" i="58" s="1"/>
  <c r="V30" i="57"/>
  <c r="J30" i="58" s="1"/>
  <c r="Y17" i="57"/>
  <c r="M16" i="58" s="1"/>
  <c r="Q16" i="58" s="1"/>
  <c r="U16" i="58" s="1"/>
  <c r="Y16" i="58" s="1"/>
  <c r="Y25" i="57"/>
  <c r="M24" i="58" s="1"/>
  <c r="Q24" i="58" s="1"/>
  <c r="U24" i="58" s="1"/>
  <c r="Y24" i="58" s="1"/>
  <c r="X98" i="57"/>
  <c r="L62" i="58" s="1"/>
  <c r="P62" i="58" s="1"/>
  <c r="T62" i="58" s="1"/>
  <c r="X85" i="57"/>
  <c r="L91" i="58" s="1"/>
  <c r="P91" i="58" s="1"/>
  <c r="T91" i="58" s="1"/>
  <c r="Y51" i="57"/>
  <c r="M37" i="58" s="1"/>
  <c r="Q37" i="58" s="1"/>
  <c r="U37" i="58" s="1"/>
  <c r="Y37" i="58" s="1"/>
  <c r="X107" i="57"/>
  <c r="L103" i="58" s="1"/>
  <c r="P103" i="58" s="1"/>
  <c r="T103" i="58" s="1"/>
  <c r="Y15" i="57"/>
  <c r="M14" i="58" s="1"/>
  <c r="Q14" i="58" s="1"/>
  <c r="Y10" i="57"/>
  <c r="M10" i="58" s="1"/>
  <c r="Q10" i="58" s="1"/>
  <c r="X88" i="57"/>
  <c r="L50" i="58" s="1"/>
  <c r="P50" i="58" s="1"/>
  <c r="T50" i="58" s="1"/>
  <c r="Y96" i="57"/>
  <c r="M58" i="58" s="1"/>
  <c r="Q58" i="58" s="1"/>
  <c r="U58" i="58" s="1"/>
  <c r="Y58" i="58" s="1"/>
  <c r="X116" i="57"/>
  <c r="L112" i="58" s="1"/>
  <c r="P112" i="58" s="1"/>
  <c r="X84" i="57"/>
  <c r="L90" i="58" s="1"/>
  <c r="P90" i="58" s="1"/>
  <c r="X99" i="57"/>
  <c r="L119" i="58" s="1"/>
  <c r="P119" i="58" s="1"/>
  <c r="T119" i="58" s="1"/>
  <c r="Y38" i="57"/>
  <c r="M13" i="58" s="1"/>
  <c r="Q13" i="58" s="1"/>
  <c r="Y92" i="57"/>
  <c r="M95" i="58" s="1"/>
  <c r="Q95" i="58" s="1"/>
  <c r="U95" i="58" s="1"/>
  <c r="Y95" i="58" s="1"/>
  <c r="X117" i="57"/>
  <c r="L113" i="58" s="1"/>
  <c r="P113" i="58" s="1"/>
  <c r="T113" i="58" s="1"/>
  <c r="V117" i="57"/>
  <c r="J113" i="58" s="1"/>
  <c r="N113" i="58" s="1"/>
  <c r="R113" i="58" s="1"/>
  <c r="X79" i="57"/>
  <c r="L87" i="58" s="1"/>
  <c r="P87" i="58" s="1"/>
  <c r="T87" i="58" s="1"/>
  <c r="Y44" i="57"/>
  <c r="M25" i="58" s="1"/>
  <c r="Q25" i="58" s="1"/>
  <c r="U25" i="58" s="1"/>
  <c r="Y25" i="58" s="1"/>
  <c r="W44" i="57"/>
  <c r="K25" i="58" s="1"/>
  <c r="O25" i="58" s="1"/>
  <c r="S25" i="58" s="1"/>
  <c r="W25" i="58" s="1"/>
  <c r="X17" i="57"/>
  <c r="L16" i="58" s="1"/>
  <c r="P16" i="58" s="1"/>
  <c r="T16" i="58" s="1"/>
  <c r="Y31" i="57"/>
  <c r="M32" i="58" s="1"/>
  <c r="Q32" i="58" s="1"/>
  <c r="U32" i="58" s="1"/>
  <c r="Y32" i="58" s="1"/>
  <c r="Y60" i="57"/>
  <c r="M57" i="58" s="1"/>
  <c r="Q57" i="58" s="1"/>
  <c r="U57" i="58" s="1"/>
  <c r="Y57" i="58" s="1"/>
  <c r="X21" i="57"/>
  <c r="L70" i="58" s="1"/>
  <c r="P70" i="58" s="1"/>
  <c r="T70" i="58" s="1"/>
  <c r="X70" i="57"/>
  <c r="L80" i="58" s="1"/>
  <c r="Y47" i="57"/>
  <c r="M31" i="58" s="1"/>
  <c r="Q31" i="58" s="1"/>
  <c r="U31" i="58" s="1"/>
  <c r="Y31" i="58" s="1"/>
  <c r="Y9" i="57"/>
  <c r="AC9" i="57" s="1"/>
  <c r="Y43" i="57"/>
  <c r="M23" i="58" s="1"/>
  <c r="Q23" i="58" s="1"/>
  <c r="U23" i="58" s="1"/>
  <c r="Y23" i="58" s="1"/>
  <c r="X66" i="57"/>
  <c r="L36" i="58" s="1"/>
  <c r="P36" i="58" s="1"/>
  <c r="T36" i="58" s="1"/>
  <c r="X78" i="57"/>
  <c r="L86" i="58" s="1"/>
  <c r="P86" i="58" s="1"/>
  <c r="X72" i="57"/>
  <c r="L82" i="58" s="1"/>
  <c r="P82" i="58" s="1"/>
  <c r="T82" i="58" s="1"/>
  <c r="Y113" i="57"/>
  <c r="M109" i="58" s="1"/>
  <c r="Q109" i="58" s="1"/>
  <c r="U109" i="58" s="1"/>
  <c r="Y109" i="58" s="1"/>
  <c r="Y91" i="57"/>
  <c r="M94" i="58" s="1"/>
  <c r="Q94" i="58" s="1"/>
  <c r="U94" i="58" s="1"/>
  <c r="Y94" i="58" s="1"/>
  <c r="Y84" i="57"/>
  <c r="M90" i="58" s="1"/>
  <c r="Q90" i="58" s="1"/>
  <c r="U90" i="58" s="1"/>
  <c r="Y90" i="58" s="1"/>
  <c r="Y99" i="57"/>
  <c r="M119" i="58" s="1"/>
  <c r="Q119" i="58" s="1"/>
  <c r="U119" i="58" s="1"/>
  <c r="Y119" i="58" s="1"/>
  <c r="X52" i="57"/>
  <c r="L39" i="58" s="1"/>
  <c r="P39" i="58" s="1"/>
  <c r="T39" i="58" s="1"/>
  <c r="X33" i="57"/>
  <c r="L74" i="58" s="1"/>
  <c r="P74" i="58" s="1"/>
  <c r="Y61" i="57"/>
  <c r="M118" i="58" s="1"/>
  <c r="Q118" i="58" s="1"/>
  <c r="U118" i="58" s="1"/>
  <c r="Y118" i="58" s="1"/>
  <c r="X53" i="57"/>
  <c r="L41" i="58" s="1"/>
  <c r="P41" i="58" s="1"/>
  <c r="T41" i="58" s="1"/>
  <c r="Y117" i="57"/>
  <c r="M113" i="58" s="1"/>
  <c r="Q113" i="58" s="1"/>
  <c r="U113" i="58" s="1"/>
  <c r="Y113" i="58" s="1"/>
  <c r="X59" i="57"/>
  <c r="L55" i="58" s="1"/>
  <c r="P55" i="58" s="1"/>
  <c r="T55" i="58" s="1"/>
  <c r="Y69" i="57"/>
  <c r="M79" i="58" s="1"/>
  <c r="Q79" i="58" s="1"/>
  <c r="U79" i="58" s="1"/>
  <c r="Y59" i="57"/>
  <c r="M55" i="58" s="1"/>
  <c r="Q55" i="58" s="1"/>
  <c r="U55" i="58" s="1"/>
  <c r="Y55" i="58" s="1"/>
  <c r="X100" i="57"/>
  <c r="L59" i="58" s="1"/>
  <c r="P59" i="58" s="1"/>
  <c r="T59" i="58" s="1"/>
  <c r="X118" i="57"/>
  <c r="L114" i="58" s="1"/>
  <c r="P114" i="58" s="1"/>
  <c r="X95" i="57"/>
  <c r="L96" i="58" s="1"/>
  <c r="X97" i="57"/>
  <c r="L60" i="58" s="1"/>
  <c r="P60" i="58" s="1"/>
  <c r="T60" i="58" s="1"/>
  <c r="X112" i="57"/>
  <c r="L108" i="58" s="1"/>
  <c r="P108" i="58" s="1"/>
  <c r="T108" i="58" s="1"/>
  <c r="Y88" i="57"/>
  <c r="M50" i="58" s="1"/>
  <c r="Q50" i="58" s="1"/>
  <c r="U50" i="58" s="1"/>
  <c r="Y50" i="58" s="1"/>
  <c r="X113" i="57"/>
  <c r="L109" i="58" s="1"/>
  <c r="P109" i="58" s="1"/>
  <c r="T109" i="58" s="1"/>
  <c r="X105" i="57"/>
  <c r="L101" i="58" s="1"/>
  <c r="P101" i="58" s="1"/>
  <c r="T101" i="58" s="1"/>
  <c r="X109" i="57"/>
  <c r="L105" i="58" s="1"/>
  <c r="P105" i="58" s="1"/>
  <c r="T105" i="58" s="1"/>
  <c r="Y55" i="57"/>
  <c r="M45" i="58" s="1"/>
  <c r="Q45" i="58" s="1"/>
  <c r="U45" i="58" s="1"/>
  <c r="Y45" i="58" s="1"/>
  <c r="X74" i="57"/>
  <c r="L42" i="58" s="1"/>
  <c r="X64" i="57"/>
  <c r="L61" i="58" s="1"/>
  <c r="P61" i="58" s="1"/>
  <c r="T61" i="58" s="1"/>
  <c r="X12" i="57"/>
  <c r="L65" i="58" s="1"/>
  <c r="P65" i="58" s="1"/>
  <c r="T65" i="58" s="1"/>
  <c r="X24" i="57"/>
  <c r="L22" i="58" s="1"/>
  <c r="P22" i="58" s="1"/>
  <c r="T22" i="58" s="1"/>
  <c r="Y40" i="57"/>
  <c r="M17" i="58" s="1"/>
  <c r="Q17" i="58" s="1"/>
  <c r="U17" i="58" s="1"/>
  <c r="Y17" i="58" s="1"/>
  <c r="Y106" i="57"/>
  <c r="M102" i="58" s="1"/>
  <c r="Q102" i="58" s="1"/>
  <c r="U102" i="58" s="1"/>
  <c r="Y102" i="58" s="1"/>
  <c r="Y94" i="57"/>
  <c r="M56" i="58" s="1"/>
  <c r="Q56" i="58" s="1"/>
  <c r="U56" i="58" s="1"/>
  <c r="Y56" i="58" s="1"/>
  <c r="Y52" i="57"/>
  <c r="M39" i="58" s="1"/>
  <c r="Q39" i="58" s="1"/>
  <c r="U39" i="58" s="1"/>
  <c r="Y39" i="58" s="1"/>
  <c r="Y107" i="57"/>
  <c r="M103" i="58" s="1"/>
  <c r="Q103" i="58" s="1"/>
  <c r="U103" i="58" s="1"/>
  <c r="Y103" i="58" s="1"/>
  <c r="Y75" i="57"/>
  <c r="M84" i="58" s="1"/>
  <c r="Q84" i="58" s="1"/>
  <c r="U84" i="58" s="1"/>
  <c r="Y84" i="58" s="1"/>
  <c r="Y29" i="57"/>
  <c r="M116" i="58" s="1"/>
  <c r="Q116" i="58" s="1"/>
  <c r="U116" i="58" s="1"/>
  <c r="Y116" i="58" s="1"/>
  <c r="X32" i="57"/>
  <c r="L73" i="58" s="1"/>
  <c r="P73" i="58" s="1"/>
  <c r="Y49" i="57"/>
  <c r="M35" i="58" s="1"/>
  <c r="Q35" i="58" s="1"/>
  <c r="U35" i="58" s="1"/>
  <c r="Y103" i="57"/>
  <c r="M99" i="58" s="1"/>
  <c r="Q99" i="58" s="1"/>
  <c r="U99" i="58" s="1"/>
  <c r="Y99" i="58" s="1"/>
  <c r="Y97" i="57"/>
  <c r="M60" i="58" s="1"/>
  <c r="Q60" i="58" s="1"/>
  <c r="U60" i="58" s="1"/>
  <c r="Y60" i="58" s="1"/>
  <c r="X36" i="57"/>
  <c r="L76" i="58" s="1"/>
  <c r="Y33" i="57"/>
  <c r="M74" i="58" s="1"/>
  <c r="Q74" i="58" s="1"/>
  <c r="U74" i="58" s="1"/>
  <c r="Y74" i="58" s="1"/>
  <c r="X18" i="57"/>
  <c r="L18" i="58" s="1"/>
  <c r="P18" i="58" s="1"/>
  <c r="T18" i="58" s="1"/>
  <c r="Y81" i="57"/>
  <c r="M46" i="58" s="1"/>
  <c r="Q46" i="58" s="1"/>
  <c r="U46" i="58" s="1"/>
  <c r="Y46" i="58" s="1"/>
  <c r="Y53" i="57"/>
  <c r="M41" i="58" s="1"/>
  <c r="Q41" i="58" s="1"/>
  <c r="U41" i="58" s="1"/>
  <c r="Y41" i="58" s="1"/>
  <c r="X41" i="57"/>
  <c r="L19" i="58" s="1"/>
  <c r="P19" i="58" s="1"/>
  <c r="T19" i="58" s="1"/>
  <c r="Y37" i="57"/>
  <c r="M11" i="58" s="1"/>
  <c r="Q11" i="58" s="1"/>
  <c r="Y115" i="57"/>
  <c r="M111" i="58" s="1"/>
  <c r="Q111" i="58" s="1"/>
  <c r="U111" i="58" s="1"/>
  <c r="Y111" i="58" s="1"/>
  <c r="Y68" i="57"/>
  <c r="M40" i="58" s="1"/>
  <c r="Q40" i="58" s="1"/>
  <c r="U40" i="58" s="1"/>
  <c r="Y40" i="58" s="1"/>
  <c r="Y66" i="57"/>
  <c r="M36" i="58" s="1"/>
  <c r="Q36" i="58" s="1"/>
  <c r="U36" i="58" s="1"/>
  <c r="Y36" i="58" s="1"/>
  <c r="W66" i="57"/>
  <c r="K36" i="58" s="1"/>
  <c r="O36" i="58" s="1"/>
  <c r="S36" i="58" s="1"/>
  <c r="W36" i="58" s="1"/>
  <c r="Y62" i="57"/>
  <c r="M63" i="58" s="1"/>
  <c r="Q63" i="58" s="1"/>
  <c r="U63" i="58" s="1"/>
  <c r="Y63" i="58" s="1"/>
  <c r="Y82" i="57"/>
  <c r="M47" i="58" s="1"/>
  <c r="Q47" i="58" s="1"/>
  <c r="U47" i="58" s="1"/>
  <c r="Y47" i="58" s="1"/>
  <c r="V111" i="57"/>
  <c r="J107" i="58" s="1"/>
  <c r="N107" i="58" s="1"/>
  <c r="X111" i="57"/>
  <c r="L107" i="58" s="1"/>
  <c r="P107" i="58" s="1"/>
  <c r="Y100" i="57"/>
  <c r="M59" i="58" s="1"/>
  <c r="Q59" i="58" s="1"/>
  <c r="U59" i="58" s="1"/>
  <c r="Y59" i="58" s="1"/>
  <c r="X93" i="57"/>
  <c r="L54" i="58" s="1"/>
  <c r="P54" i="58" s="1"/>
  <c r="T54" i="58" s="1"/>
  <c r="X101" i="57"/>
  <c r="L97" i="58" s="1"/>
  <c r="P97" i="58" s="1"/>
  <c r="T97" i="58" s="1"/>
  <c r="X10" i="57"/>
  <c r="L10" i="58" s="1"/>
  <c r="P10" i="58" s="1"/>
  <c r="Y19" i="57"/>
  <c r="M20" i="58" s="1"/>
  <c r="Q20" i="58" s="1"/>
  <c r="U20" i="58" s="1"/>
  <c r="Y20" i="58" s="1"/>
  <c r="Y112" i="57"/>
  <c r="M108" i="58" s="1"/>
  <c r="Q108" i="58" s="1"/>
  <c r="U108" i="58" s="1"/>
  <c r="Y108" i="58" s="1"/>
  <c r="Y116" i="57"/>
  <c r="M112" i="58" s="1"/>
  <c r="Q112" i="58" s="1"/>
  <c r="U112" i="58" s="1"/>
  <c r="Y46" i="57"/>
  <c r="M29" i="58" s="1"/>
  <c r="Q29" i="58" s="1"/>
  <c r="U29" i="58" s="1"/>
  <c r="Y29" i="58" s="1"/>
  <c r="Y20" i="57"/>
  <c r="M69" i="58" s="1"/>
  <c r="Q69" i="58" s="1"/>
  <c r="U69" i="58" s="1"/>
  <c r="Y69" i="58" s="1"/>
  <c r="Y23" i="57"/>
  <c r="M71" i="58" s="1"/>
  <c r="Q71" i="58" s="1"/>
  <c r="U71" i="58" s="1"/>
  <c r="Y71" i="58" s="1"/>
  <c r="X80" i="57"/>
  <c r="L88" i="58" s="1"/>
  <c r="P88" i="58" s="1"/>
  <c r="Y118" i="57"/>
  <c r="M114" i="58" s="1"/>
  <c r="Q114" i="58" s="1"/>
  <c r="U114" i="58" s="1"/>
  <c r="Y35" i="57"/>
  <c r="M34" i="58" s="1"/>
  <c r="Q34" i="58" s="1"/>
  <c r="U34" i="58" s="1"/>
  <c r="Y34" i="58" s="1"/>
  <c r="X71" i="57"/>
  <c r="L81" i="58" s="1"/>
  <c r="P81" i="58" s="1"/>
  <c r="T81" i="58" s="1"/>
  <c r="Y110" i="57"/>
  <c r="M106" i="58" s="1"/>
  <c r="Q106" i="58" s="1"/>
  <c r="U106" i="58" s="1"/>
  <c r="Y106" i="58" s="1"/>
  <c r="Y32" i="57"/>
  <c r="M73" i="58" s="1"/>
  <c r="Q73" i="58" s="1"/>
  <c r="U73" i="58" s="1"/>
  <c r="Y73" i="58" s="1"/>
  <c r="X83" i="57"/>
  <c r="L89" i="58" s="1"/>
  <c r="Y102" i="57"/>
  <c r="M98" i="58" s="1"/>
  <c r="Q98" i="58" s="1"/>
  <c r="U98" i="58" s="1"/>
  <c r="Y98" i="58" s="1"/>
  <c r="Y39" i="57"/>
  <c r="M15" i="58" s="1"/>
  <c r="Q15" i="58" s="1"/>
  <c r="Y98" i="57"/>
  <c r="M62" i="58" s="1"/>
  <c r="Q62" i="58" s="1"/>
  <c r="U62" i="58" s="1"/>
  <c r="Y62" i="58" s="1"/>
  <c r="Y108" i="57"/>
  <c r="M104" i="58" s="1"/>
  <c r="Q104" i="58" s="1"/>
  <c r="U104" i="58" s="1"/>
  <c r="Y104" i="58" s="1"/>
  <c r="X69" i="57"/>
  <c r="L79" i="58" s="1"/>
  <c r="X48" i="57"/>
  <c r="L33" i="58" s="1"/>
  <c r="Y57" i="57"/>
  <c r="M49" i="58" s="1"/>
  <c r="Q49" i="58" s="1"/>
  <c r="U49" i="58" s="1"/>
  <c r="Y49" i="58" s="1"/>
  <c r="Y73" i="57"/>
  <c r="M83" i="58" s="1"/>
  <c r="Q83" i="58" s="1"/>
  <c r="U83" i="58" s="1"/>
  <c r="Y83" i="58" s="1"/>
  <c r="Y67" i="57"/>
  <c r="M38" i="58" s="1"/>
  <c r="Q38" i="58" s="1"/>
  <c r="U38" i="58" s="1"/>
  <c r="Y38" i="58" s="1"/>
  <c r="Y77" i="57"/>
  <c r="M85" i="58" s="1"/>
  <c r="Q85" i="58" s="1"/>
  <c r="U85" i="58" s="1"/>
  <c r="Y85" i="58" s="1"/>
  <c r="Y65" i="57"/>
  <c r="M78" i="58" s="1"/>
  <c r="Q78" i="58" s="1"/>
  <c r="U78" i="58" s="1"/>
  <c r="Y78" i="58" s="1"/>
  <c r="Y105" i="57"/>
  <c r="M101" i="58" s="1"/>
  <c r="Q101" i="58" s="1"/>
  <c r="U101" i="58" s="1"/>
  <c r="Y101" i="58" s="1"/>
  <c r="X38" i="57"/>
  <c r="L13" i="58" s="1"/>
  <c r="P13" i="58" s="1"/>
  <c r="X27" i="57"/>
  <c r="L28" i="58" s="1"/>
  <c r="P28" i="58" s="1"/>
  <c r="Y41" i="57"/>
  <c r="M19" i="58" s="1"/>
  <c r="Q19" i="58" s="1"/>
  <c r="U19" i="58" s="1"/>
  <c r="Y19" i="58" s="1"/>
  <c r="Y109" i="57"/>
  <c r="M105" i="58" s="1"/>
  <c r="Q105" i="58" s="1"/>
  <c r="U105" i="58" s="1"/>
  <c r="Y105" i="58" s="1"/>
  <c r="Y89" i="57"/>
  <c r="M93" i="58" s="1"/>
  <c r="Q93" i="58" s="1"/>
  <c r="U93" i="58" s="1"/>
  <c r="Y93" i="58" s="1"/>
  <c r="Y111" i="57"/>
  <c r="M107" i="58" s="1"/>
  <c r="Q107" i="58" s="1"/>
  <c r="U107" i="58" s="1"/>
  <c r="Y107" i="58" s="1"/>
  <c r="Y80" i="57"/>
  <c r="M88" i="58" s="1"/>
  <c r="Q88" i="58" s="1"/>
  <c r="U88" i="58" s="1"/>
  <c r="Y88" i="58" s="1"/>
  <c r="Y70" i="57"/>
  <c r="M80" i="58" s="1"/>
  <c r="Q80" i="58" s="1"/>
  <c r="U80" i="58" s="1"/>
  <c r="Y80" i="58" s="1"/>
  <c r="X14" i="57"/>
  <c r="L67" i="58" s="1"/>
  <c r="P67" i="58" s="1"/>
  <c r="T67" i="58" s="1"/>
  <c r="Y30" i="57"/>
  <c r="M30" i="58" s="1"/>
  <c r="Q30" i="58" s="1"/>
  <c r="U30" i="58" s="1"/>
  <c r="Y30" i="58" s="1"/>
  <c r="Y42" i="57"/>
  <c r="M21" i="58" s="1"/>
  <c r="Q21" i="58" s="1"/>
  <c r="U21" i="58" s="1"/>
  <c r="Y21" i="58" s="1"/>
  <c r="Y26" i="57"/>
  <c r="M26" i="58" s="1"/>
  <c r="Q26" i="58" s="1"/>
  <c r="U26" i="58" s="1"/>
  <c r="Y26" i="58" s="1"/>
  <c r="X90" i="57"/>
  <c r="L52" i="58" s="1"/>
  <c r="P52" i="58" s="1"/>
  <c r="T52" i="58" s="1"/>
  <c r="Y11" i="57"/>
  <c r="M12" i="58" s="1"/>
  <c r="Q12" i="58" s="1"/>
  <c r="Y104" i="57"/>
  <c r="M100" i="58" s="1"/>
  <c r="Q100" i="58" s="1"/>
  <c r="U100" i="58" s="1"/>
  <c r="Y100" i="58" s="1"/>
  <c r="W104" i="57"/>
  <c r="K100" i="58" s="1"/>
  <c r="O100" i="58" s="1"/>
  <c r="S100" i="58" s="1"/>
  <c r="W100" i="58" s="1"/>
  <c r="Y14" i="57"/>
  <c r="M67" i="58" s="1"/>
  <c r="Q67" i="58" s="1"/>
  <c r="U67" i="58" s="1"/>
  <c r="Y67" i="58" s="1"/>
  <c r="X91" i="57"/>
  <c r="L94" i="58" s="1"/>
  <c r="P94" i="58" s="1"/>
  <c r="Y16" i="57"/>
  <c r="M68" i="58" s="1"/>
  <c r="Q68" i="58" s="1"/>
  <c r="U68" i="58" s="1"/>
  <c r="Y68" i="58" s="1"/>
  <c r="Y34" i="57"/>
  <c r="M75" i="58" s="1"/>
  <c r="Q75" i="58" s="1"/>
  <c r="U75" i="58" s="1"/>
  <c r="Y75" i="58" s="1"/>
  <c r="Y13" i="57"/>
  <c r="M66" i="58" s="1"/>
  <c r="Q66" i="58" s="1"/>
  <c r="U66" i="58" s="1"/>
  <c r="Y66" i="58" s="1"/>
  <c r="X115" i="57"/>
  <c r="L111" i="58" s="1"/>
  <c r="P111" i="58" s="1"/>
  <c r="T111" i="58" s="1"/>
  <c r="X111" i="58" s="1"/>
  <c r="Y48" i="57"/>
  <c r="M33" i="58" s="1"/>
  <c r="Q33" i="58" s="1"/>
  <c r="U33" i="58" s="1"/>
  <c r="Y28" i="57"/>
  <c r="M72" i="58" s="1"/>
  <c r="Q72" i="58" s="1"/>
  <c r="U72" i="58" s="1"/>
  <c r="Y72" i="58" s="1"/>
  <c r="Y90" i="57"/>
  <c r="M52" i="58" s="1"/>
  <c r="Q52" i="58" s="1"/>
  <c r="U52" i="58" s="1"/>
  <c r="Y52" i="58" s="1"/>
  <c r="X68" i="57"/>
  <c r="L40" i="58" s="1"/>
  <c r="P40" i="58" s="1"/>
  <c r="T40" i="58" s="1"/>
  <c r="Y36" i="57"/>
  <c r="M76" i="58" s="1"/>
  <c r="Q76" i="58" s="1"/>
  <c r="U76" i="58" s="1"/>
  <c r="Y76" i="58" s="1"/>
  <c r="Y56" i="57"/>
  <c r="M53" i="58" s="1"/>
  <c r="Q53" i="58" s="1"/>
  <c r="U53" i="58" s="1"/>
  <c r="Y53" i="58" s="1"/>
  <c r="Y114" i="57"/>
  <c r="M110" i="58" s="1"/>
  <c r="Q110" i="58" s="1"/>
  <c r="U110" i="58" s="1"/>
  <c r="Y110" i="58" s="1"/>
  <c r="W114" i="57"/>
  <c r="K110" i="58" s="1"/>
  <c r="O110" i="58" s="1"/>
  <c r="S110" i="58" s="1"/>
  <c r="W110" i="58" s="1"/>
  <c r="Y27" i="57"/>
  <c r="M28" i="58" s="1"/>
  <c r="Q28" i="58" s="1"/>
  <c r="U28" i="58" s="1"/>
  <c r="Y28" i="58" s="1"/>
  <c r="X76" i="57"/>
  <c r="L44" i="58" s="1"/>
  <c r="P44" i="58" s="1"/>
  <c r="T44" i="58" s="1"/>
  <c r="Y45" i="57"/>
  <c r="M27" i="58" s="1"/>
  <c r="Q27" i="58" s="1"/>
  <c r="U27" i="58" s="1"/>
  <c r="Y27" i="58" s="1"/>
  <c r="Y101" i="57"/>
  <c r="M97" i="58" s="1"/>
  <c r="Q97" i="58" s="1"/>
  <c r="U97" i="58" s="1"/>
  <c r="Y97" i="58" s="1"/>
  <c r="Y71" i="57"/>
  <c r="M81" i="58" s="1"/>
  <c r="Q81" i="58" s="1"/>
  <c r="U81" i="58" s="1"/>
  <c r="Y81" i="58" s="1"/>
  <c r="X49" i="57"/>
  <c r="L35" i="58" s="1"/>
  <c r="Y83" i="57"/>
  <c r="M89" i="58" s="1"/>
  <c r="Q89" i="58" s="1"/>
  <c r="U89" i="58" s="1"/>
  <c r="X19" i="57"/>
  <c r="L20" i="58" s="1"/>
  <c r="P20" i="58" s="1"/>
  <c r="T20" i="58" s="1"/>
  <c r="X11" i="57"/>
  <c r="L12" i="58" s="1"/>
  <c r="P12" i="58" s="1"/>
  <c r="X50" i="57"/>
  <c r="L117" i="58" s="1"/>
  <c r="X61" i="57"/>
  <c r="L118" i="58" s="1"/>
  <c r="P118" i="58" s="1"/>
  <c r="X54" i="57"/>
  <c r="L43" i="58" s="1"/>
  <c r="Y87" i="57"/>
  <c r="M48" i="58" s="1"/>
  <c r="Q48" i="58" s="1"/>
  <c r="U48" i="58" s="1"/>
  <c r="Y48" i="58" s="1"/>
  <c r="X62" i="57"/>
  <c r="L63" i="58" s="1"/>
  <c r="P63" i="58" s="1"/>
  <c r="T63" i="58" s="1"/>
  <c r="X23" i="57"/>
  <c r="L71" i="58" s="1"/>
  <c r="P71" i="58" s="1"/>
  <c r="T71" i="58" s="1"/>
  <c r="X71" i="58" s="1"/>
  <c r="Y64" i="57"/>
  <c r="M61" i="58" s="1"/>
  <c r="Q61" i="58" s="1"/>
  <c r="U61" i="58" s="1"/>
  <c r="Y61" i="58" s="1"/>
  <c r="Y58" i="57"/>
  <c r="M51" i="58" s="1"/>
  <c r="Q51" i="58" s="1"/>
  <c r="U51" i="58" s="1"/>
  <c r="Y51" i="58" s="1"/>
  <c r="Y54" i="57"/>
  <c r="M43" i="58" s="1"/>
  <c r="Q43" i="58" s="1"/>
  <c r="U43" i="58" s="1"/>
  <c r="Y72" i="57"/>
  <c r="M82" i="58" s="1"/>
  <c r="Q82" i="58" s="1"/>
  <c r="U82" i="58" s="1"/>
  <c r="Y82" i="58" s="1"/>
  <c r="X89" i="57"/>
  <c r="L93" i="58" s="1"/>
  <c r="P93" i="58" s="1"/>
  <c r="T93" i="58" s="1"/>
  <c r="X82" i="57"/>
  <c r="L47" i="58" s="1"/>
  <c r="P47" i="58" s="1"/>
  <c r="T47" i="58" s="1"/>
  <c r="V82" i="57"/>
  <c r="J47" i="58" s="1"/>
  <c r="N47" i="58" s="1"/>
  <c r="R47" i="58" s="1"/>
  <c r="N43" i="58"/>
  <c r="M19" i="57"/>
  <c r="P98" i="58"/>
  <c r="T98" i="58" s="1"/>
  <c r="J104" i="57"/>
  <c r="N73" i="58"/>
  <c r="M23" i="57"/>
  <c r="P89" i="58"/>
  <c r="L74" i="57"/>
  <c r="Z32" i="57"/>
  <c r="J32" i="57"/>
  <c r="AD32" i="57" s="1"/>
  <c r="L90" i="57"/>
  <c r="P68" i="58"/>
  <c r="T68" i="58" s="1"/>
  <c r="M43" i="57"/>
  <c r="J98" i="57"/>
  <c r="K38" i="57"/>
  <c r="L111" i="57"/>
  <c r="L45" i="57"/>
  <c r="K48" i="57"/>
  <c r="M10" i="57"/>
  <c r="K12" i="57"/>
  <c r="K69" i="57"/>
  <c r="M89" i="57"/>
  <c r="K111" i="57"/>
  <c r="M48" i="57"/>
  <c r="J29" i="57"/>
  <c r="Q70" i="58"/>
  <c r="U70" i="58" s="1"/>
  <c r="Y70" i="58" s="1"/>
  <c r="M28" i="57"/>
  <c r="M90" i="57"/>
  <c r="M68" i="57"/>
  <c r="F5" i="58"/>
  <c r="M73" i="57"/>
  <c r="M61" i="57"/>
  <c r="AB54" i="57"/>
  <c r="L54" i="57"/>
  <c r="AF54" i="57" s="1"/>
  <c r="M53" i="57"/>
  <c r="J79" i="57"/>
  <c r="N96" i="58"/>
  <c r="L101" i="57"/>
  <c r="K29" i="57"/>
  <c r="J10" i="57"/>
  <c r="J103" i="57"/>
  <c r="J26" i="57"/>
  <c r="I5" i="58"/>
  <c r="N117" i="58"/>
  <c r="L84" i="57"/>
  <c r="J34" i="57"/>
  <c r="J99" i="57"/>
  <c r="J65" i="57"/>
  <c r="J61" i="57"/>
  <c r="J117" i="57"/>
  <c r="J109" i="57"/>
  <c r="J89" i="57"/>
  <c r="J111" i="57"/>
  <c r="L100" i="57"/>
  <c r="J85" i="57"/>
  <c r="L107" i="57"/>
  <c r="J64" i="57"/>
  <c r="M35" i="57"/>
  <c r="J60" i="57"/>
  <c r="K21" i="57"/>
  <c r="N33" i="58"/>
  <c r="J12" i="57"/>
  <c r="J68" i="57"/>
  <c r="L91" i="57"/>
  <c r="L78" i="57"/>
  <c r="M27" i="57"/>
  <c r="L76" i="57"/>
  <c r="L82" i="57"/>
  <c r="J55" i="57"/>
  <c r="K79" i="57"/>
  <c r="K51" i="57"/>
  <c r="M30" i="57"/>
  <c r="M45" i="57"/>
  <c r="M42" i="57"/>
  <c r="K44" i="57"/>
  <c r="K95" i="57"/>
  <c r="AB75" i="57"/>
  <c r="L75" i="57"/>
  <c r="M101" i="57"/>
  <c r="L71" i="57"/>
  <c r="L60" i="57"/>
  <c r="K83" i="57"/>
  <c r="L19" i="57"/>
  <c r="L12" i="57"/>
  <c r="P29" i="58"/>
  <c r="L24" i="57"/>
  <c r="M97" i="57"/>
  <c r="K90" i="57"/>
  <c r="L11" i="57"/>
  <c r="M104" i="57"/>
  <c r="M112" i="57"/>
  <c r="M88" i="57"/>
  <c r="K96" i="57"/>
  <c r="K73" i="57"/>
  <c r="M116" i="57"/>
  <c r="AB16" i="57"/>
  <c r="L16" i="57"/>
  <c r="AB46" i="57"/>
  <c r="L46" i="57"/>
  <c r="M84" i="57"/>
  <c r="L34" i="57"/>
  <c r="AB34" i="57"/>
  <c r="K66" i="57"/>
  <c r="K67" i="57"/>
  <c r="K114" i="57"/>
  <c r="K99" i="57"/>
  <c r="K77" i="57"/>
  <c r="L52" i="57"/>
  <c r="L33" i="57"/>
  <c r="L61" i="57"/>
  <c r="M105" i="57"/>
  <c r="M13" i="57"/>
  <c r="L18" i="57"/>
  <c r="M92" i="57"/>
  <c r="L27" i="57"/>
  <c r="K87" i="57"/>
  <c r="L53" i="57"/>
  <c r="L23" i="57"/>
  <c r="L41" i="57"/>
  <c r="M108" i="57"/>
  <c r="M117" i="57"/>
  <c r="M109" i="57"/>
  <c r="L59" i="57"/>
  <c r="K72" i="57"/>
  <c r="AB69" i="57"/>
  <c r="L69" i="57"/>
  <c r="AF69" i="57" s="1"/>
  <c r="M44" i="57"/>
  <c r="M75" i="57"/>
  <c r="M60" i="57"/>
  <c r="L21" i="57"/>
  <c r="M49" i="57"/>
  <c r="M103" i="57"/>
  <c r="M57" i="57"/>
  <c r="M102" i="57"/>
  <c r="J14" i="57"/>
  <c r="AB50" i="57"/>
  <c r="L50" i="57"/>
  <c r="AF50" i="57" s="1"/>
  <c r="M16" i="57"/>
  <c r="K39" i="57"/>
  <c r="AB25" i="57"/>
  <c r="L25" i="57"/>
  <c r="M106" i="57"/>
  <c r="M94" i="57"/>
  <c r="M77" i="57"/>
  <c r="M52" i="57"/>
  <c r="K27" i="57"/>
  <c r="M81" i="57"/>
  <c r="J41" i="57"/>
  <c r="M115" i="57"/>
  <c r="M82" i="57"/>
  <c r="M51" i="57"/>
  <c r="N31" i="58"/>
  <c r="Z95" i="57"/>
  <c r="J95" i="57"/>
  <c r="AD95" i="57" s="1"/>
  <c r="E4" i="57"/>
  <c r="M9" i="57"/>
  <c r="Z116" i="57"/>
  <c r="J116" i="57"/>
  <c r="AD116" i="57" s="1"/>
  <c r="J38" i="57"/>
  <c r="J87" i="57"/>
  <c r="M62" i="57"/>
  <c r="J69" i="57"/>
  <c r="P96" i="58"/>
  <c r="Z48" i="57"/>
  <c r="J48" i="57"/>
  <c r="AD48" i="57" s="1"/>
  <c r="J40" i="57"/>
  <c r="Z40" i="57"/>
  <c r="M47" i="57"/>
  <c r="L102" i="57"/>
  <c r="AB102" i="57"/>
  <c r="M14" i="57"/>
  <c r="P117" i="58"/>
  <c r="L66" i="57"/>
  <c r="L99" i="57"/>
  <c r="K22" i="57"/>
  <c r="J20" i="57"/>
  <c r="K80" i="57"/>
  <c r="L30" i="57"/>
  <c r="L42" i="57"/>
  <c r="AB42" i="57"/>
  <c r="J15" i="57"/>
  <c r="H5" i="58"/>
  <c r="K50" i="57"/>
  <c r="K16" i="57"/>
  <c r="M25" i="57"/>
  <c r="P79" i="58"/>
  <c r="M33" i="57"/>
  <c r="L38" i="57"/>
  <c r="P83" i="58"/>
  <c r="T83" i="58" s="1"/>
  <c r="J107" i="57"/>
  <c r="Z83" i="57"/>
  <c r="J83" i="57"/>
  <c r="AD83" i="57" s="1"/>
  <c r="N27" i="58"/>
  <c r="R27" i="58" s="1"/>
  <c r="J57" i="57"/>
  <c r="J112" i="57"/>
  <c r="L113" i="57"/>
  <c r="J96" i="57"/>
  <c r="J91" i="57"/>
  <c r="N35" i="58"/>
  <c r="J67" i="57"/>
  <c r="M54" i="57"/>
  <c r="M20" i="57"/>
  <c r="J81" i="57"/>
  <c r="J53" i="57"/>
  <c r="J115" i="57"/>
  <c r="N89" i="58"/>
  <c r="N112" i="58"/>
  <c r="J44" i="57"/>
  <c r="K17" i="57"/>
  <c r="J110" i="57"/>
  <c r="K26" i="57"/>
  <c r="J90" i="57"/>
  <c r="M11" i="57"/>
  <c r="L112" i="57"/>
  <c r="L88" i="57"/>
  <c r="J102" i="57"/>
  <c r="C4" i="57"/>
  <c r="Z50" i="57"/>
  <c r="J50" i="57"/>
  <c r="AD50" i="57" s="1"/>
  <c r="J16" i="57"/>
  <c r="K46" i="57"/>
  <c r="M39" i="57"/>
  <c r="J66" i="57"/>
  <c r="K25" i="57"/>
  <c r="J106" i="57"/>
  <c r="J94" i="57"/>
  <c r="L98" i="57"/>
  <c r="K13" i="57"/>
  <c r="Z54" i="57"/>
  <c r="J54" i="57"/>
  <c r="AD54" i="57" s="1"/>
  <c r="P84" i="58"/>
  <c r="K74" i="57"/>
  <c r="AB48" i="57"/>
  <c r="L48" i="57"/>
  <c r="AF48" i="57" s="1"/>
  <c r="K64" i="57"/>
  <c r="P75" i="58"/>
  <c r="P33" i="58"/>
  <c r="AB49" i="57"/>
  <c r="L49" i="57"/>
  <c r="AF49" i="57" s="1"/>
  <c r="AB83" i="57"/>
  <c r="L83" i="57"/>
  <c r="AF83" i="57" s="1"/>
  <c r="K58" i="57"/>
  <c r="L14" i="57"/>
  <c r="P17" i="58"/>
  <c r="T17" i="58" s="1"/>
  <c r="P35" i="58"/>
  <c r="K56" i="57"/>
  <c r="M38" i="57"/>
  <c r="P21" i="58"/>
  <c r="T21" i="58" s="1"/>
  <c r="X21" i="58" s="1"/>
  <c r="K62" i="57"/>
  <c r="P24" i="58"/>
  <c r="T24" i="58" s="1"/>
  <c r="X24" i="58" s="1"/>
  <c r="K82" i="57"/>
  <c r="K89" i="57"/>
  <c r="K55" i="57"/>
  <c r="M80" i="57"/>
  <c r="M64" i="57"/>
  <c r="K35" i="57"/>
  <c r="M71" i="57"/>
  <c r="M83" i="57"/>
  <c r="M40" i="57"/>
  <c r="K11" i="57"/>
  <c r="N15" i="58"/>
  <c r="P51" i="58"/>
  <c r="T51" i="58" s="1"/>
  <c r="M56" i="57"/>
  <c r="M67" i="57"/>
  <c r="J22" i="57"/>
  <c r="J18" i="57"/>
  <c r="L62" i="57"/>
  <c r="K23" i="57"/>
  <c r="J30" i="57"/>
  <c r="J42" i="57"/>
  <c r="L93" i="57"/>
  <c r="J118" i="57"/>
  <c r="J17" i="57"/>
  <c r="J101" i="57"/>
  <c r="Z49" i="57"/>
  <c r="J49" i="57"/>
  <c r="AD49" i="57" s="1"/>
  <c r="L97" i="57"/>
  <c r="M58" i="57"/>
  <c r="J73" i="57"/>
  <c r="J46" i="57"/>
  <c r="J84" i="57"/>
  <c r="J77" i="57"/>
  <c r="L105" i="57"/>
  <c r="J13" i="57"/>
  <c r="K18" i="57"/>
  <c r="L117" i="57"/>
  <c r="L109" i="57"/>
  <c r="M59" i="57"/>
  <c r="L89" i="57"/>
  <c r="M55" i="57"/>
  <c r="L80" i="57"/>
  <c r="J51" i="57"/>
  <c r="L85" i="57"/>
  <c r="L118" i="57"/>
  <c r="AB95" i="57"/>
  <c r="L95" i="57"/>
  <c r="AF95" i="57" s="1"/>
  <c r="L64" i="57"/>
  <c r="M15" i="57"/>
  <c r="M31" i="57"/>
  <c r="L70" i="57"/>
  <c r="J28" i="57"/>
  <c r="L68" i="57"/>
  <c r="J58" i="57"/>
  <c r="G5" i="58"/>
  <c r="Z36" i="57"/>
  <c r="J36" i="57"/>
  <c r="AD36" i="57" s="1"/>
  <c r="L116" i="57"/>
  <c r="N17" i="58"/>
  <c r="R17" i="58" s="1"/>
  <c r="J78" i="57"/>
  <c r="J76" i="57"/>
  <c r="L72" i="57"/>
  <c r="L115" i="57"/>
  <c r="J82" i="57"/>
  <c r="L79" i="57"/>
  <c r="P43" i="58"/>
  <c r="M100" i="57"/>
  <c r="K85" i="57"/>
  <c r="K93" i="57"/>
  <c r="L44" i="57"/>
  <c r="M17" i="57"/>
  <c r="M29" i="57"/>
  <c r="J35" i="57"/>
  <c r="J31" i="57"/>
  <c r="K71" i="57"/>
  <c r="M21" i="57"/>
  <c r="AC21" i="57"/>
  <c r="L10" i="57"/>
  <c r="L32" i="57"/>
  <c r="K70" i="57"/>
  <c r="K103" i="57"/>
  <c r="J19" i="57"/>
  <c r="K24" i="57"/>
  <c r="M26" i="57"/>
  <c r="AB40" i="57"/>
  <c r="L40" i="57"/>
  <c r="K68" i="57"/>
  <c r="K57" i="57"/>
  <c r="K104" i="57"/>
  <c r="K112" i="57"/>
  <c r="J47" i="57"/>
  <c r="Z47" i="57"/>
  <c r="K88" i="57"/>
  <c r="M113" i="57"/>
  <c r="M96" i="57"/>
  <c r="D4" i="57"/>
  <c r="L9" i="57"/>
  <c r="AB36" i="57"/>
  <c r="L36" i="57"/>
  <c r="AF36" i="57" s="1"/>
  <c r="AB73" i="57"/>
  <c r="L73" i="57"/>
  <c r="K91" i="57"/>
  <c r="J43" i="57"/>
  <c r="M46" i="57"/>
  <c r="K84" i="57"/>
  <c r="M34" i="57"/>
  <c r="J39" i="57"/>
  <c r="Z39" i="57"/>
  <c r="K106" i="57"/>
  <c r="K94" i="57"/>
  <c r="K98" i="57"/>
  <c r="K61" i="57"/>
  <c r="K105" i="57"/>
  <c r="K78" i="57"/>
  <c r="K92" i="57"/>
  <c r="K20" i="57"/>
  <c r="J27" i="57"/>
  <c r="K76" i="57"/>
  <c r="M41" i="57"/>
  <c r="M37" i="57"/>
  <c r="K108" i="57"/>
  <c r="J45" i="57"/>
  <c r="Z45" i="57"/>
  <c r="M118" i="57"/>
  <c r="M107" i="57"/>
  <c r="L17" i="57"/>
  <c r="M110" i="57"/>
  <c r="M32" i="57"/>
  <c r="M70" i="57"/>
  <c r="K19" i="57"/>
  <c r="AB58" i="57"/>
  <c r="L58" i="57"/>
  <c r="K47" i="57"/>
  <c r="B4" i="57"/>
  <c r="M36" i="57"/>
  <c r="M91" i="57"/>
  <c r="K43" i="57"/>
  <c r="M66" i="57"/>
  <c r="M114" i="57"/>
  <c r="M99" i="57"/>
  <c r="M98" i="57"/>
  <c r="M65" i="57"/>
  <c r="M87" i="57"/>
  <c r="J37" i="57"/>
  <c r="M72" i="57"/>
  <c r="M69" i="57"/>
  <c r="M111" i="57"/>
  <c r="AH3" i="50"/>
  <c r="AL8" i="50"/>
  <c r="AQ106" i="50" l="1"/>
  <c r="I50" i="64"/>
  <c r="M50" i="64" s="1"/>
  <c r="AQ39" i="50"/>
  <c r="I19" i="64"/>
  <c r="M19" i="64" s="1"/>
  <c r="X77" i="58"/>
  <c r="V92" i="58"/>
  <c r="Z92" i="58" s="1"/>
  <c r="V21" i="58"/>
  <c r="AB21" i="58" s="1"/>
  <c r="V58" i="58"/>
  <c r="X46" i="58"/>
  <c r="AQ51" i="50"/>
  <c r="AQ36" i="50"/>
  <c r="I47" i="64"/>
  <c r="M47" i="64" s="1"/>
  <c r="AQ115" i="50"/>
  <c r="K41" i="64"/>
  <c r="O41" i="64" s="1"/>
  <c r="H27" i="64"/>
  <c r="L27" i="64" s="1"/>
  <c r="AP22" i="50"/>
  <c r="H61" i="64"/>
  <c r="L61" i="64" s="1"/>
  <c r="AP70" i="50"/>
  <c r="H57" i="64"/>
  <c r="L57" i="64" s="1"/>
  <c r="K54" i="64"/>
  <c r="O54" i="64" s="1"/>
  <c r="I44" i="64"/>
  <c r="M44" i="64" s="1"/>
  <c r="AP12" i="50"/>
  <c r="K37" i="64"/>
  <c r="O37" i="64" s="1"/>
  <c r="AR56" i="50"/>
  <c r="H35" i="64"/>
  <c r="L35" i="64" s="1"/>
  <c r="K26" i="64"/>
  <c r="O26" i="64" s="1"/>
  <c r="M18" i="57"/>
  <c r="AQ97" i="50"/>
  <c r="H32" i="64"/>
  <c r="L32" i="64" s="1"/>
  <c r="AQ52" i="50"/>
  <c r="K46" i="64"/>
  <c r="O46" i="64" s="1"/>
  <c r="AR71" i="50"/>
  <c r="H36" i="64"/>
  <c r="L36" i="64" s="1"/>
  <c r="K6" i="64"/>
  <c r="O6" i="64" s="1"/>
  <c r="AS52" i="50"/>
  <c r="H46" i="64"/>
  <c r="L46" i="64" s="1"/>
  <c r="J57" i="64"/>
  <c r="N57" i="64" s="1"/>
  <c r="I9" i="64"/>
  <c r="M9" i="64" s="1"/>
  <c r="AR97" i="50"/>
  <c r="AR44" i="50"/>
  <c r="K29" i="64"/>
  <c r="O29" i="64" s="1"/>
  <c r="H55" i="64"/>
  <c r="L55" i="64" s="1"/>
  <c r="I37" i="64"/>
  <c r="M37" i="64" s="1"/>
  <c r="AP114" i="50"/>
  <c r="J53" i="64"/>
  <c r="N53" i="64" s="1"/>
  <c r="AQ42" i="50"/>
  <c r="J52" i="64"/>
  <c r="N52" i="64" s="1"/>
  <c r="H43" i="64"/>
  <c r="L43" i="64" s="1"/>
  <c r="AP19" i="50"/>
  <c r="I59" i="64"/>
  <c r="M59" i="64" s="1"/>
  <c r="H14" i="64"/>
  <c r="L14" i="64" s="1"/>
  <c r="J7" i="64"/>
  <c r="N7" i="64" s="1"/>
  <c r="AQ12" i="50"/>
  <c r="H54" i="64"/>
  <c r="L54" i="64" s="1"/>
  <c r="J21" i="64"/>
  <c r="N21" i="64" s="1"/>
  <c r="I57" i="64"/>
  <c r="M57" i="64" s="1"/>
  <c r="J28" i="64"/>
  <c r="N28" i="64" s="1"/>
  <c r="K57" i="64"/>
  <c r="O57" i="64" s="1"/>
  <c r="J60" i="64"/>
  <c r="N60" i="64" s="1"/>
  <c r="AS115" i="50"/>
  <c r="J36" i="64"/>
  <c r="N36" i="64" s="1"/>
  <c r="K18" i="64"/>
  <c r="O18" i="64" s="1"/>
  <c r="H12" i="64"/>
  <c r="L12" i="64" s="1"/>
  <c r="H38" i="64"/>
  <c r="L38" i="64" s="1"/>
  <c r="AS98" i="50"/>
  <c r="AS44" i="50"/>
  <c r="AP42" i="50"/>
  <c r="I58" i="64"/>
  <c r="M58" i="64" s="1"/>
  <c r="I29" i="64"/>
  <c r="M29" i="64" s="1"/>
  <c r="J43" i="64"/>
  <c r="N43" i="64" s="1"/>
  <c r="I60" i="64"/>
  <c r="M60" i="64" s="1"/>
  <c r="K7" i="64"/>
  <c r="O7" i="64" s="1"/>
  <c r="AQ86" i="50"/>
  <c r="K25" i="64"/>
  <c r="O25" i="64" s="1"/>
  <c r="AQ71" i="50"/>
  <c r="AR11" i="50"/>
  <c r="AP65" i="50"/>
  <c r="H53" i="64"/>
  <c r="L53" i="64" s="1"/>
  <c r="AQ88" i="50"/>
  <c r="AP30" i="50"/>
  <c r="AS25" i="50"/>
  <c r="I43" i="64"/>
  <c r="M43" i="64" s="1"/>
  <c r="I52" i="64"/>
  <c r="M52" i="64" s="1"/>
  <c r="J49" i="64"/>
  <c r="N49" i="64" s="1"/>
  <c r="AP39" i="50"/>
  <c r="AQ28" i="50"/>
  <c r="H22" i="64"/>
  <c r="L22" i="64" s="1"/>
  <c r="H8" i="64"/>
  <c r="L8" i="64" s="1"/>
  <c r="J17" i="64"/>
  <c r="N17" i="64" s="1"/>
  <c r="J61" i="64"/>
  <c r="N61" i="64" s="1"/>
  <c r="AQ65" i="50"/>
  <c r="J50" i="64"/>
  <c r="N50" i="64" s="1"/>
  <c r="AS93" i="50"/>
  <c r="AS65" i="50"/>
  <c r="J20" i="64"/>
  <c r="N20" i="64" s="1"/>
  <c r="H19" i="64"/>
  <c r="L19" i="64" s="1"/>
  <c r="K16" i="64"/>
  <c r="O16" i="64" s="1"/>
  <c r="I20" i="64"/>
  <c r="M20" i="64" s="1"/>
  <c r="J12" i="64"/>
  <c r="N12" i="64" s="1"/>
  <c r="K56" i="64"/>
  <c r="O56" i="64" s="1"/>
  <c r="H56" i="64"/>
  <c r="L56" i="64" s="1"/>
  <c r="AR41" i="50"/>
  <c r="H17" i="64"/>
  <c r="L17" i="64" s="1"/>
  <c r="H15" i="64"/>
  <c r="L15" i="64" s="1"/>
  <c r="AR52" i="50"/>
  <c r="AQ56" i="50"/>
  <c r="AR67" i="50"/>
  <c r="AP41" i="50"/>
  <c r="I54" i="64"/>
  <c r="M54" i="64" s="1"/>
  <c r="I12" i="64"/>
  <c r="M12" i="64" s="1"/>
  <c r="J10" i="64"/>
  <c r="N10" i="64" s="1"/>
  <c r="AQ89" i="50"/>
  <c r="AP28" i="50"/>
  <c r="AR89" i="50"/>
  <c r="AS33" i="50"/>
  <c r="AS28" i="50"/>
  <c r="K44" i="64"/>
  <c r="O44" i="64" s="1"/>
  <c r="AQ66" i="50"/>
  <c r="AQ18" i="50"/>
  <c r="J38" i="64"/>
  <c r="N38" i="64" s="1"/>
  <c r="AS14" i="50"/>
  <c r="AS41" i="50"/>
  <c r="I7" i="64"/>
  <c r="M7" i="64" s="1"/>
  <c r="H47" i="64"/>
  <c r="L47" i="64" s="1"/>
  <c r="H20" i="64"/>
  <c r="L20" i="64" s="1"/>
  <c r="H16" i="64"/>
  <c r="L16" i="64" s="1"/>
  <c r="J30" i="64"/>
  <c r="N30" i="64" s="1"/>
  <c r="I16" i="64"/>
  <c r="M16" i="64" s="1"/>
  <c r="J6" i="64"/>
  <c r="N6" i="64" s="1"/>
  <c r="AS29" i="50"/>
  <c r="AS88" i="50"/>
  <c r="L110" i="57"/>
  <c r="J25" i="64"/>
  <c r="N25" i="64" s="1"/>
  <c r="H41" i="64"/>
  <c r="L41" i="64" s="1"/>
  <c r="I46" i="64"/>
  <c r="M46" i="64" s="1"/>
  <c r="H37" i="64"/>
  <c r="L37" i="64" s="1"/>
  <c r="K30" i="64"/>
  <c r="O30" i="64" s="1"/>
  <c r="I30" i="64"/>
  <c r="M30" i="64" s="1"/>
  <c r="J26" i="64"/>
  <c r="N26" i="64" s="1"/>
  <c r="K115" i="57"/>
  <c r="AP98" i="50"/>
  <c r="J55" i="64"/>
  <c r="N55" i="64" s="1"/>
  <c r="AS56" i="50"/>
  <c r="J31" i="64"/>
  <c r="N31" i="64" s="1"/>
  <c r="I38" i="64"/>
  <c r="M38" i="64" s="1"/>
  <c r="I42" i="64"/>
  <c r="M42" i="64" s="1"/>
  <c r="H50" i="64"/>
  <c r="L50" i="64" s="1"/>
  <c r="H34" i="64"/>
  <c r="L34" i="64" s="1"/>
  <c r="H58" i="64"/>
  <c r="L58" i="64" s="1"/>
  <c r="AP66" i="50"/>
  <c r="AP80" i="50"/>
  <c r="AQ87" i="50"/>
  <c r="AQ50" i="50"/>
  <c r="AS97" i="50"/>
  <c r="J14" i="64"/>
  <c r="N14" i="64" s="1"/>
  <c r="AS42" i="50"/>
  <c r="J9" i="64"/>
  <c r="N9" i="64" s="1"/>
  <c r="AP57" i="50"/>
  <c r="AQ105" i="50"/>
  <c r="AR18" i="50"/>
  <c r="K59" i="64"/>
  <c r="O59" i="64" s="1"/>
  <c r="K53" i="64"/>
  <c r="O53" i="64" s="1"/>
  <c r="J41" i="64"/>
  <c r="N41" i="64" s="1"/>
  <c r="J113" i="57"/>
  <c r="K28" i="64"/>
  <c r="O28" i="64" s="1"/>
  <c r="I25" i="64"/>
  <c r="M25" i="64" s="1"/>
  <c r="I23" i="64"/>
  <c r="M23" i="64" s="1"/>
  <c r="AQ34" i="50"/>
  <c r="AS16" i="50"/>
  <c r="J58" i="64"/>
  <c r="N58" i="64" s="1"/>
  <c r="K50" i="64"/>
  <c r="O50" i="64" s="1"/>
  <c r="AS12" i="50"/>
  <c r="H42" i="64"/>
  <c r="L42" i="64" s="1"/>
  <c r="I11" i="64"/>
  <c r="M11" i="64" s="1"/>
  <c r="J35" i="64"/>
  <c r="N35" i="64" s="1"/>
  <c r="J16" i="64"/>
  <c r="N16" i="64" s="1"/>
  <c r="R107" i="58"/>
  <c r="V107" i="58" s="1"/>
  <c r="L15" i="57"/>
  <c r="J93" i="57"/>
  <c r="AA92" i="58"/>
  <c r="AC92" i="58"/>
  <c r="K110" i="57"/>
  <c r="L104" i="57"/>
  <c r="AA77" i="58"/>
  <c r="J27" i="64"/>
  <c r="N27" i="64" s="1"/>
  <c r="AP13" i="50"/>
  <c r="AB110" i="57"/>
  <c r="AP34" i="50"/>
  <c r="J11" i="64"/>
  <c r="N11" i="64" s="1"/>
  <c r="AP88" i="50"/>
  <c r="I27" i="64"/>
  <c r="M27" i="64" s="1"/>
  <c r="AB92" i="58"/>
  <c r="K109" i="57"/>
  <c r="K28" i="57"/>
  <c r="N55" i="57"/>
  <c r="R55" i="57" s="1"/>
  <c r="V55" i="57" s="1"/>
  <c r="J45" i="58" s="1"/>
  <c r="N45" i="58" s="1"/>
  <c r="R45" i="58" s="1"/>
  <c r="AR16" i="50"/>
  <c r="AR23" i="50"/>
  <c r="I36" i="64"/>
  <c r="M36" i="64" s="1"/>
  <c r="AC77" i="58"/>
  <c r="J24" i="57"/>
  <c r="K113" i="57"/>
  <c r="T107" i="58"/>
  <c r="X107" i="58" s="1"/>
  <c r="AC106" i="58"/>
  <c r="I26" i="64"/>
  <c r="M26" i="64" s="1"/>
  <c r="I51" i="64"/>
  <c r="M51" i="64" s="1"/>
  <c r="I10" i="64"/>
  <c r="M10" i="64" s="1"/>
  <c r="N110" i="57"/>
  <c r="R110" i="57" s="1"/>
  <c r="V110" i="57" s="1"/>
  <c r="J106" i="58" s="1"/>
  <c r="N106" i="58" s="1"/>
  <c r="R106" i="58" s="1"/>
  <c r="V106" i="58" s="1"/>
  <c r="AR15" i="50"/>
  <c r="K12" i="64"/>
  <c r="O12" i="64" s="1"/>
  <c r="T57" i="64"/>
  <c r="AP8" i="50"/>
  <c r="I6" i="64"/>
  <c r="M6" i="64" s="1"/>
  <c r="R32" i="64"/>
  <c r="T28" i="64"/>
  <c r="T12" i="64"/>
  <c r="AS70" i="50"/>
  <c r="J44" i="64"/>
  <c r="N44" i="64" s="1"/>
  <c r="AS66" i="50"/>
  <c r="J42" i="64"/>
  <c r="N42" i="64" s="1"/>
  <c r="AR17" i="50"/>
  <c r="K15" i="64"/>
  <c r="O15" i="64" s="1"/>
  <c r="AR57" i="50"/>
  <c r="K38" i="64"/>
  <c r="O38" i="64" s="1"/>
  <c r="AR29" i="50"/>
  <c r="K23" i="64"/>
  <c r="O23" i="64" s="1"/>
  <c r="AR114" i="50"/>
  <c r="K60" i="64"/>
  <c r="O60" i="64" s="1"/>
  <c r="Q6" i="64"/>
  <c r="U6" i="64" s="1"/>
  <c r="AS22" i="50"/>
  <c r="J18" i="64"/>
  <c r="N18" i="64" s="1"/>
  <c r="AP44" i="50"/>
  <c r="I32" i="64"/>
  <c r="M32" i="64" s="1"/>
  <c r="AP11" i="50"/>
  <c r="I8" i="64"/>
  <c r="M8" i="64" s="1"/>
  <c r="AR115" i="50"/>
  <c r="K61" i="64"/>
  <c r="O61" i="64" s="1"/>
  <c r="AS71" i="50"/>
  <c r="J45" i="64"/>
  <c r="N45" i="64" s="1"/>
  <c r="T30" i="64"/>
  <c r="R28" i="64"/>
  <c r="V28" i="64" s="1"/>
  <c r="T25" i="64"/>
  <c r="S6" i="64"/>
  <c r="AQ22" i="50"/>
  <c r="H18" i="64"/>
  <c r="L18" i="64" s="1"/>
  <c r="AP16" i="50"/>
  <c r="I14" i="64"/>
  <c r="M14" i="64" s="1"/>
  <c r="AQ70" i="50"/>
  <c r="H44" i="64"/>
  <c r="L44" i="64" s="1"/>
  <c r="AR51" i="50"/>
  <c r="K35" i="64"/>
  <c r="O35" i="64" s="1"/>
  <c r="AP97" i="50"/>
  <c r="I55" i="64"/>
  <c r="M55" i="64" s="1"/>
  <c r="AS30" i="50"/>
  <c r="J24" i="64"/>
  <c r="N24" i="64" s="1"/>
  <c r="AS50" i="50"/>
  <c r="J34" i="64"/>
  <c r="N34" i="64" s="1"/>
  <c r="AS80" i="50"/>
  <c r="J46" i="64"/>
  <c r="N46" i="64" s="1"/>
  <c r="AS81" i="50"/>
  <c r="J47" i="64"/>
  <c r="N47" i="64" s="1"/>
  <c r="T38" i="64"/>
  <c r="R61" i="64"/>
  <c r="V61" i="64" s="1"/>
  <c r="AS64" i="50"/>
  <c r="J40" i="64"/>
  <c r="N40" i="64" s="1"/>
  <c r="AP27" i="50"/>
  <c r="I21" i="64"/>
  <c r="M21" i="64" s="1"/>
  <c r="AP64" i="50"/>
  <c r="I40" i="64"/>
  <c r="M40" i="64" s="1"/>
  <c r="AS40" i="50"/>
  <c r="J29" i="64"/>
  <c r="N29" i="64" s="1"/>
  <c r="AP17" i="50"/>
  <c r="I15" i="64"/>
  <c r="M15" i="64" s="1"/>
  <c r="AR81" i="50"/>
  <c r="K47" i="64"/>
  <c r="O47" i="64" s="1"/>
  <c r="AP86" i="50"/>
  <c r="I49" i="64"/>
  <c r="M49" i="64" s="1"/>
  <c r="AS106" i="50"/>
  <c r="J59" i="64"/>
  <c r="N59" i="64" s="1"/>
  <c r="AP50" i="50"/>
  <c r="I34" i="64"/>
  <c r="M34" i="64" s="1"/>
  <c r="AR13" i="50"/>
  <c r="K10" i="64"/>
  <c r="O10" i="64" s="1"/>
  <c r="AR88" i="50"/>
  <c r="K51" i="64"/>
  <c r="O51" i="64" s="1"/>
  <c r="K54" i="57"/>
  <c r="N81" i="57"/>
  <c r="R81" i="57" s="1"/>
  <c r="V81" i="57" s="1"/>
  <c r="J46" i="58" s="1"/>
  <c r="N46" i="58" s="1"/>
  <c r="R46" i="58" s="1"/>
  <c r="N43" i="57"/>
  <c r="R43" i="57" s="1"/>
  <c r="V43" i="57" s="1"/>
  <c r="J23" i="58" s="1"/>
  <c r="N23" i="58" s="1"/>
  <c r="R23" i="58" s="1"/>
  <c r="V23" i="58" s="1"/>
  <c r="X104" i="57"/>
  <c r="L100" i="58" s="1"/>
  <c r="P100" i="58" s="1"/>
  <c r="T100" i="58" s="1"/>
  <c r="X100" i="58" s="1"/>
  <c r="X103" i="57"/>
  <c r="L99" i="58" s="1"/>
  <c r="P99" i="58" s="1"/>
  <c r="R53" i="58"/>
  <c r="V53" i="58" s="1"/>
  <c r="AB45" i="57"/>
  <c r="AF45" i="57" s="1"/>
  <c r="M76" i="57"/>
  <c r="K10" i="57"/>
  <c r="K42" i="57"/>
  <c r="L39" i="57"/>
  <c r="L55" i="57"/>
  <c r="AB67" i="57"/>
  <c r="K41" i="57"/>
  <c r="K33" i="57"/>
  <c r="J74" i="57"/>
  <c r="J88" i="57"/>
  <c r="L67" i="57"/>
  <c r="K60" i="57"/>
  <c r="K14" i="57"/>
  <c r="K34" i="57"/>
  <c r="M50" i="57"/>
  <c r="L47" i="57"/>
  <c r="J97" i="57"/>
  <c r="J100" i="57"/>
  <c r="Y50" i="57"/>
  <c r="M117" i="58" s="1"/>
  <c r="Q117" i="58" s="1"/>
  <c r="Y76" i="57"/>
  <c r="M44" i="58" s="1"/>
  <c r="Q44" i="58" s="1"/>
  <c r="U44" i="58" s="1"/>
  <c r="Y44" i="58" s="1"/>
  <c r="AA44" i="58" s="1"/>
  <c r="K102" i="57"/>
  <c r="L103" i="57"/>
  <c r="J33" i="57"/>
  <c r="K9" i="57"/>
  <c r="AE9" i="57" s="1"/>
  <c r="L22" i="57"/>
  <c r="K37" i="57"/>
  <c r="X15" i="57"/>
  <c r="L14" i="58" s="1"/>
  <c r="P14" i="58" s="1"/>
  <c r="T14" i="58" s="1"/>
  <c r="K117" i="57"/>
  <c r="L31" i="57"/>
  <c r="K100" i="57"/>
  <c r="J59" i="57"/>
  <c r="J9" i="57"/>
  <c r="J23" i="57"/>
  <c r="L108" i="57"/>
  <c r="L28" i="57"/>
  <c r="AB30" i="57"/>
  <c r="L106" i="57"/>
  <c r="M85" i="57"/>
  <c r="AB31" i="57"/>
  <c r="Y85" i="57"/>
  <c r="M91" i="58" s="1"/>
  <c r="Q91" i="58" s="1"/>
  <c r="U91" i="58" s="1"/>
  <c r="Y91" i="58" s="1"/>
  <c r="AA91" i="58" s="1"/>
  <c r="N22" i="57"/>
  <c r="R22" i="57" s="1"/>
  <c r="V22" i="57" s="1"/>
  <c r="J115" i="58" s="1"/>
  <c r="N115" i="58" s="1"/>
  <c r="R115" i="58" s="1"/>
  <c r="X28" i="57"/>
  <c r="L72" i="58" s="1"/>
  <c r="P72" i="58" s="1"/>
  <c r="T72" i="58" s="1"/>
  <c r="X72" i="58" s="1"/>
  <c r="N106" i="57"/>
  <c r="R106" i="57" s="1"/>
  <c r="V106" i="57" s="1"/>
  <c r="J102" i="58" s="1"/>
  <c r="N102" i="58" s="1"/>
  <c r="R102" i="58" s="1"/>
  <c r="V102" i="58" s="1"/>
  <c r="K116" i="57"/>
  <c r="AC96" i="57"/>
  <c r="AG96" i="57" s="1"/>
  <c r="K97" i="57"/>
  <c r="AB85" i="57"/>
  <c r="AF85" i="57" s="1"/>
  <c r="J25" i="57"/>
  <c r="L29" i="57"/>
  <c r="M22" i="57"/>
  <c r="Y18" i="57"/>
  <c r="M18" i="58" s="1"/>
  <c r="Q18" i="58" s="1"/>
  <c r="U18" i="58" s="1"/>
  <c r="Y18" i="58" s="1"/>
  <c r="AC18" i="58" s="1"/>
  <c r="O22" i="57"/>
  <c r="S22" i="57" s="1"/>
  <c r="W22" i="57" s="1"/>
  <c r="K115" i="58" s="1"/>
  <c r="O115" i="58" s="1"/>
  <c r="S115" i="58" s="1"/>
  <c r="W115" i="58" s="1"/>
  <c r="AC115" i="58" s="1"/>
  <c r="K118" i="57"/>
  <c r="L94" i="57"/>
  <c r="J105" i="57"/>
  <c r="Y24" i="57"/>
  <c r="M22" i="58" s="1"/>
  <c r="Q22" i="58" s="1"/>
  <c r="U22" i="58" s="1"/>
  <c r="Y22" i="58" s="1"/>
  <c r="AC22" i="58" s="1"/>
  <c r="AB114" i="57"/>
  <c r="AC51" i="57"/>
  <c r="K75" i="57"/>
  <c r="L81" i="57"/>
  <c r="K59" i="57"/>
  <c r="AB81" i="57"/>
  <c r="K65" i="57"/>
  <c r="J75" i="57"/>
  <c r="L56" i="57"/>
  <c r="L37" i="57"/>
  <c r="K45" i="57"/>
  <c r="J56" i="57"/>
  <c r="K52" i="57"/>
  <c r="K36" i="57"/>
  <c r="J70" i="57"/>
  <c r="X96" i="57"/>
  <c r="L58" i="58" s="1"/>
  <c r="P58" i="58" s="1"/>
  <c r="T58" i="58" s="1"/>
  <c r="X58" i="58" s="1"/>
  <c r="J71" i="57"/>
  <c r="J52" i="57"/>
  <c r="Z98" i="57"/>
  <c r="N53" i="58"/>
  <c r="Z75" i="57"/>
  <c r="T84" i="58"/>
  <c r="X84" i="58" s="1"/>
  <c r="Z25" i="57"/>
  <c r="AA44" i="57"/>
  <c r="AE44" i="57" s="1"/>
  <c r="AA17" i="57"/>
  <c r="AB106" i="57"/>
  <c r="AB22" i="57"/>
  <c r="AB39" i="57"/>
  <c r="AF39" i="57" s="1"/>
  <c r="Z44" i="57"/>
  <c r="AD44" i="57" s="1"/>
  <c r="AB47" i="57"/>
  <c r="Z100" i="57"/>
  <c r="K111" i="58"/>
  <c r="O111" i="58" s="1"/>
  <c r="S111" i="58" s="1"/>
  <c r="W111" i="58" s="1"/>
  <c r="AC111" i="58" s="1"/>
  <c r="AA115" i="57"/>
  <c r="AB60" i="57"/>
  <c r="AF60" i="57" s="1"/>
  <c r="AB108" i="57"/>
  <c r="Z28" i="57"/>
  <c r="AB64" i="57"/>
  <c r="AF64" i="57" s="1"/>
  <c r="AA18" i="57"/>
  <c r="Z15" i="57"/>
  <c r="AB24" i="57"/>
  <c r="AB92" i="57"/>
  <c r="Z97" i="57"/>
  <c r="AB55" i="57"/>
  <c r="AC22" i="57"/>
  <c r="Z42" i="57"/>
  <c r="J19" i="58"/>
  <c r="N19" i="58" s="1"/>
  <c r="R19" i="58" s="1"/>
  <c r="V19" i="58" s="1"/>
  <c r="Z41" i="57"/>
  <c r="K50" i="58"/>
  <c r="O50" i="58" s="1"/>
  <c r="S50" i="58" s="1"/>
  <c r="W50" i="58" s="1"/>
  <c r="AC50" i="58" s="1"/>
  <c r="AA88" i="57"/>
  <c r="AC46" i="57"/>
  <c r="AG46" i="57" s="1"/>
  <c r="AB118" i="57"/>
  <c r="AF118" i="57" s="1"/>
  <c r="AB93" i="57"/>
  <c r="J21" i="57"/>
  <c r="AB56" i="57"/>
  <c r="K32" i="57"/>
  <c r="L43" i="57"/>
  <c r="K30" i="57"/>
  <c r="Z117" i="57"/>
  <c r="AD117" i="57" s="1"/>
  <c r="K31" i="57"/>
  <c r="L96" i="57"/>
  <c r="T53" i="58"/>
  <c r="X53" i="58" s="1"/>
  <c r="R84" i="58"/>
  <c r="V84" i="58" s="1"/>
  <c r="AB116" i="57"/>
  <c r="AA33" i="57"/>
  <c r="AB99" i="57"/>
  <c r="L65" i="57"/>
  <c r="AB43" i="57"/>
  <c r="AB12" i="57"/>
  <c r="J72" i="57"/>
  <c r="AA29" i="57"/>
  <c r="Z56" i="57"/>
  <c r="X37" i="57"/>
  <c r="L11" i="58" s="1"/>
  <c r="P11" i="58" s="1"/>
  <c r="T11" i="58" s="1"/>
  <c r="V77" i="58"/>
  <c r="N108" i="57"/>
  <c r="R108" i="57" s="1"/>
  <c r="V108" i="57" s="1"/>
  <c r="K46" i="58"/>
  <c r="O46" i="58" s="1"/>
  <c r="S46" i="58" s="1"/>
  <c r="W46" i="58" s="1"/>
  <c r="AC46" i="58" s="1"/>
  <c r="AA81" i="57"/>
  <c r="K35" i="58"/>
  <c r="O35" i="58" s="1"/>
  <c r="S35" i="58" s="1"/>
  <c r="W35" i="58" s="1"/>
  <c r="AA49" i="57"/>
  <c r="K103" i="58"/>
  <c r="O103" i="58" s="1"/>
  <c r="S103" i="58" s="1"/>
  <c r="W103" i="58" s="1"/>
  <c r="AA103" i="58" s="1"/>
  <c r="AA107" i="57"/>
  <c r="N13" i="57"/>
  <c r="R13" i="57" s="1"/>
  <c r="V13" i="57" s="1"/>
  <c r="J66" i="58" s="1"/>
  <c r="N66" i="58" s="1"/>
  <c r="R66" i="58" s="1"/>
  <c r="V66" i="58" s="1"/>
  <c r="X13" i="57"/>
  <c r="H4" i="57"/>
  <c r="I4" i="57"/>
  <c r="O12" i="57"/>
  <c r="S12" i="57" s="1"/>
  <c r="W12" i="57" s="1"/>
  <c r="K65" i="58" s="1"/>
  <c r="O65" i="58" s="1"/>
  <c r="S65" i="58" s="1"/>
  <c r="W65" i="58" s="1"/>
  <c r="AC65" i="58" s="1"/>
  <c r="X57" i="57"/>
  <c r="N57" i="57"/>
  <c r="R57" i="57" s="1"/>
  <c r="V57" i="57" s="1"/>
  <c r="J49" i="58" s="1"/>
  <c r="N49" i="58" s="1"/>
  <c r="R49" i="58" s="1"/>
  <c r="V49" i="58" s="1"/>
  <c r="N11" i="57"/>
  <c r="R11" i="57" s="1"/>
  <c r="V11" i="57" s="1"/>
  <c r="J12" i="58" s="1"/>
  <c r="N12" i="58" s="1"/>
  <c r="R12" i="58" s="1"/>
  <c r="F4" i="57"/>
  <c r="N94" i="57"/>
  <c r="R94" i="57" s="1"/>
  <c r="V94" i="57" s="1"/>
  <c r="J56" i="58" s="1"/>
  <c r="N56" i="58" s="1"/>
  <c r="R56" i="58" s="1"/>
  <c r="G4" i="57"/>
  <c r="N114" i="57"/>
  <c r="R114" i="57" s="1"/>
  <c r="V114" i="57" s="1"/>
  <c r="R31" i="58"/>
  <c r="V31" i="58" s="1"/>
  <c r="T31" i="58"/>
  <c r="X31" i="58" s="1"/>
  <c r="N87" i="57"/>
  <c r="R87" i="57" s="1"/>
  <c r="V87" i="57" s="1"/>
  <c r="J48" i="58" s="1"/>
  <c r="N48" i="58" s="1"/>
  <c r="R48" i="58" s="1"/>
  <c r="V48" i="58" s="1"/>
  <c r="X87" i="57"/>
  <c r="L48" i="58" s="1"/>
  <c r="P48" i="58" s="1"/>
  <c r="T48" i="58" s="1"/>
  <c r="X48" i="58" s="1"/>
  <c r="O93" i="57"/>
  <c r="S93" i="57" s="1"/>
  <c r="W93" i="57" s="1"/>
  <c r="K54" i="58" s="1"/>
  <c r="O54" i="58" s="1"/>
  <c r="S54" i="58" s="1"/>
  <c r="W54" i="58" s="1"/>
  <c r="Y93" i="57"/>
  <c r="M54" i="58" s="1"/>
  <c r="Q54" i="58" s="1"/>
  <c r="U54" i="58" s="1"/>
  <c r="Y54" i="58" s="1"/>
  <c r="K107" i="57"/>
  <c r="M24" i="57"/>
  <c r="K40" i="57"/>
  <c r="J62" i="57"/>
  <c r="L13" i="57"/>
  <c r="K15" i="57"/>
  <c r="M95" i="57"/>
  <c r="L57" i="57"/>
  <c r="AA40" i="57"/>
  <c r="K49" i="57"/>
  <c r="Y95" i="57"/>
  <c r="M96" i="58" s="1"/>
  <c r="Q96" i="58" s="1"/>
  <c r="U96" i="58" s="1"/>
  <c r="Y96" i="58" s="1"/>
  <c r="N51" i="57"/>
  <c r="R51" i="57" s="1"/>
  <c r="V51" i="57" s="1"/>
  <c r="J37" i="58" s="1"/>
  <c r="N37" i="58" s="1"/>
  <c r="R37" i="58" s="1"/>
  <c r="V37" i="58" s="1"/>
  <c r="X51" i="57"/>
  <c r="R15" i="58"/>
  <c r="T15" i="58"/>
  <c r="N35" i="57"/>
  <c r="R35" i="57" s="1"/>
  <c r="V35" i="57" s="1"/>
  <c r="X35" i="57"/>
  <c r="X20" i="57"/>
  <c r="N20" i="57"/>
  <c r="R20" i="57" s="1"/>
  <c r="V20" i="57" s="1"/>
  <c r="O74" i="57"/>
  <c r="S74" i="57" s="1"/>
  <c r="W74" i="57" s="1"/>
  <c r="K42" i="58" s="1"/>
  <c r="O42" i="58" s="1"/>
  <c r="S42" i="58" s="1"/>
  <c r="W42" i="58" s="1"/>
  <c r="Y74" i="57"/>
  <c r="M42" i="58" s="1"/>
  <c r="Q42" i="58" s="1"/>
  <c r="U42" i="58" s="1"/>
  <c r="Y42" i="58" s="1"/>
  <c r="Y78" i="57"/>
  <c r="M86" i="58" s="1"/>
  <c r="Q86" i="58" s="1"/>
  <c r="U86" i="58" s="1"/>
  <c r="Y86" i="58" s="1"/>
  <c r="O78" i="57"/>
  <c r="S78" i="57" s="1"/>
  <c r="W78" i="57" s="1"/>
  <c r="X26" i="57"/>
  <c r="N26" i="57"/>
  <c r="R26" i="57" s="1"/>
  <c r="V26" i="57" s="1"/>
  <c r="J26" i="58" s="1"/>
  <c r="N26" i="58" s="1"/>
  <c r="R26" i="58" s="1"/>
  <c r="V26" i="58" s="1"/>
  <c r="N77" i="57"/>
  <c r="R77" i="57" s="1"/>
  <c r="V77" i="57" s="1"/>
  <c r="X77" i="57"/>
  <c r="O79" i="57"/>
  <c r="S79" i="57" s="1"/>
  <c r="W79" i="57" s="1"/>
  <c r="K87" i="58" s="1"/>
  <c r="O87" i="58" s="1"/>
  <c r="S87" i="58" s="1"/>
  <c r="W87" i="58" s="1"/>
  <c r="Y79" i="57"/>
  <c r="M87" i="58" s="1"/>
  <c r="Q87" i="58" s="1"/>
  <c r="U87" i="58" s="1"/>
  <c r="Y87" i="58" s="1"/>
  <c r="L77" i="57"/>
  <c r="K81" i="57"/>
  <c r="M93" i="57"/>
  <c r="L92" i="57"/>
  <c r="AB94" i="57"/>
  <c r="K53" i="57"/>
  <c r="K101" i="57"/>
  <c r="M12" i="57"/>
  <c r="L87" i="57"/>
  <c r="L114" i="57"/>
  <c r="AF114" i="57" s="1"/>
  <c r="J80" i="57"/>
  <c r="Z105" i="57"/>
  <c r="N67" i="57"/>
  <c r="R67" i="57" s="1"/>
  <c r="V67" i="57" s="1"/>
  <c r="N92" i="57"/>
  <c r="R92" i="57" s="1"/>
  <c r="V92" i="57" s="1"/>
  <c r="J95" i="58" s="1"/>
  <c r="N95" i="58" s="1"/>
  <c r="R95" i="58" s="1"/>
  <c r="V95" i="58" s="1"/>
  <c r="R32" i="58"/>
  <c r="V32" i="58" s="1"/>
  <c r="X29" i="57"/>
  <c r="X65" i="57"/>
  <c r="Z74" i="57"/>
  <c r="AD74" i="57" s="1"/>
  <c r="K118" i="58"/>
  <c r="O118" i="58" s="1"/>
  <c r="S118" i="58" s="1"/>
  <c r="W118" i="58" s="1"/>
  <c r="AA118" i="58" s="1"/>
  <c r="AA61" i="57"/>
  <c r="AE61" i="57" s="1"/>
  <c r="AA68" i="57"/>
  <c r="AA97" i="57"/>
  <c r="Z118" i="57"/>
  <c r="AD118" i="57" s="1"/>
  <c r="AA82" i="57"/>
  <c r="Z34" i="57"/>
  <c r="T75" i="58"/>
  <c r="X75" i="58" s="1"/>
  <c r="N75" i="58"/>
  <c r="X106" i="58"/>
  <c r="K45" i="58"/>
  <c r="O45" i="58" s="1"/>
  <c r="S45" i="58" s="1"/>
  <c r="W45" i="58" s="1"/>
  <c r="AC45" i="58" s="1"/>
  <c r="AA55" i="57"/>
  <c r="AE55" i="57" s="1"/>
  <c r="K56" i="58"/>
  <c r="O56" i="58" s="1"/>
  <c r="S56" i="58" s="1"/>
  <c r="W56" i="58" s="1"/>
  <c r="AA56" i="58" s="1"/>
  <c r="AA94" i="57"/>
  <c r="J79" i="58"/>
  <c r="N79" i="58" s="1"/>
  <c r="Z69" i="57"/>
  <c r="AD69" i="57" s="1"/>
  <c r="AB44" i="57"/>
  <c r="AF44" i="57" s="1"/>
  <c r="AA90" i="58"/>
  <c r="AA21" i="57"/>
  <c r="AE21" i="57" s="1"/>
  <c r="AA117" i="57"/>
  <c r="Z73" i="57"/>
  <c r="AD73" i="57" s="1"/>
  <c r="Z85" i="57"/>
  <c r="AD85" i="57" s="1"/>
  <c r="AA31" i="57"/>
  <c r="X104" i="58"/>
  <c r="X83" i="58"/>
  <c r="V20" i="58"/>
  <c r="X57" i="58"/>
  <c r="X68" i="58"/>
  <c r="V47" i="58"/>
  <c r="V40" i="58"/>
  <c r="X101" i="58"/>
  <c r="X60" i="58"/>
  <c r="X59" i="58"/>
  <c r="V68" i="58"/>
  <c r="V116" i="58"/>
  <c r="V81" i="58"/>
  <c r="V22" i="58"/>
  <c r="X70" i="58"/>
  <c r="V113" i="58"/>
  <c r="X119" i="58"/>
  <c r="X61" i="58"/>
  <c r="V39" i="58"/>
  <c r="X113" i="58"/>
  <c r="X27" i="58"/>
  <c r="V98" i="58"/>
  <c r="X115" i="58"/>
  <c r="V67" i="58"/>
  <c r="V100" i="58"/>
  <c r="V51" i="58"/>
  <c r="AA104" i="58"/>
  <c r="AA34" i="58"/>
  <c r="AC69" i="58"/>
  <c r="AC20" i="58"/>
  <c r="AA59" i="58"/>
  <c r="T30" i="58"/>
  <c r="X30" i="58" s="1"/>
  <c r="R25" i="58"/>
  <c r="V25" i="58" s="1"/>
  <c r="T29" i="58"/>
  <c r="X29" i="58" s="1"/>
  <c r="AA109" i="58"/>
  <c r="AC57" i="58"/>
  <c r="AA82" i="58"/>
  <c r="AC51" i="58"/>
  <c r="AA48" i="58"/>
  <c r="AA81" i="58"/>
  <c r="AC28" i="58"/>
  <c r="AC53" i="58"/>
  <c r="AA72" i="58"/>
  <c r="AA49" i="58"/>
  <c r="AA62" i="58"/>
  <c r="AA98" i="58"/>
  <c r="AA73" i="58"/>
  <c r="AA71" i="58"/>
  <c r="AC29" i="58"/>
  <c r="AC108" i="58"/>
  <c r="AC94" i="58"/>
  <c r="AC66" i="58"/>
  <c r="AC75" i="58"/>
  <c r="AC26" i="58"/>
  <c r="AC21" i="58"/>
  <c r="X105" i="58"/>
  <c r="Z21" i="58"/>
  <c r="AC16" i="58"/>
  <c r="AA25" i="57"/>
  <c r="AE25" i="57" s="1"/>
  <c r="AB59" i="57"/>
  <c r="AF59" i="57" s="1"/>
  <c r="AA47" i="58"/>
  <c r="AC74" i="58"/>
  <c r="AA116" i="58"/>
  <c r="Z46" i="57"/>
  <c r="AD46" i="57" s="1"/>
  <c r="Z102" i="57"/>
  <c r="AC92" i="57"/>
  <c r="AG92" i="57" s="1"/>
  <c r="AB52" i="57"/>
  <c r="AC88" i="58"/>
  <c r="AC93" i="58"/>
  <c r="AA19" i="58"/>
  <c r="AA78" i="58"/>
  <c r="AC83" i="58"/>
  <c r="AC17" i="58"/>
  <c r="AA95" i="58"/>
  <c r="AC80" i="58"/>
  <c r="AC107" i="58"/>
  <c r="AC105" i="58"/>
  <c r="AC101" i="58"/>
  <c r="AA85" i="58"/>
  <c r="AA63" i="58"/>
  <c r="AC36" i="58"/>
  <c r="AA41" i="58"/>
  <c r="AC99" i="58"/>
  <c r="AA84" i="58"/>
  <c r="AC39" i="58"/>
  <c r="AC102" i="58"/>
  <c r="AC98" i="58"/>
  <c r="AA61" i="58"/>
  <c r="AA94" i="58"/>
  <c r="AC23" i="58"/>
  <c r="AC31" i="58"/>
  <c r="AC32" i="58"/>
  <c r="AA58" i="58"/>
  <c r="AA37" i="58"/>
  <c r="AA113" i="58"/>
  <c r="AA119" i="58"/>
  <c r="AC113" i="58"/>
  <c r="AC61" i="58"/>
  <c r="AA97" i="58"/>
  <c r="AA27" i="58"/>
  <c r="AA110" i="58"/>
  <c r="AA76" i="58"/>
  <c r="AA52" i="58"/>
  <c r="AA66" i="58"/>
  <c r="AA68" i="58"/>
  <c r="AA67" i="58"/>
  <c r="AA100" i="58"/>
  <c r="AC30" i="58"/>
  <c r="AC37" i="58"/>
  <c r="AC27" i="58"/>
  <c r="AC71" i="58"/>
  <c r="AC24" i="58"/>
  <c r="AA70" i="58"/>
  <c r="AA88" i="58"/>
  <c r="AA93" i="58"/>
  <c r="AC19" i="58"/>
  <c r="AC78" i="58"/>
  <c r="AC38" i="58"/>
  <c r="AA83" i="58"/>
  <c r="AC47" i="58"/>
  <c r="AC40" i="58"/>
  <c r="AA74" i="58"/>
  <c r="AA60" i="58"/>
  <c r="AC116" i="58"/>
  <c r="AA17" i="58"/>
  <c r="AA55" i="58"/>
  <c r="AC25" i="58"/>
  <c r="AC95" i="58"/>
  <c r="AA108" i="58"/>
  <c r="AC58" i="58"/>
  <c r="AC34" i="58"/>
  <c r="AC85" i="58"/>
  <c r="AC109" i="58"/>
  <c r="AA28" i="58"/>
  <c r="AA31" i="58"/>
  <c r="AC104" i="58"/>
  <c r="AC48" i="58"/>
  <c r="AC62" i="58"/>
  <c r="AC49" i="58"/>
  <c r="AC73" i="58"/>
  <c r="AC59" i="58"/>
  <c r="AC67" i="58"/>
  <c r="AA107" i="58"/>
  <c r="AA53" i="58"/>
  <c r="AA51" i="58"/>
  <c r="AA99" i="58"/>
  <c r="AA102" i="58"/>
  <c r="AA106" i="58"/>
  <c r="AA75" i="58"/>
  <c r="AA69" i="58"/>
  <c r="AA57" i="58"/>
  <c r="AA105" i="58"/>
  <c r="AC41" i="58"/>
  <c r="AA101" i="58"/>
  <c r="AA80" i="58"/>
  <c r="AC44" i="57"/>
  <c r="AG44" i="57" s="1"/>
  <c r="Z60" i="57"/>
  <c r="AD60" i="57" s="1"/>
  <c r="Z29" i="57"/>
  <c r="AC59" i="57"/>
  <c r="AG59" i="57" s="1"/>
  <c r="AB117" i="57"/>
  <c r="AF117" i="57" s="1"/>
  <c r="AA39" i="57"/>
  <c r="AE39" i="57" s="1"/>
  <c r="Z99" i="57"/>
  <c r="AC61" i="57"/>
  <c r="AG61" i="57" s="1"/>
  <c r="AA26" i="58"/>
  <c r="AA16" i="58"/>
  <c r="AA30" i="58"/>
  <c r="AC110" i="58"/>
  <c r="AC81" i="58"/>
  <c r="AC84" i="58"/>
  <c r="AA24" i="58"/>
  <c r="AC63" i="58"/>
  <c r="AA38" i="58"/>
  <c r="AA40" i="58"/>
  <c r="AC97" i="58"/>
  <c r="AA29" i="58"/>
  <c r="AA21" i="58"/>
  <c r="AA23" i="58"/>
  <c r="AC82" i="58"/>
  <c r="AC68" i="58"/>
  <c r="AC72" i="58"/>
  <c r="AC119" i="58"/>
  <c r="AA20" i="58"/>
  <c r="AC55" i="58"/>
  <c r="AA39" i="58"/>
  <c r="AA36" i="58"/>
  <c r="AC76" i="58"/>
  <c r="AC100" i="58"/>
  <c r="AC52" i="58"/>
  <c r="AA25" i="58"/>
  <c r="AC70" i="58"/>
  <c r="AA32" i="58"/>
  <c r="AC90" i="58"/>
  <c r="AC60" i="58"/>
  <c r="AA60" i="57"/>
  <c r="AA84" i="57"/>
  <c r="AE84" i="57" s="1"/>
  <c r="AA10" i="57"/>
  <c r="Z107" i="57"/>
  <c r="AA113" i="57"/>
  <c r="Z66" i="57"/>
  <c r="AD66" i="57" s="1"/>
  <c r="Z72" i="57"/>
  <c r="Z70" i="57"/>
  <c r="AA87" i="57"/>
  <c r="AA92" i="57"/>
  <c r="AE92" i="57" s="1"/>
  <c r="AA106" i="57"/>
  <c r="Z65" i="57"/>
  <c r="AA111" i="57"/>
  <c r="AE111" i="57" s="1"/>
  <c r="Z58" i="57"/>
  <c r="Z27" i="57"/>
  <c r="AA105" i="57"/>
  <c r="AE105" i="57" s="1"/>
  <c r="AA112" i="57"/>
  <c r="AE112" i="57" s="1"/>
  <c r="AA57" i="57"/>
  <c r="Z30" i="57"/>
  <c r="AA23" i="57"/>
  <c r="AA56" i="57"/>
  <c r="AE56" i="57" s="1"/>
  <c r="P25" i="58"/>
  <c r="T25" i="58" s="1"/>
  <c r="X25" i="58" s="1"/>
  <c r="Z88" i="57"/>
  <c r="Z103" i="57"/>
  <c r="AD103" i="57" s="1"/>
  <c r="AA91" i="57"/>
  <c r="AE91" i="57" s="1"/>
  <c r="Z16" i="57"/>
  <c r="AA100" i="57"/>
  <c r="Z31" i="57"/>
  <c r="Z76" i="57"/>
  <c r="AD76" i="57" s="1"/>
  <c r="AA20" i="57"/>
  <c r="AA116" i="57"/>
  <c r="AA19" i="57"/>
  <c r="AC16" i="57"/>
  <c r="AA96" i="57"/>
  <c r="AE96" i="57" s="1"/>
  <c r="AA110" i="57"/>
  <c r="Z12" i="57"/>
  <c r="AB72" i="57"/>
  <c r="AC60" i="57"/>
  <c r="AG60" i="57" s="1"/>
  <c r="AB107" i="57"/>
  <c r="AC30" i="57"/>
  <c r="AC67" i="57"/>
  <c r="N29" i="58"/>
  <c r="R29" i="58" s="1"/>
  <c r="V29" i="58" s="1"/>
  <c r="AB41" i="57"/>
  <c r="AC49" i="57"/>
  <c r="AG49" i="57" s="1"/>
  <c r="AB105" i="57"/>
  <c r="AF105" i="57" s="1"/>
  <c r="AC97" i="57"/>
  <c r="AG97" i="57" s="1"/>
  <c r="AC115" i="57"/>
  <c r="AC25" i="57"/>
  <c r="AG25" i="57" s="1"/>
  <c r="AC84" i="57"/>
  <c r="AG84" i="57" s="1"/>
  <c r="AB101" i="57"/>
  <c r="AF101" i="57" s="1"/>
  <c r="AC68" i="57"/>
  <c r="AC33" i="57"/>
  <c r="AG33" i="57" s="1"/>
  <c r="AC81" i="57"/>
  <c r="AC73" i="57"/>
  <c r="AG73" i="57" s="1"/>
  <c r="AC10" i="57"/>
  <c r="AC15" i="57"/>
  <c r="AC75" i="57"/>
  <c r="AG75" i="57" s="1"/>
  <c r="AC31" i="57"/>
  <c r="AB109" i="57"/>
  <c r="AF109" i="57" s="1"/>
  <c r="AC52" i="57"/>
  <c r="AB21" i="57"/>
  <c r="AF21" i="57" s="1"/>
  <c r="AB84" i="57"/>
  <c r="AF84" i="57" s="1"/>
  <c r="AB113" i="57"/>
  <c r="AF113" i="57" s="1"/>
  <c r="AC53" i="57"/>
  <c r="AC47" i="57"/>
  <c r="AG47" i="57" s="1"/>
  <c r="AC106" i="57"/>
  <c r="AB18" i="57"/>
  <c r="AB78" i="57"/>
  <c r="AF78" i="57" s="1"/>
  <c r="AC43" i="57"/>
  <c r="AB79" i="57"/>
  <c r="AF79" i="57" s="1"/>
  <c r="AB82" i="57"/>
  <c r="N32" i="58"/>
  <c r="AC34" i="57"/>
  <c r="AC69" i="57"/>
  <c r="AG69" i="57" s="1"/>
  <c r="AC17" i="57"/>
  <c r="AC117" i="57"/>
  <c r="AG117" i="57" s="1"/>
  <c r="AB33" i="57"/>
  <c r="AF33" i="57" s="1"/>
  <c r="AC99" i="57"/>
  <c r="AB17" i="57"/>
  <c r="AC109" i="57"/>
  <c r="AG109" i="57" s="1"/>
  <c r="AC108" i="57"/>
  <c r="AG108" i="57" s="1"/>
  <c r="T32" i="58"/>
  <c r="X32" i="58" s="1"/>
  <c r="AB68" i="57"/>
  <c r="Z91" i="57"/>
  <c r="AD91" i="57" s="1"/>
  <c r="AC98" i="57"/>
  <c r="AC114" i="57"/>
  <c r="AG114" i="57" s="1"/>
  <c r="AC32" i="57"/>
  <c r="AG32" i="57" s="1"/>
  <c r="AC37" i="57"/>
  <c r="AA52" i="57"/>
  <c r="AB32" i="57"/>
  <c r="AF32" i="57" s="1"/>
  <c r="AC83" i="57"/>
  <c r="AG83" i="57" s="1"/>
  <c r="AC80" i="57"/>
  <c r="AG80" i="57" s="1"/>
  <c r="Z115" i="57"/>
  <c r="Z112" i="57"/>
  <c r="AD112" i="57" s="1"/>
  <c r="AA102" i="57"/>
  <c r="Z10" i="57"/>
  <c r="Z93" i="57"/>
  <c r="Z62" i="57"/>
  <c r="AC36" i="57"/>
  <c r="AG36" i="57" s="1"/>
  <c r="AA58" i="57"/>
  <c r="Z38" i="57"/>
  <c r="AD38" i="57" s="1"/>
  <c r="AC104" i="57"/>
  <c r="AG104" i="57" s="1"/>
  <c r="AC45" i="57"/>
  <c r="Z80" i="57"/>
  <c r="AC65" i="57"/>
  <c r="AA109" i="57"/>
  <c r="AA108" i="57"/>
  <c r="AE108" i="57" s="1"/>
  <c r="AA70" i="57"/>
  <c r="AE70" i="57" s="1"/>
  <c r="AA75" i="57"/>
  <c r="AC58" i="57"/>
  <c r="AC56" i="57"/>
  <c r="AG56" i="57" s="1"/>
  <c r="AA35" i="57"/>
  <c r="AC11" i="57"/>
  <c r="AG11" i="57" s="1"/>
  <c r="AC14" i="57"/>
  <c r="AC82" i="57"/>
  <c r="AC103" i="57"/>
  <c r="AG103" i="57" s="1"/>
  <c r="AA77" i="57"/>
  <c r="AE77" i="57" s="1"/>
  <c r="Z109" i="57"/>
  <c r="AD109" i="57" s="1"/>
  <c r="AC90" i="57"/>
  <c r="AC48" i="57"/>
  <c r="AG48" i="57" s="1"/>
  <c r="AB90" i="57"/>
  <c r="AC23" i="57"/>
  <c r="Z104" i="57"/>
  <c r="AD104" i="57" s="1"/>
  <c r="R90" i="58"/>
  <c r="V90" i="58" s="1"/>
  <c r="AB89" i="57"/>
  <c r="AC12" i="57"/>
  <c r="AC13" i="57"/>
  <c r="AA45" i="57"/>
  <c r="AA53" i="57"/>
  <c r="AA65" i="57"/>
  <c r="AA98" i="57"/>
  <c r="AA11" i="57"/>
  <c r="AE11" i="57" s="1"/>
  <c r="AA62" i="57"/>
  <c r="AE62" i="57" s="1"/>
  <c r="AA64" i="57"/>
  <c r="AE64" i="57" s="1"/>
  <c r="AB98" i="57"/>
  <c r="AA26" i="57"/>
  <c r="AA32" i="57"/>
  <c r="AB66" i="57"/>
  <c r="N30" i="58"/>
  <c r="R30" i="58" s="1"/>
  <c r="V30" i="58" s="1"/>
  <c r="AA99" i="57"/>
  <c r="AC88" i="57"/>
  <c r="AB100" i="57"/>
  <c r="AF100" i="57" s="1"/>
  <c r="Z79" i="57"/>
  <c r="AD79" i="57" s="1"/>
  <c r="AA69" i="57"/>
  <c r="AE69" i="57" s="1"/>
  <c r="Z23" i="57"/>
  <c r="AA28" i="57"/>
  <c r="Z71" i="57"/>
  <c r="AB88" i="57"/>
  <c r="AA72" i="57"/>
  <c r="AB74" i="57"/>
  <c r="AF74" i="57" s="1"/>
  <c r="AC113" i="57"/>
  <c r="AG113" i="57" s="1"/>
  <c r="AB115" i="57"/>
  <c r="Z17" i="57"/>
  <c r="Z53" i="57"/>
  <c r="AA24" i="57"/>
  <c r="AA71" i="57"/>
  <c r="Z82" i="57"/>
  <c r="AB70" i="57"/>
  <c r="AF70" i="57" s="1"/>
  <c r="AA42" i="57"/>
  <c r="AC55" i="57"/>
  <c r="AG55" i="57" s="1"/>
  <c r="AA41" i="57"/>
  <c r="AB97" i="57"/>
  <c r="AF97" i="57" s="1"/>
  <c r="Z33" i="57"/>
  <c r="AA89" i="57"/>
  <c r="AB14" i="57"/>
  <c r="AA46" i="57"/>
  <c r="AE46" i="57" s="1"/>
  <c r="AB38" i="57"/>
  <c r="AF38" i="57" s="1"/>
  <c r="AA80" i="57"/>
  <c r="AE80" i="57" s="1"/>
  <c r="AA67" i="57"/>
  <c r="AA66" i="57"/>
  <c r="AA118" i="57"/>
  <c r="AB111" i="57"/>
  <c r="AF111" i="57" s="1"/>
  <c r="AC72" i="57"/>
  <c r="AC118" i="57"/>
  <c r="AG118" i="57" s="1"/>
  <c r="AC41" i="57"/>
  <c r="AB10" i="57"/>
  <c r="AA85" i="57"/>
  <c r="AE85" i="57" s="1"/>
  <c r="AC71" i="57"/>
  <c r="AC64" i="57"/>
  <c r="AG64" i="57" s="1"/>
  <c r="Z24" i="57"/>
  <c r="Z14" i="57"/>
  <c r="AC57" i="57"/>
  <c r="AB53" i="57"/>
  <c r="AB61" i="57"/>
  <c r="AF61" i="57" s="1"/>
  <c r="AA73" i="57"/>
  <c r="AE73" i="57" s="1"/>
  <c r="AC112" i="57"/>
  <c r="AG112" i="57" s="1"/>
  <c r="AB19" i="57"/>
  <c r="AB71" i="57"/>
  <c r="AC101" i="57"/>
  <c r="AG101" i="57" s="1"/>
  <c r="AA38" i="57"/>
  <c r="AE38" i="57" s="1"/>
  <c r="AC87" i="57"/>
  <c r="AC26" i="57"/>
  <c r="AC102" i="57"/>
  <c r="AB23" i="57"/>
  <c r="AC42" i="57"/>
  <c r="Z64" i="57"/>
  <c r="AD64" i="57" s="1"/>
  <c r="AC28" i="57"/>
  <c r="AC89" i="57"/>
  <c r="Z113" i="57"/>
  <c r="V83" i="58"/>
  <c r="X63" i="58"/>
  <c r="X51" i="58"/>
  <c r="X38" i="58"/>
  <c r="X62" i="58"/>
  <c r="X93" i="58"/>
  <c r="X19" i="58"/>
  <c r="X98" i="58"/>
  <c r="V103" i="58"/>
  <c r="V27" i="58"/>
  <c r="V72" i="58"/>
  <c r="V82" i="58"/>
  <c r="V91" i="58"/>
  <c r="X16" i="58"/>
  <c r="X67" i="58"/>
  <c r="X97" i="58"/>
  <c r="X17" i="58"/>
  <c r="X45" i="58"/>
  <c r="V57" i="58"/>
  <c r="V41" i="58"/>
  <c r="V71" i="58"/>
  <c r="X109" i="58"/>
  <c r="X108" i="58"/>
  <c r="V55" i="58"/>
  <c r="V70" i="58"/>
  <c r="V17" i="58"/>
  <c r="V62" i="58"/>
  <c r="X102" i="58"/>
  <c r="V119" i="58"/>
  <c r="X56" i="58"/>
  <c r="X39" i="58"/>
  <c r="X47" i="58"/>
  <c r="X81" i="58"/>
  <c r="X54" i="58"/>
  <c r="X65" i="58"/>
  <c r="V60" i="58"/>
  <c r="V59" i="58"/>
  <c r="X23" i="58"/>
  <c r="X40" i="58"/>
  <c r="V101" i="58"/>
  <c r="X55" i="58"/>
  <c r="X95" i="58"/>
  <c r="V24" i="58"/>
  <c r="V93" i="58"/>
  <c r="V52" i="58"/>
  <c r="V18" i="58"/>
  <c r="V65" i="58"/>
  <c r="V36" i="58"/>
  <c r="V78" i="58"/>
  <c r="V63" i="58"/>
  <c r="X20" i="58"/>
  <c r="V44" i="58"/>
  <c r="X52" i="58"/>
  <c r="V75" i="58"/>
  <c r="V97" i="58"/>
  <c r="X18" i="58"/>
  <c r="V61" i="58"/>
  <c r="V105" i="58"/>
  <c r="V109" i="58"/>
  <c r="V108" i="58"/>
  <c r="X41" i="58"/>
  <c r="X82" i="58"/>
  <c r="X36" i="58"/>
  <c r="V16" i="58"/>
  <c r="V87" i="58"/>
  <c r="X50" i="58"/>
  <c r="X103" i="58"/>
  <c r="R96" i="58"/>
  <c r="V96" i="58" s="1"/>
  <c r="Z96" i="58" s="1"/>
  <c r="R80" i="58"/>
  <c r="V80" i="58" s="1"/>
  <c r="R112" i="58"/>
  <c r="V112" i="58" s="1"/>
  <c r="Z112" i="58" s="1"/>
  <c r="T96" i="58"/>
  <c r="P80" i="58"/>
  <c r="R74" i="58"/>
  <c r="V74" i="58" s="1"/>
  <c r="T112" i="58"/>
  <c r="X112" i="58" s="1"/>
  <c r="AB112" i="58" s="1"/>
  <c r="T33" i="58"/>
  <c r="X33" i="58" s="1"/>
  <c r="AB33" i="58" s="1"/>
  <c r="R43" i="58"/>
  <c r="V43" i="58" s="1"/>
  <c r="Z43" i="58" s="1"/>
  <c r="R35" i="58"/>
  <c r="R33" i="58"/>
  <c r="V33" i="58" s="1"/>
  <c r="Z33" i="58" s="1"/>
  <c r="T89" i="58"/>
  <c r="X89" i="58" s="1"/>
  <c r="AB89" i="58" s="1"/>
  <c r="T42" i="58"/>
  <c r="X42" i="58" s="1"/>
  <c r="AC107" i="57"/>
  <c r="AA59" i="57"/>
  <c r="AA76" i="57"/>
  <c r="AE76" i="57" s="1"/>
  <c r="AA104" i="57"/>
  <c r="AE104" i="57" s="1"/>
  <c r="Z84" i="57"/>
  <c r="AD84" i="57" s="1"/>
  <c r="AA36" i="57"/>
  <c r="Z37" i="57"/>
  <c r="AC70" i="57"/>
  <c r="AG70" i="57" s="1"/>
  <c r="AC110" i="57"/>
  <c r="AG110" i="57" s="1"/>
  <c r="AA103" i="57"/>
  <c r="AE103" i="57" s="1"/>
  <c r="AC29" i="57"/>
  <c r="AA101" i="57"/>
  <c r="Z78" i="57"/>
  <c r="AD78" i="57" s="1"/>
  <c r="AB80" i="57"/>
  <c r="AF80" i="57" s="1"/>
  <c r="Z101" i="57"/>
  <c r="AD101" i="57" s="1"/>
  <c r="AC40" i="57"/>
  <c r="AC38" i="57"/>
  <c r="AG38" i="57" s="1"/>
  <c r="Z52" i="57"/>
  <c r="Z90" i="57"/>
  <c r="AC20" i="57"/>
  <c r="AA16" i="57"/>
  <c r="AA15" i="57"/>
  <c r="AC94" i="57"/>
  <c r="AB27" i="57"/>
  <c r="AF27" i="57" s="1"/>
  <c r="AA114" i="57"/>
  <c r="AE114" i="57" s="1"/>
  <c r="AC116" i="57"/>
  <c r="AA90" i="57"/>
  <c r="AA51" i="57"/>
  <c r="Z89" i="57"/>
  <c r="AA37" i="57"/>
  <c r="AC111" i="57"/>
  <c r="AG111" i="57" s="1"/>
  <c r="AC100" i="57"/>
  <c r="AG100" i="57" s="1"/>
  <c r="AA14" i="57"/>
  <c r="AB62" i="57"/>
  <c r="AF62" i="57" s="1"/>
  <c r="Z18" i="57"/>
  <c r="P42" i="58"/>
  <c r="AC39" i="57"/>
  <c r="AG39" i="57" s="1"/>
  <c r="Z21" i="57"/>
  <c r="O117" i="58"/>
  <c r="AA50" i="57"/>
  <c r="AE50" i="57" s="1"/>
  <c r="AC77" i="57"/>
  <c r="AG77" i="57" s="1"/>
  <c r="Z59" i="57"/>
  <c r="AC35" i="57"/>
  <c r="Z111" i="57"/>
  <c r="AD111" i="57" s="1"/>
  <c r="AC19" i="57"/>
  <c r="AA43" i="57"/>
  <c r="AA47" i="57"/>
  <c r="AE47" i="57" s="1"/>
  <c r="Z19" i="57"/>
  <c r="AC66" i="57"/>
  <c r="AC91" i="57"/>
  <c r="AG91" i="57" s="1"/>
  <c r="AA13" i="57"/>
  <c r="AB112" i="57"/>
  <c r="AF112" i="57" s="1"/>
  <c r="AC62" i="57"/>
  <c r="AG62" i="57" s="1"/>
  <c r="AC105" i="57"/>
  <c r="AG105" i="57" s="1"/>
  <c r="AB76" i="57"/>
  <c r="AF76" i="57" s="1"/>
  <c r="AA30" i="57"/>
  <c r="AA48" i="57"/>
  <c r="AE48" i="57" s="1"/>
  <c r="R118" i="58"/>
  <c r="V118" i="58" s="1"/>
  <c r="S15" i="58"/>
  <c r="W15" i="58" s="1"/>
  <c r="R89" i="58"/>
  <c r="V89" i="58" s="1"/>
  <c r="Z89" i="58" s="1"/>
  <c r="AD45" i="57"/>
  <c r="AD39" i="57"/>
  <c r="AC54" i="57"/>
  <c r="AG54" i="57" s="1"/>
  <c r="AB11" i="57"/>
  <c r="AF11" i="57" s="1"/>
  <c r="AC27" i="57"/>
  <c r="AG27" i="57" s="1"/>
  <c r="R13" i="58"/>
  <c r="T74" i="58"/>
  <c r="X74" i="58" s="1"/>
  <c r="T80" i="58"/>
  <c r="X80" i="58" s="1"/>
  <c r="R28" i="58"/>
  <c r="V28" i="58" s="1"/>
  <c r="U15" i="58"/>
  <c r="Y15" i="58" s="1"/>
  <c r="R88" i="58"/>
  <c r="V88" i="58" s="1"/>
  <c r="R42" i="58"/>
  <c r="V42" i="58" s="1"/>
  <c r="R114" i="58"/>
  <c r="V114" i="58" s="1"/>
  <c r="AF58" i="57"/>
  <c r="AD40" i="57"/>
  <c r="AF34" i="57"/>
  <c r="T117" i="58"/>
  <c r="R76" i="58"/>
  <c r="V76" i="58" s="1"/>
  <c r="Z76" i="58" s="1"/>
  <c r="R73" i="58"/>
  <c r="V73" i="58" s="1"/>
  <c r="Z73" i="58" s="1"/>
  <c r="R86" i="58"/>
  <c r="T86" i="58"/>
  <c r="T76" i="58"/>
  <c r="X76" i="58" s="1"/>
  <c r="AB76" i="58" s="1"/>
  <c r="T73" i="58"/>
  <c r="X73" i="58" s="1"/>
  <c r="AB73" i="58" s="1"/>
  <c r="Z96" i="57"/>
  <c r="AD96" i="57" s="1"/>
  <c r="AA54" i="57"/>
  <c r="AA34" i="57"/>
  <c r="AA27" i="57"/>
  <c r="AE27" i="57" s="1"/>
  <c r="AA83" i="57"/>
  <c r="AE83" i="57" s="1"/>
  <c r="AB91" i="57"/>
  <c r="AF91" i="57" s="1"/>
  <c r="R94" i="58"/>
  <c r="V94" i="58" s="1"/>
  <c r="T13" i="58"/>
  <c r="T35" i="58"/>
  <c r="X35" i="58" s="1"/>
  <c r="AB35" i="58" s="1"/>
  <c r="X9" i="57"/>
  <c r="V9" i="57"/>
  <c r="K64" i="58"/>
  <c r="AA95" i="57"/>
  <c r="AE95" i="57" s="1"/>
  <c r="R117" i="58"/>
  <c r="M64" i="58"/>
  <c r="Q64" i="58" s="1"/>
  <c r="U64" i="58" s="1"/>
  <c r="Y64" i="58" s="1"/>
  <c r="T114" i="58"/>
  <c r="X114" i="58" s="1"/>
  <c r="Z68" i="57"/>
  <c r="Z61" i="57"/>
  <c r="AD61" i="57" s="1"/>
  <c r="T43" i="58"/>
  <c r="X43" i="58" s="1"/>
  <c r="AB43" i="58" s="1"/>
  <c r="T118" i="58"/>
  <c r="X118" i="58" s="1"/>
  <c r="T28" i="58"/>
  <c r="X28" i="58" s="1"/>
  <c r="T88" i="58"/>
  <c r="X88" i="58" s="1"/>
  <c r="T90" i="58"/>
  <c r="X90" i="58" s="1"/>
  <c r="T94" i="58"/>
  <c r="X94" i="58" s="1"/>
  <c r="AG9" i="57"/>
  <c r="S12" i="58"/>
  <c r="W12" i="58" s="1"/>
  <c r="U14" i="58"/>
  <c r="Y14" i="58" s="1"/>
  <c r="R10" i="58"/>
  <c r="S14" i="58"/>
  <c r="W14" i="58" s="1"/>
  <c r="S13" i="58"/>
  <c r="W13" i="58" s="1"/>
  <c r="R11" i="58"/>
  <c r="S10" i="58"/>
  <c r="W10" i="58" s="1"/>
  <c r="T12" i="58"/>
  <c r="S11" i="58"/>
  <c r="W11" i="58" s="1"/>
  <c r="T10" i="58"/>
  <c r="U11" i="58"/>
  <c r="Y11" i="58" s="1"/>
  <c r="U13" i="58"/>
  <c r="Y13" i="58" s="1"/>
  <c r="U12" i="58"/>
  <c r="Y12" i="58" s="1"/>
  <c r="U10" i="58"/>
  <c r="Y10" i="58" s="1"/>
  <c r="W33" i="58"/>
  <c r="Y112" i="58"/>
  <c r="Y33" i="58"/>
  <c r="W89" i="58"/>
  <c r="W79" i="58"/>
  <c r="W96" i="58"/>
  <c r="W112" i="58"/>
  <c r="Y89" i="58"/>
  <c r="Y79" i="58"/>
  <c r="W114" i="58"/>
  <c r="Y35" i="58"/>
  <c r="Y43" i="58"/>
  <c r="Y114" i="58"/>
  <c r="W43" i="58"/>
  <c r="AF46" i="57"/>
  <c r="AF16" i="57"/>
  <c r="AF75" i="57"/>
  <c r="AD27" i="57"/>
  <c r="AF73" i="57"/>
  <c r="AD47" i="57"/>
  <c r="AG21" i="57"/>
  <c r="AF42" i="57"/>
  <c r="AF102" i="57"/>
  <c r="AF25" i="57"/>
  <c r="AF40" i="57"/>
  <c r="Z77" i="58" l="1"/>
  <c r="AB58" i="58"/>
  <c r="V111" i="58"/>
  <c r="X87" i="58"/>
  <c r="Z87" i="58" s="1"/>
  <c r="V50" i="58"/>
  <c r="Z50" i="58" s="1"/>
  <c r="X91" i="58"/>
  <c r="AB91" i="58" s="1"/>
  <c r="X44" i="58"/>
  <c r="Z44" i="58" s="1"/>
  <c r="AE44" i="58" s="1"/>
  <c r="X86" i="58"/>
  <c r="X22" i="58"/>
  <c r="Z22" i="58" s="1"/>
  <c r="V115" i="58"/>
  <c r="AB115" i="58" s="1"/>
  <c r="AG115" i="58" s="1"/>
  <c r="V56" i="58"/>
  <c r="V12" i="58"/>
  <c r="V45" i="58"/>
  <c r="Z45" i="58" s="1"/>
  <c r="V54" i="58"/>
  <c r="AB54" i="58" s="1"/>
  <c r="V46" i="58"/>
  <c r="AB46" i="58" s="1"/>
  <c r="AG46" i="58" s="1"/>
  <c r="AD113" i="57"/>
  <c r="X25" i="64"/>
  <c r="X57" i="64"/>
  <c r="AE109" i="57"/>
  <c r="X30" i="64"/>
  <c r="AE110" i="57"/>
  <c r="AF110" i="57"/>
  <c r="W6" i="64"/>
  <c r="X28" i="64"/>
  <c r="AB23" i="58"/>
  <c r="AG23" i="58" s="1"/>
  <c r="X38" i="64"/>
  <c r="Z110" i="57"/>
  <c r="AD110" i="57" s="1"/>
  <c r="AE113" i="57"/>
  <c r="Z55" i="57"/>
  <c r="AD55" i="57" s="1"/>
  <c r="AF92" i="57"/>
  <c r="AG92" i="58"/>
  <c r="AF92" i="58"/>
  <c r="AE92" i="58"/>
  <c r="AD92" i="58"/>
  <c r="Z81" i="57"/>
  <c r="AB77" i="58"/>
  <c r="AE54" i="57"/>
  <c r="AE60" i="57"/>
  <c r="X12" i="64"/>
  <c r="AG22" i="57"/>
  <c r="Z43" i="57"/>
  <c r="Q9" i="64"/>
  <c r="U9" i="64" s="1"/>
  <c r="Q52" i="64"/>
  <c r="U52" i="64" s="1"/>
  <c r="R52" i="64"/>
  <c r="V52" i="64" s="1"/>
  <c r="R27" i="64"/>
  <c r="V27" i="64" s="1"/>
  <c r="S51" i="64"/>
  <c r="W51" i="64" s="1"/>
  <c r="T18" i="64"/>
  <c r="X18" i="64" s="1"/>
  <c r="S44" i="64"/>
  <c r="W44" i="64" s="1"/>
  <c r="Q40" i="64"/>
  <c r="U40" i="64" s="1"/>
  <c r="R12" i="64"/>
  <c r="V12" i="64" s="1"/>
  <c r="Q7" i="64"/>
  <c r="U7" i="64" s="1"/>
  <c r="T58" i="64"/>
  <c r="X58" i="64" s="1"/>
  <c r="S34" i="64"/>
  <c r="W34" i="64" s="1"/>
  <c r="R43" i="64"/>
  <c r="V43" i="64" s="1"/>
  <c r="T99" i="58"/>
  <c r="X99" i="58" s="1"/>
  <c r="Q31" i="64"/>
  <c r="U31" i="64" s="1"/>
  <c r="Q27" i="64"/>
  <c r="U27" i="64" s="1"/>
  <c r="S61" i="64"/>
  <c r="W61" i="64" s="1"/>
  <c r="Q11" i="64"/>
  <c r="U11" i="64" s="1"/>
  <c r="R35" i="64"/>
  <c r="V35" i="64" s="1"/>
  <c r="S21" i="64"/>
  <c r="W21" i="64" s="1"/>
  <c r="S57" i="64"/>
  <c r="W57" i="64" s="1"/>
  <c r="R10" i="64"/>
  <c r="V10" i="64" s="1"/>
  <c r="S45" i="64"/>
  <c r="W45" i="64" s="1"/>
  <c r="Q42" i="64"/>
  <c r="U42" i="64" s="1"/>
  <c r="T10" i="64"/>
  <c r="X10" i="64" s="1"/>
  <c r="Q29" i="64"/>
  <c r="U29" i="64" s="1"/>
  <c r="R47" i="64"/>
  <c r="V47" i="64" s="1"/>
  <c r="R14" i="64"/>
  <c r="V14" i="64" s="1"/>
  <c r="Q45" i="64"/>
  <c r="U45" i="64" s="1"/>
  <c r="R18" i="64"/>
  <c r="V18" i="64" s="1"/>
  <c r="S50" i="64"/>
  <c r="W50" i="64" s="1"/>
  <c r="Q36" i="64"/>
  <c r="U36" i="64" s="1"/>
  <c r="T51" i="64"/>
  <c r="X51" i="64" s="1"/>
  <c r="T52" i="64"/>
  <c r="X52" i="64" s="1"/>
  <c r="S40" i="64"/>
  <c r="W40" i="64" s="1"/>
  <c r="R53" i="64"/>
  <c r="V53" i="64" s="1"/>
  <c r="R60" i="64"/>
  <c r="V60" i="64" s="1"/>
  <c r="Q35" i="64"/>
  <c r="U35" i="64" s="1"/>
  <c r="S55" i="64"/>
  <c r="W55" i="64" s="1"/>
  <c r="S25" i="64"/>
  <c r="W25" i="64" s="1"/>
  <c r="S31" i="64"/>
  <c r="W31" i="64" s="1"/>
  <c r="S46" i="64"/>
  <c r="W46" i="64" s="1"/>
  <c r="S42" i="64"/>
  <c r="W42" i="64" s="1"/>
  <c r="T45" i="64"/>
  <c r="X45" i="64" s="1"/>
  <c r="S12" i="64"/>
  <c r="W12" i="64" s="1"/>
  <c r="Q37" i="64"/>
  <c r="U37" i="64" s="1"/>
  <c r="R38" i="64"/>
  <c r="V38" i="64" s="1"/>
  <c r="R41" i="64"/>
  <c r="V41" i="64" s="1"/>
  <c r="R56" i="64"/>
  <c r="V56" i="64" s="1"/>
  <c r="R22" i="64"/>
  <c r="V22" i="64" s="1"/>
  <c r="Q24" i="64"/>
  <c r="U24" i="64" s="1"/>
  <c r="T31" i="64"/>
  <c r="X31" i="64" s="1"/>
  <c r="T61" i="64"/>
  <c r="X61" i="64" s="1"/>
  <c r="R29" i="64"/>
  <c r="V29" i="64" s="1"/>
  <c r="R11" i="64"/>
  <c r="V11" i="64" s="1"/>
  <c r="Q14" i="64"/>
  <c r="U14" i="64" s="1"/>
  <c r="R15" i="64"/>
  <c r="V15" i="64" s="1"/>
  <c r="T41" i="64"/>
  <c r="X41" i="64" s="1"/>
  <c r="S8" i="64"/>
  <c r="W8" i="64" s="1"/>
  <c r="S10" i="64"/>
  <c r="W10" i="64" s="1"/>
  <c r="S58" i="64"/>
  <c r="W58" i="64" s="1"/>
  <c r="S24" i="64"/>
  <c r="W24" i="64" s="1"/>
  <c r="Q17" i="64"/>
  <c r="U17" i="64" s="1"/>
  <c r="R23" i="64"/>
  <c r="V23" i="64" s="1"/>
  <c r="Q58" i="64"/>
  <c r="U58" i="64" s="1"/>
  <c r="T35" i="64"/>
  <c r="X35" i="64" s="1"/>
  <c r="T8" i="64"/>
  <c r="X8" i="64" s="1"/>
  <c r="T53" i="64"/>
  <c r="X53" i="64" s="1"/>
  <c r="T19" i="64"/>
  <c r="X19" i="64" s="1"/>
  <c r="R21" i="64"/>
  <c r="V21" i="64" s="1"/>
  <c r="T46" i="64"/>
  <c r="X46" i="64" s="1"/>
  <c r="T42" i="64"/>
  <c r="X42" i="64" s="1"/>
  <c r="R99" i="58"/>
  <c r="V99" i="58" s="1"/>
  <c r="S41" i="64"/>
  <c r="W41" i="64" s="1"/>
  <c r="S16" i="64"/>
  <c r="W16" i="64" s="1"/>
  <c r="Q10" i="64"/>
  <c r="U10" i="64" s="1"/>
  <c r="R51" i="64"/>
  <c r="V51" i="64" s="1"/>
  <c r="Q12" i="64"/>
  <c r="U12" i="64" s="1"/>
  <c r="S59" i="64"/>
  <c r="W59" i="64" s="1"/>
  <c r="S20" i="64"/>
  <c r="W20" i="64" s="1"/>
  <c r="T44" i="64"/>
  <c r="X44" i="64" s="1"/>
  <c r="R19" i="64"/>
  <c r="V19" i="64" s="1"/>
  <c r="T7" i="64"/>
  <c r="X7" i="64" s="1"/>
  <c r="Q51" i="64"/>
  <c r="U51" i="64" s="1"/>
  <c r="Q44" i="64"/>
  <c r="U44" i="64" s="1"/>
  <c r="T60" i="64"/>
  <c r="X60" i="64" s="1"/>
  <c r="T50" i="64"/>
  <c r="X50" i="64" s="1"/>
  <c r="Q56" i="64"/>
  <c r="U56" i="64" s="1"/>
  <c r="Q20" i="64"/>
  <c r="U20" i="64" s="1"/>
  <c r="Q32" i="64"/>
  <c r="U32" i="64" s="1"/>
  <c r="Q26" i="64"/>
  <c r="U26" i="64" s="1"/>
  <c r="Q38" i="64"/>
  <c r="U38" i="64" s="1"/>
  <c r="R7" i="64"/>
  <c r="V7" i="64" s="1"/>
  <c r="S27" i="64"/>
  <c r="W27" i="64" s="1"/>
  <c r="S36" i="64"/>
  <c r="W36" i="64" s="1"/>
  <c r="S35" i="64"/>
  <c r="W35" i="64" s="1"/>
  <c r="S11" i="64"/>
  <c r="W11" i="64" s="1"/>
  <c r="S23" i="64"/>
  <c r="W23" i="64" s="1"/>
  <c r="R8" i="64"/>
  <c r="V8" i="64" s="1"/>
  <c r="Q16" i="64"/>
  <c r="U16" i="64" s="1"/>
  <c r="R24" i="64"/>
  <c r="V24" i="64" s="1"/>
  <c r="Q49" i="64"/>
  <c r="U49" i="64" s="1"/>
  <c r="R57" i="64"/>
  <c r="V57" i="64" s="1"/>
  <c r="R25" i="64"/>
  <c r="V25" i="64" s="1"/>
  <c r="Q43" i="64"/>
  <c r="U43" i="64" s="1"/>
  <c r="T54" i="64"/>
  <c r="X54" i="64" s="1"/>
  <c r="Q59" i="64"/>
  <c r="U59" i="64" s="1"/>
  <c r="Q46" i="64"/>
  <c r="U46" i="64" s="1"/>
  <c r="Q22" i="64"/>
  <c r="U22" i="64" s="1"/>
  <c r="Q15" i="64"/>
  <c r="U15" i="64" s="1"/>
  <c r="T23" i="64"/>
  <c r="X23" i="64" s="1"/>
  <c r="T32" i="64"/>
  <c r="X32" i="64" s="1"/>
  <c r="V32" i="64"/>
  <c r="S26" i="64"/>
  <c r="W26" i="64" s="1"/>
  <c r="S54" i="64"/>
  <c r="W54" i="64" s="1"/>
  <c r="S22" i="64"/>
  <c r="W22" i="64" s="1"/>
  <c r="S37" i="64"/>
  <c r="W37" i="64" s="1"/>
  <c r="Q41" i="64"/>
  <c r="U41" i="64" s="1"/>
  <c r="R36" i="64"/>
  <c r="V36" i="64" s="1"/>
  <c r="Q21" i="64"/>
  <c r="U21" i="64" s="1"/>
  <c r="S18" i="64"/>
  <c r="W18" i="64" s="1"/>
  <c r="S38" i="64"/>
  <c r="W38" i="64" s="1"/>
  <c r="S56" i="64"/>
  <c r="W56" i="64" s="1"/>
  <c r="R45" i="64"/>
  <c r="V45" i="64" s="1"/>
  <c r="Q25" i="64"/>
  <c r="U25" i="64" s="1"/>
  <c r="Q23" i="64"/>
  <c r="U23" i="64" s="1"/>
  <c r="R16" i="64"/>
  <c r="V16" i="64" s="1"/>
  <c r="Q34" i="64"/>
  <c r="U34" i="64" s="1"/>
  <c r="S17" i="64"/>
  <c r="W17" i="64" s="1"/>
  <c r="S28" i="64"/>
  <c r="W28" i="64" s="1"/>
  <c r="S30" i="64"/>
  <c r="W30" i="64" s="1"/>
  <c r="S49" i="64"/>
  <c r="W49" i="64" s="1"/>
  <c r="T16" i="64"/>
  <c r="X16" i="64" s="1"/>
  <c r="T36" i="64"/>
  <c r="X36" i="64" s="1"/>
  <c r="S29" i="64"/>
  <c r="W29" i="64" s="1"/>
  <c r="Q30" i="64"/>
  <c r="U30" i="64" s="1"/>
  <c r="Q19" i="64"/>
  <c r="U19" i="64" s="1"/>
  <c r="R44" i="64"/>
  <c r="V44" i="64" s="1"/>
  <c r="T55" i="64"/>
  <c r="X55" i="64" s="1"/>
  <c r="Q55" i="64"/>
  <c r="U55" i="64" s="1"/>
  <c r="S9" i="64"/>
  <c r="W9" i="64" s="1"/>
  <c r="S52" i="64"/>
  <c r="W52" i="64" s="1"/>
  <c r="S47" i="64"/>
  <c r="W47" i="64" s="1"/>
  <c r="S32" i="64"/>
  <c r="W32" i="64" s="1"/>
  <c r="Q57" i="64"/>
  <c r="U57" i="64" s="1"/>
  <c r="T43" i="64"/>
  <c r="X43" i="64" s="1"/>
  <c r="T14" i="64"/>
  <c r="X14" i="64" s="1"/>
  <c r="S14" i="64"/>
  <c r="W14" i="64" s="1"/>
  <c r="T47" i="64"/>
  <c r="X47" i="64" s="1"/>
  <c r="T15" i="64"/>
  <c r="X15" i="64" s="1"/>
  <c r="S7" i="64"/>
  <c r="W7" i="64" s="1"/>
  <c r="S43" i="64"/>
  <c r="W43" i="64" s="1"/>
  <c r="S60" i="64"/>
  <c r="W60" i="64" s="1"/>
  <c r="T29" i="64"/>
  <c r="X29" i="64" s="1"/>
  <c r="T59" i="64"/>
  <c r="X59" i="64" s="1"/>
  <c r="Q61" i="64"/>
  <c r="U61" i="64" s="1"/>
  <c r="R50" i="64"/>
  <c r="V50" i="64" s="1"/>
  <c r="Q18" i="64"/>
  <c r="U18" i="64" s="1"/>
  <c r="R40" i="64"/>
  <c r="V40" i="64" s="1"/>
  <c r="R59" i="64"/>
  <c r="V59" i="64" s="1"/>
  <c r="Q54" i="64"/>
  <c r="U54" i="64" s="1"/>
  <c r="Q47" i="64"/>
  <c r="U47" i="64" s="1"/>
  <c r="Q28" i="64"/>
  <c r="U28" i="64" s="1"/>
  <c r="T56" i="64"/>
  <c r="X56" i="64" s="1"/>
  <c r="Q50" i="64"/>
  <c r="U50" i="64" s="1"/>
  <c r="R30" i="64"/>
  <c r="V30" i="64" s="1"/>
  <c r="Q60" i="64"/>
  <c r="U60" i="64" s="1"/>
  <c r="R55" i="64"/>
  <c r="V55" i="64" s="1"/>
  <c r="T24" i="64"/>
  <c r="X24" i="64" s="1"/>
  <c r="AB104" i="57"/>
  <c r="AF104" i="57" s="1"/>
  <c r="AE59" i="57"/>
  <c r="AE100" i="57"/>
  <c r="AD25" i="57"/>
  <c r="AB103" i="57"/>
  <c r="AF103" i="57" s="1"/>
  <c r="AE97" i="57"/>
  <c r="AF108" i="57"/>
  <c r="AD100" i="57"/>
  <c r="AD59" i="57"/>
  <c r="AD21" i="57"/>
  <c r="AG51" i="57"/>
  <c r="AG15" i="57"/>
  <c r="AC76" i="57"/>
  <c r="AG76" i="57" s="1"/>
  <c r="AF94" i="57"/>
  <c r="AF31" i="57"/>
  <c r="AB28" i="57"/>
  <c r="AE81" i="57"/>
  <c r="AG67" i="57"/>
  <c r="S117" i="58"/>
  <c r="W117" i="58" s="1"/>
  <c r="AB102" i="58"/>
  <c r="AG102" i="58" s="1"/>
  <c r="AC44" i="58"/>
  <c r="AC91" i="58"/>
  <c r="AA22" i="57"/>
  <c r="AE22" i="57" s="1"/>
  <c r="AE33" i="57"/>
  <c r="AF67" i="57"/>
  <c r="AE115" i="57"/>
  <c r="AC74" i="57"/>
  <c r="AG74" i="57" s="1"/>
  <c r="AF47" i="57"/>
  <c r="U117" i="58"/>
  <c r="Y117" i="58" s="1"/>
  <c r="AB15" i="57"/>
  <c r="AA18" i="58"/>
  <c r="AC18" i="57"/>
  <c r="AE36" i="57"/>
  <c r="AD33" i="57"/>
  <c r="AF55" i="57"/>
  <c r="AF93" i="57"/>
  <c r="AC50" i="57"/>
  <c r="AG50" i="57" s="1"/>
  <c r="AA50" i="58"/>
  <c r="Z106" i="57"/>
  <c r="AD97" i="57"/>
  <c r="AE94" i="57"/>
  <c r="AD98" i="57"/>
  <c r="AC103" i="58"/>
  <c r="AA46" i="58"/>
  <c r="AE117" i="57"/>
  <c r="AF30" i="57"/>
  <c r="AE75" i="57"/>
  <c r="AC85" i="57"/>
  <c r="AG85" i="57" s="1"/>
  <c r="AF81" i="57"/>
  <c r="AF106" i="57"/>
  <c r="AE118" i="57"/>
  <c r="AA22" i="58"/>
  <c r="AC24" i="57"/>
  <c r="AF24" i="57"/>
  <c r="Y4" i="57"/>
  <c r="Y3" i="57" s="1"/>
  <c r="AB96" i="57"/>
  <c r="AF96" i="57" s="1"/>
  <c r="Z22" i="57"/>
  <c r="AD22" i="57" s="1"/>
  <c r="AF22" i="57"/>
  <c r="AA115" i="58"/>
  <c r="AD105" i="57"/>
  <c r="AF52" i="57"/>
  <c r="AD75" i="57"/>
  <c r="AF56" i="57"/>
  <c r="AD56" i="57"/>
  <c r="AD42" i="57"/>
  <c r="AA12" i="57"/>
  <c r="X96" i="58"/>
  <c r="AB96" i="58" s="1"/>
  <c r="AD70" i="57"/>
  <c r="AE32" i="57"/>
  <c r="AE23" i="57"/>
  <c r="AD16" i="57"/>
  <c r="AD28" i="57"/>
  <c r="AA111" i="58"/>
  <c r="AE17" i="57"/>
  <c r="AE116" i="57"/>
  <c r="AD34" i="57"/>
  <c r="Z11" i="57"/>
  <c r="AD11" i="57" s="1"/>
  <c r="AE18" i="57"/>
  <c r="AE49" i="57"/>
  <c r="AD29" i="57"/>
  <c r="AD15" i="57"/>
  <c r="AD41" i="57"/>
  <c r="AA65" i="58"/>
  <c r="Z13" i="57"/>
  <c r="AF116" i="57"/>
  <c r="AF43" i="57"/>
  <c r="W4" i="57"/>
  <c r="W3" i="57" s="1"/>
  <c r="AD31" i="57"/>
  <c r="AF12" i="57"/>
  <c r="AE29" i="57"/>
  <c r="AA87" i="58"/>
  <c r="AE107" i="57"/>
  <c r="AE19" i="57"/>
  <c r="AE87" i="57"/>
  <c r="AB37" i="57"/>
  <c r="AD99" i="57"/>
  <c r="AF99" i="57"/>
  <c r="AC79" i="57"/>
  <c r="AG79" i="57" s="1"/>
  <c r="Z57" i="57"/>
  <c r="AE20" i="57"/>
  <c r="AE40" i="57"/>
  <c r="AE88" i="57"/>
  <c r="Z87" i="57"/>
  <c r="Z26" i="57"/>
  <c r="AC54" i="58"/>
  <c r="AE68" i="57"/>
  <c r="AA79" i="57"/>
  <c r="AE79" i="57" s="1"/>
  <c r="AA74" i="57"/>
  <c r="AE74" i="57" s="1"/>
  <c r="AB87" i="57"/>
  <c r="AE31" i="57"/>
  <c r="AG17" i="57"/>
  <c r="AC93" i="57"/>
  <c r="AC78" i="57"/>
  <c r="AG78" i="57" s="1"/>
  <c r="AD77" i="58"/>
  <c r="AE77" i="58"/>
  <c r="AG16" i="57"/>
  <c r="AE98" i="57"/>
  <c r="AF72" i="57"/>
  <c r="V35" i="58"/>
  <c r="Z35" i="58" s="1"/>
  <c r="AC95" i="57"/>
  <c r="AG95" i="57" s="1"/>
  <c r="AA93" i="57"/>
  <c r="Z92" i="57"/>
  <c r="AD92" i="57" s="1"/>
  <c r="AF82" i="57"/>
  <c r="R79" i="58"/>
  <c r="V79" i="58" s="1"/>
  <c r="AG13" i="57"/>
  <c r="AA45" i="58"/>
  <c r="AG52" i="57"/>
  <c r="AF18" i="57"/>
  <c r="T79" i="58"/>
  <c r="X79" i="58" s="1"/>
  <c r="AC87" i="58"/>
  <c r="AC42" i="58"/>
  <c r="AA54" i="58"/>
  <c r="Z31" i="58"/>
  <c r="AD31" i="58" s="1"/>
  <c r="J104" i="58"/>
  <c r="N104" i="58" s="1"/>
  <c r="R104" i="58" s="1"/>
  <c r="V104" i="58" s="1"/>
  <c r="Z104" i="58" s="1"/>
  <c r="AE104" i="58" s="1"/>
  <c r="Z108" i="57"/>
  <c r="AD108" i="57" s="1"/>
  <c r="L26" i="58"/>
  <c r="P26" i="58" s="1"/>
  <c r="T26" i="58" s="1"/>
  <c r="X26" i="58" s="1"/>
  <c r="Z26" i="58" s="1"/>
  <c r="AD26" i="58" s="1"/>
  <c r="AB26" i="57"/>
  <c r="J34" i="58"/>
  <c r="N34" i="58" s="1"/>
  <c r="R34" i="58" s="1"/>
  <c r="V34" i="58" s="1"/>
  <c r="Z35" i="57"/>
  <c r="L49" i="58"/>
  <c r="P49" i="58" s="1"/>
  <c r="T49" i="58" s="1"/>
  <c r="X49" i="58" s="1"/>
  <c r="AB49" i="58" s="1"/>
  <c r="AF49" i="58" s="1"/>
  <c r="AB57" i="57"/>
  <c r="L66" i="58"/>
  <c r="P66" i="58" s="1"/>
  <c r="T66" i="58" s="1"/>
  <c r="X66" i="58" s="1"/>
  <c r="Z66" i="58" s="1"/>
  <c r="AD66" i="58" s="1"/>
  <c r="AB13" i="57"/>
  <c r="AE42" i="57"/>
  <c r="AE101" i="57"/>
  <c r="AD80" i="57"/>
  <c r="L85" i="58"/>
  <c r="P85" i="58" s="1"/>
  <c r="T85" i="58" s="1"/>
  <c r="X85" i="58" s="1"/>
  <c r="AB77" i="57"/>
  <c r="AF77" i="57" s="1"/>
  <c r="K86" i="58"/>
  <c r="O86" i="58" s="1"/>
  <c r="S86" i="58" s="1"/>
  <c r="W86" i="58" s="1"/>
  <c r="AA78" i="57"/>
  <c r="AE78" i="57" s="1"/>
  <c r="J69" i="58"/>
  <c r="N69" i="58" s="1"/>
  <c r="R69" i="58" s="1"/>
  <c r="V69" i="58" s="1"/>
  <c r="Z20" i="57"/>
  <c r="AE53" i="57"/>
  <c r="AA42" i="58"/>
  <c r="L78" i="58"/>
  <c r="P78" i="58" s="1"/>
  <c r="T78" i="58" s="1"/>
  <c r="X78" i="58" s="1"/>
  <c r="AB78" i="58" s="1"/>
  <c r="AG78" i="58" s="1"/>
  <c r="AB65" i="57"/>
  <c r="J38" i="58"/>
  <c r="N38" i="58" s="1"/>
  <c r="R38" i="58" s="1"/>
  <c r="V38" i="58" s="1"/>
  <c r="Z38" i="58" s="1"/>
  <c r="AE38" i="58" s="1"/>
  <c r="Z67" i="57"/>
  <c r="J85" i="58"/>
  <c r="N85" i="58" s="1"/>
  <c r="R85" i="58" s="1"/>
  <c r="V85" i="58" s="1"/>
  <c r="Z77" i="57"/>
  <c r="AD77" i="57" s="1"/>
  <c r="L69" i="58"/>
  <c r="P69" i="58" s="1"/>
  <c r="T69" i="58" s="1"/>
  <c r="X69" i="58" s="1"/>
  <c r="AB20" i="57"/>
  <c r="J110" i="58"/>
  <c r="Z114" i="57"/>
  <c r="AD114" i="57" s="1"/>
  <c r="AE28" i="57"/>
  <c r="AE10" i="57"/>
  <c r="Z94" i="57"/>
  <c r="AD62" i="57"/>
  <c r="Z51" i="57"/>
  <c r="L116" i="58"/>
  <c r="P116" i="58" s="1"/>
  <c r="T116" i="58" s="1"/>
  <c r="X116" i="58" s="1"/>
  <c r="AB116" i="58" s="1"/>
  <c r="AB29" i="57"/>
  <c r="L34" i="58"/>
  <c r="P34" i="58" s="1"/>
  <c r="T34" i="58" s="1"/>
  <c r="X34" i="58" s="1"/>
  <c r="AB35" i="57"/>
  <c r="L37" i="58"/>
  <c r="P37" i="58" s="1"/>
  <c r="T37" i="58" s="1"/>
  <c r="X37" i="58" s="1"/>
  <c r="AB37" i="58" s="1"/>
  <c r="AB51" i="57"/>
  <c r="AC118" i="58"/>
  <c r="AC56" i="58"/>
  <c r="AG12" i="57"/>
  <c r="AF53" i="57"/>
  <c r="Z47" i="58"/>
  <c r="AE47" i="58" s="1"/>
  <c r="AG58" i="57"/>
  <c r="AD12" i="57"/>
  <c r="AB67" i="58"/>
  <c r="AG67" i="58" s="1"/>
  <c r="AB32" i="58"/>
  <c r="AG32" i="58" s="1"/>
  <c r="AE82" i="57"/>
  <c r="AB39" i="58"/>
  <c r="AF39" i="58" s="1"/>
  <c r="AB51" i="58"/>
  <c r="AF51" i="58" s="1"/>
  <c r="Z81" i="58"/>
  <c r="AE81" i="58" s="1"/>
  <c r="AB113" i="58"/>
  <c r="AF113" i="58" s="1"/>
  <c r="AB68" i="58"/>
  <c r="AF68" i="58" s="1"/>
  <c r="Z68" i="58"/>
  <c r="AE68" i="58" s="1"/>
  <c r="Z113" i="58"/>
  <c r="AD113" i="58" s="1"/>
  <c r="AG14" i="57"/>
  <c r="AE41" i="57"/>
  <c r="Z98" i="58"/>
  <c r="AD98" i="58" s="1"/>
  <c r="AB114" i="58"/>
  <c r="AE58" i="57"/>
  <c r="AD102" i="57"/>
  <c r="AD115" i="57"/>
  <c r="Z100" i="58"/>
  <c r="AD100" i="58" s="1"/>
  <c r="AE35" i="57"/>
  <c r="Z20" i="58"/>
  <c r="AE20" i="58" s="1"/>
  <c r="AG53" i="57"/>
  <c r="AE52" i="57"/>
  <c r="Z40" i="58"/>
  <c r="AE40" i="58" s="1"/>
  <c r="AF14" i="57"/>
  <c r="AF98" i="57"/>
  <c r="AD30" i="57"/>
  <c r="AD82" i="57"/>
  <c r="AE65" i="57"/>
  <c r="Z114" i="58"/>
  <c r="AG30" i="57"/>
  <c r="AG89" i="57"/>
  <c r="AG82" i="57"/>
  <c r="AE26" i="57"/>
  <c r="AD68" i="57"/>
  <c r="AE43" i="57"/>
  <c r="AD89" i="57"/>
  <c r="AE15" i="57"/>
  <c r="AE16" i="57"/>
  <c r="AG107" i="57"/>
  <c r="AG42" i="57"/>
  <c r="AG87" i="57"/>
  <c r="AF71" i="57"/>
  <c r="AE66" i="57"/>
  <c r="AE24" i="57"/>
  <c r="AF88" i="57"/>
  <c r="AG88" i="57"/>
  <c r="AE45" i="57"/>
  <c r="AD10" i="57"/>
  <c r="AG98" i="57"/>
  <c r="AG81" i="57"/>
  <c r="AF107" i="57"/>
  <c r="AD88" i="57"/>
  <c r="AE106" i="57"/>
  <c r="AD72" i="57"/>
  <c r="AE30" i="57"/>
  <c r="AG66" i="57"/>
  <c r="AG19" i="57"/>
  <c r="AD18" i="57"/>
  <c r="AE51" i="57"/>
  <c r="AG20" i="57"/>
  <c r="AG40" i="57"/>
  <c r="AF23" i="57"/>
  <c r="AF19" i="57"/>
  <c r="AD24" i="57"/>
  <c r="AF10" i="57"/>
  <c r="AG72" i="57"/>
  <c r="AE67" i="57"/>
  <c r="AD53" i="57"/>
  <c r="AD71" i="57"/>
  <c r="AE99" i="57"/>
  <c r="AG90" i="57"/>
  <c r="AG45" i="57"/>
  <c r="AE102" i="57"/>
  <c r="AG37" i="57"/>
  <c r="AE34" i="57"/>
  <c r="AD19" i="57"/>
  <c r="AE90" i="57"/>
  <c r="AG94" i="57"/>
  <c r="AD90" i="57"/>
  <c r="AG29" i="57"/>
  <c r="AD37" i="57"/>
  <c r="AG28" i="57"/>
  <c r="AG102" i="57"/>
  <c r="AG57" i="57"/>
  <c r="AG41" i="57"/>
  <c r="AD17" i="57"/>
  <c r="AG23" i="57"/>
  <c r="AG99" i="57"/>
  <c r="AG106" i="57"/>
  <c r="AG10" i="57"/>
  <c r="AD65" i="57"/>
  <c r="AE13" i="57"/>
  <c r="AG35" i="57"/>
  <c r="AE14" i="57"/>
  <c r="AE37" i="57"/>
  <c r="AG116" i="57"/>
  <c r="AD52" i="57"/>
  <c r="AG26" i="57"/>
  <c r="AD14" i="57"/>
  <c r="AG71" i="57"/>
  <c r="AE89" i="57"/>
  <c r="AE71" i="57"/>
  <c r="AF115" i="57"/>
  <c r="AE72" i="57"/>
  <c r="AD23" i="57"/>
  <c r="AF66" i="57"/>
  <c r="AF89" i="57"/>
  <c r="AF90" i="57"/>
  <c r="AG65" i="57"/>
  <c r="AD93" i="57"/>
  <c r="AF68" i="57"/>
  <c r="AF17" i="57"/>
  <c r="AG34" i="57"/>
  <c r="AG43" i="57"/>
  <c r="AG31" i="57"/>
  <c r="AG68" i="57"/>
  <c r="AG115" i="57"/>
  <c r="AF41" i="57"/>
  <c r="AE57" i="57"/>
  <c r="AD58" i="57"/>
  <c r="AD107" i="57"/>
  <c r="AB81" i="58"/>
  <c r="AF81" i="58" s="1"/>
  <c r="Z67" i="58"/>
  <c r="AE67" i="58" s="1"/>
  <c r="AB20" i="58"/>
  <c r="AG20" i="58" s="1"/>
  <c r="Z39" i="58"/>
  <c r="AE39" i="58" s="1"/>
  <c r="Z102" i="58"/>
  <c r="AD102" i="58" s="1"/>
  <c r="AB42" i="58"/>
  <c r="Z42" i="58"/>
  <c r="Z80" i="58"/>
  <c r="AE80" i="58" s="1"/>
  <c r="AB80" i="58"/>
  <c r="AF80" i="58" s="1"/>
  <c r="Z119" i="58"/>
  <c r="AE119" i="58" s="1"/>
  <c r="AB119" i="58"/>
  <c r="AF119" i="58" s="1"/>
  <c r="AB29" i="58"/>
  <c r="AF29" i="58" s="1"/>
  <c r="Z29" i="58"/>
  <c r="AD29" i="58" s="1"/>
  <c r="Z19" i="58"/>
  <c r="AD19" i="58" s="1"/>
  <c r="AB19" i="58"/>
  <c r="AG19" i="58" s="1"/>
  <c r="Z90" i="58"/>
  <c r="AE90" i="58" s="1"/>
  <c r="AB90" i="58"/>
  <c r="AG90" i="58" s="1"/>
  <c r="Z58" i="58"/>
  <c r="AE58" i="58" s="1"/>
  <c r="AB88" i="58"/>
  <c r="AG88" i="58" s="1"/>
  <c r="Z88" i="58"/>
  <c r="AE88" i="58" s="1"/>
  <c r="AB105" i="58"/>
  <c r="AG105" i="58" s="1"/>
  <c r="Z105" i="58"/>
  <c r="AD105" i="58" s="1"/>
  <c r="AB36" i="58"/>
  <c r="AF36" i="58" s="1"/>
  <c r="Z36" i="58"/>
  <c r="AD36" i="58" s="1"/>
  <c r="AB107" i="58"/>
  <c r="AF107" i="58" s="1"/>
  <c r="Z107" i="58"/>
  <c r="AD107" i="58" s="1"/>
  <c r="Z52" i="58"/>
  <c r="AD52" i="58" s="1"/>
  <c r="AB52" i="58"/>
  <c r="AG52" i="58" s="1"/>
  <c r="Z53" i="58"/>
  <c r="AD53" i="58" s="1"/>
  <c r="AB53" i="58"/>
  <c r="AG53" i="58" s="1"/>
  <c r="Z60" i="58"/>
  <c r="AD60" i="58" s="1"/>
  <c r="AB60" i="58"/>
  <c r="AG60" i="58" s="1"/>
  <c r="AB55" i="58"/>
  <c r="AG55" i="58" s="1"/>
  <c r="Z55" i="58"/>
  <c r="AE55" i="58" s="1"/>
  <c r="AB41" i="58"/>
  <c r="AF41" i="58" s="1"/>
  <c r="Z41" i="58"/>
  <c r="AE41" i="58" s="1"/>
  <c r="Z82" i="58"/>
  <c r="AD82" i="58" s="1"/>
  <c r="AB82" i="58"/>
  <c r="AF82" i="58" s="1"/>
  <c r="AB47" i="58"/>
  <c r="AG47" i="58" s="1"/>
  <c r="AB100" i="58"/>
  <c r="AG100" i="58" s="1"/>
  <c r="AB40" i="58"/>
  <c r="AF40" i="58" s="1"/>
  <c r="AC114" i="58"/>
  <c r="AA114" i="58"/>
  <c r="AA96" i="58"/>
  <c r="AC96" i="58"/>
  <c r="AC11" i="58"/>
  <c r="AA11" i="58"/>
  <c r="AB118" i="58"/>
  <c r="Z118" i="58"/>
  <c r="AD118" i="58" s="1"/>
  <c r="AB109" i="58"/>
  <c r="AF109" i="58" s="1"/>
  <c r="Z109" i="58"/>
  <c r="AE109" i="58" s="1"/>
  <c r="Z97" i="58"/>
  <c r="AE97" i="58" s="1"/>
  <c r="AB97" i="58"/>
  <c r="AG97" i="58" s="1"/>
  <c r="AB18" i="58"/>
  <c r="AF18" i="58" s="1"/>
  <c r="Z18" i="58"/>
  <c r="Z24" i="58"/>
  <c r="AD24" i="58" s="1"/>
  <c r="AB24" i="58"/>
  <c r="AG24" i="58" s="1"/>
  <c r="Z59" i="58"/>
  <c r="AD59" i="58" s="1"/>
  <c r="AB59" i="58"/>
  <c r="AG59" i="58" s="1"/>
  <c r="Z17" i="58"/>
  <c r="AE17" i="58" s="1"/>
  <c r="AB17" i="58"/>
  <c r="AF17" i="58" s="1"/>
  <c r="Z70" i="58"/>
  <c r="AE70" i="58" s="1"/>
  <c r="AB70" i="58"/>
  <c r="AF70" i="58" s="1"/>
  <c r="Z106" i="58"/>
  <c r="AD106" i="58" s="1"/>
  <c r="AB106" i="58"/>
  <c r="AG106" i="58" s="1"/>
  <c r="Z115" i="58"/>
  <c r="Z30" i="58"/>
  <c r="AE30" i="58" s="1"/>
  <c r="AB30" i="58"/>
  <c r="AG30" i="58" s="1"/>
  <c r="Z23" i="58"/>
  <c r="AD23" i="58" s="1"/>
  <c r="AC79" i="58"/>
  <c r="AA79" i="58"/>
  <c r="AB94" i="58"/>
  <c r="AG94" i="58" s="1"/>
  <c r="Z94" i="58"/>
  <c r="AD94" i="58" s="1"/>
  <c r="AA35" i="58"/>
  <c r="AC35" i="58"/>
  <c r="AC33" i="58"/>
  <c r="AA33" i="58"/>
  <c r="AC10" i="58"/>
  <c r="AA10" i="58"/>
  <c r="AA13" i="58"/>
  <c r="AC13" i="58"/>
  <c r="Z56" i="58"/>
  <c r="AD56" i="58" s="1"/>
  <c r="AB56" i="58"/>
  <c r="Z61" i="58"/>
  <c r="AE61" i="58" s="1"/>
  <c r="AB61" i="58"/>
  <c r="AG61" i="58" s="1"/>
  <c r="Z75" i="58"/>
  <c r="AD75" i="58" s="1"/>
  <c r="AB75" i="58"/>
  <c r="AG75" i="58" s="1"/>
  <c r="Z84" i="58"/>
  <c r="AD84" i="58" s="1"/>
  <c r="AB84" i="58"/>
  <c r="AG84" i="58" s="1"/>
  <c r="AB101" i="58"/>
  <c r="AG101" i="58" s="1"/>
  <c r="Z101" i="58"/>
  <c r="AD101" i="58" s="1"/>
  <c r="AB25" i="58"/>
  <c r="AF25" i="58" s="1"/>
  <c r="Z25" i="58"/>
  <c r="AE25" i="58" s="1"/>
  <c r="AB48" i="58"/>
  <c r="AF48" i="58" s="1"/>
  <c r="Z48" i="58"/>
  <c r="AD48" i="58" s="1"/>
  <c r="AB57" i="58"/>
  <c r="AG57" i="58" s="1"/>
  <c r="Z57" i="58"/>
  <c r="AE57" i="58" s="1"/>
  <c r="Z91" i="58"/>
  <c r="AD91" i="58" s="1"/>
  <c r="AB72" i="58"/>
  <c r="AF72" i="58" s="1"/>
  <c r="Z72" i="58"/>
  <c r="AD72" i="58" s="1"/>
  <c r="Z27" i="58"/>
  <c r="AE27" i="58" s="1"/>
  <c r="AB27" i="58"/>
  <c r="AG27" i="58" s="1"/>
  <c r="Z51" i="58"/>
  <c r="AE51" i="58" s="1"/>
  <c r="AB98" i="58"/>
  <c r="AG98" i="58" s="1"/>
  <c r="AB31" i="58"/>
  <c r="AG31" i="58" s="1"/>
  <c r="AA43" i="58"/>
  <c r="AC43" i="58"/>
  <c r="AA112" i="58"/>
  <c r="AC112" i="58"/>
  <c r="AA89" i="58"/>
  <c r="AC89" i="58"/>
  <c r="AA14" i="58"/>
  <c r="AC14" i="58"/>
  <c r="AA12" i="58"/>
  <c r="AC12" i="58"/>
  <c r="AB28" i="58"/>
  <c r="AF28" i="58" s="1"/>
  <c r="Z28" i="58"/>
  <c r="AD28" i="58" s="1"/>
  <c r="AA15" i="58"/>
  <c r="AC15" i="58"/>
  <c r="Z74" i="58"/>
  <c r="AD74" i="58" s="1"/>
  <c r="AB74" i="58"/>
  <c r="AG74" i="58" s="1"/>
  <c r="AB16" i="58"/>
  <c r="AF16" i="58" s="1"/>
  <c r="Z16" i="58"/>
  <c r="AE16" i="58" s="1"/>
  <c r="AB108" i="58"/>
  <c r="AG108" i="58" s="1"/>
  <c r="Z108" i="58"/>
  <c r="AE108" i="58" s="1"/>
  <c r="Z63" i="58"/>
  <c r="AD63" i="58" s="1"/>
  <c r="AB63" i="58"/>
  <c r="AG63" i="58" s="1"/>
  <c r="Z65" i="58"/>
  <c r="AB65" i="58"/>
  <c r="AG65" i="58" s="1"/>
  <c r="Z93" i="58"/>
  <c r="AD93" i="58" s="1"/>
  <c r="AB93" i="58"/>
  <c r="AG93" i="58" s="1"/>
  <c r="AB111" i="58"/>
  <c r="AG111" i="58" s="1"/>
  <c r="Z111" i="58"/>
  <c r="Z62" i="58"/>
  <c r="AD62" i="58" s="1"/>
  <c r="AB62" i="58"/>
  <c r="AG62" i="58" s="1"/>
  <c r="Z71" i="58"/>
  <c r="AD71" i="58" s="1"/>
  <c r="AB71" i="58"/>
  <c r="AG71" i="58" s="1"/>
  <c r="Z95" i="58"/>
  <c r="AD95" i="58" s="1"/>
  <c r="AB95" i="58"/>
  <c r="AG95" i="58" s="1"/>
  <c r="AB103" i="58"/>
  <c r="Z103" i="58"/>
  <c r="AD103" i="58" s="1"/>
  <c r="AB83" i="58"/>
  <c r="AF83" i="58" s="1"/>
  <c r="Z83" i="58"/>
  <c r="AD83" i="58" s="1"/>
  <c r="Z32" i="58"/>
  <c r="AD32" i="58" s="1"/>
  <c r="X12" i="58"/>
  <c r="X13" i="58"/>
  <c r="X10" i="58"/>
  <c r="V15" i="58"/>
  <c r="V11" i="58"/>
  <c r="V10" i="58"/>
  <c r="V13" i="58"/>
  <c r="X15" i="58"/>
  <c r="X11" i="58"/>
  <c r="X14" i="58"/>
  <c r="V14" i="58"/>
  <c r="M5" i="58"/>
  <c r="AF73" i="58"/>
  <c r="J64" i="58"/>
  <c r="V4" i="57"/>
  <c r="Z9" i="57"/>
  <c r="O64" i="58"/>
  <c r="S64" i="58" s="1"/>
  <c r="W64" i="58" s="1"/>
  <c r="AE73" i="58"/>
  <c r="L64" i="58"/>
  <c r="X4" i="57"/>
  <c r="X3" i="57" s="1"/>
  <c r="AB9" i="57"/>
  <c r="AG58" i="58"/>
  <c r="AF58" i="58"/>
  <c r="AG76" i="58"/>
  <c r="AF21" i="58"/>
  <c r="AG21" i="58"/>
  <c r="AE76" i="58"/>
  <c r="AE21" i="58"/>
  <c r="AD21" i="58"/>
  <c r="AD76" i="58"/>
  <c r="AF76" i="58"/>
  <c r="AB87" i="58" l="1"/>
  <c r="AG87" i="58" s="1"/>
  <c r="Z46" i="58"/>
  <c r="AE46" i="58" s="1"/>
  <c r="AB44" i="58"/>
  <c r="AG44" i="58" s="1"/>
  <c r="AB50" i="58"/>
  <c r="AF50" i="58" s="1"/>
  <c r="AB12" i="58"/>
  <c r="AG12" i="58" s="1"/>
  <c r="Z54" i="58"/>
  <c r="AE54" i="58" s="1"/>
  <c r="AB22" i="58"/>
  <c r="AG22" i="58" s="1"/>
  <c r="AB45" i="58"/>
  <c r="AF45" i="58" s="1"/>
  <c r="AG54" i="58"/>
  <c r="V86" i="58"/>
  <c r="K5" i="58"/>
  <c r="Z99" i="58"/>
  <c r="AD99" i="58" s="1"/>
  <c r="AF42" i="58"/>
  <c r="AD81" i="57"/>
  <c r="R46" i="64"/>
  <c r="V46" i="64" s="1"/>
  <c r="R31" i="64"/>
  <c r="V31" i="64" s="1"/>
  <c r="AD43" i="57"/>
  <c r="AK92" i="58"/>
  <c r="AO92" i="58" s="1"/>
  <c r="AS92" i="58" s="1"/>
  <c r="AJ92" i="58"/>
  <c r="AN92" i="58" s="1"/>
  <c r="AR92" i="58" s="1"/>
  <c r="AI92" i="58"/>
  <c r="AM92" i="58" s="1"/>
  <c r="AQ92" i="58" s="1"/>
  <c r="BA92" i="58" s="1"/>
  <c r="AH92" i="58"/>
  <c r="AL92" i="58" s="1"/>
  <c r="AP92" i="58" s="1"/>
  <c r="AF77" i="58"/>
  <c r="AG77" i="58"/>
  <c r="AB99" i="58"/>
  <c r="AG99" i="58" s="1"/>
  <c r="Q8" i="64"/>
  <c r="U8" i="64" s="1"/>
  <c r="T9" i="64"/>
  <c r="X9" i="64" s="1"/>
  <c r="R26" i="64"/>
  <c r="V26" i="64" s="1"/>
  <c r="T11" i="64"/>
  <c r="X11" i="64" s="1"/>
  <c r="R6" i="64"/>
  <c r="V6" i="64" s="1"/>
  <c r="T26" i="64"/>
  <c r="X26" i="64" s="1"/>
  <c r="R34" i="64"/>
  <c r="V34" i="64" s="1"/>
  <c r="T17" i="64"/>
  <c r="X17" i="64" s="1"/>
  <c r="R42" i="64"/>
  <c r="V42" i="64" s="1"/>
  <c r="R20" i="64"/>
  <c r="V20" i="64" s="1"/>
  <c r="S19" i="64"/>
  <c r="W19" i="64" s="1"/>
  <c r="Q53" i="64"/>
  <c r="U53" i="64" s="1"/>
  <c r="R9" i="64"/>
  <c r="V9" i="64" s="1"/>
  <c r="T37" i="64"/>
  <c r="X37" i="64" s="1"/>
  <c r="T20" i="64"/>
  <c r="X20" i="64" s="1"/>
  <c r="R49" i="64"/>
  <c r="V49" i="64" s="1"/>
  <c r="S15" i="64"/>
  <c r="W15" i="64" s="1"/>
  <c r="T6" i="64"/>
  <c r="X6" i="64" s="1"/>
  <c r="T34" i="64"/>
  <c r="X34" i="64" s="1"/>
  <c r="T22" i="64"/>
  <c r="X22" i="64" s="1"/>
  <c r="T40" i="64"/>
  <c r="X40" i="64" s="1"/>
  <c r="R17" i="64"/>
  <c r="V17" i="64" s="1"/>
  <c r="R37" i="64"/>
  <c r="V37" i="64" s="1"/>
  <c r="T27" i="64"/>
  <c r="X27" i="64" s="1"/>
  <c r="R58" i="64"/>
  <c r="V58" i="64" s="1"/>
  <c r="T21" i="64"/>
  <c r="X21" i="64" s="1"/>
  <c r="AG93" i="57"/>
  <c r="S53" i="64"/>
  <c r="W53" i="64" s="1"/>
  <c r="AF102" i="58"/>
  <c r="AJ102" i="58" s="1"/>
  <c r="AN102" i="58" s="1"/>
  <c r="AR102" i="58" s="1"/>
  <c r="AF87" i="57"/>
  <c r="T49" i="64"/>
  <c r="X49" i="64" s="1"/>
  <c r="AD94" i="57"/>
  <c r="R54" i="64"/>
  <c r="V54" i="64" s="1"/>
  <c r="AF15" i="57"/>
  <c r="AD106" i="57"/>
  <c r="AA117" i="58"/>
  <c r="AF28" i="57"/>
  <c r="V117" i="58"/>
  <c r="Z117" i="58" s="1"/>
  <c r="X117" i="58"/>
  <c r="AB117" i="58" s="1"/>
  <c r="AC117" i="58"/>
  <c r="AB85" i="58"/>
  <c r="AG85" i="58" s="1"/>
  <c r="AG91" i="58"/>
  <c r="AG103" i="58"/>
  <c r="AD104" i="58"/>
  <c r="AI104" i="58" s="1"/>
  <c r="AM104" i="58" s="1"/>
  <c r="AQ104" i="58" s="1"/>
  <c r="AE18" i="58"/>
  <c r="AE111" i="58"/>
  <c r="AE50" i="58"/>
  <c r="AG18" i="57"/>
  <c r="AE12" i="57"/>
  <c r="AG24" i="57"/>
  <c r="AD22" i="58"/>
  <c r="AE115" i="58"/>
  <c r="AF37" i="57"/>
  <c r="Z78" i="58"/>
  <c r="AD78" i="58" s="1"/>
  <c r="Z116" i="58"/>
  <c r="AE116" i="58" s="1"/>
  <c r="AE31" i="58"/>
  <c r="AH31" i="58" s="1"/>
  <c r="AD13" i="57"/>
  <c r="AB38" i="58"/>
  <c r="AG38" i="58" s="1"/>
  <c r="AD87" i="57"/>
  <c r="AG118" i="58"/>
  <c r="AE65" i="58"/>
  <c r="AD87" i="58"/>
  <c r="Z49" i="58"/>
  <c r="AD49" i="58" s="1"/>
  <c r="AD57" i="57"/>
  <c r="AF54" i="58"/>
  <c r="AB66" i="58"/>
  <c r="AG66" i="58" s="1"/>
  <c r="AD42" i="58"/>
  <c r="Z69" i="58"/>
  <c r="AD69" i="58" s="1"/>
  <c r="AF56" i="58"/>
  <c r="AD26" i="57"/>
  <c r="AB26" i="58"/>
  <c r="AG26" i="58" s="1"/>
  <c r="AG39" i="58"/>
  <c r="AJ39" i="58" s="1"/>
  <c r="AE93" i="57"/>
  <c r="Z79" i="58"/>
  <c r="AE79" i="58" s="1"/>
  <c r="AI77" i="58"/>
  <c r="AM77" i="58" s="1"/>
  <c r="AB79" i="58"/>
  <c r="AF79" i="58" s="1"/>
  <c r="Z34" i="58"/>
  <c r="AD34" i="58" s="1"/>
  <c r="Z37" i="58"/>
  <c r="AD37" i="58" s="1"/>
  <c r="AD45" i="58"/>
  <c r="AB104" i="58"/>
  <c r="AH77" i="58"/>
  <c r="AL77" i="58" s="1"/>
  <c r="AP77" i="58" s="1"/>
  <c r="AE113" i="58"/>
  <c r="AI113" i="58" s="1"/>
  <c r="AM113" i="58" s="1"/>
  <c r="AQ113" i="58" s="1"/>
  <c r="AD68" i="58"/>
  <c r="AI68" i="58" s="1"/>
  <c r="AM68" i="58" s="1"/>
  <c r="AQ68" i="58" s="1"/>
  <c r="AB69" i="58"/>
  <c r="AF69" i="58" s="1"/>
  <c r="AF57" i="57"/>
  <c r="AG37" i="58"/>
  <c r="AF37" i="58"/>
  <c r="AG116" i="58"/>
  <c r="AF116" i="58"/>
  <c r="T110" i="58"/>
  <c r="X110" i="58" s="1"/>
  <c r="R110" i="58"/>
  <c r="V110" i="58" s="1"/>
  <c r="N110" i="58"/>
  <c r="AF13" i="57"/>
  <c r="AD35" i="57"/>
  <c r="AF35" i="57"/>
  <c r="AF20" i="57"/>
  <c r="AD67" i="57"/>
  <c r="AB34" i="58"/>
  <c r="AC86" i="58"/>
  <c r="AA86" i="58"/>
  <c r="AF26" i="57"/>
  <c r="AG51" i="58"/>
  <c r="AK51" i="58" s="1"/>
  <c r="Z85" i="58"/>
  <c r="AE85" i="58" s="1"/>
  <c r="AD51" i="57"/>
  <c r="AF51" i="57"/>
  <c r="AF29" i="57"/>
  <c r="AF65" i="57"/>
  <c r="AD20" i="57"/>
  <c r="AG68" i="58"/>
  <c r="AJ68" i="58" s="1"/>
  <c r="AN68" i="58" s="1"/>
  <c r="AR68" i="58" s="1"/>
  <c r="AE23" i="58"/>
  <c r="AI23" i="58" s="1"/>
  <c r="AF32" i="58"/>
  <c r="AJ32" i="58" s="1"/>
  <c r="AE66" i="58"/>
  <c r="AH66" i="58" s="1"/>
  <c r="AL66" i="58" s="1"/>
  <c r="AP66" i="58" s="1"/>
  <c r="AG81" i="58"/>
  <c r="AJ81" i="58" s="1"/>
  <c r="AN81" i="58" s="1"/>
  <c r="AR81" i="58" s="1"/>
  <c r="AD40" i="58"/>
  <c r="AH40" i="58" s="1"/>
  <c r="AG113" i="58"/>
  <c r="AK113" i="58" s="1"/>
  <c r="AO113" i="58" s="1"/>
  <c r="AS113" i="58" s="1"/>
  <c r="AF27" i="58"/>
  <c r="AK27" i="58" s="1"/>
  <c r="AE91" i="58"/>
  <c r="AH91" i="58" s="1"/>
  <c r="AL91" i="58" s="1"/>
  <c r="AP91" i="58" s="1"/>
  <c r="AF60" i="58"/>
  <c r="AJ60" i="58" s="1"/>
  <c r="AF111" i="58"/>
  <c r="AJ111" i="58" s="1"/>
  <c r="AN111" i="58" s="1"/>
  <c r="AR111" i="58" s="1"/>
  <c r="AG83" i="58"/>
  <c r="AJ83" i="58" s="1"/>
  <c r="AN83" i="58" s="1"/>
  <c r="AR83" i="58" s="1"/>
  <c r="AF61" i="58"/>
  <c r="AK61" i="58" s="1"/>
  <c r="AD57" i="58"/>
  <c r="AI57" i="58" s="1"/>
  <c r="AF20" i="58"/>
  <c r="AK20" i="58" s="1"/>
  <c r="AD67" i="58"/>
  <c r="AI67" i="58" s="1"/>
  <c r="AM67" i="58" s="1"/>
  <c r="AQ67" i="58" s="1"/>
  <c r="AE24" i="58"/>
  <c r="AI24" i="58" s="1"/>
  <c r="AG119" i="58"/>
  <c r="AK119" i="58" s="1"/>
  <c r="AO119" i="58" s="1"/>
  <c r="AS119" i="58" s="1"/>
  <c r="AD70" i="58"/>
  <c r="AH70" i="58" s="1"/>
  <c r="AL70" i="58" s="1"/>
  <c r="AP70" i="58" s="1"/>
  <c r="AE83" i="58"/>
  <c r="AI83" i="58" s="1"/>
  <c r="AM83" i="58" s="1"/>
  <c r="AQ83" i="58" s="1"/>
  <c r="AF101" i="58"/>
  <c r="AJ101" i="58" s="1"/>
  <c r="AN101" i="58" s="1"/>
  <c r="AR101" i="58" s="1"/>
  <c r="AE59" i="58"/>
  <c r="AH59" i="58" s="1"/>
  <c r="AF100" i="58"/>
  <c r="AJ100" i="58" s="1"/>
  <c r="AN100" i="58" s="1"/>
  <c r="AR100" i="58" s="1"/>
  <c r="AF47" i="58"/>
  <c r="AJ47" i="58" s="1"/>
  <c r="AF71" i="58"/>
  <c r="AK71" i="58" s="1"/>
  <c r="AO71" i="58" s="1"/>
  <c r="AS71" i="58" s="1"/>
  <c r="AD51" i="58"/>
  <c r="AI51" i="58" s="1"/>
  <c r="AD27" i="58"/>
  <c r="AI27" i="58" s="1"/>
  <c r="AF9" i="57"/>
  <c r="AD115" i="58"/>
  <c r="AF98" i="58"/>
  <c r="AJ98" i="58" s="1"/>
  <c r="AN98" i="58" s="1"/>
  <c r="AR98" i="58" s="1"/>
  <c r="AE36" i="58"/>
  <c r="AH36" i="58" s="1"/>
  <c r="AF46" i="58"/>
  <c r="AJ46" i="58" s="1"/>
  <c r="AF75" i="58"/>
  <c r="AJ75" i="58" s="1"/>
  <c r="AN75" i="58" s="1"/>
  <c r="AR75" i="58" s="1"/>
  <c r="AF106" i="58"/>
  <c r="AK106" i="58" s="1"/>
  <c r="AO106" i="58" s="1"/>
  <c r="AS106" i="58" s="1"/>
  <c r="AB10" i="58"/>
  <c r="AG10" i="58" s="1"/>
  <c r="Z10" i="58"/>
  <c r="AD10" i="58" s="1"/>
  <c r="AB11" i="58"/>
  <c r="AG11" i="58" s="1"/>
  <c r="Z11" i="58"/>
  <c r="AE11" i="58" s="1"/>
  <c r="AF105" i="58"/>
  <c r="AJ105" i="58" s="1"/>
  <c r="AN105" i="58" s="1"/>
  <c r="AR105" i="58" s="1"/>
  <c r="AC64" i="58"/>
  <c r="AA64" i="58"/>
  <c r="Z14" i="58"/>
  <c r="AE14" i="58" s="1"/>
  <c r="AB14" i="58"/>
  <c r="AF14" i="58" s="1"/>
  <c r="Z15" i="58"/>
  <c r="AD15" i="58" s="1"/>
  <c r="AB15" i="58"/>
  <c r="AF15" i="58" s="1"/>
  <c r="Z12" i="58"/>
  <c r="AD12" i="58" s="1"/>
  <c r="AB13" i="58"/>
  <c r="AF13" i="58" s="1"/>
  <c r="Z13" i="58"/>
  <c r="AE13" i="58" s="1"/>
  <c r="AF57" i="58"/>
  <c r="AK57" i="58" s="1"/>
  <c r="AE82" i="58"/>
  <c r="AI82" i="58" s="1"/>
  <c r="AM82" i="58" s="1"/>
  <c r="AQ82" i="58" s="1"/>
  <c r="AE62" i="58"/>
  <c r="AI62" i="58" s="1"/>
  <c r="AE48" i="58"/>
  <c r="AH48" i="58" s="1"/>
  <c r="AG109" i="58"/>
  <c r="AJ109" i="58" s="1"/>
  <c r="AN109" i="58" s="1"/>
  <c r="AR109" i="58" s="1"/>
  <c r="AF115" i="58"/>
  <c r="AK115" i="58" s="1"/>
  <c r="AO115" i="58" s="1"/>
  <c r="AS115" i="58" s="1"/>
  <c r="AG49" i="58"/>
  <c r="AK49" i="58" s="1"/>
  <c r="AD81" i="58"/>
  <c r="AI81" i="58" s="1"/>
  <c r="AM81" i="58" s="1"/>
  <c r="AQ81" i="58" s="1"/>
  <c r="AD97" i="58"/>
  <c r="AH97" i="58" s="1"/>
  <c r="AL97" i="58" s="1"/>
  <c r="AP97" i="58" s="1"/>
  <c r="AF59" i="58"/>
  <c r="AK59" i="58" s="1"/>
  <c r="AF65" i="58"/>
  <c r="AK65" i="58" s="1"/>
  <c r="AO65" i="58" s="1"/>
  <c r="AS65" i="58" s="1"/>
  <c r="AE107" i="58"/>
  <c r="AI107" i="58" s="1"/>
  <c r="AM107" i="58" s="1"/>
  <c r="AQ107" i="58" s="1"/>
  <c r="AF91" i="58"/>
  <c r="AF97" i="58"/>
  <c r="AK97" i="58" s="1"/>
  <c r="AO97" i="58" s="1"/>
  <c r="AS97" i="58" s="1"/>
  <c r="AE56" i="58"/>
  <c r="AH56" i="58" s="1"/>
  <c r="AE93" i="58"/>
  <c r="AH93" i="58" s="1"/>
  <c r="AL93" i="58" s="1"/>
  <c r="AP93" i="58" s="1"/>
  <c r="AF62" i="58"/>
  <c r="AK62" i="58" s="1"/>
  <c r="AD55" i="58"/>
  <c r="AI55" i="58" s="1"/>
  <c r="AE101" i="58"/>
  <c r="AI101" i="58" s="1"/>
  <c r="AM101" i="58" s="1"/>
  <c r="AQ101" i="58" s="1"/>
  <c r="AE22" i="58"/>
  <c r="AE26" i="58"/>
  <c r="AI26" i="58" s="1"/>
  <c r="AE52" i="58"/>
  <c r="AH52" i="58" s="1"/>
  <c r="AE100" i="58"/>
  <c r="AI100" i="58" s="1"/>
  <c r="AM100" i="58" s="1"/>
  <c r="AQ100" i="58" s="1"/>
  <c r="AD41" i="58"/>
  <c r="AI41" i="58" s="1"/>
  <c r="AD58" i="58"/>
  <c r="AH58" i="58" s="1"/>
  <c r="AD111" i="58"/>
  <c r="AF44" i="58"/>
  <c r="AD119" i="58"/>
  <c r="AI119" i="58" s="1"/>
  <c r="AM119" i="58" s="1"/>
  <c r="AQ119" i="58" s="1"/>
  <c r="AD46" i="58"/>
  <c r="AG48" i="58"/>
  <c r="AJ48" i="58" s="1"/>
  <c r="AE105" i="58"/>
  <c r="AI105" i="58" s="1"/>
  <c r="AM105" i="58" s="1"/>
  <c r="AQ105" i="58" s="1"/>
  <c r="AG56" i="58"/>
  <c r="AD39" i="58"/>
  <c r="AI39" i="58" s="1"/>
  <c r="AE98" i="58"/>
  <c r="AI98" i="58" s="1"/>
  <c r="AM98" i="58" s="1"/>
  <c r="AQ98" i="58" s="1"/>
  <c r="AE103" i="58"/>
  <c r="AI103" i="58" s="1"/>
  <c r="AM103" i="58" s="1"/>
  <c r="AQ103" i="58" s="1"/>
  <c r="AD61" i="58"/>
  <c r="AH61" i="58" s="1"/>
  <c r="AG72" i="58"/>
  <c r="AJ72" i="58" s="1"/>
  <c r="AN72" i="58" s="1"/>
  <c r="AR72" i="58" s="1"/>
  <c r="AG25" i="58"/>
  <c r="AK25" i="58" s="1"/>
  <c r="AD17" i="58"/>
  <c r="AH17" i="58" s="1"/>
  <c r="AF52" i="58"/>
  <c r="AJ52" i="58" s="1"/>
  <c r="AF63" i="58"/>
  <c r="AK63" i="58" s="1"/>
  <c r="AE45" i="58"/>
  <c r="AF88" i="58"/>
  <c r="AK88" i="58" s="1"/>
  <c r="AO88" i="58" s="1"/>
  <c r="AS88" i="58" s="1"/>
  <c r="AG16" i="58"/>
  <c r="AK16" i="58" s="1"/>
  <c r="AF93" i="58"/>
  <c r="AK93" i="58" s="1"/>
  <c r="AO93" i="58" s="1"/>
  <c r="AS93" i="58" s="1"/>
  <c r="AF23" i="58"/>
  <c r="AK23" i="58" s="1"/>
  <c r="AD44" i="58"/>
  <c r="AH44" i="58" s="1"/>
  <c r="AE71" i="58"/>
  <c r="AI71" i="58" s="1"/>
  <c r="AM71" i="58" s="1"/>
  <c r="AQ71" i="58" s="1"/>
  <c r="AE95" i="58"/>
  <c r="AI95" i="58" s="1"/>
  <c r="AM95" i="58" s="1"/>
  <c r="AQ95" i="58" s="1"/>
  <c r="AG40" i="58"/>
  <c r="AJ40" i="58" s="1"/>
  <c r="AG42" i="58"/>
  <c r="AD25" i="58"/>
  <c r="AI25" i="58" s="1"/>
  <c r="AD47" i="58"/>
  <c r="AI47" i="58" s="1"/>
  <c r="AF95" i="58"/>
  <c r="AJ95" i="58" s="1"/>
  <c r="AN95" i="58" s="1"/>
  <c r="AR95" i="58" s="1"/>
  <c r="AE72" i="58"/>
  <c r="AI72" i="58" s="1"/>
  <c r="AM72" i="58" s="1"/>
  <c r="AQ72" i="58" s="1"/>
  <c r="AF94" i="58"/>
  <c r="AK94" i="58" s="1"/>
  <c r="AO94" i="58" s="1"/>
  <c r="AS94" i="58" s="1"/>
  <c r="AD109" i="58"/>
  <c r="AI109" i="58" s="1"/>
  <c r="AM109" i="58" s="1"/>
  <c r="AQ109" i="58" s="1"/>
  <c r="AG29" i="58"/>
  <c r="AJ29" i="58" s="1"/>
  <c r="AD18" i="58"/>
  <c r="AD20" i="58"/>
  <c r="AI20" i="58" s="1"/>
  <c r="AG18" i="58"/>
  <c r="AK18" i="58" s="1"/>
  <c r="AF19" i="58"/>
  <c r="AK19" i="58" s="1"/>
  <c r="AE63" i="58"/>
  <c r="AI63" i="58" s="1"/>
  <c r="AE60" i="58"/>
  <c r="AI60" i="58" s="1"/>
  <c r="AF67" i="58"/>
  <c r="AK67" i="58" s="1"/>
  <c r="AO67" i="58" s="1"/>
  <c r="AS67" i="58" s="1"/>
  <c r="AD50" i="58"/>
  <c r="AE84" i="58"/>
  <c r="AI84" i="58" s="1"/>
  <c r="AM84" i="58" s="1"/>
  <c r="AQ84" i="58" s="1"/>
  <c r="AG41" i="58"/>
  <c r="AK41" i="58" s="1"/>
  <c r="AG36" i="58"/>
  <c r="AK36" i="58" s="1"/>
  <c r="AE19" i="58"/>
  <c r="AH19" i="58" s="1"/>
  <c r="AG107" i="58"/>
  <c r="AK107" i="58" s="1"/>
  <c r="AO107" i="58" s="1"/>
  <c r="AS107" i="58" s="1"/>
  <c r="AE32" i="58"/>
  <c r="AI32" i="58" s="1"/>
  <c r="AG82" i="58"/>
  <c r="AJ82" i="58" s="1"/>
  <c r="AN82" i="58" s="1"/>
  <c r="AR82" i="58" s="1"/>
  <c r="AE42" i="58"/>
  <c r="AG70" i="58"/>
  <c r="AK70" i="58" s="1"/>
  <c r="AO70" i="58" s="1"/>
  <c r="AS70" i="58" s="1"/>
  <c r="AE87" i="58"/>
  <c r="AE29" i="58"/>
  <c r="AI29" i="58" s="1"/>
  <c r="AD65" i="58"/>
  <c r="AD16" i="58"/>
  <c r="AH16" i="58" s="1"/>
  <c r="AE28" i="58"/>
  <c r="AI28" i="58" s="1"/>
  <c r="AE53" i="58"/>
  <c r="AI53" i="58" s="1"/>
  <c r="AF78" i="58"/>
  <c r="AK78" i="58" s="1"/>
  <c r="AO78" i="58" s="1"/>
  <c r="AS78" i="58" s="1"/>
  <c r="AF108" i="58"/>
  <c r="AK108" i="58" s="1"/>
  <c r="AO108" i="58" s="1"/>
  <c r="AS108" i="58" s="1"/>
  <c r="AE75" i="58"/>
  <c r="AI75" i="58" s="1"/>
  <c r="AM75" i="58" s="1"/>
  <c r="AQ75" i="58" s="1"/>
  <c r="AF31" i="58"/>
  <c r="AJ31" i="58" s="1"/>
  <c r="AF55" i="58"/>
  <c r="AJ55" i="58" s="1"/>
  <c r="AF90" i="58"/>
  <c r="AK90" i="58" s="1"/>
  <c r="AO90" i="58" s="1"/>
  <c r="AS90" i="58" s="1"/>
  <c r="AF103" i="58"/>
  <c r="AD38" i="58"/>
  <c r="AI38" i="58" s="1"/>
  <c r="AD108" i="58"/>
  <c r="AH108" i="58" s="1"/>
  <c r="AL108" i="58" s="1"/>
  <c r="AP108" i="58" s="1"/>
  <c r="AE74" i="58"/>
  <c r="AH74" i="58" s="1"/>
  <c r="AL74" i="58" s="1"/>
  <c r="AP74" i="58" s="1"/>
  <c r="AF24" i="58"/>
  <c r="AJ24" i="58" s="1"/>
  <c r="AF84" i="58"/>
  <c r="AJ84" i="58" s="1"/>
  <c r="AN84" i="58" s="1"/>
  <c r="AR84" i="58" s="1"/>
  <c r="AF118" i="58"/>
  <c r="AF53" i="58"/>
  <c r="AK53" i="58" s="1"/>
  <c r="AG17" i="58"/>
  <c r="AJ17" i="58" s="1"/>
  <c r="AG73" i="58"/>
  <c r="AJ73" i="58" s="1"/>
  <c r="AN73" i="58" s="1"/>
  <c r="AR73" i="58" s="1"/>
  <c r="AD80" i="58"/>
  <c r="AI80" i="58" s="1"/>
  <c r="AM80" i="58" s="1"/>
  <c r="AQ80" i="58" s="1"/>
  <c r="AE94" i="58"/>
  <c r="AI94" i="58" s="1"/>
  <c r="AM94" i="58" s="1"/>
  <c r="AQ94" i="58" s="1"/>
  <c r="AF74" i="58"/>
  <c r="AK74" i="58" s="1"/>
  <c r="AO74" i="58" s="1"/>
  <c r="AS74" i="58" s="1"/>
  <c r="AE106" i="58"/>
  <c r="AI106" i="58" s="1"/>
  <c r="AM106" i="58" s="1"/>
  <c r="AQ106" i="58" s="1"/>
  <c r="AF30" i="58"/>
  <c r="AJ30" i="58" s="1"/>
  <c r="AE102" i="58"/>
  <c r="AI102" i="58" s="1"/>
  <c r="AM102" i="58" s="1"/>
  <c r="AQ102" i="58" s="1"/>
  <c r="AD30" i="58"/>
  <c r="AI30" i="58" s="1"/>
  <c r="AG80" i="58"/>
  <c r="AJ80" i="58" s="1"/>
  <c r="AN80" i="58" s="1"/>
  <c r="AR80" i="58" s="1"/>
  <c r="AG28" i="58"/>
  <c r="AK28" i="58" s="1"/>
  <c r="AD90" i="58"/>
  <c r="AH90" i="58" s="1"/>
  <c r="AL90" i="58" s="1"/>
  <c r="AP90" i="58" s="1"/>
  <c r="AD73" i="58"/>
  <c r="AI73" i="58" s="1"/>
  <c r="AM73" i="58" s="1"/>
  <c r="AQ73" i="58" s="1"/>
  <c r="AE118" i="58"/>
  <c r="AH118" i="58" s="1"/>
  <c r="AL118" i="58" s="1"/>
  <c r="AP118" i="58" s="1"/>
  <c r="AD88" i="58"/>
  <c r="AH88" i="58" s="1"/>
  <c r="AL88" i="58" s="1"/>
  <c r="AP88" i="58" s="1"/>
  <c r="AF12" i="58"/>
  <c r="V3" i="57"/>
  <c r="Y2" i="57"/>
  <c r="Y1" i="57" s="1"/>
  <c r="P64" i="58"/>
  <c r="T64" i="58" s="1"/>
  <c r="X64" i="58" s="1"/>
  <c r="L5" i="58"/>
  <c r="N64" i="58"/>
  <c r="R64" i="58" s="1"/>
  <c r="V64" i="58" s="1"/>
  <c r="J5" i="58"/>
  <c r="AD43" i="58"/>
  <c r="AG96" i="58"/>
  <c r="AF96" i="58"/>
  <c r="AH21" i="58"/>
  <c r="AI21" i="58"/>
  <c r="AD89" i="58"/>
  <c r="AE89" i="58"/>
  <c r="AE96" i="58"/>
  <c r="AD96" i="58"/>
  <c r="AG35" i="58"/>
  <c r="AF35" i="58"/>
  <c r="AD114" i="58"/>
  <c r="AE114" i="58"/>
  <c r="AG43" i="58"/>
  <c r="AE112" i="58"/>
  <c r="AD112" i="58"/>
  <c r="AE35" i="58"/>
  <c r="AD35" i="58"/>
  <c r="AF33" i="58"/>
  <c r="AG33" i="58"/>
  <c r="AG114" i="58"/>
  <c r="AF114" i="58"/>
  <c r="AI76" i="58"/>
  <c r="AM76" i="58" s="1"/>
  <c r="AQ76" i="58" s="1"/>
  <c r="AH76" i="58"/>
  <c r="AL76" i="58" s="1"/>
  <c r="AP76" i="58" s="1"/>
  <c r="AG89" i="58"/>
  <c r="AF89" i="58"/>
  <c r="AG112" i="58"/>
  <c r="AF112" i="58"/>
  <c r="AE33" i="58"/>
  <c r="AD33" i="58"/>
  <c r="AK76" i="58"/>
  <c r="AO76" i="58" s="1"/>
  <c r="AS76" i="58" s="1"/>
  <c r="AJ76" i="58"/>
  <c r="AN76" i="58" s="1"/>
  <c r="AR76" i="58" s="1"/>
  <c r="AF43" i="58"/>
  <c r="AE43" i="58"/>
  <c r="AK21" i="58"/>
  <c r="AJ21" i="58"/>
  <c r="AK58" i="58"/>
  <c r="AJ58" i="58"/>
  <c r="AF87" i="58" l="1"/>
  <c r="AG50" i="58"/>
  <c r="AK50" i="58" s="1"/>
  <c r="AO51" i="58" s="1"/>
  <c r="AS51" i="58" s="1"/>
  <c r="AJ54" i="58"/>
  <c r="AD54" i="58"/>
  <c r="AI54" i="58" s="1"/>
  <c r="AM54" i="58" s="1"/>
  <c r="AQ54" i="58" s="1"/>
  <c r="AF22" i="58"/>
  <c r="AK22" i="58" s="1"/>
  <c r="AO22" i="58" s="1"/>
  <c r="AS22" i="58" s="1"/>
  <c r="AG45" i="58"/>
  <c r="AK45" i="58" s="1"/>
  <c r="AE99" i="58"/>
  <c r="AI99" i="58" s="1"/>
  <c r="AM99" i="58" s="1"/>
  <c r="AQ99" i="58" s="1"/>
  <c r="AF99" i="58"/>
  <c r="AK99" i="58" s="1"/>
  <c r="AO99" i="58" s="1"/>
  <c r="AS99" i="58" s="1"/>
  <c r="Z86" i="58"/>
  <c r="AD86" i="58" s="1"/>
  <c r="AB86" i="58"/>
  <c r="AF86" i="58" s="1"/>
  <c r="AJ42" i="58"/>
  <c r="AU92" i="58"/>
  <c r="BC92" i="58" s="1"/>
  <c r="BE92" i="58" s="1"/>
  <c r="AX92" i="58"/>
  <c r="AZ92" i="58" s="1"/>
  <c r="AV92" i="58"/>
  <c r="AT92" i="58"/>
  <c r="Z48" i="64"/>
  <c r="AK48" i="64" s="1"/>
  <c r="BC48" i="64" s="1"/>
  <c r="AW92" i="58"/>
  <c r="AY92" i="58"/>
  <c r="AK77" i="58"/>
  <c r="AO77" i="58" s="1"/>
  <c r="AS77" i="58" s="1"/>
  <c r="AJ77" i="58"/>
  <c r="AN77" i="58" s="1"/>
  <c r="AR77" i="58" s="1"/>
  <c r="AT77" i="58" s="1"/>
  <c r="AQ77" i="58"/>
  <c r="BA77" i="58" s="1"/>
  <c r="AK102" i="58"/>
  <c r="AO102" i="58" s="1"/>
  <c r="AS102" i="58" s="1"/>
  <c r="AY76" i="58"/>
  <c r="AD117" i="58"/>
  <c r="AH46" i="58"/>
  <c r="AJ103" i="58"/>
  <c r="AN103" i="58" s="1"/>
  <c r="AR103" i="58" s="1"/>
  <c r="AI111" i="58"/>
  <c r="AM111" i="58" s="1"/>
  <c r="AQ111" i="58" s="1"/>
  <c r="AK91" i="58"/>
  <c r="AO91" i="58" s="1"/>
  <c r="AS91" i="58" s="1"/>
  <c r="AF85" i="58"/>
  <c r="AJ85" i="58" s="1"/>
  <c r="AN85" i="58" s="1"/>
  <c r="AR85" i="58" s="1"/>
  <c r="AI31" i="58"/>
  <c r="AM30" i="58" s="1"/>
  <c r="AQ30" i="58" s="1"/>
  <c r="AJ44" i="58"/>
  <c r="AI18" i="58"/>
  <c r="AH104" i="58"/>
  <c r="AL104" i="58" s="1"/>
  <c r="AK68" i="58"/>
  <c r="AO68" i="58" s="1"/>
  <c r="AS68" i="58" s="1"/>
  <c r="AY68" i="58" s="1"/>
  <c r="AJ118" i="58"/>
  <c r="AN118" i="58" s="1"/>
  <c r="AR118" i="58" s="1"/>
  <c r="AH50" i="58"/>
  <c r="AH22" i="58"/>
  <c r="AD79" i="58"/>
  <c r="AH79" i="58" s="1"/>
  <c r="AL79" i="58" s="1"/>
  <c r="AP79" i="58" s="1"/>
  <c r="AI115" i="58"/>
  <c r="AM115" i="58" s="1"/>
  <c r="AE78" i="58"/>
  <c r="AH78" i="58" s="1"/>
  <c r="AL78" i="58" s="1"/>
  <c r="AP78" i="58" s="1"/>
  <c r="AK54" i="58"/>
  <c r="AI65" i="58"/>
  <c r="AM65" i="58" s="1"/>
  <c r="AQ65" i="58" s="1"/>
  <c r="AH42" i="58"/>
  <c r="AD116" i="58"/>
  <c r="AI116" i="58" s="1"/>
  <c r="AM116" i="58" s="1"/>
  <c r="AQ116" i="58" s="1"/>
  <c r="AF38" i="58"/>
  <c r="AJ38" i="58" s="1"/>
  <c r="AN39" i="58" s="1"/>
  <c r="AR39" i="58" s="1"/>
  <c r="AJ45" i="58"/>
  <c r="AK56" i="58"/>
  <c r="AO56" i="58" s="1"/>
  <c r="AS56" i="58" s="1"/>
  <c r="AH68" i="58"/>
  <c r="AL68" i="58" s="1"/>
  <c r="AP68" i="58" s="1"/>
  <c r="AH57" i="58"/>
  <c r="AL56" i="58" s="1"/>
  <c r="AP56" i="58" s="1"/>
  <c r="AI87" i="58"/>
  <c r="AM87" i="58" s="1"/>
  <c r="AK39" i="58"/>
  <c r="AF26" i="58"/>
  <c r="AK26" i="58" s="1"/>
  <c r="AO27" i="58" s="1"/>
  <c r="AS27" i="58" s="1"/>
  <c r="AD85" i="58"/>
  <c r="AI85" i="58" s="1"/>
  <c r="AM85" i="58" s="1"/>
  <c r="AI66" i="58"/>
  <c r="AM66" i="58" s="1"/>
  <c r="AQ66" i="58" s="1"/>
  <c r="AE49" i="58"/>
  <c r="AH49" i="58" s="1"/>
  <c r="AL49" i="58" s="1"/>
  <c r="AP49" i="58" s="1"/>
  <c r="AH45" i="58"/>
  <c r="AL44" i="58" s="1"/>
  <c r="AP44" i="58" s="1"/>
  <c r="AF66" i="58"/>
  <c r="AK66" i="58" s="1"/>
  <c r="AO66" i="58" s="1"/>
  <c r="AS66" i="58" s="1"/>
  <c r="AG79" i="58"/>
  <c r="AK79" i="58" s="1"/>
  <c r="AO79" i="58" s="1"/>
  <c r="AS79" i="58" s="1"/>
  <c r="AE69" i="58"/>
  <c r="AI69" i="58" s="1"/>
  <c r="AM69" i="58" s="1"/>
  <c r="AQ69" i="58" s="1"/>
  <c r="AK116" i="58"/>
  <c r="AO116" i="58" s="1"/>
  <c r="AS116" i="58" s="1"/>
  <c r="AE34" i="58"/>
  <c r="AH34" i="58" s="1"/>
  <c r="AH113" i="58"/>
  <c r="AL113" i="58" s="1"/>
  <c r="AJ113" i="58"/>
  <c r="AN113" i="58" s="1"/>
  <c r="AR113" i="58" s="1"/>
  <c r="AI40" i="58"/>
  <c r="AM41" i="58" s="1"/>
  <c r="AQ41" i="58" s="1"/>
  <c r="AJ51" i="58"/>
  <c r="AH23" i="58"/>
  <c r="AK81" i="58"/>
  <c r="AO81" i="58" s="1"/>
  <c r="AS81" i="58" s="1"/>
  <c r="AK87" i="58"/>
  <c r="AO87" i="58" s="1"/>
  <c r="AS87" i="58" s="1"/>
  <c r="AK37" i="58"/>
  <c r="AO37" i="58" s="1"/>
  <c r="AS37" i="58" s="1"/>
  <c r="AE37" i="58"/>
  <c r="AH37" i="58" s="1"/>
  <c r="AL37" i="58" s="1"/>
  <c r="AP37" i="58" s="1"/>
  <c r="AG69" i="58"/>
  <c r="AK69" i="58" s="1"/>
  <c r="AO69" i="58" s="1"/>
  <c r="AS69" i="58" s="1"/>
  <c r="AJ37" i="58"/>
  <c r="AK32" i="58"/>
  <c r="AH24" i="58"/>
  <c r="AG104" i="58"/>
  <c r="AF104" i="58"/>
  <c r="AJ116" i="58"/>
  <c r="AN116" i="58" s="1"/>
  <c r="AR116" i="58" s="1"/>
  <c r="AG34" i="58"/>
  <c r="AF34" i="58"/>
  <c r="AB110" i="58"/>
  <c r="Z110" i="58"/>
  <c r="AK111" i="58"/>
  <c r="AO111" i="58" s="1"/>
  <c r="AS111" i="58" s="1"/>
  <c r="AI91" i="58"/>
  <c r="AM91" i="58" s="1"/>
  <c r="AH51" i="58"/>
  <c r="AK83" i="58"/>
  <c r="AO83" i="58" s="1"/>
  <c r="AH115" i="58"/>
  <c r="AL115" i="58" s="1"/>
  <c r="AP115" i="58" s="1"/>
  <c r="AJ20" i="58"/>
  <c r="AN21" i="58" s="1"/>
  <c r="AR21" i="58" s="1"/>
  <c r="AJ57" i="58"/>
  <c r="AK100" i="58"/>
  <c r="AO100" i="58" s="1"/>
  <c r="AI70" i="58"/>
  <c r="AM70" i="58" s="1"/>
  <c r="AK75" i="58"/>
  <c r="AO75" i="58" s="1"/>
  <c r="AS75" i="58" s="1"/>
  <c r="AJ61" i="58"/>
  <c r="AN60" i="58" s="1"/>
  <c r="AR60" i="58" s="1"/>
  <c r="AK98" i="58"/>
  <c r="AO98" i="58" s="1"/>
  <c r="AS98" i="58" s="1"/>
  <c r="AK60" i="58"/>
  <c r="AO61" i="58" s="1"/>
  <c r="AS61" i="58" s="1"/>
  <c r="AH27" i="58"/>
  <c r="AH83" i="58"/>
  <c r="AL83" i="58" s="1"/>
  <c r="AK47" i="58"/>
  <c r="AI59" i="58"/>
  <c r="AJ27" i="58"/>
  <c r="AJ119" i="58"/>
  <c r="AN119" i="58" s="1"/>
  <c r="AR119" i="58" s="1"/>
  <c r="AK46" i="58"/>
  <c r="AH67" i="58"/>
  <c r="AL67" i="58" s="1"/>
  <c r="AP67" i="58" s="1"/>
  <c r="AJ106" i="58"/>
  <c r="AN106" i="58" s="1"/>
  <c r="AH82" i="58"/>
  <c r="AL82" i="58" s="1"/>
  <c r="AP82" i="58" s="1"/>
  <c r="AI48" i="58"/>
  <c r="AK101" i="58"/>
  <c r="AO101" i="58" s="1"/>
  <c r="AJ71" i="58"/>
  <c r="AN71" i="58" s="1"/>
  <c r="AR71" i="58" s="1"/>
  <c r="AK105" i="58"/>
  <c r="AO105" i="58" s="1"/>
  <c r="AU76" i="58"/>
  <c r="BC76" i="58" s="1"/>
  <c r="AU107" i="58"/>
  <c r="BC107" i="58" s="1"/>
  <c r="AB64" i="58"/>
  <c r="Z64" i="58"/>
  <c r="AX76" i="58"/>
  <c r="AZ76" i="58" s="1"/>
  <c r="AT76" i="58"/>
  <c r="AU113" i="58"/>
  <c r="BC113" i="58" s="1"/>
  <c r="AU106" i="58"/>
  <c r="BC106" i="58" s="1"/>
  <c r="AU94" i="58"/>
  <c r="BC94" i="58" s="1"/>
  <c r="AJ115" i="58"/>
  <c r="AN115" i="58" s="1"/>
  <c r="AH62" i="58"/>
  <c r="AJ67" i="58"/>
  <c r="AN67" i="58" s="1"/>
  <c r="AR67" i="58" s="1"/>
  <c r="AJ87" i="58"/>
  <c r="AN87" i="58" s="1"/>
  <c r="AR87" i="58" s="1"/>
  <c r="AI97" i="58"/>
  <c r="AM97" i="58" s="1"/>
  <c r="AK109" i="58"/>
  <c r="AO109" i="58" s="1"/>
  <c r="AJ23" i="58"/>
  <c r="AJ63" i="58"/>
  <c r="AH41" i="58"/>
  <c r="AL41" i="58" s="1"/>
  <c r="AP41" i="58" s="1"/>
  <c r="AK48" i="58"/>
  <c r="AO48" i="58" s="1"/>
  <c r="AS48" i="58" s="1"/>
  <c r="AJ49" i="58"/>
  <c r="AN49" i="58" s="1"/>
  <c r="AR49" i="58" s="1"/>
  <c r="AH100" i="58"/>
  <c r="AL100" i="58" s="1"/>
  <c r="AP100" i="58" s="1"/>
  <c r="AH81" i="58"/>
  <c r="AL81" i="58" s="1"/>
  <c r="AP81" i="58" s="1"/>
  <c r="AH103" i="58"/>
  <c r="AL103" i="58" s="1"/>
  <c r="AP103" i="58" s="1"/>
  <c r="AH32" i="58"/>
  <c r="AH107" i="58"/>
  <c r="AL107" i="58" s="1"/>
  <c r="AP107" i="58" s="1"/>
  <c r="AJ97" i="58"/>
  <c r="AN97" i="58" s="1"/>
  <c r="AK44" i="58"/>
  <c r="AI22" i="58"/>
  <c r="AM23" i="58" s="1"/>
  <c r="AQ23" i="58" s="1"/>
  <c r="AJ59" i="58"/>
  <c r="AN58" i="58" s="1"/>
  <c r="AR58" i="58" s="1"/>
  <c r="AH63" i="58"/>
  <c r="AH72" i="58"/>
  <c r="AL72" i="58" s="1"/>
  <c r="AP72" i="58" s="1"/>
  <c r="AJ50" i="58"/>
  <c r="AJ91" i="58"/>
  <c r="AN91" i="58" s="1"/>
  <c r="AR91" i="58" s="1"/>
  <c r="AH20" i="58"/>
  <c r="AL21" i="58" s="1"/>
  <c r="AP21" i="58" s="1"/>
  <c r="AI56" i="58"/>
  <c r="AM56" i="58" s="1"/>
  <c r="AQ56" i="58" s="1"/>
  <c r="AI93" i="58"/>
  <c r="AM93" i="58" s="1"/>
  <c r="AQ93" i="58" s="1"/>
  <c r="AK52" i="58"/>
  <c r="AO53" i="58" s="1"/>
  <c r="AS53" i="58" s="1"/>
  <c r="AD11" i="58"/>
  <c r="AI11" i="58" s="1"/>
  <c r="AH71" i="58"/>
  <c r="AL71" i="58" s="1"/>
  <c r="AP71" i="58" s="1"/>
  <c r="AJ65" i="58"/>
  <c r="AN65" i="58" s="1"/>
  <c r="AR65" i="58" s="1"/>
  <c r="AH106" i="58"/>
  <c r="AL106" i="58" s="1"/>
  <c r="AP106" i="58" s="1"/>
  <c r="AH80" i="58"/>
  <c r="AL80" i="58" s="1"/>
  <c r="AP80" i="58" s="1"/>
  <c r="AJ41" i="58"/>
  <c r="AN40" i="58" s="1"/>
  <c r="AR40" i="58" s="1"/>
  <c r="AH98" i="58"/>
  <c r="AL98" i="58" s="1"/>
  <c r="AP98" i="58" s="1"/>
  <c r="AH84" i="58"/>
  <c r="AL84" i="58" s="1"/>
  <c r="AP84" i="58" s="1"/>
  <c r="AI52" i="58"/>
  <c r="AM52" i="58" s="1"/>
  <c r="AQ52" i="58" s="1"/>
  <c r="AI108" i="58"/>
  <c r="AM108" i="58" s="1"/>
  <c r="AI16" i="58"/>
  <c r="AH111" i="58"/>
  <c r="AL111" i="58" s="1"/>
  <c r="AP111" i="58" s="1"/>
  <c r="AK73" i="58"/>
  <c r="AO73" i="58" s="1"/>
  <c r="AH55" i="58"/>
  <c r="AH26" i="58"/>
  <c r="AH119" i="58"/>
  <c r="AL119" i="58" s="1"/>
  <c r="AP119" i="58" s="1"/>
  <c r="AK118" i="58"/>
  <c r="AO118" i="58" s="1"/>
  <c r="AS118" i="58" s="1"/>
  <c r="AH105" i="58"/>
  <c r="AL105" i="58" s="1"/>
  <c r="AP105" i="58" s="1"/>
  <c r="AK29" i="58"/>
  <c r="AO29" i="58" s="1"/>
  <c r="AS29" i="58" s="1"/>
  <c r="AH95" i="58"/>
  <c r="AL95" i="58" s="1"/>
  <c r="AP95" i="58" s="1"/>
  <c r="AJ62" i="58"/>
  <c r="AE12" i="58"/>
  <c r="AH12" i="58" s="1"/>
  <c r="AH18" i="58"/>
  <c r="AL19" i="58" s="1"/>
  <c r="AP19" i="58" s="1"/>
  <c r="AJ56" i="58"/>
  <c r="AJ19" i="58"/>
  <c r="AI50" i="58"/>
  <c r="AM50" i="58" s="1"/>
  <c r="AQ50" i="58" s="1"/>
  <c r="AI17" i="58"/>
  <c r="AH87" i="58"/>
  <c r="AL87" i="58" s="1"/>
  <c r="AP87" i="58" s="1"/>
  <c r="AJ78" i="58"/>
  <c r="AN78" i="58" s="1"/>
  <c r="AR78" i="58" s="1"/>
  <c r="AH102" i="58"/>
  <c r="AL102" i="58" s="1"/>
  <c r="AP102" i="58" s="1"/>
  <c r="AH101" i="58"/>
  <c r="AL101" i="58" s="1"/>
  <c r="AP101" i="58" s="1"/>
  <c r="AK72" i="58"/>
  <c r="AO72" i="58" s="1"/>
  <c r="AS72" i="58" s="1"/>
  <c r="AI44" i="58"/>
  <c r="AH39" i="58"/>
  <c r="AJ93" i="58"/>
  <c r="AN93" i="58" s="1"/>
  <c r="AR93" i="58" s="1"/>
  <c r="AI46" i="58"/>
  <c r="AM47" i="58" s="1"/>
  <c r="AQ47" i="58" s="1"/>
  <c r="AH25" i="58"/>
  <c r="AJ94" i="58"/>
  <c r="AN94" i="58" s="1"/>
  <c r="AI58" i="58"/>
  <c r="AH28" i="58"/>
  <c r="AJ16" i="58"/>
  <c r="AN16" i="58" s="1"/>
  <c r="AR16" i="58" s="1"/>
  <c r="AI61" i="58"/>
  <c r="AM61" i="58" s="1"/>
  <c r="AQ61" i="58" s="1"/>
  <c r="AE117" i="58"/>
  <c r="AJ25" i="58"/>
  <c r="AN25" i="58" s="1"/>
  <c r="AR25" i="58" s="1"/>
  <c r="AK17" i="58"/>
  <c r="AO17" i="58" s="1"/>
  <c r="AS17" i="58" s="1"/>
  <c r="AJ90" i="58"/>
  <c r="AN90" i="58" s="1"/>
  <c r="AR90" i="58" s="1"/>
  <c r="AJ88" i="58"/>
  <c r="AN88" i="58" s="1"/>
  <c r="AR88" i="58" s="1"/>
  <c r="AE10" i="58"/>
  <c r="AH10" i="58" s="1"/>
  <c r="AI19" i="58"/>
  <c r="AH53" i="58"/>
  <c r="AL53" i="58" s="1"/>
  <c r="AP53" i="58" s="1"/>
  <c r="AJ70" i="58"/>
  <c r="AN70" i="58" s="1"/>
  <c r="AR70" i="58" s="1"/>
  <c r="AK95" i="58"/>
  <c r="AO95" i="58" s="1"/>
  <c r="AK42" i="58"/>
  <c r="AJ36" i="58"/>
  <c r="AJ18" i="58"/>
  <c r="AK84" i="58"/>
  <c r="AO84" i="58" s="1"/>
  <c r="AI45" i="58"/>
  <c r="AI36" i="58"/>
  <c r="AK31" i="58"/>
  <c r="AH38" i="58"/>
  <c r="AH94" i="58"/>
  <c r="AL94" i="58" s="1"/>
  <c r="AP94" i="58" s="1"/>
  <c r="AD14" i="58"/>
  <c r="AI14" i="58" s="1"/>
  <c r="AK40" i="58"/>
  <c r="AO41" i="58" s="1"/>
  <c r="AS41" i="58" s="1"/>
  <c r="AK24" i="58"/>
  <c r="AO24" i="58" s="1"/>
  <c r="AS24" i="58" s="1"/>
  <c r="AK103" i="58"/>
  <c r="AO103" i="58" s="1"/>
  <c r="AS103" i="58" s="1"/>
  <c r="AH109" i="58"/>
  <c r="AL109" i="58" s="1"/>
  <c r="AP109" i="58" s="1"/>
  <c r="AJ74" i="58"/>
  <c r="AN74" i="58" s="1"/>
  <c r="AR74" i="58" s="1"/>
  <c r="AJ28" i="58"/>
  <c r="AN28" i="58" s="1"/>
  <c r="AR28" i="58" s="1"/>
  <c r="AH60" i="58"/>
  <c r="AL61" i="58" s="1"/>
  <c r="AP61" i="58" s="1"/>
  <c r="AH65" i="58"/>
  <c r="AL65" i="58" s="1"/>
  <c r="AP65" i="58" s="1"/>
  <c r="AI42" i="58"/>
  <c r="AF10" i="58"/>
  <c r="AK10" i="58" s="1"/>
  <c r="AJ107" i="58"/>
  <c r="AN107" i="58" s="1"/>
  <c r="AR107" i="58" s="1"/>
  <c r="AI118" i="58"/>
  <c r="AM118" i="58" s="1"/>
  <c r="AQ118" i="58" s="1"/>
  <c r="AH47" i="58"/>
  <c r="AH75" i="58"/>
  <c r="AL75" i="58" s="1"/>
  <c r="AP75" i="58" s="1"/>
  <c r="AD13" i="58"/>
  <c r="AH13" i="58" s="1"/>
  <c r="AK80" i="58"/>
  <c r="AO80" i="58" s="1"/>
  <c r="AH30" i="58"/>
  <c r="AL30" i="58" s="1"/>
  <c r="AP30" i="58" s="1"/>
  <c r="AH29" i="58"/>
  <c r="AK82" i="58"/>
  <c r="AO82" i="58" s="1"/>
  <c r="AS82" i="58" s="1"/>
  <c r="AK55" i="58"/>
  <c r="AF11" i="58"/>
  <c r="AJ11" i="58" s="1"/>
  <c r="AJ108" i="58"/>
  <c r="AN108" i="58" s="1"/>
  <c r="AI74" i="58"/>
  <c r="AM74" i="58" s="1"/>
  <c r="AI88" i="58"/>
  <c r="AM88" i="58" s="1"/>
  <c r="AH73" i="58"/>
  <c r="AL73" i="58" s="1"/>
  <c r="AP73" i="58" s="1"/>
  <c r="AJ53" i="58"/>
  <c r="AN52" i="58" s="1"/>
  <c r="AR52" i="58" s="1"/>
  <c r="AG14" i="58"/>
  <c r="AK14" i="58" s="1"/>
  <c r="AG13" i="58"/>
  <c r="AK30" i="58"/>
  <c r="AH99" i="58"/>
  <c r="AL99" i="58" s="1"/>
  <c r="AP99" i="58" s="1"/>
  <c r="AE15" i="58"/>
  <c r="AH15" i="58" s="1"/>
  <c r="AG15" i="58"/>
  <c r="AJ15" i="58" s="1"/>
  <c r="AI90" i="58"/>
  <c r="AM90" i="58" s="1"/>
  <c r="AK12" i="58"/>
  <c r="AJ12" i="58"/>
  <c r="Y5" i="58"/>
  <c r="Y4" i="58" s="1"/>
  <c r="AG117" i="58"/>
  <c r="AF117" i="58"/>
  <c r="AH43" i="58"/>
  <c r="BA105" i="58"/>
  <c r="BA109" i="58"/>
  <c r="BA84" i="58"/>
  <c r="BA107" i="58"/>
  <c r="BA104" i="58"/>
  <c r="BA76" i="58"/>
  <c r="BA99" i="58"/>
  <c r="BA113" i="58"/>
  <c r="BA80" i="58"/>
  <c r="BA100" i="58"/>
  <c r="BA73" i="58"/>
  <c r="BA83" i="58"/>
  <c r="AW76" i="58"/>
  <c r="BA94" i="58"/>
  <c r="BA106" i="58"/>
  <c r="BA101" i="58"/>
  <c r="AV76" i="58"/>
  <c r="BA95" i="58"/>
  <c r="AN47" i="58"/>
  <c r="AR47" i="58" s="1"/>
  <c r="AN46" i="58"/>
  <c r="AR46" i="58" s="1"/>
  <c r="AM29" i="58"/>
  <c r="AQ29" i="58" s="1"/>
  <c r="AM28" i="58"/>
  <c r="AQ28" i="58" s="1"/>
  <c r="AL58" i="58"/>
  <c r="AP58" i="58" s="1"/>
  <c r="AL59" i="58"/>
  <c r="AP59" i="58" s="1"/>
  <c r="AO62" i="58"/>
  <c r="AS62" i="58" s="1"/>
  <c r="AO63" i="58"/>
  <c r="AS63" i="58" s="1"/>
  <c r="AM21" i="58"/>
  <c r="AQ21" i="58" s="1"/>
  <c r="AM20" i="58"/>
  <c r="AQ20" i="58" s="1"/>
  <c r="AM39" i="58"/>
  <c r="AQ39" i="58" s="1"/>
  <c r="AM38" i="58"/>
  <c r="AQ38" i="58" s="1"/>
  <c r="AN31" i="58"/>
  <c r="AR31" i="58" s="1"/>
  <c r="AN30" i="58"/>
  <c r="AR30" i="58" s="1"/>
  <c r="AL16" i="58"/>
  <c r="AP16" i="58" s="1"/>
  <c r="AL17" i="58"/>
  <c r="AP17" i="58" s="1"/>
  <c r="AM25" i="58"/>
  <c r="AQ25" i="58" s="1"/>
  <c r="AM24" i="58"/>
  <c r="AQ24" i="58" s="1"/>
  <c r="AO58" i="58"/>
  <c r="AS58" i="58" s="1"/>
  <c r="AO59" i="58"/>
  <c r="AS59" i="58" s="1"/>
  <c r="AO18" i="58"/>
  <c r="AS18" i="58" s="1"/>
  <c r="AO19" i="58"/>
  <c r="AS19" i="58" s="1"/>
  <c r="AN55" i="58"/>
  <c r="AR55" i="58" s="1"/>
  <c r="AN54" i="58"/>
  <c r="AR54" i="58" s="1"/>
  <c r="AM63" i="58"/>
  <c r="AQ63" i="58" s="1"/>
  <c r="AM62" i="58"/>
  <c r="AQ62" i="58" s="1"/>
  <c r="AM27" i="58"/>
  <c r="AQ27" i="58" s="1"/>
  <c r="AM26" i="58"/>
  <c r="AQ26" i="58" s="1"/>
  <c r="AI43" i="58"/>
  <c r="AO21" i="58"/>
  <c r="AS21" i="58" s="1"/>
  <c r="AO20" i="58"/>
  <c r="AS20" i="58" s="1"/>
  <c r="AK43" i="58"/>
  <c r="AJ43" i="58"/>
  <c r="AI112" i="58"/>
  <c r="AM112" i="58" s="1"/>
  <c r="AQ112" i="58" s="1"/>
  <c r="AH112" i="58"/>
  <c r="AL112" i="58" s="1"/>
  <c r="AP112" i="58" s="1"/>
  <c r="AK35" i="58"/>
  <c r="AJ35" i="58"/>
  <c r="AH33" i="58"/>
  <c r="AI33" i="58"/>
  <c r="AM32" i="58" s="1"/>
  <c r="AQ32" i="58" s="1"/>
  <c r="AK33" i="58"/>
  <c r="AJ33" i="58"/>
  <c r="AN32" i="58" s="1"/>
  <c r="AR32" i="58" s="1"/>
  <c r="AH89" i="58"/>
  <c r="AL89" i="58" s="1"/>
  <c r="AP89" i="58" s="1"/>
  <c r="AI89" i="58"/>
  <c r="AM89" i="58" s="1"/>
  <c r="AQ89" i="58" s="1"/>
  <c r="AK114" i="58"/>
  <c r="AO114" i="58" s="1"/>
  <c r="AS114" i="58" s="1"/>
  <c r="AJ114" i="58"/>
  <c r="AN114" i="58" s="1"/>
  <c r="AR114" i="58" s="1"/>
  <c r="AI35" i="58"/>
  <c r="AH35" i="58"/>
  <c r="AI96" i="58"/>
  <c r="AM96" i="58" s="1"/>
  <c r="AQ96" i="58" s="1"/>
  <c r="AH96" i="58"/>
  <c r="AL96" i="58" s="1"/>
  <c r="AP96" i="58" s="1"/>
  <c r="AK96" i="58"/>
  <c r="AO96" i="58" s="1"/>
  <c r="AS96" i="58" s="1"/>
  <c r="AJ96" i="58"/>
  <c r="AN96" i="58" s="1"/>
  <c r="AR96" i="58" s="1"/>
  <c r="AK112" i="58"/>
  <c r="AO112" i="58" s="1"/>
  <c r="AS112" i="58" s="1"/>
  <c r="AJ112" i="58"/>
  <c r="AN112" i="58" s="1"/>
  <c r="AR112" i="58" s="1"/>
  <c r="AK89" i="58"/>
  <c r="AO89" i="58" s="1"/>
  <c r="AS89" i="58" s="1"/>
  <c r="AJ89" i="58"/>
  <c r="AN89" i="58" s="1"/>
  <c r="AR89" i="58" s="1"/>
  <c r="AI114" i="58"/>
  <c r="AM114" i="58" s="1"/>
  <c r="AQ114" i="58" s="1"/>
  <c r="AH114" i="58"/>
  <c r="AL114" i="58" s="1"/>
  <c r="AP114" i="58" s="1"/>
  <c r="AH54" i="58" l="1"/>
  <c r="AO44" i="58"/>
  <c r="AS44" i="58" s="1"/>
  <c r="AO50" i="58"/>
  <c r="AS50" i="58" s="1"/>
  <c r="AO23" i="58"/>
  <c r="AS23" i="58" s="1"/>
  <c r="AJ22" i="58"/>
  <c r="AN22" i="58" s="1"/>
  <c r="AR22" i="58" s="1"/>
  <c r="AJ99" i="58"/>
  <c r="AN99" i="58" s="1"/>
  <c r="AR99" i="58" s="1"/>
  <c r="AW99" i="58" s="1"/>
  <c r="AU99" i="58"/>
  <c r="BC99" i="58" s="1"/>
  <c r="AG86" i="58"/>
  <c r="AK86" i="58" s="1"/>
  <c r="AO86" i="58" s="1"/>
  <c r="AS86" i="58" s="1"/>
  <c r="AE86" i="58"/>
  <c r="AI86" i="58" s="1"/>
  <c r="AM86" i="58" s="1"/>
  <c r="AQ86" i="58" s="1"/>
  <c r="BA86" i="58" s="1"/>
  <c r="AM31" i="58"/>
  <c r="AQ31" i="58" s="1"/>
  <c r="AN43" i="58"/>
  <c r="AR43" i="58" s="1"/>
  <c r="AB48" i="64"/>
  <c r="AM48" i="64" s="1"/>
  <c r="BE48" i="64" s="1"/>
  <c r="AX77" i="58"/>
  <c r="AZ77" i="58" s="1"/>
  <c r="AU77" i="58"/>
  <c r="BC77" i="58" s="1"/>
  <c r="AD48" i="64"/>
  <c r="BB92" i="58"/>
  <c r="BD92" i="58" s="1"/>
  <c r="AV77" i="58"/>
  <c r="BH92" i="58"/>
  <c r="BF92" i="58"/>
  <c r="AA48" i="64"/>
  <c r="AL48" i="64" s="1"/>
  <c r="BD48" i="64" s="1"/>
  <c r="AW77" i="58"/>
  <c r="AY77" i="58"/>
  <c r="BB77" i="58" s="1"/>
  <c r="AK85" i="58"/>
  <c r="AO85" i="58" s="1"/>
  <c r="AS85" i="58" s="1"/>
  <c r="AY85" i="58" s="1"/>
  <c r="AQ74" i="58"/>
  <c r="AU74" i="58" s="1"/>
  <c r="BC74" i="58" s="1"/>
  <c r="AQ88" i="58"/>
  <c r="AU88" i="58" s="1"/>
  <c r="BC88" i="58" s="1"/>
  <c r="AR115" i="58"/>
  <c r="AY115" i="58" s="1"/>
  <c r="AS105" i="58"/>
  <c r="AY105" i="58" s="1"/>
  <c r="AP83" i="58"/>
  <c r="AX83" i="58" s="1"/>
  <c r="AZ83" i="58" s="1"/>
  <c r="AQ87" i="58"/>
  <c r="AU87" i="58" s="1"/>
  <c r="BC87" i="58" s="1"/>
  <c r="AQ90" i="58"/>
  <c r="AU90" i="58" s="1"/>
  <c r="BC90" i="58" s="1"/>
  <c r="AS80" i="58"/>
  <c r="AU80" i="58" s="1"/>
  <c r="BC80" i="58" s="1"/>
  <c r="BE80" i="58" s="1"/>
  <c r="AR106" i="58"/>
  <c r="AY106" i="58" s="1"/>
  <c r="AQ91" i="58"/>
  <c r="AX91" i="58" s="1"/>
  <c r="AZ91" i="58" s="1"/>
  <c r="AQ85" i="58"/>
  <c r="BA85" i="58" s="1"/>
  <c r="AP104" i="58"/>
  <c r="AX104" i="58" s="1"/>
  <c r="AZ104" i="58" s="1"/>
  <c r="AR94" i="58"/>
  <c r="AY94" i="58" s="1"/>
  <c r="AQ108" i="58"/>
  <c r="AX108" i="58" s="1"/>
  <c r="AZ108" i="58" s="1"/>
  <c r="AS109" i="58"/>
  <c r="AU109" i="58" s="1"/>
  <c r="BC109" i="58" s="1"/>
  <c r="BE109" i="58" s="1"/>
  <c r="AS101" i="58"/>
  <c r="AW101" i="58" s="1"/>
  <c r="AQ70" i="58"/>
  <c r="AX70" i="58" s="1"/>
  <c r="AZ70" i="58" s="1"/>
  <c r="AP113" i="58"/>
  <c r="AV113" i="58" s="1"/>
  <c r="AR108" i="58"/>
  <c r="AY108" i="58" s="1"/>
  <c r="AS84" i="58"/>
  <c r="AU84" i="58" s="1"/>
  <c r="BC84" i="58" s="1"/>
  <c r="BE84" i="58" s="1"/>
  <c r="AS95" i="58"/>
  <c r="AU95" i="58" s="1"/>
  <c r="BC95" i="58" s="1"/>
  <c r="BE95" i="58" s="1"/>
  <c r="AS73" i="58"/>
  <c r="AU73" i="58" s="1"/>
  <c r="BC73" i="58" s="1"/>
  <c r="BE73" i="58" s="1"/>
  <c r="AR97" i="58"/>
  <c r="AY97" i="58" s="1"/>
  <c r="AQ97" i="58"/>
  <c r="AU97" i="58" s="1"/>
  <c r="BC97" i="58" s="1"/>
  <c r="AS100" i="58"/>
  <c r="AY100" i="58" s="1"/>
  <c r="AS83" i="58"/>
  <c r="AY83" i="58" s="1"/>
  <c r="AQ115" i="58"/>
  <c r="AX115" i="58" s="1"/>
  <c r="AZ115" i="58" s="1"/>
  <c r="Z39" i="64"/>
  <c r="AK39" i="64" s="1"/>
  <c r="BC39" i="64" s="1"/>
  <c r="AY75" i="58"/>
  <c r="AY81" i="58"/>
  <c r="AY114" i="58"/>
  <c r="AY89" i="58"/>
  <c r="AY96" i="58"/>
  <c r="AY111" i="58"/>
  <c r="AY98" i="58"/>
  <c r="AY67" i="58"/>
  <c r="AY103" i="58"/>
  <c r="AW74" i="58"/>
  <c r="AY74" i="58"/>
  <c r="AT88" i="58"/>
  <c r="AY88" i="58"/>
  <c r="AY58" i="58"/>
  <c r="AY102" i="58"/>
  <c r="AY72" i="58"/>
  <c r="AY82" i="58"/>
  <c r="AW90" i="58"/>
  <c r="AY90" i="58"/>
  <c r="AY65" i="58"/>
  <c r="AY87" i="58"/>
  <c r="AY71" i="58"/>
  <c r="AY116" i="58"/>
  <c r="AW113" i="58"/>
  <c r="AY113" i="58"/>
  <c r="AW107" i="58"/>
  <c r="AY107" i="58"/>
  <c r="AT70" i="58"/>
  <c r="AY70" i="58"/>
  <c r="AY91" i="58"/>
  <c r="AY119" i="58"/>
  <c r="AT118" i="58"/>
  <c r="AY118" i="58"/>
  <c r="AH117" i="58"/>
  <c r="AL117" i="58" s="1"/>
  <c r="AP117" i="58" s="1"/>
  <c r="AI79" i="58"/>
  <c r="AM79" i="58" s="1"/>
  <c r="AO57" i="58"/>
  <c r="AS57" i="58" s="1"/>
  <c r="AL47" i="58"/>
  <c r="AP47" i="58" s="1"/>
  <c r="AO46" i="58"/>
  <c r="AS46" i="58" s="1"/>
  <c r="AO55" i="58"/>
  <c r="AW91" i="58"/>
  <c r="AL45" i="58"/>
  <c r="AP45" i="58" s="1"/>
  <c r="AN38" i="58"/>
  <c r="AR38" i="58" s="1"/>
  <c r="AL57" i="58"/>
  <c r="AP57" i="58" s="1"/>
  <c r="AN45" i="58"/>
  <c r="AR45" i="58" s="1"/>
  <c r="AO26" i="58"/>
  <c r="AS26" i="58" s="1"/>
  <c r="AM18" i="58"/>
  <c r="AQ18" i="58" s="1"/>
  <c r="AW87" i="58"/>
  <c r="AH69" i="58"/>
  <c r="AL69" i="58" s="1"/>
  <c r="AL50" i="58"/>
  <c r="AP50" i="58" s="1"/>
  <c r="AH85" i="58"/>
  <c r="AL85" i="58" s="1"/>
  <c r="AJ66" i="58"/>
  <c r="AN66" i="58" s="1"/>
  <c r="AR66" i="58" s="1"/>
  <c r="AL23" i="58"/>
  <c r="AP23" i="58" s="1"/>
  <c r="AL42" i="58"/>
  <c r="AP42" i="58" s="1"/>
  <c r="AJ26" i="58"/>
  <c r="AN27" i="58" s="1"/>
  <c r="AR27" i="58" s="1"/>
  <c r="AN36" i="58"/>
  <c r="AR36" i="58" s="1"/>
  <c r="AH116" i="58"/>
  <c r="AL116" i="58" s="1"/>
  <c r="AI78" i="58"/>
  <c r="AM78" i="58" s="1"/>
  <c r="AL54" i="58"/>
  <c r="AP54" i="58" s="1"/>
  <c r="AN44" i="58"/>
  <c r="AR44" i="58" s="1"/>
  <c r="AL51" i="58"/>
  <c r="AP51" i="58" s="1"/>
  <c r="AK38" i="58"/>
  <c r="AO38" i="58" s="1"/>
  <c r="AS38" i="58" s="1"/>
  <c r="AJ79" i="58"/>
  <c r="AN79" i="58" s="1"/>
  <c r="AR79" i="58" s="1"/>
  <c r="AL48" i="58"/>
  <c r="AP48" i="58" s="1"/>
  <c r="AN61" i="58"/>
  <c r="AL25" i="58"/>
  <c r="AI49" i="58"/>
  <c r="AM49" i="58" s="1"/>
  <c r="AQ49" i="58" s="1"/>
  <c r="AN20" i="58"/>
  <c r="AR20" i="58" s="1"/>
  <c r="AL36" i="58"/>
  <c r="AP36" i="58" s="1"/>
  <c r="AL22" i="58"/>
  <c r="AP22" i="58" s="1"/>
  <c r="AO36" i="58"/>
  <c r="AS36" i="58" s="1"/>
  <c r="AN63" i="58"/>
  <c r="AR63" i="58" s="1"/>
  <c r="AM40" i="58"/>
  <c r="AQ40" i="58" s="1"/>
  <c r="AI37" i="58"/>
  <c r="AM36" i="58" s="1"/>
  <c r="AQ36" i="58" s="1"/>
  <c r="AO33" i="58"/>
  <c r="AS33" i="58" s="1"/>
  <c r="AN57" i="58"/>
  <c r="AL35" i="58"/>
  <c r="AP35" i="58" s="1"/>
  <c r="AI34" i="58"/>
  <c r="AM34" i="58" s="1"/>
  <c r="AQ34" i="58" s="1"/>
  <c r="AJ69" i="58"/>
  <c r="AN69" i="58" s="1"/>
  <c r="AR69" i="58" s="1"/>
  <c r="AN51" i="58"/>
  <c r="AR51" i="58" s="1"/>
  <c r="AK104" i="58"/>
  <c r="AO104" i="58" s="1"/>
  <c r="AJ104" i="58"/>
  <c r="AN104" i="58" s="1"/>
  <c r="AR104" i="58" s="1"/>
  <c r="AK34" i="58"/>
  <c r="AO35" i="58" s="1"/>
  <c r="AS35" i="58" s="1"/>
  <c r="AJ34" i="58"/>
  <c r="AN34" i="58" s="1"/>
  <c r="AR34" i="58" s="1"/>
  <c r="AD110" i="58"/>
  <c r="AE110" i="58"/>
  <c r="AG110" i="58"/>
  <c r="AF110" i="58"/>
  <c r="AO47" i="58"/>
  <c r="AS47" i="58" s="1"/>
  <c r="AO60" i="58"/>
  <c r="AM59" i="58"/>
  <c r="AL26" i="58"/>
  <c r="AP26" i="58" s="1"/>
  <c r="BE99" i="58"/>
  <c r="BE94" i="58"/>
  <c r="AU24" i="58"/>
  <c r="BC24" i="58" s="1"/>
  <c r="AM55" i="58"/>
  <c r="AQ55" i="58" s="1"/>
  <c r="BB76" i="58"/>
  <c r="BG76" i="58" s="1"/>
  <c r="AU65" i="58"/>
  <c r="BC65" i="58" s="1"/>
  <c r="AU111" i="58"/>
  <c r="BC111" i="58" s="1"/>
  <c r="BE76" i="58"/>
  <c r="BE106" i="58"/>
  <c r="AU72" i="58"/>
  <c r="BC72" i="58" s="1"/>
  <c r="BE107" i="58"/>
  <c r="AU114" i="58"/>
  <c r="BC114" i="58" s="1"/>
  <c r="AU89" i="58"/>
  <c r="BC89" i="58" s="1"/>
  <c r="AU98" i="58"/>
  <c r="BC98" i="58" s="1"/>
  <c r="AU69" i="58"/>
  <c r="BC69" i="58" s="1"/>
  <c r="AL62" i="58"/>
  <c r="AP62" i="58" s="1"/>
  <c r="AU75" i="58"/>
  <c r="BC75" i="58" s="1"/>
  <c r="AU71" i="58"/>
  <c r="BC71" i="58" s="1"/>
  <c r="AU29" i="58"/>
  <c r="BC29" i="58" s="1"/>
  <c r="AU96" i="58"/>
  <c r="BC96" i="58" s="1"/>
  <c r="AU102" i="58"/>
  <c r="BC102" i="58" s="1"/>
  <c r="AU68" i="58"/>
  <c r="BC68" i="58" s="1"/>
  <c r="AU119" i="58"/>
  <c r="BC119" i="58" s="1"/>
  <c r="AU66" i="58"/>
  <c r="BC66" i="58" s="1"/>
  <c r="AU81" i="58"/>
  <c r="BC81" i="58" s="1"/>
  <c r="AU118" i="58"/>
  <c r="BC118" i="58" s="1"/>
  <c r="AU103" i="58"/>
  <c r="BC103" i="58" s="1"/>
  <c r="AU82" i="58"/>
  <c r="BC82" i="58" s="1"/>
  <c r="AM45" i="58"/>
  <c r="AQ45" i="58" s="1"/>
  <c r="AT89" i="58"/>
  <c r="AX89" i="58"/>
  <c r="AZ89" i="58" s="1"/>
  <c r="AT102" i="58"/>
  <c r="AX102" i="58"/>
  <c r="AZ102" i="58" s="1"/>
  <c r="AT98" i="58"/>
  <c r="AX98" i="58"/>
  <c r="AZ98" i="58" s="1"/>
  <c r="AU93" i="58"/>
  <c r="BC93" i="58" s="1"/>
  <c r="AX81" i="58"/>
  <c r="AZ81" i="58" s="1"/>
  <c r="AT81" i="58"/>
  <c r="AT91" i="58"/>
  <c r="AX109" i="58"/>
  <c r="AZ109" i="58" s="1"/>
  <c r="BF109" i="58" s="1"/>
  <c r="AT109" i="58"/>
  <c r="AT114" i="58"/>
  <c r="AX114" i="58"/>
  <c r="AZ114" i="58" s="1"/>
  <c r="AX96" i="58"/>
  <c r="AZ96" i="58" s="1"/>
  <c r="AT96" i="58"/>
  <c r="AU63" i="58"/>
  <c r="BC63" i="58" s="1"/>
  <c r="AX66" i="58"/>
  <c r="AZ66" i="58" s="1"/>
  <c r="AX67" i="58"/>
  <c r="AZ67" i="58" s="1"/>
  <c r="AT67" i="58"/>
  <c r="AX68" i="58"/>
  <c r="AZ68" i="58" s="1"/>
  <c r="AT68" i="58"/>
  <c r="AT82" i="58"/>
  <c r="AX82" i="58"/>
  <c r="AZ82" i="58" s="1"/>
  <c r="AU116" i="58"/>
  <c r="BC116" i="58" s="1"/>
  <c r="AX93" i="58"/>
  <c r="AZ93" i="58" s="1"/>
  <c r="AX61" i="58"/>
  <c r="AZ61" i="58" s="1"/>
  <c r="AX105" i="58"/>
  <c r="AZ105" i="58" s="1"/>
  <c r="BH105" i="58" s="1"/>
  <c r="AT105" i="58"/>
  <c r="AX71" i="58"/>
  <c r="AZ71" i="58" s="1"/>
  <c r="AT71" i="58"/>
  <c r="AX107" i="58"/>
  <c r="AZ107" i="58" s="1"/>
  <c r="BH107" i="58" s="1"/>
  <c r="AT107" i="58"/>
  <c r="AX75" i="58"/>
  <c r="AZ75" i="58" s="1"/>
  <c r="AT75" i="58"/>
  <c r="AV94" i="58"/>
  <c r="AX94" i="58"/>
  <c r="AZ94" i="58" s="1"/>
  <c r="BF94" i="58" s="1"/>
  <c r="AT87" i="58"/>
  <c r="AX80" i="58"/>
  <c r="AZ80" i="58" s="1"/>
  <c r="BF80" i="58" s="1"/>
  <c r="AT80" i="58"/>
  <c r="AT90" i="58"/>
  <c r="AT58" i="58"/>
  <c r="AU67" i="58"/>
  <c r="BC67" i="58" s="1"/>
  <c r="AV99" i="58"/>
  <c r="AX99" i="58"/>
  <c r="AZ99" i="58" s="1"/>
  <c r="BH99" i="58" s="1"/>
  <c r="AT99" i="58"/>
  <c r="AX73" i="58"/>
  <c r="AZ73" i="58" s="1"/>
  <c r="BH73" i="58" s="1"/>
  <c r="AT73" i="58"/>
  <c r="AU61" i="58"/>
  <c r="BC61" i="58" s="1"/>
  <c r="AX101" i="58"/>
  <c r="AZ101" i="58" s="1"/>
  <c r="AT101" i="58"/>
  <c r="AV95" i="58"/>
  <c r="AX95" i="58"/>
  <c r="AZ95" i="58" s="1"/>
  <c r="AT95" i="58"/>
  <c r="AT119" i="58"/>
  <c r="AX119" i="58"/>
  <c r="AZ119" i="58" s="1"/>
  <c r="AX84" i="58"/>
  <c r="AZ84" i="58" s="1"/>
  <c r="AT84" i="58"/>
  <c r="AX106" i="58"/>
  <c r="AZ106" i="58" s="1"/>
  <c r="AX72" i="58"/>
  <c r="AZ72" i="58" s="1"/>
  <c r="AT72" i="58"/>
  <c r="AT103" i="58"/>
  <c r="AX103" i="58"/>
  <c r="AZ103" i="58" s="1"/>
  <c r="AX100" i="58"/>
  <c r="AZ100" i="58" s="1"/>
  <c r="BF100" i="58" s="1"/>
  <c r="AT100" i="58"/>
  <c r="AX118" i="58"/>
  <c r="AZ118" i="58" s="1"/>
  <c r="AT74" i="58"/>
  <c r="AN50" i="58"/>
  <c r="AR50" i="58" s="1"/>
  <c r="AO45" i="58"/>
  <c r="AS45" i="58" s="1"/>
  <c r="AN48" i="58"/>
  <c r="AR48" i="58" s="1"/>
  <c r="AV84" i="58"/>
  <c r="AN41" i="58"/>
  <c r="AR41" i="58" s="1"/>
  <c r="AN59" i="58"/>
  <c r="AR59" i="58" s="1"/>
  <c r="AL40" i="58"/>
  <c r="AP40" i="58" s="1"/>
  <c r="AL60" i="58"/>
  <c r="AP60" i="58" s="1"/>
  <c r="AH14" i="58"/>
  <c r="AL15" i="58" s="1"/>
  <c r="AP15" i="58" s="1"/>
  <c r="AO49" i="58"/>
  <c r="AS49" i="58" s="1"/>
  <c r="AL18" i="58"/>
  <c r="AP18" i="58" s="1"/>
  <c r="AM17" i="58"/>
  <c r="AQ17" i="58" s="1"/>
  <c r="AM60" i="58"/>
  <c r="AQ60" i="58" s="1"/>
  <c r="AO52" i="58"/>
  <c r="AS52" i="58" s="1"/>
  <c r="AV106" i="58"/>
  <c r="AV101" i="58"/>
  <c r="AV118" i="58"/>
  <c r="AM58" i="58"/>
  <c r="AQ58" i="58" s="1"/>
  <c r="AW88" i="58"/>
  <c r="AW70" i="58"/>
  <c r="AN18" i="58"/>
  <c r="AR18" i="58" s="1"/>
  <c r="AO31" i="58"/>
  <c r="AL55" i="58"/>
  <c r="AP55" i="58" s="1"/>
  <c r="AV100" i="58"/>
  <c r="AM22" i="58"/>
  <c r="AQ22" i="58" s="1"/>
  <c r="AH11" i="58"/>
  <c r="AL10" i="58" s="1"/>
  <c r="AP10" i="58" s="1"/>
  <c r="AN56" i="58"/>
  <c r="AR56" i="58" s="1"/>
  <c r="AM57" i="58"/>
  <c r="AQ57" i="58" s="1"/>
  <c r="AV107" i="58"/>
  <c r="AY78" i="58"/>
  <c r="AN29" i="58"/>
  <c r="AL24" i="58"/>
  <c r="AP24" i="58" s="1"/>
  <c r="AN62" i="58"/>
  <c r="AR62" i="58" s="1"/>
  <c r="AL32" i="58"/>
  <c r="AP32" i="58" s="1"/>
  <c r="AM53" i="58"/>
  <c r="AI117" i="58"/>
  <c r="AM117" i="58" s="1"/>
  <c r="AQ117" i="58" s="1"/>
  <c r="AM16" i="58"/>
  <c r="AQ16" i="58" s="1"/>
  <c r="AL27" i="58"/>
  <c r="AP27" i="58" s="1"/>
  <c r="AL20" i="58"/>
  <c r="AP20" i="58" s="1"/>
  <c r="AL63" i="58"/>
  <c r="AP63" i="58" s="1"/>
  <c r="AM51" i="58"/>
  <c r="AQ51" i="58" s="1"/>
  <c r="AN37" i="58"/>
  <c r="AR37" i="58" s="1"/>
  <c r="AO28" i="58"/>
  <c r="AI13" i="58"/>
  <c r="AI12" i="58"/>
  <c r="AN19" i="58"/>
  <c r="AR19" i="58" s="1"/>
  <c r="AM19" i="58"/>
  <c r="AQ19" i="58" s="1"/>
  <c r="AV105" i="58"/>
  <c r="AV80" i="58"/>
  <c r="AO16" i="58"/>
  <c r="AS16" i="58" s="1"/>
  <c r="AM46" i="58"/>
  <c r="AQ46" i="58" s="1"/>
  <c r="AL38" i="58"/>
  <c r="AP38" i="58" s="1"/>
  <c r="AL39" i="58"/>
  <c r="AP39" i="58" s="1"/>
  <c r="AL52" i="58"/>
  <c r="AP52" i="58" s="1"/>
  <c r="AN17" i="58"/>
  <c r="AR17" i="58" s="1"/>
  <c r="AW118" i="58"/>
  <c r="AM44" i="58"/>
  <c r="AO42" i="58"/>
  <c r="AS42" i="58" s="1"/>
  <c r="AM42" i="58"/>
  <c r="AQ42" i="58" s="1"/>
  <c r="AN24" i="58"/>
  <c r="AL31" i="58"/>
  <c r="AP31" i="58" s="1"/>
  <c r="AL29" i="58"/>
  <c r="AP29" i="58" s="1"/>
  <c r="AV109" i="58"/>
  <c r="AO30" i="58"/>
  <c r="AS30" i="58" s="1"/>
  <c r="AO54" i="58"/>
  <c r="AS54" i="58" s="1"/>
  <c r="AI10" i="58"/>
  <c r="AM10" i="58" s="1"/>
  <c r="AQ10" i="58" s="1"/>
  <c r="AO40" i="58"/>
  <c r="AS40" i="58" s="1"/>
  <c r="AL46" i="58"/>
  <c r="AP46" i="58" s="1"/>
  <c r="AO25" i="58"/>
  <c r="AJ10" i="58"/>
  <c r="AN11" i="58" s="1"/>
  <c r="AR11" i="58" s="1"/>
  <c r="AL28" i="58"/>
  <c r="AP28" i="58" s="1"/>
  <c r="BA118" i="58"/>
  <c r="AL13" i="58"/>
  <c r="AP13" i="58" s="1"/>
  <c r="AJ14" i="58"/>
  <c r="AN14" i="58" s="1"/>
  <c r="AR14" i="58" s="1"/>
  <c r="AK11" i="58"/>
  <c r="AO10" i="58" s="1"/>
  <c r="AS10" i="58" s="1"/>
  <c r="BA75" i="58"/>
  <c r="BA65" i="58"/>
  <c r="BA72" i="58"/>
  <c r="BA71" i="58"/>
  <c r="BA69" i="58"/>
  <c r="BA119" i="58"/>
  <c r="BA103" i="58"/>
  <c r="BA66" i="58"/>
  <c r="BA93" i="58"/>
  <c r="BA116" i="58"/>
  <c r="BA102" i="58"/>
  <c r="BA67" i="58"/>
  <c r="BA68" i="58"/>
  <c r="BA81" i="58"/>
  <c r="BA82" i="58"/>
  <c r="BA111" i="58"/>
  <c r="AN53" i="58"/>
  <c r="AV73" i="58"/>
  <c r="AK15" i="58"/>
  <c r="AJ13" i="58"/>
  <c r="AN13" i="58" s="1"/>
  <c r="AR13" i="58" s="1"/>
  <c r="AK13" i="58"/>
  <c r="AI15" i="58"/>
  <c r="AM15" i="58" s="1"/>
  <c r="AQ15" i="58" s="1"/>
  <c r="AW72" i="58"/>
  <c r="AW67" i="58"/>
  <c r="AW111" i="58"/>
  <c r="AW98" i="58"/>
  <c r="AV75" i="58"/>
  <c r="AW103" i="58"/>
  <c r="AV68" i="58"/>
  <c r="AJ117" i="58"/>
  <c r="AN117" i="58" s="1"/>
  <c r="AR117" i="58" s="1"/>
  <c r="AK117" i="58"/>
  <c r="AO117" i="58" s="1"/>
  <c r="AS117" i="58" s="1"/>
  <c r="AF64" i="58"/>
  <c r="AG64" i="58"/>
  <c r="AD64" i="58"/>
  <c r="AE64" i="58"/>
  <c r="AC5" i="58"/>
  <c r="AC4" i="58" s="1"/>
  <c r="AW102" i="58"/>
  <c r="AW65" i="58"/>
  <c r="AV103" i="58"/>
  <c r="AW75" i="58"/>
  <c r="AV81" i="58"/>
  <c r="AV93" i="58"/>
  <c r="AV98" i="58"/>
  <c r="AW71" i="58"/>
  <c r="AV119" i="58"/>
  <c r="AW119" i="58"/>
  <c r="AW68" i="58"/>
  <c r="AV72" i="58"/>
  <c r="AV67" i="58"/>
  <c r="AL12" i="58"/>
  <c r="AP12" i="58" s="1"/>
  <c r="AV102" i="58"/>
  <c r="AW81" i="58"/>
  <c r="BA98" i="58"/>
  <c r="AW116" i="58"/>
  <c r="AW82" i="58"/>
  <c r="AV82" i="58"/>
  <c r="AV66" i="58"/>
  <c r="AV71" i="58"/>
  <c r="AL43" i="58"/>
  <c r="AP43" i="58" s="1"/>
  <c r="BH76" i="58"/>
  <c r="BF76" i="58"/>
  <c r="BE113" i="58"/>
  <c r="AW89" i="58"/>
  <c r="AW114" i="58"/>
  <c r="AV96" i="58"/>
  <c r="BA24" i="58"/>
  <c r="BA29" i="58"/>
  <c r="AW96" i="58"/>
  <c r="BA89" i="58"/>
  <c r="AW58" i="58"/>
  <c r="AV114" i="58"/>
  <c r="BA114" i="58"/>
  <c r="BA96" i="58"/>
  <c r="BA25" i="58"/>
  <c r="BA61" i="58"/>
  <c r="AV61" i="58"/>
  <c r="AV89" i="58"/>
  <c r="BA63" i="58"/>
  <c r="BA31" i="58"/>
  <c r="BA28" i="58"/>
  <c r="AN33" i="58"/>
  <c r="AL33" i="58"/>
  <c r="AP33" i="58" s="1"/>
  <c r="AM43" i="58"/>
  <c r="AQ43" i="58" s="1"/>
  <c r="AN42" i="58"/>
  <c r="AR42" i="58" s="1"/>
  <c r="AO32" i="58"/>
  <c r="AS32" i="58" s="1"/>
  <c r="AL34" i="58"/>
  <c r="AP34" i="58" s="1"/>
  <c r="AM33" i="58"/>
  <c r="AQ33" i="58" s="1"/>
  <c r="AO43" i="58"/>
  <c r="AN23" i="58" l="1"/>
  <c r="AR23" i="58" s="1"/>
  <c r="AW23" i="58" s="1"/>
  <c r="AY99" i="58"/>
  <c r="AH86" i="58"/>
  <c r="AL86" i="58" s="1"/>
  <c r="AJ86" i="58"/>
  <c r="AN86" i="58" s="1"/>
  <c r="AR86" i="58" s="1"/>
  <c r="AW86" i="58" s="1"/>
  <c r="BM48" i="64"/>
  <c r="BS48" i="64" s="1"/>
  <c r="N47" i="82" s="1"/>
  <c r="AT106" i="58"/>
  <c r="BB106" i="58" s="1"/>
  <c r="BG106" i="58" s="1"/>
  <c r="AW97" i="58"/>
  <c r="AW115" i="58"/>
  <c r="AW106" i="58"/>
  <c r="AV108" i="58"/>
  <c r="AW108" i="58"/>
  <c r="BJ92" i="58"/>
  <c r="AF48" i="64"/>
  <c r="BA108" i="58"/>
  <c r="BH108" i="58" s="1"/>
  <c r="AW100" i="58"/>
  <c r="AU108" i="58"/>
  <c r="BC108" i="58" s="1"/>
  <c r="BF77" i="58"/>
  <c r="AA39" i="64"/>
  <c r="AL39" i="64" s="1"/>
  <c r="BD39" i="64" s="1"/>
  <c r="BH77" i="58"/>
  <c r="AV87" i="58"/>
  <c r="AU86" i="58"/>
  <c r="BC86" i="58" s="1"/>
  <c r="BE86" i="58" s="1"/>
  <c r="BE77" i="58"/>
  <c r="AW80" i="58"/>
  <c r="AW83" i="58"/>
  <c r="AY80" i="58"/>
  <c r="BB80" i="58" s="1"/>
  <c r="BJ80" i="58" s="1"/>
  <c r="AW73" i="58"/>
  <c r="AW109" i="58"/>
  <c r="BA90" i="58"/>
  <c r="BE90" i="58" s="1"/>
  <c r="AX90" i="58"/>
  <c r="AZ90" i="58" s="1"/>
  <c r="AV74" i="58"/>
  <c r="AT83" i="58"/>
  <c r="BB83" i="58" s="1"/>
  <c r="BD83" i="58" s="1"/>
  <c r="BA74" i="58"/>
  <c r="BE74" i="58" s="1"/>
  <c r="AV90" i="58"/>
  <c r="AX74" i="58"/>
  <c r="AZ74" i="58" s="1"/>
  <c r="AW84" i="58"/>
  <c r="BB105" i="58"/>
  <c r="AT97" i="58"/>
  <c r="BB97" i="58" s="1"/>
  <c r="BG97" i="58" s="1"/>
  <c r="AW105" i="58"/>
  <c r="AV91" i="58"/>
  <c r="BA91" i="58"/>
  <c r="BH91" i="58" s="1"/>
  <c r="AO39" i="58"/>
  <c r="AS39" i="58" s="1"/>
  <c r="AU39" i="58" s="1"/>
  <c r="BC39" i="58" s="1"/>
  <c r="AV88" i="58"/>
  <c r="AV97" i="58"/>
  <c r="BA97" i="58"/>
  <c r="BE97" i="58" s="1"/>
  <c r="AW95" i="58"/>
  <c r="AX87" i="58"/>
  <c r="AZ87" i="58" s="1"/>
  <c r="AX88" i="58"/>
  <c r="AZ88" i="58" s="1"/>
  <c r="AU91" i="58"/>
  <c r="BC91" i="58" s="1"/>
  <c r="AB39" i="64"/>
  <c r="AM39" i="64" s="1"/>
  <c r="BE39" i="64" s="1"/>
  <c r="AT94" i="58"/>
  <c r="BB94" i="58" s="1"/>
  <c r="AT108" i="58"/>
  <c r="BB108" i="58" s="1"/>
  <c r="BD108" i="58" s="1"/>
  <c r="AU70" i="58"/>
  <c r="BC70" i="58" s="1"/>
  <c r="AV115" i="58"/>
  <c r="AU83" i="58"/>
  <c r="BC83" i="58" s="1"/>
  <c r="BE83" i="58" s="1"/>
  <c r="AW85" i="58"/>
  <c r="AV83" i="58"/>
  <c r="AU115" i="58"/>
  <c r="BC115" i="58" s="1"/>
  <c r="AY84" i="58"/>
  <c r="BB84" i="58" s="1"/>
  <c r="BD84" i="58" s="1"/>
  <c r="AU100" i="58"/>
  <c r="BC100" i="58" s="1"/>
  <c r="BE100" i="58" s="1"/>
  <c r="BG92" i="58"/>
  <c r="BI92" i="58"/>
  <c r="AC48" i="64"/>
  <c r="AN48" i="64" s="1"/>
  <c r="BF48" i="64" s="1"/>
  <c r="AO48" i="64"/>
  <c r="AW94" i="58"/>
  <c r="AX97" i="58"/>
  <c r="AZ97" i="58" s="1"/>
  <c r="AV70" i="58"/>
  <c r="AE48" i="64"/>
  <c r="AT115" i="58"/>
  <c r="BB115" i="58" s="1"/>
  <c r="AY95" i="58"/>
  <c r="BB95" i="58" s="1"/>
  <c r="AQ48" i="64"/>
  <c r="BI77" i="58"/>
  <c r="BD77" i="58"/>
  <c r="BJ77" i="58"/>
  <c r="BG77" i="58"/>
  <c r="AC39" i="64"/>
  <c r="AN39" i="64" s="1"/>
  <c r="BF39" i="64" s="1"/>
  <c r="AU105" i="58"/>
  <c r="BC105" i="58" s="1"/>
  <c r="BE105" i="58" s="1"/>
  <c r="AT113" i="58"/>
  <c r="BB113" i="58" s="1"/>
  <c r="BI113" i="58" s="1"/>
  <c r="AX113" i="58"/>
  <c r="AZ113" i="58" s="1"/>
  <c r="BH113" i="58" s="1"/>
  <c r="AY109" i="58"/>
  <c r="BB109" i="58" s="1"/>
  <c r="BA88" i="58"/>
  <c r="BE88" i="58" s="1"/>
  <c r="AU101" i="58"/>
  <c r="BC101" i="58" s="1"/>
  <c r="BE101" i="58" s="1"/>
  <c r="AY101" i="58"/>
  <c r="BB101" i="58" s="1"/>
  <c r="AY73" i="58"/>
  <c r="BB73" i="58" s="1"/>
  <c r="BA70" i="58"/>
  <c r="BF70" i="58" s="1"/>
  <c r="AU85" i="58"/>
  <c r="BC85" i="58" s="1"/>
  <c r="BE85" i="58" s="1"/>
  <c r="BF104" i="58"/>
  <c r="BH104" i="58"/>
  <c r="BH83" i="58"/>
  <c r="BF83" i="58"/>
  <c r="AS25" i="58"/>
  <c r="AU25" i="58" s="1"/>
  <c r="BC25" i="58" s="1"/>
  <c r="BE25" i="58" s="1"/>
  <c r="AR57" i="58"/>
  <c r="AY57" i="58" s="1"/>
  <c r="AP116" i="58"/>
  <c r="AV116" i="58" s="1"/>
  <c r="AP85" i="58"/>
  <c r="AT85" i="58" s="1"/>
  <c r="BB85" i="58" s="1"/>
  <c r="AS55" i="58"/>
  <c r="AW55" i="58" s="1"/>
  <c r="AR24" i="58"/>
  <c r="AY24" i="58" s="1"/>
  <c r="AR33" i="58"/>
  <c r="AY33" i="58" s="1"/>
  <c r="AQ53" i="58"/>
  <c r="AU53" i="58" s="1"/>
  <c r="BC53" i="58" s="1"/>
  <c r="AR29" i="58"/>
  <c r="AY29" i="58" s="1"/>
  <c r="AS31" i="58"/>
  <c r="AU31" i="58" s="1"/>
  <c r="BC31" i="58" s="1"/>
  <c r="BE31" i="58" s="1"/>
  <c r="AQ59" i="58"/>
  <c r="AV59" i="58" s="1"/>
  <c r="AS60" i="58"/>
  <c r="AW60" i="58" s="1"/>
  <c r="AS104" i="58"/>
  <c r="AW104" i="58" s="1"/>
  <c r="AP86" i="58"/>
  <c r="AX86" i="58" s="1"/>
  <c r="AZ86" i="58" s="1"/>
  <c r="AP25" i="58"/>
  <c r="AV25" i="58" s="1"/>
  <c r="AV104" i="58"/>
  <c r="AQ79" i="58"/>
  <c r="AX79" i="58" s="1"/>
  <c r="AZ79" i="58" s="1"/>
  <c r="BA115" i="58"/>
  <c r="BF115" i="58" s="1"/>
  <c r="BA87" i="58"/>
  <c r="BE87" i="58" s="1"/>
  <c r="AS43" i="58"/>
  <c r="AY43" i="58" s="1"/>
  <c r="AR53" i="58"/>
  <c r="AY53" i="58" s="1"/>
  <c r="AR61" i="58"/>
  <c r="AW61" i="58" s="1"/>
  <c r="AP69" i="58"/>
  <c r="AX69" i="58" s="1"/>
  <c r="AZ69" i="58" s="1"/>
  <c r="AS28" i="58"/>
  <c r="AU28" i="58" s="1"/>
  <c r="BC28" i="58" s="1"/>
  <c r="BE28" i="58" s="1"/>
  <c r="AQ44" i="58"/>
  <c r="AU44" i="58" s="1"/>
  <c r="BC44" i="58" s="1"/>
  <c r="AQ78" i="58"/>
  <c r="AV78" i="58" s="1"/>
  <c r="AD39" i="64"/>
  <c r="AO39" i="64"/>
  <c r="Z45" i="64"/>
  <c r="AK45" i="64" s="1"/>
  <c r="BC45" i="64" s="1"/>
  <c r="AA10" i="64"/>
  <c r="AL10" i="64" s="1"/>
  <c r="BD10" i="64" s="1"/>
  <c r="Z60" i="64"/>
  <c r="AK60" i="64" s="1"/>
  <c r="BC60" i="64" s="1"/>
  <c r="Z44" i="64"/>
  <c r="AK44" i="64" s="1"/>
  <c r="BC44" i="64" s="1"/>
  <c r="Z22" i="64"/>
  <c r="AK22" i="64" s="1"/>
  <c r="BC22" i="64" s="1"/>
  <c r="Z56" i="64"/>
  <c r="AK56" i="64" s="1"/>
  <c r="BC56" i="64" s="1"/>
  <c r="Z8" i="64"/>
  <c r="AK8" i="64" s="1"/>
  <c r="BC8" i="64" s="1"/>
  <c r="AA51" i="64"/>
  <c r="AL51" i="64" s="1"/>
  <c r="BD51" i="64" s="1"/>
  <c r="AA9" i="64"/>
  <c r="AL9" i="64" s="1"/>
  <c r="BD9" i="64" s="1"/>
  <c r="AA44" i="64"/>
  <c r="AL44" i="64" s="1"/>
  <c r="BD44" i="64" s="1"/>
  <c r="AA58" i="64"/>
  <c r="AL58" i="64" s="1"/>
  <c r="BD58" i="64" s="1"/>
  <c r="AB45" i="64"/>
  <c r="AM45" i="64" s="1"/>
  <c r="BE45" i="64" s="1"/>
  <c r="AB9" i="64"/>
  <c r="AM9" i="64" s="1"/>
  <c r="BE9" i="64" s="1"/>
  <c r="AB25" i="64"/>
  <c r="AM25" i="64" s="1"/>
  <c r="BE25" i="64" s="1"/>
  <c r="AB21" i="64"/>
  <c r="AM21" i="64" s="1"/>
  <c r="BE21" i="64" s="1"/>
  <c r="AB8" i="64"/>
  <c r="AM8" i="64" s="1"/>
  <c r="BE8" i="64" s="1"/>
  <c r="Z58" i="64"/>
  <c r="AK58" i="64" s="1"/>
  <c r="BC58" i="64" s="1"/>
  <c r="Z59" i="64"/>
  <c r="AK59" i="64" s="1"/>
  <c r="BC59" i="64" s="1"/>
  <c r="Z21" i="64"/>
  <c r="AK21" i="64" s="1"/>
  <c r="BC21" i="64" s="1"/>
  <c r="AB44" i="64"/>
  <c r="AM44" i="64" s="1"/>
  <c r="BE44" i="64" s="1"/>
  <c r="AB18" i="64"/>
  <c r="AM18" i="64" s="1"/>
  <c r="BE18" i="64" s="1"/>
  <c r="Z12" i="64"/>
  <c r="AK12" i="64" s="1"/>
  <c r="BC12" i="64" s="1"/>
  <c r="Z51" i="64"/>
  <c r="AK51" i="64" s="1"/>
  <c r="BC51" i="64" s="1"/>
  <c r="Z17" i="64"/>
  <c r="AK17" i="64" s="1"/>
  <c r="BC17" i="64" s="1"/>
  <c r="Z25" i="64"/>
  <c r="AK25" i="64" s="1"/>
  <c r="BC25" i="64" s="1"/>
  <c r="AA21" i="64"/>
  <c r="AL21" i="64" s="1"/>
  <c r="BD21" i="64" s="1"/>
  <c r="AB10" i="64"/>
  <c r="AM10" i="64" s="1"/>
  <c r="BE10" i="64" s="1"/>
  <c r="AA25" i="64"/>
  <c r="AL25" i="64" s="1"/>
  <c r="BD25" i="64" s="1"/>
  <c r="AB22" i="64"/>
  <c r="AM22" i="64" s="1"/>
  <c r="BE22" i="64" s="1"/>
  <c r="AA12" i="64"/>
  <c r="AL12" i="64" s="1"/>
  <c r="BD12" i="64" s="1"/>
  <c r="AB51" i="64"/>
  <c r="AM51" i="64" s="1"/>
  <c r="BE51" i="64" s="1"/>
  <c r="AB59" i="64"/>
  <c r="AM59" i="64" s="1"/>
  <c r="BE59" i="64" s="1"/>
  <c r="AB56" i="64"/>
  <c r="AM56" i="64" s="1"/>
  <c r="BE56" i="64" s="1"/>
  <c r="Z57" i="64"/>
  <c r="AK57" i="64" s="1"/>
  <c r="BC57" i="64" s="1"/>
  <c r="AB58" i="64"/>
  <c r="AM58" i="64" s="1"/>
  <c r="BE58" i="64" s="1"/>
  <c r="AB57" i="64"/>
  <c r="AM57" i="64" s="1"/>
  <c r="BE57" i="64" s="1"/>
  <c r="AB60" i="64"/>
  <c r="AM60" i="64" s="1"/>
  <c r="BE60" i="64" s="1"/>
  <c r="Z10" i="64"/>
  <c r="AK10" i="64" s="1"/>
  <c r="BC10" i="64" s="1"/>
  <c r="Z9" i="64"/>
  <c r="AK9" i="64" s="1"/>
  <c r="BC9" i="64" s="1"/>
  <c r="Z18" i="64"/>
  <c r="AK18" i="64" s="1"/>
  <c r="BC18" i="64" s="1"/>
  <c r="AA59" i="64"/>
  <c r="AL59" i="64" s="1"/>
  <c r="BD59" i="64" s="1"/>
  <c r="AA56" i="64"/>
  <c r="AL56" i="64" s="1"/>
  <c r="BD56" i="64" s="1"/>
  <c r="AA18" i="64"/>
  <c r="AL18" i="64" s="1"/>
  <c r="BD18" i="64" s="1"/>
  <c r="AA45" i="64"/>
  <c r="AL45" i="64" s="1"/>
  <c r="BD45" i="64" s="1"/>
  <c r="AA57" i="64"/>
  <c r="AL57" i="64" s="1"/>
  <c r="BD57" i="64" s="1"/>
  <c r="AB12" i="64"/>
  <c r="AM12" i="64" s="1"/>
  <c r="BE12" i="64" s="1"/>
  <c r="AB17" i="64"/>
  <c r="AM17" i="64" s="1"/>
  <c r="BE17" i="64" s="1"/>
  <c r="BB88" i="58"/>
  <c r="BI88" i="58" s="1"/>
  <c r="BB118" i="58"/>
  <c r="BG118" i="58" s="1"/>
  <c r="AY49" i="58"/>
  <c r="AY47" i="58"/>
  <c r="BB70" i="58"/>
  <c r="BD70" i="58" s="1"/>
  <c r="AY30" i="58"/>
  <c r="AY62" i="58"/>
  <c r="AY117" i="58"/>
  <c r="AY21" i="58"/>
  <c r="AY42" i="58"/>
  <c r="AY48" i="58"/>
  <c r="AY27" i="58"/>
  <c r="AY45" i="58"/>
  <c r="AY56" i="58"/>
  <c r="AW63" i="58"/>
  <c r="AY63" i="58"/>
  <c r="AY20" i="58"/>
  <c r="AY16" i="58"/>
  <c r="AY112" i="58"/>
  <c r="AY19" i="58"/>
  <c r="AT93" i="58"/>
  <c r="AY93" i="58"/>
  <c r="AW69" i="58"/>
  <c r="AY69" i="58"/>
  <c r="AT79" i="58"/>
  <c r="AY79" i="58"/>
  <c r="AY50" i="58"/>
  <c r="AY36" i="58"/>
  <c r="AW59" i="58"/>
  <c r="AY59" i="58"/>
  <c r="AY46" i="58"/>
  <c r="AY51" i="58"/>
  <c r="AY23" i="58"/>
  <c r="AT44" i="58"/>
  <c r="AY44" i="58"/>
  <c r="AW66" i="58"/>
  <c r="AY66" i="58"/>
  <c r="AT117" i="58"/>
  <c r="AX117" i="58"/>
  <c r="AZ117" i="58" s="1"/>
  <c r="AT16" i="58"/>
  <c r="AN26" i="58"/>
  <c r="AX45" i="58"/>
  <c r="AZ45" i="58" s="1"/>
  <c r="AT45" i="58"/>
  <c r="AW45" i="58"/>
  <c r="AW44" i="58"/>
  <c r="AM48" i="58"/>
  <c r="AQ48" i="58" s="1"/>
  <c r="AT66" i="58"/>
  <c r="AW79" i="58"/>
  <c r="AM35" i="58"/>
  <c r="AX42" i="58"/>
  <c r="AZ42" i="58" s="1"/>
  <c r="AT42" i="58"/>
  <c r="BF107" i="58"/>
  <c r="AM37" i="58"/>
  <c r="BJ76" i="58"/>
  <c r="BA55" i="58"/>
  <c r="AN35" i="58"/>
  <c r="AR35" i="58" s="1"/>
  <c r="AO34" i="58"/>
  <c r="AT104" i="58"/>
  <c r="BD76" i="58"/>
  <c r="AH110" i="58"/>
  <c r="AL110" i="58" s="1"/>
  <c r="AP110" i="58" s="1"/>
  <c r="BF73" i="58"/>
  <c r="AI110" i="58"/>
  <c r="AM110" i="58" s="1"/>
  <c r="AQ110" i="58" s="1"/>
  <c r="AK110" i="58"/>
  <c r="AO110" i="58" s="1"/>
  <c r="AS110" i="58" s="1"/>
  <c r="AJ110" i="58"/>
  <c r="AN110" i="58" s="1"/>
  <c r="AR110" i="58" s="1"/>
  <c r="BB100" i="58"/>
  <c r="BB87" i="58"/>
  <c r="BI87" i="58" s="1"/>
  <c r="BI76" i="58"/>
  <c r="BE29" i="58"/>
  <c r="BE24" i="58"/>
  <c r="BF101" i="58"/>
  <c r="BH109" i="58"/>
  <c r="BE114" i="58"/>
  <c r="BH101" i="58"/>
  <c r="BF106" i="58"/>
  <c r="BH106" i="58"/>
  <c r="BE118" i="58"/>
  <c r="BE89" i="58"/>
  <c r="BH100" i="58"/>
  <c r="AU49" i="58"/>
  <c r="BC49" i="58" s="1"/>
  <c r="BA45" i="58"/>
  <c r="AV45" i="58"/>
  <c r="BA117" i="58"/>
  <c r="AU27" i="58"/>
  <c r="BC27" i="58" s="1"/>
  <c r="BE93" i="58"/>
  <c r="BE96" i="58"/>
  <c r="BF105" i="58"/>
  <c r="AU21" i="58"/>
  <c r="BC21" i="58" s="1"/>
  <c r="AU47" i="58"/>
  <c r="BC47" i="58" s="1"/>
  <c r="AU56" i="58"/>
  <c r="BC56" i="58" s="1"/>
  <c r="AU26" i="58"/>
  <c r="BC26" i="58" s="1"/>
  <c r="AU45" i="58"/>
  <c r="BC45" i="58" s="1"/>
  <c r="BE61" i="58"/>
  <c r="AU18" i="58"/>
  <c r="BC18" i="58" s="1"/>
  <c r="BB98" i="58"/>
  <c r="AU22" i="58"/>
  <c r="BC22" i="58" s="1"/>
  <c r="AT59" i="58"/>
  <c r="AT78" i="58"/>
  <c r="AX21" i="58"/>
  <c r="AZ21" i="58" s="1"/>
  <c r="AT21" i="58"/>
  <c r="AU41" i="58"/>
  <c r="BC41" i="58" s="1"/>
  <c r="AT13" i="58"/>
  <c r="AX31" i="58"/>
  <c r="AZ31" i="58" s="1"/>
  <c r="AT31" i="58"/>
  <c r="AX39" i="58"/>
  <c r="AZ39" i="58" s="1"/>
  <c r="AT39" i="58"/>
  <c r="AU19" i="58"/>
  <c r="BC19" i="58" s="1"/>
  <c r="AX27" i="58"/>
  <c r="AZ27" i="58" s="1"/>
  <c r="AT27" i="58"/>
  <c r="AX111" i="58"/>
  <c r="AZ111" i="58" s="1"/>
  <c r="AT111" i="58"/>
  <c r="BB111" i="58" s="1"/>
  <c r="AX15" i="58"/>
  <c r="AZ15" i="58" s="1"/>
  <c r="AT60" i="58"/>
  <c r="AX60" i="58"/>
  <c r="AZ60" i="58" s="1"/>
  <c r="AT40" i="58"/>
  <c r="AX40" i="58"/>
  <c r="AZ40" i="58" s="1"/>
  <c r="BB74" i="58"/>
  <c r="BB72" i="58"/>
  <c r="BB58" i="58"/>
  <c r="BB107" i="58"/>
  <c r="BG107" i="58" s="1"/>
  <c r="BB91" i="58"/>
  <c r="AX43" i="58"/>
  <c r="AZ43" i="58" s="1"/>
  <c r="AT43" i="58"/>
  <c r="AX50" i="58"/>
  <c r="AZ50" i="58" s="1"/>
  <c r="AT50" i="58"/>
  <c r="AT46" i="58"/>
  <c r="AT20" i="58"/>
  <c r="AX20" i="58"/>
  <c r="AZ20" i="58" s="1"/>
  <c r="AX24" i="58"/>
  <c r="AZ24" i="58" s="1"/>
  <c r="BH24" i="58" s="1"/>
  <c r="BA57" i="58"/>
  <c r="AU57" i="58"/>
  <c r="BC57" i="58" s="1"/>
  <c r="BA58" i="58"/>
  <c r="AU58" i="58"/>
  <c r="BC58" i="58" s="1"/>
  <c r="BB103" i="58"/>
  <c r="AX58" i="58"/>
  <c r="AZ58" i="58" s="1"/>
  <c r="BB96" i="58"/>
  <c r="BJ96" i="58" s="1"/>
  <c r="BB81" i="58"/>
  <c r="BE63" i="58"/>
  <c r="AX26" i="58"/>
  <c r="AZ26" i="58" s="1"/>
  <c r="AT49" i="58"/>
  <c r="AX49" i="58"/>
  <c r="AZ49" i="58" s="1"/>
  <c r="AT36" i="58"/>
  <c r="AX22" i="58"/>
  <c r="AZ22" i="58" s="1"/>
  <c r="AU30" i="58"/>
  <c r="BC30" i="58" s="1"/>
  <c r="AU62" i="58"/>
  <c r="BC62" i="58" s="1"/>
  <c r="AX41" i="58"/>
  <c r="AZ41" i="58" s="1"/>
  <c r="AX19" i="58"/>
  <c r="AZ19" i="58" s="1"/>
  <c r="AT19" i="58"/>
  <c r="AT30" i="58"/>
  <c r="AX30" i="58"/>
  <c r="AZ30" i="58" s="1"/>
  <c r="AX62" i="58"/>
  <c r="AZ62" i="58" s="1"/>
  <c r="AT62" i="58"/>
  <c r="AX112" i="58"/>
  <c r="AZ112" i="58" s="1"/>
  <c r="AT112" i="58"/>
  <c r="AL14" i="58"/>
  <c r="AP14" i="58" s="1"/>
  <c r="AT28" i="58"/>
  <c r="AX28" i="58"/>
  <c r="AZ28" i="58" s="1"/>
  <c r="BF28" i="58" s="1"/>
  <c r="AX65" i="58"/>
  <c r="AZ65" i="58" s="1"/>
  <c r="AT65" i="58"/>
  <c r="BB65" i="58" s="1"/>
  <c r="AT38" i="58"/>
  <c r="AX38" i="58"/>
  <c r="AZ38" i="58" s="1"/>
  <c r="AX63" i="58"/>
  <c r="AZ63" i="58" s="1"/>
  <c r="BH63" i="58" s="1"/>
  <c r="AT63" i="58"/>
  <c r="AU17" i="58"/>
  <c r="BC17" i="58" s="1"/>
  <c r="BB119" i="58"/>
  <c r="BB90" i="58"/>
  <c r="BI90" i="58" s="1"/>
  <c r="BB82" i="58"/>
  <c r="BB67" i="58"/>
  <c r="AX57" i="58"/>
  <c r="AZ57" i="58" s="1"/>
  <c r="BB102" i="58"/>
  <c r="AT54" i="58"/>
  <c r="AX54" i="58"/>
  <c r="AZ54" i="58" s="1"/>
  <c r="AX23" i="58"/>
  <c r="AZ23" i="58" s="1"/>
  <c r="AT23" i="58"/>
  <c r="AX17" i="58"/>
  <c r="AZ17" i="58" s="1"/>
  <c r="AU20" i="58"/>
  <c r="BC20" i="58" s="1"/>
  <c r="AT51" i="58"/>
  <c r="BA112" i="58"/>
  <c r="AU112" i="58"/>
  <c r="BC112" i="58" s="1"/>
  <c r="AT56" i="58"/>
  <c r="AX56" i="58"/>
  <c r="AZ56" i="58" s="1"/>
  <c r="AU50" i="58"/>
  <c r="BC50" i="58" s="1"/>
  <c r="AU23" i="58"/>
  <c r="BC23" i="58" s="1"/>
  <c r="AT48" i="58"/>
  <c r="AX47" i="58"/>
  <c r="AZ47" i="58" s="1"/>
  <c r="AT47" i="58"/>
  <c r="AX29" i="58"/>
  <c r="AZ29" i="58" s="1"/>
  <c r="AV42" i="58"/>
  <c r="AU42" i="58"/>
  <c r="BC42" i="58" s="1"/>
  <c r="AV117" i="58"/>
  <c r="AU117" i="58"/>
  <c r="BC117" i="58" s="1"/>
  <c r="AX55" i="58"/>
  <c r="AZ55" i="58" s="1"/>
  <c r="AT55" i="58"/>
  <c r="AX18" i="58"/>
  <c r="AZ18" i="58" s="1"/>
  <c r="BB99" i="58"/>
  <c r="BJ99" i="58" s="1"/>
  <c r="BB75" i="58"/>
  <c r="BB71" i="58"/>
  <c r="BB68" i="58"/>
  <c r="BB114" i="58"/>
  <c r="BD114" i="58" s="1"/>
  <c r="BB89" i="58"/>
  <c r="BD89" i="58" s="1"/>
  <c r="AY22" i="58"/>
  <c r="BA60" i="58"/>
  <c r="AV57" i="58"/>
  <c r="AX36" i="58"/>
  <c r="AZ36" i="58" s="1"/>
  <c r="BF95" i="58"/>
  <c r="AY52" i="58"/>
  <c r="AV60" i="58"/>
  <c r="BA42" i="58"/>
  <c r="BH94" i="58"/>
  <c r="AV111" i="58"/>
  <c r="AV58" i="58"/>
  <c r="BH84" i="58"/>
  <c r="BF84" i="58"/>
  <c r="AU38" i="58"/>
  <c r="BC38" i="58" s="1"/>
  <c r="BH95" i="58"/>
  <c r="AV55" i="58"/>
  <c r="AV63" i="58"/>
  <c r="AV29" i="58"/>
  <c r="AL11" i="58"/>
  <c r="AP11" i="58" s="1"/>
  <c r="AX46" i="58"/>
  <c r="AZ46" i="58" s="1"/>
  <c r="AY37" i="58"/>
  <c r="AV24" i="58"/>
  <c r="AU54" i="58"/>
  <c r="BC54" i="58" s="1"/>
  <c r="AW93" i="58"/>
  <c r="BE119" i="58"/>
  <c r="AM12" i="58"/>
  <c r="AV28" i="58"/>
  <c r="AV65" i="58"/>
  <c r="AM11" i="58"/>
  <c r="AQ11" i="58" s="1"/>
  <c r="AV31" i="58"/>
  <c r="BH80" i="58"/>
  <c r="BH119" i="58"/>
  <c r="AM13" i="58"/>
  <c r="AQ13" i="58" s="1"/>
  <c r="BE81" i="58"/>
  <c r="BE102" i="58"/>
  <c r="BE82" i="58"/>
  <c r="AW78" i="58"/>
  <c r="AN15" i="58"/>
  <c r="AR15" i="58" s="1"/>
  <c r="BA32" i="58"/>
  <c r="BF99" i="58"/>
  <c r="BH118" i="58"/>
  <c r="BH71" i="58"/>
  <c r="BF118" i="58"/>
  <c r="BF72" i="58"/>
  <c r="BH81" i="58"/>
  <c r="AW40" i="58"/>
  <c r="AO11" i="58"/>
  <c r="AS11" i="58" s="1"/>
  <c r="BA20" i="58"/>
  <c r="AN10" i="58"/>
  <c r="BF68" i="58"/>
  <c r="BE111" i="58"/>
  <c r="BE71" i="58"/>
  <c r="BH68" i="58"/>
  <c r="BE116" i="58"/>
  <c r="BE72" i="58"/>
  <c r="BE65" i="58"/>
  <c r="BF81" i="58"/>
  <c r="BH75" i="58"/>
  <c r="BE75" i="58"/>
  <c r="BE69" i="58"/>
  <c r="BE103" i="58"/>
  <c r="BE67" i="58"/>
  <c r="BF103" i="58"/>
  <c r="BF75" i="58"/>
  <c r="BF71" i="58"/>
  <c r="BE68" i="58"/>
  <c r="BE66" i="58"/>
  <c r="BA50" i="58"/>
  <c r="BH103" i="58"/>
  <c r="BF119" i="58"/>
  <c r="BH72" i="58"/>
  <c r="AV19" i="58"/>
  <c r="BA38" i="58"/>
  <c r="BA21" i="58"/>
  <c r="BA47" i="58"/>
  <c r="BA56" i="58"/>
  <c r="BA26" i="58"/>
  <c r="BA52" i="58"/>
  <c r="BA22" i="58"/>
  <c r="BA34" i="58"/>
  <c r="BA27" i="58"/>
  <c r="BA30" i="58"/>
  <c r="BA62" i="58"/>
  <c r="BA17" i="58"/>
  <c r="BA39" i="58"/>
  <c r="BA23" i="58"/>
  <c r="BF98" i="58"/>
  <c r="AM14" i="58"/>
  <c r="AQ14" i="58" s="1"/>
  <c r="BA15" i="58"/>
  <c r="BE98" i="58"/>
  <c r="BH66" i="58"/>
  <c r="AV49" i="58"/>
  <c r="AV15" i="58"/>
  <c r="AV26" i="58"/>
  <c r="AV21" i="58"/>
  <c r="BH98" i="58"/>
  <c r="AO13" i="58"/>
  <c r="AO12" i="58"/>
  <c r="AS12" i="58" s="1"/>
  <c r="AN12" i="58"/>
  <c r="AR12" i="58" s="1"/>
  <c r="AO14" i="58"/>
  <c r="AS14" i="58" s="1"/>
  <c r="AO15" i="58"/>
  <c r="AW36" i="58"/>
  <c r="BA18" i="58"/>
  <c r="AV30" i="58"/>
  <c r="BA41" i="58"/>
  <c r="AW49" i="58"/>
  <c r="AV38" i="58"/>
  <c r="AV20" i="58"/>
  <c r="AV18" i="58"/>
  <c r="AW112" i="58"/>
  <c r="AW50" i="58"/>
  <c r="AW21" i="58"/>
  <c r="AV62" i="58"/>
  <c r="AW30" i="58"/>
  <c r="AV17" i="58"/>
  <c r="AV54" i="58"/>
  <c r="BF66" i="58"/>
  <c r="AW47" i="58"/>
  <c r="AV112" i="58"/>
  <c r="AV40" i="58"/>
  <c r="AV39" i="58"/>
  <c r="AW27" i="58"/>
  <c r="AV56" i="58"/>
  <c r="AW48" i="58"/>
  <c r="BA19" i="58"/>
  <c r="BA49" i="58"/>
  <c r="BA40" i="58"/>
  <c r="AW46" i="58"/>
  <c r="AV50" i="58"/>
  <c r="AV27" i="58"/>
  <c r="AW19" i="58"/>
  <c r="AV47" i="58"/>
  <c r="AV41" i="58"/>
  <c r="BA54" i="58"/>
  <c r="AW20" i="58"/>
  <c r="AW16" i="58"/>
  <c r="AV23" i="58"/>
  <c r="AW62" i="58"/>
  <c r="AW51" i="58"/>
  <c r="AV22" i="58"/>
  <c r="AW56" i="58"/>
  <c r="AH64" i="58"/>
  <c r="AI64" i="58"/>
  <c r="AM64" i="58" s="1"/>
  <c r="AQ64" i="58" s="1"/>
  <c r="AG5" i="58"/>
  <c r="AG4" i="58" s="1"/>
  <c r="AW117" i="58"/>
  <c r="AJ64" i="58"/>
  <c r="AN64" i="58" s="1"/>
  <c r="AR64" i="58" s="1"/>
  <c r="AK64" i="58"/>
  <c r="AO64" i="58" s="1"/>
  <c r="AS64" i="58" s="1"/>
  <c r="BH82" i="58"/>
  <c r="BF82" i="58"/>
  <c r="BH93" i="58"/>
  <c r="BH67" i="58"/>
  <c r="BH102" i="58"/>
  <c r="BF93" i="58"/>
  <c r="BF67" i="58"/>
  <c r="BF102" i="58"/>
  <c r="AU32" i="58"/>
  <c r="BC32" i="58" s="1"/>
  <c r="BF114" i="58"/>
  <c r="BH114" i="58"/>
  <c r="BF89" i="58"/>
  <c r="BH89" i="58"/>
  <c r="BF61" i="58"/>
  <c r="BH61" i="58"/>
  <c r="BF96" i="58"/>
  <c r="BH96" i="58"/>
  <c r="AW42" i="58"/>
  <c r="BA43" i="58"/>
  <c r="AV43" i="58"/>
  <c r="AD9" i="57"/>
  <c r="AY86" i="58" l="1"/>
  <c r="BF108" i="58"/>
  <c r="BN48" i="64"/>
  <c r="BT48" i="64" s="1"/>
  <c r="O47" i="82" s="1"/>
  <c r="BO48" i="64"/>
  <c r="BU48" i="64" s="1"/>
  <c r="P47" i="82" s="1"/>
  <c r="BM39" i="64"/>
  <c r="BS39" i="64" s="1"/>
  <c r="N38" i="82" s="1"/>
  <c r="BI106" i="58"/>
  <c r="BJ106" i="58"/>
  <c r="BD106" i="58"/>
  <c r="BH90" i="58"/>
  <c r="AW39" i="58"/>
  <c r="AY39" i="58"/>
  <c r="BB39" i="58" s="1"/>
  <c r="AT86" i="58"/>
  <c r="BD74" i="58"/>
  <c r="BE108" i="58"/>
  <c r="AY28" i="58"/>
  <c r="BB28" i="58" s="1"/>
  <c r="AP39" i="64"/>
  <c r="AQ44" i="64"/>
  <c r="AE39" i="64"/>
  <c r="BF90" i="58"/>
  <c r="AW33" i="58"/>
  <c r="AT33" i="58"/>
  <c r="BB33" i="58" s="1"/>
  <c r="AV86" i="58"/>
  <c r="BF74" i="58"/>
  <c r="BH74" i="58"/>
  <c r="AT24" i="58"/>
  <c r="BB24" i="58" s="1"/>
  <c r="BG24" i="58" s="1"/>
  <c r="BF97" i="58"/>
  <c r="BF91" i="58"/>
  <c r="BH97" i="58"/>
  <c r="AQ39" i="64"/>
  <c r="BG115" i="58"/>
  <c r="AF39" i="64"/>
  <c r="BE91" i="58"/>
  <c r="BI105" i="58"/>
  <c r="BF88" i="58"/>
  <c r="BD105" i="58"/>
  <c r="BG108" i="58"/>
  <c r="BG105" i="58"/>
  <c r="AW43" i="58"/>
  <c r="AW24" i="58"/>
  <c r="AW28" i="58"/>
  <c r="BG100" i="58"/>
  <c r="AU43" i="58"/>
  <c r="BC43" i="58" s="1"/>
  <c r="BE43" i="58" s="1"/>
  <c r="BJ105" i="58"/>
  <c r="AV85" i="58"/>
  <c r="AU78" i="58"/>
  <c r="BC78" i="58" s="1"/>
  <c r="BF113" i="58"/>
  <c r="AT29" i="58"/>
  <c r="BB29" i="58" s="1"/>
  <c r="BJ29" i="58" s="1"/>
  <c r="AU60" i="58"/>
  <c r="BC60" i="58" s="1"/>
  <c r="BE60" i="58" s="1"/>
  <c r="BG94" i="58"/>
  <c r="BD94" i="58"/>
  <c r="BJ94" i="58"/>
  <c r="BI94" i="58"/>
  <c r="BI48" i="64"/>
  <c r="AY31" i="58"/>
  <c r="BB31" i="58" s="1"/>
  <c r="BD31" i="58" s="1"/>
  <c r="BG48" i="64"/>
  <c r="AP48" i="64"/>
  <c r="AW25" i="58"/>
  <c r="AW31" i="58"/>
  <c r="BD115" i="58"/>
  <c r="AT69" i="58"/>
  <c r="BB69" i="58" s="1"/>
  <c r="AY25" i="58"/>
  <c r="AR39" i="64"/>
  <c r="AG39" i="64"/>
  <c r="AG48" i="64"/>
  <c r="AT116" i="58"/>
  <c r="BB116" i="58" s="1"/>
  <c r="AU79" i="58"/>
  <c r="BC79" i="58" s="1"/>
  <c r="AW29" i="58"/>
  <c r="BI115" i="58"/>
  <c r="AX116" i="58"/>
  <c r="AZ116" i="58" s="1"/>
  <c r="BA79" i="58"/>
  <c r="BH79" i="58" s="1"/>
  <c r="AY60" i="58"/>
  <c r="BB60" i="58" s="1"/>
  <c r="AV79" i="58"/>
  <c r="BI108" i="58"/>
  <c r="BF87" i="58"/>
  <c r="BJ108" i="58"/>
  <c r="BH88" i="58"/>
  <c r="BJ107" i="58"/>
  <c r="AV69" i="58"/>
  <c r="BD97" i="58"/>
  <c r="BH87" i="58"/>
  <c r="BI97" i="58"/>
  <c r="AT53" i="58"/>
  <c r="BB53" i="58" s="1"/>
  <c r="BJ83" i="58"/>
  <c r="BG83" i="58"/>
  <c r="BI83" i="58"/>
  <c r="BA53" i="58"/>
  <c r="BE53" i="58" s="1"/>
  <c r="BJ97" i="58"/>
  <c r="AX53" i="58"/>
  <c r="AZ53" i="58" s="1"/>
  <c r="BA78" i="58"/>
  <c r="AY55" i="58"/>
  <c r="BB55" i="58" s="1"/>
  <c r="AW53" i="58"/>
  <c r="AV53" i="58"/>
  <c r="BA44" i="58"/>
  <c r="BE44" i="58" s="1"/>
  <c r="AV44" i="58"/>
  <c r="AX44" i="58"/>
  <c r="AZ44" i="58" s="1"/>
  <c r="BH70" i="58"/>
  <c r="AW57" i="58"/>
  <c r="AX78" i="58"/>
  <c r="AZ78" i="58" s="1"/>
  <c r="AT57" i="58"/>
  <c r="BB57" i="58" s="1"/>
  <c r="BI57" i="58" s="1"/>
  <c r="AU55" i="58"/>
  <c r="BC55" i="58" s="1"/>
  <c r="BE55" i="58" s="1"/>
  <c r="BE70" i="58"/>
  <c r="BD118" i="58"/>
  <c r="BI85" i="58"/>
  <c r="BH86" i="58"/>
  <c r="BF86" i="58"/>
  <c r="BH69" i="58"/>
  <c r="BF69" i="58"/>
  <c r="AA17" i="64"/>
  <c r="AL17" i="64" s="1"/>
  <c r="BD17" i="64" s="1"/>
  <c r="AQ35" i="58"/>
  <c r="AU35" i="58" s="1"/>
  <c r="BC35" i="58" s="1"/>
  <c r="AT25" i="58"/>
  <c r="AY104" i="58"/>
  <c r="BB104" i="58" s="1"/>
  <c r="AY61" i="58"/>
  <c r="AX25" i="58"/>
  <c r="AZ25" i="58" s="1"/>
  <c r="AU104" i="58"/>
  <c r="BC104" i="58" s="1"/>
  <c r="BE104" i="58" s="1"/>
  <c r="AX59" i="58"/>
  <c r="AZ59" i="58" s="1"/>
  <c r="AX85" i="58"/>
  <c r="AZ85" i="58" s="1"/>
  <c r="BD85" i="58" s="1"/>
  <c r="AS34" i="58"/>
  <c r="AU34" i="58" s="1"/>
  <c r="BC34" i="58" s="1"/>
  <c r="BH115" i="58"/>
  <c r="AS15" i="58"/>
  <c r="AU15" i="58" s="1"/>
  <c r="BC15" i="58" s="1"/>
  <c r="AS13" i="58"/>
  <c r="AY13" i="58" s="1"/>
  <c r="BB13" i="58" s="1"/>
  <c r="AR10" i="58"/>
  <c r="AT10" i="58" s="1"/>
  <c r="AQ12" i="58"/>
  <c r="AX12" i="58" s="1"/>
  <c r="AZ12" i="58" s="1"/>
  <c r="BA59" i="58"/>
  <c r="AU59" i="58"/>
  <c r="BC59" i="58" s="1"/>
  <c r="AT61" i="58"/>
  <c r="BE115" i="58"/>
  <c r="BJ115" i="58"/>
  <c r="AQ37" i="58"/>
  <c r="AX37" i="58" s="1"/>
  <c r="AZ37" i="58" s="1"/>
  <c r="AR26" i="58"/>
  <c r="AY26" i="58" s="1"/>
  <c r="AE59" i="64"/>
  <c r="AF57" i="64"/>
  <c r="AF59" i="64"/>
  <c r="AQ59" i="64"/>
  <c r="AE25" i="64"/>
  <c r="AD17" i="64"/>
  <c r="AO17" i="64"/>
  <c r="AF18" i="64"/>
  <c r="AD59" i="64"/>
  <c r="AF8" i="64"/>
  <c r="AE44" i="64"/>
  <c r="AP44" i="64"/>
  <c r="AD56" i="64"/>
  <c r="AD45" i="64"/>
  <c r="AO45" i="64"/>
  <c r="AF17" i="64"/>
  <c r="AE45" i="64"/>
  <c r="AP45" i="64"/>
  <c r="AD18" i="64"/>
  <c r="AF58" i="64"/>
  <c r="AF51" i="64"/>
  <c r="AF10" i="64"/>
  <c r="AQ10" i="64"/>
  <c r="AD51" i="64"/>
  <c r="AD58" i="64"/>
  <c r="AO58" i="64"/>
  <c r="AF21" i="64"/>
  <c r="AF45" i="64"/>
  <c r="AQ45" i="64"/>
  <c r="AE9" i="64"/>
  <c r="AD22" i="64"/>
  <c r="AD60" i="64"/>
  <c r="AF12" i="64"/>
  <c r="AE18" i="64"/>
  <c r="AD9" i="64"/>
  <c r="AO9" i="64"/>
  <c r="AD57" i="64"/>
  <c r="AE12" i="64"/>
  <c r="AE21" i="64"/>
  <c r="AD12" i="64"/>
  <c r="AF44" i="64"/>
  <c r="AF25" i="64"/>
  <c r="AE58" i="64"/>
  <c r="AE51" i="64"/>
  <c r="AP51" i="64"/>
  <c r="AE10" i="64"/>
  <c r="AE57" i="64"/>
  <c r="AP57" i="64"/>
  <c r="AE56" i="64"/>
  <c r="AD10" i="64"/>
  <c r="AO10" i="64"/>
  <c r="AF60" i="64"/>
  <c r="AF56" i="64"/>
  <c r="AQ56" i="64"/>
  <c r="AF22" i="64"/>
  <c r="AD25" i="64"/>
  <c r="AD21" i="64"/>
  <c r="AF9" i="64"/>
  <c r="AQ9" i="64"/>
  <c r="AD8" i="64"/>
  <c r="AO8" i="64"/>
  <c r="AD44" i="64"/>
  <c r="AO44" i="64"/>
  <c r="AO60" i="64"/>
  <c r="BJ118" i="58"/>
  <c r="AQ60" i="64"/>
  <c r="Z15" i="64"/>
  <c r="AK15" i="64" s="1"/>
  <c r="BC15" i="64" s="1"/>
  <c r="AB30" i="64"/>
  <c r="AM30" i="64" s="1"/>
  <c r="BE30" i="64" s="1"/>
  <c r="Z55" i="64"/>
  <c r="AK55" i="64" s="1"/>
  <c r="BC55" i="64" s="1"/>
  <c r="Z19" i="64"/>
  <c r="AK19" i="64" s="1"/>
  <c r="BC19" i="64" s="1"/>
  <c r="Z52" i="64"/>
  <c r="AK52" i="64" s="1"/>
  <c r="BC52" i="64" s="1"/>
  <c r="Z30" i="64"/>
  <c r="AK30" i="64" s="1"/>
  <c r="BC30" i="64" s="1"/>
  <c r="AA46" i="64"/>
  <c r="AL46" i="64" s="1"/>
  <c r="BD46" i="64" s="1"/>
  <c r="AA54" i="64"/>
  <c r="AL54" i="64" s="1"/>
  <c r="BD54" i="64" s="1"/>
  <c r="AA31" i="64"/>
  <c r="AL31" i="64" s="1"/>
  <c r="BD31" i="64" s="1"/>
  <c r="AA8" i="64"/>
  <c r="AL8" i="64" s="1"/>
  <c r="BD8" i="64" s="1"/>
  <c r="AB23" i="64"/>
  <c r="AM23" i="64" s="1"/>
  <c r="BE23" i="64" s="1"/>
  <c r="AA16" i="64"/>
  <c r="AL16" i="64" s="1"/>
  <c r="BD16" i="64" s="1"/>
  <c r="AA50" i="64"/>
  <c r="AL50" i="64" s="1"/>
  <c r="BD50" i="64" s="1"/>
  <c r="AA43" i="64"/>
  <c r="AL43" i="64" s="1"/>
  <c r="BD43" i="64" s="1"/>
  <c r="AA32" i="64"/>
  <c r="AL32" i="64" s="1"/>
  <c r="BD32" i="64" s="1"/>
  <c r="AA30" i="64"/>
  <c r="AL30" i="64" s="1"/>
  <c r="BD30" i="64" s="1"/>
  <c r="AB15" i="64"/>
  <c r="AM15" i="64" s="1"/>
  <c r="BE15" i="64" s="1"/>
  <c r="AB20" i="64"/>
  <c r="AM20" i="64" s="1"/>
  <c r="BE20" i="64" s="1"/>
  <c r="AB32" i="64"/>
  <c r="AM32" i="64" s="1"/>
  <c r="BE32" i="64" s="1"/>
  <c r="AP18" i="64"/>
  <c r="AQ21" i="64"/>
  <c r="AO56" i="64"/>
  <c r="AB24" i="64"/>
  <c r="AM24" i="64" s="1"/>
  <c r="BE24" i="64" s="1"/>
  <c r="Z28" i="64"/>
  <c r="AK28" i="64" s="1"/>
  <c r="BC28" i="64" s="1"/>
  <c r="Z16" i="64"/>
  <c r="AK16" i="64" s="1"/>
  <c r="BC16" i="64" s="1"/>
  <c r="BD102" i="58"/>
  <c r="AC58" i="64"/>
  <c r="AN58" i="64" s="1"/>
  <c r="BF58" i="64" s="1"/>
  <c r="BI65" i="58"/>
  <c r="AC8" i="64"/>
  <c r="AN8" i="64" s="1"/>
  <c r="BF8" i="64" s="1"/>
  <c r="AB55" i="64"/>
  <c r="AM55" i="64" s="1"/>
  <c r="BE55" i="64" s="1"/>
  <c r="AA35" i="64"/>
  <c r="AL35" i="64" s="1"/>
  <c r="BD35" i="64" s="1"/>
  <c r="BI95" i="58"/>
  <c r="AQ17" i="64"/>
  <c r="AQ51" i="64"/>
  <c r="Z43" i="64"/>
  <c r="AK43" i="64" s="1"/>
  <c r="BC43" i="64" s="1"/>
  <c r="Z36" i="64"/>
  <c r="AK36" i="64" s="1"/>
  <c r="BC36" i="64" s="1"/>
  <c r="Z31" i="64"/>
  <c r="AK31" i="64" s="1"/>
  <c r="BC31" i="64" s="1"/>
  <c r="Z23" i="64"/>
  <c r="AK23" i="64" s="1"/>
  <c r="BC23" i="64" s="1"/>
  <c r="Z20" i="64"/>
  <c r="AK20" i="64" s="1"/>
  <c r="BC20" i="64" s="1"/>
  <c r="Z42" i="64"/>
  <c r="AK42" i="64" s="1"/>
  <c r="BC42" i="64" s="1"/>
  <c r="AA41" i="64"/>
  <c r="AL41" i="64" s="1"/>
  <c r="BD41" i="64" s="1"/>
  <c r="AC18" i="64"/>
  <c r="AN18" i="64" s="1"/>
  <c r="BF18" i="64" s="1"/>
  <c r="AA15" i="64"/>
  <c r="AL15" i="64" s="1"/>
  <c r="BD15" i="64" s="1"/>
  <c r="AB31" i="64"/>
  <c r="AM31" i="64" s="1"/>
  <c r="BE31" i="64" s="1"/>
  <c r="AB16" i="64"/>
  <c r="AM16" i="64" s="1"/>
  <c r="BE16" i="64" s="1"/>
  <c r="AA53" i="64"/>
  <c r="AL53" i="64" s="1"/>
  <c r="BD53" i="64" s="1"/>
  <c r="BG67" i="58"/>
  <c r="AC10" i="64"/>
  <c r="AN10" i="64" s="1"/>
  <c r="BF10" i="64" s="1"/>
  <c r="AC56" i="64"/>
  <c r="AN56" i="64" s="1"/>
  <c r="BF56" i="64" s="1"/>
  <c r="AA42" i="64"/>
  <c r="AL42" i="64" s="1"/>
  <c r="BD42" i="64" s="1"/>
  <c r="AA55" i="64"/>
  <c r="AL55" i="64" s="1"/>
  <c r="BD55" i="64" s="1"/>
  <c r="AA29" i="64"/>
  <c r="AL29" i="64" s="1"/>
  <c r="BD29" i="64" s="1"/>
  <c r="AA19" i="64"/>
  <c r="AL19" i="64" s="1"/>
  <c r="BD19" i="64" s="1"/>
  <c r="AA20" i="64"/>
  <c r="AL20" i="64" s="1"/>
  <c r="BD20" i="64" s="1"/>
  <c r="BI81" i="58"/>
  <c r="AC44" i="64"/>
  <c r="AN44" i="64" s="1"/>
  <c r="BF44" i="64" s="1"/>
  <c r="AC59" i="64"/>
  <c r="AN59" i="64" s="1"/>
  <c r="BF59" i="64" s="1"/>
  <c r="BI111" i="58"/>
  <c r="AC60" i="64"/>
  <c r="AN60" i="64" s="1"/>
  <c r="BF60" i="64" s="1"/>
  <c r="AB29" i="64"/>
  <c r="AM29" i="64" s="1"/>
  <c r="BE29" i="64" s="1"/>
  <c r="AB19" i="64"/>
  <c r="AM19" i="64" s="1"/>
  <c r="BE19" i="64" s="1"/>
  <c r="AB54" i="64"/>
  <c r="AM54" i="64" s="1"/>
  <c r="BE54" i="64" s="1"/>
  <c r="AQ57" i="64"/>
  <c r="AO57" i="64"/>
  <c r="AP12" i="64"/>
  <c r="AP25" i="64"/>
  <c r="AP21" i="64"/>
  <c r="AQ18" i="64"/>
  <c r="AP58" i="64"/>
  <c r="Z29" i="64"/>
  <c r="AK29" i="64" s="1"/>
  <c r="BC29" i="64" s="1"/>
  <c r="Z26" i="64"/>
  <c r="AK26" i="64" s="1"/>
  <c r="BC26" i="64" s="1"/>
  <c r="Z47" i="64"/>
  <c r="AK47" i="64" s="1"/>
  <c r="BC47" i="64" s="1"/>
  <c r="AB53" i="64"/>
  <c r="AM53" i="64" s="1"/>
  <c r="BE53" i="64" s="1"/>
  <c r="BJ68" i="58"/>
  <c r="AC12" i="64"/>
  <c r="AN12" i="64" s="1"/>
  <c r="BF12" i="64" s="1"/>
  <c r="AA47" i="64"/>
  <c r="AL47" i="64" s="1"/>
  <c r="BD47" i="64" s="1"/>
  <c r="AB50" i="64"/>
  <c r="AM50" i="64" s="1"/>
  <c r="BE50" i="64" s="1"/>
  <c r="Z61" i="64"/>
  <c r="AK61" i="64" s="1"/>
  <c r="AA61" i="64"/>
  <c r="AL61" i="64" s="1"/>
  <c r="AA37" i="64"/>
  <c r="AL37" i="64" s="1"/>
  <c r="BD37" i="64" s="1"/>
  <c r="AQ58" i="64"/>
  <c r="AQ22" i="64"/>
  <c r="AO51" i="64"/>
  <c r="Z53" i="64"/>
  <c r="AK53" i="64" s="1"/>
  <c r="BC53" i="64" s="1"/>
  <c r="Z37" i="64"/>
  <c r="AK37" i="64" s="1"/>
  <c r="BC37" i="64" s="1"/>
  <c r="Z35" i="64"/>
  <c r="AK35" i="64" s="1"/>
  <c r="BC35" i="64" s="1"/>
  <c r="Z32" i="64"/>
  <c r="AK32" i="64" s="1"/>
  <c r="BC32" i="64" s="1"/>
  <c r="Z54" i="64"/>
  <c r="AK54" i="64" s="1"/>
  <c r="BC54" i="64" s="1"/>
  <c r="Z50" i="64"/>
  <c r="AK50" i="64" s="1"/>
  <c r="BC50" i="64" s="1"/>
  <c r="Z24" i="64"/>
  <c r="AK24" i="64" s="1"/>
  <c r="BC24" i="64" s="1"/>
  <c r="AB42" i="64"/>
  <c r="AM42" i="64" s="1"/>
  <c r="BE42" i="64" s="1"/>
  <c r="BD75" i="58"/>
  <c r="AC25" i="64"/>
  <c r="AN25" i="64" s="1"/>
  <c r="BF25" i="64" s="1"/>
  <c r="AB35" i="64"/>
  <c r="AM35" i="64" s="1"/>
  <c r="BE35" i="64" s="1"/>
  <c r="AB61" i="64"/>
  <c r="AM61" i="64" s="1"/>
  <c r="AA28" i="64"/>
  <c r="AL28" i="64" s="1"/>
  <c r="BD28" i="64" s="1"/>
  <c r="AC45" i="64"/>
  <c r="AN45" i="64" s="1"/>
  <c r="BF45" i="64" s="1"/>
  <c r="AB28" i="64"/>
  <c r="AM28" i="64" s="1"/>
  <c r="BE28" i="64" s="1"/>
  <c r="AA23" i="64"/>
  <c r="AL23" i="64" s="1"/>
  <c r="BD23" i="64" s="1"/>
  <c r="AA36" i="64"/>
  <c r="AL36" i="64" s="1"/>
  <c r="BD36" i="64" s="1"/>
  <c r="BD72" i="58"/>
  <c r="AC21" i="64"/>
  <c r="AN21" i="64" s="1"/>
  <c r="BF21" i="64" s="1"/>
  <c r="AA60" i="64"/>
  <c r="AL60" i="64" s="1"/>
  <c r="BD60" i="64" s="1"/>
  <c r="AB36" i="64"/>
  <c r="AM36" i="64" s="1"/>
  <c r="BE36" i="64" s="1"/>
  <c r="AC57" i="64"/>
  <c r="AN57" i="64" s="1"/>
  <c r="BF57" i="64" s="1"/>
  <c r="AB47" i="64"/>
  <c r="AM47" i="64" s="1"/>
  <c r="BE47" i="64" s="1"/>
  <c r="AB37" i="64"/>
  <c r="AM37" i="64" s="1"/>
  <c r="BE37" i="64" s="1"/>
  <c r="AP56" i="64"/>
  <c r="AO18" i="64"/>
  <c r="AQ8" i="64"/>
  <c r="AP9" i="64"/>
  <c r="AP10" i="64"/>
  <c r="BI118" i="58"/>
  <c r="BG88" i="58"/>
  <c r="BJ88" i="58"/>
  <c r="BD88" i="58"/>
  <c r="BJ70" i="58"/>
  <c r="BG70" i="58"/>
  <c r="BI70" i="58"/>
  <c r="BD113" i="58"/>
  <c r="BJ113" i="58"/>
  <c r="BG113" i="58"/>
  <c r="BH117" i="58"/>
  <c r="BB44" i="58"/>
  <c r="BI44" i="58" s="1"/>
  <c r="BB79" i="58"/>
  <c r="BD79" i="58" s="1"/>
  <c r="BB93" i="58"/>
  <c r="AW17" i="58"/>
  <c r="AY17" i="58"/>
  <c r="AT12" i="58"/>
  <c r="AY12" i="58"/>
  <c r="AT18" i="58"/>
  <c r="AY18" i="58"/>
  <c r="AT41" i="58"/>
  <c r="AY41" i="58"/>
  <c r="AT35" i="58"/>
  <c r="AY35" i="58"/>
  <c r="AY110" i="58"/>
  <c r="AY54" i="58"/>
  <c r="BB54" i="58" s="1"/>
  <c r="AY38" i="58"/>
  <c r="BB38" i="58" s="1"/>
  <c r="AY32" i="58"/>
  <c r="AY40" i="58"/>
  <c r="BB40" i="58" s="1"/>
  <c r="BB117" i="58"/>
  <c r="BD117" i="58" s="1"/>
  <c r="BI100" i="58"/>
  <c r="BH45" i="58"/>
  <c r="BB45" i="58"/>
  <c r="BJ45" i="58" s="1"/>
  <c r="BB66" i="58"/>
  <c r="AW35" i="58"/>
  <c r="AX48" i="58"/>
  <c r="AZ48" i="58" s="1"/>
  <c r="BB42" i="58"/>
  <c r="BD42" i="58" s="1"/>
  <c r="BF55" i="58"/>
  <c r="BB63" i="58"/>
  <c r="BG63" i="58" s="1"/>
  <c r="BI101" i="58"/>
  <c r="BG85" i="58"/>
  <c r="BJ114" i="58"/>
  <c r="BJ98" i="58"/>
  <c r="BJ100" i="58"/>
  <c r="BD100" i="58"/>
  <c r="BF117" i="58"/>
  <c r="BF45" i="58"/>
  <c r="BJ101" i="58"/>
  <c r="BD101" i="58"/>
  <c r="BE117" i="58"/>
  <c r="BE45" i="58"/>
  <c r="BG101" i="58"/>
  <c r="AT110" i="58"/>
  <c r="AW110" i="58"/>
  <c r="AU110" i="58"/>
  <c r="BC110" i="58" s="1"/>
  <c r="BA110" i="58"/>
  <c r="AX110" i="58"/>
  <c r="AZ110" i="58" s="1"/>
  <c r="AV110" i="58"/>
  <c r="BJ67" i="58"/>
  <c r="BD87" i="58"/>
  <c r="BJ87" i="58"/>
  <c r="BG87" i="58"/>
  <c r="BJ90" i="58"/>
  <c r="BJ81" i="58"/>
  <c r="BJ71" i="58"/>
  <c r="BD67" i="58"/>
  <c r="BI67" i="58"/>
  <c r="BJ89" i="58"/>
  <c r="BJ82" i="58"/>
  <c r="BD107" i="58"/>
  <c r="BI107" i="58"/>
  <c r="BH55" i="58"/>
  <c r="BI82" i="58"/>
  <c r="BG102" i="58"/>
  <c r="BG75" i="58"/>
  <c r="BG72" i="58"/>
  <c r="BB78" i="58"/>
  <c r="BD58" i="58"/>
  <c r="BI58" i="58"/>
  <c r="BI96" i="58"/>
  <c r="BH28" i="58"/>
  <c r="BG103" i="58"/>
  <c r="BJ103" i="58"/>
  <c r="BH57" i="58"/>
  <c r="BI89" i="58"/>
  <c r="AT14" i="58"/>
  <c r="BG58" i="58"/>
  <c r="BI114" i="58"/>
  <c r="BJ102" i="58"/>
  <c r="BI102" i="58"/>
  <c r="BG114" i="58"/>
  <c r="BJ75" i="58"/>
  <c r="BG65" i="58"/>
  <c r="BD82" i="58"/>
  <c r="BG82" i="58"/>
  <c r="BJ95" i="58"/>
  <c r="BD96" i="58"/>
  <c r="BG96" i="58"/>
  <c r="BJ72" i="58"/>
  <c r="BG89" i="58"/>
  <c r="BI72" i="58"/>
  <c r="BD99" i="58"/>
  <c r="BG71" i="58"/>
  <c r="BE42" i="58"/>
  <c r="BG81" i="58"/>
  <c r="BH15" i="58"/>
  <c r="BD71" i="58"/>
  <c r="BI71" i="58"/>
  <c r="BD95" i="58"/>
  <c r="BB43" i="58"/>
  <c r="BD98" i="58"/>
  <c r="BI98" i="58"/>
  <c r="BJ111" i="58"/>
  <c r="BF57" i="58"/>
  <c r="BG98" i="58"/>
  <c r="BD103" i="58"/>
  <c r="BI99" i="58"/>
  <c r="BD81" i="58"/>
  <c r="BF42" i="58"/>
  <c r="BD111" i="58"/>
  <c r="AW22" i="58"/>
  <c r="BI103" i="58"/>
  <c r="BH111" i="58"/>
  <c r="BI68" i="58"/>
  <c r="BG111" i="58"/>
  <c r="BI75" i="58"/>
  <c r="BG119" i="58"/>
  <c r="BD119" i="58"/>
  <c r="BE58" i="58"/>
  <c r="BI74" i="58"/>
  <c r="BJ119" i="58"/>
  <c r="BB59" i="58"/>
  <c r="AT37" i="58"/>
  <c r="BB62" i="58"/>
  <c r="BH58" i="58"/>
  <c r="AU52" i="58"/>
  <c r="BC52" i="58" s="1"/>
  <c r="BB36" i="58"/>
  <c r="AU40" i="58"/>
  <c r="BC40" i="58" s="1"/>
  <c r="BG95" i="58"/>
  <c r="AX34" i="58"/>
  <c r="AZ34" i="58" s="1"/>
  <c r="AT34" i="58"/>
  <c r="AU51" i="58"/>
  <c r="BC51" i="58" s="1"/>
  <c r="AV32" i="58"/>
  <c r="AT32" i="58"/>
  <c r="AX32" i="58"/>
  <c r="AZ32" i="58" s="1"/>
  <c r="BH112" i="58"/>
  <c r="BF112" i="58"/>
  <c r="BJ91" i="58"/>
  <c r="BD91" i="58"/>
  <c r="BG91" i="58"/>
  <c r="BJ73" i="58"/>
  <c r="BG73" i="58"/>
  <c r="BD73" i="58"/>
  <c r="BI73" i="58"/>
  <c r="AV33" i="58"/>
  <c r="AU33" i="58"/>
  <c r="BC33" i="58" s="1"/>
  <c r="BF58" i="58"/>
  <c r="BJ58" i="58"/>
  <c r="BJ74" i="58"/>
  <c r="BA10" i="58"/>
  <c r="AU10" i="58"/>
  <c r="BC10" i="58" s="1"/>
  <c r="BG68" i="58"/>
  <c r="AU16" i="58"/>
  <c r="BC16" i="58" s="1"/>
  <c r="BA46" i="58"/>
  <c r="AU46" i="58"/>
  <c r="BC46" i="58" s="1"/>
  <c r="BE112" i="58"/>
  <c r="BB23" i="58"/>
  <c r="BB30" i="58"/>
  <c r="AT22" i="58"/>
  <c r="BD68" i="58"/>
  <c r="BI119" i="58"/>
  <c r="BG99" i="58"/>
  <c r="BD90" i="58"/>
  <c r="BG74" i="58"/>
  <c r="BF111" i="58"/>
  <c r="AU36" i="58"/>
  <c r="BC36" i="58" s="1"/>
  <c r="BG84" i="58"/>
  <c r="BJ84" i="58"/>
  <c r="BI84" i="58"/>
  <c r="AX10" i="58"/>
  <c r="AZ10" i="58" s="1"/>
  <c r="BB51" i="58"/>
  <c r="AT17" i="58"/>
  <c r="AX16" i="58"/>
  <c r="AZ16" i="58" s="1"/>
  <c r="BB49" i="58"/>
  <c r="BE57" i="58"/>
  <c r="BB20" i="58"/>
  <c r="BB50" i="58"/>
  <c r="BJ109" i="58"/>
  <c r="BI109" i="58"/>
  <c r="BG109" i="58"/>
  <c r="BD109" i="58"/>
  <c r="AT15" i="58"/>
  <c r="BB27" i="58"/>
  <c r="BB21" i="58"/>
  <c r="BG90" i="58"/>
  <c r="AT52" i="58"/>
  <c r="AX52" i="58"/>
  <c r="AZ52" i="58" s="1"/>
  <c r="BI91" i="58"/>
  <c r="BB47" i="58"/>
  <c r="BB48" i="58"/>
  <c r="BB56" i="58"/>
  <c r="AX51" i="58"/>
  <c r="AZ51" i="58" s="1"/>
  <c r="BG80" i="58"/>
  <c r="BI80" i="58"/>
  <c r="BD80" i="58"/>
  <c r="BB16" i="58"/>
  <c r="AX33" i="58"/>
  <c r="AZ33" i="58" s="1"/>
  <c r="BB112" i="58"/>
  <c r="BB19" i="58"/>
  <c r="BB46" i="58"/>
  <c r="AX13" i="58"/>
  <c r="AZ13" i="58" s="1"/>
  <c r="BF60" i="58"/>
  <c r="AV36" i="58"/>
  <c r="BA36" i="58"/>
  <c r="BH60" i="58"/>
  <c r="BF24" i="58"/>
  <c r="AW41" i="58"/>
  <c r="BD65" i="58"/>
  <c r="BF65" i="58"/>
  <c r="BH42" i="58"/>
  <c r="AV10" i="58"/>
  <c r="AV46" i="58"/>
  <c r="BH65" i="58"/>
  <c r="AW52" i="58"/>
  <c r="BF29" i="58"/>
  <c r="AW38" i="58"/>
  <c r="BJ65" i="58"/>
  <c r="AV16" i="58"/>
  <c r="AV51" i="58"/>
  <c r="BA16" i="58"/>
  <c r="BA51" i="58"/>
  <c r="AV52" i="58"/>
  <c r="BH31" i="58"/>
  <c r="BA11" i="58"/>
  <c r="AW18" i="58"/>
  <c r="BF63" i="58"/>
  <c r="BH47" i="58"/>
  <c r="BH29" i="58"/>
  <c r="AW37" i="58"/>
  <c r="BF18" i="58"/>
  <c r="AW54" i="58"/>
  <c r="BF47" i="58"/>
  <c r="BF31" i="58"/>
  <c r="BH20" i="58"/>
  <c r="BE56" i="58"/>
  <c r="BA13" i="58"/>
  <c r="AV13" i="58"/>
  <c r="BE20" i="58"/>
  <c r="BH27" i="58"/>
  <c r="BE21" i="58"/>
  <c r="BF30" i="58"/>
  <c r="BH18" i="58"/>
  <c r="BH30" i="58"/>
  <c r="BH26" i="58"/>
  <c r="BF20" i="58"/>
  <c r="BH22" i="58"/>
  <c r="BE30" i="58"/>
  <c r="BE22" i="58"/>
  <c r="BH23" i="58"/>
  <c r="BH62" i="58"/>
  <c r="BH21" i="58"/>
  <c r="BE38" i="58"/>
  <c r="BH56" i="58"/>
  <c r="BE39" i="58"/>
  <c r="BE41" i="58"/>
  <c r="BE18" i="58"/>
  <c r="BE26" i="58"/>
  <c r="BF23" i="58"/>
  <c r="BF21" i="58"/>
  <c r="BF56" i="58"/>
  <c r="BF15" i="58"/>
  <c r="BE62" i="58"/>
  <c r="BF17" i="58"/>
  <c r="BE27" i="58"/>
  <c r="BF50" i="58"/>
  <c r="BE23" i="58"/>
  <c r="BF27" i="58"/>
  <c r="BH17" i="58"/>
  <c r="BF62" i="58"/>
  <c r="BF22" i="58"/>
  <c r="BH38" i="58"/>
  <c r="BE47" i="58"/>
  <c r="BF38" i="58"/>
  <c r="BE50" i="58"/>
  <c r="BH50" i="58"/>
  <c r="BH41" i="58"/>
  <c r="BF41" i="58"/>
  <c r="BF26" i="58"/>
  <c r="BE17" i="58"/>
  <c r="AW32" i="58"/>
  <c r="BE19" i="58"/>
  <c r="BF54" i="58"/>
  <c r="BF19" i="58"/>
  <c r="BH54" i="58"/>
  <c r="BH39" i="58"/>
  <c r="BE54" i="58"/>
  <c r="BF39" i="58"/>
  <c r="BH19" i="58"/>
  <c r="AW12" i="58"/>
  <c r="AU14" i="58"/>
  <c r="BC14" i="58" s="1"/>
  <c r="BH49" i="58"/>
  <c r="AV34" i="58"/>
  <c r="BE49" i="58"/>
  <c r="BF40" i="58"/>
  <c r="BF49" i="58"/>
  <c r="BH40" i="58"/>
  <c r="AL64" i="58"/>
  <c r="AP64" i="58" s="1"/>
  <c r="AK5" i="58"/>
  <c r="AK4" i="58" s="1"/>
  <c r="BA14" i="58"/>
  <c r="BF43" i="58"/>
  <c r="BH43" i="58"/>
  <c r="BA33" i="58"/>
  <c r="BB86" i="58" l="1"/>
  <c r="BD86" i="58" s="1"/>
  <c r="BB61" i="58"/>
  <c r="BJ61" i="58" s="1"/>
  <c r="AW34" i="58"/>
  <c r="BM45" i="64"/>
  <c r="BS45" i="64" s="1"/>
  <c r="N44" i="82" s="1"/>
  <c r="BP39" i="64"/>
  <c r="BV39" i="64" s="1"/>
  <c r="Q38" i="82" s="1"/>
  <c r="BO8" i="64"/>
  <c r="BU8" i="64" s="1"/>
  <c r="P7" i="82" s="1"/>
  <c r="BO10" i="64"/>
  <c r="BU10" i="64" s="1"/>
  <c r="P9" i="82" s="1"/>
  <c r="BO58" i="64"/>
  <c r="BU58" i="64" s="1"/>
  <c r="P57" i="82" s="1"/>
  <c r="BN56" i="64"/>
  <c r="BT56" i="64" s="1"/>
  <c r="O55" i="82" s="1"/>
  <c r="BM8" i="64"/>
  <c r="BS8" i="64" s="1"/>
  <c r="N7" i="82" s="1"/>
  <c r="BM58" i="64"/>
  <c r="BS58" i="64" s="1"/>
  <c r="N57" i="82" s="1"/>
  <c r="BN25" i="64"/>
  <c r="BT25" i="64" s="1"/>
  <c r="O24" i="82" s="1"/>
  <c r="BO57" i="64"/>
  <c r="BU57" i="64" s="1"/>
  <c r="P56" i="82" s="1"/>
  <c r="BN18" i="64"/>
  <c r="BT18" i="64" s="1"/>
  <c r="O17" i="82" s="1"/>
  <c r="BO39" i="64"/>
  <c r="BU39" i="64" s="1"/>
  <c r="P38" i="82" s="1"/>
  <c r="BN51" i="64"/>
  <c r="BT51" i="64" s="1"/>
  <c r="O50" i="82" s="1"/>
  <c r="BO25" i="64"/>
  <c r="BU25" i="64" s="1"/>
  <c r="P24" i="82" s="1"/>
  <c r="BO18" i="64"/>
  <c r="BU18" i="64" s="1"/>
  <c r="P17" i="82" s="1"/>
  <c r="BO22" i="64"/>
  <c r="BU22" i="64" s="1"/>
  <c r="P21" i="82" s="1"/>
  <c r="BM18" i="64"/>
  <c r="BS18" i="64" s="1"/>
  <c r="N17" i="82" s="1"/>
  <c r="BN9" i="64"/>
  <c r="BT9" i="64" s="1"/>
  <c r="O8" i="82" s="1"/>
  <c r="BM21" i="64"/>
  <c r="BS21" i="64" s="1"/>
  <c r="N20" i="82" s="1"/>
  <c r="BN21" i="64"/>
  <c r="BT21" i="64" s="1"/>
  <c r="O20" i="82" s="1"/>
  <c r="BM57" i="64"/>
  <c r="BS57" i="64" s="1"/>
  <c r="N56" i="82" s="1"/>
  <c r="BN57" i="64"/>
  <c r="BT57" i="64" s="1"/>
  <c r="O56" i="82" s="1"/>
  <c r="BN44" i="64"/>
  <c r="E8" i="101" s="1"/>
  <c r="BM44" i="64"/>
  <c r="D8" i="101" s="1"/>
  <c r="BM60" i="64"/>
  <c r="BS60" i="64" s="1"/>
  <c r="N59" i="82" s="1"/>
  <c r="BP48" i="64"/>
  <c r="BV48" i="64" s="1"/>
  <c r="Q47" i="82" s="1"/>
  <c r="BO60" i="64"/>
  <c r="BU60" i="64" s="1"/>
  <c r="P59" i="82" s="1"/>
  <c r="BM56" i="64"/>
  <c r="BS56" i="64" s="1"/>
  <c r="N55" i="82" s="1"/>
  <c r="BM51" i="64"/>
  <c r="BS51" i="64" s="1"/>
  <c r="N50" i="82" s="1"/>
  <c r="BO51" i="64"/>
  <c r="BU51" i="64" s="1"/>
  <c r="P50" i="82" s="1"/>
  <c r="BM10" i="64"/>
  <c r="BS10" i="64" s="1"/>
  <c r="N9" i="82" s="1"/>
  <c r="BO12" i="64"/>
  <c r="BU12" i="64" s="1"/>
  <c r="P11" i="82" s="1"/>
  <c r="BO9" i="64"/>
  <c r="BU9" i="64" s="1"/>
  <c r="P8" i="82" s="1"/>
  <c r="BM17" i="64"/>
  <c r="BS17" i="64" s="1"/>
  <c r="N16" i="82" s="1"/>
  <c r="BO59" i="64"/>
  <c r="BU59" i="64" s="1"/>
  <c r="P58" i="82" s="1"/>
  <c r="BM9" i="64"/>
  <c r="BS9" i="64" s="1"/>
  <c r="N8" i="82" s="1"/>
  <c r="BO17" i="64"/>
  <c r="BU17" i="64" s="1"/>
  <c r="P16" i="82" s="1"/>
  <c r="BN10" i="64"/>
  <c r="BT10" i="64" s="1"/>
  <c r="O9" i="82" s="1"/>
  <c r="BN58" i="64"/>
  <c r="BT58" i="64" s="1"/>
  <c r="O57" i="82" s="1"/>
  <c r="BM59" i="64"/>
  <c r="BS59" i="64" s="1"/>
  <c r="N58" i="82" s="1"/>
  <c r="BM25" i="64"/>
  <c r="BS25" i="64" s="1"/>
  <c r="N24" i="82" s="1"/>
  <c r="BO56" i="64"/>
  <c r="BU56" i="64" s="1"/>
  <c r="P55" i="82" s="1"/>
  <c r="BM22" i="64"/>
  <c r="BS22" i="64" s="1"/>
  <c r="N21" i="82" s="1"/>
  <c r="BO21" i="64"/>
  <c r="BU21" i="64" s="1"/>
  <c r="P20" i="82" s="1"/>
  <c r="BM12" i="64"/>
  <c r="BS12" i="64" s="1"/>
  <c r="N11" i="82" s="1"/>
  <c r="BN12" i="64"/>
  <c r="BT12" i="64" s="1"/>
  <c r="O11" i="82" s="1"/>
  <c r="BN59" i="64"/>
  <c r="BT59" i="64" s="1"/>
  <c r="O58" i="82" s="1"/>
  <c r="BO45" i="64"/>
  <c r="BU45" i="64" s="1"/>
  <c r="P44" i="82" s="1"/>
  <c r="BN45" i="64"/>
  <c r="BT45" i="64" s="1"/>
  <c r="O44" i="82" s="1"/>
  <c r="AV12" i="58"/>
  <c r="AU12" i="58"/>
  <c r="BC12" i="58" s="1"/>
  <c r="BA12" i="58"/>
  <c r="BH12" i="58" s="1"/>
  <c r="AW13" i="58"/>
  <c r="BI43" i="58"/>
  <c r="BD59" i="58"/>
  <c r="AP17" i="64"/>
  <c r="BH44" i="58"/>
  <c r="BJ85" i="58"/>
  <c r="BJ39" i="64"/>
  <c r="AV35" i="58"/>
  <c r="BF79" i="58"/>
  <c r="AX35" i="58"/>
  <c r="AZ35" i="58" s="1"/>
  <c r="BA35" i="58"/>
  <c r="BE35" i="58" s="1"/>
  <c r="BG60" i="58"/>
  <c r="BI39" i="64"/>
  <c r="BH116" i="58"/>
  <c r="BD116" i="58"/>
  <c r="AB40" i="64"/>
  <c r="AM40" i="64" s="1"/>
  <c r="BE40" i="64" s="1"/>
  <c r="BJ116" i="58"/>
  <c r="AA22" i="64"/>
  <c r="AL22" i="64" s="1"/>
  <c r="BB25" i="58"/>
  <c r="BD25" i="58" s="1"/>
  <c r="AW15" i="58"/>
  <c r="AY15" i="58"/>
  <c r="BB15" i="58" s="1"/>
  <c r="BJ15" i="58" s="1"/>
  <c r="AA40" i="64"/>
  <c r="AL40" i="64" s="1"/>
  <c r="BD40" i="64" s="1"/>
  <c r="AW10" i="58"/>
  <c r="BF53" i="58"/>
  <c r="BF44" i="58"/>
  <c r="BH78" i="58"/>
  <c r="BI55" i="58"/>
  <c r="Z40" i="64"/>
  <c r="AK40" i="64" s="1"/>
  <c r="BC40" i="64" s="1"/>
  <c r="BH48" i="64"/>
  <c r="BH53" i="58"/>
  <c r="BG116" i="58"/>
  <c r="BE78" i="58"/>
  <c r="AC22" i="64"/>
  <c r="AN22" i="64" s="1"/>
  <c r="BF22" i="64" s="1"/>
  <c r="BF116" i="58"/>
  <c r="BF78" i="58"/>
  <c r="AW26" i="58"/>
  <c r="BI116" i="58"/>
  <c r="AE17" i="64"/>
  <c r="AR48" i="64"/>
  <c r="BE79" i="58"/>
  <c r="AT26" i="58"/>
  <c r="BB26" i="58" s="1"/>
  <c r="BF59" i="58"/>
  <c r="BG53" i="58"/>
  <c r="BJ53" i="58"/>
  <c r="BD53" i="58"/>
  <c r="BI53" i="58"/>
  <c r="AU13" i="58"/>
  <c r="BC13" i="58" s="1"/>
  <c r="BJ13" i="58" s="1"/>
  <c r="AU37" i="58"/>
  <c r="BC37" i="58" s="1"/>
  <c r="AY34" i="58"/>
  <c r="BB34" i="58" s="1"/>
  <c r="AY10" i="58"/>
  <c r="BB10" i="58" s="1"/>
  <c r="BE59" i="58"/>
  <c r="BA37" i="58"/>
  <c r="AV37" i="58"/>
  <c r="BH59" i="58"/>
  <c r="AA34" i="64"/>
  <c r="AL34" i="64" s="1"/>
  <c r="BD34" i="64" s="1"/>
  <c r="AB26" i="64"/>
  <c r="AM26" i="64" s="1"/>
  <c r="BE26" i="64" s="1"/>
  <c r="BH85" i="58"/>
  <c r="BF85" i="58"/>
  <c r="BF25" i="58"/>
  <c r="BH25" i="58"/>
  <c r="BG39" i="64"/>
  <c r="AQ12" i="64"/>
  <c r="AO59" i="64"/>
  <c r="AO22" i="64"/>
  <c r="AO21" i="64"/>
  <c r="AP59" i="64"/>
  <c r="AO12" i="64"/>
  <c r="AO25" i="64"/>
  <c r="AQ25" i="64"/>
  <c r="AF36" i="64"/>
  <c r="AF28" i="64"/>
  <c r="AF47" i="64"/>
  <c r="AF42" i="64"/>
  <c r="AD32" i="64"/>
  <c r="AO32" i="64"/>
  <c r="AE61" i="64"/>
  <c r="AE47" i="64"/>
  <c r="AP47" i="64"/>
  <c r="AD47" i="64"/>
  <c r="AE19" i="64"/>
  <c r="AG56" i="64"/>
  <c r="AF16" i="64"/>
  <c r="AG8" i="64"/>
  <c r="AD16" i="64"/>
  <c r="AF32" i="64"/>
  <c r="AE50" i="64"/>
  <c r="AE31" i="64"/>
  <c r="AD30" i="64"/>
  <c r="AO30" i="64"/>
  <c r="AD55" i="64"/>
  <c r="AF30" i="64"/>
  <c r="AG57" i="64"/>
  <c r="AE60" i="64"/>
  <c r="AE36" i="64"/>
  <c r="AP36" i="64"/>
  <c r="AG45" i="64"/>
  <c r="AF35" i="64"/>
  <c r="AD24" i="64"/>
  <c r="AD54" i="64"/>
  <c r="AO54" i="64"/>
  <c r="AD37" i="64"/>
  <c r="AD61" i="64"/>
  <c r="AG12" i="64"/>
  <c r="AD26" i="64"/>
  <c r="AO26" i="64"/>
  <c r="AF54" i="64"/>
  <c r="AG60" i="64"/>
  <c r="AR60" i="64"/>
  <c r="AG44" i="64"/>
  <c r="AE29" i="64"/>
  <c r="AP29" i="64"/>
  <c r="AG10" i="64"/>
  <c r="AF31" i="64"/>
  <c r="AQ31" i="64"/>
  <c r="AE41" i="64"/>
  <c r="AD23" i="64"/>
  <c r="AO23" i="64"/>
  <c r="AD28" i="64"/>
  <c r="AF20" i="64"/>
  <c r="AE32" i="64"/>
  <c r="AE16" i="64"/>
  <c r="AD15" i="64"/>
  <c r="AG21" i="64"/>
  <c r="AR21" i="64"/>
  <c r="AE23" i="64"/>
  <c r="AE28" i="64"/>
  <c r="AP28" i="64"/>
  <c r="AG25" i="64"/>
  <c r="AD35" i="64"/>
  <c r="AD53" i="64"/>
  <c r="AD29" i="64"/>
  <c r="AO29" i="64"/>
  <c r="AF19" i="64"/>
  <c r="AE55" i="64"/>
  <c r="AP55" i="64"/>
  <c r="AE15" i="64"/>
  <c r="AD42" i="64"/>
  <c r="AD31" i="64"/>
  <c r="AD36" i="64"/>
  <c r="AE35" i="64"/>
  <c r="AG58" i="64"/>
  <c r="AR58" i="64"/>
  <c r="AF24" i="64"/>
  <c r="AQ24" i="64"/>
  <c r="AF15" i="64"/>
  <c r="AE43" i="64"/>
  <c r="AP43" i="64"/>
  <c r="AF23" i="64"/>
  <c r="AE54" i="64"/>
  <c r="AP54" i="64"/>
  <c r="AD52" i="64"/>
  <c r="AF37" i="64"/>
  <c r="AQ37" i="64"/>
  <c r="AF61" i="64"/>
  <c r="AD50" i="64"/>
  <c r="AO50" i="64"/>
  <c r="AE37" i="64"/>
  <c r="AF50" i="64"/>
  <c r="AF53" i="64"/>
  <c r="AF29" i="64"/>
  <c r="AG59" i="64"/>
  <c r="AR59" i="64"/>
  <c r="AE20" i="64"/>
  <c r="AE42" i="64"/>
  <c r="AE53" i="64"/>
  <c r="AG18" i="64"/>
  <c r="AD20" i="64"/>
  <c r="AD43" i="64"/>
  <c r="AF55" i="64"/>
  <c r="AQ55" i="64"/>
  <c r="AE30" i="64"/>
  <c r="AE8" i="64"/>
  <c r="AE46" i="64"/>
  <c r="AD19" i="64"/>
  <c r="AQ54" i="64"/>
  <c r="AR45" i="64"/>
  <c r="BG45" i="58"/>
  <c r="Z27" i="64"/>
  <c r="AK27" i="64" s="1"/>
  <c r="BC27" i="64" s="1"/>
  <c r="AA38" i="64"/>
  <c r="AL38" i="64" s="1"/>
  <c r="BD38" i="64" s="1"/>
  <c r="AA14" i="64"/>
  <c r="AL14" i="64" s="1"/>
  <c r="BD14" i="64" s="1"/>
  <c r="AC41" i="64"/>
  <c r="AN41" i="64" s="1"/>
  <c r="BF41" i="64" s="1"/>
  <c r="AQ61" i="64"/>
  <c r="AQ42" i="64"/>
  <c r="AP37" i="64"/>
  <c r="AO31" i="64"/>
  <c r="AO36" i="64"/>
  <c r="AP50" i="64"/>
  <c r="AQ30" i="64"/>
  <c r="AC61" i="64"/>
  <c r="AN61" i="64" s="1"/>
  <c r="BJ56" i="58"/>
  <c r="AC54" i="64"/>
  <c r="AN54" i="64" s="1"/>
  <c r="BF54" i="64" s="1"/>
  <c r="AA52" i="64"/>
  <c r="AL52" i="64" s="1"/>
  <c r="BD52" i="64" s="1"/>
  <c r="BD27" i="58"/>
  <c r="AC32" i="64"/>
  <c r="AN32" i="64" s="1"/>
  <c r="BF32" i="64" s="1"/>
  <c r="AC23" i="64"/>
  <c r="AN23" i="64" s="1"/>
  <c r="BF23" i="64" s="1"/>
  <c r="AB46" i="64"/>
  <c r="AM46" i="64" s="1"/>
  <c r="BE46" i="64" s="1"/>
  <c r="AB7" i="64"/>
  <c r="AM7" i="64" s="1"/>
  <c r="BE7" i="64" s="1"/>
  <c r="AA26" i="64"/>
  <c r="AL26" i="64" s="1"/>
  <c r="BD26" i="64" s="1"/>
  <c r="BE52" i="58"/>
  <c r="AB52" i="64"/>
  <c r="AM52" i="64" s="1"/>
  <c r="BE52" i="64" s="1"/>
  <c r="AC55" i="64"/>
  <c r="AN55" i="64" s="1"/>
  <c r="BF55" i="64" s="1"/>
  <c r="BD44" i="58"/>
  <c r="BG104" i="58"/>
  <c r="AC43" i="64"/>
  <c r="AN43" i="64" s="1"/>
  <c r="BF43" i="64" s="1"/>
  <c r="AR25" i="64"/>
  <c r="AO53" i="64"/>
  <c r="AQ29" i="64"/>
  <c r="AR44" i="64"/>
  <c r="AP20" i="64"/>
  <c r="AR10" i="64"/>
  <c r="AR8" i="64"/>
  <c r="AO28" i="64"/>
  <c r="AQ20" i="64"/>
  <c r="AP30" i="64"/>
  <c r="AQ23" i="64"/>
  <c r="AP31" i="64"/>
  <c r="AB11" i="64"/>
  <c r="AM11" i="64" s="1"/>
  <c r="BE11" i="64" s="1"/>
  <c r="BJ19" i="58"/>
  <c r="AC29" i="64"/>
  <c r="AN29" i="64" s="1"/>
  <c r="BF29" i="64" s="1"/>
  <c r="BI20" i="58"/>
  <c r="AC16" i="64"/>
  <c r="AN16" i="64" s="1"/>
  <c r="BF16" i="64" s="1"/>
  <c r="AA24" i="64"/>
  <c r="AL24" i="64" s="1"/>
  <c r="BD24" i="64" s="1"/>
  <c r="AA49" i="64"/>
  <c r="AL49" i="64" s="1"/>
  <c r="BD49" i="64" s="1"/>
  <c r="AC9" i="64"/>
  <c r="AN9" i="64" s="1"/>
  <c r="BF9" i="64" s="1"/>
  <c r="AC53" i="64"/>
  <c r="AN53" i="64" s="1"/>
  <c r="BF53" i="64" s="1"/>
  <c r="AO47" i="64"/>
  <c r="AC49" i="64"/>
  <c r="AN49" i="64" s="1"/>
  <c r="BF49" i="64" s="1"/>
  <c r="AC31" i="64"/>
  <c r="AN31" i="64" s="1"/>
  <c r="BF31" i="64" s="1"/>
  <c r="Z46" i="64"/>
  <c r="AK46" i="64" s="1"/>
  <c r="BC46" i="64" s="1"/>
  <c r="Z7" i="64"/>
  <c r="AK7" i="64" s="1"/>
  <c r="BC7" i="64" s="1"/>
  <c r="BG78" i="58"/>
  <c r="AC40" i="64"/>
  <c r="AN40" i="64" s="1"/>
  <c r="BF40" i="64" s="1"/>
  <c r="AC51" i="64"/>
  <c r="AN51" i="64" s="1"/>
  <c r="BF51" i="64" s="1"/>
  <c r="AP60" i="64"/>
  <c r="AQ35" i="64"/>
  <c r="AO24" i="64"/>
  <c r="AO35" i="64"/>
  <c r="AP61" i="64"/>
  <c r="AQ50" i="64"/>
  <c r="AQ53" i="64"/>
  <c r="AP15" i="64"/>
  <c r="AP41" i="64"/>
  <c r="AQ32" i="64"/>
  <c r="AP46" i="64"/>
  <c r="AO52" i="64"/>
  <c r="AO15" i="64"/>
  <c r="Z41" i="64"/>
  <c r="AK41" i="64" s="1"/>
  <c r="BC41" i="64" s="1"/>
  <c r="BJ21" i="58"/>
  <c r="AC30" i="64"/>
  <c r="AN30" i="64" s="1"/>
  <c r="BF30" i="64" s="1"/>
  <c r="Z14" i="64"/>
  <c r="AK14" i="64" s="1"/>
  <c r="BC14" i="64" s="1"/>
  <c r="AC37" i="64"/>
  <c r="AN37" i="64" s="1"/>
  <c r="BF37" i="64" s="1"/>
  <c r="AC38" i="64"/>
  <c r="AN38" i="64" s="1"/>
  <c r="BF38" i="64" s="1"/>
  <c r="Z11" i="64"/>
  <c r="AK11" i="64" s="1"/>
  <c r="BC11" i="64" s="1"/>
  <c r="Z38" i="64"/>
  <c r="AK38" i="64" s="1"/>
  <c r="BC38" i="64" s="1"/>
  <c r="BD46" i="58"/>
  <c r="AC46" i="64"/>
  <c r="AN46" i="64" s="1"/>
  <c r="BF46" i="64" s="1"/>
  <c r="AC14" i="64"/>
  <c r="AN14" i="64" s="1"/>
  <c r="BF14" i="64" s="1"/>
  <c r="AC47" i="64"/>
  <c r="AN47" i="64" s="1"/>
  <c r="BF47" i="64" s="1"/>
  <c r="BD50" i="58"/>
  <c r="AC50" i="64"/>
  <c r="AN50" i="64" s="1"/>
  <c r="BF50" i="64" s="1"/>
  <c r="AA7" i="64"/>
  <c r="AL7" i="64" s="1"/>
  <c r="BD7" i="64" s="1"/>
  <c r="AB41" i="64"/>
  <c r="AM41" i="64" s="1"/>
  <c r="BE41" i="64" s="1"/>
  <c r="AC35" i="64"/>
  <c r="AN35" i="64" s="1"/>
  <c r="BF35" i="64" s="1"/>
  <c r="AB14" i="64"/>
  <c r="AM14" i="64" s="1"/>
  <c r="BE14" i="64" s="1"/>
  <c r="AB38" i="64"/>
  <c r="AM38" i="64" s="1"/>
  <c r="BE38" i="64" s="1"/>
  <c r="AB43" i="64"/>
  <c r="AM43" i="64" s="1"/>
  <c r="BE43" i="64" s="1"/>
  <c r="BJ93" i="58"/>
  <c r="AC17" i="64"/>
  <c r="AN17" i="64" s="1"/>
  <c r="BF17" i="64" s="1"/>
  <c r="AC42" i="64"/>
  <c r="AN42" i="64" s="1"/>
  <c r="BF42" i="64" s="1"/>
  <c r="AQ36" i="64"/>
  <c r="AP23" i="64"/>
  <c r="AO37" i="64"/>
  <c r="AR12" i="64"/>
  <c r="AQ19" i="64"/>
  <c r="AR56" i="64"/>
  <c r="AO20" i="64"/>
  <c r="AQ15" i="64"/>
  <c r="AP16" i="64"/>
  <c r="AO55" i="64"/>
  <c r="BH12" i="64"/>
  <c r="BH9" i="64"/>
  <c r="BH58" i="64"/>
  <c r="BI17" i="64"/>
  <c r="BH25" i="64"/>
  <c r="BH21" i="64"/>
  <c r="BH10" i="64"/>
  <c r="BH56" i="64"/>
  <c r="BH59" i="64"/>
  <c r="BI25" i="64"/>
  <c r="BI51" i="64"/>
  <c r="BH57" i="64"/>
  <c r="BI57" i="64"/>
  <c r="BH18" i="64"/>
  <c r="BI18" i="64"/>
  <c r="BD55" i="58"/>
  <c r="BJ55" i="58"/>
  <c r="BG93" i="58"/>
  <c r="BG55" i="58"/>
  <c r="BI93" i="58"/>
  <c r="BD93" i="58"/>
  <c r="BG44" i="58"/>
  <c r="BJ44" i="58"/>
  <c r="BG117" i="58"/>
  <c r="BJ117" i="58"/>
  <c r="BG79" i="58"/>
  <c r="BI79" i="58"/>
  <c r="BJ79" i="58"/>
  <c r="AY64" i="58"/>
  <c r="BB41" i="58"/>
  <c r="BB12" i="58"/>
  <c r="BB35" i="58"/>
  <c r="BI35" i="58" s="1"/>
  <c r="BB18" i="58"/>
  <c r="BG18" i="58" s="1"/>
  <c r="AY14" i="58"/>
  <c r="BB14" i="58" s="1"/>
  <c r="AU11" i="58"/>
  <c r="BC11" i="58" s="1"/>
  <c r="AY11" i="58"/>
  <c r="BJ60" i="58"/>
  <c r="BD60" i="58"/>
  <c r="BI117" i="58"/>
  <c r="BI60" i="58"/>
  <c r="BD45" i="58"/>
  <c r="BI45" i="58"/>
  <c r="BG57" i="58"/>
  <c r="BI42" i="58"/>
  <c r="BI66" i="58"/>
  <c r="BG66" i="58"/>
  <c r="BG69" i="58"/>
  <c r="BJ57" i="58"/>
  <c r="BD57" i="58"/>
  <c r="BI69" i="58"/>
  <c r="BD69" i="58"/>
  <c r="BD66" i="58"/>
  <c r="BJ69" i="58"/>
  <c r="BJ66" i="58"/>
  <c r="AU48" i="58"/>
  <c r="BC48" i="58" s="1"/>
  <c r="BG42" i="58"/>
  <c r="BJ42" i="58"/>
  <c r="AV48" i="58"/>
  <c r="BA48" i="58"/>
  <c r="BG86" i="58"/>
  <c r="BJ86" i="58"/>
  <c r="BD63" i="58"/>
  <c r="BJ63" i="58"/>
  <c r="BI63" i="58"/>
  <c r="BI86" i="58"/>
  <c r="AX14" i="58"/>
  <c r="AZ14" i="58" s="1"/>
  <c r="BJ104" i="58"/>
  <c r="BI104" i="58"/>
  <c r="BD104" i="58"/>
  <c r="BB110" i="58"/>
  <c r="BD110" i="58" s="1"/>
  <c r="BF110" i="58"/>
  <c r="BH110" i="58"/>
  <c r="BE110" i="58"/>
  <c r="BJ31" i="58"/>
  <c r="AV14" i="58"/>
  <c r="BH10" i="58"/>
  <c r="BD78" i="58"/>
  <c r="BJ78" i="58"/>
  <c r="BI78" i="58"/>
  <c r="BD43" i="58"/>
  <c r="BG43" i="58"/>
  <c r="BJ43" i="58"/>
  <c r="BB22" i="58"/>
  <c r="BG31" i="58"/>
  <c r="BI31" i="58"/>
  <c r="BI36" i="58"/>
  <c r="BD39" i="58"/>
  <c r="BI23" i="58"/>
  <c r="BJ23" i="58"/>
  <c r="BJ39" i="58"/>
  <c r="BI62" i="58"/>
  <c r="BG62" i="58"/>
  <c r="BJ62" i="58"/>
  <c r="BD36" i="58"/>
  <c r="BD23" i="58"/>
  <c r="BD24" i="58"/>
  <c r="BG23" i="58"/>
  <c r="BI27" i="58"/>
  <c r="BJ27" i="58"/>
  <c r="BD33" i="58"/>
  <c r="BD48" i="58"/>
  <c r="BD62" i="58"/>
  <c r="BH16" i="58"/>
  <c r="BF16" i="58"/>
  <c r="BE16" i="58"/>
  <c r="BG27" i="58"/>
  <c r="BI47" i="58"/>
  <c r="BG47" i="58"/>
  <c r="BJ50" i="58"/>
  <c r="BF10" i="58"/>
  <c r="BB37" i="58"/>
  <c r="BJ47" i="58"/>
  <c r="BG50" i="58"/>
  <c r="BF13" i="58"/>
  <c r="BG59" i="58"/>
  <c r="BG16" i="58"/>
  <c r="BI59" i="58"/>
  <c r="BG46" i="58"/>
  <c r="BI50" i="58"/>
  <c r="BD16" i="58"/>
  <c r="BJ59" i="58"/>
  <c r="BE10" i="58"/>
  <c r="BG36" i="58"/>
  <c r="BI33" i="58"/>
  <c r="BG33" i="58"/>
  <c r="BJ16" i="58"/>
  <c r="BI24" i="58"/>
  <c r="BD29" i="58"/>
  <c r="BD47" i="58"/>
  <c r="BH32" i="58"/>
  <c r="BJ49" i="58"/>
  <c r="BI51" i="58"/>
  <c r="BI39" i="58"/>
  <c r="BD21" i="58"/>
  <c r="BD20" i="58"/>
  <c r="BD19" i="58"/>
  <c r="BI19" i="58"/>
  <c r="BJ20" i="58"/>
  <c r="BG20" i="58"/>
  <c r="BH46" i="58"/>
  <c r="BE46" i="58"/>
  <c r="BG51" i="58"/>
  <c r="BD49" i="58"/>
  <c r="BJ24" i="58"/>
  <c r="BG49" i="58"/>
  <c r="BI49" i="58"/>
  <c r="BI54" i="58"/>
  <c r="BG54" i="58"/>
  <c r="BD54" i="58"/>
  <c r="BG38" i="58"/>
  <c r="BD40" i="58"/>
  <c r="BB52" i="58"/>
  <c r="BG19" i="58"/>
  <c r="BJ38" i="58"/>
  <c r="BJ46" i="58"/>
  <c r="BI112" i="58"/>
  <c r="BG112" i="58"/>
  <c r="BD56" i="58"/>
  <c r="BG56" i="58"/>
  <c r="BD112" i="58"/>
  <c r="BI29" i="58"/>
  <c r="BG29" i="58"/>
  <c r="BE33" i="58"/>
  <c r="BD51" i="58"/>
  <c r="BF46" i="58"/>
  <c r="BD38" i="58"/>
  <c r="BI30" i="58"/>
  <c r="BI21" i="58"/>
  <c r="BI46" i="58"/>
  <c r="BG21" i="58"/>
  <c r="AX11" i="58"/>
  <c r="AZ11" i="58" s="1"/>
  <c r="AT11" i="58"/>
  <c r="BD13" i="58"/>
  <c r="BI28" i="58"/>
  <c r="BD28" i="58"/>
  <c r="BG28" i="58"/>
  <c r="BJ28" i="58"/>
  <c r="AU64" i="58"/>
  <c r="BC64" i="58" s="1"/>
  <c r="BB17" i="58"/>
  <c r="BJ54" i="58"/>
  <c r="BJ30" i="58"/>
  <c r="BD30" i="58"/>
  <c r="BI38" i="58"/>
  <c r="BG30" i="58"/>
  <c r="BG39" i="58"/>
  <c r="BI56" i="58"/>
  <c r="BH51" i="58"/>
  <c r="BI16" i="58"/>
  <c r="BJ112" i="58"/>
  <c r="BB32" i="58"/>
  <c r="BJ36" i="58"/>
  <c r="BH36" i="58"/>
  <c r="BE36" i="58"/>
  <c r="BF36" i="58"/>
  <c r="BF32" i="58"/>
  <c r="BJ51" i="58"/>
  <c r="BF52" i="58"/>
  <c r="BF51" i="58"/>
  <c r="BE51" i="58"/>
  <c r="BH52" i="58"/>
  <c r="AV11" i="58"/>
  <c r="BG40" i="58"/>
  <c r="BI40" i="58"/>
  <c r="BJ40" i="58"/>
  <c r="BE40" i="58"/>
  <c r="BH13" i="58"/>
  <c r="BE34" i="58"/>
  <c r="AW11" i="58"/>
  <c r="BF34" i="58"/>
  <c r="BH34" i="58"/>
  <c r="BE32" i="58"/>
  <c r="BE15" i="58"/>
  <c r="AW14" i="58"/>
  <c r="BA64" i="58"/>
  <c r="AO5" i="58"/>
  <c r="AO4" i="58" s="1"/>
  <c r="AW64" i="58"/>
  <c r="BH33" i="58"/>
  <c r="BF33" i="58"/>
  <c r="BJ33" i="58"/>
  <c r="BD61" i="58" l="1"/>
  <c r="AP22" i="64"/>
  <c r="BD22" i="64"/>
  <c r="BG61" i="58"/>
  <c r="BI61" i="58"/>
  <c r="BG12" i="58"/>
  <c r="BM30" i="64"/>
  <c r="BS30" i="64" s="1"/>
  <c r="N29" i="82" s="1"/>
  <c r="BN50" i="64"/>
  <c r="BT50" i="64" s="1"/>
  <c r="O49" i="82" s="1"/>
  <c r="BO55" i="64"/>
  <c r="BU55" i="64" s="1"/>
  <c r="P54" i="82" s="1"/>
  <c r="BM19" i="64"/>
  <c r="BS19" i="64" s="1"/>
  <c r="N18" i="82" s="1"/>
  <c r="BN8" i="64"/>
  <c r="BT8" i="64" s="1"/>
  <c r="O7" i="82" s="1"/>
  <c r="BO24" i="64"/>
  <c r="BU24" i="64" s="1"/>
  <c r="P23" i="82" s="1"/>
  <c r="BN35" i="64"/>
  <c r="BT35" i="64" s="1"/>
  <c r="O34" i="82" s="1"/>
  <c r="BN60" i="64"/>
  <c r="BT60" i="64" s="1"/>
  <c r="O59" i="82" s="1"/>
  <c r="BM54" i="64"/>
  <c r="BS54" i="64" s="1"/>
  <c r="N53" i="82" s="1"/>
  <c r="BO31" i="64"/>
  <c r="BU31" i="64" s="1"/>
  <c r="P30" i="82" s="1"/>
  <c r="BN29" i="64"/>
  <c r="BT29" i="64" s="1"/>
  <c r="O28" i="82" s="1"/>
  <c r="BN47" i="64"/>
  <c r="BT47" i="64" s="1"/>
  <c r="O46" i="82" s="1"/>
  <c r="BO42" i="64"/>
  <c r="BU42" i="64" s="1"/>
  <c r="P41" i="82" s="1"/>
  <c r="BM15" i="64"/>
  <c r="BS15" i="64" s="1"/>
  <c r="N14" i="82" s="1"/>
  <c r="BO15" i="64"/>
  <c r="BU15" i="64" s="1"/>
  <c r="P14" i="82" s="1"/>
  <c r="BN20" i="64"/>
  <c r="BT20" i="64" s="1"/>
  <c r="O19" i="82" s="1"/>
  <c r="BN17" i="64"/>
  <c r="BT17" i="64" s="1"/>
  <c r="O16" i="82" s="1"/>
  <c r="BM23" i="64"/>
  <c r="BS23" i="64" s="1"/>
  <c r="N22" i="82" s="1"/>
  <c r="BP56" i="64"/>
  <c r="BV56" i="64" s="1"/>
  <c r="Q55" i="82" s="1"/>
  <c r="BO53" i="64"/>
  <c r="BU53" i="64" s="1"/>
  <c r="P52" i="82" s="1"/>
  <c r="BM53" i="64"/>
  <c r="BS53" i="64" s="1"/>
  <c r="N52" i="82" s="1"/>
  <c r="BM50" i="64"/>
  <c r="BS50" i="64" s="1"/>
  <c r="N49" i="82" s="1"/>
  <c r="BO28" i="64"/>
  <c r="BU28" i="64" s="1"/>
  <c r="P27" i="82" s="1"/>
  <c r="BO37" i="64"/>
  <c r="BU37" i="64" s="1"/>
  <c r="P36" i="82" s="1"/>
  <c r="BN42" i="64"/>
  <c r="BT42" i="64" s="1"/>
  <c r="O41" i="82" s="1"/>
  <c r="BM37" i="64"/>
  <c r="BS37" i="64" s="1"/>
  <c r="N36" i="82" s="1"/>
  <c r="BP21" i="64"/>
  <c r="BV21" i="64" s="1"/>
  <c r="Q20" i="82" s="1"/>
  <c r="BN16" i="64"/>
  <c r="BT16" i="64" s="1"/>
  <c r="O15" i="82" s="1"/>
  <c r="BO20" i="64"/>
  <c r="BU20" i="64" s="1"/>
  <c r="P19" i="82" s="1"/>
  <c r="BP8" i="64"/>
  <c r="BV8" i="64" s="1"/>
  <c r="Q7" i="82" s="1"/>
  <c r="BN15" i="64"/>
  <c r="BT15" i="64" s="1"/>
  <c r="O14" i="82" s="1"/>
  <c r="BO19" i="64"/>
  <c r="BU19" i="64" s="1"/>
  <c r="P18" i="82" s="1"/>
  <c r="BP12" i="64"/>
  <c r="BV12" i="64" s="1"/>
  <c r="Q11" i="82" s="1"/>
  <c r="BM35" i="64"/>
  <c r="BS35" i="64" s="1"/>
  <c r="N34" i="82" s="1"/>
  <c r="BO35" i="64"/>
  <c r="BU35" i="64" s="1"/>
  <c r="P34" i="82" s="1"/>
  <c r="BP57" i="64"/>
  <c r="BV57" i="64" s="1"/>
  <c r="Q56" i="82" s="1"/>
  <c r="BN43" i="64"/>
  <c r="BT43" i="64" s="1"/>
  <c r="O42" i="82" s="1"/>
  <c r="BM36" i="64"/>
  <c r="BS36" i="64" s="1"/>
  <c r="N35" i="82" s="1"/>
  <c r="BO29" i="64"/>
  <c r="BU29" i="64" s="1"/>
  <c r="P28" i="82" s="1"/>
  <c r="BN23" i="64"/>
  <c r="BT23" i="64" s="1"/>
  <c r="O22" i="82" s="1"/>
  <c r="BN39" i="64"/>
  <c r="BT39" i="64" s="1"/>
  <c r="O38" i="82" s="1"/>
  <c r="BP44" i="64"/>
  <c r="G8" i="101" s="1"/>
  <c r="BN41" i="64"/>
  <c r="E7" i="101" s="1"/>
  <c r="BM55" i="64"/>
  <c r="BS55" i="64" s="1"/>
  <c r="N54" i="82" s="1"/>
  <c r="BN31" i="64"/>
  <c r="BT31" i="64" s="1"/>
  <c r="O30" i="82" s="1"/>
  <c r="BO32" i="64"/>
  <c r="BU32" i="64" s="1"/>
  <c r="P31" i="82" s="1"/>
  <c r="BN46" i="64"/>
  <c r="BT46" i="64" s="1"/>
  <c r="O45" i="82" s="1"/>
  <c r="BN30" i="64"/>
  <c r="BT30" i="64" s="1"/>
  <c r="O29" i="82" s="1"/>
  <c r="BP58" i="64"/>
  <c r="BV58" i="64" s="1"/>
  <c r="Q57" i="82" s="1"/>
  <c r="BN54" i="64"/>
  <c r="BT54" i="64" s="1"/>
  <c r="O53" i="82" s="1"/>
  <c r="BO54" i="64"/>
  <c r="BU54" i="64" s="1"/>
  <c r="P53" i="82" s="1"/>
  <c r="BP60" i="64"/>
  <c r="BV60" i="64" s="1"/>
  <c r="Q59" i="82" s="1"/>
  <c r="BM31" i="64"/>
  <c r="BS31" i="64" s="1"/>
  <c r="N30" i="82" s="1"/>
  <c r="BP10" i="64"/>
  <c r="BV10" i="64" s="1"/>
  <c r="Q9" i="82" s="1"/>
  <c r="BM47" i="64"/>
  <c r="BS47" i="64" s="1"/>
  <c r="N46" i="82" s="1"/>
  <c r="BN61" i="64"/>
  <c r="BT61" i="64" s="1"/>
  <c r="O60" i="82" s="1"/>
  <c r="BO47" i="64"/>
  <c r="BU47" i="64" s="1"/>
  <c r="P46" i="82" s="1"/>
  <c r="BO23" i="64"/>
  <c r="BU23" i="64" s="1"/>
  <c r="P22" i="82" s="1"/>
  <c r="BP18" i="64"/>
  <c r="BV18" i="64" s="1"/>
  <c r="Q17" i="82" s="1"/>
  <c r="BP25" i="64"/>
  <c r="BV25" i="64" s="1"/>
  <c r="Q24" i="82" s="1"/>
  <c r="BM43" i="64"/>
  <c r="BS43" i="64" s="1"/>
  <c r="N42" i="82" s="1"/>
  <c r="BO16" i="64"/>
  <c r="BU16" i="64" s="1"/>
  <c r="P15" i="82" s="1"/>
  <c r="BN19" i="64"/>
  <c r="BT19" i="64" s="1"/>
  <c r="O18" i="82" s="1"/>
  <c r="BN37" i="64"/>
  <c r="BT37" i="64" s="1"/>
  <c r="O36" i="82" s="1"/>
  <c r="BM32" i="64"/>
  <c r="BS32" i="64" s="1"/>
  <c r="N31" i="82" s="1"/>
  <c r="BO61" i="64"/>
  <c r="BU61" i="64" s="1"/>
  <c r="P60" i="82" s="1"/>
  <c r="BO36" i="64"/>
  <c r="BU36" i="64" s="1"/>
  <c r="P35" i="82" s="1"/>
  <c r="BM20" i="64"/>
  <c r="BS20" i="64" s="1"/>
  <c r="N19" i="82" s="1"/>
  <c r="BP59" i="64"/>
  <c r="BV59" i="64" s="1"/>
  <c r="Q58" i="82" s="1"/>
  <c r="BN28" i="64"/>
  <c r="BT28" i="64" s="1"/>
  <c r="O27" i="82" s="1"/>
  <c r="BO30" i="64"/>
  <c r="BU30" i="64" s="1"/>
  <c r="P29" i="82" s="1"/>
  <c r="BN32" i="64"/>
  <c r="BT32" i="64" s="1"/>
  <c r="O31" i="82" s="1"/>
  <c r="BM16" i="64"/>
  <c r="BS16" i="64" s="1"/>
  <c r="N15" i="82" s="1"/>
  <c r="BM42" i="64"/>
  <c r="BS42" i="64" s="1"/>
  <c r="N41" i="82" s="1"/>
  <c r="BN55" i="64"/>
  <c r="BT55" i="64" s="1"/>
  <c r="O54" i="82" s="1"/>
  <c r="BM26" i="64"/>
  <c r="BS26" i="64" s="1"/>
  <c r="N25" i="82" s="1"/>
  <c r="BM61" i="64"/>
  <c r="BS61" i="64" s="1"/>
  <c r="N60" i="82" s="1"/>
  <c r="BM24" i="64"/>
  <c r="BS24" i="64" s="1"/>
  <c r="N23" i="82" s="1"/>
  <c r="BN36" i="64"/>
  <c r="BT36" i="64" s="1"/>
  <c r="O35" i="82" s="1"/>
  <c r="BM52" i="64"/>
  <c r="BS52" i="64" s="1"/>
  <c r="N51" i="82" s="1"/>
  <c r="BM28" i="64"/>
  <c r="BS28" i="64" s="1"/>
  <c r="N27" i="82" s="1"/>
  <c r="BN53" i="64"/>
  <c r="BT53" i="64" s="1"/>
  <c r="O52" i="82" s="1"/>
  <c r="BM29" i="64"/>
  <c r="BS29" i="64" s="1"/>
  <c r="N28" i="82" s="1"/>
  <c r="BP45" i="64"/>
  <c r="BV45" i="64" s="1"/>
  <c r="Q44" i="82" s="1"/>
  <c r="BO50" i="64"/>
  <c r="BU50" i="64" s="1"/>
  <c r="P49" i="82" s="1"/>
  <c r="BO44" i="64"/>
  <c r="F8" i="101" s="1"/>
  <c r="Z34" i="64"/>
  <c r="AK34" i="64" s="1"/>
  <c r="BC34" i="64" s="1"/>
  <c r="BE12" i="58"/>
  <c r="BF12" i="58"/>
  <c r="BH35" i="58"/>
  <c r="BH37" i="58"/>
  <c r="AF40" i="64"/>
  <c r="BF35" i="58"/>
  <c r="BE13" i="58"/>
  <c r="BH17" i="64"/>
  <c r="AQ40" i="64"/>
  <c r="BH39" i="64"/>
  <c r="AB34" i="64"/>
  <c r="AM34" i="64" s="1"/>
  <c r="BE34" i="64" s="1"/>
  <c r="BJ25" i="58"/>
  <c r="BG25" i="58"/>
  <c r="AO40" i="64"/>
  <c r="BI25" i="58"/>
  <c r="BE37" i="58"/>
  <c r="AE22" i="64"/>
  <c r="BG13" i="58"/>
  <c r="BJ37" i="58"/>
  <c r="AP40" i="64"/>
  <c r="BI13" i="58"/>
  <c r="AG22" i="64"/>
  <c r="AE40" i="64"/>
  <c r="BI26" i="58"/>
  <c r="AQ26" i="64"/>
  <c r="AD40" i="64"/>
  <c r="BG26" i="58"/>
  <c r="BJ48" i="64"/>
  <c r="BF37" i="58"/>
  <c r="AF26" i="64"/>
  <c r="BJ26" i="58"/>
  <c r="BD26" i="58"/>
  <c r="AP34" i="64"/>
  <c r="AC20" i="64"/>
  <c r="AN20" i="64" s="1"/>
  <c r="BF20" i="64" s="1"/>
  <c r="AE34" i="64"/>
  <c r="BD18" i="58"/>
  <c r="BH51" i="64"/>
  <c r="BI10" i="64"/>
  <c r="BH44" i="64"/>
  <c r="BH45" i="64"/>
  <c r="BI12" i="64"/>
  <c r="AO19" i="64"/>
  <c r="AR18" i="64"/>
  <c r="AP35" i="64"/>
  <c r="AP53" i="64"/>
  <c r="AP8" i="64"/>
  <c r="AP32" i="64"/>
  <c r="AR22" i="64"/>
  <c r="AO16" i="64"/>
  <c r="AO43" i="64"/>
  <c r="AP19" i="64"/>
  <c r="AQ47" i="64"/>
  <c r="AQ16" i="64"/>
  <c r="AO61" i="64"/>
  <c r="AO42" i="64"/>
  <c r="AP42" i="64"/>
  <c r="AQ28" i="64"/>
  <c r="AR57" i="64"/>
  <c r="AG42" i="64"/>
  <c r="AF14" i="64"/>
  <c r="AG50" i="64"/>
  <c r="AG46" i="64"/>
  <c r="AR46" i="64"/>
  <c r="AD11" i="64"/>
  <c r="AD14" i="64"/>
  <c r="AO14" i="64"/>
  <c r="AD7" i="64"/>
  <c r="AG9" i="64"/>
  <c r="AG55" i="64"/>
  <c r="AE26" i="64"/>
  <c r="AE52" i="64"/>
  <c r="AG61" i="64"/>
  <c r="AE14" i="64"/>
  <c r="AP14" i="64"/>
  <c r="AF41" i="64"/>
  <c r="AG38" i="64"/>
  <c r="AD46" i="64"/>
  <c r="AE49" i="64"/>
  <c r="AG29" i="64"/>
  <c r="AF7" i="64"/>
  <c r="AQ7" i="64"/>
  <c r="AG32" i="64"/>
  <c r="AE38" i="64"/>
  <c r="AG17" i="64"/>
  <c r="AF43" i="64"/>
  <c r="AE7" i="64"/>
  <c r="AG47" i="64"/>
  <c r="AD38" i="64"/>
  <c r="AD41" i="64"/>
  <c r="AO41" i="64"/>
  <c r="AG40" i="64"/>
  <c r="AG31" i="64"/>
  <c r="AE24" i="64"/>
  <c r="AG43" i="64"/>
  <c r="AF52" i="64"/>
  <c r="AF46" i="64"/>
  <c r="AG54" i="64"/>
  <c r="AD27" i="64"/>
  <c r="AF38" i="64"/>
  <c r="AQ38" i="64"/>
  <c r="AG35" i="64"/>
  <c r="AG14" i="64"/>
  <c r="AG37" i="64"/>
  <c r="AG30" i="64"/>
  <c r="AG51" i="64"/>
  <c r="AG49" i="64"/>
  <c r="AG53" i="64"/>
  <c r="AG16" i="64"/>
  <c r="AR16" i="64"/>
  <c r="AF11" i="64"/>
  <c r="AG23" i="64"/>
  <c r="AG41" i="64"/>
  <c r="AR41" i="64"/>
  <c r="BH50" i="64"/>
  <c r="AR54" i="64"/>
  <c r="AR40" i="64"/>
  <c r="AA11" i="64"/>
  <c r="AL11" i="64" s="1"/>
  <c r="BD11" i="64" s="1"/>
  <c r="Z49" i="64"/>
  <c r="AK49" i="64" s="1"/>
  <c r="BC49" i="64" s="1"/>
  <c r="AB49" i="64"/>
  <c r="AM49" i="64" s="1"/>
  <c r="BE49" i="64" s="1"/>
  <c r="AB27" i="64"/>
  <c r="AM27" i="64" s="1"/>
  <c r="BE27" i="64" s="1"/>
  <c r="AR42" i="64"/>
  <c r="AP7" i="64"/>
  <c r="AO11" i="64"/>
  <c r="AR37" i="64"/>
  <c r="AR9" i="64"/>
  <c r="AP24" i="64"/>
  <c r="AQ11" i="64"/>
  <c r="AQ52" i="64"/>
  <c r="AP26" i="64"/>
  <c r="AR32" i="64"/>
  <c r="BD17" i="58"/>
  <c r="AC28" i="64"/>
  <c r="AN28" i="64" s="1"/>
  <c r="BF28" i="64" s="1"/>
  <c r="AC34" i="64"/>
  <c r="AN34" i="64" s="1"/>
  <c r="BF34" i="64" s="1"/>
  <c r="BJ22" i="58"/>
  <c r="AC19" i="64"/>
  <c r="AN19" i="64" s="1"/>
  <c r="BF19" i="64" s="1"/>
  <c r="AR61" i="64"/>
  <c r="AB6" i="64"/>
  <c r="AM6" i="64" s="1"/>
  <c r="BE6" i="64" s="1"/>
  <c r="AC7" i="64"/>
  <c r="AN7" i="64" s="1"/>
  <c r="BF7" i="64" s="1"/>
  <c r="BI34" i="58"/>
  <c r="AC26" i="64"/>
  <c r="AN26" i="64" s="1"/>
  <c r="BF26" i="64" s="1"/>
  <c r="AA27" i="64"/>
  <c r="AL27" i="64" s="1"/>
  <c r="BD27" i="64" s="1"/>
  <c r="AC11" i="64"/>
  <c r="AN11" i="64" s="1"/>
  <c r="BF11" i="64" s="1"/>
  <c r="AC36" i="64"/>
  <c r="AN36" i="64" s="1"/>
  <c r="BF36" i="64" s="1"/>
  <c r="AQ41" i="64"/>
  <c r="AO38" i="64"/>
  <c r="AO46" i="64"/>
  <c r="AR29" i="64"/>
  <c r="AR51" i="64"/>
  <c r="Z6" i="64"/>
  <c r="AK6" i="64" s="1"/>
  <c r="BC6" i="64" s="1"/>
  <c r="BG32" i="58"/>
  <c r="AC24" i="64"/>
  <c r="AN24" i="64" s="1"/>
  <c r="BF24" i="64" s="1"/>
  <c r="BD52" i="58"/>
  <c r="AC52" i="64"/>
  <c r="AN52" i="64" s="1"/>
  <c r="BF52" i="64" s="1"/>
  <c r="AC15" i="64"/>
  <c r="AN15" i="64" s="1"/>
  <c r="BF15" i="64" s="1"/>
  <c r="AR17" i="64"/>
  <c r="AR35" i="64"/>
  <c r="AR50" i="64"/>
  <c r="AR47" i="64"/>
  <c r="AR38" i="64"/>
  <c r="AR53" i="64"/>
  <c r="AP49" i="64"/>
  <c r="AR55" i="64"/>
  <c r="AR23" i="64"/>
  <c r="BI53" i="64"/>
  <c r="BH37" i="64"/>
  <c r="BH53" i="64"/>
  <c r="BH46" i="64"/>
  <c r="BG56" i="64"/>
  <c r="BG9" i="64"/>
  <c r="BG25" i="64"/>
  <c r="BH35" i="64"/>
  <c r="BJ10" i="64"/>
  <c r="BH61" i="64"/>
  <c r="BI22" i="64"/>
  <c r="BI9" i="64"/>
  <c r="BH55" i="64"/>
  <c r="BJ8" i="64"/>
  <c r="BI35" i="64"/>
  <c r="BI21" i="64"/>
  <c r="BI36" i="64"/>
  <c r="BJ44" i="64"/>
  <c r="BI44" i="64"/>
  <c r="BJ56" i="64"/>
  <c r="BI60" i="64"/>
  <c r="BJ21" i="64"/>
  <c r="BJ58" i="64"/>
  <c r="BJ18" i="64"/>
  <c r="BH20" i="64"/>
  <c r="BI45" i="64"/>
  <c r="BI23" i="64"/>
  <c r="BH16" i="64"/>
  <c r="BG10" i="64"/>
  <c r="BG45" i="64"/>
  <c r="BI8" i="64"/>
  <c r="BI61" i="64"/>
  <c r="BI56" i="64"/>
  <c r="BJ12" i="64"/>
  <c r="BJ45" i="64"/>
  <c r="BI42" i="64"/>
  <c r="BH60" i="64"/>
  <c r="BH42" i="64"/>
  <c r="BI59" i="64"/>
  <c r="BI50" i="64"/>
  <c r="BH41" i="64"/>
  <c r="BG8" i="64"/>
  <c r="BG44" i="64"/>
  <c r="BG59" i="64"/>
  <c r="BJ25" i="64"/>
  <c r="BI58" i="64"/>
  <c r="BI32" i="64"/>
  <c r="BH31" i="64"/>
  <c r="BG57" i="64"/>
  <c r="BG51" i="64"/>
  <c r="BD12" i="58"/>
  <c r="BJ12" i="58"/>
  <c r="BI12" i="58"/>
  <c r="BI41" i="58"/>
  <c r="BD41" i="58"/>
  <c r="BI18" i="58"/>
  <c r="BJ18" i="58"/>
  <c r="BJ41" i="58"/>
  <c r="BG41" i="58"/>
  <c r="BJ35" i="58"/>
  <c r="BD35" i="58"/>
  <c r="BG35" i="58"/>
  <c r="BI48" i="58"/>
  <c r="BG48" i="58"/>
  <c r="BF48" i="58"/>
  <c r="BH48" i="58"/>
  <c r="BE48" i="58"/>
  <c r="BJ48" i="58"/>
  <c r="BH14" i="58"/>
  <c r="BF14" i="58"/>
  <c r="BG110" i="58"/>
  <c r="BJ110" i="58"/>
  <c r="BI110" i="58"/>
  <c r="BG22" i="58"/>
  <c r="BI10" i="58"/>
  <c r="BD10" i="58"/>
  <c r="BJ10" i="58"/>
  <c r="BG10" i="58"/>
  <c r="BI37" i="58"/>
  <c r="BI22" i="58"/>
  <c r="BD22" i="58"/>
  <c r="BI15" i="58"/>
  <c r="BG15" i="58"/>
  <c r="BD34" i="58"/>
  <c r="BG37" i="58"/>
  <c r="BD37" i="58"/>
  <c r="BJ52" i="58"/>
  <c r="BI32" i="58"/>
  <c r="BD15" i="58"/>
  <c r="BH11" i="58"/>
  <c r="BJ34" i="58"/>
  <c r="BD32" i="58"/>
  <c r="BI17" i="58"/>
  <c r="BJ17" i="58"/>
  <c r="BG52" i="58"/>
  <c r="BI52" i="58"/>
  <c r="BD14" i="58"/>
  <c r="AT64" i="58"/>
  <c r="BB64" i="58" s="1"/>
  <c r="AX64" i="58"/>
  <c r="AZ64" i="58" s="1"/>
  <c r="BF11" i="58"/>
  <c r="BG34" i="58"/>
  <c r="BJ32" i="58"/>
  <c r="BG17" i="58"/>
  <c r="BB11" i="58"/>
  <c r="BE11" i="58"/>
  <c r="BJ14" i="58"/>
  <c r="BE14" i="58"/>
  <c r="BG14" i="58"/>
  <c r="BI14" i="58"/>
  <c r="AV64" i="58"/>
  <c r="AS5" i="58"/>
  <c r="AS4" i="58" s="1"/>
  <c r="BE64" i="58"/>
  <c r="AO34" i="64" l="1"/>
  <c r="AD34" i="64"/>
  <c r="BM34" i="64"/>
  <c r="BS34" i="64" s="1"/>
  <c r="N33" i="82" s="1"/>
  <c r="BO26" i="64"/>
  <c r="BU26" i="64" s="1"/>
  <c r="P25" i="82" s="1"/>
  <c r="BP23" i="64"/>
  <c r="BV23" i="64" s="1"/>
  <c r="Q22" i="82" s="1"/>
  <c r="BN49" i="64"/>
  <c r="BT49" i="64" s="1"/>
  <c r="O48" i="82" s="1"/>
  <c r="BP30" i="64"/>
  <c r="BV30" i="64" s="1"/>
  <c r="Q29" i="82" s="1"/>
  <c r="BP14" i="64"/>
  <c r="BV14" i="64" s="1"/>
  <c r="Q13" i="82" s="1"/>
  <c r="BO43" i="64"/>
  <c r="BU43" i="64" s="1"/>
  <c r="P42" i="82" s="1"/>
  <c r="BP22" i="64"/>
  <c r="BV22" i="64" s="1"/>
  <c r="Q21" i="82" s="1"/>
  <c r="BO7" i="64"/>
  <c r="BU7" i="64" s="1"/>
  <c r="P6" i="82" s="1"/>
  <c r="BM46" i="64"/>
  <c r="BS46" i="64" s="1"/>
  <c r="N45" i="82" s="1"/>
  <c r="BN22" i="64"/>
  <c r="BT22" i="64" s="1"/>
  <c r="O21" i="82" s="1"/>
  <c r="BO46" i="64"/>
  <c r="BU46" i="64" s="1"/>
  <c r="P45" i="82" s="1"/>
  <c r="BP9" i="64"/>
  <c r="BV9" i="64" s="1"/>
  <c r="Q8" i="82" s="1"/>
  <c r="BM14" i="64"/>
  <c r="BS14" i="64" s="1"/>
  <c r="N13" i="82" s="1"/>
  <c r="BP47" i="64"/>
  <c r="BV47" i="64" s="1"/>
  <c r="Q46" i="82" s="1"/>
  <c r="BM40" i="64"/>
  <c r="D6" i="101" s="1"/>
  <c r="BM27" i="64"/>
  <c r="BS27" i="64" s="1"/>
  <c r="N26" i="82" s="1"/>
  <c r="BN52" i="64"/>
  <c r="BT52" i="64" s="1"/>
  <c r="O51" i="82" s="1"/>
  <c r="BP55" i="64"/>
  <c r="BV55" i="64" s="1"/>
  <c r="Q54" i="82" s="1"/>
  <c r="BN24" i="64"/>
  <c r="BT24" i="64" s="1"/>
  <c r="O23" i="82" s="1"/>
  <c r="BP51" i="64"/>
  <c r="BV51" i="64" s="1"/>
  <c r="Q50" i="82" s="1"/>
  <c r="BP46" i="64"/>
  <c r="BV46" i="64" s="1"/>
  <c r="Q45" i="82" s="1"/>
  <c r="BP17" i="64"/>
  <c r="BV17" i="64" s="1"/>
  <c r="Q16" i="82" s="1"/>
  <c r="BN40" i="64"/>
  <c r="E6" i="101" s="1"/>
  <c r="BM41" i="64"/>
  <c r="D7" i="101" s="1"/>
  <c r="BP16" i="64"/>
  <c r="BV16" i="64" s="1"/>
  <c r="Q15" i="82" s="1"/>
  <c r="BP41" i="64"/>
  <c r="G7" i="101" s="1"/>
  <c r="BP50" i="64"/>
  <c r="BV50" i="64" s="1"/>
  <c r="Q49" i="82" s="1"/>
  <c r="BN38" i="64"/>
  <c r="BT38" i="64" s="1"/>
  <c r="O37" i="82" s="1"/>
  <c r="BP29" i="64"/>
  <c r="BV29" i="64" s="1"/>
  <c r="Q28" i="82" s="1"/>
  <c r="BP49" i="64"/>
  <c r="BV49" i="64" s="1"/>
  <c r="Q48" i="82" s="1"/>
  <c r="BM11" i="64"/>
  <c r="BS11" i="64" s="1"/>
  <c r="N10" i="82" s="1"/>
  <c r="BP35" i="64"/>
  <c r="BV35" i="64" s="1"/>
  <c r="Q34" i="82" s="1"/>
  <c r="BP42" i="64"/>
  <c r="BV42" i="64" s="1"/>
  <c r="Q41" i="82" s="1"/>
  <c r="BP32" i="64"/>
  <c r="BV32" i="64" s="1"/>
  <c r="Q31" i="82" s="1"/>
  <c r="BO11" i="64"/>
  <c r="BU11" i="64" s="1"/>
  <c r="P10" i="82" s="1"/>
  <c r="BP37" i="64"/>
  <c r="BV37" i="64" s="1"/>
  <c r="Q36" i="82" s="1"/>
  <c r="BN14" i="64"/>
  <c r="BT14" i="64" s="1"/>
  <c r="O13" i="82" s="1"/>
  <c r="BO52" i="64"/>
  <c r="BU52" i="64" s="1"/>
  <c r="P51" i="82" s="1"/>
  <c r="BP31" i="64"/>
  <c r="BV31" i="64" s="1"/>
  <c r="Q30" i="82" s="1"/>
  <c r="BM38" i="64"/>
  <c r="BS38" i="64" s="1"/>
  <c r="N37" i="82" s="1"/>
  <c r="BN7" i="64"/>
  <c r="BT7" i="64" s="1"/>
  <c r="O6" i="82" s="1"/>
  <c r="BP53" i="64"/>
  <c r="BV53" i="64" s="1"/>
  <c r="Q52" i="82" s="1"/>
  <c r="BN34" i="64"/>
  <c r="BT34" i="64" s="1"/>
  <c r="O33" i="82" s="1"/>
  <c r="BP61" i="64"/>
  <c r="BV61" i="64" s="1"/>
  <c r="Q60" i="82" s="1"/>
  <c r="BN26" i="64"/>
  <c r="BT26" i="64" s="1"/>
  <c r="O25" i="82" s="1"/>
  <c r="BP43" i="64"/>
  <c r="BV43" i="64" s="1"/>
  <c r="Q42" i="82" s="1"/>
  <c r="BM7" i="64"/>
  <c r="BS7" i="64" s="1"/>
  <c r="N6" i="82" s="1"/>
  <c r="BP38" i="64"/>
  <c r="BV38" i="64" s="1"/>
  <c r="Q37" i="82" s="1"/>
  <c r="BO38" i="64"/>
  <c r="BU38" i="64" s="1"/>
  <c r="P37" i="82" s="1"/>
  <c r="BP54" i="64"/>
  <c r="BV54" i="64" s="1"/>
  <c r="Q53" i="82" s="1"/>
  <c r="BO41" i="64"/>
  <c r="F7" i="101" s="1"/>
  <c r="BO14" i="64"/>
  <c r="BU14" i="64" s="1"/>
  <c r="P13" i="82" s="1"/>
  <c r="BP40" i="64"/>
  <c r="G6" i="101" s="1"/>
  <c r="BH22" i="64"/>
  <c r="BH40" i="64"/>
  <c r="AR20" i="64"/>
  <c r="AG20" i="64"/>
  <c r="AF34" i="64"/>
  <c r="AQ34" i="64"/>
  <c r="BH34" i="64"/>
  <c r="BJ22" i="64"/>
  <c r="BI31" i="64"/>
  <c r="BJ57" i="64"/>
  <c r="BH47" i="64"/>
  <c r="BJ60" i="64"/>
  <c r="BH54" i="64"/>
  <c r="BG12" i="64"/>
  <c r="BJ35" i="64"/>
  <c r="BJ59" i="64"/>
  <c r="BG32" i="64"/>
  <c r="BG35" i="64"/>
  <c r="BJ51" i="64"/>
  <c r="BG17" i="64"/>
  <c r="BJ17" i="64"/>
  <c r="BJ37" i="64"/>
  <c r="AR30" i="64"/>
  <c r="AP38" i="64"/>
  <c r="AO7" i="64"/>
  <c r="AO27" i="64"/>
  <c r="AR43" i="64"/>
  <c r="AR14" i="64"/>
  <c r="AQ14" i="64"/>
  <c r="AR31" i="64"/>
  <c r="BH19" i="64"/>
  <c r="AR49" i="64"/>
  <c r="AP52" i="64"/>
  <c r="AQ46" i="64"/>
  <c r="AQ43" i="64"/>
  <c r="BH8" i="64"/>
  <c r="BH36" i="64"/>
  <c r="AG15" i="64"/>
  <c r="AG24" i="64"/>
  <c r="AR24" i="64"/>
  <c r="AG11" i="64"/>
  <c r="AR11" i="64"/>
  <c r="AG7" i="64"/>
  <c r="AG34" i="64"/>
  <c r="AD49" i="64"/>
  <c r="AE11" i="64"/>
  <c r="AP11" i="64"/>
  <c r="AE27" i="64"/>
  <c r="AP27" i="64"/>
  <c r="AF6" i="64"/>
  <c r="AG28" i="64"/>
  <c r="AR28" i="64"/>
  <c r="AF27" i="64"/>
  <c r="AG52" i="64"/>
  <c r="AD6" i="64"/>
  <c r="AG26" i="64"/>
  <c r="AG19" i="64"/>
  <c r="AR19" i="64"/>
  <c r="AG36" i="64"/>
  <c r="AR36" i="64"/>
  <c r="AF49" i="64"/>
  <c r="AR26" i="64"/>
  <c r="AC6" i="64"/>
  <c r="AN6" i="64" s="1"/>
  <c r="BF6" i="64" s="1"/>
  <c r="AQ27" i="64"/>
  <c r="AO49" i="64"/>
  <c r="AA6" i="64"/>
  <c r="AL6" i="64" s="1"/>
  <c r="BD6" i="64" s="1"/>
  <c r="AR52" i="64"/>
  <c r="BG11" i="58"/>
  <c r="AC27" i="64"/>
  <c r="AN27" i="64" s="1"/>
  <c r="BF27" i="64" s="1"/>
  <c r="AR15" i="64"/>
  <c r="AR34" i="64"/>
  <c r="AO6" i="64"/>
  <c r="AR7" i="64"/>
  <c r="AQ49" i="64"/>
  <c r="BJ53" i="64"/>
  <c r="BJ41" i="64"/>
  <c r="BI20" i="64"/>
  <c r="BJ40" i="64"/>
  <c r="BJ30" i="64"/>
  <c r="BI19" i="64"/>
  <c r="BJ42" i="64"/>
  <c r="BI15" i="64"/>
  <c r="BG16" i="64"/>
  <c r="BG60" i="64"/>
  <c r="BG36" i="64"/>
  <c r="BG54" i="64"/>
  <c r="BG61" i="64"/>
  <c r="BG26" i="64"/>
  <c r="BG31" i="64"/>
  <c r="BJ54" i="64"/>
  <c r="BI37" i="64"/>
  <c r="BH43" i="64"/>
  <c r="BH52" i="64"/>
  <c r="BI54" i="64"/>
  <c r="BH28" i="64"/>
  <c r="BJ32" i="64"/>
  <c r="BI52" i="64"/>
  <c r="BI47" i="64"/>
  <c r="BH49" i="64"/>
  <c r="BI43" i="64"/>
  <c r="BI29" i="64"/>
  <c r="BG23" i="64"/>
  <c r="BG52" i="64"/>
  <c r="BG21" i="64"/>
  <c r="BG58" i="64"/>
  <c r="BG42" i="64"/>
  <c r="BG43" i="64"/>
  <c r="BJ61" i="64"/>
  <c r="BH32" i="64"/>
  <c r="BI26" i="64"/>
  <c r="BH29" i="64"/>
  <c r="BJ38" i="64"/>
  <c r="BH15" i="64"/>
  <c r="BJ49" i="64"/>
  <c r="BH30" i="64"/>
  <c r="BJ29" i="64"/>
  <c r="BI28" i="64"/>
  <c r="BJ55" i="64"/>
  <c r="BH23" i="64"/>
  <c r="BH14" i="64"/>
  <c r="BJ50" i="64"/>
  <c r="BI41" i="64"/>
  <c r="BH38" i="64"/>
  <c r="BJ9" i="64"/>
  <c r="BI16" i="64"/>
  <c r="BJ31" i="64"/>
  <c r="BG29" i="64"/>
  <c r="BG30" i="64"/>
  <c r="BG22" i="64"/>
  <c r="BG37" i="64"/>
  <c r="BG40" i="64"/>
  <c r="BI46" i="64"/>
  <c r="BH7" i="64"/>
  <c r="BH26" i="64"/>
  <c r="BI55" i="64"/>
  <c r="BJ47" i="64"/>
  <c r="BJ23" i="64"/>
  <c r="BI30" i="64"/>
  <c r="BG20" i="64"/>
  <c r="BG28" i="64"/>
  <c r="BG53" i="64"/>
  <c r="BG19" i="64"/>
  <c r="BG18" i="64"/>
  <c r="BD11" i="58"/>
  <c r="BI11" i="58"/>
  <c r="BJ11" i="58"/>
  <c r="BI64" i="58"/>
  <c r="BG64" i="58"/>
  <c r="BH64" i="58"/>
  <c r="BF64" i="58"/>
  <c r="BD64" i="58"/>
  <c r="BJ64" i="58"/>
  <c r="BC5" i="58"/>
  <c r="BC4" i="58" s="1"/>
  <c r="O8" i="101" l="1"/>
  <c r="BV44" i="64" s="1"/>
  <c r="Q43" i="82" s="1"/>
  <c r="O6" i="101"/>
  <c r="BV40" i="64" s="1"/>
  <c r="Q39" i="82" s="1"/>
  <c r="O7" i="101"/>
  <c r="BV41" i="64" s="1"/>
  <c r="Q40" i="82" s="1"/>
  <c r="M8" i="101"/>
  <c r="BT44" i="64" s="1"/>
  <c r="O43" i="82" s="1"/>
  <c r="M6" i="101"/>
  <c r="BT40" i="64" s="1"/>
  <c r="O39" i="82" s="1"/>
  <c r="M7" i="101"/>
  <c r="BT41" i="64" s="1"/>
  <c r="O40" i="82" s="1"/>
  <c r="L8" i="101"/>
  <c r="L7" i="101"/>
  <c r="BS41" i="64" s="1"/>
  <c r="N40" i="82" s="1"/>
  <c r="L6" i="101"/>
  <c r="BS40" i="64" s="1"/>
  <c r="N39" i="82" s="1"/>
  <c r="BO40" i="64"/>
  <c r="F6" i="101" s="1"/>
  <c r="BP20" i="64"/>
  <c r="BV20" i="64" s="1"/>
  <c r="Q19" i="82" s="1"/>
  <c r="BP7" i="64"/>
  <c r="BV7" i="64" s="1"/>
  <c r="Q6" i="82" s="1"/>
  <c r="BP26" i="64"/>
  <c r="BV26" i="64" s="1"/>
  <c r="Q25" i="82" s="1"/>
  <c r="BP19" i="64"/>
  <c r="BV19" i="64" s="1"/>
  <c r="Q18" i="82" s="1"/>
  <c r="BM6" i="64"/>
  <c r="BN11" i="64"/>
  <c r="BT11" i="64" s="1"/>
  <c r="O10" i="82" s="1"/>
  <c r="BP34" i="64"/>
  <c r="BV34" i="64" s="1"/>
  <c r="Q33" i="82" s="1"/>
  <c r="BP15" i="64"/>
  <c r="BV15" i="64" s="1"/>
  <c r="Q14" i="82" s="1"/>
  <c r="BO49" i="64"/>
  <c r="BU49" i="64" s="1"/>
  <c r="P48" i="82" s="1"/>
  <c r="BP11" i="64"/>
  <c r="BV11" i="64" s="1"/>
  <c r="Q10" i="82" s="1"/>
  <c r="BO27" i="64"/>
  <c r="BU27" i="64" s="1"/>
  <c r="P26" i="82" s="1"/>
  <c r="BP36" i="64"/>
  <c r="BV36" i="64" s="1"/>
  <c r="Q35" i="82" s="1"/>
  <c r="BP52" i="64"/>
  <c r="BV52" i="64" s="1"/>
  <c r="Q51" i="82" s="1"/>
  <c r="BO34" i="64"/>
  <c r="BU34" i="64" s="1"/>
  <c r="P33" i="82" s="1"/>
  <c r="BN27" i="64"/>
  <c r="BT27" i="64" s="1"/>
  <c r="O26" i="82" s="1"/>
  <c r="BM49" i="64"/>
  <c r="BS49" i="64" s="1"/>
  <c r="N48" i="82" s="1"/>
  <c r="BO6" i="64"/>
  <c r="BU6" i="64" s="1"/>
  <c r="P5" i="82" s="1"/>
  <c r="BP24" i="64"/>
  <c r="BV24" i="64" s="1"/>
  <c r="Q23" i="82" s="1"/>
  <c r="BP28" i="64"/>
  <c r="BV28" i="64" s="1"/>
  <c r="Q27" i="82" s="1"/>
  <c r="BI34" i="64"/>
  <c r="BI40" i="64"/>
  <c r="BJ20" i="64"/>
  <c r="BJ46" i="64"/>
  <c r="BJ43" i="64"/>
  <c r="BJ14" i="64"/>
  <c r="BJ16" i="64"/>
  <c r="BJ19" i="64"/>
  <c r="BG55" i="64"/>
  <c r="BI49" i="64"/>
  <c r="AQ6" i="64"/>
  <c r="BI7" i="64"/>
  <c r="AG27" i="64"/>
  <c r="AR27" i="64"/>
  <c r="AE6" i="64"/>
  <c r="AG6" i="64"/>
  <c r="AR6" i="64"/>
  <c r="BG6" i="64"/>
  <c r="AP6" i="64"/>
  <c r="BH24" i="64"/>
  <c r="BJ34" i="64"/>
  <c r="BJ36" i="64"/>
  <c r="BI38" i="64"/>
  <c r="BI14" i="64"/>
  <c r="BG50" i="64"/>
  <c r="BG34" i="64"/>
  <c r="BG47" i="64"/>
  <c r="BH11" i="64"/>
  <c r="BJ24" i="64"/>
  <c r="BG14" i="64"/>
  <c r="BJ26" i="64"/>
  <c r="BJ15" i="64"/>
  <c r="BJ11" i="64"/>
  <c r="BI11" i="64"/>
  <c r="BI24" i="64"/>
  <c r="BJ28" i="64"/>
  <c r="BG7" i="64"/>
  <c r="BG11" i="64"/>
  <c r="BG41" i="64"/>
  <c r="BG46" i="64"/>
  <c r="BJ7" i="64"/>
  <c r="BJ52" i="64"/>
  <c r="BG15" i="64"/>
  <c r="BG27" i="64"/>
  <c r="BG24" i="64"/>
  <c r="BC6" i="58"/>
  <c r="BS6" i="64" l="1"/>
  <c r="N5" i="82" s="1"/>
  <c r="BS44" i="64"/>
  <c r="N43" i="82" s="1"/>
  <c r="N8" i="101"/>
  <c r="N7" i="101"/>
  <c r="BU41" i="64" s="1"/>
  <c r="P40" i="82" s="1"/>
  <c r="N6" i="101"/>
  <c r="BU40" i="64" s="1"/>
  <c r="P39" i="82" s="1"/>
  <c r="BN6" i="64"/>
  <c r="BT6" i="64" s="1"/>
  <c r="O5" i="82" s="1"/>
  <c r="BP27" i="64"/>
  <c r="BV27" i="64" s="1"/>
  <c r="Q26" i="82" s="1"/>
  <c r="BP6" i="64"/>
  <c r="BV6" i="64" s="1"/>
  <c r="Q5" i="82" s="1"/>
  <c r="BI6" i="64"/>
  <c r="BH27" i="64"/>
  <c r="BG49" i="64"/>
  <c r="BJ6" i="64"/>
  <c r="BH6" i="64"/>
  <c r="BG38" i="64"/>
  <c r="BI27" i="64"/>
  <c r="BJ27" i="64"/>
  <c r="M63" i="82" l="1"/>
  <c r="BU44" i="64"/>
  <c r="P43" i="82" s="1"/>
  <c r="N63" i="82" s="1"/>
  <c r="O63" i="82" s="1"/>
  <c r="M64" i="82" l="1"/>
  <c r="B63" i="82"/>
  <c r="D66" i="100"/>
  <c r="BW30" i="64" l="1"/>
  <c r="BZ30" i="64" s="1"/>
  <c r="BW42" i="64"/>
  <c r="BY42" i="64" s="1"/>
  <c r="BW56" i="64"/>
  <c r="BX56" i="64" s="1"/>
  <c r="BW54" i="64"/>
  <c r="BY54" i="64" s="1"/>
  <c r="BW12" i="64"/>
  <c r="BZ12" i="64" s="1"/>
  <c r="BW38" i="64"/>
  <c r="BX38" i="64" s="1"/>
  <c r="BW15" i="64"/>
  <c r="CA15" i="64" s="1"/>
  <c r="BW33" i="64"/>
  <c r="BW24" i="64"/>
  <c r="BW46" i="64"/>
  <c r="BW53" i="64"/>
  <c r="BW43" i="64"/>
  <c r="BW9" i="64"/>
  <c r="BW37" i="64"/>
  <c r="BW22" i="64"/>
  <c r="BW40" i="64"/>
  <c r="BW14" i="64"/>
  <c r="BW51" i="64"/>
  <c r="BW28" i="64"/>
  <c r="BW47" i="64"/>
  <c r="BW31" i="64"/>
  <c r="BW25" i="64"/>
  <c r="BW57" i="64"/>
  <c r="BW8" i="64"/>
  <c r="BW29" i="64"/>
  <c r="BW39" i="64"/>
  <c r="BW52" i="64"/>
  <c r="BW44" i="64"/>
  <c r="BW41" i="64"/>
  <c r="BW7" i="64"/>
  <c r="BW21" i="64"/>
  <c r="BW23" i="64"/>
  <c r="BW17" i="64"/>
  <c r="BW36" i="64"/>
  <c r="BW49" i="64"/>
  <c r="BW58" i="64"/>
  <c r="BW34" i="64"/>
  <c r="BW50" i="64"/>
  <c r="BW35" i="64"/>
  <c r="BW61" i="64"/>
  <c r="BW32" i="64"/>
  <c r="BW18" i="64"/>
  <c r="BW55" i="64"/>
  <c r="BW60" i="64"/>
  <c r="BW10" i="64"/>
  <c r="BW45" i="64"/>
  <c r="BW27" i="64"/>
  <c r="BW11" i="64"/>
  <c r="BW16" i="64"/>
  <c r="BW19" i="64"/>
  <c r="BW59" i="64"/>
  <c r="BW20" i="64"/>
  <c r="BW48" i="64"/>
  <c r="BW26" i="64"/>
  <c r="BW6" i="64"/>
  <c r="BW13" i="64"/>
  <c r="BX54" i="64" l="1"/>
  <c r="CG54" i="64" s="1"/>
  <c r="CA30" i="64"/>
  <c r="F29" i="102" s="1"/>
  <c r="X29" i="102" s="1"/>
  <c r="BY30" i="64"/>
  <c r="D29" i="82" s="1"/>
  <c r="BX12" i="64"/>
  <c r="C11" i="102" s="1"/>
  <c r="U11" i="102" s="1"/>
  <c r="CA12" i="64"/>
  <c r="F11" i="82" s="1"/>
  <c r="BY12" i="64"/>
  <c r="D11" i="82" s="1"/>
  <c r="BZ56" i="64"/>
  <c r="E55" i="102" s="1"/>
  <c r="W55" i="102" s="1"/>
  <c r="E11" i="102"/>
  <c r="W11" i="102" s="1"/>
  <c r="E11" i="82"/>
  <c r="E29" i="82"/>
  <c r="E29" i="102"/>
  <c r="W29" i="102" s="1"/>
  <c r="C37" i="102"/>
  <c r="U37" i="102" s="1"/>
  <c r="C37" i="82"/>
  <c r="BX30" i="64"/>
  <c r="CB30" i="64" s="1"/>
  <c r="D53" i="82"/>
  <c r="D53" i="102"/>
  <c r="V53" i="102" s="1"/>
  <c r="F14" i="102"/>
  <c r="X14" i="102" s="1"/>
  <c r="F14" i="82"/>
  <c r="C55" i="102"/>
  <c r="U55" i="102" s="1"/>
  <c r="C55" i="82"/>
  <c r="CC42" i="64"/>
  <c r="D41" i="102"/>
  <c r="V41" i="102" s="1"/>
  <c r="D41" i="82"/>
  <c r="BZ38" i="64"/>
  <c r="CI38" i="64" s="1"/>
  <c r="BZ42" i="64"/>
  <c r="CI42" i="64" s="1"/>
  <c r="BX15" i="64"/>
  <c r="CG15" i="64" s="1"/>
  <c r="BZ54" i="64"/>
  <c r="CD54" i="64" s="1"/>
  <c r="CA54" i="64"/>
  <c r="CE54" i="64" s="1"/>
  <c r="CA38" i="64"/>
  <c r="BX42" i="64"/>
  <c r="CG42" i="64" s="1"/>
  <c r="BY38" i="64"/>
  <c r="CH38" i="64" s="1"/>
  <c r="CA56" i="64"/>
  <c r="CE56" i="64" s="1"/>
  <c r="CA42" i="64"/>
  <c r="BZ15" i="64"/>
  <c r="CD15" i="64" s="1"/>
  <c r="CH42" i="64"/>
  <c r="BY56" i="64"/>
  <c r="CH56" i="64" s="1"/>
  <c r="BY15" i="64"/>
  <c r="BX31" i="64"/>
  <c r="BZ31" i="64"/>
  <c r="CA31" i="64"/>
  <c r="BY31" i="64"/>
  <c r="CB42" i="64"/>
  <c r="CB54" i="64"/>
  <c r="CG56" i="64"/>
  <c r="CB56" i="64"/>
  <c r="BX26" i="64"/>
  <c r="BY26" i="64"/>
  <c r="BZ26" i="64"/>
  <c r="CA26" i="64"/>
  <c r="CA19" i="64"/>
  <c r="BX19" i="64"/>
  <c r="BZ19" i="64"/>
  <c r="BY19" i="64"/>
  <c r="BX45" i="64"/>
  <c r="BZ45" i="64"/>
  <c r="CA45" i="64"/>
  <c r="BY45" i="64"/>
  <c r="BY18" i="64"/>
  <c r="BX18" i="64"/>
  <c r="CA18" i="64"/>
  <c r="BZ18" i="64"/>
  <c r="BX50" i="64"/>
  <c r="CA50" i="64"/>
  <c r="BY50" i="64"/>
  <c r="BZ50" i="64"/>
  <c r="BX36" i="64"/>
  <c r="CA36" i="64"/>
  <c r="BZ36" i="64"/>
  <c r="BY36" i="64"/>
  <c r="CA7" i="64"/>
  <c r="BX7" i="64"/>
  <c r="BY7" i="64"/>
  <c r="BZ7" i="64"/>
  <c r="BX39" i="64"/>
  <c r="BZ39" i="64"/>
  <c r="CA39" i="64"/>
  <c r="BY39" i="64"/>
  <c r="BY25" i="64"/>
  <c r="BZ25" i="64"/>
  <c r="BX25" i="64"/>
  <c r="CA25" i="64"/>
  <c r="CA51" i="64"/>
  <c r="BY51" i="64"/>
  <c r="BX51" i="64"/>
  <c r="BZ51" i="64"/>
  <c r="BX37" i="64"/>
  <c r="BY37" i="64"/>
  <c r="BZ37" i="64"/>
  <c r="CA37" i="64"/>
  <c r="BX46" i="64"/>
  <c r="CA46" i="64"/>
  <c r="BZ46" i="64"/>
  <c r="BY46" i="64"/>
  <c r="CE30" i="64"/>
  <c r="CJ30" i="64"/>
  <c r="CC54" i="64"/>
  <c r="CH54" i="64"/>
  <c r="BX48" i="64"/>
  <c r="CA48" i="64"/>
  <c r="BY48" i="64"/>
  <c r="BZ48" i="64"/>
  <c r="BX16" i="64"/>
  <c r="CA16" i="64"/>
  <c r="BY16" i="64"/>
  <c r="BZ16" i="64"/>
  <c r="BX10" i="64"/>
  <c r="CA10" i="64"/>
  <c r="BY10" i="64"/>
  <c r="BZ10" i="64"/>
  <c r="BX32" i="64"/>
  <c r="BY32" i="64"/>
  <c r="CA32" i="64"/>
  <c r="BZ32" i="64"/>
  <c r="CA34" i="64"/>
  <c r="BY34" i="64"/>
  <c r="BX34" i="64"/>
  <c r="BZ34" i="64"/>
  <c r="BX17" i="64"/>
  <c r="CA17" i="64"/>
  <c r="BY17" i="64"/>
  <c r="BZ17" i="64"/>
  <c r="BX41" i="64"/>
  <c r="BZ41" i="64"/>
  <c r="CA41" i="64"/>
  <c r="BY41" i="64"/>
  <c r="BX29" i="64"/>
  <c r="CA29" i="64"/>
  <c r="BY29" i="64"/>
  <c r="BZ29" i="64"/>
  <c r="BX14" i="64"/>
  <c r="BZ14" i="64"/>
  <c r="BY14" i="64"/>
  <c r="CA14" i="64"/>
  <c r="BX9" i="64"/>
  <c r="BY9" i="64"/>
  <c r="BZ9" i="64"/>
  <c r="CA9" i="64"/>
  <c r="BX24" i="64"/>
  <c r="BY24" i="64"/>
  <c r="BZ24" i="64"/>
  <c r="CA24" i="64"/>
  <c r="BX13" i="64"/>
  <c r="BY13" i="64"/>
  <c r="BZ13" i="64"/>
  <c r="CA13" i="64"/>
  <c r="BX20" i="64"/>
  <c r="BZ20" i="64"/>
  <c r="CA20" i="64"/>
  <c r="BY20" i="64"/>
  <c r="BX11" i="64"/>
  <c r="CA11" i="64"/>
  <c r="BY11" i="64"/>
  <c r="BZ11" i="64"/>
  <c r="BX60" i="64"/>
  <c r="BZ60" i="64"/>
  <c r="BY60" i="64"/>
  <c r="CA60" i="64"/>
  <c r="BX61" i="64"/>
  <c r="CA61" i="64"/>
  <c r="BZ61" i="64"/>
  <c r="BY61" i="64"/>
  <c r="CA58" i="64"/>
  <c r="BX58" i="64"/>
  <c r="BY58" i="64"/>
  <c r="BZ58" i="64"/>
  <c r="BX23" i="64"/>
  <c r="BZ23" i="64"/>
  <c r="CA23" i="64"/>
  <c r="BY23" i="64"/>
  <c r="BX44" i="64"/>
  <c r="BY44" i="64"/>
  <c r="CA44" i="64"/>
  <c r="BZ44" i="64"/>
  <c r="BX8" i="64"/>
  <c r="BY8" i="64"/>
  <c r="CA8" i="64"/>
  <c r="BZ8" i="64"/>
  <c r="BX47" i="64"/>
  <c r="CA47" i="64"/>
  <c r="BY47" i="64"/>
  <c r="BZ47" i="64"/>
  <c r="BZ40" i="64"/>
  <c r="CA40" i="64"/>
  <c r="BY40" i="64"/>
  <c r="BX40" i="64"/>
  <c r="BX43" i="64"/>
  <c r="BY43" i="64"/>
  <c r="CA43" i="64"/>
  <c r="BZ43" i="64"/>
  <c r="BX33" i="64"/>
  <c r="BY33" i="64"/>
  <c r="CA33" i="64"/>
  <c r="BZ33" i="64"/>
  <c r="CG38" i="64"/>
  <c r="CB38" i="64"/>
  <c r="CD12" i="64"/>
  <c r="CI12" i="64"/>
  <c r="CE15" i="64"/>
  <c r="CJ15" i="64"/>
  <c r="CD30" i="64"/>
  <c r="CI30" i="64"/>
  <c r="BX6" i="64"/>
  <c r="BY6" i="64"/>
  <c r="BZ6" i="64"/>
  <c r="CA6" i="64"/>
  <c r="BX59" i="64"/>
  <c r="BY59" i="64"/>
  <c r="BZ59" i="64"/>
  <c r="CA59" i="64"/>
  <c r="BX27" i="64"/>
  <c r="CA27" i="64"/>
  <c r="BZ27" i="64"/>
  <c r="BY27" i="64"/>
  <c r="BZ55" i="64"/>
  <c r="CA55" i="64"/>
  <c r="BX55" i="64"/>
  <c r="BY55" i="64"/>
  <c r="BX35" i="64"/>
  <c r="CA35" i="64"/>
  <c r="BZ35" i="64"/>
  <c r="BY35" i="64"/>
  <c r="BX49" i="64"/>
  <c r="BY49" i="64"/>
  <c r="CA49" i="64"/>
  <c r="BZ49" i="64"/>
  <c r="BX21" i="64"/>
  <c r="BZ21" i="64"/>
  <c r="BY21" i="64"/>
  <c r="CA21" i="64"/>
  <c r="BZ52" i="64"/>
  <c r="CA52" i="64"/>
  <c r="BY52" i="64"/>
  <c r="BX52" i="64"/>
  <c r="BX57" i="64"/>
  <c r="CA57" i="64"/>
  <c r="BZ57" i="64"/>
  <c r="BY57" i="64"/>
  <c r="BX28" i="64"/>
  <c r="BZ28" i="64"/>
  <c r="CA28" i="64"/>
  <c r="BY28" i="64"/>
  <c r="BX22" i="64"/>
  <c r="BY22" i="64"/>
  <c r="CA22" i="64"/>
  <c r="BZ22" i="64"/>
  <c r="CA53" i="64"/>
  <c r="BX53" i="64"/>
  <c r="BY53" i="64"/>
  <c r="BZ53" i="64"/>
  <c r="CH30" i="64" l="1"/>
  <c r="C53" i="102"/>
  <c r="U53" i="102" s="1"/>
  <c r="C53" i="82"/>
  <c r="CC12" i="64"/>
  <c r="CB12" i="64"/>
  <c r="F11" i="102"/>
  <c r="X11" i="102" s="1"/>
  <c r="CG12" i="64"/>
  <c r="C11" i="82"/>
  <c r="CE12" i="64"/>
  <c r="CJ12" i="64"/>
  <c r="CJ54" i="64"/>
  <c r="CJ56" i="64"/>
  <c r="CI54" i="64"/>
  <c r="F29" i="82"/>
  <c r="CG30" i="64"/>
  <c r="D29" i="102"/>
  <c r="V29" i="102" s="1"/>
  <c r="CC30" i="64"/>
  <c r="CC38" i="64"/>
  <c r="CH12" i="64"/>
  <c r="D11" i="102"/>
  <c r="V11" i="102" s="1"/>
  <c r="CI56" i="64"/>
  <c r="CB15" i="64"/>
  <c r="CI15" i="64"/>
  <c r="E55" i="82"/>
  <c r="CC56" i="64"/>
  <c r="CD56" i="64"/>
  <c r="E52" i="102"/>
  <c r="W52" i="102" s="1"/>
  <c r="E52" i="82"/>
  <c r="E21" i="82"/>
  <c r="E21" i="102"/>
  <c r="W21" i="102" s="1"/>
  <c r="C51" i="102"/>
  <c r="U51" i="102" s="1"/>
  <c r="C51" i="82"/>
  <c r="E48" i="102"/>
  <c r="W48" i="102" s="1"/>
  <c r="E48" i="82"/>
  <c r="D54" i="102"/>
  <c r="V54" i="102" s="1"/>
  <c r="D54" i="82"/>
  <c r="F5" i="102"/>
  <c r="X5" i="102" s="1"/>
  <c r="F5" i="82"/>
  <c r="D52" i="82"/>
  <c r="D52" i="102"/>
  <c r="V52" i="102" s="1"/>
  <c r="F21" i="102"/>
  <c r="X21" i="102" s="1"/>
  <c r="F21" i="82"/>
  <c r="D51" i="102"/>
  <c r="V51" i="102" s="1"/>
  <c r="D51" i="82"/>
  <c r="F48" i="102"/>
  <c r="X48" i="102" s="1"/>
  <c r="F48" i="82"/>
  <c r="E34" i="82"/>
  <c r="E34" i="102"/>
  <c r="W34" i="102" s="1"/>
  <c r="E26" i="82"/>
  <c r="E26" i="102"/>
  <c r="W26" i="102" s="1"/>
  <c r="E5" i="102"/>
  <c r="W5" i="102" s="1"/>
  <c r="E5" i="82"/>
  <c r="C32" i="82"/>
  <c r="C32" i="102"/>
  <c r="U32" i="102" s="1"/>
  <c r="C42" i="102"/>
  <c r="U42" i="102" s="1"/>
  <c r="C42" i="82"/>
  <c r="C7" i="102"/>
  <c r="U7" i="102" s="1"/>
  <c r="C7" i="82"/>
  <c r="C22" i="102"/>
  <c r="U22" i="102" s="1"/>
  <c r="C22" i="82"/>
  <c r="F57" i="102"/>
  <c r="X57" i="102" s="1"/>
  <c r="F57" i="82"/>
  <c r="C59" i="82"/>
  <c r="C59" i="102"/>
  <c r="U59" i="102" s="1"/>
  <c r="C12" i="102"/>
  <c r="U12" i="102" s="1"/>
  <c r="C12" i="82"/>
  <c r="C23" i="102"/>
  <c r="U23" i="102" s="1"/>
  <c r="C23" i="82"/>
  <c r="C13" i="102"/>
  <c r="U13" i="102" s="1"/>
  <c r="C13" i="82"/>
  <c r="C40" i="82"/>
  <c r="C40" i="102"/>
  <c r="U40" i="102" s="1"/>
  <c r="C16" i="102"/>
  <c r="U16" i="102" s="1"/>
  <c r="C16" i="82"/>
  <c r="C15" i="102"/>
  <c r="U15" i="102" s="1"/>
  <c r="C15" i="82"/>
  <c r="C52" i="102"/>
  <c r="U52" i="102" s="1"/>
  <c r="C52" i="82"/>
  <c r="D21" i="82"/>
  <c r="D21" i="102"/>
  <c r="V21" i="102" s="1"/>
  <c r="F56" i="102"/>
  <c r="X56" i="102" s="1"/>
  <c r="F56" i="82"/>
  <c r="F51" i="102"/>
  <c r="X51" i="102" s="1"/>
  <c r="F51" i="82"/>
  <c r="E20" i="102"/>
  <c r="W20" i="102" s="1"/>
  <c r="E20" i="82"/>
  <c r="D48" i="82"/>
  <c r="D48" i="102"/>
  <c r="V48" i="102" s="1"/>
  <c r="F54" i="102"/>
  <c r="X54" i="102" s="1"/>
  <c r="F54" i="82"/>
  <c r="F26" i="102"/>
  <c r="X26" i="102" s="1"/>
  <c r="F26" i="82"/>
  <c r="D58" i="102"/>
  <c r="V58" i="102" s="1"/>
  <c r="D58" i="82"/>
  <c r="D5" i="102"/>
  <c r="V5" i="102" s="1"/>
  <c r="D5" i="82"/>
  <c r="E32" i="102"/>
  <c r="W32" i="102" s="1"/>
  <c r="E32" i="82"/>
  <c r="E42" i="82"/>
  <c r="E42" i="102"/>
  <c r="W42" i="102" s="1"/>
  <c r="C39" i="82"/>
  <c r="C39" i="102"/>
  <c r="U39" i="102" s="1"/>
  <c r="E46" i="82"/>
  <c r="E46" i="102"/>
  <c r="W46" i="102" s="1"/>
  <c r="E43" i="102"/>
  <c r="W43" i="102" s="1"/>
  <c r="E43" i="82"/>
  <c r="D22" i="102"/>
  <c r="V22" i="102" s="1"/>
  <c r="D22" i="82"/>
  <c r="E57" i="102"/>
  <c r="W57" i="102" s="1"/>
  <c r="E57" i="82"/>
  <c r="D60" i="82"/>
  <c r="D60" i="102"/>
  <c r="V60" i="102" s="1"/>
  <c r="E10" i="102"/>
  <c r="W10" i="102" s="1"/>
  <c r="E10" i="82"/>
  <c r="D19" i="102"/>
  <c r="V19" i="102" s="1"/>
  <c r="D19" i="82"/>
  <c r="F12" i="102"/>
  <c r="X12" i="102" s="1"/>
  <c r="F12" i="82"/>
  <c r="F8" i="102"/>
  <c r="X8" i="102" s="1"/>
  <c r="F8" i="82"/>
  <c r="F13" i="102"/>
  <c r="X13" i="102" s="1"/>
  <c r="F13" i="82"/>
  <c r="D40" i="102"/>
  <c r="V40" i="102" s="1"/>
  <c r="D40" i="82"/>
  <c r="E16" i="102"/>
  <c r="W16" i="102" s="1"/>
  <c r="E16" i="82"/>
  <c r="E31" i="102"/>
  <c r="W31" i="102" s="1"/>
  <c r="E31" i="82"/>
  <c r="F52" i="102"/>
  <c r="X52" i="102" s="1"/>
  <c r="F52" i="82"/>
  <c r="C21" i="102"/>
  <c r="U21" i="102" s="1"/>
  <c r="C21" i="82"/>
  <c r="C27" i="82"/>
  <c r="C27" i="102"/>
  <c r="U27" i="102" s="1"/>
  <c r="C56" i="102"/>
  <c r="U56" i="102" s="1"/>
  <c r="C56" i="82"/>
  <c r="E51" i="102"/>
  <c r="W51" i="102" s="1"/>
  <c r="E51" i="82"/>
  <c r="C20" i="102"/>
  <c r="U20" i="102" s="1"/>
  <c r="C20" i="82"/>
  <c r="C48" i="102"/>
  <c r="U48" i="102" s="1"/>
  <c r="C48" i="82"/>
  <c r="C34" i="102"/>
  <c r="U34" i="102" s="1"/>
  <c r="C34" i="82"/>
  <c r="E54" i="82"/>
  <c r="E54" i="102"/>
  <c r="W54" i="102" s="1"/>
  <c r="C26" i="102"/>
  <c r="U26" i="102" s="1"/>
  <c r="C26" i="82"/>
  <c r="C58" i="102"/>
  <c r="U58" i="102" s="1"/>
  <c r="C58" i="82"/>
  <c r="C5" i="102"/>
  <c r="U5" i="102" s="1"/>
  <c r="C5" i="82"/>
  <c r="F32" i="102"/>
  <c r="X32" i="102" s="1"/>
  <c r="F32" i="82"/>
  <c r="F42" i="102"/>
  <c r="X42" i="102" s="1"/>
  <c r="F42" i="82"/>
  <c r="D39" i="102"/>
  <c r="V39" i="102" s="1"/>
  <c r="D39" i="82"/>
  <c r="D46" i="102"/>
  <c r="V46" i="102" s="1"/>
  <c r="D46" i="82"/>
  <c r="F7" i="102"/>
  <c r="X7" i="102" s="1"/>
  <c r="F7" i="82"/>
  <c r="F43" i="102"/>
  <c r="X43" i="102" s="1"/>
  <c r="F43" i="82"/>
  <c r="F22" i="102"/>
  <c r="X22" i="102" s="1"/>
  <c r="F22" i="82"/>
  <c r="D57" i="102"/>
  <c r="V57" i="102" s="1"/>
  <c r="D57" i="82"/>
  <c r="E60" i="102"/>
  <c r="W60" i="102" s="1"/>
  <c r="E60" i="82"/>
  <c r="D59" i="102"/>
  <c r="V59" i="102" s="1"/>
  <c r="D59" i="82"/>
  <c r="D10" i="102"/>
  <c r="V10" i="102" s="1"/>
  <c r="D10" i="82"/>
  <c r="F19" i="102"/>
  <c r="X19" i="102" s="1"/>
  <c r="F19" i="82"/>
  <c r="E12" i="102"/>
  <c r="W12" i="102" s="1"/>
  <c r="E12" i="82"/>
  <c r="E23" i="102"/>
  <c r="W23" i="102" s="1"/>
  <c r="E23" i="82"/>
  <c r="E8" i="102"/>
  <c r="W8" i="102" s="1"/>
  <c r="E8" i="82"/>
  <c r="D13" i="82"/>
  <c r="D13" i="102"/>
  <c r="V13" i="102" s="1"/>
  <c r="D28" i="102"/>
  <c r="V28" i="102" s="1"/>
  <c r="D28" i="82"/>
  <c r="F40" i="102"/>
  <c r="X40" i="102" s="1"/>
  <c r="F40" i="82"/>
  <c r="D16" i="102"/>
  <c r="V16" i="102" s="1"/>
  <c r="D16" i="82"/>
  <c r="C33" i="102"/>
  <c r="U33" i="102" s="1"/>
  <c r="C33" i="82"/>
  <c r="F31" i="102"/>
  <c r="X31" i="102" s="1"/>
  <c r="F31" i="82"/>
  <c r="D9" i="102"/>
  <c r="V9" i="102" s="1"/>
  <c r="D9" i="82"/>
  <c r="D15" i="102"/>
  <c r="V15" i="102" s="1"/>
  <c r="D15" i="82"/>
  <c r="D47" i="102"/>
  <c r="V47" i="102" s="1"/>
  <c r="D47" i="82"/>
  <c r="F45" i="102"/>
  <c r="X45" i="102" s="1"/>
  <c r="F45" i="82"/>
  <c r="D36" i="82"/>
  <c r="D36" i="102"/>
  <c r="V36" i="102" s="1"/>
  <c r="D50" i="102"/>
  <c r="V50" i="102" s="1"/>
  <c r="D50" i="82"/>
  <c r="E24" i="102"/>
  <c r="W24" i="102" s="1"/>
  <c r="E24" i="82"/>
  <c r="E38" i="82"/>
  <c r="E38" i="102"/>
  <c r="W38" i="102" s="1"/>
  <c r="C6" i="102"/>
  <c r="U6" i="102" s="1"/>
  <c r="C6" i="82"/>
  <c r="F35" i="102"/>
  <c r="X35" i="102" s="1"/>
  <c r="F35" i="82"/>
  <c r="F49" i="102"/>
  <c r="X49" i="102" s="1"/>
  <c r="F49" i="82"/>
  <c r="C17" i="102"/>
  <c r="U17" i="102" s="1"/>
  <c r="C17" i="82"/>
  <c r="E44" i="102"/>
  <c r="W44" i="102" s="1"/>
  <c r="E44" i="82"/>
  <c r="C18" i="102"/>
  <c r="U18" i="102" s="1"/>
  <c r="C18" i="82"/>
  <c r="D25" i="102"/>
  <c r="V25" i="102" s="1"/>
  <c r="D25" i="82"/>
  <c r="D30" i="102"/>
  <c r="V30" i="102" s="1"/>
  <c r="D30" i="82"/>
  <c r="CH15" i="64"/>
  <c r="D14" i="102"/>
  <c r="V14" i="102" s="1"/>
  <c r="D14" i="82"/>
  <c r="CJ42" i="64"/>
  <c r="F41" i="102"/>
  <c r="X41" i="102" s="1"/>
  <c r="F41" i="82"/>
  <c r="CE38" i="64"/>
  <c r="F37" i="102"/>
  <c r="X37" i="102" s="1"/>
  <c r="F37" i="82"/>
  <c r="CD42" i="64"/>
  <c r="E41" i="82"/>
  <c r="E41" i="102"/>
  <c r="W41" i="102" s="1"/>
  <c r="F14" i="103"/>
  <c r="F11" i="103"/>
  <c r="D34" i="102"/>
  <c r="V34" i="102" s="1"/>
  <c r="D34" i="82"/>
  <c r="D42" i="102"/>
  <c r="V42" i="102" s="1"/>
  <c r="D42" i="82"/>
  <c r="F39" i="102"/>
  <c r="X39" i="102" s="1"/>
  <c r="F39" i="82"/>
  <c r="F46" i="102"/>
  <c r="X46" i="102" s="1"/>
  <c r="F46" i="82"/>
  <c r="D7" i="102"/>
  <c r="V7" i="102" s="1"/>
  <c r="D7" i="82"/>
  <c r="D43" i="102"/>
  <c r="V43" i="102" s="1"/>
  <c r="D43" i="82"/>
  <c r="E22" i="102"/>
  <c r="W22" i="102" s="1"/>
  <c r="E22" i="82"/>
  <c r="C57" i="102"/>
  <c r="U57" i="102" s="1"/>
  <c r="C57" i="82"/>
  <c r="F60" i="102"/>
  <c r="X60" i="102" s="1"/>
  <c r="F60" i="82"/>
  <c r="E59" i="102"/>
  <c r="W59" i="102" s="1"/>
  <c r="E59" i="82"/>
  <c r="F10" i="102"/>
  <c r="X10" i="102" s="1"/>
  <c r="F10" i="82"/>
  <c r="E19" i="102"/>
  <c r="W19" i="102" s="1"/>
  <c r="E19" i="82"/>
  <c r="D12" i="102"/>
  <c r="V12" i="102" s="1"/>
  <c r="D12" i="82"/>
  <c r="D23" i="102"/>
  <c r="V23" i="102" s="1"/>
  <c r="D23" i="82"/>
  <c r="D8" i="102"/>
  <c r="V8" i="102" s="1"/>
  <c r="D8" i="82"/>
  <c r="E13" i="82"/>
  <c r="E13" i="102"/>
  <c r="W13" i="102" s="1"/>
  <c r="F28" i="102"/>
  <c r="X28" i="102" s="1"/>
  <c r="F28" i="82"/>
  <c r="E40" i="102"/>
  <c r="W40" i="102" s="1"/>
  <c r="E40" i="82"/>
  <c r="F16" i="102"/>
  <c r="X16" i="102" s="1"/>
  <c r="F16" i="82"/>
  <c r="D33" i="102"/>
  <c r="V33" i="102" s="1"/>
  <c r="D33" i="82"/>
  <c r="D31" i="102"/>
  <c r="V31" i="102" s="1"/>
  <c r="D31" i="82"/>
  <c r="F9" i="102"/>
  <c r="X9" i="102" s="1"/>
  <c r="F9" i="82"/>
  <c r="F15" i="102"/>
  <c r="X15" i="102" s="1"/>
  <c r="F15" i="82"/>
  <c r="F47" i="102"/>
  <c r="X47" i="102" s="1"/>
  <c r="F47" i="82"/>
  <c r="C45" i="102"/>
  <c r="U45" i="102" s="1"/>
  <c r="C45" i="82"/>
  <c r="C36" i="102"/>
  <c r="U36" i="102" s="1"/>
  <c r="C36" i="82"/>
  <c r="F50" i="102"/>
  <c r="X50" i="102" s="1"/>
  <c r="F50" i="82"/>
  <c r="D24" i="82"/>
  <c r="D24" i="102"/>
  <c r="V24" i="102" s="1"/>
  <c r="C38" i="102"/>
  <c r="U38" i="102" s="1"/>
  <c r="C38" i="82"/>
  <c r="F6" i="102"/>
  <c r="X6" i="102" s="1"/>
  <c r="F6" i="82"/>
  <c r="C35" i="82"/>
  <c r="C35" i="102"/>
  <c r="U35" i="102" s="1"/>
  <c r="C49" i="102"/>
  <c r="U49" i="102" s="1"/>
  <c r="C49" i="82"/>
  <c r="D17" i="102"/>
  <c r="V17" i="102" s="1"/>
  <c r="D17" i="82"/>
  <c r="C44" i="102"/>
  <c r="U44" i="102" s="1"/>
  <c r="C44" i="82"/>
  <c r="F18" i="102"/>
  <c r="X18" i="102" s="1"/>
  <c r="F18" i="82"/>
  <c r="C25" i="102"/>
  <c r="U25" i="102" s="1"/>
  <c r="C25" i="82"/>
  <c r="F30" i="102"/>
  <c r="X30" i="102" s="1"/>
  <c r="F30" i="82"/>
  <c r="D55" i="102"/>
  <c r="V55" i="102" s="1"/>
  <c r="D55" i="82"/>
  <c r="F55" i="102"/>
  <c r="X55" i="102" s="1"/>
  <c r="F55" i="82"/>
  <c r="F53" i="102"/>
  <c r="X53" i="102" s="1"/>
  <c r="F53" i="82"/>
  <c r="E37" i="82"/>
  <c r="E37" i="102"/>
  <c r="W37" i="102" s="1"/>
  <c r="C29" i="102"/>
  <c r="U29" i="102" s="1"/>
  <c r="C29" i="82"/>
  <c r="F29" i="103"/>
  <c r="D56" i="82"/>
  <c r="D56" i="102"/>
  <c r="V56" i="102" s="1"/>
  <c r="F58" i="102"/>
  <c r="X58" i="102" s="1"/>
  <c r="F58" i="82"/>
  <c r="F27" i="102"/>
  <c r="X27" i="102" s="1"/>
  <c r="F27" i="82"/>
  <c r="E58" i="102"/>
  <c r="W58" i="102" s="1"/>
  <c r="E58" i="82"/>
  <c r="C46" i="102"/>
  <c r="U46" i="102" s="1"/>
  <c r="C46" i="82"/>
  <c r="C10" i="102"/>
  <c r="U10" i="102" s="1"/>
  <c r="C10" i="82"/>
  <c r="C28" i="102"/>
  <c r="U28" i="102" s="1"/>
  <c r="C28" i="82"/>
  <c r="F33" i="102"/>
  <c r="X33" i="102" s="1"/>
  <c r="F33" i="82"/>
  <c r="C9" i="102"/>
  <c r="U9" i="102" s="1"/>
  <c r="C9" i="82"/>
  <c r="C47" i="102"/>
  <c r="U47" i="102" s="1"/>
  <c r="C47" i="82"/>
  <c r="D45" i="82"/>
  <c r="D45" i="102"/>
  <c r="V45" i="102" s="1"/>
  <c r="F36" i="102"/>
  <c r="X36" i="102" s="1"/>
  <c r="F36" i="82"/>
  <c r="E50" i="82"/>
  <c r="E50" i="102"/>
  <c r="W50" i="102" s="1"/>
  <c r="F24" i="102"/>
  <c r="X24" i="102" s="1"/>
  <c r="F24" i="82"/>
  <c r="D38" i="102"/>
  <c r="V38" i="102" s="1"/>
  <c r="D38" i="82"/>
  <c r="E6" i="102"/>
  <c r="W6" i="102" s="1"/>
  <c r="E6" i="82"/>
  <c r="D35" i="102"/>
  <c r="V35" i="102" s="1"/>
  <c r="D35" i="82"/>
  <c r="E49" i="82"/>
  <c r="E49" i="102"/>
  <c r="W49" i="102" s="1"/>
  <c r="E17" i="102"/>
  <c r="W17" i="102" s="1"/>
  <c r="E17" i="82"/>
  <c r="D44" i="102"/>
  <c r="V44" i="102" s="1"/>
  <c r="D44" i="82"/>
  <c r="D18" i="102"/>
  <c r="V18" i="102" s="1"/>
  <c r="D18" i="82"/>
  <c r="F25" i="102"/>
  <c r="X25" i="102" s="1"/>
  <c r="F25" i="82"/>
  <c r="E30" i="102"/>
  <c r="W30" i="102" s="1"/>
  <c r="E30" i="82"/>
  <c r="D37" i="102"/>
  <c r="V37" i="102" s="1"/>
  <c r="D37" i="82"/>
  <c r="E53" i="82"/>
  <c r="E53" i="102"/>
  <c r="W53" i="102" s="1"/>
  <c r="D27" i="102"/>
  <c r="V27" i="102" s="1"/>
  <c r="D27" i="82"/>
  <c r="F20" i="102"/>
  <c r="X20" i="102" s="1"/>
  <c r="F20" i="82"/>
  <c r="D26" i="102"/>
  <c r="V26" i="102" s="1"/>
  <c r="D26" i="82"/>
  <c r="D32" i="82"/>
  <c r="D32" i="102"/>
  <c r="V32" i="102" s="1"/>
  <c r="E56" i="102"/>
  <c r="W56" i="102" s="1"/>
  <c r="E56" i="82"/>
  <c r="D20" i="102"/>
  <c r="V20" i="102" s="1"/>
  <c r="D20" i="82"/>
  <c r="C54" i="102"/>
  <c r="U54" i="102" s="1"/>
  <c r="C54" i="82"/>
  <c r="E39" i="102"/>
  <c r="W39" i="102" s="1"/>
  <c r="E39" i="82"/>
  <c r="C43" i="82"/>
  <c r="C43" i="102"/>
  <c r="U43" i="102" s="1"/>
  <c r="C60" i="102"/>
  <c r="U60" i="102" s="1"/>
  <c r="C60" i="82"/>
  <c r="C19" i="102"/>
  <c r="U19" i="102" s="1"/>
  <c r="C19" i="82"/>
  <c r="C8" i="102"/>
  <c r="U8" i="102" s="1"/>
  <c r="C8" i="82"/>
  <c r="C31" i="102"/>
  <c r="U31" i="102" s="1"/>
  <c r="C31" i="82"/>
  <c r="E27" i="102"/>
  <c r="W27" i="102" s="1"/>
  <c r="E27" i="82"/>
  <c r="F34" i="102"/>
  <c r="X34" i="102" s="1"/>
  <c r="F34" i="82"/>
  <c r="E7" i="102"/>
  <c r="W7" i="102" s="1"/>
  <c r="E7" i="82"/>
  <c r="F59" i="102"/>
  <c r="X59" i="102" s="1"/>
  <c r="F59" i="82"/>
  <c r="F23" i="102"/>
  <c r="X23" i="102" s="1"/>
  <c r="F23" i="82"/>
  <c r="E28" i="102"/>
  <c r="W28" i="102" s="1"/>
  <c r="E28" i="82"/>
  <c r="E33" i="82"/>
  <c r="E33" i="102"/>
  <c r="W33" i="102" s="1"/>
  <c r="E9" i="102"/>
  <c r="W9" i="102" s="1"/>
  <c r="E9" i="82"/>
  <c r="E15" i="102"/>
  <c r="W15" i="102" s="1"/>
  <c r="E15" i="82"/>
  <c r="E47" i="102"/>
  <c r="W47" i="102" s="1"/>
  <c r="E47" i="82"/>
  <c r="E45" i="82"/>
  <c r="E45" i="102"/>
  <c r="W45" i="102" s="1"/>
  <c r="E36" i="102"/>
  <c r="W36" i="102" s="1"/>
  <c r="E36" i="82"/>
  <c r="C50" i="102"/>
  <c r="U50" i="102" s="1"/>
  <c r="C50" i="82"/>
  <c r="C24" i="102"/>
  <c r="U24" i="102" s="1"/>
  <c r="C24" i="82"/>
  <c r="F38" i="102"/>
  <c r="X38" i="102" s="1"/>
  <c r="F38" i="82"/>
  <c r="D6" i="102"/>
  <c r="V6" i="102" s="1"/>
  <c r="D6" i="82"/>
  <c r="E35" i="102"/>
  <c r="W35" i="102" s="1"/>
  <c r="E35" i="82"/>
  <c r="D49" i="102"/>
  <c r="V49" i="102" s="1"/>
  <c r="D49" i="82"/>
  <c r="F17" i="102"/>
  <c r="X17" i="102" s="1"/>
  <c r="F17" i="82"/>
  <c r="F44" i="102"/>
  <c r="X44" i="102" s="1"/>
  <c r="F44" i="82"/>
  <c r="E18" i="102"/>
  <c r="W18" i="102" s="1"/>
  <c r="E18" i="82"/>
  <c r="E25" i="102"/>
  <c r="W25" i="102" s="1"/>
  <c r="E25" i="82"/>
  <c r="CD38" i="64"/>
  <c r="C30" i="102"/>
  <c r="U30" i="102" s="1"/>
  <c r="C30" i="82"/>
  <c r="E14" i="102"/>
  <c r="W14" i="102" s="1"/>
  <c r="E14" i="82"/>
  <c r="C41" i="102"/>
  <c r="C41" i="82"/>
  <c r="C14" i="102"/>
  <c r="U14" i="102" s="1"/>
  <c r="C14" i="82"/>
  <c r="CJ38" i="64"/>
  <c r="CE42" i="64"/>
  <c r="CC15" i="64"/>
  <c r="CD22" i="64"/>
  <c r="CI22" i="64"/>
  <c r="CD49" i="64"/>
  <c r="CI49" i="64"/>
  <c r="CJ59" i="64"/>
  <c r="CE59" i="64"/>
  <c r="CH33" i="64"/>
  <c r="CC33" i="64"/>
  <c r="CC44" i="64"/>
  <c r="CH44" i="64"/>
  <c r="CD60" i="64"/>
  <c r="CI60" i="64"/>
  <c r="CC24" i="64"/>
  <c r="CH24" i="64"/>
  <c r="CE17" i="64"/>
  <c r="CJ17" i="64"/>
  <c r="CE48" i="64"/>
  <c r="CJ48" i="64"/>
  <c r="CE37" i="64"/>
  <c r="CJ37" i="64"/>
  <c r="CD7" i="64"/>
  <c r="CI7" i="64"/>
  <c r="CE26" i="64"/>
  <c r="CJ26" i="64"/>
  <c r="CC31" i="64"/>
  <c r="CH31" i="64"/>
  <c r="CD35" i="64"/>
  <c r="CI35" i="64"/>
  <c r="CD40" i="64"/>
  <c r="CI40" i="64"/>
  <c r="CB47" i="64"/>
  <c r="CG47" i="64"/>
  <c r="CB8" i="64"/>
  <c r="CG8" i="64"/>
  <c r="CG44" i="64"/>
  <c r="CB44" i="64"/>
  <c r="CB23" i="64"/>
  <c r="CG23" i="64"/>
  <c r="CE58" i="64"/>
  <c r="CJ58" i="64"/>
  <c r="CG61" i="64"/>
  <c r="CB61" i="64"/>
  <c r="CG60" i="64"/>
  <c r="CB60" i="64"/>
  <c r="CB11" i="64"/>
  <c r="CG11" i="64"/>
  <c r="CB20" i="64"/>
  <c r="CG20" i="64"/>
  <c r="CB13" i="64"/>
  <c r="CG13" i="64"/>
  <c r="CG24" i="64"/>
  <c r="CB24" i="64"/>
  <c r="CB9" i="64"/>
  <c r="CG9" i="64"/>
  <c r="CB14" i="64"/>
  <c r="CG14" i="64"/>
  <c r="CG29" i="64"/>
  <c r="CB29" i="64"/>
  <c r="CG41" i="64"/>
  <c r="CB41" i="64"/>
  <c r="CG17" i="64"/>
  <c r="CB17" i="64"/>
  <c r="CE34" i="64"/>
  <c r="CJ34" i="64"/>
  <c r="CG32" i="64"/>
  <c r="CB32" i="64"/>
  <c r="CG10" i="64"/>
  <c r="CB10" i="64"/>
  <c r="CB16" i="64"/>
  <c r="CG16" i="64"/>
  <c r="CB48" i="64"/>
  <c r="CG48" i="64"/>
  <c r="CD46" i="64"/>
  <c r="CI46" i="64"/>
  <c r="CD37" i="64"/>
  <c r="CI37" i="64"/>
  <c r="CG51" i="64"/>
  <c r="CB51" i="64"/>
  <c r="CG25" i="64"/>
  <c r="CB25" i="64"/>
  <c r="CE39" i="64"/>
  <c r="CJ39" i="64"/>
  <c r="CC7" i="64"/>
  <c r="CH7" i="64"/>
  <c r="CD36" i="64"/>
  <c r="CI36" i="64"/>
  <c r="CC50" i="64"/>
  <c r="CH50" i="64"/>
  <c r="CE18" i="64"/>
  <c r="CJ18" i="64"/>
  <c r="CE45" i="64"/>
  <c r="CJ45" i="64"/>
  <c r="CD19" i="64"/>
  <c r="CI19" i="64"/>
  <c r="CD26" i="64"/>
  <c r="CI26" i="64"/>
  <c r="CE31" i="64"/>
  <c r="CJ31" i="64"/>
  <c r="CG52" i="64"/>
  <c r="CB52" i="64"/>
  <c r="CE6" i="64"/>
  <c r="CJ6" i="64"/>
  <c r="CE40" i="64"/>
  <c r="CJ40" i="64"/>
  <c r="CE61" i="64"/>
  <c r="CJ61" i="64"/>
  <c r="CI14" i="64"/>
  <c r="CD14" i="64"/>
  <c r="CE10" i="64"/>
  <c r="CJ10" i="64"/>
  <c r="CC46" i="64"/>
  <c r="CH46" i="64"/>
  <c r="CD50" i="64"/>
  <c r="CI50" i="64"/>
  <c r="CE22" i="64"/>
  <c r="CJ22" i="64"/>
  <c r="CC21" i="64"/>
  <c r="CH21" i="64"/>
  <c r="CE52" i="64"/>
  <c r="CJ52" i="64"/>
  <c r="CI47" i="64"/>
  <c r="CD47" i="64"/>
  <c r="CE24" i="64"/>
  <c r="CJ24" i="64"/>
  <c r="CD32" i="64"/>
  <c r="CI32" i="64"/>
  <c r="CC51" i="64"/>
  <c r="CH51" i="64"/>
  <c r="CD39" i="64"/>
  <c r="CI39" i="64"/>
  <c r="CB7" i="64"/>
  <c r="CG7" i="64"/>
  <c r="CE36" i="64"/>
  <c r="CJ36" i="64"/>
  <c r="CE50" i="64"/>
  <c r="CJ50" i="64"/>
  <c r="CB18" i="64"/>
  <c r="CG18" i="64"/>
  <c r="CD45" i="64"/>
  <c r="CI45" i="64"/>
  <c r="CB19" i="64"/>
  <c r="CG19" i="64"/>
  <c r="CC26" i="64"/>
  <c r="CH26" i="64"/>
  <c r="CD31" i="64"/>
  <c r="CI31" i="64"/>
  <c r="CD53" i="64"/>
  <c r="CI53" i="64"/>
  <c r="CC28" i="64"/>
  <c r="CH28" i="64"/>
  <c r="CC57" i="64"/>
  <c r="CH57" i="64"/>
  <c r="CE21" i="64"/>
  <c r="CJ21" i="64"/>
  <c r="CC35" i="64"/>
  <c r="CH35" i="64"/>
  <c r="CC55" i="64"/>
  <c r="CH55" i="64"/>
  <c r="CC27" i="64"/>
  <c r="CH27" i="64"/>
  <c r="CC43" i="64"/>
  <c r="CH43" i="64"/>
  <c r="CE47" i="64"/>
  <c r="CJ47" i="64"/>
  <c r="CH8" i="64"/>
  <c r="CC8" i="64"/>
  <c r="CD23" i="64"/>
  <c r="CI23" i="64"/>
  <c r="CB58" i="64"/>
  <c r="CG58" i="64"/>
  <c r="CE11" i="64"/>
  <c r="CJ11" i="64"/>
  <c r="CD20" i="64"/>
  <c r="CI20" i="64"/>
  <c r="CC13" i="64"/>
  <c r="CH13" i="64"/>
  <c r="CC9" i="64"/>
  <c r="CH9" i="64"/>
  <c r="CJ29" i="64"/>
  <c r="CE29" i="64"/>
  <c r="CD41" i="64"/>
  <c r="CI41" i="64"/>
  <c r="CC34" i="64"/>
  <c r="CH34" i="64"/>
  <c r="CC32" i="64"/>
  <c r="CH32" i="64"/>
  <c r="CE16" i="64"/>
  <c r="CJ16" i="64"/>
  <c r="CD51" i="64"/>
  <c r="CI51" i="64"/>
  <c r="CE25" i="64"/>
  <c r="CJ25" i="64"/>
  <c r="CC39" i="64"/>
  <c r="CH39" i="64"/>
  <c r="CC36" i="64"/>
  <c r="CH36" i="64"/>
  <c r="CD18" i="64"/>
  <c r="CI18" i="64"/>
  <c r="CC45" i="64"/>
  <c r="CH45" i="64"/>
  <c r="CC19" i="64"/>
  <c r="CH19" i="64"/>
  <c r="CC53" i="64"/>
  <c r="CH53" i="64"/>
  <c r="CE28" i="64"/>
  <c r="CJ28" i="64"/>
  <c r="CD57" i="64"/>
  <c r="CI57" i="64"/>
  <c r="CC52" i="64"/>
  <c r="CH52" i="64"/>
  <c r="CE49" i="64"/>
  <c r="CJ49" i="64"/>
  <c r="CG55" i="64"/>
  <c r="CB55" i="64"/>
  <c r="CD27" i="64"/>
  <c r="CI27" i="64"/>
  <c r="CD59" i="64"/>
  <c r="CI59" i="64"/>
  <c r="CI6" i="64"/>
  <c r="CD6" i="64"/>
  <c r="CB33" i="64"/>
  <c r="CG33" i="64"/>
  <c r="CB43" i="64"/>
  <c r="CG43" i="64"/>
  <c r="CB53" i="64"/>
  <c r="CG53" i="64"/>
  <c r="CC22" i="64"/>
  <c r="CH22" i="64"/>
  <c r="CD28" i="64"/>
  <c r="CI28" i="64"/>
  <c r="CE57" i="64"/>
  <c r="CJ57" i="64"/>
  <c r="CD21" i="64"/>
  <c r="CI21" i="64"/>
  <c r="CC49" i="64"/>
  <c r="CH49" i="64"/>
  <c r="CE35" i="64"/>
  <c r="CJ35" i="64"/>
  <c r="CE55" i="64"/>
  <c r="CJ55" i="64"/>
  <c r="CJ27" i="64"/>
  <c r="CE27" i="64"/>
  <c r="CC59" i="64"/>
  <c r="CH59" i="64"/>
  <c r="CC6" i="64"/>
  <c r="CH6" i="64"/>
  <c r="CD33" i="64"/>
  <c r="CI33" i="64"/>
  <c r="CD43" i="64"/>
  <c r="CI43" i="64"/>
  <c r="CB40" i="64"/>
  <c r="CG40" i="64"/>
  <c r="CD8" i="64"/>
  <c r="CI8" i="64"/>
  <c r="CD44" i="64"/>
  <c r="CI44" i="64"/>
  <c r="CC23" i="64"/>
  <c r="CH23" i="64"/>
  <c r="CD58" i="64"/>
  <c r="CI58" i="64"/>
  <c r="CC61" i="64"/>
  <c r="CH61" i="64"/>
  <c r="CE60" i="64"/>
  <c r="CJ60" i="64"/>
  <c r="CD11" i="64"/>
  <c r="CI11" i="64"/>
  <c r="CC20" i="64"/>
  <c r="CH20" i="64"/>
  <c r="CE13" i="64"/>
  <c r="CJ13" i="64"/>
  <c r="CE9" i="64"/>
  <c r="CJ9" i="64"/>
  <c r="CE14" i="64"/>
  <c r="CJ14" i="64"/>
  <c r="CD29" i="64"/>
  <c r="CI29" i="64"/>
  <c r="CC41" i="64"/>
  <c r="CH41" i="64"/>
  <c r="CD17" i="64"/>
  <c r="CI17" i="64"/>
  <c r="CI34" i="64"/>
  <c r="CD34" i="64"/>
  <c r="CD10" i="64"/>
  <c r="CI10" i="64"/>
  <c r="CD16" i="64"/>
  <c r="CI16" i="64"/>
  <c r="CD48" i="64"/>
  <c r="CI48" i="64"/>
  <c r="CE46" i="64"/>
  <c r="CJ46" i="64"/>
  <c r="CC37" i="64"/>
  <c r="CH37" i="64"/>
  <c r="CD25" i="64"/>
  <c r="CI25" i="64"/>
  <c r="CE53" i="64"/>
  <c r="CJ53" i="64"/>
  <c r="CG22" i="64"/>
  <c r="CB22" i="64"/>
  <c r="CB28" i="64"/>
  <c r="CG28" i="64"/>
  <c r="CB57" i="64"/>
  <c r="CG57" i="64"/>
  <c r="CD52" i="64"/>
  <c r="CI52" i="64"/>
  <c r="CB21" i="64"/>
  <c r="CG21" i="64"/>
  <c r="CB49" i="64"/>
  <c r="CG49" i="64"/>
  <c r="CB35" i="64"/>
  <c r="CG35" i="64"/>
  <c r="CD55" i="64"/>
  <c r="CI55" i="64"/>
  <c r="CB27" i="64"/>
  <c r="CG27" i="64"/>
  <c r="CG59" i="64"/>
  <c r="CB59" i="64"/>
  <c r="CG6" i="64"/>
  <c r="CB6" i="64"/>
  <c r="CJ33" i="64"/>
  <c r="CE33" i="64"/>
  <c r="CE43" i="64"/>
  <c r="CJ43" i="64"/>
  <c r="CC40" i="64"/>
  <c r="CH40" i="64"/>
  <c r="CC47" i="64"/>
  <c r="CH47" i="64"/>
  <c r="CE8" i="64"/>
  <c r="CJ8" i="64"/>
  <c r="CE44" i="64"/>
  <c r="CJ44" i="64"/>
  <c r="CE23" i="64"/>
  <c r="CJ23" i="64"/>
  <c r="CC58" i="64"/>
  <c r="CH58" i="64"/>
  <c r="CD61" i="64"/>
  <c r="CI61" i="64"/>
  <c r="CC60" i="64"/>
  <c r="CH60" i="64"/>
  <c r="CC11" i="64"/>
  <c r="CH11" i="64"/>
  <c r="CE20" i="64"/>
  <c r="CJ20" i="64"/>
  <c r="CD13" i="64"/>
  <c r="CI13" i="64"/>
  <c r="CD24" i="64"/>
  <c r="CI24" i="64"/>
  <c r="CD9" i="64"/>
  <c r="CI9" i="64"/>
  <c r="CC14" i="64"/>
  <c r="CH14" i="64"/>
  <c r="CC29" i="64"/>
  <c r="CH29" i="64"/>
  <c r="CE41" i="64"/>
  <c r="CJ41" i="64"/>
  <c r="CC17" i="64"/>
  <c r="CH17" i="64"/>
  <c r="CB34" i="64"/>
  <c r="CG34" i="64"/>
  <c r="CJ32" i="64"/>
  <c r="CE32" i="64"/>
  <c r="CC10" i="64"/>
  <c r="CH10" i="64"/>
  <c r="CC16" i="64"/>
  <c r="CH16" i="64"/>
  <c r="CC48" i="64"/>
  <c r="CH48" i="64"/>
  <c r="CG46" i="64"/>
  <c r="CB46" i="64"/>
  <c r="CG37" i="64"/>
  <c r="CB37" i="64"/>
  <c r="CE51" i="64"/>
  <c r="CJ51" i="64"/>
  <c r="CC25" i="64"/>
  <c r="CH25" i="64"/>
  <c r="CG39" i="64"/>
  <c r="CB39" i="64"/>
  <c r="CE7" i="64"/>
  <c r="CJ7" i="64"/>
  <c r="CB36" i="64"/>
  <c r="CG36" i="64"/>
  <c r="CB50" i="64"/>
  <c r="CG50" i="64"/>
  <c r="CC18" i="64"/>
  <c r="CH18" i="64"/>
  <c r="CB45" i="64"/>
  <c r="CG45" i="64"/>
  <c r="CE19" i="64"/>
  <c r="CJ19" i="64"/>
  <c r="CG26" i="64"/>
  <c r="CB26" i="64"/>
  <c r="CG31" i="64"/>
  <c r="CB31" i="64"/>
  <c r="C41" i="103" l="1"/>
  <c r="U41" i="102"/>
  <c r="F37" i="103"/>
  <c r="F17" i="103"/>
  <c r="F38" i="103"/>
  <c r="F23" i="103"/>
  <c r="F20" i="103"/>
  <c r="F27" i="103"/>
  <c r="F53" i="103"/>
  <c r="F6" i="103"/>
  <c r="F47" i="103"/>
  <c r="F9" i="103"/>
  <c r="F46" i="103"/>
  <c r="F35" i="103"/>
  <c r="F45" i="103"/>
  <c r="F31" i="103"/>
  <c r="F22" i="103"/>
  <c r="F7" i="103"/>
  <c r="F32" i="103"/>
  <c r="F52" i="103"/>
  <c r="F13" i="103"/>
  <c r="F12" i="103"/>
  <c r="F54" i="103"/>
  <c r="F56" i="103"/>
  <c r="F57" i="103"/>
  <c r="F48" i="103"/>
  <c r="F21" i="103"/>
  <c r="F5" i="103"/>
  <c r="F44" i="103"/>
  <c r="F59" i="103"/>
  <c r="F34" i="103"/>
  <c r="F25" i="103"/>
  <c r="F24" i="103"/>
  <c r="F36" i="103"/>
  <c r="F33" i="103"/>
  <c r="F58" i="103"/>
  <c r="F55" i="103"/>
  <c r="F30" i="103"/>
  <c r="F18" i="103"/>
  <c r="F50" i="103"/>
  <c r="F15" i="103"/>
  <c r="F16" i="103"/>
  <c r="F28" i="103"/>
  <c r="F10" i="103"/>
  <c r="F60" i="103"/>
  <c r="F39" i="103"/>
  <c r="F41" i="103"/>
  <c r="F49" i="103"/>
  <c r="F40" i="103"/>
  <c r="F19" i="103"/>
  <c r="F43" i="103"/>
  <c r="F42" i="103"/>
  <c r="F8" i="103"/>
  <c r="F26" i="103"/>
  <c r="F51" i="103"/>
  <c r="E41" i="103"/>
  <c r="E37" i="103"/>
  <c r="D29" i="103"/>
  <c r="C37" i="103"/>
  <c r="E53" i="103"/>
  <c r="D53" i="103"/>
  <c r="E11" i="103"/>
  <c r="C14" i="103"/>
  <c r="D41" i="103"/>
  <c r="C29" i="103"/>
  <c r="E29" i="103"/>
  <c r="D14" i="103"/>
  <c r="C55" i="103"/>
  <c r="E14" i="103"/>
  <c r="E55" i="103"/>
  <c r="C53" i="103"/>
  <c r="D11" i="103"/>
  <c r="C11" i="103"/>
  <c r="D37" i="103"/>
  <c r="D55" i="103"/>
  <c r="C63" i="82" l="1"/>
  <c r="C49" i="103"/>
  <c r="C20" i="103"/>
  <c r="D52" i="103"/>
  <c r="C34" i="103"/>
  <c r="D22" i="103"/>
  <c r="C12" i="103"/>
  <c r="E24" i="103"/>
  <c r="C44" i="103"/>
  <c r="C52" i="103"/>
  <c r="E48" i="103"/>
  <c r="D20" i="103"/>
  <c r="C5" i="103"/>
  <c r="C22" i="103"/>
  <c r="E13" i="103"/>
  <c r="E45" i="103"/>
  <c r="E52" i="103"/>
  <c r="C39" i="103"/>
  <c r="D60" i="103"/>
  <c r="D12" i="103"/>
  <c r="C17" i="103"/>
  <c r="D13" i="103"/>
  <c r="C47" i="103"/>
  <c r="D21" i="103"/>
  <c r="D39" i="103"/>
  <c r="C6" i="103"/>
  <c r="E9" i="103"/>
  <c r="D15" i="103"/>
  <c r="E7" i="103"/>
  <c r="E50" i="103"/>
  <c r="E6" i="103"/>
  <c r="D59" i="103"/>
  <c r="D34" i="103"/>
  <c r="E38" i="103"/>
  <c r="E17" i="103"/>
  <c r="E30" i="103"/>
  <c r="C45" i="103"/>
  <c r="E51" i="103"/>
  <c r="E35" i="103"/>
  <c r="D30" i="103"/>
  <c r="C54" i="103"/>
  <c r="C42" i="103"/>
  <c r="C31" i="103"/>
  <c r="C38" i="103"/>
  <c r="C18" i="103"/>
  <c r="C51" i="103"/>
  <c r="C21" i="103"/>
  <c r="C48" i="103"/>
  <c r="C58" i="103"/>
  <c r="D32" i="103"/>
  <c r="D57" i="103"/>
  <c r="C19" i="103"/>
  <c r="D28" i="103"/>
  <c r="D9" i="103"/>
  <c r="C46" i="103"/>
  <c r="C57" i="103"/>
  <c r="E19" i="103"/>
  <c r="C13" i="103"/>
  <c r="E46" i="103"/>
  <c r="C60" i="103"/>
  <c r="E22" i="103"/>
  <c r="E47" i="103"/>
  <c r="D48" i="103"/>
  <c r="E23" i="103"/>
  <c r="D19" i="103"/>
  <c r="D40" i="103"/>
  <c r="D50" i="103"/>
  <c r="D17" i="103"/>
  <c r="E27" i="103"/>
  <c r="D58" i="103"/>
  <c r="E56" i="103"/>
  <c r="E54" i="103"/>
  <c r="E59" i="103"/>
  <c r="E8" i="103"/>
  <c r="D16" i="103"/>
  <c r="D47" i="103"/>
  <c r="C36" i="103"/>
  <c r="E43" i="103"/>
  <c r="C59" i="103"/>
  <c r="D23" i="103"/>
  <c r="E40" i="103"/>
  <c r="E26" i="103"/>
  <c r="D33" i="103"/>
  <c r="E60" i="103"/>
  <c r="C50" i="103"/>
  <c r="E32" i="103"/>
  <c r="D44" i="103"/>
  <c r="D10" i="103"/>
  <c r="C16" i="103"/>
  <c r="C23" i="103"/>
  <c r="D6" i="103"/>
  <c r="E15" i="103"/>
  <c r="E36" i="103"/>
  <c r="E33" i="103"/>
  <c r="C27" i="103"/>
  <c r="C8" i="103"/>
  <c r="E58" i="103"/>
  <c r="E28" i="103"/>
  <c r="E31" i="103"/>
  <c r="D49" i="103"/>
  <c r="E49" i="103"/>
  <c r="C56" i="103"/>
  <c r="C26" i="103"/>
  <c r="E10" i="103"/>
  <c r="C33" i="103"/>
  <c r="C35" i="103"/>
  <c r="D56" i="103"/>
  <c r="D26" i="103"/>
  <c r="E34" i="103"/>
  <c r="D7" i="103"/>
  <c r="E12" i="103"/>
  <c r="D24" i="103"/>
  <c r="D54" i="103"/>
  <c r="C10" i="103"/>
  <c r="D8" i="103"/>
  <c r="C15" i="103"/>
  <c r="E18" i="103"/>
  <c r="C7" i="103"/>
  <c r="C9" i="103"/>
  <c r="C24" i="103"/>
  <c r="C30" i="103"/>
  <c r="D36" i="103"/>
  <c r="D25" i="103"/>
  <c r="D42" i="103"/>
  <c r="D51" i="103"/>
  <c r="C28" i="103"/>
  <c r="C32" i="103"/>
  <c r="E16" i="103"/>
  <c r="E25" i="103"/>
  <c r="E57" i="103"/>
  <c r="D45" i="103"/>
  <c r="D18" i="103"/>
  <c r="E39" i="103"/>
  <c r="E21" i="103"/>
  <c r="D38" i="103"/>
  <c r="E20" i="103"/>
  <c r="D46" i="103"/>
  <c r="D5" i="103"/>
  <c r="E44" i="103"/>
  <c r="E5" i="103"/>
  <c r="D31" i="103"/>
  <c r="C25" i="103"/>
  <c r="D27" i="103"/>
  <c r="C40" i="103"/>
  <c r="C43" i="103"/>
  <c r="D35" i="103"/>
  <c r="D43" i="103"/>
  <c r="E42" i="103"/>
  <c r="D63" i="82" l="1"/>
  <c r="B64" i="82"/>
</calcChain>
</file>

<file path=xl/comments1.xml><?xml version="1.0" encoding="utf-8"?>
<comments xmlns="http://schemas.openxmlformats.org/spreadsheetml/2006/main">
  <authors>
    <author>Ulrich Kaltenbronn</author>
  </authors>
  <commentList>
    <comment ref="AS5" authorId="0">
      <text>
        <r>
          <rPr>
            <sz val="8"/>
            <color indexed="81"/>
            <rFont val="Tahoma"/>
            <family val="2"/>
          </rPr>
          <t xml:space="preserve">
no CNST in OPATT model</t>
        </r>
      </text>
    </comment>
  </commentList>
</comments>
</file>

<file path=xl/sharedStrings.xml><?xml version="1.0" encoding="utf-8"?>
<sst xmlns="http://schemas.openxmlformats.org/spreadsheetml/2006/main" count="6871" uniqueCount="1011">
  <si>
    <t>Tariff TFC</t>
  </si>
  <si>
    <t>General Surgery</t>
  </si>
  <si>
    <t>Urology</t>
  </si>
  <si>
    <t>Breast Surgery</t>
  </si>
  <si>
    <t>Colorectal Surgery</t>
  </si>
  <si>
    <t>Upper Gastrointestinal Surgery</t>
  </si>
  <si>
    <t>Vascular Surgery</t>
  </si>
  <si>
    <t>Trauma &amp; Orthopaedics</t>
  </si>
  <si>
    <t>ENT</t>
  </si>
  <si>
    <t>Ophthalmology</t>
  </si>
  <si>
    <t>Oral Surgery</t>
  </si>
  <si>
    <t>Orthodontics</t>
  </si>
  <si>
    <t>Maxillo-Facial Surgery</t>
  </si>
  <si>
    <t>Plastic Surgery</t>
  </si>
  <si>
    <t>Cardiothoracic Surgery</t>
  </si>
  <si>
    <t>Paediatric Surgery</t>
  </si>
  <si>
    <t>Cardiac Surgery</t>
  </si>
  <si>
    <t>Thoracic Surgery</t>
  </si>
  <si>
    <t>Anaesthetics</t>
  </si>
  <si>
    <t>Pain Management</t>
  </si>
  <si>
    <t>Paediatric Urology</t>
  </si>
  <si>
    <t>Paediatric Ophthalmology</t>
  </si>
  <si>
    <t>Paediatric Maxillo-Facial Surgery</t>
  </si>
  <si>
    <t>Paediatric Plastic Surgery</t>
  </si>
  <si>
    <t>Cardiology</t>
  </si>
  <si>
    <t>Paediatric Cardiology</t>
  </si>
  <si>
    <t>Dermatology</t>
  </si>
  <si>
    <t>Respiratory Medicine</t>
  </si>
  <si>
    <t>Infectious Diseases</t>
  </si>
  <si>
    <t>Nephrology</t>
  </si>
  <si>
    <t>Medical Oncology</t>
  </si>
  <si>
    <t>Rheumatology</t>
  </si>
  <si>
    <t>Paediatrics</t>
  </si>
  <si>
    <t>Geriatric Medicine</t>
  </si>
  <si>
    <t>Gynaecology</t>
  </si>
  <si>
    <t>Gynaecological Oncology</t>
  </si>
  <si>
    <t>Clinical Oncology</t>
  </si>
  <si>
    <t>Diagnostic Imaging</t>
  </si>
  <si>
    <t>Paediatric Gastroenterology</t>
  </si>
  <si>
    <t>Paediatric Endocrinology</t>
  </si>
  <si>
    <t>Paediatric Clinical Haematology</t>
  </si>
  <si>
    <t>Paediatric Dermatology</t>
  </si>
  <si>
    <t>Paediatric Respiratory Medicine</t>
  </si>
  <si>
    <t>General Medicine</t>
  </si>
  <si>
    <t>Gastroenterology</t>
  </si>
  <si>
    <t>Endocrinology</t>
  </si>
  <si>
    <t>Clinical Haematology</t>
  </si>
  <si>
    <t>Hepatology</t>
  </si>
  <si>
    <t>Diabetic Medicine</t>
  </si>
  <si>
    <t>CONSULTANT-LED (£)</t>
  </si>
  <si>
    <t>Treatment function</t>
  </si>
  <si>
    <t>Treatment function name</t>
  </si>
  <si>
    <r>
      <t xml:space="preserve">WF01B
</t>
    </r>
    <r>
      <rPr>
        <i/>
        <sz val="8"/>
        <rFont val="Arial"/>
        <family val="2"/>
      </rPr>
      <t>First Attendance - Single Professional</t>
    </r>
  </si>
  <si>
    <r>
      <t xml:space="preserve">WF02B
</t>
    </r>
    <r>
      <rPr>
        <i/>
        <sz val="8"/>
        <rFont val="Arial"/>
        <family val="2"/>
      </rPr>
      <t>First Attendance - Multi Professional</t>
    </r>
  </si>
  <si>
    <r>
      <t xml:space="preserve">WF01A
</t>
    </r>
    <r>
      <rPr>
        <i/>
        <sz val="8"/>
        <rFont val="Arial"/>
        <family val="2"/>
      </rPr>
      <t>Follow Up Attendance - Single Professional</t>
    </r>
  </si>
  <si>
    <r>
      <t xml:space="preserve">WF02A
</t>
    </r>
    <r>
      <rPr>
        <i/>
        <sz val="8"/>
        <rFont val="Arial"/>
        <family val="2"/>
      </rPr>
      <t>Follow Up Attendance - Multi Professional</t>
    </r>
  </si>
  <si>
    <t>Hepatobiliary &amp; Pancreatic Surgery</t>
  </si>
  <si>
    <t>Spinal Surgery Service</t>
  </si>
  <si>
    <t>Paediatric Trauma &amp; Orthopaedics</t>
  </si>
  <si>
    <t>Paediatric Ear Nose &amp; Throat</t>
  </si>
  <si>
    <t>Paediatric Epilepsy</t>
  </si>
  <si>
    <t>Paediatric Diabetic Medicine</t>
  </si>
  <si>
    <t>Transient Ischaemic Attack</t>
  </si>
  <si>
    <t>-</t>
  </si>
  <si>
    <t>Respiratory Physiology</t>
  </si>
  <si>
    <t>Total Activity</t>
  </si>
  <si>
    <t>CL_FAM</t>
  </si>
  <si>
    <t>CL_FAS</t>
  </si>
  <si>
    <t>CL_FUM</t>
  </si>
  <si>
    <t>CL_FUS</t>
  </si>
  <si>
    <t>NCL_FAM</t>
  </si>
  <si>
    <t>NCL_FAS</t>
  </si>
  <si>
    <t>NCL_FUM</t>
  </si>
  <si>
    <t>NCL_FUS</t>
  </si>
  <si>
    <t>Total_Costs</t>
  </si>
  <si>
    <t>TOTAL ACT</t>
  </si>
  <si>
    <t>TC</t>
  </si>
  <si>
    <t>AA09B</t>
  </si>
  <si>
    <t>AA15B</t>
  </si>
  <si>
    <t>AA21B</t>
  </si>
  <si>
    <t>AA26B</t>
  </si>
  <si>
    <t>AA31B</t>
  </si>
  <si>
    <t>AA32Z</t>
  </si>
  <si>
    <t>AA33D</t>
  </si>
  <si>
    <t>AA34C</t>
  </si>
  <si>
    <t>AA34D</t>
  </si>
  <si>
    <t>AB02Z</t>
  </si>
  <si>
    <t>AB03Z</t>
  </si>
  <si>
    <t>AB04Z</t>
  </si>
  <si>
    <t>AB07Z</t>
  </si>
  <si>
    <t>AB08Z</t>
  </si>
  <si>
    <t>AB10Z</t>
  </si>
  <si>
    <t>BZ01Z</t>
  </si>
  <si>
    <t>BZ02Z</t>
  </si>
  <si>
    <t>BZ03Z</t>
  </si>
  <si>
    <t>BZ05Z</t>
  </si>
  <si>
    <t>BZ06A</t>
  </si>
  <si>
    <t>BZ06B</t>
  </si>
  <si>
    <t>BZ08A</t>
  </si>
  <si>
    <t>BZ09A</t>
  </si>
  <si>
    <t>BZ09B</t>
  </si>
  <si>
    <t>BZ12Z</t>
  </si>
  <si>
    <t>BZ14A</t>
  </si>
  <si>
    <t>BZ14B</t>
  </si>
  <si>
    <t>BZ15A</t>
  </si>
  <si>
    <t>BZ15B</t>
  </si>
  <si>
    <t>BZ16A</t>
  </si>
  <si>
    <t>BZ16B</t>
  </si>
  <si>
    <t>BZ17Z</t>
  </si>
  <si>
    <t>BZ20Z</t>
  </si>
  <si>
    <t>BZ21Z</t>
  </si>
  <si>
    <t>BZ24C</t>
  </si>
  <si>
    <t>CZ02X</t>
  </si>
  <si>
    <t>CZ03U</t>
  </si>
  <si>
    <t>CZ03Y</t>
  </si>
  <si>
    <t>CZ04Q</t>
  </si>
  <si>
    <t>CZ05T</t>
  </si>
  <si>
    <t>CZ05Y</t>
  </si>
  <si>
    <t>CZ07Q</t>
  </si>
  <si>
    <t>CZ08V</t>
  </si>
  <si>
    <t>CZ09U</t>
  </si>
  <si>
    <t>CZ09V</t>
  </si>
  <si>
    <t>CZ09Y</t>
  </si>
  <si>
    <t>CZ10U</t>
  </si>
  <si>
    <t>CZ10Y</t>
  </si>
  <si>
    <t>CZ11Z</t>
  </si>
  <si>
    <t>CZ12V</t>
  </si>
  <si>
    <t>CZ13U</t>
  </si>
  <si>
    <t>CZ14U</t>
  </si>
  <si>
    <t>CZ14Y</t>
  </si>
  <si>
    <t>CZ15Q</t>
  </si>
  <si>
    <t>CZ16N</t>
  </si>
  <si>
    <t>CZ16Q</t>
  </si>
  <si>
    <t>CZ17U</t>
  </si>
  <si>
    <t>CZ17Y</t>
  </si>
  <si>
    <t>CZ18R</t>
  </si>
  <si>
    <t>CZ19Z</t>
  </si>
  <si>
    <t>CZ21V</t>
  </si>
  <si>
    <t>CZ21Y</t>
  </si>
  <si>
    <t>CZ22Y</t>
  </si>
  <si>
    <t>CZ25Q</t>
  </si>
  <si>
    <t>CZ27Z</t>
  </si>
  <si>
    <t>CZ28Z</t>
  </si>
  <si>
    <t>CZ30U</t>
  </si>
  <si>
    <t>CZ31U</t>
  </si>
  <si>
    <t>CZ33U</t>
  </si>
  <si>
    <t>CZ36U</t>
  </si>
  <si>
    <t>CZ37U</t>
  </si>
  <si>
    <t>CZ40U</t>
  </si>
  <si>
    <t>CZ41U</t>
  </si>
  <si>
    <t>CZ42U</t>
  </si>
  <si>
    <t>DZ01Z</t>
  </si>
  <si>
    <t>DZ02C</t>
  </si>
  <si>
    <t>DZ03B</t>
  </si>
  <si>
    <t>DZ04B</t>
  </si>
  <si>
    <t>DZ06Z</t>
  </si>
  <si>
    <t>DZ07A</t>
  </si>
  <si>
    <t>DZ07B</t>
  </si>
  <si>
    <t>DZ08Z</t>
  </si>
  <si>
    <t>DZ30Z</t>
  </si>
  <si>
    <t>DZ33Z</t>
  </si>
  <si>
    <t>DZ34Z</t>
  </si>
  <si>
    <t>DZ35Z</t>
  </si>
  <si>
    <t>DZ36Z</t>
  </si>
  <si>
    <t>DZ37B</t>
  </si>
  <si>
    <t>DZ38Z</t>
  </si>
  <si>
    <t>DZ39Z</t>
  </si>
  <si>
    <t>DZ40Z</t>
  </si>
  <si>
    <t>DZ41Z</t>
  </si>
  <si>
    <t>DZ43Z</t>
  </si>
  <si>
    <t>DZ44Z</t>
  </si>
  <si>
    <t>DZ45Z</t>
  </si>
  <si>
    <t>DZ46Z</t>
  </si>
  <si>
    <t>DZ48Z</t>
  </si>
  <si>
    <t>DZ49Z</t>
  </si>
  <si>
    <t>EA02Z</t>
  </si>
  <si>
    <t>EA03Z</t>
  </si>
  <si>
    <t>EA05Z</t>
  </si>
  <si>
    <t>EA11Z</t>
  </si>
  <si>
    <t>EA14Z</t>
  </si>
  <si>
    <t>EA17Z</t>
  </si>
  <si>
    <t>EA20Z</t>
  </si>
  <si>
    <t>EA23Z</t>
  </si>
  <si>
    <t>EA24Z</t>
  </si>
  <si>
    <t>EA25Z</t>
  </si>
  <si>
    <t>EA26Z</t>
  </si>
  <si>
    <t>EA31Z</t>
  </si>
  <si>
    <t>EA35Z</t>
  </si>
  <si>
    <t>EA36A</t>
  </si>
  <si>
    <t>EA36B</t>
  </si>
  <si>
    <t>EA39Z</t>
  </si>
  <si>
    <t>EA40Z</t>
  </si>
  <si>
    <t>EA49Z</t>
  </si>
  <si>
    <t>FZ12F</t>
  </si>
  <si>
    <t>FZ17C</t>
  </si>
  <si>
    <t>FZ18C</t>
  </si>
  <si>
    <t>FZ20B</t>
  </si>
  <si>
    <t>FZ22B</t>
  </si>
  <si>
    <t>FZ24C</t>
  </si>
  <si>
    <t>FZ27C</t>
  </si>
  <si>
    <t>FZ27D</t>
  </si>
  <si>
    <t>FZ53Z</t>
  </si>
  <si>
    <t>FZ56Z</t>
  </si>
  <si>
    <t>FZ63Z</t>
  </si>
  <si>
    <t>FZ65Z</t>
  </si>
  <si>
    <t>FZ66B</t>
  </si>
  <si>
    <t>FZ67B</t>
  </si>
  <si>
    <t>GA04B</t>
  </si>
  <si>
    <t>GA05B</t>
  </si>
  <si>
    <t>GA06B</t>
  </si>
  <si>
    <t>GA07B</t>
  </si>
  <si>
    <t>GA10C</t>
  </si>
  <si>
    <t>GA10E</t>
  </si>
  <si>
    <t>GA13B</t>
  </si>
  <si>
    <t>GB02C</t>
  </si>
  <si>
    <t>GB03B</t>
  </si>
  <si>
    <t>GB06D</t>
  </si>
  <si>
    <t>HA33Z</t>
  </si>
  <si>
    <t>HA99Z</t>
  </si>
  <si>
    <t>HB11C</t>
  </si>
  <si>
    <t>HB12C</t>
  </si>
  <si>
    <t>HB13Z</t>
  </si>
  <si>
    <t>HB14C</t>
  </si>
  <si>
    <t>HB15E</t>
  </si>
  <si>
    <t>HB15G</t>
  </si>
  <si>
    <t>HB16C</t>
  </si>
  <si>
    <t>HB21C</t>
  </si>
  <si>
    <t>HB22C</t>
  </si>
  <si>
    <t>HB23C</t>
  </si>
  <si>
    <t>HB24C</t>
  </si>
  <si>
    <t>HB25J</t>
  </si>
  <si>
    <t>HB31Z</t>
  </si>
  <si>
    <t>HB32A</t>
  </si>
  <si>
    <t>HB32B</t>
  </si>
  <si>
    <t>HB33E</t>
  </si>
  <si>
    <t>HB33G</t>
  </si>
  <si>
    <t>HB34E</t>
  </si>
  <si>
    <t>HB34G</t>
  </si>
  <si>
    <t>HB51Z</t>
  </si>
  <si>
    <t>HB52C</t>
  </si>
  <si>
    <t>HB53Z</t>
  </si>
  <si>
    <t>HB54C</t>
  </si>
  <si>
    <t>HB55C</t>
  </si>
  <si>
    <t>HB61C</t>
  </si>
  <si>
    <t>HB62C</t>
  </si>
  <si>
    <t>HB63Z</t>
  </si>
  <si>
    <t>HB71C</t>
  </si>
  <si>
    <t>HB72Z</t>
  </si>
  <si>
    <t>HB73Z</t>
  </si>
  <si>
    <t>HB99Z</t>
  </si>
  <si>
    <t>HC01Z</t>
  </si>
  <si>
    <t>HC02C</t>
  </si>
  <si>
    <t>HC03C</t>
  </si>
  <si>
    <t>HC04C</t>
  </si>
  <si>
    <t>HC07Z</t>
  </si>
  <si>
    <t>HC09Z</t>
  </si>
  <si>
    <t>HC10Z</t>
  </si>
  <si>
    <t>HC11Z</t>
  </si>
  <si>
    <t>HC12Z</t>
  </si>
  <si>
    <t>HD21B</t>
  </si>
  <si>
    <t>HD21C</t>
  </si>
  <si>
    <t>HR01C</t>
  </si>
  <si>
    <t>HR02Z</t>
  </si>
  <si>
    <t>HR03Z</t>
  </si>
  <si>
    <t>HR04C</t>
  </si>
  <si>
    <t>HR05Z</t>
  </si>
  <si>
    <t>HR06A</t>
  </si>
  <si>
    <t>HR06B</t>
  </si>
  <si>
    <t>JA14Z</t>
  </si>
  <si>
    <t>JB13B</t>
  </si>
  <si>
    <t>JC01C</t>
  </si>
  <si>
    <t>JC02C</t>
  </si>
  <si>
    <t>JC06C</t>
  </si>
  <si>
    <t>JC07Z</t>
  </si>
  <si>
    <t>JC12Z</t>
  </si>
  <si>
    <t>JC13Z</t>
  </si>
  <si>
    <t>JC16Z</t>
  </si>
  <si>
    <t>JC17Z</t>
  </si>
  <si>
    <t>JC19U</t>
  </si>
  <si>
    <t>JC27Z</t>
  </si>
  <si>
    <t>JD06A</t>
  </si>
  <si>
    <t>JD06B</t>
  </si>
  <si>
    <t>KA03B</t>
  </si>
  <si>
    <t>KA04Z</t>
  </si>
  <si>
    <t>KA09B</t>
  </si>
  <si>
    <t>KB02F</t>
  </si>
  <si>
    <t>LA05Z</t>
  </si>
  <si>
    <t>LA10Z</t>
  </si>
  <si>
    <t>LA11Z</t>
  </si>
  <si>
    <t>LA12A</t>
  </si>
  <si>
    <t>LA13A</t>
  </si>
  <si>
    <t>LA14Z</t>
  </si>
  <si>
    <t>LB01B</t>
  </si>
  <si>
    <t>LB05C</t>
  </si>
  <si>
    <t>LB05D</t>
  </si>
  <si>
    <t>LB12Z</t>
  </si>
  <si>
    <t>LB13B</t>
  </si>
  <si>
    <t>LB15D</t>
  </si>
  <si>
    <t>LB18Z</t>
  </si>
  <si>
    <t>LB25C</t>
  </si>
  <si>
    <t>LB26Z</t>
  </si>
  <si>
    <t>LB29A</t>
  </si>
  <si>
    <t>LB33Z</t>
  </si>
  <si>
    <t>LB36Z</t>
  </si>
  <si>
    <t>LB39B</t>
  </si>
  <si>
    <t>LB43Z</t>
  </si>
  <si>
    <t>LB47Z</t>
  </si>
  <si>
    <t>LB48Z</t>
  </si>
  <si>
    <t>LB49Z</t>
  </si>
  <si>
    <t>LB51Z</t>
  </si>
  <si>
    <t>LB52Z</t>
  </si>
  <si>
    <t>LB54A</t>
  </si>
  <si>
    <t>LB55A</t>
  </si>
  <si>
    <t>LB55B</t>
  </si>
  <si>
    <t>LB56A</t>
  </si>
  <si>
    <t>LB58B</t>
  </si>
  <si>
    <t>LB59Z</t>
  </si>
  <si>
    <t>MA01Z</t>
  </si>
  <si>
    <t>MA02Z</t>
  </si>
  <si>
    <t>MA03B</t>
  </si>
  <si>
    <t>MA04B</t>
  </si>
  <si>
    <t>MA07D</t>
  </si>
  <si>
    <t>MA09Z</t>
  </si>
  <si>
    <t>MA11Z</t>
  </si>
  <si>
    <t>MA12Z</t>
  </si>
  <si>
    <t>MA17C</t>
  </si>
  <si>
    <t>MA18C</t>
  </si>
  <si>
    <t>MA18D</t>
  </si>
  <si>
    <t>MA19A</t>
  </si>
  <si>
    <t>MA22Z</t>
  </si>
  <si>
    <t>MA24Z</t>
  </si>
  <si>
    <t>MB01B</t>
  </si>
  <si>
    <t>MC06Z</t>
  </si>
  <si>
    <t>MC07Z</t>
  </si>
  <si>
    <t>MC08Z</t>
  </si>
  <si>
    <t>MC09Z</t>
  </si>
  <si>
    <t>MC10Z</t>
  </si>
  <si>
    <t>MC11Z</t>
  </si>
  <si>
    <t>MC12Z</t>
  </si>
  <si>
    <t>MC13Z</t>
  </si>
  <si>
    <t>MC14Z</t>
  </si>
  <si>
    <t>NZ10Z</t>
  </si>
  <si>
    <t>NZ11B</t>
  </si>
  <si>
    <t>NZ11F</t>
  </si>
  <si>
    <t>NZ12B</t>
  </si>
  <si>
    <t>PA34B</t>
  </si>
  <si>
    <t>PA58Z</t>
  </si>
  <si>
    <t>QZ01B</t>
  </si>
  <si>
    <t>QZ02B</t>
  </si>
  <si>
    <t>QZ03Z</t>
  </si>
  <si>
    <t>QZ11B</t>
  </si>
  <si>
    <t>QZ12Z</t>
  </si>
  <si>
    <t>QZ15C</t>
  </si>
  <si>
    <t>QZ16C</t>
  </si>
  <si>
    <t>RC02Z</t>
  </si>
  <si>
    <t>RC03Z</t>
  </si>
  <si>
    <t>RC14Z</t>
  </si>
  <si>
    <t>RC16Z</t>
  </si>
  <si>
    <t>RC41Z</t>
  </si>
  <si>
    <t>SA14Z</t>
  </si>
  <si>
    <t>SA15Z</t>
  </si>
  <si>
    <t>SA18Z</t>
  </si>
  <si>
    <t>SA27A</t>
  </si>
  <si>
    <t>SA28A</t>
  </si>
  <si>
    <t>SA33Z</t>
  </si>
  <si>
    <t>SA34Z</t>
  </si>
  <si>
    <t>WA20W</t>
  </si>
  <si>
    <t>WA20Y</t>
  </si>
  <si>
    <t>WA21Y</t>
  </si>
  <si>
    <t>WA24Z</t>
  </si>
  <si>
    <t>Unit Cost</t>
  </si>
  <si>
    <t>Actual Apportionment</t>
  </si>
  <si>
    <t>TFC</t>
  </si>
  <si>
    <t>Apportionment %s</t>
  </si>
  <si>
    <t>Activity</t>
  </si>
  <si>
    <t>Cost</t>
  </si>
  <si>
    <t>Total cost</t>
  </si>
  <si>
    <t>Change in Unit Cost</t>
  </si>
  <si>
    <t>Total_Activity</t>
  </si>
  <si>
    <t>WF01A_Costs</t>
  </si>
  <si>
    <t>WF01B_Costs</t>
  </si>
  <si>
    <t>WF02A_Costs</t>
  </si>
  <si>
    <t>WF02B_Costs</t>
  </si>
  <si>
    <t>EA10Z</t>
  </si>
  <si>
    <t>SumOfWF01A_Activity</t>
  </si>
  <si>
    <t>SumOfWF01B_Activity</t>
  </si>
  <si>
    <t>SumOfWF02A_Activity</t>
  </si>
  <si>
    <t>SumOfWF02B_Activity</t>
  </si>
  <si>
    <t>SumOfTotal_Activity</t>
  </si>
  <si>
    <t>SumOfWF01A_Costs</t>
  </si>
  <si>
    <t>SumOfWF01B_Costs</t>
  </si>
  <si>
    <t>SumOfWF02A_Costs</t>
  </si>
  <si>
    <t>SumOfWF02B_Costs</t>
  </si>
  <si>
    <t>SumOfTotal_Costs</t>
  </si>
  <si>
    <t>FAM_Act</t>
  </si>
  <si>
    <t>FAS_Act</t>
  </si>
  <si>
    <t>FUM_Act</t>
  </si>
  <si>
    <t>FUS_Act</t>
  </si>
  <si>
    <t>Total_Act</t>
  </si>
  <si>
    <t>FAM_Costs</t>
  </si>
  <si>
    <t>FAS_Costs</t>
  </si>
  <si>
    <t>FUM_Costs</t>
  </si>
  <si>
    <t>FUS_Costs</t>
  </si>
  <si>
    <t>Mandatory</t>
  </si>
  <si>
    <t>Total</t>
  </si>
  <si>
    <t>812 removed</t>
  </si>
  <si>
    <t>Procedure (Activity)</t>
  </si>
  <si>
    <t>Impact (Activity)</t>
  </si>
  <si>
    <t>Procedure (Cost)</t>
  </si>
  <si>
    <t>Impact (Cost)</t>
  </si>
  <si>
    <t>FAM</t>
  </si>
  <si>
    <t>FAS</t>
  </si>
  <si>
    <t>FUM</t>
  </si>
  <si>
    <t>FUS</t>
  </si>
  <si>
    <t>OPROC ACT</t>
  </si>
  <si>
    <t>PRE-ADJUSTMENT</t>
  </si>
  <si>
    <t>APPORTION ACTIVITY</t>
  </si>
  <si>
    <t>APPORTION COST</t>
  </si>
  <si>
    <t>OPROC TC</t>
  </si>
  <si>
    <t>POST ADJUSTMENT</t>
  </si>
  <si>
    <t>MAND</t>
  </si>
  <si>
    <t>Paed
Pairings</t>
  </si>
  <si>
    <t>Adult /
Child</t>
  </si>
  <si>
    <t>Multi &gt; 2 * single</t>
  </si>
  <si>
    <t>Paed &lt; Adult</t>
  </si>
  <si>
    <t>Rounded &amp; Uplift</t>
  </si>
  <si>
    <t>Afford</t>
  </si>
  <si>
    <t>2012-13</t>
  </si>
  <si>
    <t>2011-12</t>
  </si>
  <si>
    <t>* rounding, "uplift" and affordability adj</t>
  </si>
  <si>
    <t>CHECK FOR UN-DOING ADJUSTMENTS</t>
  </si>
  <si>
    <t>FAM&lt;FUM</t>
  </si>
  <si>
    <t>FAS&lt;FUS</t>
  </si>
  <si>
    <t>FAS&gt;FAM</t>
  </si>
  <si>
    <t>FUS&gt;FUM</t>
  </si>
  <si>
    <t>FAM&gt;2*FAS</t>
  </si>
  <si>
    <t>FUM&gt;2*FUS</t>
  </si>
  <si>
    <t>All</t>
  </si>
  <si>
    <t>Mand</t>
  </si>
  <si>
    <t>Treatment Function Code</t>
  </si>
  <si>
    <t>Revised prices</t>
  </si>
  <si>
    <t xml:space="preserve"> </t>
  </si>
  <si>
    <t>Monitor SQL</t>
  </si>
  <si>
    <t>Difference to prior step</t>
  </si>
  <si>
    <t>Colour cordination</t>
  </si>
  <si>
    <t>Transplantation Surgery</t>
  </si>
  <si>
    <t>Hepatobiliary  &amp;  Pancreatic Surgery</t>
  </si>
  <si>
    <t>Restorative Dentistry</t>
  </si>
  <si>
    <t>Paediatric Dentistry</t>
  </si>
  <si>
    <t>Neurosurgery</t>
  </si>
  <si>
    <t>Burns Care</t>
  </si>
  <si>
    <t>Cardiothoracic Transplantation [Recognised Specialist Services Only]</t>
  </si>
  <si>
    <t>Accident  &amp;  Emergency</t>
  </si>
  <si>
    <t>Critical Care Medicine</t>
  </si>
  <si>
    <t>Paediatric Transplantation Surgery</t>
  </si>
  <si>
    <t>Paediatric Gastrointestinal Surgery</t>
  </si>
  <si>
    <t>Paediatric Trauma And Orthopaedics</t>
  </si>
  <si>
    <t>Paediatric Ear Nose And Throat</t>
  </si>
  <si>
    <t>Paediatric Neurosurgery</t>
  </si>
  <si>
    <t>Paediatric Burns Care</t>
  </si>
  <si>
    <t>Paediatric Cardiac Surgery</t>
  </si>
  <si>
    <t>Clinical Genetics</t>
  </si>
  <si>
    <t>Clinical Immunology  &amp;  Allergy</t>
  </si>
  <si>
    <t>Rehabiliatation</t>
  </si>
  <si>
    <t>Palliative Medicine</t>
  </si>
  <si>
    <t>Clinical Immunology</t>
  </si>
  <si>
    <t>Allergy</t>
  </si>
  <si>
    <t>Clinical Microbiology</t>
  </si>
  <si>
    <t>Spinal Injuries</t>
  </si>
  <si>
    <t>Anticoagulant Service</t>
  </si>
  <si>
    <t>Sleep Studies</t>
  </si>
  <si>
    <t>Tropical Medicine</t>
  </si>
  <si>
    <t>Genito-Urinary Medicine</t>
  </si>
  <si>
    <t>Nuclear Medicine</t>
  </si>
  <si>
    <t>Neurology</t>
  </si>
  <si>
    <t>Clinical Neuro-Physiology</t>
  </si>
  <si>
    <t>Paediatric Neurology</t>
  </si>
  <si>
    <t>Neonatology</t>
  </si>
  <si>
    <t>Dental Medicine Specialties</t>
  </si>
  <si>
    <t>Medical Ophthalmology</t>
  </si>
  <si>
    <t>Obstetrics</t>
  </si>
  <si>
    <t>Midwife Episode</t>
  </si>
  <si>
    <t>Physiotherapy Total Attendances - Adult (19 and Over)</t>
  </si>
  <si>
    <t>Occupational Therapy Total Attendances - Adult (19 and Over)</t>
  </si>
  <si>
    <t>Speech  &amp;  Language Therapy Total Contacts - Adult (19 and Over)</t>
  </si>
  <si>
    <t>Podiatry</t>
  </si>
  <si>
    <t>Dietetics Total Contacts - Adult (19 and Over)</t>
  </si>
  <si>
    <t>Orthoptics</t>
  </si>
  <si>
    <t>Chemical Pathology</t>
  </si>
  <si>
    <t>Audiology</t>
  </si>
  <si>
    <t>Paediatric Thoracic Surgery</t>
  </si>
  <si>
    <t>Paediatric Pain Management</t>
  </si>
  <si>
    <t>Paediatric Intensive Care</t>
  </si>
  <si>
    <t>Paediatric Audiological Medicine</t>
  </si>
  <si>
    <t>Paediatric Clinical Immunology And Allergy</t>
  </si>
  <si>
    <t>Paediatric Infectious Diseases</t>
  </si>
  <si>
    <t>Paediatric Nephrology</t>
  </si>
  <si>
    <t>Paediatric Medical Oncology</t>
  </si>
  <si>
    <t>Paediatric Metabolic Disease</t>
  </si>
  <si>
    <t>Paediatric Rheumatology</t>
  </si>
  <si>
    <t>Paediatric Neuro-Disability</t>
  </si>
  <si>
    <t>Clinical Physiology</t>
  </si>
  <si>
    <t>Clinical Pharmacology</t>
  </si>
  <si>
    <t>Haemophilia</t>
  </si>
  <si>
    <t>Audiological Medicine</t>
  </si>
  <si>
    <t>Revised Front-loading % (Limiting)</t>
  </si>
  <si>
    <t>Rule: Zero volume</t>
  </si>
  <si>
    <t>Rule: LowVolume (&lt;50 att)</t>
  </si>
  <si>
    <r>
      <t xml:space="preserve">Rule: FU must be </t>
    </r>
    <r>
      <rPr>
        <sz val="11"/>
        <color theme="1"/>
        <rFont val="Calibri"/>
        <family val="2"/>
      </rPr>
      <t>≤</t>
    </r>
    <r>
      <rPr>
        <sz val="11"/>
        <color theme="1"/>
        <rFont val="Calibri"/>
        <family val="2"/>
        <scheme val="minor"/>
      </rPr>
      <t xml:space="preserve"> FA</t>
    </r>
  </si>
  <si>
    <t>Rule: Multi must not be &lt; Single</t>
  </si>
  <si>
    <t>2014-15 tariff - outpatient attendances</t>
  </si>
  <si>
    <t>Steps</t>
  </si>
  <si>
    <t>Overview</t>
  </si>
  <si>
    <t>Date last updated</t>
  </si>
  <si>
    <t>[output].[OPATT_FinalTariff]</t>
  </si>
  <si>
    <t>[stage].[OPATT_Activity_Crosstab]</t>
  </si>
  <si>
    <t>Derived table. This is the mapping for percentage split of each TFCs based on HRGs</t>
  </si>
  <si>
    <t>Calculate total costs and unit costs for rebundling non-mandatory OPROC HRGs.</t>
  </si>
  <si>
    <t>Calculate total costs and unit costs after applying front-loading % and restricting front-loading increase</t>
  </si>
  <si>
    <t>Apply various adjustments including low volume, zero volume, FA not less than FU, etc and uplifts.</t>
  </si>
  <si>
    <t>Shows the final prices and step by step changes. Also shows model prices or rollover prices</t>
  </si>
  <si>
    <t>2015/16 SQL figures</t>
  </si>
  <si>
    <t>Modelled</t>
  </si>
  <si>
    <t>2015/16 Front-loading Revised figures</t>
  </si>
  <si>
    <t>2015/16 Price adjustment Revised figures</t>
  </si>
  <si>
    <t>LB14Z</t>
  </si>
  <si>
    <t>LB67B</t>
  </si>
  <si>
    <t>FZ17D</t>
  </si>
  <si>
    <t>LB63B</t>
  </si>
  <si>
    <t>FZ27A</t>
  </si>
  <si>
    <t>LB72A</t>
  </si>
  <si>
    <t>LB10A</t>
  </si>
  <si>
    <t>FZ42A</t>
  </si>
  <si>
    <t>HA56A</t>
  </si>
  <si>
    <t>HA56B</t>
  </si>
  <si>
    <t>FZ88A</t>
  </si>
  <si>
    <t>CZ07P</t>
  </si>
  <si>
    <t>FZ68F</t>
  </si>
  <si>
    <t>FZ83F</t>
  </si>
  <si>
    <t>FZ20E</t>
  </si>
  <si>
    <t>LB42C</t>
  </si>
  <si>
    <t>FZ71C</t>
  </si>
  <si>
    <t>LB09D</t>
  </si>
  <si>
    <t>CZ23Y</t>
  </si>
  <si>
    <t>LB64B</t>
  </si>
  <si>
    <t>HA51Z</t>
  </si>
  <si>
    <t>FZ70Z</t>
  </si>
  <si>
    <t>MA30Z</t>
  </si>
  <si>
    <t>FZ78D</t>
  </si>
  <si>
    <t>FZ87C</t>
  </si>
  <si>
    <t>FZ18F</t>
  </si>
  <si>
    <t>FZ83D</t>
  </si>
  <si>
    <t>MA08Z</t>
  </si>
  <si>
    <t>HD23C</t>
  </si>
  <si>
    <t>HA73B</t>
  </si>
  <si>
    <t>KA08Z</t>
  </si>
  <si>
    <t>FZ23B</t>
  </si>
  <si>
    <t>FZ78B</t>
  </si>
  <si>
    <t>JA25Z</t>
  </si>
  <si>
    <t>QZ22B</t>
  </si>
  <si>
    <t>NZ16Z</t>
  </si>
  <si>
    <t>HB39Z</t>
  </si>
  <si>
    <t>FZ74B</t>
  </si>
  <si>
    <t>HA94Z</t>
  </si>
  <si>
    <t>LB54D</t>
  </si>
  <si>
    <t>KA07Z</t>
  </si>
  <si>
    <t>GA10G</t>
  </si>
  <si>
    <t>FZ18A</t>
  </si>
  <si>
    <t>JA21B</t>
  </si>
  <si>
    <t>HA62Z</t>
  </si>
  <si>
    <t>JA26Z</t>
  </si>
  <si>
    <t>LB60B</t>
  </si>
  <si>
    <t>HA13C</t>
  </si>
  <si>
    <t>LB68Z</t>
  </si>
  <si>
    <t>FZ24E</t>
  </si>
  <si>
    <t>MA20Z</t>
  </si>
  <si>
    <t>LB10B</t>
  </si>
  <si>
    <t>AA31A</t>
  </si>
  <si>
    <t>FZ13C</t>
  </si>
  <si>
    <t>GB01B</t>
  </si>
  <si>
    <t>FZ88B</t>
  </si>
  <si>
    <t>AA20B</t>
  </si>
  <si>
    <t>AA15A</t>
  </si>
  <si>
    <t>WA10Z</t>
  </si>
  <si>
    <t>WA14B</t>
  </si>
  <si>
    <t>QZ23Z</t>
  </si>
  <si>
    <t>GB09C</t>
  </si>
  <si>
    <t>NZ12D</t>
  </si>
  <si>
    <t>SA20A</t>
  </si>
  <si>
    <t>SA21A</t>
  </si>
  <si>
    <t>LB29D</t>
  </si>
  <si>
    <t>HB59Z</t>
  </si>
  <si>
    <t>QZ19Z</t>
  </si>
  <si>
    <t>GB07Z</t>
  </si>
  <si>
    <t>FZ75B</t>
  </si>
  <si>
    <t>NZ13B</t>
  </si>
  <si>
    <t>NZ24Z</t>
  </si>
  <si>
    <t>EA12Z</t>
  </si>
  <si>
    <t>FZ19B</t>
  </si>
  <si>
    <t>LB35B</t>
  </si>
  <si>
    <t>FZ12I</t>
  </si>
  <si>
    <t>FZ64B</t>
  </si>
  <si>
    <t>LB42B</t>
  </si>
  <si>
    <t>HA22C</t>
  </si>
  <si>
    <t>QZ21B</t>
  </si>
  <si>
    <t>HA53Z</t>
  </si>
  <si>
    <t>JD04C</t>
  </si>
  <si>
    <t>LB53B</t>
  </si>
  <si>
    <t>HC20C</t>
  </si>
  <si>
    <t>LB56D</t>
  </si>
  <si>
    <t>LB09C</t>
  </si>
  <si>
    <t>GB04D</t>
  </si>
  <si>
    <t>FZ18E</t>
  </si>
  <si>
    <t>FZ21A</t>
  </si>
  <si>
    <t>JD03C</t>
  </si>
  <si>
    <t>WA14A</t>
  </si>
  <si>
    <t>FZ58A</t>
  </si>
  <si>
    <t>FZ81B</t>
  </si>
  <si>
    <t>FZ76B</t>
  </si>
  <si>
    <t>LB54C</t>
  </si>
  <si>
    <t>FZ58B</t>
  </si>
  <si>
    <t>NZ22Z</t>
  </si>
  <si>
    <t>AA03B</t>
  </si>
  <si>
    <t>NZ14B</t>
  </si>
  <si>
    <t>LB21Z</t>
  </si>
  <si>
    <t>FZ68D</t>
  </si>
  <si>
    <t>FZ62B</t>
  </si>
  <si>
    <t>NZ21Z</t>
  </si>
  <si>
    <t>FZ13D</t>
  </si>
  <si>
    <t>GB05E</t>
  </si>
  <si>
    <t>JA19Z</t>
  </si>
  <si>
    <t>LB72B</t>
  </si>
  <si>
    <t>LB65B</t>
  </si>
  <si>
    <t>JA20C</t>
  </si>
  <si>
    <t>FZ23A</t>
  </si>
  <si>
    <t>LB29C</t>
  </si>
  <si>
    <t>GB04E</t>
  </si>
  <si>
    <t>FZ77B</t>
  </si>
  <si>
    <t>FZ42B</t>
  </si>
  <si>
    <t>HA97Z</t>
  </si>
  <si>
    <t>LB56C</t>
  </si>
  <si>
    <t>FZ67A</t>
  </si>
  <si>
    <t>HA55Z</t>
  </si>
  <si>
    <t>BZ24A</t>
  </si>
  <si>
    <t>LB61B</t>
  </si>
  <si>
    <t>JC04B</t>
  </si>
  <si>
    <t>JA30Z</t>
  </si>
  <si>
    <t>HC06Z</t>
  </si>
  <si>
    <t>NZ23Z</t>
  </si>
  <si>
    <t>HA35Z</t>
  </si>
  <si>
    <t>LB71Z</t>
  </si>
  <si>
    <t>FZ62A</t>
  </si>
  <si>
    <t>LB53A</t>
  </si>
  <si>
    <t>HB19Z</t>
  </si>
  <si>
    <t>AA21A</t>
  </si>
  <si>
    <t>FZ64A</t>
  </si>
  <si>
    <t>HC28C</t>
  </si>
  <si>
    <t>EA01Z</t>
  </si>
  <si>
    <t>JA24C</t>
  </si>
  <si>
    <t>FZ86Z</t>
  </si>
  <si>
    <t>FZ19A</t>
  </si>
  <si>
    <t>NZ27Z</t>
  </si>
  <si>
    <t>Data source</t>
  </si>
  <si>
    <t>PRICES</t>
  </si>
  <si>
    <t>NHS England</t>
  </si>
  <si>
    <t>Frontload</t>
  </si>
  <si>
    <t>Residual</t>
  </si>
  <si>
    <t xml:space="preserve">follow-up </t>
  </si>
  <si>
    <t xml:space="preserve">first attendance </t>
  </si>
  <si>
    <t>FA</t>
  </si>
  <si>
    <t>FU</t>
  </si>
  <si>
    <t>Resultant Adjustment (£)</t>
  </si>
  <si>
    <t>Cost (£)</t>
  </si>
  <si>
    <t>2015/16 prices Roll-over Method</t>
  </si>
  <si>
    <t>QUANTUM</t>
  </si>
  <si>
    <t>Monitor</t>
  </si>
  <si>
    <t>2012/13</t>
  </si>
  <si>
    <t>2013/14</t>
  </si>
  <si>
    <t>2014/15</t>
  </si>
  <si>
    <t>2015/16</t>
  </si>
  <si>
    <t>Inflation</t>
  </si>
  <si>
    <t>Inflation &amp; efficiency</t>
  </si>
  <si>
    <t>2015/16 Modelled Prices</t>
  </si>
  <si>
    <t>Sub-chapter</t>
  </si>
  <si>
    <t>AA</t>
  </si>
  <si>
    <t>AB</t>
  </si>
  <si>
    <t>BZ</t>
  </si>
  <si>
    <t>CZ</t>
  </si>
  <si>
    <t>DZ</t>
  </si>
  <si>
    <t>EA</t>
  </si>
  <si>
    <t>EB</t>
  </si>
  <si>
    <t>FZ</t>
  </si>
  <si>
    <t>GA</t>
  </si>
  <si>
    <t>GB</t>
  </si>
  <si>
    <t>GC</t>
  </si>
  <si>
    <t>HA</t>
  </si>
  <si>
    <t>HB</t>
  </si>
  <si>
    <t>HC</t>
  </si>
  <si>
    <t>HD</t>
  </si>
  <si>
    <t>HR</t>
  </si>
  <si>
    <t>JA</t>
  </si>
  <si>
    <t>JC</t>
  </si>
  <si>
    <t>JD</t>
  </si>
  <si>
    <t>KA</t>
  </si>
  <si>
    <t>KB</t>
  </si>
  <si>
    <t>KC</t>
  </si>
  <si>
    <t>LA</t>
  </si>
  <si>
    <t>LB</t>
  </si>
  <si>
    <t>LD</t>
  </si>
  <si>
    <t>MA</t>
  </si>
  <si>
    <t>MB</t>
  </si>
  <si>
    <t>NZ</t>
  </si>
  <si>
    <t>PA</t>
  </si>
  <si>
    <t>PB</t>
  </si>
  <si>
    <t>QZ</t>
  </si>
  <si>
    <t>RA</t>
  </si>
  <si>
    <t>RC</t>
  </si>
  <si>
    <t>SA</t>
  </si>
  <si>
    <t>SB</t>
  </si>
  <si>
    <t>SC</t>
  </si>
  <si>
    <t>UZ</t>
  </si>
  <si>
    <t>VA</t>
  </si>
  <si>
    <t>WA</t>
  </si>
  <si>
    <t>2015/16 Adjusted price</t>
  </si>
  <si>
    <t>2015/16 Quantum adjustment</t>
  </si>
  <si>
    <t>A variety of factors to adjustment the prices. Includes inflation, efficiency, CNST and quantum adjustment</t>
  </si>
  <si>
    <t>Mixed (Monitor &amp; External)</t>
  </si>
  <si>
    <t>2015/16 OPROC Allocated costs</t>
  </si>
  <si>
    <t>5a. 2015/16 Modelled Prices (formularised)</t>
  </si>
  <si>
    <t>5c. 2015/16 prices Roll-over Method</t>
  </si>
  <si>
    <t>6. Final Draft Prices</t>
  </si>
  <si>
    <t xml:space="preserve">5. Prices - Modelled price or Roll-forward prices (Y/N) </t>
  </si>
  <si>
    <t>4. Price adjustments (low volume, paediatric-adult relativities)</t>
  </si>
  <si>
    <t>3. Post sql Prices - Frontloading</t>
  </si>
  <si>
    <t>2. Post sql Prices - OPROC cost allocation</t>
  </si>
  <si>
    <t>1. Shadow modelled Prices</t>
  </si>
  <si>
    <t>Allocate OPROC cost</t>
  </si>
  <si>
    <t>Front-loading</t>
  </si>
  <si>
    <t>Further adjustment</t>
  </si>
  <si>
    <t>Roll-over</t>
  </si>
  <si>
    <t>HRG</t>
  </si>
  <si>
    <t>Method for price
FAS</t>
  </si>
  <si>
    <t>Method for price
FAM</t>
  </si>
  <si>
    <t>Method for price
FUS</t>
  </si>
  <si>
    <t>Method for price
FUM</t>
  </si>
  <si>
    <t>WF01B
Modelled or roll-over</t>
  </si>
  <si>
    <t>WF02B
Modelled or roll-over</t>
  </si>
  <si>
    <t>WF01A
Modelled or roll-over</t>
  </si>
  <si>
    <t>WF02A
Modelled or roll-over</t>
  </si>
  <si>
    <t>Revised TOTAL ACT</t>
  </si>
  <si>
    <t>Revised TC</t>
  </si>
  <si>
    <t>HRG_CODE</t>
  </si>
  <si>
    <t>Adjustment Type</t>
  </si>
  <si>
    <t xml:space="preserve">Source </t>
  </si>
  <si>
    <t>Efficiency*</t>
  </si>
  <si>
    <t>Inflation and Efficiency (total adjustment)</t>
  </si>
  <si>
    <t>Table 2:  Price Adjustments : CNST increase / decrease</t>
  </si>
  <si>
    <t>VB</t>
  </si>
  <si>
    <t xml:space="preserve"> Table 3: Quantum Adjustment</t>
  </si>
  <si>
    <t xml:space="preserve">Components </t>
  </si>
  <si>
    <t xml:space="preserve">Value </t>
  </si>
  <si>
    <t>Admitted patient care &amp; outpatient procedures</t>
  </si>
  <si>
    <t>Outpatient attendances</t>
  </si>
  <si>
    <t>A&amp;E</t>
  </si>
  <si>
    <t>Unbundled services</t>
  </si>
  <si>
    <t>Maternity pathway</t>
  </si>
  <si>
    <t>Other mandatory prices</t>
  </si>
  <si>
    <t>Non-mandatory Prices</t>
  </si>
  <si>
    <t>Table 4 :  Price Adjustments : Affordability and other adjustment</t>
  </si>
  <si>
    <t>APC &amp; OPROC</t>
  </si>
  <si>
    <t>Factor 1 (Scaling factor used in sql)</t>
  </si>
  <si>
    <t>OPATT</t>
  </si>
  <si>
    <t>Factor 1 (First affordability)</t>
  </si>
  <si>
    <t>Factor 1 (First Affordability)</t>
  </si>
  <si>
    <t>Factor 2 (Road test adjustment)</t>
  </si>
  <si>
    <t>Unbundled Services</t>
  </si>
  <si>
    <t>Factor 1 (Road test adjustment)</t>
  </si>
  <si>
    <t>Maternity Pathway</t>
  </si>
  <si>
    <t>Non-mandatory</t>
  </si>
  <si>
    <t>BPT</t>
  </si>
  <si>
    <t>Affordability (from previous yrs)</t>
  </si>
  <si>
    <t>DEPARTMENT</t>
  </si>
  <si>
    <t>SERVICE</t>
  </si>
  <si>
    <t>CURRENCY</t>
  </si>
  <si>
    <t>HRG UC (Target MFF)</t>
  </si>
  <si>
    <t>OPROC</t>
  </si>
  <si>
    <t>CZ32Y</t>
  </si>
  <si>
    <t>HB25F</t>
  </si>
  <si>
    <t>SA13B</t>
  </si>
  <si>
    <t>FZ59Z</t>
  </si>
  <si>
    <t>BZ07A</t>
  </si>
  <si>
    <t>CZ02T</t>
  </si>
  <si>
    <t>FZ50Z</t>
  </si>
  <si>
    <t>JC19D</t>
  </si>
  <si>
    <t>CZ13Y</t>
  </si>
  <si>
    <t>MC15Z</t>
  </si>
  <si>
    <t>CZ38Y</t>
  </si>
  <si>
    <t>MA25Z</t>
  </si>
  <si>
    <t>FZ22A</t>
  </si>
  <si>
    <t>HB79Z</t>
  </si>
  <si>
    <t>HB35C</t>
  </si>
  <si>
    <t>AB05Z</t>
  </si>
  <si>
    <t>KB04Z</t>
  </si>
  <si>
    <t>CZ35Y</t>
  </si>
  <si>
    <t>CZ39U</t>
  </si>
  <si>
    <t>BZ10A</t>
  </si>
  <si>
    <t>BZ13Z</t>
  </si>
  <si>
    <t>JC34Z</t>
  </si>
  <si>
    <t>LB17Z</t>
  </si>
  <si>
    <t>EA47Z</t>
  </si>
  <si>
    <t>BZ19Z</t>
  </si>
  <si>
    <t>CZ12U</t>
  </si>
  <si>
    <t>LB27Z</t>
  </si>
  <si>
    <t>JC20Z</t>
  </si>
  <si>
    <t>AB09Z</t>
  </si>
  <si>
    <t>MA23Z</t>
  </si>
  <si>
    <t>EA44Z</t>
  </si>
  <si>
    <t>JC33Z</t>
  </si>
  <si>
    <t>FZ51Z</t>
  </si>
  <si>
    <t>BZ22Z</t>
  </si>
  <si>
    <t>CZ37Y</t>
  </si>
  <si>
    <t>BZ18Z</t>
  </si>
  <si>
    <t>BZ07B</t>
  </si>
  <si>
    <t>DZ37A</t>
  </si>
  <si>
    <t>CZ42Y</t>
  </si>
  <si>
    <t>AA33C</t>
  </si>
  <si>
    <t>JA18C</t>
  </si>
  <si>
    <t>QZ05B</t>
  </si>
  <si>
    <t>JC11Z</t>
  </si>
  <si>
    <t>CZ36Y</t>
  </si>
  <si>
    <t>CZ08T</t>
  </si>
  <si>
    <t>CZ38U</t>
  </si>
  <si>
    <t>AB06Z</t>
  </si>
  <si>
    <t>DZ50Z</t>
  </si>
  <si>
    <t>FZ60Z</t>
  </si>
  <si>
    <t>JC04C</t>
  </si>
  <si>
    <t>JC10Z</t>
  </si>
  <si>
    <t>HB56C</t>
  </si>
  <si>
    <t>BZ23Z</t>
  </si>
  <si>
    <t>FZ54Z</t>
  </si>
  <si>
    <t>QZ14B</t>
  </si>
  <si>
    <t>CZ02Y</t>
  </si>
  <si>
    <t>DZ32Z</t>
  </si>
  <si>
    <t>CZ01T</t>
  </si>
  <si>
    <t>FZ52Z</t>
  </si>
  <si>
    <t>CZ34U</t>
  </si>
  <si>
    <t>UZ01Z</t>
  </si>
  <si>
    <t>CZ32U</t>
  </si>
  <si>
    <t>HB29Z</t>
  </si>
  <si>
    <t>JC18Z</t>
  </si>
  <si>
    <t>MA10Z</t>
  </si>
  <si>
    <t>CZ41Y</t>
  </si>
  <si>
    <t>FZ57Z</t>
  </si>
  <si>
    <t>HB69Z</t>
  </si>
  <si>
    <t>FZ61Z</t>
  </si>
  <si>
    <t>BZ04Z</t>
  </si>
  <si>
    <t>CZ31Y</t>
  </si>
  <si>
    <t>LB42A</t>
  </si>
  <si>
    <t>JC09Z</t>
  </si>
  <si>
    <t>FZ55Z</t>
  </si>
  <si>
    <t>JC03C</t>
  </si>
  <si>
    <t>EA45Z</t>
  </si>
  <si>
    <t>DZ31Z</t>
  </si>
  <si>
    <t>FZ83B</t>
  </si>
  <si>
    <t>JC05C</t>
  </si>
  <si>
    <t>LB15E</t>
  </si>
  <si>
    <t>DZ42Z</t>
  </si>
  <si>
    <t>CZ39Y</t>
  </si>
  <si>
    <t>JC14Z</t>
  </si>
  <si>
    <t>JC15Z</t>
  </si>
  <si>
    <t>CZ40Y</t>
  </si>
  <si>
    <t>MA21Z</t>
  </si>
  <si>
    <t>CZ08Y</t>
  </si>
  <si>
    <t>DZ52Z</t>
  </si>
  <si>
    <t>SA13A</t>
  </si>
  <si>
    <t>CZ34Y</t>
  </si>
  <si>
    <t>BZ10B</t>
  </si>
  <si>
    <t>CZ01Y</t>
  </si>
  <si>
    <t>CZ33Y</t>
  </si>
  <si>
    <t>CZ30Y</t>
  </si>
  <si>
    <t>CZ35U</t>
  </si>
  <si>
    <t>CZ12Y</t>
  </si>
  <si>
    <t>Total costs</t>
  </si>
  <si>
    <t>Total activities</t>
  </si>
  <si>
    <t>[Stage].[OPROC_National_Data]</t>
  </si>
  <si>
    <t>Price Adjustments</t>
  </si>
  <si>
    <t>WF01A</t>
  </si>
  <si>
    <t>WF01B</t>
  </si>
  <si>
    <t>WF02A</t>
  </si>
  <si>
    <t>WF02B</t>
  </si>
  <si>
    <t>Adjustment</t>
  </si>
  <si>
    <t xml:space="preserve">Table 1  :  Price Adjustments : Inflation and Efficiency </t>
  </si>
  <si>
    <t>2012/13 for BPT</t>
  </si>
  <si>
    <t>Total for BPT</t>
  </si>
  <si>
    <t>* In 2012-13 the efficiency assumption of 4% was reduced by 0.3% to reflect that BPTs had the effect of reducing overall reimbusement</t>
  </si>
  <si>
    <t>We use a chain linking the post adjustments for joining the efficency and inflation adjustment together from 2015/16 onwards (this is a slight methodological change from the 13/14 DH method).</t>
  </si>
  <si>
    <t>Maternity*</t>
  </si>
  <si>
    <t>* Note: Maternity is delivery element only.</t>
  </si>
  <si>
    <t>Factor 3 (Top slice)</t>
  </si>
  <si>
    <t>Factor 4 (Undo Affordability)</t>
  </si>
  <si>
    <t>Factor 5 (Post SC Affordability)</t>
  </si>
  <si>
    <t>Factor 6 (Road test adjustment)</t>
  </si>
  <si>
    <t>Factor 2 (Second affordability, ref 2012-13)</t>
  </si>
  <si>
    <t>Factor 4 (Undo first affordability)</t>
  </si>
  <si>
    <t>Factor 5 (Fourth affordability)</t>
  </si>
  <si>
    <t>Worksheet / Intermediary steps</t>
  </si>
  <si>
    <t>Input tables</t>
  </si>
  <si>
    <t>Linked Sheet</t>
  </si>
  <si>
    <t>SQL figures</t>
  </si>
  <si>
    <t>Non-SQL figures</t>
  </si>
  <si>
    <t>Processing steps</t>
  </si>
  <si>
    <t>Output</t>
  </si>
  <si>
    <t xml:space="preserve"> [output].[09NonMandHRGOPATT]</t>
  </si>
  <si>
    <t>Exclusions</t>
  </si>
  <si>
    <t>1) Monitor SQL
2) Monitor SQL
3) Monitor</t>
  </si>
  <si>
    <t>Non-mandatory OPROC HRGs</t>
  </si>
  <si>
    <t>This worksheet has the total cost quantum for each TFC split by attendance type</t>
  </si>
  <si>
    <t>OPATT_Cost_Quantum</t>
  </si>
  <si>
    <t>This worksheet has the total activities for each TFC split by attendance type</t>
  </si>
  <si>
    <t>OPATT_Activities</t>
  </si>
  <si>
    <t>Mandatory TFCs</t>
  </si>
  <si>
    <t>This worksheet shows the mapping non-mandatory of OPROC HRGs to TFCs</t>
  </si>
  <si>
    <t>Mapping HRGs to TFCs</t>
  </si>
  <si>
    <t>HRGs to TFCs 2</t>
  </si>
  <si>
    <t>HRGs to TFCs 1</t>
  </si>
  <si>
    <t>HRGs to TFCs % Split</t>
  </si>
  <si>
    <t>OPATT Post-sql step calculation</t>
  </si>
  <si>
    <t>Monitor website: http://www.monitor.gov.uk/NT</t>
  </si>
  <si>
    <t>Impact of Rebundling of Outpatient Procedure Activity</t>
  </si>
  <si>
    <t>Source: TFCs used from DH inhertied 2013/14 model</t>
  </si>
  <si>
    <t>7. Quantum Reconciliation</t>
  </si>
  <si>
    <t>9. Final Prices</t>
  </si>
  <si>
    <t>10. Final Prices for TED</t>
  </si>
  <si>
    <t>New quan inc manual adjustments</t>
  </si>
  <si>
    <t>QR after manual adjustment</t>
  </si>
  <si>
    <t>Value after manual adjustment</t>
  </si>
  <si>
    <t>2015/16 Final Adjusted inc QR from maunal adjustment</t>
  </si>
  <si>
    <t>11/12 Ref cost Activities</t>
  </si>
  <si>
    <t>2015-16 tariff - outpatient attendances FINAL (before rounding) - Post manual adjustment prices</t>
  </si>
  <si>
    <t>2015-16 tariff - outpatient attendances - Manual adjustment prices</t>
  </si>
  <si>
    <t>New quan post manual adjustments</t>
  </si>
  <si>
    <t>Shows the final prices</t>
  </si>
  <si>
    <t>Manual adjustments</t>
  </si>
  <si>
    <t>This worksheet has the 2014/15 published prices</t>
  </si>
  <si>
    <t>This worksheet has the non-mandatory OPROC HRGs to rebundle into OPATT
- Table [output].[09NonMandHRGOPATT] has the non-mandatory OPROC HRGs
- Table [Stage].[OPROC_National_Data] has all OPROC HRGs without rebundled diagnostic imaging and Uplift figures
- Table 'Exclusions' has the OPROC HRGs which should not be rebundled into OPATT</t>
  </si>
  <si>
    <t>apply same price as for general medicine</t>
  </si>
  <si>
    <t>set price based on a combination of 300, 301 and 306 (see expert comment on 301)</t>
  </si>
  <si>
    <t>Price</t>
  </si>
  <si>
    <t>8. Prices post manual adjustments</t>
  </si>
  <si>
    <t>2015/16 prices after manual adjustments</t>
  </si>
  <si>
    <t>2014-15 tariff - outpatient attendances - Published tariff</t>
  </si>
  <si>
    <t>Difference 15/16 to 14/15 tariff</t>
  </si>
  <si>
    <t>2015-16 tariff - outpatient attendances prices</t>
  </si>
  <si>
    <t>Post manual recon</t>
  </si>
  <si>
    <t>Reconciles pre manual adjustments prices to post manual adjustments prices</t>
  </si>
  <si>
    <t>Final Prices for TED inc. rounding</t>
  </si>
  <si>
    <t>This worksheet has the 2015/16 manual adjustments</t>
  </si>
  <si>
    <t>Manually adjusted (Y/N)</t>
  </si>
  <si>
    <t>2015-16 tariff - outpatient attendances</t>
  </si>
  <si>
    <t xml:space="preserve">TED OP Attendances </t>
  </si>
  <si>
    <t xml:space="preserve">This worksheet has the TED prices for OPATT </t>
  </si>
  <si>
    <t xml:space="preserve">1 &gt;&gt;  TED Prices </t>
  </si>
  <si>
    <t>2 &gt;&gt; SQL inputs</t>
  </si>
  <si>
    <t>3 &gt;&gt; Non SQL inputs</t>
  </si>
  <si>
    <t>4 &gt;&gt; Processing</t>
  </si>
  <si>
    <t>5 &gt;&gt; Output</t>
  </si>
  <si>
    <t>Expert comments</t>
  </si>
  <si>
    <t>Final Monitor comments</t>
  </si>
  <si>
    <t>Previously Gatsro and Hepatology were set the same as general medicine so as to not incentivise providers calling effectibvely the same attendances different TFCs. Perhaps this should be re-introduced? However, the tariff level seems reasonable if GI imaging (CT etc) is now unbundled</t>
  </si>
  <si>
    <t>Previously Gatsro and Hepatology were set the same as general medicine so as to not incentivise providers calling effectibvely the same attendances different TFCs. Perhaps this should be re-introduced?</t>
  </si>
  <si>
    <t>set price based on a combination of 300, 301 and 306 (see expert comment on 301)
apply same price as for general medicine</t>
  </si>
  <si>
    <t>TED Prices</t>
  </si>
  <si>
    <t>14-15 tariff</t>
  </si>
  <si>
    <t>9) Final Prices</t>
  </si>
  <si>
    <t>Home</t>
  </si>
  <si>
    <t>Last year's data</t>
  </si>
  <si>
    <t>Percentage change after front loading</t>
  </si>
  <si>
    <t>Quantum change resulting from front loading and limiting costs increse to 150%</t>
  </si>
  <si>
    <t>Quantum change as percentage of post adjustment quantum.</t>
  </si>
  <si>
    <t>Produced by: Monitor</t>
  </si>
  <si>
    <t>Model</t>
  </si>
  <si>
    <t>OP Attendances</t>
  </si>
  <si>
    <t>HPB outpatients are predominantly multi-professional (doctor, cns, dietician) and the low percentage seen is probably poor data collection or misrecording of non specialist clinics, if we are seeking to encourage correct data recording and multi-professional clinics to reduce multiple appointments then we should maintain the differential between the single and multiprofessional clinics</t>
  </si>
  <si>
    <t>This is a suggestion based on a policy proposal - insufficiently substantiated - no change</t>
  </si>
  <si>
    <t>We would suggest that the multiprofessional tariff should be greater than the single professional tariff owing to the differing appointment times, as per the spinal tariff</t>
  </si>
  <si>
    <t>No change</t>
  </si>
  <si>
    <t>ENT attendance involves use of instruments that may be single use or reprossesed with the attendant costs.  Many patients also need examination using nasendosocopy which is a high cost procedure when taking into account cost of equipment and decontamination.  The cost of an ENT appointment seems to be very low compared with specialities that may not involve such high cost equipment</t>
  </si>
  <si>
    <t xml:space="preserve">Comment - MF cases are more complex than oral surgery cases and comparable to plastic surgery . Many have complex trauma, or head and neck cancers vs OS cases who may simply need surgical exodontia. No rational for reduction in MF OP tariff. In fact, it may be that there are coding issues in trusts between OS and MF cases- cases should be as per speciality listng of consultant, and very few will be on only OS list- </t>
  </si>
  <si>
    <t>Maxillofacial attendance involves use of instruments that may be single use or reprossesed with the attendant costs. Specialist equipment including dental chairs, lights and units have to be provided with attendant upkeep costs.  The cost of a Maxillofacial  appointment seems to be very low compared with specialities that may not involve such high cost equipment</t>
  </si>
  <si>
    <t>Pain management Multiprofessional tariff has been set the same as single professional tariff. The multiprofessional clinic involves a lot more health care personnel and should be reflected in the price and attract a higher tariff for both the first attendance and the follow up attendance. Historically the price had been inadequately set due to an inaccurate reference cost system and the EWG are requesting that this be corrected in the 2015-16 tariff with a higher tariff proposed for multiprofessional clinics. The followup outpatient appointments, in particular for multiprofessional activity, tend to be more expensive than other specialties as they, on average, last longer, involve more healthcare professionals and have a high proportion of procedure activity. We suggest that the suggested pain management outpatient followup for multiprofessional activity is increased to last years price.</t>
  </si>
  <si>
    <t>paediatric gastroenterology includes many complex patients with growth disorders,  body dysmorphism, special dietary requirements, nutrient deficiencies, need for nutrition support, diagnostic radiology
Lots of Outpatient attendance prices where multi professional are still the same price as single professional. Again it may be the lack of costing clarity but seems intuitively incorrect (though not necessarily significantly different from the existing position in 2014/15). For example Paediatric Gastroenterology.</t>
  </si>
  <si>
    <t>The tariff for Endocrinology outpatients are ridiculously low for many reasons:
1) Its about half the price for Paed Endocrinology - and I think we treat much the same conditions and probably do more investigation in adults than in children
2) Proposed price is less that previous year - in spite of medical inflation
3) No increased tariff for multi-professional attendances - so no more for a clinic which involves a consultant endo + surgeon + radiologist etc despite the fact that this clearly costs more and offers a more detailed specialist review (and probably less attendances than seeing each professional separately)
4) Price is lower than most other medical specialties - including even geriatrics - despite the fact that we a) probably spend longer with each patient than most specialties b) do lots of tests - including multiple hormone tests and scans - most of which are done as part of the same outpatient visit so there is no other source of income to pay for this activity  c) rarely admit people for investigation or treatment (almost all our specialty is performed in the outpatient clinic) and so get no advantage from higher inpatient tariffs
5) A single tariff for all of endocrinology is crazy anyway - there is massive difference in resource implications of different endocrine conditions - we need outpatient diagnostic and therapeutic coding to allow a sensible tariff.
6) We increasingly follow up complex long-term patients at longer and longer intervals (e.g. annually or once every 2 years). The "Follow up" attendance therefore becomes more and more like a "New" attendances in terms of resources
7) We increasingly use "Virtual Clinics" or similar Advice-Registers to provide advice to patients and GPs on treatments based on blood tests taken between hospital attendances. There are thus less attendances but more specialist work being done. We need a tariff for this activity too.
My suggested alternative price is based on the fact that our activity is largely indistinguishable from activity in Paediatric Endocrinology - with then a more appropriate markup for multiprofessional (or MDT) clinics.
How do the tariff-setters imagine that all our endocrine tests and any expensive treatments will be funded. I am a clinician and not a manager so I don't actually understand how this happens at the moment. From the spreadsheet it looks like MRI has a separate tariff - but I can't see anything separate for laboratory tests - and it would be pretty easy to spend £180 (ie the whole proposed tariff for new attendance) on a new patient on hormone blood tests alone, and much more if genetic testing were required!  How are these laboratory tests meant to be funded when initiated from our endocrine clinics? If all the investigation and treatment costs were somehow paid for by a separate tariff then a lower tariff for the rest begins to show a little more logic - but I am not convinced that this is the intention.</t>
  </si>
  <si>
    <t>prices not materially different from prior year - no change</t>
  </si>
  <si>
    <t>Dermatology attendance often invilves a biopsy and use of instruments that may be single use or reprossesed with the attendant costs. Drugs such as Roaccutane, Methotrexate and Ciclosporin are prescribed with need for folow up blood monitoring.  The cost of a Dermatology  appointment seems to be very low compared with specialities that may not involve such high cost equipment</t>
  </si>
  <si>
    <t>costs of new consultant appt too low given increasing complexity of of patients now being referred. Community services / intigrated services have taken away many of the simple low cost attendances. Undundling of imaging produced an appropriate reduction in tariff but pulmonary physiology / blodds remain high cost that has no tariff. eg challenge testing for asthma is around £200. most patients attending as new patients will have some some assessment by pul function technician  . this is true for FU activity also as patients are bought back or ongoing management, eg interstitial lung disase needs pul function on most occasions.
Needs to be at least same price as 300 Gen Med</t>
  </si>
  <si>
    <t>prices similar to 14/15 and similar to general medicine 
-
no change</t>
  </si>
  <si>
    <t>activity within ths TFC is very small and has no "clincal meanining". When looked last year the major cost for thos HRG was from one london trust who included a who variety of activity. This distorts the new / FU and the multiprofessional attendances. this would  be better attributed to a new TFC of "sleep medicine" or ? removing.</t>
  </si>
  <si>
    <t>*We need a tariff for paediatric nephrology which is equivement to other specialist paediatric tariff</t>
  </si>
  <si>
    <t>no change, given on NHSE comment</t>
  </si>
  <si>
    <t>Needs to be same price as 800 clin oncology</t>
  </si>
  <si>
    <t>no evidence given 
-
no change</t>
  </si>
  <si>
    <t>It appears that multi-professional Gynaecology pays the same as single professional. This would encourage poor practice in complex cases, which is counter-intuitive to the aims of specialist commissioning. Thus this may result in patient harm in the longer term, as no trust would be able to support an MDT type approach for complex cases. </t>
  </si>
  <si>
    <t>no change (NHSE comment does not have any rationale)</t>
  </si>
  <si>
    <t>Needs to be same price as 370 med oncology</t>
  </si>
  <si>
    <t>TFC description</t>
  </si>
  <si>
    <t>Expert &amp; Final Monitor comments</t>
  </si>
  <si>
    <t>This worksheet has all 2015/16 manual adjustments</t>
  </si>
  <si>
    <t>2015-16 OPATT model.xlsx</t>
  </si>
  <si>
    <t xml:space="preserve">Where monitor has taken "no action” in response to an Expert comment, this is usually because we have to date received insufficient evidence to support making a manual adjustment to the tariff price. </t>
  </si>
  <si>
    <t xml:space="preserve">1) [output].[09NonMandHRGOPATT]
2) [Stage].[OPROC_National_Data]
</t>
  </si>
  <si>
    <t>Target quantum</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</si>
</sst>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41" formatCode="_-* #,##0_-;\-* #,##0_-;_-* &quot;-&quot;_-;_-@_-"/>
    <numFmt numFmtId="44" formatCode="_-&quot;£&quot;* #,##0.00_-;\-&quot;£&quot;* #,##0.00_-;_-&quot;£&quot;* &quot;-&quot;??_-;_-@_-"/>
    <numFmt numFmtId="43" formatCode="_-* #,##0.00_-;\-* #,##0.00_-;_-* &quot;-&quot;??_-;_-@_-"/>
    <numFmt numFmtId="164" formatCode="#,##0_ ;\-#,##0\ "/>
    <numFmt numFmtId="165" formatCode="0.0%"/>
    <numFmt numFmtId="166" formatCode="0_ ;\-0\ "/>
    <numFmt numFmtId="167" formatCode="_-* #,##0_-;\-* #,##0_-;_-* &quot;-&quot;??_-;_-@_-"/>
    <numFmt numFmtId="168" formatCode="_-&quot;£&quot;* #,##0_-;\-&quot;£&quot;* #,##0_-;_-&quot;£&quot;* &quot;-&quot;??_-;_-@_-"/>
    <numFmt numFmtId="169" formatCode="0.000%"/>
    <numFmt numFmtId="170" formatCode="#,##0.00%\ ;\-#,##0.00%;&quot;-&quot;\ "/>
    <numFmt numFmtId="171" formatCode="#,##0.0%\ ;\-#,##0.0%;&quot;-&quot;\ "/>
    <numFmt numFmtId="172" formatCode="#,##0_);[Red]\(#,##0\);&quot;-&quot;_);[Blue]&quot;Error-&quot;@"/>
    <numFmt numFmtId="173" formatCode="#,##0.0_);[Red]\(#,##0.0\);&quot;-&quot;_);[Blue]&quot;Error-&quot;@"/>
    <numFmt numFmtId="174" formatCode="#,##0.00_);[Red]\(#,##0.00\);&quot;-&quot;_);[Blue]&quot;Error-&quot;@"/>
    <numFmt numFmtId="175" formatCode="&quot;£&quot;* #,##0_);[Red]&quot;£&quot;* \(#,##0\);&quot;£&quot;* &quot;-&quot;_);[Blue]&quot;Error-&quot;@"/>
    <numFmt numFmtId="176" formatCode="&quot;£&quot;* #,##0.0_);[Red]&quot;£&quot;* \(#,##0.0\);&quot;£&quot;* &quot;-&quot;_);[Blue]&quot;Error-&quot;@"/>
    <numFmt numFmtId="177" formatCode="&quot;£&quot;* #,##0.00_);[Red]&quot;£&quot;* \(#,##0.00\);&quot;£&quot;* &quot;-&quot;_);[Blue]&quot;Error-&quot;@"/>
    <numFmt numFmtId="178" formatCode="dd\ mmm\ yyyy_)"/>
    <numFmt numFmtId="179" formatCode="dd/mm/yy_)"/>
    <numFmt numFmtId="180" formatCode="0%_);[Red]\-0%_);0%_);[Blue]&quot;Error-&quot;@"/>
    <numFmt numFmtId="181" formatCode="0.0%_);[Red]\-0.0%_);0.0%_);[Blue]&quot;Error-&quot;@"/>
    <numFmt numFmtId="182" formatCode="0.00%_);[Red]\-0.00%_);0.00%_);[Blue]&quot;Error-&quot;@"/>
    <numFmt numFmtId="183" formatCode="000"/>
    <numFmt numFmtId="184" formatCode="#,##0.0_);\(#,##0.0\)"/>
    <numFmt numFmtId="185" formatCode="#,##0;\(#,##0\)"/>
    <numFmt numFmtId="186" formatCode="#,##0;\-#,##0;\-"/>
    <numFmt numFmtId="187" formatCode="_(* #,##0.00_);_(* \(#,##0.00\);_(* &quot;-&quot;??_);_(@_)"/>
    <numFmt numFmtId="188" formatCode="_(&quot;£&quot;* #,##0.00_);_(&quot;£&quot;* \(#,##0.00\);_(&quot;£&quot;* &quot;-&quot;??_);_(@_)"/>
    <numFmt numFmtId="189" formatCode="#,##0\ ;\(#,##0\)\ ;\ &quot;-&quot;"/>
    <numFmt numFmtId="190" formatCode="mmm\ \-\ yy"/>
    <numFmt numFmtId="191" formatCode="* #,##0\ ;* \(#,##0\);* &quot; - &quot;;* @\ "/>
    <numFmt numFmtId="192" formatCode="_([$€]* #,##0.00_);_([$€]* \(#,##0.00\);_([$€]* &quot;-&quot;??_);_(@_)"/>
    <numFmt numFmtId="193" formatCode="[Magenta]&quot;Err&quot;;[Magenta]&quot;Err&quot;;[Blue]&quot;OK&quot;"/>
    <numFmt numFmtId="194" formatCode="General\ &quot;.&quot;"/>
    <numFmt numFmtId="195" formatCode="#,##0_);[Red]\(#,##0\);\-_)"/>
    <numFmt numFmtId="196" formatCode="0.0_)%;[Red]\(0.0%\);0.0_)%"/>
    <numFmt numFmtId="197" formatCode="#,##0;[Red]\(#,##0\)"/>
    <numFmt numFmtId="198" formatCode="0.00%;\(0.00%\)"/>
    <numFmt numFmtId="199" formatCode="#,##0;\-#,##0.00_-;&quot;-&quot;"/>
    <numFmt numFmtId="200" formatCode="#,##0,;\(#,##0,\);\-;@"/>
    <numFmt numFmtId="201" formatCode="0.00_)"/>
    <numFmt numFmtId="202" formatCode="_-[$€-2]* #,##0.00_-;\-[$€-2]* #,##0.00_-;_-[$€-2]* &quot;-&quot;??_-"/>
    <numFmt numFmtId="203" formatCode="#,##0;\(#,##0\);\-;@"/>
    <numFmt numFmtId="204" formatCode="\+\ #,##0.0_);\-\ #,##0.0_)"/>
    <numFmt numFmtId="205" formatCode="#,##0.0,,;\-#,##0.0,,;\-"/>
    <numFmt numFmtId="206" formatCode="#,##0,;\-#,##0,;\-"/>
    <numFmt numFmtId="207" formatCode="0.0%;\-0.0%;\-"/>
    <numFmt numFmtId="208" formatCode="#,##0&quot;,000&quot;;\-#,##0&quot;,000&quot;;\-"/>
    <numFmt numFmtId="209" formatCode="#,##0.0,,;\-#,##0.0,,"/>
    <numFmt numFmtId="210" formatCode="#,##0,;\-#,##0,"/>
    <numFmt numFmtId="211" formatCode="&quot;Val &quot;0"/>
  </numFmts>
  <fonts count="132">
    <font>
      <sz val="11"/>
      <color theme="1"/>
      <name val="Calibri"/>
      <family val="2"/>
      <scheme val="minor"/>
    </font>
    <font>
      <sz val="10"/>
      <name val="Arial"/>
      <family val="2"/>
    </font>
    <font>
      <sz val="10"/>
      <name val="Arial"/>
      <family val="2"/>
    </font>
    <font>
      <b/>
      <u/>
      <sz val="10"/>
      <name val="Arial"/>
      <family val="2"/>
    </font>
    <font>
      <b/>
      <u/>
      <sz val="8"/>
      <name val="Arial"/>
      <family val="2"/>
    </font>
    <font>
      <sz val="8"/>
      <name val="Arial"/>
      <family val="2"/>
    </font>
    <font>
      <u/>
      <sz val="10"/>
      <color indexed="12"/>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1"/>
      <color theme="1"/>
      <name val="Calibri"/>
      <family val="2"/>
      <scheme val="minor"/>
    </font>
    <font>
      <b/>
      <sz val="8"/>
      <name val="Arial"/>
      <family val="2"/>
    </font>
    <font>
      <sz val="11"/>
      <color rgb="FFFF0000"/>
      <name val="Calibri"/>
      <family val="2"/>
      <scheme val="minor"/>
    </font>
    <font>
      <i/>
      <sz val="8"/>
      <color indexed="22"/>
      <name val="Arial"/>
      <family val="2"/>
    </font>
    <font>
      <sz val="11"/>
      <name val="Calibri"/>
      <family val="2"/>
      <scheme val="minor"/>
    </font>
    <font>
      <sz val="10"/>
      <color theme="1"/>
      <name val="Calibri"/>
      <family val="2"/>
      <scheme val="minor"/>
    </font>
    <font>
      <b/>
      <sz val="16"/>
      <name val="Arial"/>
      <family val="2"/>
    </font>
    <font>
      <b/>
      <sz val="12"/>
      <name val="Arial"/>
      <family val="2"/>
    </font>
    <font>
      <sz val="12"/>
      <name val="Arial"/>
      <family val="2"/>
    </font>
    <font>
      <sz val="10"/>
      <color indexed="8"/>
      <name val="Arial"/>
      <family val="2"/>
    </font>
    <font>
      <b/>
      <sz val="14"/>
      <color theme="1"/>
      <name val="Calibri"/>
      <family val="2"/>
      <scheme val="minor"/>
    </font>
    <font>
      <u/>
      <sz val="11"/>
      <color theme="10"/>
      <name val="Calibri"/>
      <family val="2"/>
      <scheme val="minor"/>
    </font>
    <font>
      <sz val="10"/>
      <name val="Arial"/>
      <family val="2"/>
    </font>
    <font>
      <sz val="11"/>
      <color theme="1"/>
      <name val="Calibri"/>
      <family val="2"/>
    </font>
    <font>
      <u/>
      <sz val="10"/>
      <color theme="10"/>
      <name val="Arial"/>
      <family val="2"/>
    </font>
    <font>
      <u/>
      <sz val="12"/>
      <color theme="10"/>
      <name val="Arial"/>
      <family val="2"/>
    </font>
    <font>
      <sz val="12"/>
      <color theme="1"/>
      <name val="Arial"/>
      <family val="2"/>
    </font>
    <font>
      <b/>
      <sz val="10"/>
      <name val="Arial"/>
      <family val="2"/>
    </font>
    <font>
      <sz val="10"/>
      <name val="Arial"/>
      <family val="2"/>
    </font>
    <font>
      <sz val="8"/>
      <color indexed="81"/>
      <name val="Tahoma"/>
      <family val="2"/>
    </font>
    <font>
      <sz val="10"/>
      <name val="Arial"/>
      <family val="2"/>
    </font>
    <font>
      <sz val="9"/>
      <color theme="1"/>
      <name val="Calibri"/>
      <family val="2"/>
      <scheme val="minor"/>
    </font>
    <font>
      <sz val="10"/>
      <name val="Arial"/>
      <family val="2"/>
    </font>
    <font>
      <sz val="10"/>
      <color theme="1"/>
      <name val="Arial"/>
      <family val="2"/>
    </font>
    <font>
      <sz val="10"/>
      <name val="Arial"/>
      <family val="2"/>
    </font>
    <font>
      <b/>
      <sz val="8"/>
      <color theme="1"/>
      <name val="Arial"/>
      <family val="2"/>
    </font>
    <font>
      <sz val="8"/>
      <color theme="1"/>
      <name val="Arial"/>
      <family val="2"/>
    </font>
    <font>
      <sz val="16"/>
      <color theme="3"/>
      <name val="Calibri"/>
      <family val="2"/>
      <scheme val="minor"/>
    </font>
    <font>
      <b/>
      <i/>
      <sz val="10"/>
      <color theme="1"/>
      <name val="Calibri"/>
      <family val="2"/>
      <scheme val="minor"/>
    </font>
    <font>
      <i/>
      <sz val="10"/>
      <color theme="1"/>
      <name val="Calibri"/>
      <family val="2"/>
      <scheme val="minor"/>
    </font>
    <font>
      <sz val="10"/>
      <color rgb="FFFF0000"/>
      <name val="Arial"/>
      <family val="2"/>
    </font>
    <font>
      <sz val="10"/>
      <color theme="0" tint="-4.9989318521683403E-2"/>
      <name val="Calibri"/>
      <family val="2"/>
      <scheme val="minor"/>
    </font>
    <font>
      <b/>
      <sz val="10"/>
      <color theme="1"/>
      <name val="Calibri"/>
      <family val="2"/>
      <scheme val="minor"/>
    </font>
    <font>
      <sz val="10"/>
      <color rgb="FF00B050"/>
      <name val="Calibri"/>
      <family val="2"/>
      <scheme val="minor"/>
    </font>
    <font>
      <sz val="10"/>
      <name val="Calibri"/>
      <family val="2"/>
      <scheme val="minor"/>
    </font>
    <font>
      <sz val="10"/>
      <color rgb="FF7030A0"/>
      <name val="Calibri"/>
      <family val="2"/>
      <scheme val="minor"/>
    </font>
    <font>
      <sz val="9"/>
      <name val="Arial"/>
      <family val="2"/>
    </font>
    <font>
      <i/>
      <sz val="8"/>
      <color indexed="62"/>
      <name val="Arial"/>
      <family val="2"/>
    </font>
    <font>
      <sz val="8"/>
      <color indexed="20"/>
      <name val="Arial"/>
      <family val="2"/>
    </font>
    <font>
      <sz val="9"/>
      <color indexed="8"/>
      <name val="Arial"/>
      <family val="2"/>
    </font>
    <font>
      <sz val="7"/>
      <name val="Arial"/>
      <family val="2"/>
    </font>
    <font>
      <sz val="10"/>
      <name val="Helv"/>
      <family val="2"/>
    </font>
    <font>
      <sz val="10"/>
      <name val="Geneva"/>
    </font>
    <font>
      <sz val="12"/>
      <name val="Times New Roman"/>
      <family val="1"/>
    </font>
    <font>
      <sz val="10"/>
      <color indexed="8"/>
      <name val="MS Sans Serif"/>
      <family val="2"/>
    </font>
    <font>
      <b/>
      <sz val="12"/>
      <color indexed="63"/>
      <name val="Arial"/>
      <family val="2"/>
    </font>
    <font>
      <b/>
      <sz val="9"/>
      <color indexed="63"/>
      <name val="Arial"/>
      <family val="2"/>
    </font>
    <font>
      <b/>
      <sz val="11"/>
      <color indexed="28"/>
      <name val="Arial"/>
      <family val="2"/>
    </font>
    <font>
      <i/>
      <sz val="8"/>
      <color indexed="8"/>
      <name val="Arial"/>
      <family val="2"/>
    </font>
    <font>
      <sz val="10.5"/>
      <name val="Times New Roman"/>
      <family val="1"/>
    </font>
    <font>
      <b/>
      <sz val="8.5"/>
      <name val="Times New Roman"/>
      <family val="1"/>
    </font>
    <font>
      <b/>
      <sz val="10"/>
      <color indexed="18"/>
      <name val="MS Sans Serif"/>
      <family val="2"/>
    </font>
    <font>
      <sz val="12"/>
      <color indexed="8"/>
      <name val="Arial"/>
      <family val="2"/>
    </font>
    <font>
      <sz val="10"/>
      <name val="Tahoma"/>
      <family val="2"/>
    </font>
    <font>
      <sz val="11"/>
      <name val="Arial"/>
      <family val="2"/>
    </font>
    <font>
      <sz val="11"/>
      <name val="Times New Roman"/>
      <family val="1"/>
    </font>
    <font>
      <sz val="11"/>
      <name val="Book Antiqua"/>
      <family val="1"/>
    </font>
    <font>
      <b/>
      <sz val="8"/>
      <color indexed="12"/>
      <name val="Arial"/>
      <family val="2"/>
    </font>
    <font>
      <b/>
      <sz val="12"/>
      <color indexed="8"/>
      <name val="Arial"/>
      <family val="2"/>
    </font>
    <font>
      <b/>
      <sz val="10.5"/>
      <color indexed="8"/>
      <name val="Arial"/>
      <family val="2"/>
    </font>
    <font>
      <sz val="10"/>
      <color indexed="12"/>
      <name val="Arial"/>
      <family val="2"/>
    </font>
    <font>
      <b/>
      <sz val="9"/>
      <color theme="0"/>
      <name val="Arial"/>
      <family val="2"/>
    </font>
    <font>
      <b/>
      <sz val="11"/>
      <name val="Arial"/>
      <family val="2"/>
    </font>
    <font>
      <b/>
      <sz val="11"/>
      <color indexed="10"/>
      <name val="Arial"/>
      <family val="2"/>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b/>
      <sz val="12"/>
      <color indexed="12"/>
      <name val="Arial"/>
      <family val="2"/>
    </font>
    <font>
      <u/>
      <sz val="8"/>
      <color theme="10"/>
      <name val="Arial"/>
      <family val="2"/>
    </font>
    <font>
      <u/>
      <sz val="11"/>
      <color theme="10"/>
      <name val="Calibri"/>
      <family val="2"/>
    </font>
    <font>
      <sz val="10"/>
      <color indexed="24"/>
      <name val="Arial"/>
      <family val="2"/>
    </font>
    <font>
      <sz val="7"/>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b/>
      <u val="singleAccounting"/>
      <sz val="9"/>
      <color theme="0"/>
      <name val="Arial"/>
      <family val="2"/>
    </font>
    <font>
      <sz val="11"/>
      <name val="Univers 45 Light"/>
      <family val="2"/>
    </font>
    <font>
      <sz val="8"/>
      <color indexed="10"/>
      <name val="Arial"/>
      <family val="2"/>
    </font>
    <font>
      <b/>
      <i/>
      <sz val="16"/>
      <name val="Helv"/>
    </font>
    <font>
      <sz val="12"/>
      <color theme="1"/>
      <name val="Calibri"/>
      <family val="2"/>
      <scheme val="minor"/>
    </font>
    <font>
      <sz val="10"/>
      <name val="Times New Roman"/>
      <family val="1"/>
    </font>
    <font>
      <sz val="7"/>
      <color theme="1"/>
      <name val="Arial"/>
      <family val="2"/>
    </font>
    <font>
      <sz val="6"/>
      <name val="Arial"/>
      <family val="2"/>
    </font>
    <font>
      <sz val="8"/>
      <name val="Tahom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9"/>
      <name val="Tahoma"/>
      <family val="2"/>
    </font>
    <font>
      <b/>
      <u/>
      <sz val="11"/>
      <name val="Arial"/>
      <family val="2"/>
    </font>
    <font>
      <b/>
      <i/>
      <sz val="11"/>
      <name val="Arial"/>
      <family val="2"/>
    </font>
    <font>
      <sz val="8.5"/>
      <name val="Times New Roman"/>
      <family val="1"/>
    </font>
    <font>
      <i/>
      <sz val="8.5"/>
      <name val="Times New Roman"/>
      <family val="1"/>
    </font>
    <font>
      <b/>
      <sz val="10.5"/>
      <name val="Times New Roman"/>
      <family val="1"/>
    </font>
    <font>
      <b/>
      <sz val="8"/>
      <name val="Times New Roman"/>
      <family val="1"/>
    </font>
    <font>
      <b/>
      <i/>
      <sz val="10.5"/>
      <name val="Times New Roman"/>
      <family val="1"/>
    </font>
    <font>
      <i/>
      <sz val="10.5"/>
      <name val="Times New Roman"/>
      <family val="1"/>
    </font>
    <font>
      <i/>
      <sz val="8.5"/>
      <color indexed="10"/>
      <name val="Times New Roman"/>
      <family val="1"/>
    </font>
    <font>
      <sz val="8.5"/>
      <color indexed="10"/>
      <name val="Times New Roman"/>
      <family val="1"/>
    </font>
    <font>
      <b/>
      <sz val="16"/>
      <color indexed="9"/>
      <name val="Arial"/>
      <family val="2"/>
    </font>
    <font>
      <b/>
      <sz val="16"/>
      <color indexed="24"/>
      <name val="Univers 45 Light"/>
      <family val="2"/>
    </font>
    <font>
      <b/>
      <sz val="14"/>
      <name val="Arial"/>
      <family val="2"/>
    </font>
    <font>
      <sz val="10"/>
      <color indexed="10"/>
      <name val="Arial"/>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rgb="FFFFFF99"/>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indexed="13"/>
        <bgColor indexed="64"/>
      </patternFill>
    </fill>
    <fill>
      <patternFill patternType="solid">
        <fgColor indexed="43"/>
        <bgColor indexed="64"/>
      </patternFill>
    </fill>
    <fill>
      <patternFill patternType="solid">
        <fgColor theme="5" tint="0.79998168889431442"/>
        <bgColor indexed="64"/>
      </patternFill>
    </fill>
    <fill>
      <patternFill patternType="solid">
        <fgColor theme="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5"/>
        <bgColor indexed="64"/>
      </patternFill>
    </fill>
    <fill>
      <patternFill patternType="solid">
        <fgColor theme="9"/>
        <bgColor indexed="64"/>
      </patternFill>
    </fill>
    <fill>
      <patternFill patternType="solid">
        <fgColor theme="6" tint="-0.249977111117893"/>
        <bgColor indexed="64"/>
      </patternFill>
    </fill>
    <fill>
      <patternFill patternType="solid">
        <fgColor rgb="FFCCFFCC"/>
        <bgColor indexed="64"/>
      </patternFill>
    </fill>
    <fill>
      <patternFill patternType="solid">
        <fgColor theme="6"/>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rgb="FFFFFF00"/>
        <bgColor indexed="64"/>
      </patternFill>
    </fill>
    <fill>
      <patternFill patternType="solid">
        <fgColor theme="8"/>
        <bgColor indexed="64"/>
      </patternFill>
    </fill>
    <fill>
      <patternFill patternType="solid">
        <fgColor indexed="47"/>
        <bgColor indexed="64"/>
      </patternFill>
    </fill>
    <fill>
      <patternFill patternType="solid">
        <fgColor indexed="31"/>
        <bgColor indexed="64"/>
      </patternFill>
    </fill>
    <fill>
      <patternFill patternType="solid">
        <fgColor indexed="22"/>
        <bgColor indexed="64"/>
      </patternFill>
    </fill>
    <fill>
      <patternFill patternType="solid">
        <fgColor theme="4" tint="0.79998168889431442"/>
        <bgColor indexed="65"/>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51"/>
        <bgColor indexed="64"/>
      </patternFill>
    </fill>
    <fill>
      <patternFill patternType="solid">
        <fgColor indexed="30"/>
        <bgColor indexed="64"/>
      </patternFill>
    </fill>
    <fill>
      <patternFill patternType="solid">
        <fgColor theme="3"/>
        <bgColor indexed="64"/>
      </patternFill>
    </fill>
    <fill>
      <patternFill patternType="solid">
        <fgColor indexed="46"/>
        <bgColor indexed="64"/>
      </patternFill>
    </fill>
    <fill>
      <patternFill patternType="solid">
        <fgColor indexed="24"/>
        <bgColor indexed="64"/>
      </patternFill>
    </fill>
    <fill>
      <patternFill patternType="solid">
        <fgColor rgb="FF92D050"/>
        <bgColor indexed="64"/>
      </patternFill>
    </fill>
    <fill>
      <patternFill patternType="solid">
        <fgColor rgb="FFFFC000"/>
        <bgColor indexed="64"/>
      </patternFill>
    </fill>
  </fills>
  <borders count="26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right/>
      <top/>
      <bottom style="thin">
        <color indexed="64"/>
      </bottom>
      <diagonal/>
    </border>
    <border>
      <left/>
      <right style="medium">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34998626667073579"/>
      </left>
      <right/>
      <top/>
      <bottom style="thin">
        <color theme="0" tint="-0.3499862666707357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right style="medium">
        <color indexed="64"/>
      </right>
      <top/>
      <bottom style="thin">
        <color theme="0" tint="-0.34998626667073579"/>
      </bottom>
      <diagonal/>
    </border>
    <border>
      <left style="thin">
        <color theme="0" tint="-0.34998626667073579"/>
      </left>
      <right style="thin">
        <color theme="0" tint="-0.34998626667073579"/>
      </right>
      <top style="medium">
        <color indexed="64"/>
      </top>
      <bottom style="medium">
        <color indexed="64"/>
      </bottom>
      <diagonal/>
    </border>
    <border>
      <left/>
      <right/>
      <top/>
      <bottom style="thin">
        <color theme="0" tint="-0.3499862666707357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theme="0" tint="-0.499984740745262"/>
      </left>
      <right/>
      <top style="medium">
        <color indexed="64"/>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indexed="22"/>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right/>
      <top style="thin">
        <color theme="0" tint="-0.34998626667073579"/>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indexed="64"/>
      </bottom>
      <diagonal/>
    </border>
    <border>
      <left/>
      <right style="thin">
        <color theme="0" tint="-0.34998626667073579"/>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medium">
        <color indexed="64"/>
      </left>
      <right style="medium">
        <color indexed="64"/>
      </right>
      <top style="dotted">
        <color theme="4"/>
      </top>
      <bottom style="dotted">
        <color theme="4"/>
      </bottom>
      <diagonal/>
    </border>
    <border>
      <left/>
      <right style="dotted">
        <color theme="4"/>
      </right>
      <top style="dotted">
        <color theme="4"/>
      </top>
      <bottom style="dotted">
        <color theme="4"/>
      </bottom>
      <diagonal/>
    </border>
    <border>
      <left style="dotted">
        <color theme="4"/>
      </left>
      <right style="dotted">
        <color theme="4"/>
      </right>
      <top style="dotted">
        <color theme="4"/>
      </top>
      <bottom style="dotted">
        <color theme="4"/>
      </bottom>
      <diagonal/>
    </border>
    <border>
      <left style="dotted">
        <color theme="4"/>
      </left>
      <right style="dotted">
        <color theme="4"/>
      </right>
      <top/>
      <bottom style="dotted">
        <color theme="4"/>
      </bottom>
      <diagonal/>
    </border>
    <border>
      <left style="dotted">
        <color theme="4"/>
      </left>
      <right style="medium">
        <color indexed="64"/>
      </right>
      <top style="dotted">
        <color theme="4"/>
      </top>
      <bottom style="dotted">
        <color theme="4"/>
      </bottom>
      <diagonal/>
    </border>
    <border>
      <left style="medium">
        <color indexed="64"/>
      </left>
      <right style="medium">
        <color indexed="64"/>
      </right>
      <top style="dotted">
        <color theme="4"/>
      </top>
      <bottom style="medium">
        <color indexed="64"/>
      </bottom>
      <diagonal/>
    </border>
    <border>
      <left/>
      <right style="dotted">
        <color theme="4"/>
      </right>
      <top style="dotted">
        <color theme="4"/>
      </top>
      <bottom style="medium">
        <color indexed="64"/>
      </bottom>
      <diagonal/>
    </border>
    <border>
      <left style="dotted">
        <color theme="4"/>
      </left>
      <right style="dotted">
        <color theme="4"/>
      </right>
      <top style="dotted">
        <color theme="4"/>
      </top>
      <bottom style="medium">
        <color indexed="64"/>
      </bottom>
      <diagonal/>
    </border>
    <border>
      <left style="dotted">
        <color theme="4"/>
      </left>
      <right style="medium">
        <color indexed="64"/>
      </right>
      <top style="dotted">
        <color theme="4"/>
      </top>
      <bottom style="medium">
        <color indexed="64"/>
      </bottom>
      <diagonal/>
    </border>
    <border>
      <left style="medium">
        <color indexed="64"/>
      </left>
      <right style="dotted">
        <color theme="4"/>
      </right>
      <top style="dotted">
        <color theme="4"/>
      </top>
      <bottom style="dotted">
        <color theme="4"/>
      </bottom>
      <diagonal/>
    </border>
    <border>
      <left style="medium">
        <color indexed="64"/>
      </left>
      <right style="dotted">
        <color theme="4"/>
      </right>
      <top style="dotted">
        <color theme="4"/>
      </top>
      <bottom style="medium">
        <color indexed="64"/>
      </bottom>
      <diagonal/>
    </border>
    <border>
      <left style="medium">
        <color indexed="64"/>
      </left>
      <right/>
      <top style="thin">
        <color theme="0" tint="-0.34998626667073579"/>
      </top>
      <bottom style="medium">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dotted">
        <color theme="4"/>
      </bottom>
      <diagonal/>
    </border>
    <border>
      <left/>
      <right style="dotted">
        <color theme="4"/>
      </right>
      <top style="medium">
        <color indexed="64"/>
      </top>
      <bottom style="dotted">
        <color theme="4"/>
      </bottom>
      <diagonal/>
    </border>
    <border>
      <left style="dotted">
        <color theme="4"/>
      </left>
      <right style="dotted">
        <color theme="4"/>
      </right>
      <top style="medium">
        <color indexed="64"/>
      </top>
      <bottom style="dotted">
        <color theme="4"/>
      </bottom>
      <diagonal/>
    </border>
    <border>
      <left style="dotted">
        <color theme="4"/>
      </left>
      <right/>
      <top style="medium">
        <color indexed="64"/>
      </top>
      <bottom style="dotted">
        <color theme="4"/>
      </bottom>
      <diagonal/>
    </border>
    <border>
      <left/>
      <right style="medium">
        <color indexed="64"/>
      </right>
      <top style="medium">
        <color indexed="64"/>
      </top>
      <bottom style="dotted">
        <color theme="4"/>
      </bottom>
      <diagonal/>
    </border>
    <border>
      <left style="medium">
        <color indexed="64"/>
      </left>
      <right/>
      <top style="dotted">
        <color theme="4"/>
      </top>
      <bottom style="dotted">
        <color theme="4"/>
      </bottom>
      <diagonal/>
    </border>
    <border>
      <left style="dotted">
        <color theme="4"/>
      </left>
      <right/>
      <top/>
      <bottom style="dotted">
        <color theme="4"/>
      </bottom>
      <diagonal/>
    </border>
    <border>
      <left/>
      <right style="medium">
        <color indexed="64"/>
      </right>
      <top style="dotted">
        <color theme="4"/>
      </top>
      <bottom style="dotted">
        <color theme="4"/>
      </bottom>
      <diagonal/>
    </border>
    <border>
      <left style="medium">
        <color indexed="64"/>
      </left>
      <right/>
      <top style="dotted">
        <color theme="4"/>
      </top>
      <bottom/>
      <diagonal/>
    </border>
    <border>
      <left style="dotted">
        <color theme="4"/>
      </left>
      <right/>
      <top style="dotted">
        <color theme="4"/>
      </top>
      <bottom style="dotted">
        <color theme="4"/>
      </bottom>
      <diagonal/>
    </border>
    <border>
      <left/>
      <right style="medium">
        <color indexed="64"/>
      </right>
      <top style="dotted">
        <color theme="4"/>
      </top>
      <bottom/>
      <diagonal/>
    </border>
    <border>
      <left/>
      <right style="dotted">
        <color theme="4"/>
      </right>
      <top style="dotted">
        <color theme="4"/>
      </top>
      <bottom/>
      <diagonal/>
    </border>
    <border>
      <left style="dotted">
        <color theme="4"/>
      </left>
      <right/>
      <top style="dotted">
        <color theme="4"/>
      </top>
      <bottom/>
      <diagonal/>
    </border>
    <border>
      <left/>
      <right style="dotted">
        <color theme="4"/>
      </right>
      <top/>
      <bottom style="medium">
        <color indexed="64"/>
      </bottom>
      <diagonal/>
    </border>
    <border>
      <left style="dotted">
        <color theme="4"/>
      </left>
      <right/>
      <top/>
      <bottom style="medium">
        <color indexed="64"/>
      </bottom>
      <diagonal/>
    </border>
    <border>
      <left style="medium">
        <color indexed="64"/>
      </left>
      <right style="medium">
        <color indexed="64"/>
      </right>
      <top style="medium">
        <color indexed="64"/>
      </top>
      <bottom style="dotted">
        <color theme="4"/>
      </bottom>
      <diagonal/>
    </border>
    <border>
      <left/>
      <right style="dotted">
        <color theme="4"/>
      </right>
      <top/>
      <bottom style="dotted">
        <color theme="4"/>
      </bottom>
      <diagonal/>
    </border>
    <border>
      <left/>
      <right style="dotted">
        <color theme="4"/>
      </right>
      <top/>
      <bottom/>
      <diagonal/>
    </border>
    <border>
      <left style="dotted">
        <color theme="4"/>
      </left>
      <right style="medium">
        <color indexed="64"/>
      </right>
      <top style="dotted">
        <color theme="4"/>
      </top>
      <bottom/>
      <diagonal/>
    </border>
    <border>
      <left/>
      <right style="medium">
        <color indexed="64"/>
      </right>
      <top/>
      <bottom style="dotted">
        <color theme="4"/>
      </bottom>
      <diagonal/>
    </border>
    <border>
      <left/>
      <right style="medium">
        <color indexed="64"/>
      </right>
      <top style="dotted">
        <color theme="4"/>
      </top>
      <bottom style="medium">
        <color indexed="64"/>
      </bottom>
      <diagonal/>
    </border>
    <border>
      <left style="medium">
        <color indexed="64"/>
      </left>
      <right style="dotted">
        <color theme="4"/>
      </right>
      <top style="medium">
        <color indexed="64"/>
      </top>
      <bottom style="dotted">
        <color theme="4"/>
      </bottom>
      <diagonal/>
    </border>
    <border>
      <left style="dotted">
        <color theme="4"/>
      </left>
      <right style="medium">
        <color indexed="64"/>
      </right>
      <top style="medium">
        <color indexed="64"/>
      </top>
      <bottom style="dotted">
        <color theme="4"/>
      </bottom>
      <diagonal/>
    </border>
    <border>
      <left style="dotted">
        <color theme="4"/>
      </left>
      <right style="medium">
        <color indexed="64"/>
      </right>
      <top/>
      <bottom style="dotted">
        <color theme="4"/>
      </bottom>
      <diagonal/>
    </border>
    <border>
      <left style="medium">
        <color indexed="64"/>
      </left>
      <right style="thin">
        <color theme="0" tint="-0.499984740745262"/>
      </right>
      <top/>
      <bottom style="medium">
        <color indexed="64"/>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medium">
        <color indexed="64"/>
      </top>
      <bottom style="thin">
        <color theme="0" tint="-0.34998626667073579"/>
      </bottom>
      <diagonal/>
    </border>
    <border>
      <left style="thin">
        <color theme="0" tint="-0.499984740745262"/>
      </left>
      <right style="thin">
        <color theme="0" tint="-0.499984740745262"/>
      </right>
      <top/>
      <bottom style="medium">
        <color indexed="64"/>
      </bottom>
      <diagonal/>
    </border>
    <border>
      <left style="thin">
        <color theme="0" tint="-0.499984740745262"/>
      </left>
      <right/>
      <top/>
      <bottom style="medium">
        <color indexed="64"/>
      </bottom>
      <diagonal/>
    </border>
    <border>
      <left style="thin">
        <color theme="0" tint="-0.499984740745262"/>
      </left>
      <right style="medium">
        <color indexed="64"/>
      </right>
      <top/>
      <bottom style="medium">
        <color indexed="64"/>
      </bottom>
      <diagonal/>
    </border>
    <border>
      <left/>
      <right/>
      <top/>
      <bottom style="thin">
        <color theme="0" tint="-0.499984740745262"/>
      </bottom>
      <diagonal/>
    </border>
    <border>
      <left style="medium">
        <color indexed="64"/>
      </left>
      <right style="thin">
        <color theme="0" tint="-0.34998626667073579"/>
      </right>
      <top style="medium">
        <color indexed="64"/>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medium">
        <color indexed="64"/>
      </left>
      <right style="thin">
        <color theme="0" tint="-0.499984740745262"/>
      </right>
      <top/>
      <bottom style="thin">
        <color theme="0" tint="-0.499984740745262"/>
      </bottom>
      <diagonal/>
    </border>
    <border>
      <left style="medium">
        <color indexed="64"/>
      </left>
      <right style="thin">
        <color theme="0" tint="-0.499984740745262"/>
      </right>
      <top style="thin">
        <color theme="0" tint="-0.499984740745262"/>
      </top>
      <bottom/>
      <diagonal/>
    </border>
    <border>
      <left style="thin">
        <color theme="0" tint="-0.499984740745262"/>
      </left>
      <right style="thin">
        <color theme="0" tint="-0.499984740745262"/>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hair">
        <color indexed="64"/>
      </left>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dotted">
        <color indexed="28"/>
      </left>
      <right style="dotted">
        <color indexed="28"/>
      </right>
      <top style="dotted">
        <color indexed="28"/>
      </top>
      <bottom style="dotted">
        <color indexed="2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12"/>
      </top>
      <bottom style="thin">
        <color indexed="12"/>
      </bottom>
      <diagonal/>
    </border>
    <border>
      <left/>
      <right/>
      <top/>
      <bottom style="thin">
        <color indexed="12"/>
      </bottom>
      <diagonal/>
    </border>
    <border>
      <left style="double">
        <color indexed="64"/>
      </left>
      <right/>
      <top/>
      <bottom style="double">
        <color indexed="64"/>
      </bottom>
      <diagonal/>
    </border>
    <border>
      <left/>
      <right/>
      <top style="thin">
        <color indexed="64"/>
      </top>
      <bottom/>
      <diagonal/>
    </border>
    <border>
      <left/>
      <right/>
      <top style="thin">
        <color indexed="62"/>
      </top>
      <bottom style="double">
        <color indexed="62"/>
      </bottom>
      <diagonal/>
    </border>
    <border>
      <left style="thin">
        <color theme="0" tint="-0.499984740745262"/>
      </left>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right/>
      <top/>
      <bottom style="medium">
        <color indexed="64"/>
      </bottom>
      <diagonal/>
    </border>
    <border>
      <left style="medium">
        <color auto="1"/>
      </left>
      <right style="thin">
        <color auto="1"/>
      </right>
      <top style="thin">
        <color auto="1"/>
      </top>
      <bottom style="thin">
        <color auto="1"/>
      </bottom>
      <diagonal/>
    </border>
  </borders>
  <cellStyleXfs count="60759">
    <xf numFmtId="0" fontId="0" fillId="0" borderId="0"/>
    <xf numFmtId="0" fontId="1" fillId="0" borderId="0"/>
    <xf numFmtId="0" fontId="2" fillId="0" borderId="0"/>
    <xf numFmtId="0" fontId="6" fillId="0" borderId="0" applyNumberFormat="0" applyFill="0" applyBorder="0" applyAlignment="0" applyProtection="0">
      <alignment vertical="top"/>
      <protection locked="0"/>
    </xf>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5" fillId="0" borderId="0"/>
    <xf numFmtId="0" fontId="10" fillId="5" borderId="0" applyNumberFormat="0" applyBorder="0" applyAlignment="0" applyProtection="0"/>
    <xf numFmtId="0" fontId="11" fillId="22" borderId="16" applyNumberFormat="0" applyAlignment="0" applyProtection="0"/>
    <xf numFmtId="0" fontId="12" fillId="23" borderId="17" applyNumberFormat="0" applyAlignment="0" applyProtection="0"/>
    <xf numFmtId="0" fontId="13" fillId="0" borderId="0" applyNumberFormat="0" applyFill="0" applyBorder="0" applyAlignment="0" applyProtection="0"/>
    <xf numFmtId="0" fontId="14" fillId="6"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18" fillId="9" borderId="16" applyNumberFormat="0" applyAlignment="0" applyProtection="0"/>
    <xf numFmtId="0" fontId="19" fillId="0" borderId="21" applyNumberFormat="0" applyFill="0" applyAlignment="0" applyProtection="0"/>
    <xf numFmtId="0" fontId="20" fillId="24" borderId="0" applyNumberFormat="0" applyBorder="0" applyAlignment="0" applyProtection="0"/>
    <xf numFmtId="0" fontId="8" fillId="25" borderId="22" applyNumberFormat="0" applyFont="0" applyAlignment="0" applyProtection="0"/>
    <xf numFmtId="0" fontId="21" fillId="22" borderId="23" applyNumberFormat="0" applyAlignment="0" applyProtection="0"/>
    <xf numFmtId="0" fontId="22" fillId="0" borderId="0" applyNumberFormat="0" applyFill="0" applyBorder="0" applyAlignment="0" applyProtection="0"/>
    <xf numFmtId="0" fontId="23" fillId="0" borderId="24" applyNumberFormat="0" applyFill="0" applyAlignment="0" applyProtection="0"/>
    <xf numFmtId="0" fontId="24" fillId="0" borderId="0" applyNumberForma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11" fillId="22" borderId="43" applyNumberFormat="0" applyAlignment="0" applyProtection="0"/>
    <xf numFmtId="0" fontId="18" fillId="9" borderId="43" applyNumberFormat="0" applyAlignment="0" applyProtection="0"/>
    <xf numFmtId="0" fontId="1" fillId="0" borderId="0"/>
    <xf numFmtId="0" fontId="8" fillId="25" borderId="42" applyNumberFormat="0" applyFont="0" applyAlignment="0" applyProtection="0"/>
    <xf numFmtId="0" fontId="21" fillId="22" borderId="44" applyNumberFormat="0" applyAlignment="0" applyProtection="0"/>
    <xf numFmtId="0" fontId="23" fillId="0" borderId="45" applyNumberFormat="0" applyFill="0" applyAlignment="0" applyProtection="0"/>
    <xf numFmtId="0" fontId="25" fillId="0" borderId="0"/>
    <xf numFmtId="9" fontId="2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1" fillId="22" borderId="48" applyNumberFormat="0" applyAlignment="0" applyProtection="0"/>
    <xf numFmtId="0" fontId="18" fillId="9" borderId="48" applyNumberFormat="0" applyAlignment="0" applyProtection="0"/>
    <xf numFmtId="0" fontId="8" fillId="25" borderId="49" applyNumberFormat="0" applyFont="0" applyAlignment="0" applyProtection="0"/>
    <xf numFmtId="0" fontId="21" fillId="22" borderId="50" applyNumberFormat="0" applyAlignment="0" applyProtection="0"/>
    <xf numFmtId="0" fontId="23" fillId="0" borderId="51" applyNumberFormat="0" applyFill="0" applyAlignment="0" applyProtection="0"/>
    <xf numFmtId="0" fontId="37" fillId="0" borderId="0" applyNumberFormat="0" applyFill="0" applyBorder="0" applyAlignment="0" applyProtection="0"/>
    <xf numFmtId="0" fontId="38" fillId="0" borderId="0"/>
    <xf numFmtId="0" fontId="25" fillId="0" borderId="0"/>
    <xf numFmtId="0" fontId="11" fillId="22" borderId="48" applyNumberFormat="0" applyAlignment="0" applyProtection="0"/>
    <xf numFmtId="0" fontId="18" fillId="9" borderId="48" applyNumberFormat="0" applyAlignment="0" applyProtection="0"/>
    <xf numFmtId="0" fontId="8" fillId="25" borderId="49" applyNumberFormat="0" applyFont="0" applyAlignment="0" applyProtection="0"/>
    <xf numFmtId="0" fontId="21" fillId="22" borderId="50" applyNumberFormat="0" applyAlignment="0" applyProtection="0"/>
    <xf numFmtId="0" fontId="23" fillId="0" borderId="51" applyNumberFormat="0" applyFill="0" applyAlignment="0" applyProtection="0"/>
    <xf numFmtId="0" fontId="25" fillId="0" borderId="0"/>
    <xf numFmtId="43" fontId="25" fillId="0" borderId="0" applyFont="0" applyFill="0" applyBorder="0" applyAlignment="0" applyProtection="0"/>
    <xf numFmtId="0" fontId="25" fillId="0" borderId="0"/>
    <xf numFmtId="0" fontId="11" fillId="22" borderId="48" applyNumberFormat="0" applyAlignment="0" applyProtection="0"/>
    <xf numFmtId="0" fontId="8" fillId="25" borderId="49" applyNumberFormat="0" applyFont="0" applyAlignment="0" applyProtection="0"/>
    <xf numFmtId="0" fontId="21" fillId="22" borderId="50" applyNumberFormat="0" applyAlignment="0" applyProtection="0"/>
    <xf numFmtId="0" fontId="23" fillId="0" borderId="51" applyNumberFormat="0" applyFill="0" applyAlignment="0" applyProtection="0"/>
    <xf numFmtId="43" fontId="25" fillId="0" borderId="0" applyFont="0" applyFill="0" applyBorder="0" applyAlignment="0" applyProtection="0"/>
    <xf numFmtId="43" fontId="25" fillId="0" borderId="0" applyFont="0" applyFill="0" applyBorder="0" applyAlignment="0" applyProtection="0"/>
    <xf numFmtId="0" fontId="18" fillId="9" borderId="48" applyNumberFormat="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17" fillId="0" borderId="20" applyNumberFormat="0" applyFill="0" applyAlignment="0" applyProtection="0"/>
    <xf numFmtId="0" fontId="17" fillId="0" borderId="20" applyNumberFormat="0" applyFill="0" applyAlignment="0" applyProtection="0"/>
    <xf numFmtId="0" fontId="25" fillId="0" borderId="0"/>
    <xf numFmtId="43" fontId="25" fillId="0" borderId="0" applyFont="0" applyFill="0" applyBorder="0" applyAlignment="0" applyProtection="0"/>
    <xf numFmtId="0" fontId="11" fillId="22" borderId="53" applyNumberFormat="0" applyAlignment="0" applyProtection="0"/>
    <xf numFmtId="0" fontId="18" fillId="9" borderId="53" applyNumberFormat="0" applyAlignment="0" applyProtection="0"/>
    <xf numFmtId="0" fontId="8" fillId="25" borderId="54" applyNumberFormat="0" applyFont="0" applyAlignment="0" applyProtection="0"/>
    <xf numFmtId="0" fontId="21" fillId="22" borderId="55" applyNumberFormat="0" applyAlignment="0" applyProtection="0"/>
    <xf numFmtId="0" fontId="23" fillId="0" borderId="56" applyNumberFormat="0" applyFill="0" applyAlignment="0" applyProtection="0"/>
    <xf numFmtId="0" fontId="11" fillId="22" borderId="57" applyNumberFormat="0" applyAlignment="0" applyProtection="0"/>
    <xf numFmtId="0" fontId="11" fillId="22" borderId="57" applyNumberFormat="0" applyAlignment="0" applyProtection="0"/>
    <xf numFmtId="0" fontId="18" fillId="9" borderId="57" applyNumberFormat="0" applyAlignment="0" applyProtection="0"/>
    <xf numFmtId="0" fontId="18" fillId="9" borderId="57" applyNumberFormat="0" applyAlignment="0" applyProtection="0"/>
    <xf numFmtId="0" fontId="8" fillId="25" borderId="58" applyNumberFormat="0" applyFont="0" applyAlignment="0" applyProtection="0"/>
    <xf numFmtId="0" fontId="8" fillId="25" borderId="58" applyNumberFormat="0" applyFont="0" applyAlignment="0" applyProtection="0"/>
    <xf numFmtId="0" fontId="21" fillId="22" borderId="59" applyNumberFormat="0" applyAlignment="0" applyProtection="0"/>
    <xf numFmtId="0" fontId="21" fillId="22" borderId="59" applyNumberFormat="0" applyAlignment="0" applyProtection="0"/>
    <xf numFmtId="0" fontId="23" fillId="0" borderId="60" applyNumberFormat="0" applyFill="0" applyAlignment="0" applyProtection="0"/>
    <xf numFmtId="0" fontId="23" fillId="0" borderId="60" applyNumberFormat="0" applyFill="0" applyAlignment="0" applyProtection="0"/>
    <xf numFmtId="0" fontId="8" fillId="25" borderId="54" applyNumberFormat="0" applyFont="0" applyAlignment="0" applyProtection="0"/>
    <xf numFmtId="0" fontId="11" fillId="22" borderId="57" applyNumberFormat="0" applyAlignment="0" applyProtection="0"/>
    <xf numFmtId="0" fontId="8" fillId="25" borderId="58" applyNumberFormat="0" applyFont="0" applyAlignment="0" applyProtection="0"/>
    <xf numFmtId="0" fontId="21" fillId="22" borderId="59" applyNumberFormat="0" applyAlignment="0" applyProtection="0"/>
    <xf numFmtId="0" fontId="23" fillId="0" borderId="60" applyNumberFormat="0" applyFill="0" applyAlignment="0" applyProtection="0"/>
    <xf numFmtId="0" fontId="18" fillId="9" borderId="57" applyNumberFormat="0" applyAlignment="0" applyProtection="0"/>
    <xf numFmtId="0" fontId="11" fillId="22" borderId="57" applyNumberFormat="0" applyAlignment="0" applyProtection="0"/>
    <xf numFmtId="0" fontId="18" fillId="9" borderId="57" applyNumberFormat="0" applyAlignment="0" applyProtection="0"/>
    <xf numFmtId="0" fontId="8" fillId="25" borderId="58" applyNumberFormat="0" applyFont="0" applyAlignment="0" applyProtection="0"/>
    <xf numFmtId="0" fontId="21" fillId="22" borderId="59" applyNumberFormat="0" applyAlignment="0" applyProtection="0"/>
    <xf numFmtId="0" fontId="23" fillId="0" borderId="60" applyNumberFormat="0" applyFill="0" applyAlignment="0" applyProtection="0"/>
    <xf numFmtId="0" fontId="40" fillId="0" borderId="0" applyNumberFormat="0" applyFill="0" applyBorder="0" applyAlignment="0" applyProtection="0"/>
    <xf numFmtId="0" fontId="25" fillId="0" borderId="0"/>
    <xf numFmtId="0" fontId="41" fillId="0" borderId="0" applyNumberFormat="0" applyFill="0" applyBorder="0" applyAlignment="0" applyProtection="0"/>
    <xf numFmtId="9" fontId="4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44" fillId="0" borderId="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8" fillId="9" borderId="66"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1" fillId="22" borderId="66" applyNumberFormat="0" applyAlignment="0" applyProtection="0"/>
    <xf numFmtId="0" fontId="18" fillId="9"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8" fillId="25" borderId="67" applyNumberFormat="0" applyFont="0" applyAlignment="0" applyProtection="0"/>
    <xf numFmtId="0" fontId="21" fillId="22" borderId="68" applyNumberFormat="0" applyAlignment="0" applyProtection="0"/>
    <xf numFmtId="0" fontId="21" fillId="22" borderId="68" applyNumberFormat="0" applyAlignment="0" applyProtection="0"/>
    <xf numFmtId="0" fontId="23" fillId="0" borderId="69" applyNumberFormat="0" applyFill="0" applyAlignment="0" applyProtection="0"/>
    <xf numFmtId="0" fontId="23" fillId="0" borderId="69" applyNumberFormat="0" applyFill="0" applyAlignment="0" applyProtection="0"/>
    <xf numFmtId="0" fontId="8" fillId="25" borderId="67" applyNumberFormat="0" applyFont="0" applyAlignment="0" applyProtection="0"/>
    <xf numFmtId="0" fontId="11" fillId="22" borderId="85" applyNumberFormat="0" applyAlignment="0" applyProtection="0"/>
    <xf numFmtId="0" fontId="11" fillId="22" borderId="85" applyNumberFormat="0" applyAlignment="0" applyProtection="0"/>
    <xf numFmtId="0" fontId="11" fillId="22" borderId="85" applyNumberFormat="0" applyAlignment="0" applyProtection="0"/>
    <xf numFmtId="0" fontId="21" fillId="22" borderId="86" applyNumberFormat="0" applyAlignment="0" applyProtection="0"/>
    <xf numFmtId="0" fontId="18" fillId="9" borderId="85" applyNumberFormat="0" applyAlignment="0" applyProtection="0"/>
    <xf numFmtId="0" fontId="11" fillId="22" borderId="85" applyNumberFormat="0" applyAlignment="0" applyProtection="0"/>
    <xf numFmtId="0" fontId="21" fillId="22" borderId="86" applyNumberFormat="0" applyAlignment="0" applyProtection="0"/>
    <xf numFmtId="0" fontId="11" fillId="22"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11" fillId="22" borderId="85" applyNumberFormat="0" applyAlignment="0" applyProtection="0"/>
    <xf numFmtId="0" fontId="11" fillId="22" borderId="85" applyNumberFormat="0" applyAlignment="0" applyProtection="0"/>
    <xf numFmtId="0" fontId="11" fillId="22" borderId="85" applyNumberFormat="0" applyAlignment="0" applyProtection="0"/>
    <xf numFmtId="0" fontId="11" fillId="22" borderId="85" applyNumberFormat="0" applyAlignment="0" applyProtection="0"/>
    <xf numFmtId="0" fontId="11" fillId="22" borderId="85" applyNumberFormat="0" applyAlignment="0" applyProtection="0"/>
    <xf numFmtId="0" fontId="11" fillId="22" borderId="81"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1" applyNumberFormat="0" applyAlignment="0" applyProtection="0"/>
    <xf numFmtId="0" fontId="11" fillId="22" borderId="85"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21" fillId="22" borderId="86"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8" fillId="25" borderId="88" applyNumberFormat="0" applyFon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 fillId="0" borderId="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23" fillId="0" borderId="87" applyNumberFormat="0" applyFill="0" applyAlignment="0" applyProtection="0"/>
    <xf numFmtId="0" fontId="23" fillId="0" borderId="87" applyNumberFormat="0" applyFill="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5" applyNumberFormat="0" applyAlignment="0" applyProtection="0"/>
    <xf numFmtId="0" fontId="18" fillId="9" borderId="81" applyNumberFormat="0" applyAlignment="0" applyProtection="0"/>
    <xf numFmtId="0" fontId="8" fillId="25" borderId="88" applyNumberFormat="0" applyFont="0" applyAlignment="0" applyProtection="0"/>
    <xf numFmtId="0" fontId="23" fillId="0" borderId="87" applyNumberFormat="0" applyFill="0" applyAlignment="0" applyProtection="0"/>
    <xf numFmtId="0" fontId="18" fillId="9"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8" fillId="9" borderId="81"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5"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 fillId="0" borderId="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8" fillId="9" borderId="81"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11" fillId="22" borderId="81" applyNumberFormat="0" applyAlignment="0" applyProtection="0"/>
    <xf numFmtId="0" fontId="18" fillId="9" borderId="81" applyNumberForma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8" fillId="9" borderId="81" applyNumberForma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46" fillId="0" borderId="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8" fillId="9" borderId="81"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8" fillId="25" borderId="88" applyNumberFormat="0" applyFont="0" applyAlignment="0" applyProtection="0"/>
    <xf numFmtId="0" fontId="18" fillId="9" borderId="85" applyNumberFormat="0" applyAlignment="0" applyProtection="0"/>
    <xf numFmtId="0" fontId="21" fillId="22" borderId="86" applyNumberFormat="0" applyAlignment="0" applyProtection="0"/>
    <xf numFmtId="0" fontId="8" fillId="25" borderId="88" applyNumberFormat="0" applyFont="0" applyAlignment="0" applyProtection="0"/>
    <xf numFmtId="0" fontId="11" fillId="22" borderId="85" applyNumberFormat="0" applyAlignment="0" applyProtection="0"/>
    <xf numFmtId="0" fontId="21" fillId="22" borderId="86" applyNumberFormat="0" applyAlignment="0" applyProtection="0"/>
    <xf numFmtId="0" fontId="21" fillId="22" borderId="86" applyNumberFormat="0" applyAlignment="0" applyProtection="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18" fillId="9" borderId="85"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21" fillId="22" borderId="86" applyNumberFormat="0" applyAlignment="0" applyProtection="0"/>
    <xf numFmtId="0" fontId="8" fillId="25" borderId="88" applyNumberFormat="0" applyFont="0" applyAlignment="0" applyProtection="0"/>
    <xf numFmtId="0" fontId="18" fillId="9" borderId="85" applyNumberFormat="0" applyAlignment="0" applyProtection="0"/>
    <xf numFmtId="0" fontId="21" fillId="22" borderId="86" applyNumberFormat="0" applyAlignment="0" applyProtection="0"/>
    <xf numFmtId="0" fontId="8" fillId="25" borderId="88" applyNumberFormat="0" applyFont="0" applyAlignment="0" applyProtection="0"/>
    <xf numFmtId="0" fontId="23" fillId="0" borderId="87" applyNumberFormat="0" applyFill="0" applyAlignment="0" applyProtection="0"/>
    <xf numFmtId="0" fontId="18" fillId="9" borderId="85" applyNumberFormat="0" applyAlignment="0" applyProtection="0"/>
    <xf numFmtId="0" fontId="18" fillId="9" borderId="85" applyNumberFormat="0" applyAlignment="0" applyProtection="0"/>
    <xf numFmtId="0" fontId="21" fillId="22" borderId="86" applyNumberFormat="0" applyAlignment="0" applyProtection="0"/>
    <xf numFmtId="0" fontId="21" fillId="22" borderId="86" applyNumberFormat="0" applyAlignment="0" applyProtection="0"/>
    <xf numFmtId="0" fontId="18" fillId="9" borderId="85" applyNumberFormat="0" applyAlignment="0" applyProtection="0"/>
    <xf numFmtId="0" fontId="18" fillId="9" borderId="85" applyNumberFormat="0" applyAlignment="0" applyProtection="0"/>
    <xf numFmtId="0" fontId="18" fillId="9" borderId="85" applyNumberFormat="0" applyAlignment="0" applyProtection="0"/>
    <xf numFmtId="0" fontId="21" fillId="22" borderId="86"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8" fillId="25" borderId="88" applyNumberFormat="0" applyFont="0" applyAlignment="0" applyProtection="0"/>
    <xf numFmtId="0" fontId="18" fillId="9" borderId="85" applyNumberFormat="0" applyAlignment="0" applyProtection="0"/>
    <xf numFmtId="0" fontId="18" fillId="9" borderId="85" applyNumberFormat="0" applyAlignment="0" applyProtection="0"/>
    <xf numFmtId="0" fontId="18" fillId="9"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8" fillId="25" borderId="88" applyNumberFormat="0" applyFont="0" applyAlignment="0" applyProtection="0"/>
    <xf numFmtId="0" fontId="23" fillId="0" borderId="87" applyNumberFormat="0" applyFill="0" applyAlignment="0" applyProtection="0"/>
    <xf numFmtId="0" fontId="21" fillId="22" borderId="86" applyNumberFormat="0" applyAlignment="0" applyProtection="0"/>
    <xf numFmtId="0" fontId="11" fillId="22" borderId="85" applyNumberFormat="0" applyAlignment="0" applyProtection="0"/>
    <xf numFmtId="0" fontId="18" fillId="9" borderId="85" applyNumberFormat="0" applyAlignment="0" applyProtection="0"/>
    <xf numFmtId="0" fontId="21" fillId="22" borderId="86" applyNumberFormat="0" applyAlignment="0" applyProtection="0"/>
    <xf numFmtId="0" fontId="11" fillId="22" borderId="85" applyNumberFormat="0" applyAlignment="0" applyProtection="0"/>
    <xf numFmtId="0" fontId="11" fillId="22" borderId="85" applyNumberFormat="0" applyAlignment="0" applyProtection="0"/>
    <xf numFmtId="0" fontId="18" fillId="9" borderId="85"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8" fillId="25" borderId="82" applyNumberFormat="0" applyFont="0" applyAlignment="0" applyProtection="0"/>
    <xf numFmtId="0" fontId="21" fillId="22" borderId="83" applyNumberFormat="0" applyAlignment="0" applyProtection="0"/>
    <xf numFmtId="0" fontId="11" fillId="22" borderId="81" applyNumberFormat="0" applyAlignment="0" applyProtection="0"/>
    <xf numFmtId="0" fontId="23" fillId="0" borderId="87" applyNumberFormat="0" applyFill="0" applyAlignment="0" applyProtection="0"/>
    <xf numFmtId="0" fontId="21" fillId="22" borderId="86" applyNumberFormat="0" applyAlignment="0" applyProtection="0"/>
    <xf numFmtId="0" fontId="18" fillId="9" borderId="81" applyNumberFormat="0" applyAlignment="0" applyProtection="0"/>
    <xf numFmtId="0" fontId="21" fillId="22" borderId="83" applyNumberFormat="0" applyAlignment="0" applyProtection="0"/>
    <xf numFmtId="0" fontId="8" fillId="25" borderId="88" applyNumberFormat="0" applyFont="0" applyAlignment="0" applyProtection="0"/>
    <xf numFmtId="0" fontId="21" fillId="22" borderId="86" applyNumberFormat="0" applyAlignment="0" applyProtection="0"/>
    <xf numFmtId="0" fontId="21" fillId="22" borderId="86" applyNumberFormat="0" applyAlignment="0" applyProtection="0"/>
    <xf numFmtId="0" fontId="18" fillId="9" borderId="85" applyNumberFormat="0" applyAlignment="0" applyProtection="0"/>
    <xf numFmtId="0" fontId="23" fillId="0" borderId="84" applyNumberFormat="0" applyFill="0" applyAlignment="0" applyProtection="0"/>
    <xf numFmtId="0" fontId="23" fillId="0" borderId="87" applyNumberFormat="0" applyFill="0" applyAlignment="0" applyProtection="0"/>
    <xf numFmtId="0" fontId="23" fillId="0" borderId="87" applyNumberFormat="0" applyFill="0" applyAlignment="0" applyProtection="0"/>
    <xf numFmtId="0" fontId="23" fillId="0" borderId="87" applyNumberFormat="0" applyFill="0" applyAlignment="0" applyProtection="0"/>
    <xf numFmtId="0" fontId="23" fillId="0" borderId="84" applyNumberFormat="0" applyFill="0" applyAlignment="0" applyProtection="0"/>
    <xf numFmtId="0" fontId="11" fillId="22" borderId="85" applyNumberFormat="0" applyAlignment="0" applyProtection="0"/>
    <xf numFmtId="0" fontId="23" fillId="0" borderId="84" applyNumberFormat="0" applyFill="0" applyAlignment="0" applyProtection="0"/>
    <xf numFmtId="0" fontId="21" fillId="22" borderId="83" applyNumberFormat="0" applyAlignment="0" applyProtection="0"/>
    <xf numFmtId="0" fontId="11" fillId="22" borderId="81" applyNumberFormat="0" applyAlignment="0" applyProtection="0"/>
    <xf numFmtId="0" fontId="23" fillId="0" borderId="87" applyNumberFormat="0" applyFill="0" applyAlignment="0" applyProtection="0"/>
    <xf numFmtId="0" fontId="21" fillId="22" borderId="86" applyNumberFormat="0" applyAlignment="0" applyProtection="0"/>
    <xf numFmtId="0" fontId="18" fillId="9" borderId="81" applyNumberFormat="0" applyAlignment="0" applyProtection="0"/>
    <xf numFmtId="0" fontId="18" fillId="9" borderId="81" applyNumberFormat="0" applyAlignment="0" applyProtection="0"/>
    <xf numFmtId="0" fontId="23" fillId="0" borderId="87" applyNumberFormat="0" applyFill="0" applyAlignment="0" applyProtection="0"/>
    <xf numFmtId="0" fontId="18" fillId="9" borderId="81"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8" fillId="25" borderId="82"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1" applyNumberFormat="0" applyAlignment="0" applyProtection="0"/>
    <xf numFmtId="0" fontId="8" fillId="25" borderId="82" applyNumberFormat="0" applyFont="0" applyAlignment="0" applyProtection="0"/>
    <xf numFmtId="0" fontId="11" fillId="22" borderId="85" applyNumberFormat="0" applyAlignment="0" applyProtection="0"/>
    <xf numFmtId="0" fontId="11" fillId="22" borderId="85" applyNumberFormat="0" applyAlignment="0" applyProtection="0"/>
    <xf numFmtId="0" fontId="8" fillId="25" borderId="88" applyNumberFormat="0" applyFont="0" applyAlignment="0" applyProtection="0"/>
    <xf numFmtId="0" fontId="8" fillId="25" borderId="82" applyNumberFormat="0" applyFont="0" applyAlignment="0" applyProtection="0"/>
    <xf numFmtId="0" fontId="1" fillId="0" borderId="0"/>
    <xf numFmtId="0" fontId="23" fillId="0" borderId="87" applyNumberFormat="0" applyFill="0" applyAlignment="0" applyProtection="0"/>
    <xf numFmtId="0" fontId="21" fillId="22" borderId="86" applyNumberFormat="0" applyAlignment="0" applyProtection="0"/>
    <xf numFmtId="0" fontId="8" fillId="25" borderId="82" applyNumberFormat="0" applyFont="0" applyAlignment="0" applyProtection="0"/>
    <xf numFmtId="0" fontId="23" fillId="0" borderId="84" applyNumberFormat="0" applyFill="0" applyAlignment="0" applyProtection="0"/>
    <xf numFmtId="0" fontId="11" fillId="22" borderId="85" applyNumberFormat="0" applyAlignment="0" applyProtection="0"/>
    <xf numFmtId="0" fontId="23" fillId="0" borderId="87" applyNumberFormat="0" applyFill="0" applyAlignment="0" applyProtection="0"/>
    <xf numFmtId="0" fontId="8" fillId="25" borderId="88" applyNumberFormat="0" applyFont="0" applyAlignment="0" applyProtection="0"/>
    <xf numFmtId="0" fontId="23" fillId="0" borderId="87" applyNumberFormat="0" applyFill="0" applyAlignment="0" applyProtection="0"/>
    <xf numFmtId="0" fontId="18" fillId="9" borderId="85" applyNumberFormat="0" applyAlignment="0" applyProtection="0"/>
    <xf numFmtId="0" fontId="18" fillId="9" borderId="81" applyNumberFormat="0" applyAlignment="0" applyProtection="0"/>
    <xf numFmtId="0" fontId="21" fillId="22" borderId="83" applyNumberFormat="0" applyAlignment="0" applyProtection="0"/>
    <xf numFmtId="0" fontId="8" fillId="25" borderId="88" applyNumberFormat="0" applyFont="0" applyAlignment="0" applyProtection="0"/>
    <xf numFmtId="0" fontId="21" fillId="22" borderId="83"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11" fillId="22" borderId="85"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11" fillId="22" borderId="85" applyNumberFormat="0" applyAlignment="0" applyProtection="0"/>
    <xf numFmtId="0" fontId="21" fillId="22" borderId="86" applyNumberFormat="0" applyAlignment="0" applyProtection="0"/>
    <xf numFmtId="0" fontId="23" fillId="0" borderId="87" applyNumberFormat="0" applyFill="0" applyAlignment="0" applyProtection="0"/>
    <xf numFmtId="0" fontId="18" fillId="9" borderId="81" applyNumberFormat="0" applyAlignment="0" applyProtection="0"/>
    <xf numFmtId="0" fontId="23" fillId="0" borderId="84" applyNumberFormat="0" applyFill="0" applyAlignment="0" applyProtection="0"/>
    <xf numFmtId="0" fontId="8" fillId="25" borderId="88" applyNumberFormat="0" applyFont="0" applyAlignment="0" applyProtection="0"/>
    <xf numFmtId="0" fontId="21" fillId="22" borderId="86" applyNumberFormat="0" applyAlignment="0" applyProtection="0"/>
    <xf numFmtId="0" fontId="8" fillId="25" borderId="88" applyNumberFormat="0" applyFont="0" applyAlignment="0" applyProtection="0"/>
    <xf numFmtId="0" fontId="8" fillId="25" borderId="82" applyNumberFormat="0" applyFont="0" applyAlignment="0" applyProtection="0"/>
    <xf numFmtId="0" fontId="21" fillId="22" borderId="86" applyNumberFormat="0" applyAlignment="0" applyProtection="0"/>
    <xf numFmtId="0" fontId="8" fillId="25" borderId="82" applyNumberFormat="0" applyFont="0" applyAlignment="0" applyProtection="0"/>
    <xf numFmtId="0" fontId="21" fillId="22" borderId="83" applyNumberFormat="0" applyAlignment="0" applyProtection="0"/>
    <xf numFmtId="0" fontId="18" fillId="9" borderId="81" applyNumberFormat="0" applyAlignment="0" applyProtection="0"/>
    <xf numFmtId="0" fontId="18" fillId="9" borderId="81" applyNumberFormat="0" applyAlignment="0" applyProtection="0"/>
    <xf numFmtId="0" fontId="23" fillId="0" borderId="84" applyNumberFormat="0" applyFill="0" applyAlignment="0" applyProtection="0"/>
    <xf numFmtId="0" fontId="18" fillId="9" borderId="85" applyNumberFormat="0" applyAlignment="0" applyProtection="0"/>
    <xf numFmtId="0" fontId="8" fillId="25" borderId="88" applyNumberFormat="0" applyFont="0" applyAlignment="0" applyProtection="0"/>
    <xf numFmtId="0" fontId="23" fillId="0" borderId="87" applyNumberFormat="0" applyFill="0" applyAlignment="0" applyProtection="0"/>
    <xf numFmtId="0" fontId="18" fillId="9" borderId="85" applyNumberFormat="0" applyAlignment="0" applyProtection="0"/>
    <xf numFmtId="0" fontId="18" fillId="9" borderId="85" applyNumberFormat="0" applyAlignment="0" applyProtection="0"/>
    <xf numFmtId="0" fontId="11" fillId="22" borderId="85" applyNumberFormat="0" applyAlignment="0" applyProtection="0"/>
    <xf numFmtId="0" fontId="21" fillId="22" borderId="86" applyNumberFormat="0" applyAlignment="0" applyProtection="0"/>
    <xf numFmtId="0" fontId="21" fillId="22" borderId="86" applyNumberFormat="0" applyAlignment="0" applyProtection="0"/>
    <xf numFmtId="0" fontId="18" fillId="9" borderId="85" applyNumberFormat="0" applyAlignment="0" applyProtection="0"/>
    <xf numFmtId="0" fontId="11" fillId="22" borderId="85" applyNumberFormat="0" applyAlignment="0" applyProtection="0"/>
    <xf numFmtId="0" fontId="21" fillId="22" borderId="83" applyNumberFormat="0" applyAlignment="0" applyProtection="0"/>
    <xf numFmtId="0" fontId="23" fillId="0" borderId="84" applyNumberFormat="0" applyFill="0" applyAlignment="0" applyProtection="0"/>
    <xf numFmtId="0" fontId="21" fillId="22" borderId="83" applyNumberFormat="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8" fillId="9" borderId="81" applyNumberFormat="0" applyAlignment="0" applyProtection="0"/>
    <xf numFmtId="0" fontId="11" fillId="22" borderId="81" applyNumberFormat="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8" fillId="25" borderId="82" applyNumberFormat="0" applyFont="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23" fillId="0" borderId="87" applyNumberFormat="0" applyFill="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23" fillId="0" borderId="87" applyNumberFormat="0" applyFill="0" applyAlignment="0" applyProtection="0"/>
    <xf numFmtId="0" fontId="8" fillId="25" borderId="88" applyNumberFormat="0" applyFont="0" applyAlignment="0" applyProtection="0"/>
    <xf numFmtId="0" fontId="23" fillId="0" borderId="87" applyNumberFormat="0" applyFill="0" applyAlignment="0" applyProtection="0"/>
    <xf numFmtId="0" fontId="11" fillId="22" borderId="85" applyNumberFormat="0" applyAlignment="0" applyProtection="0"/>
    <xf numFmtId="0" fontId="21" fillId="22" borderId="86" applyNumberFormat="0" applyAlignment="0" applyProtection="0"/>
    <xf numFmtId="0" fontId="23" fillId="0" borderId="87" applyNumberFormat="0" applyFill="0" applyAlignment="0" applyProtection="0"/>
    <xf numFmtId="0" fontId="21" fillId="22" borderId="86" applyNumberFormat="0" applyAlignment="0" applyProtection="0"/>
    <xf numFmtId="0" fontId="21" fillId="22" borderId="86"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8" fillId="25" borderId="88" applyNumberFormat="0" applyFont="0" applyAlignment="0" applyProtection="0"/>
    <xf numFmtId="0" fontId="18" fillId="9" borderId="85" applyNumberFormat="0" applyAlignment="0" applyProtection="0"/>
    <xf numFmtId="0" fontId="11" fillId="22" borderId="85" applyNumberFormat="0" applyAlignment="0" applyProtection="0"/>
    <xf numFmtId="0" fontId="23" fillId="0" borderId="87" applyNumberFormat="0" applyFill="0" applyAlignment="0" applyProtection="0"/>
    <xf numFmtId="0" fontId="21" fillId="22" borderId="86" applyNumberFormat="0" applyAlignment="0" applyProtection="0"/>
    <xf numFmtId="0" fontId="11" fillId="22"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21" fillId="22" borderId="86" applyNumberFormat="0" applyAlignment="0" applyProtection="0"/>
    <xf numFmtId="0" fontId="18" fillId="9"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18" fillId="9" borderId="85" applyNumberFormat="0" applyAlignment="0" applyProtection="0"/>
    <xf numFmtId="0" fontId="1" fillId="0" borderId="0"/>
    <xf numFmtId="0" fontId="1"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20" fillId="24" borderId="0" applyNumberFormat="0" applyBorder="0" applyAlignment="0" applyProtection="0"/>
    <xf numFmtId="43" fontId="25" fillId="0" borderId="0" applyFont="0" applyFill="0" applyBorder="0" applyAlignment="0" applyProtection="0"/>
    <xf numFmtId="0" fontId="25" fillId="0" borderId="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1" fillId="22" borderId="85" applyNumberFormat="0" applyAlignment="0" applyProtection="0"/>
    <xf numFmtId="0" fontId="18" fillId="9"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21" fillId="22" borderId="86" applyNumberFormat="0" applyAlignment="0" applyProtection="0"/>
    <xf numFmtId="0" fontId="21" fillId="22" borderId="86"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8" fillId="9" borderId="0" applyNumberFormat="0" applyBorder="0" applyAlignment="0" applyProtection="0"/>
    <xf numFmtId="0" fontId="9" fillId="17" borderId="0" applyNumberFormat="0" applyBorder="0" applyAlignment="0" applyProtection="0"/>
    <xf numFmtId="0" fontId="9" fillId="15" borderId="0" applyNumberFormat="0" applyBorder="0" applyAlignment="0" applyProtection="0"/>
    <xf numFmtId="0" fontId="9" fillId="14" borderId="0" applyNumberFormat="0" applyBorder="0" applyAlignment="0" applyProtection="0"/>
    <xf numFmtId="0" fontId="1" fillId="0" borderId="0"/>
    <xf numFmtId="0" fontId="10" fillId="5" borderId="0" applyNumberFormat="0" applyBorder="0" applyAlignment="0" applyProtection="0"/>
    <xf numFmtId="0" fontId="8" fillId="6" borderId="0" applyNumberFormat="0" applyBorder="0" applyAlignment="0" applyProtection="0"/>
    <xf numFmtId="0" fontId="12" fillId="23" borderId="17" applyNumberFormat="0" applyAlignment="0" applyProtection="0"/>
    <xf numFmtId="0" fontId="8" fillId="8" borderId="0" applyNumberFormat="0" applyBorder="0" applyAlignment="0" applyProtection="0"/>
    <xf numFmtId="0" fontId="19" fillId="0" borderId="21" applyNumberFormat="0" applyFill="0" applyAlignment="0" applyProtection="0"/>
    <xf numFmtId="0" fontId="16" fillId="0" borderId="19" applyNumberFormat="0" applyFill="0" applyAlignment="0" applyProtection="0"/>
    <xf numFmtId="0" fontId="15" fillId="0" borderId="18" applyNumberFormat="0" applyFill="0" applyAlignment="0" applyProtection="0"/>
    <xf numFmtId="0" fontId="14" fillId="6" borderId="0" applyNumberFormat="0" applyBorder="0" applyAlignment="0" applyProtection="0"/>
    <xf numFmtId="9" fontId="1" fillId="0" borderId="0" applyFont="0" applyFill="0" applyBorder="0" applyAlignment="0" applyProtection="0"/>
    <xf numFmtId="0" fontId="8" fillId="5" borderId="0" applyNumberFormat="0" applyBorder="0" applyAlignment="0" applyProtection="0"/>
    <xf numFmtId="0" fontId="8" fillId="7" borderId="0" applyNumberFormat="0" applyBorder="0" applyAlignment="0" applyProtection="0"/>
    <xf numFmtId="0" fontId="17"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9" fillId="15" borderId="0" applyNumberFormat="0" applyBorder="0" applyAlignment="0" applyProtection="0"/>
    <xf numFmtId="0" fontId="22" fillId="0" borderId="0" applyNumberFormat="0" applyFill="0" applyBorder="0" applyAlignment="0" applyProtection="0"/>
    <xf numFmtId="0" fontId="9" fillId="20" borderId="0" applyNumberFormat="0" applyBorder="0" applyAlignment="0" applyProtection="0"/>
    <xf numFmtId="0" fontId="8" fillId="13" borderId="0" applyNumberFormat="0" applyBorder="0" applyAlignment="0" applyProtection="0"/>
    <xf numFmtId="0" fontId="13" fillId="0" borderId="0" applyNumberFormat="0" applyFill="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8" fillId="10" borderId="0" applyNumberFormat="0" applyBorder="0" applyAlignment="0" applyProtection="0"/>
    <xf numFmtId="0" fontId="24" fillId="0" borderId="0" applyNumberFormat="0" applyFill="0" applyBorder="0" applyAlignment="0" applyProtection="0"/>
    <xf numFmtId="0" fontId="9" fillId="18" borderId="0" applyNumberFormat="0" applyBorder="0" applyAlignment="0" applyProtection="0"/>
    <xf numFmtId="0" fontId="9" fillId="21" borderId="0" applyNumberFormat="0" applyBorder="0" applyAlignment="0" applyProtection="0"/>
    <xf numFmtId="0" fontId="8" fillId="7" borderId="0" applyNumberFormat="0" applyBorder="0" applyAlignment="0" applyProtection="0"/>
    <xf numFmtId="0" fontId="9" fillId="11" borderId="0" applyNumberFormat="0" applyBorder="0" applyAlignment="0" applyProtection="0"/>
    <xf numFmtId="0" fontId="9" fillId="16" borderId="0" applyNumberFormat="0" applyBorder="0" applyAlignment="0" applyProtection="0"/>
    <xf numFmtId="0" fontId="8" fillId="25" borderId="88" applyNumberFormat="0" applyFont="0" applyAlignment="0" applyProtection="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1" fillId="22" borderId="85" applyNumberFormat="0" applyAlignment="0" applyProtection="0"/>
    <xf numFmtId="0" fontId="18" fillId="9"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21" fillId="22" borderId="86" applyNumberFormat="0" applyAlignment="0" applyProtection="0"/>
    <xf numFmtId="0" fontId="21" fillId="22" borderId="86"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48" fillId="0" borderId="0"/>
    <xf numFmtId="0" fontId="25" fillId="0" borderId="0"/>
    <xf numFmtId="9" fontId="25" fillId="0" borderId="0" applyFont="0" applyFill="0" applyBorder="0" applyAlignment="0" applyProtection="0"/>
    <xf numFmtId="0" fontId="1" fillId="0" borderId="0"/>
    <xf numFmtId="0" fontId="1" fillId="0" borderId="0"/>
    <xf numFmtId="0" fontId="37" fillId="0" borderId="0" applyNumberFormat="0" applyFill="0" applyBorder="0" applyAlignment="0" applyProtection="0"/>
    <xf numFmtId="0" fontId="1" fillId="0" borderId="0"/>
    <xf numFmtId="0" fontId="1" fillId="0" borderId="0"/>
    <xf numFmtId="0" fontId="50"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0" fontId="49" fillId="0" borderId="0"/>
    <xf numFmtId="0" fontId="49" fillId="0" borderId="0"/>
    <xf numFmtId="0" fontId="49" fillId="0" borderId="0"/>
    <xf numFmtId="0" fontId="49" fillId="0" borderId="0"/>
    <xf numFmtId="0" fontId="34" fillId="0" borderId="0"/>
    <xf numFmtId="0" fontId="1" fillId="0" borderId="0"/>
    <xf numFmtId="9" fontId="25" fillId="0" borderId="0" applyFont="0" applyFill="0" applyBorder="0" applyAlignment="0" applyProtection="0"/>
    <xf numFmtId="0" fontId="1" fillId="0" borderId="0"/>
    <xf numFmtId="0" fontId="1" fillId="0" borderId="0"/>
    <xf numFmtId="9" fontId="25" fillId="0" borderId="0" applyFont="0" applyFill="0" applyBorder="0" applyAlignment="0" applyProtection="0"/>
    <xf numFmtId="0" fontId="25" fillId="0" borderId="0"/>
    <xf numFmtId="0" fontId="25" fillId="0" borderId="0"/>
    <xf numFmtId="0" fontId="25" fillId="0" borderId="0"/>
    <xf numFmtId="0" fontId="1" fillId="0" borderId="0"/>
    <xf numFmtId="0" fontId="25" fillId="0" borderId="0"/>
    <xf numFmtId="0" fontId="1" fillId="0" borderId="0"/>
    <xf numFmtId="0" fontId="3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25" borderId="135" applyNumberFormat="0" applyFont="0" applyAlignment="0" applyProtection="0"/>
    <xf numFmtId="0" fontId="11" fillId="22"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18" fillId="9"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23" fillId="0" borderId="137" applyNumberFormat="0" applyFill="0" applyAlignment="0" applyProtection="0"/>
    <xf numFmtId="0" fontId="21" fillId="22" borderId="136" applyNumberFormat="0" applyAlignment="0" applyProtection="0"/>
    <xf numFmtId="0" fontId="21" fillId="22" borderId="136"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18" fillId="9" borderId="134" applyNumberFormat="0" applyAlignment="0" applyProtection="0"/>
    <xf numFmtId="0" fontId="18" fillId="9" borderId="134" applyNumberFormat="0" applyAlignment="0" applyProtection="0"/>
    <xf numFmtId="0" fontId="11" fillId="22"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23" fillId="0" borderId="137" applyNumberFormat="0" applyFill="0" applyAlignment="0" applyProtection="0"/>
    <xf numFmtId="0" fontId="23" fillId="0" borderId="137" applyNumberFormat="0" applyFill="0" applyAlignment="0" applyProtection="0"/>
    <xf numFmtId="0" fontId="21" fillId="22" borderId="136" applyNumberFormat="0" applyAlignment="0" applyProtection="0"/>
    <xf numFmtId="0" fontId="21" fillId="22" borderId="136"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18" fillId="9" borderId="134" applyNumberFormat="0" applyAlignment="0" applyProtection="0"/>
    <xf numFmtId="0" fontId="18" fillId="9" borderId="134" applyNumberFormat="0" applyAlignment="0" applyProtection="0"/>
    <xf numFmtId="0" fontId="11" fillId="22"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21" fillId="22" borderId="136" applyNumberFormat="0" applyAlignment="0" applyProtection="0"/>
    <xf numFmtId="0" fontId="11" fillId="22"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11" fillId="22"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18" fillId="9" borderId="134" applyNumberFormat="0" applyAlignment="0" applyProtection="0"/>
    <xf numFmtId="0" fontId="21" fillId="22" borderId="136"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21" fillId="22" borderId="136"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23" fillId="0" borderId="137" applyNumberFormat="0" applyFill="0" applyAlignment="0" applyProtection="0"/>
    <xf numFmtId="0" fontId="8" fillId="25" borderId="135" applyNumberFormat="0" applyFont="0" applyAlignment="0" applyProtection="0"/>
    <xf numFmtId="0" fontId="23" fillId="0" borderId="137" applyNumberFormat="0" applyFill="0" applyAlignment="0" applyProtection="0"/>
    <xf numFmtId="0" fontId="8" fillId="25" borderId="135" applyNumberFormat="0" applyFont="0" applyAlignment="0" applyProtection="0"/>
    <xf numFmtId="0" fontId="21" fillId="22" borderId="136" applyNumberFormat="0" applyAlignment="0" applyProtection="0"/>
    <xf numFmtId="0" fontId="21" fillId="22" borderId="136" applyNumberFormat="0" applyAlignment="0" applyProtection="0"/>
    <xf numFmtId="0" fontId="18" fillId="9"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11" fillId="22" borderId="134"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23" fillId="0" borderId="137" applyNumberFormat="0" applyFill="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11" fillId="22"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11" fillId="22" borderId="134" applyNumberFormat="0" applyAlignment="0" applyProtection="0"/>
    <xf numFmtId="0" fontId="11" fillId="22" borderId="134" applyNumberFormat="0" applyAlignment="0" applyProtection="0"/>
    <xf numFmtId="0" fontId="18" fillId="9" borderId="134" applyNumberFormat="0" applyAlignment="0" applyProtection="0"/>
    <xf numFmtId="0" fontId="21" fillId="22" borderId="136" applyNumberFormat="0" applyAlignment="0" applyProtection="0"/>
    <xf numFmtId="0" fontId="18" fillId="9"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18" fillId="9"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23" fillId="0" borderId="137" applyNumberFormat="0" applyFill="0" applyAlignment="0" applyProtection="0"/>
    <xf numFmtId="0" fontId="18" fillId="9" borderId="134" applyNumberFormat="0" applyAlignment="0" applyProtection="0"/>
    <xf numFmtId="0" fontId="11" fillId="22" borderId="134"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23" fillId="0" borderId="137" applyNumberFormat="0" applyFill="0" applyAlignment="0" applyProtection="0"/>
    <xf numFmtId="0" fontId="18" fillId="9"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18" fillId="9" borderId="134"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8" fillId="25" borderId="135" applyNumberFormat="0" applyFont="0" applyAlignment="0" applyProtection="0"/>
    <xf numFmtId="0" fontId="8" fillId="25" borderId="135" applyNumberFormat="0" applyFont="0" applyAlignment="0" applyProtection="0"/>
    <xf numFmtId="0" fontId="8" fillId="25" borderId="135" applyNumberFormat="0" applyFont="0" applyAlignment="0" applyProtection="0"/>
    <xf numFmtId="0" fontId="8" fillId="25" borderId="135" applyNumberFormat="0" applyFont="0" applyAlignment="0" applyProtection="0"/>
    <xf numFmtId="0" fontId="11" fillId="22" borderId="134" applyNumberFormat="0" applyAlignment="0" applyProtection="0"/>
    <xf numFmtId="0" fontId="8" fillId="25" borderId="135" applyNumberFormat="0" applyFont="0" applyAlignment="0" applyProtection="0"/>
    <xf numFmtId="0" fontId="11" fillId="22" borderId="134" applyNumberFormat="0" applyAlignment="0" applyProtection="0"/>
    <xf numFmtId="0" fontId="23" fillId="0" borderId="137" applyNumberFormat="0" applyFill="0" applyAlignment="0" applyProtection="0"/>
    <xf numFmtId="0" fontId="18" fillId="9" borderId="134" applyNumberFormat="0" applyAlignment="0" applyProtection="0"/>
    <xf numFmtId="0" fontId="18" fillId="9" borderId="134" applyNumberFormat="0" applyAlignment="0" applyProtection="0"/>
    <xf numFmtId="0" fontId="21" fillId="22" borderId="136" applyNumberFormat="0" applyAlignment="0" applyProtection="0"/>
    <xf numFmtId="0" fontId="21" fillId="22" borderId="136"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18" fillId="9"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23" fillId="0" borderId="137" applyNumberFormat="0" applyFill="0" applyAlignment="0" applyProtection="0"/>
    <xf numFmtId="0" fontId="18" fillId="9" borderId="134"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18" fillId="9" borderId="134" applyNumberFormat="0" applyAlignment="0" applyProtection="0"/>
    <xf numFmtId="0" fontId="21" fillId="22" borderId="136" applyNumberFormat="0" applyAlignment="0" applyProtection="0"/>
    <xf numFmtId="0" fontId="21" fillId="22" borderId="136"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18" fillId="9"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21" fillId="22" borderId="136" applyNumberFormat="0" applyAlignment="0" applyProtection="0"/>
    <xf numFmtId="0" fontId="21" fillId="22" borderId="136" applyNumberFormat="0" applyAlignment="0" applyProtection="0"/>
    <xf numFmtId="0" fontId="21" fillId="22" borderId="136" applyNumberFormat="0" applyAlignment="0" applyProtection="0"/>
    <xf numFmtId="0" fontId="18" fillId="9" borderId="134"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21" fillId="22" borderId="136" applyNumberFormat="0" applyAlignment="0" applyProtection="0"/>
    <xf numFmtId="0" fontId="18" fillId="9"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18" fillId="9" borderId="134"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21" fillId="22" borderId="136" applyNumberFormat="0" applyAlignment="0" applyProtection="0"/>
    <xf numFmtId="0" fontId="21" fillId="22" borderId="136" applyNumberFormat="0" applyAlignment="0" applyProtection="0"/>
    <xf numFmtId="0" fontId="11" fillId="22"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18" fillId="9" borderId="134"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23" fillId="0" borderId="137" applyNumberFormat="0" applyFill="0" applyAlignment="0" applyProtection="0"/>
    <xf numFmtId="0" fontId="23" fillId="0" borderId="137" applyNumberFormat="0" applyFill="0" applyAlignment="0" applyProtection="0"/>
    <xf numFmtId="0" fontId="21" fillId="22" borderId="136" applyNumberFormat="0" applyAlignment="0" applyProtection="0"/>
    <xf numFmtId="0" fontId="21" fillId="22" borderId="136"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18" fillId="9" borderId="134" applyNumberFormat="0" applyAlignment="0" applyProtection="0"/>
    <xf numFmtId="0" fontId="18" fillId="9" borderId="134" applyNumberFormat="0" applyAlignment="0" applyProtection="0"/>
    <xf numFmtId="0" fontId="11" fillId="22"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21" fillId="22" borderId="136" applyNumberFormat="0" applyAlignment="0" applyProtection="0"/>
    <xf numFmtId="0" fontId="11" fillId="22" borderId="134" applyNumberFormat="0" applyAlignment="0" applyProtection="0"/>
    <xf numFmtId="0" fontId="23" fillId="0" borderId="137" applyNumberFormat="0" applyFill="0" applyAlignment="0" applyProtection="0"/>
    <xf numFmtId="0" fontId="18" fillId="9" borderId="134" applyNumberFormat="0" applyAlignment="0" applyProtection="0"/>
    <xf numFmtId="0" fontId="11" fillId="22" borderId="134" applyNumberFormat="0" applyAlignment="0" applyProtection="0"/>
    <xf numFmtId="0" fontId="18" fillId="9" borderId="134" applyNumberFormat="0" applyAlignment="0" applyProtection="0"/>
    <xf numFmtId="0" fontId="11" fillId="22" borderId="134" applyNumberFormat="0" applyAlignment="0" applyProtection="0"/>
    <xf numFmtId="0" fontId="18" fillId="9" borderId="134" applyNumberFormat="0" applyAlignment="0" applyProtection="0"/>
    <xf numFmtId="0" fontId="11" fillId="22" borderId="134" applyNumberFormat="0" applyAlignment="0" applyProtection="0"/>
    <xf numFmtId="0" fontId="21" fillId="22" borderId="136" applyNumberFormat="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8" fillId="25" borderId="135" applyNumberFormat="0" applyFont="0" applyAlignment="0" applyProtection="0"/>
    <xf numFmtId="0" fontId="11" fillId="22"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21" fillId="22" borderId="136"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23" fillId="0" borderId="137" applyNumberFormat="0" applyFill="0" applyAlignment="0" applyProtection="0"/>
    <xf numFmtId="0" fontId="18" fillId="9" borderId="134" applyNumberFormat="0" applyAlignment="0" applyProtection="0"/>
    <xf numFmtId="0" fontId="11" fillId="22"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23" fillId="0" borderId="137" applyNumberFormat="0" applyFill="0" applyAlignment="0" applyProtection="0"/>
    <xf numFmtId="0" fontId="8" fillId="25" borderId="135" applyNumberFormat="0" applyFont="0" applyAlignment="0" applyProtection="0"/>
    <xf numFmtId="0" fontId="8" fillId="25" borderId="135" applyNumberFormat="0" applyFon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23" fillId="0" borderId="137" applyNumberFormat="0" applyFill="0" applyAlignment="0" applyProtection="0"/>
    <xf numFmtId="0" fontId="21" fillId="22" borderId="136"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8" fillId="25" borderId="135" applyNumberFormat="0" applyFont="0" applyAlignment="0" applyProtection="0"/>
    <xf numFmtId="0" fontId="18" fillId="9"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21" fillId="22" borderId="136" applyNumberFormat="0" applyAlignment="0" applyProtection="0"/>
    <xf numFmtId="0" fontId="11" fillId="22" borderId="134" applyNumberFormat="0" applyAlignment="0" applyProtection="0"/>
    <xf numFmtId="0" fontId="21" fillId="22" borderId="136" applyNumberFormat="0" applyAlignment="0" applyProtection="0"/>
    <xf numFmtId="0" fontId="11" fillId="22"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18" fillId="9" borderId="134" applyNumberFormat="0" applyAlignment="0" applyProtection="0"/>
    <xf numFmtId="0" fontId="11" fillId="22" borderId="134" applyNumberFormat="0" applyAlignment="0" applyProtection="0"/>
    <xf numFmtId="0" fontId="11" fillId="22" borderId="134" applyNumberFormat="0" applyAlignment="0" applyProtection="0"/>
    <xf numFmtId="0" fontId="11" fillId="22" borderId="134" applyNumberFormat="0" applyAlignment="0" applyProtection="0"/>
    <xf numFmtId="0" fontId="11" fillId="22"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11" fillId="22" borderId="134" applyNumberFormat="0" applyAlignment="0" applyProtection="0"/>
    <xf numFmtId="0" fontId="11" fillId="22" borderId="134" applyNumberFormat="0" applyAlignment="0" applyProtection="0"/>
    <xf numFmtId="0" fontId="11" fillId="22"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8" fillId="25" borderId="135" applyNumberFormat="0" applyFont="0" applyAlignment="0" applyProtection="0"/>
    <xf numFmtId="0" fontId="11" fillId="22" borderId="134" applyNumberFormat="0" applyAlignment="0" applyProtection="0"/>
    <xf numFmtId="0" fontId="11" fillId="22"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21" fillId="22" borderId="136" applyNumberFormat="0" applyAlignment="0" applyProtection="0"/>
    <xf numFmtId="0" fontId="11" fillId="22" borderId="134" applyNumberFormat="0" applyAlignment="0" applyProtection="0"/>
    <xf numFmtId="0" fontId="23" fillId="0" borderId="137" applyNumberFormat="0" applyFill="0" applyAlignment="0" applyProtection="0"/>
    <xf numFmtId="0" fontId="18" fillId="9" borderId="134" applyNumberFormat="0" applyAlignment="0" applyProtection="0"/>
    <xf numFmtId="0" fontId="11" fillId="22" borderId="134" applyNumberFormat="0" applyAlignment="0" applyProtection="0"/>
    <xf numFmtId="0" fontId="18" fillId="9"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18" fillId="9"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18" fillId="9" borderId="134" applyNumberFormat="0" applyAlignment="0" applyProtection="0"/>
    <xf numFmtId="0" fontId="11" fillId="22"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8" fillId="25" borderId="135" applyNumberFormat="0" applyFon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11" fillId="22" borderId="130" applyNumberFormat="0" applyAlignment="0" applyProtection="0"/>
    <xf numFmtId="0" fontId="11" fillId="22" borderId="130" applyNumberFormat="0" applyAlignment="0" applyProtection="0"/>
    <xf numFmtId="0" fontId="11" fillId="22" borderId="130" applyNumberFormat="0" applyAlignment="0" applyProtection="0"/>
    <xf numFmtId="0" fontId="21" fillId="22" borderId="132" applyNumberFormat="0" applyAlignment="0" applyProtection="0"/>
    <xf numFmtId="0" fontId="18" fillId="9" borderId="130" applyNumberFormat="0" applyAlignment="0" applyProtection="0"/>
    <xf numFmtId="0" fontId="11" fillId="22" borderId="130" applyNumberFormat="0" applyAlignment="0" applyProtection="0"/>
    <xf numFmtId="0" fontId="21" fillId="22" borderId="132" applyNumberFormat="0" applyAlignment="0" applyProtection="0"/>
    <xf numFmtId="0" fontId="11" fillId="22" borderId="130" applyNumberFormat="0" applyAlignment="0" applyProtection="0"/>
    <xf numFmtId="0" fontId="8" fillId="25" borderId="131" applyNumberFormat="0" applyFont="0" applyAlignment="0" applyProtection="0"/>
    <xf numFmtId="0" fontId="18" fillId="9" borderId="130" applyNumberFormat="0" applyAlignment="0" applyProtection="0"/>
    <xf numFmtId="0" fontId="11" fillId="22" borderId="130" applyNumberFormat="0" applyAlignment="0" applyProtection="0"/>
    <xf numFmtId="0" fontId="11" fillId="22" borderId="130" applyNumberFormat="0" applyAlignment="0" applyProtection="0"/>
    <xf numFmtId="0" fontId="11" fillId="22" borderId="130" applyNumberFormat="0" applyAlignment="0" applyProtection="0"/>
    <xf numFmtId="0" fontId="11" fillId="22" borderId="130" applyNumberFormat="0" applyAlignment="0" applyProtection="0"/>
    <xf numFmtId="0" fontId="11" fillId="22" borderId="130" applyNumberFormat="0" applyAlignment="0" applyProtection="0"/>
    <xf numFmtId="0" fontId="11" fillId="22" borderId="130"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8" fillId="25" borderId="131" applyNumberFormat="0" applyFont="0" applyAlignment="0" applyProtection="0"/>
    <xf numFmtId="0" fontId="18" fillId="9" borderId="130" applyNumberFormat="0" applyAlignment="0" applyProtection="0"/>
    <xf numFmtId="0" fontId="21" fillId="22" borderId="132"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8" fillId="25" borderId="131" applyNumberFormat="0" applyFon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23" fillId="0" borderId="133" applyNumberFormat="0" applyFill="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3" fillId="0" borderId="133" applyNumberFormat="0" applyFill="0" applyAlignment="0" applyProtection="0"/>
    <xf numFmtId="0" fontId="18" fillId="9" borderId="130" applyNumberFormat="0" applyAlignment="0" applyProtection="0"/>
    <xf numFmtId="0" fontId="8" fillId="25" borderId="131" applyNumberFormat="0" applyFont="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11" fillId="22" borderId="130" applyNumberFormat="0" applyAlignment="0" applyProtection="0"/>
    <xf numFmtId="0" fontId="18" fillId="9" borderId="130" applyNumberForma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8" fillId="25" borderId="131" applyNumberFormat="0" applyFont="0" applyAlignment="0" applyProtection="0"/>
    <xf numFmtId="0" fontId="18" fillId="9" borderId="130" applyNumberFormat="0" applyAlignment="0" applyProtection="0"/>
    <xf numFmtId="0" fontId="21" fillId="22" borderId="132" applyNumberFormat="0" applyAlignment="0" applyProtection="0"/>
    <xf numFmtId="0" fontId="8" fillId="25" borderId="131" applyNumberFormat="0" applyFont="0" applyAlignment="0" applyProtection="0"/>
    <xf numFmtId="0" fontId="11" fillId="22" borderId="130" applyNumberFormat="0" applyAlignment="0" applyProtection="0"/>
    <xf numFmtId="0" fontId="21" fillId="22" borderId="132" applyNumberFormat="0" applyAlignment="0" applyProtection="0"/>
    <xf numFmtId="0" fontId="21" fillId="22" borderId="132" applyNumberFormat="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8" fillId="25" borderId="131" applyNumberFormat="0" applyFont="0" applyAlignment="0" applyProtection="0"/>
    <xf numFmtId="0" fontId="18" fillId="9" borderId="130" applyNumberFormat="0" applyAlignment="0" applyProtection="0"/>
    <xf numFmtId="0" fontId="21" fillId="22" borderId="132" applyNumberFormat="0" applyAlignment="0" applyProtection="0"/>
    <xf numFmtId="0" fontId="8" fillId="25" borderId="131" applyNumberFormat="0" applyFont="0" applyAlignment="0" applyProtection="0"/>
    <xf numFmtId="0" fontId="23" fillId="0" borderId="133" applyNumberFormat="0" applyFill="0" applyAlignment="0" applyProtection="0"/>
    <xf numFmtId="0" fontId="18" fillId="9" borderId="130" applyNumberFormat="0" applyAlignment="0" applyProtection="0"/>
    <xf numFmtId="0" fontId="18" fillId="9" borderId="130" applyNumberFormat="0" applyAlignment="0" applyProtection="0"/>
    <xf numFmtId="0" fontId="21" fillId="22" borderId="132" applyNumberFormat="0" applyAlignment="0" applyProtection="0"/>
    <xf numFmtId="0" fontId="21" fillId="22" borderId="132" applyNumberFormat="0" applyAlignment="0" applyProtection="0"/>
    <xf numFmtId="0" fontId="18" fillId="9" borderId="130" applyNumberFormat="0" applyAlignment="0" applyProtection="0"/>
    <xf numFmtId="0" fontId="18" fillId="9" borderId="130" applyNumberFormat="0" applyAlignment="0" applyProtection="0"/>
    <xf numFmtId="0" fontId="18" fillId="9" borderId="130" applyNumberFormat="0" applyAlignment="0" applyProtection="0"/>
    <xf numFmtId="0" fontId="21" fillId="22" borderId="132"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8" fillId="25" borderId="131" applyNumberFormat="0" applyFont="0" applyAlignment="0" applyProtection="0"/>
    <xf numFmtId="0" fontId="18" fillId="9" borderId="130" applyNumberFormat="0" applyAlignment="0" applyProtection="0"/>
    <xf numFmtId="0" fontId="18" fillId="9"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8" fillId="25" borderId="131" applyNumberFormat="0" applyFont="0" applyAlignment="0" applyProtection="0"/>
    <xf numFmtId="0" fontId="23" fillId="0" borderId="133" applyNumberFormat="0" applyFill="0" applyAlignment="0" applyProtection="0"/>
    <xf numFmtId="0" fontId="21" fillId="22" borderId="132" applyNumberFormat="0" applyAlignment="0" applyProtection="0"/>
    <xf numFmtId="0" fontId="11" fillId="22" borderId="130" applyNumberFormat="0" applyAlignment="0" applyProtection="0"/>
    <xf numFmtId="0" fontId="18" fillId="9" borderId="130" applyNumberFormat="0" applyAlignment="0" applyProtection="0"/>
    <xf numFmtId="0" fontId="21" fillId="22" borderId="132" applyNumberFormat="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11" fillId="22" borderId="130" applyNumberFormat="0" applyAlignment="0" applyProtection="0"/>
    <xf numFmtId="0" fontId="23" fillId="0" borderId="133" applyNumberFormat="0" applyFill="0" applyAlignment="0" applyProtection="0"/>
    <xf numFmtId="0" fontId="21" fillId="22" borderId="132" applyNumberFormat="0" applyAlignment="0" applyProtection="0"/>
    <xf numFmtId="0" fontId="18" fillId="9" borderId="130" applyNumberFormat="0" applyAlignment="0" applyProtection="0"/>
    <xf numFmtId="0" fontId="21" fillId="22" borderId="132" applyNumberForma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18" fillId="9" borderId="130"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23" fillId="0" borderId="133" applyNumberFormat="0" applyFill="0" applyAlignment="0" applyProtection="0"/>
    <xf numFmtId="0" fontId="23" fillId="0" borderId="133" applyNumberFormat="0" applyFill="0" applyAlignment="0" applyProtection="0"/>
    <xf numFmtId="0" fontId="23" fillId="0" borderId="133" applyNumberFormat="0" applyFill="0" applyAlignment="0" applyProtection="0"/>
    <xf numFmtId="0" fontId="11" fillId="22" borderId="130" applyNumberFormat="0" applyAlignment="0" applyProtection="0"/>
    <xf numFmtId="0" fontId="23" fillId="0" borderId="133" applyNumberFormat="0" applyFill="0" applyAlignment="0" applyProtection="0"/>
    <xf numFmtId="0" fontId="21" fillId="22" borderId="132" applyNumberFormat="0" applyAlignment="0" applyProtection="0"/>
    <xf numFmtId="0" fontId="11" fillId="22" borderId="130" applyNumberFormat="0" applyAlignment="0" applyProtection="0"/>
    <xf numFmtId="0" fontId="23" fillId="0" borderId="133" applyNumberFormat="0" applyFill="0" applyAlignment="0" applyProtection="0"/>
    <xf numFmtId="0" fontId="21" fillId="22" borderId="132" applyNumberFormat="0" applyAlignment="0" applyProtection="0"/>
    <xf numFmtId="0" fontId="18" fillId="9" borderId="130" applyNumberFormat="0" applyAlignment="0" applyProtection="0"/>
    <xf numFmtId="0" fontId="18" fillId="9" borderId="130" applyNumberFormat="0" applyAlignment="0" applyProtection="0"/>
    <xf numFmtId="0" fontId="23" fillId="0" borderId="133" applyNumberFormat="0" applyFill="0" applyAlignment="0" applyProtection="0"/>
    <xf numFmtId="0" fontId="18" fillId="9" borderId="130"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8" fillId="25" borderId="131" applyNumberFormat="0" applyFont="0" applyAlignment="0" applyProtection="0"/>
    <xf numFmtId="0" fontId="11" fillId="22" borderId="130" applyNumberFormat="0" applyAlignment="0" applyProtection="0"/>
    <xf numFmtId="0" fontId="11" fillId="22"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3" fillId="0" borderId="133" applyNumberFormat="0" applyFill="0" applyAlignment="0" applyProtection="0"/>
    <xf numFmtId="0" fontId="21" fillId="22" borderId="132" applyNumberFormat="0" applyAlignment="0" applyProtection="0"/>
    <xf numFmtId="0" fontId="8" fillId="25" borderId="131" applyNumberFormat="0" applyFont="0" applyAlignment="0" applyProtection="0"/>
    <xf numFmtId="0" fontId="23" fillId="0" borderId="133" applyNumberFormat="0" applyFill="0" applyAlignment="0" applyProtection="0"/>
    <xf numFmtId="0" fontId="11" fillId="22" borderId="130" applyNumberFormat="0" applyAlignment="0" applyProtection="0"/>
    <xf numFmtId="0" fontId="23" fillId="0" borderId="133" applyNumberFormat="0" applyFill="0" applyAlignment="0" applyProtection="0"/>
    <xf numFmtId="0" fontId="8" fillId="25" borderId="131" applyNumberFormat="0" applyFont="0" applyAlignment="0" applyProtection="0"/>
    <xf numFmtId="0" fontId="23" fillId="0" borderId="133" applyNumberFormat="0" applyFill="0" applyAlignment="0" applyProtection="0"/>
    <xf numFmtId="0" fontId="18" fillId="9" borderId="130" applyNumberFormat="0" applyAlignment="0" applyProtection="0"/>
    <xf numFmtId="0" fontId="18" fillId="9" borderId="130" applyNumberFormat="0" applyAlignment="0" applyProtection="0"/>
    <xf numFmtId="0" fontId="21" fillId="22" borderId="132" applyNumberFormat="0" applyAlignment="0" applyProtection="0"/>
    <xf numFmtId="0" fontId="8" fillId="25" borderId="131" applyNumberFormat="0" applyFont="0" applyAlignment="0" applyProtection="0"/>
    <xf numFmtId="0" fontId="21" fillId="22" borderId="132"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11" fillId="22" borderId="130"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11" fillId="22" borderId="130" applyNumberForma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23" fillId="0" borderId="133" applyNumberFormat="0" applyFill="0" applyAlignment="0" applyProtection="0"/>
    <xf numFmtId="0" fontId="8" fillId="25" borderId="131" applyNumberFormat="0" applyFont="0" applyAlignment="0" applyProtection="0"/>
    <xf numFmtId="0" fontId="21" fillId="22" borderId="132"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8" fillId="25" borderId="131" applyNumberFormat="0" applyFont="0" applyAlignment="0" applyProtection="0"/>
    <xf numFmtId="0" fontId="21" fillId="22" borderId="132" applyNumberFormat="0" applyAlignment="0" applyProtection="0"/>
    <xf numFmtId="0" fontId="18" fillId="9" borderId="130" applyNumberFormat="0" applyAlignment="0" applyProtection="0"/>
    <xf numFmtId="0" fontId="18" fillId="9" borderId="130" applyNumberFormat="0" applyAlignment="0" applyProtection="0"/>
    <xf numFmtId="0" fontId="23" fillId="0" borderId="133" applyNumberFormat="0" applyFill="0" applyAlignment="0" applyProtection="0"/>
    <xf numFmtId="0" fontId="18" fillId="9" borderId="130" applyNumberFormat="0" applyAlignment="0" applyProtection="0"/>
    <xf numFmtId="0" fontId="8" fillId="25" borderId="131" applyNumberFormat="0" applyFont="0" applyAlignment="0" applyProtection="0"/>
    <xf numFmtId="0" fontId="23" fillId="0" borderId="133" applyNumberFormat="0" applyFill="0" applyAlignment="0" applyProtection="0"/>
    <xf numFmtId="0" fontId="18" fillId="9" borderId="130" applyNumberFormat="0" applyAlignment="0" applyProtection="0"/>
    <xf numFmtId="0" fontId="18" fillId="9" borderId="130" applyNumberFormat="0" applyAlignment="0" applyProtection="0"/>
    <xf numFmtId="0" fontId="11" fillId="22" borderId="130" applyNumberFormat="0" applyAlignment="0" applyProtection="0"/>
    <xf numFmtId="0" fontId="21" fillId="22" borderId="132" applyNumberFormat="0" applyAlignment="0" applyProtection="0"/>
    <xf numFmtId="0" fontId="21" fillId="22" borderId="132" applyNumberFormat="0" applyAlignment="0" applyProtection="0"/>
    <xf numFmtId="0" fontId="18" fillId="9" borderId="130" applyNumberFormat="0" applyAlignment="0" applyProtection="0"/>
    <xf numFmtId="0" fontId="11" fillId="22" borderId="130" applyNumberFormat="0" applyAlignment="0" applyProtection="0"/>
    <xf numFmtId="0" fontId="21" fillId="22" borderId="132" applyNumberFormat="0" applyAlignment="0" applyProtection="0"/>
    <xf numFmtId="0" fontId="23" fillId="0" borderId="133" applyNumberFormat="0" applyFill="0" applyAlignment="0" applyProtection="0"/>
    <xf numFmtId="0" fontId="21" fillId="22" borderId="132" applyNumberFormat="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8" fillId="25" borderId="131" applyNumberFormat="0" applyFont="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23" fillId="0" borderId="133" applyNumberFormat="0" applyFill="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23" fillId="0" borderId="133" applyNumberFormat="0" applyFill="0" applyAlignment="0" applyProtection="0"/>
    <xf numFmtId="0" fontId="8" fillId="25" borderId="131" applyNumberFormat="0" applyFont="0" applyAlignment="0" applyProtection="0"/>
    <xf numFmtId="0" fontId="23" fillId="0" borderId="133" applyNumberFormat="0" applyFill="0" applyAlignment="0" applyProtection="0"/>
    <xf numFmtId="0" fontId="11" fillId="22" borderId="130" applyNumberFormat="0" applyAlignment="0" applyProtection="0"/>
    <xf numFmtId="0" fontId="21" fillId="22" borderId="132" applyNumberFormat="0" applyAlignment="0" applyProtection="0"/>
    <xf numFmtId="0" fontId="23" fillId="0" borderId="133" applyNumberFormat="0" applyFill="0" applyAlignment="0" applyProtection="0"/>
    <xf numFmtId="0" fontId="21" fillId="22" borderId="132" applyNumberFormat="0" applyAlignment="0" applyProtection="0"/>
    <xf numFmtId="0" fontId="21" fillId="22" borderId="132"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8" fillId="25" borderId="131" applyNumberFormat="0" applyFont="0" applyAlignment="0" applyProtection="0"/>
    <xf numFmtId="0" fontId="18" fillId="9" borderId="130" applyNumberFormat="0" applyAlignment="0" applyProtection="0"/>
    <xf numFmtId="0" fontId="11" fillId="22" borderId="130" applyNumberFormat="0" applyAlignment="0" applyProtection="0"/>
    <xf numFmtId="0" fontId="23" fillId="0" borderId="133" applyNumberFormat="0" applyFill="0" applyAlignment="0" applyProtection="0"/>
    <xf numFmtId="0" fontId="21" fillId="22" borderId="132" applyNumberFormat="0" applyAlignment="0" applyProtection="0"/>
    <xf numFmtId="0" fontId="11" fillId="22" borderId="130" applyNumberFormat="0" applyAlignment="0" applyProtection="0"/>
    <xf numFmtId="0" fontId="8" fillId="25" borderId="131" applyNumberFormat="0" applyFont="0" applyAlignment="0" applyProtection="0"/>
    <xf numFmtId="0" fontId="18" fillId="9" borderId="130" applyNumberFormat="0" applyAlignment="0" applyProtection="0"/>
    <xf numFmtId="0" fontId="21" fillId="22" borderId="132"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18" fillId="9" borderId="130" applyNumberFormat="0" applyAlignment="0" applyProtection="0"/>
    <xf numFmtId="0" fontId="18" fillId="9" borderId="130" applyNumberFormat="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8" fillId="25" borderId="131" applyNumberFormat="0" applyFont="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8" fillId="9" borderId="130" applyNumberFormat="0" applyAlignment="0" applyProtection="0"/>
    <xf numFmtId="0" fontId="11" fillId="22"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21" fillId="22" borderId="132" applyNumberFormat="0" applyAlignment="0" applyProtection="0"/>
    <xf numFmtId="0" fontId="23" fillId="0" borderId="133" applyNumberFormat="0" applyFill="0" applyAlignment="0" applyProtection="0"/>
    <xf numFmtId="0" fontId="11" fillId="22" borderId="130" applyNumberFormat="0" applyAlignment="0" applyProtection="0"/>
    <xf numFmtId="0" fontId="11" fillId="22" borderId="130" applyNumberFormat="0" applyAlignment="0" applyProtection="0"/>
    <xf numFmtId="0" fontId="18" fillId="9" borderId="130" applyNumberFormat="0" applyAlignment="0" applyProtection="0"/>
    <xf numFmtId="0" fontId="18" fillId="9" borderId="130" applyNumberFormat="0" applyAlignment="0" applyProtection="0"/>
    <xf numFmtId="0" fontId="8" fillId="25" borderId="131" applyNumberFormat="0" applyFont="0" applyAlignment="0" applyProtection="0"/>
    <xf numFmtId="0" fontId="8" fillId="25" borderId="131" applyNumberFormat="0" applyFont="0" applyAlignment="0" applyProtection="0"/>
    <xf numFmtId="0" fontId="21" fillId="22" borderId="132" applyNumberFormat="0" applyAlignment="0" applyProtection="0"/>
    <xf numFmtId="0" fontId="21" fillId="22" borderId="132" applyNumberFormat="0" applyAlignment="0" applyProtection="0"/>
    <xf numFmtId="0" fontId="23" fillId="0" borderId="133" applyNumberFormat="0" applyFill="0" applyAlignment="0" applyProtection="0"/>
    <xf numFmtId="0" fontId="23" fillId="0" borderId="133" applyNumberFormat="0" applyFill="0" applyAlignment="0" applyProtection="0"/>
    <xf numFmtId="0" fontId="8" fillId="25" borderId="131" applyNumberFormat="0" applyFont="0" applyAlignment="0" applyProtection="0"/>
    <xf numFmtId="0" fontId="21" fillId="22" borderId="136" applyNumberFormat="0" applyAlignment="0" applyProtection="0"/>
    <xf numFmtId="0" fontId="18" fillId="9"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23" fillId="0" borderId="137" applyNumberFormat="0" applyFill="0" applyAlignment="0" applyProtection="0"/>
    <xf numFmtId="0" fontId="18" fillId="9" borderId="134" applyNumberFormat="0" applyAlignment="0" applyProtection="0"/>
    <xf numFmtId="0" fontId="21" fillId="22" borderId="136" applyNumberFormat="0" applyAlignment="0" applyProtection="0"/>
    <xf numFmtId="0" fontId="21" fillId="22" borderId="136" applyNumberFormat="0" applyAlignment="0" applyProtection="0"/>
    <xf numFmtId="0" fontId="21" fillId="22" borderId="136" applyNumberFormat="0" applyAlignment="0" applyProtection="0"/>
    <xf numFmtId="0" fontId="23" fillId="0" borderId="137" applyNumberFormat="0" applyFill="0" applyAlignment="0" applyProtection="0"/>
    <xf numFmtId="0" fontId="11" fillId="22" borderId="134" applyNumberFormat="0" applyAlignment="0" applyProtection="0"/>
    <xf numFmtId="0" fontId="21" fillId="22" borderId="136" applyNumberFormat="0" applyAlignment="0" applyProtection="0"/>
    <xf numFmtId="0" fontId="21" fillId="22" borderId="136" applyNumberFormat="0" applyAlignment="0" applyProtection="0"/>
    <xf numFmtId="0" fontId="23" fillId="0" borderId="137" applyNumberFormat="0" applyFill="0" applyAlignment="0" applyProtection="0"/>
    <xf numFmtId="0" fontId="18" fillId="9" borderId="134" applyNumberFormat="0" applyAlignment="0" applyProtection="0"/>
    <xf numFmtId="0" fontId="18" fillId="9" borderId="134" applyNumberFormat="0" applyAlignment="0" applyProtection="0"/>
    <xf numFmtId="0" fontId="21" fillId="22" borderId="136" applyNumberFormat="0" applyAlignment="0" applyProtection="0"/>
    <xf numFmtId="0" fontId="11" fillId="22" borderId="134" applyNumberFormat="0" applyAlignment="0" applyProtection="0"/>
    <xf numFmtId="0" fontId="21" fillId="22" borderId="136"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21" fillId="22" borderId="136" applyNumberFormat="0" applyAlignment="0" applyProtection="0"/>
    <xf numFmtId="0" fontId="18" fillId="9" borderId="134" applyNumberFormat="0" applyAlignment="0" applyProtection="0"/>
    <xf numFmtId="0" fontId="11" fillId="22" borderId="134" applyNumberFormat="0" applyAlignment="0" applyProtection="0"/>
    <xf numFmtId="0" fontId="11" fillId="22" borderId="134" applyNumberFormat="0" applyAlignment="0" applyProtection="0"/>
    <xf numFmtId="0" fontId="11" fillId="22"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18" fillId="9" borderId="134" applyNumberFormat="0" applyAlignment="0" applyProtection="0"/>
    <xf numFmtId="0" fontId="21" fillId="22" borderId="136" applyNumberFormat="0" applyAlignment="0" applyProtection="0"/>
    <xf numFmtId="0" fontId="11" fillId="22" borderId="134"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21" fillId="22" borderId="136" applyNumberFormat="0" applyAlignment="0" applyProtection="0"/>
    <xf numFmtId="0" fontId="21" fillId="22" borderId="136" applyNumberFormat="0" applyAlignment="0" applyProtection="0"/>
    <xf numFmtId="0" fontId="8" fillId="25" borderId="135" applyNumberFormat="0" applyFont="0" applyAlignment="0" applyProtection="0"/>
    <xf numFmtId="0" fontId="21" fillId="22" borderId="136" applyNumberFormat="0" applyAlignment="0" applyProtection="0"/>
    <xf numFmtId="0" fontId="21" fillId="22" borderId="136"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21" fillId="22" borderId="136" applyNumberFormat="0" applyAlignment="0" applyProtection="0"/>
    <xf numFmtId="0" fontId="23" fillId="0" borderId="137" applyNumberFormat="0" applyFill="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21" fillId="22" borderId="136" applyNumberFormat="0" applyAlignment="0" applyProtection="0"/>
    <xf numFmtId="0" fontId="11" fillId="22" borderId="134" applyNumberFormat="0" applyAlignment="0" applyProtection="0"/>
    <xf numFmtId="0" fontId="8" fillId="25" borderId="135" applyNumberFormat="0" applyFont="0" applyAlignment="0" applyProtection="0"/>
    <xf numFmtId="0" fontId="11" fillId="22"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23" fillId="0" borderId="137" applyNumberFormat="0" applyFill="0" applyAlignment="0" applyProtection="0"/>
    <xf numFmtId="0" fontId="18" fillId="9"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1" fillId="22" borderId="134" applyNumberFormat="0" applyAlignment="0" applyProtection="0"/>
    <xf numFmtId="0" fontId="8" fillId="25" borderId="135" applyNumberFormat="0" applyFont="0" applyAlignment="0" applyProtection="0"/>
    <xf numFmtId="0" fontId="11" fillId="22" borderId="134" applyNumberFormat="0" applyAlignment="0" applyProtection="0"/>
    <xf numFmtId="0" fontId="18" fillId="9"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23" fillId="0" borderId="137" applyNumberFormat="0" applyFill="0" applyAlignment="0" applyProtection="0"/>
    <xf numFmtId="0" fontId="18" fillId="9" borderId="134" applyNumberFormat="0" applyAlignment="0" applyProtection="0"/>
    <xf numFmtId="0" fontId="11" fillId="22" borderId="134"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11" fillId="22" borderId="134"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11" fillId="22" borderId="134" applyNumberFormat="0" applyAlignment="0" applyProtection="0"/>
    <xf numFmtId="0" fontId="21" fillId="22" borderId="136" applyNumberFormat="0" applyAlignment="0" applyProtection="0"/>
    <xf numFmtId="0" fontId="11" fillId="22" borderId="134"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11" fillId="22"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11" fillId="22" borderId="134" applyNumberFormat="0" applyAlignment="0" applyProtection="0"/>
    <xf numFmtId="0" fontId="21" fillId="22" borderId="136" applyNumberFormat="0" applyAlignment="0" applyProtection="0"/>
    <xf numFmtId="0" fontId="23" fillId="0" borderId="137" applyNumberFormat="0" applyFill="0" applyAlignment="0" applyProtection="0"/>
    <xf numFmtId="0" fontId="18" fillId="9" borderId="134"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23" fillId="0" borderId="137" applyNumberFormat="0" applyFill="0" applyAlignment="0" applyProtection="0"/>
    <xf numFmtId="0" fontId="8" fillId="25" borderId="135" applyNumberFormat="0" applyFont="0" applyAlignment="0" applyProtection="0"/>
    <xf numFmtId="0" fontId="23" fillId="0" borderId="137" applyNumberFormat="0" applyFill="0" applyAlignment="0" applyProtection="0"/>
    <xf numFmtId="0" fontId="18" fillId="9" borderId="134" applyNumberFormat="0" applyAlignment="0" applyProtection="0"/>
    <xf numFmtId="0" fontId="8" fillId="25" borderId="135" applyNumberFormat="0" applyFont="0" applyAlignment="0" applyProtection="0"/>
    <xf numFmtId="0" fontId="21" fillId="22" borderId="136" applyNumberFormat="0" applyAlignment="0" applyProtection="0"/>
    <xf numFmtId="0" fontId="11" fillId="22" borderId="134" applyNumberFormat="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8" fillId="25" borderId="135" applyNumberFormat="0" applyFont="0" applyAlignment="0" applyProtection="0"/>
    <xf numFmtId="0" fontId="11" fillId="22" borderId="134" applyNumberFormat="0" applyAlignment="0" applyProtection="0"/>
    <xf numFmtId="0" fontId="11" fillId="22" borderId="134" applyNumberFormat="0" applyAlignment="0" applyProtection="0"/>
    <xf numFmtId="0" fontId="21" fillId="22" borderId="136" applyNumberFormat="0" applyAlignment="0" applyProtection="0"/>
    <xf numFmtId="0" fontId="21" fillId="22" borderId="136" applyNumberFormat="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23" fillId="0" borderId="137" applyNumberFormat="0" applyFill="0" applyAlignment="0" applyProtection="0"/>
    <xf numFmtId="0" fontId="21" fillId="22" borderId="136"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18" fillId="9" borderId="134" applyNumberFormat="0" applyAlignment="0" applyProtection="0"/>
    <xf numFmtId="0" fontId="23" fillId="0" borderId="137" applyNumberFormat="0" applyFill="0" applyAlignment="0" applyProtection="0"/>
    <xf numFmtId="0" fontId="18" fillId="9" borderId="134" applyNumberFormat="0" applyAlignment="0" applyProtection="0"/>
    <xf numFmtId="0" fontId="11" fillId="22" borderId="134" applyNumberFormat="0" applyAlignment="0" applyProtection="0"/>
    <xf numFmtId="0" fontId="11" fillId="22" borderId="134" applyNumberFormat="0" applyAlignment="0" applyProtection="0"/>
    <xf numFmtId="0" fontId="21" fillId="22" borderId="136" applyNumberFormat="0" applyAlignment="0" applyProtection="0"/>
    <xf numFmtId="0" fontId="11" fillId="22" borderId="134" applyNumberFormat="0" applyAlignment="0" applyProtection="0"/>
    <xf numFmtId="0" fontId="21" fillId="22" borderId="136" applyNumberFormat="0" applyAlignment="0" applyProtection="0"/>
    <xf numFmtId="0" fontId="21" fillId="22" borderId="136" applyNumberFormat="0" applyAlignment="0" applyProtection="0"/>
    <xf numFmtId="0" fontId="11" fillId="22" borderId="134" applyNumberFormat="0" applyAlignment="0" applyProtection="0"/>
    <xf numFmtId="0" fontId="11" fillId="22" borderId="134" applyNumberFormat="0" applyAlignment="0" applyProtection="0"/>
    <xf numFmtId="0" fontId="21" fillId="22" borderId="136"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11" fillId="22" borderId="134" applyNumberFormat="0" applyAlignment="0" applyProtection="0"/>
    <xf numFmtId="0" fontId="21" fillId="22" borderId="136" applyNumberFormat="0" applyAlignment="0" applyProtection="0"/>
    <xf numFmtId="0" fontId="18" fillId="9" borderId="134" applyNumberFormat="0" applyAlignment="0" applyProtection="0"/>
    <xf numFmtId="0" fontId="11" fillId="22"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18" fillId="9" borderId="134" applyNumberFormat="0" applyAlignment="0" applyProtection="0"/>
    <xf numFmtId="0" fontId="21" fillId="22" borderId="136" applyNumberFormat="0" applyAlignment="0" applyProtection="0"/>
    <xf numFmtId="0" fontId="18" fillId="9"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18" fillId="9" borderId="134" applyNumberFormat="0" applyAlignment="0" applyProtection="0"/>
    <xf numFmtId="0" fontId="18" fillId="9"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21" fillId="22" borderId="136" applyNumberFormat="0" applyAlignment="0" applyProtection="0"/>
    <xf numFmtId="0" fontId="21" fillId="22" borderId="136" applyNumberFormat="0" applyAlignment="0" applyProtection="0"/>
    <xf numFmtId="0" fontId="21" fillId="22" borderId="136" applyNumberFormat="0" applyAlignment="0" applyProtection="0"/>
    <xf numFmtId="0" fontId="21" fillId="22" borderId="136" applyNumberFormat="0" applyAlignment="0" applyProtection="0"/>
    <xf numFmtId="0" fontId="23" fillId="0" borderId="137" applyNumberFormat="0" applyFill="0" applyAlignment="0" applyProtection="0"/>
    <xf numFmtId="0" fontId="21" fillId="22" borderId="136" applyNumberFormat="0" applyAlignment="0" applyProtection="0"/>
    <xf numFmtId="0" fontId="23" fillId="0" borderId="137" applyNumberFormat="0" applyFill="0" applyAlignment="0" applyProtection="0"/>
    <xf numFmtId="0" fontId="21" fillId="22" borderId="136" applyNumberFormat="0" applyAlignment="0" applyProtection="0"/>
    <xf numFmtId="0" fontId="11" fillId="22" borderId="134" applyNumberFormat="0" applyAlignment="0" applyProtection="0"/>
    <xf numFmtId="0" fontId="18" fillId="9" borderId="134"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18" fillId="9" borderId="134" applyNumberFormat="0" applyAlignment="0" applyProtection="0"/>
    <xf numFmtId="0" fontId="23" fillId="0" borderId="137" applyNumberFormat="0" applyFill="0" applyAlignment="0" applyProtection="0"/>
    <xf numFmtId="0" fontId="11" fillId="22" borderId="134" applyNumberFormat="0" applyAlignment="0" applyProtection="0"/>
    <xf numFmtId="0" fontId="11" fillId="22"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11" fillId="22" borderId="134"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18" fillId="9" borderId="134" applyNumberFormat="0" applyAlignment="0" applyProtection="0"/>
    <xf numFmtId="0" fontId="11" fillId="22" borderId="134" applyNumberFormat="0" applyAlignment="0" applyProtection="0"/>
    <xf numFmtId="0" fontId="11" fillId="22" borderId="134" applyNumberFormat="0" applyAlignment="0" applyProtection="0"/>
    <xf numFmtId="0" fontId="18" fillId="9"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18" fillId="9" borderId="134"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21" fillId="22" borderId="136" applyNumberFormat="0" applyAlignment="0" applyProtection="0"/>
    <xf numFmtId="0" fontId="23" fillId="0" borderId="137" applyNumberFormat="0" applyFill="0" applyAlignment="0" applyProtection="0"/>
    <xf numFmtId="0" fontId="21" fillId="22" borderId="136" applyNumberFormat="0" applyAlignment="0" applyProtection="0"/>
    <xf numFmtId="0" fontId="23" fillId="0" borderId="137" applyNumberFormat="0" applyFill="0" applyAlignment="0" applyProtection="0"/>
    <xf numFmtId="0" fontId="8" fillId="25" borderId="135" applyNumberFormat="0" applyFont="0" applyAlignment="0" applyProtection="0"/>
    <xf numFmtId="0" fontId="23" fillId="0" borderId="137" applyNumberFormat="0" applyFill="0" applyAlignment="0" applyProtection="0"/>
    <xf numFmtId="0" fontId="18" fillId="9" borderId="134" applyNumberFormat="0" applyAlignment="0" applyProtection="0"/>
    <xf numFmtId="0" fontId="18" fillId="9" borderId="134" applyNumberFormat="0" applyAlignment="0" applyProtection="0"/>
    <xf numFmtId="0" fontId="18" fillId="9"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8" fillId="25" borderId="135" applyNumberFormat="0" applyFont="0" applyAlignment="0" applyProtection="0"/>
    <xf numFmtId="0" fontId="8" fillId="25" borderId="135" applyNumberFormat="0" applyFont="0" applyAlignment="0" applyProtection="0"/>
    <xf numFmtId="0" fontId="11" fillId="22" borderId="134" applyNumberFormat="0" applyAlignment="0" applyProtection="0"/>
    <xf numFmtId="0" fontId="11" fillId="22" borderId="134" applyNumberFormat="0" applyAlignment="0" applyProtection="0"/>
    <xf numFmtId="0" fontId="21" fillId="22" borderId="136" applyNumberFormat="0" applyAlignment="0" applyProtection="0"/>
    <xf numFmtId="0" fontId="8" fillId="25" borderId="135" applyNumberFormat="0" applyFont="0" applyAlignment="0" applyProtection="0"/>
    <xf numFmtId="0" fontId="18" fillId="9" borderId="134" applyNumberFormat="0" applyAlignment="0" applyProtection="0"/>
    <xf numFmtId="0" fontId="18" fillId="9" borderId="134" applyNumberFormat="0" applyAlignment="0" applyProtection="0"/>
    <xf numFmtId="0" fontId="18" fillId="9" borderId="134" applyNumberFormat="0" applyAlignment="0" applyProtection="0"/>
    <xf numFmtId="0" fontId="8" fillId="25" borderId="135" applyNumberFormat="0" applyFont="0" applyAlignment="0" applyProtection="0"/>
    <xf numFmtId="0" fontId="23" fillId="0" borderId="137" applyNumberFormat="0" applyFill="0" applyAlignment="0" applyProtection="0"/>
    <xf numFmtId="0" fontId="11" fillId="22" borderId="134" applyNumberFormat="0" applyAlignment="0" applyProtection="0"/>
    <xf numFmtId="0" fontId="21" fillId="22" borderId="136" applyNumberFormat="0" applyAlignment="0" applyProtection="0"/>
    <xf numFmtId="0" fontId="11" fillId="22" borderId="134"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11" fillId="22" borderId="134" applyNumberFormat="0" applyAlignment="0" applyProtection="0"/>
    <xf numFmtId="0" fontId="21" fillId="22" borderId="136" applyNumberFormat="0" applyAlignment="0" applyProtection="0"/>
    <xf numFmtId="0" fontId="23" fillId="0" borderId="137" applyNumberFormat="0" applyFill="0" applyAlignment="0" applyProtection="0"/>
    <xf numFmtId="0" fontId="18" fillId="9" borderId="134" applyNumberFormat="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8" fillId="25" borderId="139" applyNumberFormat="0" applyFont="0" applyAlignment="0" applyProtection="0"/>
    <xf numFmtId="0" fontId="18" fillId="9" borderId="138"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21" fillId="22" borderId="140" applyNumberFormat="0" applyAlignment="0" applyProtection="0"/>
    <xf numFmtId="0" fontId="11" fillId="22"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21" fillId="22" borderId="140"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18" fillId="9"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8" fillId="25" borderId="139" applyNumberFormat="0" applyFont="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11" fillId="22" borderId="138" applyNumberFormat="0" applyAlignment="0" applyProtection="0"/>
    <xf numFmtId="0" fontId="21" fillId="22" borderId="140" applyNumberFormat="0" applyAlignment="0" applyProtection="0"/>
    <xf numFmtId="0" fontId="21" fillId="22" borderId="140" applyNumberForma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21" fillId="22" borderId="140" applyNumberFormat="0" applyAlignment="0" applyProtection="0"/>
    <xf numFmtId="0" fontId="18" fillId="9" borderId="138" applyNumberFormat="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18" fillId="9" borderId="138" applyNumberFormat="0" applyAlignment="0" applyProtection="0"/>
    <xf numFmtId="0" fontId="18" fillId="9"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18" fillId="9" borderId="138" applyNumberFormat="0" applyAlignment="0" applyProtection="0"/>
    <xf numFmtId="0" fontId="21" fillId="22" borderId="140" applyNumberFormat="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11" fillId="22" borderId="138" applyNumberForma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18" fillId="9"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18" fillId="9"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11" fillId="22"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21" fillId="22" borderId="140"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11" fillId="22" borderId="138"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21" fillId="22" borderId="140"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11" fillId="22"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21" fillId="22" borderId="140" applyNumberFormat="0" applyAlignment="0" applyProtection="0"/>
    <xf numFmtId="0" fontId="18" fillId="9"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18" fillId="9"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18" fillId="9" borderId="138" applyNumberFormat="0" applyAlignment="0" applyProtection="0"/>
    <xf numFmtId="0" fontId="11" fillId="22" borderId="138" applyNumberFormat="0" applyAlignment="0" applyProtection="0"/>
    <xf numFmtId="0" fontId="21" fillId="22" borderId="140" applyNumberFormat="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23" fillId="0" borderId="141" applyNumberFormat="0" applyFill="0" applyAlignment="0" applyProtection="0"/>
    <xf numFmtId="0" fontId="8" fillId="25" borderId="139" applyNumberFormat="0" applyFont="0" applyAlignment="0" applyProtection="0"/>
    <xf numFmtId="0" fontId="23" fillId="0" borderId="141" applyNumberFormat="0" applyFill="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21" fillId="22" borderId="140" applyNumberFormat="0" applyAlignment="0" applyProtection="0"/>
    <xf numFmtId="0" fontId="21" fillId="22" borderId="140"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18" fillId="9" borderId="138" applyNumberFormat="0" applyAlignment="0" applyProtection="0"/>
    <xf numFmtId="0" fontId="11" fillId="22" borderId="138" applyNumberFormat="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21" fillId="22" borderId="140"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11" fillId="22"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18" fillId="9"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21" fillId="22" borderId="140"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18" fillId="9" borderId="138" applyNumberFormat="0" applyAlignment="0" applyProtection="0"/>
    <xf numFmtId="0" fontId="11" fillId="22" borderId="138" applyNumberFormat="0" applyAlignment="0" applyProtection="0"/>
    <xf numFmtId="0" fontId="21" fillId="22" borderId="140" applyNumberFormat="0" applyAlignment="0" applyProtection="0"/>
    <xf numFmtId="0" fontId="11" fillId="22"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11" fillId="22"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1" fillId="22" borderId="140"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18" fillId="9"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18" fillId="9"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18" fillId="9" borderId="138" applyNumberFormat="0" applyAlignment="0" applyProtection="0"/>
    <xf numFmtId="0" fontId="21" fillId="22" borderId="140" applyNumberFormat="0" applyAlignment="0" applyProtection="0"/>
    <xf numFmtId="0" fontId="21" fillId="22" borderId="140" applyNumberFormat="0" applyAlignment="0" applyProtection="0"/>
    <xf numFmtId="0" fontId="11" fillId="22" borderId="138" applyNumberFormat="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21" fillId="22" borderId="140"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11" fillId="22" borderId="138" applyNumberFormat="0" applyAlignment="0" applyProtection="0"/>
    <xf numFmtId="0" fontId="21" fillId="22" borderId="140" applyNumberFormat="0" applyAlignment="0" applyProtection="0"/>
    <xf numFmtId="0" fontId="18" fillId="9" borderId="138" applyNumberFormat="0" applyAlignment="0" applyProtection="0"/>
    <xf numFmtId="0" fontId="21" fillId="22" borderId="140" applyNumberFormat="0" applyAlignment="0" applyProtection="0"/>
    <xf numFmtId="0" fontId="11" fillId="22" borderId="138" applyNumberFormat="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21" fillId="22" borderId="140" applyNumberFormat="0" applyAlignment="0" applyProtection="0"/>
    <xf numFmtId="0" fontId="18" fillId="9"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11" fillId="22" borderId="138" applyNumberForma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18" fillId="9"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8" fillId="25" borderId="139" applyNumberFormat="0" applyFont="0" applyAlignment="0" applyProtection="0"/>
    <xf numFmtId="0" fontId="18" fillId="9" borderId="138" applyNumberFormat="0" applyAlignment="0" applyProtection="0"/>
    <xf numFmtId="0" fontId="21" fillId="22" borderId="140" applyNumberFormat="0" applyAlignment="0" applyProtection="0"/>
    <xf numFmtId="0" fontId="11" fillId="22" borderId="138" applyNumberFormat="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11" fillId="22" borderId="138"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1" fillId="22" borderId="140" applyNumberFormat="0" applyAlignment="0" applyProtection="0"/>
    <xf numFmtId="0" fontId="11" fillId="22" borderId="138" applyNumberFormat="0" applyAlignment="0" applyProtection="0"/>
    <xf numFmtId="0" fontId="11" fillId="22"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11" fillId="22"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1" fillId="22" borderId="140" applyNumberFormat="0" applyAlignment="0" applyProtection="0"/>
    <xf numFmtId="0" fontId="18" fillId="9" borderId="138" applyNumberFormat="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21" fillId="22" borderId="140" applyNumberFormat="0" applyAlignment="0" applyProtection="0"/>
    <xf numFmtId="0" fontId="11" fillId="22" borderId="138" applyNumberFormat="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11" fillId="22"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11" fillId="22" borderId="138" applyNumberFormat="0" applyAlignment="0" applyProtection="0"/>
    <xf numFmtId="0" fontId="21" fillId="22" borderId="140" applyNumberFormat="0" applyAlignment="0" applyProtection="0"/>
    <xf numFmtId="0" fontId="11" fillId="22"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8" fillId="25" borderId="139" applyNumberFormat="0" applyFont="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8" fillId="25" borderId="139" applyNumberFormat="0" applyFont="0" applyAlignment="0" applyProtection="0"/>
    <xf numFmtId="0" fontId="11" fillId="22" borderId="138" applyNumberFormat="0" applyAlignment="0" applyProtection="0"/>
    <xf numFmtId="0" fontId="21" fillId="22" borderId="140" applyNumberFormat="0" applyAlignment="0" applyProtection="0"/>
    <xf numFmtId="0" fontId="18" fillId="9" borderId="138" applyNumberFormat="0" applyAlignment="0" applyProtection="0"/>
    <xf numFmtId="0" fontId="21" fillId="22" borderId="140" applyNumberFormat="0" applyAlignment="0" applyProtection="0"/>
    <xf numFmtId="0" fontId="21" fillId="22" borderId="140" applyNumberFormat="0" applyAlignment="0" applyProtection="0"/>
    <xf numFmtId="0" fontId="8" fillId="25" borderId="139" applyNumberFormat="0" applyFon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18" fillId="9"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23" fillId="0" borderId="141" applyNumberFormat="0" applyFill="0" applyAlignment="0" applyProtection="0"/>
    <xf numFmtId="0" fontId="18" fillId="9" borderId="138" applyNumberFormat="0" applyAlignment="0" applyProtection="0"/>
    <xf numFmtId="0" fontId="21" fillId="22" borderId="140" applyNumberForma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21" fillId="22" borderId="140" applyNumberFormat="0" applyAlignment="0" applyProtection="0"/>
    <xf numFmtId="0" fontId="11" fillId="22" borderId="138"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21" fillId="22" borderId="140" applyNumberFormat="0" applyAlignment="0" applyProtection="0"/>
    <xf numFmtId="0" fontId="11" fillId="22" borderId="138" applyNumberFormat="0" applyAlignment="0" applyProtection="0"/>
    <xf numFmtId="0" fontId="8" fillId="25" borderId="139" applyNumberFormat="0" applyFont="0" applyAlignment="0" applyProtection="0"/>
    <xf numFmtId="0" fontId="11" fillId="22"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18" fillId="9"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8" fillId="25" borderId="139" applyNumberFormat="0" applyFont="0" applyAlignment="0" applyProtection="0"/>
    <xf numFmtId="0" fontId="11" fillId="22" borderId="138"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11" fillId="22" borderId="138" applyNumberFormat="0" applyAlignment="0" applyProtection="0"/>
    <xf numFmtId="0" fontId="21" fillId="22" borderId="140" applyNumberFormat="0" applyAlignment="0" applyProtection="0"/>
    <xf numFmtId="0" fontId="11" fillId="22"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23" fillId="0" borderId="141" applyNumberFormat="0" applyFill="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8" fillId="25" borderId="139" applyNumberFormat="0" applyFont="0" applyAlignment="0" applyProtection="0"/>
    <xf numFmtId="0" fontId="21" fillId="22" borderId="140" applyNumberFormat="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21" fillId="22" borderId="140" applyNumberFormat="0" applyAlignment="0" applyProtection="0"/>
    <xf numFmtId="0" fontId="8" fillId="25" borderId="139" applyNumberFormat="0" applyFont="0" applyAlignment="0" applyProtection="0"/>
    <xf numFmtId="0" fontId="11" fillId="22" borderId="138" applyNumberFormat="0" applyAlignment="0" applyProtection="0"/>
    <xf numFmtId="0" fontId="11" fillId="22" borderId="138" applyNumberFormat="0" applyAlignment="0" applyProtection="0"/>
    <xf numFmtId="0" fontId="21" fillId="22" borderId="140" applyNumberFormat="0" applyAlignment="0" applyProtection="0"/>
    <xf numFmtId="0" fontId="21" fillId="22" borderId="140" applyNumberFormat="0" applyAlignment="0" applyProtection="0"/>
    <xf numFmtId="0" fontId="11" fillId="22"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23" fillId="0" borderId="141" applyNumberFormat="0" applyFill="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18" fillId="9" borderId="138" applyNumberFormat="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21" fillId="22" borderId="140" applyNumberFormat="0" applyAlignment="0" applyProtection="0"/>
    <xf numFmtId="0" fontId="11" fillId="22" borderId="138" applyNumberFormat="0" applyAlignment="0" applyProtection="0"/>
    <xf numFmtId="0" fontId="21" fillId="22" borderId="140" applyNumberFormat="0" applyAlignment="0" applyProtection="0"/>
    <xf numFmtId="0" fontId="21" fillId="22" borderId="140" applyNumberFormat="0" applyAlignment="0" applyProtection="0"/>
    <xf numFmtId="0" fontId="11" fillId="22" borderId="138" applyNumberFormat="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11" fillId="22" borderId="138" applyNumberFormat="0" applyAlignment="0" applyProtection="0"/>
    <xf numFmtId="0" fontId="21" fillId="22" borderId="140" applyNumberFormat="0" applyAlignment="0" applyProtection="0"/>
    <xf numFmtId="0" fontId="18" fillId="9" borderId="138" applyNumberFormat="0" applyAlignment="0" applyProtection="0"/>
    <xf numFmtId="0" fontId="11" fillId="22"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18" fillId="9"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18" fillId="9"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21" fillId="22" borderId="140" applyNumberFormat="0" applyAlignment="0" applyProtection="0"/>
    <xf numFmtId="0" fontId="21" fillId="22" borderId="140" applyNumberFormat="0" applyAlignment="0" applyProtection="0"/>
    <xf numFmtId="0" fontId="21" fillId="22" borderId="140" applyNumberFormat="0" applyAlignment="0" applyProtection="0"/>
    <xf numFmtId="0" fontId="21" fillId="22" borderId="140" applyNumberFormat="0" applyAlignment="0" applyProtection="0"/>
    <xf numFmtId="0" fontId="23" fillId="0" borderId="141" applyNumberFormat="0" applyFill="0" applyAlignment="0" applyProtection="0"/>
    <xf numFmtId="0" fontId="21" fillId="22" borderId="140" applyNumberFormat="0" applyAlignment="0" applyProtection="0"/>
    <xf numFmtId="0" fontId="23" fillId="0" borderId="141" applyNumberFormat="0" applyFill="0" applyAlignment="0" applyProtection="0"/>
    <xf numFmtId="0" fontId="21" fillId="22" borderId="140" applyNumberFormat="0" applyAlignment="0" applyProtection="0"/>
    <xf numFmtId="0" fontId="11" fillId="22" borderId="138" applyNumberFormat="0" applyAlignment="0" applyProtection="0"/>
    <xf numFmtId="0" fontId="18" fillId="9"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3" fillId="0" borderId="141" applyNumberFormat="0" applyFill="0" applyAlignment="0" applyProtection="0"/>
    <xf numFmtId="0" fontId="18" fillId="9" borderId="138" applyNumberFormat="0" applyAlignment="0" applyProtection="0"/>
    <xf numFmtId="0" fontId="23" fillId="0" borderId="141" applyNumberFormat="0" applyFill="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11" fillId="22"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18" fillId="9" borderId="138" applyNumberFormat="0" applyAlignment="0" applyProtection="0"/>
    <xf numFmtId="0" fontId="11" fillId="22" borderId="138" applyNumberFormat="0" applyAlignment="0" applyProtection="0"/>
    <xf numFmtId="0" fontId="11" fillId="22"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18" fillId="9"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21" fillId="22" borderId="140" applyNumberFormat="0" applyAlignment="0" applyProtection="0"/>
    <xf numFmtId="0" fontId="23" fillId="0" borderId="141" applyNumberFormat="0" applyFill="0" applyAlignment="0" applyProtection="0"/>
    <xf numFmtId="0" fontId="21" fillId="22" borderId="140" applyNumberFormat="0" applyAlignment="0" applyProtection="0"/>
    <xf numFmtId="0" fontId="23" fillId="0" borderId="141" applyNumberFormat="0" applyFill="0" applyAlignment="0" applyProtection="0"/>
    <xf numFmtId="0" fontId="8" fillId="25" borderId="139" applyNumberFormat="0" applyFont="0" applyAlignment="0" applyProtection="0"/>
    <xf numFmtId="0" fontId="23" fillId="0" borderId="141" applyNumberFormat="0" applyFill="0" applyAlignment="0" applyProtection="0"/>
    <xf numFmtId="0" fontId="18" fillId="9" borderId="138" applyNumberFormat="0" applyAlignment="0" applyProtection="0"/>
    <xf numFmtId="0" fontId="18" fillId="9" borderId="138" applyNumberFormat="0" applyAlignment="0" applyProtection="0"/>
    <xf numFmtId="0" fontId="18" fillId="9"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8" fillId="25" borderId="139" applyNumberFormat="0" applyFont="0" applyAlignment="0" applyProtection="0"/>
    <xf numFmtId="0" fontId="8" fillId="25" borderId="139" applyNumberFormat="0" applyFont="0" applyAlignment="0" applyProtection="0"/>
    <xf numFmtId="0" fontId="11" fillId="22" borderId="138" applyNumberFormat="0" applyAlignment="0" applyProtection="0"/>
    <xf numFmtId="0" fontId="11" fillId="22" borderId="138" applyNumberFormat="0" applyAlignment="0" applyProtection="0"/>
    <xf numFmtId="0" fontId="21" fillId="22" borderId="140" applyNumberFormat="0" applyAlignment="0" applyProtection="0"/>
    <xf numFmtId="0" fontId="8" fillId="25" borderId="139" applyNumberFormat="0" applyFont="0" applyAlignment="0" applyProtection="0"/>
    <xf numFmtId="0" fontId="18" fillId="9" borderId="138" applyNumberFormat="0" applyAlignment="0" applyProtection="0"/>
    <xf numFmtId="0" fontId="18" fillId="9" borderId="138" applyNumberFormat="0" applyAlignment="0" applyProtection="0"/>
    <xf numFmtId="0" fontId="18" fillId="9" borderId="138" applyNumberFormat="0" applyAlignment="0" applyProtection="0"/>
    <xf numFmtId="0" fontId="8" fillId="25" borderId="139" applyNumberFormat="0" applyFont="0" applyAlignment="0" applyProtection="0"/>
    <xf numFmtId="0" fontId="23" fillId="0" borderId="141" applyNumberFormat="0" applyFill="0" applyAlignment="0" applyProtection="0"/>
    <xf numFmtId="0" fontId="11" fillId="22" borderId="138" applyNumberFormat="0" applyAlignment="0" applyProtection="0"/>
    <xf numFmtId="0" fontId="21" fillId="22" borderId="140" applyNumberFormat="0" applyAlignment="0" applyProtection="0"/>
    <xf numFmtId="0" fontId="11" fillId="22" borderId="138" applyNumberFormat="0" applyAlignment="0" applyProtection="0"/>
    <xf numFmtId="0" fontId="23" fillId="0" borderId="141" applyNumberFormat="0" applyFill="0" applyAlignment="0" applyProtection="0"/>
    <xf numFmtId="0" fontId="23" fillId="0" borderId="141" applyNumberFormat="0" applyFill="0" applyAlignment="0" applyProtection="0"/>
    <xf numFmtId="0" fontId="11" fillId="22" borderId="138" applyNumberFormat="0" applyAlignment="0" applyProtection="0"/>
    <xf numFmtId="0" fontId="21" fillId="22" borderId="140" applyNumberFormat="0" applyAlignment="0" applyProtection="0"/>
    <xf numFmtId="0" fontId="23" fillId="0" borderId="141" applyNumberFormat="0" applyFill="0" applyAlignment="0" applyProtection="0"/>
    <xf numFmtId="0" fontId="18" fillId="9" borderId="138" applyNumberFormat="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8" fillId="25" borderId="143" applyNumberFormat="0" applyFont="0" applyAlignment="0" applyProtection="0"/>
    <xf numFmtId="0" fontId="18" fillId="9" borderId="142"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21" fillId="22" borderId="144" applyNumberFormat="0" applyAlignment="0" applyProtection="0"/>
    <xf numFmtId="0" fontId="11" fillId="22"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21" fillId="22" borderId="144"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18" fillId="9"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8" fillId="25" borderId="143" applyNumberFormat="0" applyFont="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11" fillId="22" borderId="142" applyNumberFormat="0" applyAlignment="0" applyProtection="0"/>
    <xf numFmtId="0" fontId="21" fillId="22" borderId="144" applyNumberFormat="0" applyAlignment="0" applyProtection="0"/>
    <xf numFmtId="0" fontId="21" fillId="22" borderId="144" applyNumberForma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21" fillId="22" borderId="144" applyNumberFormat="0" applyAlignment="0" applyProtection="0"/>
    <xf numFmtId="0" fontId="18" fillId="9" borderId="142" applyNumberFormat="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18" fillId="9" borderId="142" applyNumberFormat="0" applyAlignment="0" applyProtection="0"/>
    <xf numFmtId="0" fontId="18" fillId="9"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18" fillId="9" borderId="142" applyNumberFormat="0" applyAlignment="0" applyProtection="0"/>
    <xf numFmtId="0" fontId="21" fillId="22" borderId="144" applyNumberFormat="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11" fillId="22" borderId="142" applyNumberForma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18" fillId="9"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18" fillId="9"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11" fillId="22"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21" fillId="22" borderId="144"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11" fillId="22" borderId="142"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21" fillId="22" borderId="144"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11" fillId="22"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21" fillId="22" borderId="144" applyNumberFormat="0" applyAlignment="0" applyProtection="0"/>
    <xf numFmtId="0" fontId="18" fillId="9"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18" fillId="9"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18" fillId="9" borderId="142" applyNumberFormat="0" applyAlignment="0" applyProtection="0"/>
    <xf numFmtId="0" fontId="11" fillId="22" borderId="142" applyNumberFormat="0" applyAlignment="0" applyProtection="0"/>
    <xf numFmtId="0" fontId="21" fillId="22" borderId="144" applyNumberFormat="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23" fillId="0" borderId="145" applyNumberFormat="0" applyFill="0" applyAlignment="0" applyProtection="0"/>
    <xf numFmtId="0" fontId="8" fillId="25" borderId="143" applyNumberFormat="0" applyFont="0" applyAlignment="0" applyProtection="0"/>
    <xf numFmtId="0" fontId="23" fillId="0" borderId="145" applyNumberFormat="0" applyFill="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21" fillId="22" borderId="144" applyNumberFormat="0" applyAlignment="0" applyProtection="0"/>
    <xf numFmtId="0" fontId="21" fillId="22" borderId="144"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18" fillId="9" borderId="142" applyNumberFormat="0" applyAlignment="0" applyProtection="0"/>
    <xf numFmtId="0" fontId="11" fillId="22" borderId="142" applyNumberFormat="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21" fillId="22" borderId="144"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11" fillId="22"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18" fillId="9"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21" fillId="22" borderId="144"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18" fillId="9" borderId="142" applyNumberFormat="0" applyAlignment="0" applyProtection="0"/>
    <xf numFmtId="0" fontId="11" fillId="22" borderId="142" applyNumberFormat="0" applyAlignment="0" applyProtection="0"/>
    <xf numFmtId="0" fontId="21" fillId="22" borderId="144" applyNumberFormat="0" applyAlignment="0" applyProtection="0"/>
    <xf numFmtId="0" fontId="11" fillId="22"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11" fillId="22"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1" fillId="22" borderId="144"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18" fillId="9"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18" fillId="9"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18" fillId="9" borderId="142" applyNumberFormat="0" applyAlignment="0" applyProtection="0"/>
    <xf numFmtId="0" fontId="21" fillId="22" borderId="144" applyNumberFormat="0" applyAlignment="0" applyProtection="0"/>
    <xf numFmtId="0" fontId="21" fillId="22" borderId="144" applyNumberFormat="0" applyAlignment="0" applyProtection="0"/>
    <xf numFmtId="0" fontId="11" fillId="22" borderId="142" applyNumberFormat="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21" fillId="22" borderId="144"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11" fillId="22" borderId="142" applyNumberFormat="0" applyAlignment="0" applyProtection="0"/>
    <xf numFmtId="0" fontId="21" fillId="22" borderId="144" applyNumberFormat="0" applyAlignment="0" applyProtection="0"/>
    <xf numFmtId="0" fontId="18" fillId="9" borderId="142" applyNumberFormat="0" applyAlignment="0" applyProtection="0"/>
    <xf numFmtId="0" fontId="21" fillId="22" borderId="144" applyNumberFormat="0" applyAlignment="0" applyProtection="0"/>
    <xf numFmtId="0" fontId="11" fillId="22" borderId="142" applyNumberFormat="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21" fillId="22" borderId="144" applyNumberFormat="0" applyAlignment="0" applyProtection="0"/>
    <xf numFmtId="0" fontId="18" fillId="9"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11" fillId="22" borderId="142" applyNumberForma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18" fillId="9"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8" fillId="25" borderId="143" applyNumberFormat="0" applyFont="0" applyAlignment="0" applyProtection="0"/>
    <xf numFmtId="0" fontId="18" fillId="9" borderId="142" applyNumberFormat="0" applyAlignment="0" applyProtection="0"/>
    <xf numFmtId="0" fontId="21" fillId="22" borderId="144" applyNumberFormat="0" applyAlignment="0" applyProtection="0"/>
    <xf numFmtId="0" fontId="11" fillId="22" borderId="142" applyNumberFormat="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11" fillId="22" borderId="142"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1" fillId="22" borderId="144" applyNumberFormat="0" applyAlignment="0" applyProtection="0"/>
    <xf numFmtId="0" fontId="11" fillId="22" borderId="142" applyNumberFormat="0" applyAlignment="0" applyProtection="0"/>
    <xf numFmtId="0" fontId="11" fillId="22"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11" fillId="22"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1" fillId="22" borderId="144" applyNumberFormat="0" applyAlignment="0" applyProtection="0"/>
    <xf numFmtId="0" fontId="18" fillId="9" borderId="142" applyNumberFormat="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21" fillId="22" borderId="144" applyNumberFormat="0" applyAlignment="0" applyProtection="0"/>
    <xf numFmtId="0" fontId="11" fillId="22" borderId="142" applyNumberFormat="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11" fillId="22"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11" fillId="22" borderId="142" applyNumberFormat="0" applyAlignment="0" applyProtection="0"/>
    <xf numFmtId="0" fontId="21" fillId="22" borderId="144" applyNumberFormat="0" applyAlignment="0" applyProtection="0"/>
    <xf numFmtId="0" fontId="11" fillId="22"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8" fillId="25" borderId="143" applyNumberFormat="0" applyFont="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8" fillId="25" borderId="143" applyNumberFormat="0" applyFont="0" applyAlignment="0" applyProtection="0"/>
    <xf numFmtId="0" fontId="11" fillId="22" borderId="142" applyNumberFormat="0" applyAlignment="0" applyProtection="0"/>
    <xf numFmtId="0" fontId="21" fillId="22" borderId="144" applyNumberFormat="0" applyAlignment="0" applyProtection="0"/>
    <xf numFmtId="0" fontId="18" fillId="9" borderId="142" applyNumberFormat="0" applyAlignment="0" applyProtection="0"/>
    <xf numFmtId="0" fontId="21" fillId="22" borderId="144" applyNumberFormat="0" applyAlignment="0" applyProtection="0"/>
    <xf numFmtId="0" fontId="21" fillId="22" borderId="144" applyNumberFormat="0" applyAlignment="0" applyProtection="0"/>
    <xf numFmtId="0" fontId="8" fillId="25" borderId="143" applyNumberFormat="0" applyFon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18" fillId="9"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23" fillId="0" borderId="145" applyNumberFormat="0" applyFill="0" applyAlignment="0" applyProtection="0"/>
    <xf numFmtId="0" fontId="18" fillId="9" borderId="142" applyNumberFormat="0" applyAlignment="0" applyProtection="0"/>
    <xf numFmtId="0" fontId="21" fillId="22" borderId="144" applyNumberForma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21" fillId="22" borderId="144" applyNumberFormat="0" applyAlignment="0" applyProtection="0"/>
    <xf numFmtId="0" fontId="11" fillId="22" borderId="142"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21" fillId="22" borderId="144" applyNumberFormat="0" applyAlignment="0" applyProtection="0"/>
    <xf numFmtId="0" fontId="11" fillId="22" borderId="142" applyNumberFormat="0" applyAlignment="0" applyProtection="0"/>
    <xf numFmtId="0" fontId="8" fillId="25" borderId="143" applyNumberFormat="0" applyFont="0" applyAlignment="0" applyProtection="0"/>
    <xf numFmtId="0" fontId="11" fillId="22"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18" fillId="9"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8" fillId="25" borderId="143" applyNumberFormat="0" applyFont="0" applyAlignment="0" applyProtection="0"/>
    <xf numFmtId="0" fontId="11" fillId="22" borderId="142"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11" fillId="22" borderId="142" applyNumberFormat="0" applyAlignment="0" applyProtection="0"/>
    <xf numFmtId="0" fontId="21" fillId="22" borderId="144" applyNumberFormat="0" applyAlignment="0" applyProtection="0"/>
    <xf numFmtId="0" fontId="11" fillId="22"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23" fillId="0" borderId="145" applyNumberFormat="0" applyFill="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8" fillId="25" borderId="143" applyNumberFormat="0" applyFont="0" applyAlignment="0" applyProtection="0"/>
    <xf numFmtId="0" fontId="21" fillId="22" borderId="144" applyNumberFormat="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21" fillId="22" borderId="144" applyNumberFormat="0" applyAlignment="0" applyProtection="0"/>
    <xf numFmtId="0" fontId="8" fillId="25" borderId="143" applyNumberFormat="0" applyFont="0" applyAlignment="0" applyProtection="0"/>
    <xf numFmtId="0" fontId="11" fillId="22" borderId="142" applyNumberFormat="0" applyAlignment="0" applyProtection="0"/>
    <xf numFmtId="0" fontId="11" fillId="22" borderId="142" applyNumberFormat="0" applyAlignment="0" applyProtection="0"/>
    <xf numFmtId="0" fontId="21" fillId="22" borderId="144" applyNumberFormat="0" applyAlignment="0" applyProtection="0"/>
    <xf numFmtId="0" fontId="21" fillId="22" borderId="144" applyNumberFormat="0" applyAlignment="0" applyProtection="0"/>
    <xf numFmtId="0" fontId="11" fillId="22"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23" fillId="0" borderId="145" applyNumberFormat="0" applyFill="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18" fillId="9" borderId="142" applyNumberFormat="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21" fillId="22" borderId="144" applyNumberFormat="0" applyAlignment="0" applyProtection="0"/>
    <xf numFmtId="0" fontId="11" fillId="22" borderId="142" applyNumberFormat="0" applyAlignment="0" applyProtection="0"/>
    <xf numFmtId="0" fontId="21" fillId="22" borderId="144" applyNumberFormat="0" applyAlignment="0" applyProtection="0"/>
    <xf numFmtId="0" fontId="21" fillId="22" borderId="144" applyNumberFormat="0" applyAlignment="0" applyProtection="0"/>
    <xf numFmtId="0" fontId="11" fillId="22" borderId="142" applyNumberFormat="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11" fillId="22" borderId="142" applyNumberFormat="0" applyAlignment="0" applyProtection="0"/>
    <xf numFmtId="0" fontId="21" fillId="22" borderId="144" applyNumberFormat="0" applyAlignment="0" applyProtection="0"/>
    <xf numFmtId="0" fontId="18" fillId="9" borderId="142" applyNumberFormat="0" applyAlignment="0" applyProtection="0"/>
    <xf numFmtId="0" fontId="11" fillId="22"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18" fillId="9"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18" fillId="9"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21" fillId="22" borderId="144" applyNumberFormat="0" applyAlignment="0" applyProtection="0"/>
    <xf numFmtId="0" fontId="21" fillId="22" borderId="144" applyNumberFormat="0" applyAlignment="0" applyProtection="0"/>
    <xf numFmtId="0" fontId="21" fillId="22" borderId="144" applyNumberFormat="0" applyAlignment="0" applyProtection="0"/>
    <xf numFmtId="0" fontId="21" fillId="22" borderId="144" applyNumberFormat="0" applyAlignment="0" applyProtection="0"/>
    <xf numFmtId="0" fontId="23" fillId="0" borderId="145" applyNumberFormat="0" applyFill="0" applyAlignment="0" applyProtection="0"/>
    <xf numFmtId="0" fontId="21" fillId="22" borderId="144" applyNumberFormat="0" applyAlignment="0" applyProtection="0"/>
    <xf numFmtId="0" fontId="23" fillId="0" borderId="145" applyNumberFormat="0" applyFill="0" applyAlignment="0" applyProtection="0"/>
    <xf numFmtId="0" fontId="21" fillId="22" borderId="144" applyNumberFormat="0" applyAlignment="0" applyProtection="0"/>
    <xf numFmtId="0" fontId="11" fillId="22" borderId="142" applyNumberFormat="0" applyAlignment="0" applyProtection="0"/>
    <xf numFmtId="0" fontId="18" fillId="9"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3" fillId="0" borderId="145" applyNumberFormat="0" applyFill="0" applyAlignment="0" applyProtection="0"/>
    <xf numFmtId="0" fontId="18" fillId="9" borderId="142" applyNumberFormat="0" applyAlignment="0" applyProtection="0"/>
    <xf numFmtId="0" fontId="23" fillId="0" borderId="145" applyNumberFormat="0" applyFill="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11" fillId="22"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18" fillId="9" borderId="142" applyNumberFormat="0" applyAlignment="0" applyProtection="0"/>
    <xf numFmtId="0" fontId="11" fillId="22" borderId="142" applyNumberFormat="0" applyAlignment="0" applyProtection="0"/>
    <xf numFmtId="0" fontId="11" fillId="22"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18" fillId="9"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21" fillId="22" borderId="144" applyNumberFormat="0" applyAlignment="0" applyProtection="0"/>
    <xf numFmtId="0" fontId="23" fillId="0" borderId="145" applyNumberFormat="0" applyFill="0" applyAlignment="0" applyProtection="0"/>
    <xf numFmtId="0" fontId="21" fillId="22" borderId="144" applyNumberFormat="0" applyAlignment="0" applyProtection="0"/>
    <xf numFmtId="0" fontId="23" fillId="0" borderId="145" applyNumberFormat="0" applyFill="0" applyAlignment="0" applyProtection="0"/>
    <xf numFmtId="0" fontId="8" fillId="25" borderId="143" applyNumberFormat="0" applyFont="0" applyAlignment="0" applyProtection="0"/>
    <xf numFmtId="0" fontId="23" fillId="0" borderId="145" applyNumberFormat="0" applyFill="0" applyAlignment="0" applyProtection="0"/>
    <xf numFmtId="0" fontId="18" fillId="9" borderId="142" applyNumberFormat="0" applyAlignment="0" applyProtection="0"/>
    <xf numFmtId="0" fontId="18" fillId="9" borderId="142" applyNumberFormat="0" applyAlignment="0" applyProtection="0"/>
    <xf numFmtId="0" fontId="18" fillId="9"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8" fillId="25" borderId="143" applyNumberFormat="0" applyFont="0" applyAlignment="0" applyProtection="0"/>
    <xf numFmtId="0" fontId="8" fillId="25" borderId="143" applyNumberFormat="0" applyFont="0" applyAlignment="0" applyProtection="0"/>
    <xf numFmtId="0" fontId="11" fillId="22" borderId="142" applyNumberFormat="0" applyAlignment="0" applyProtection="0"/>
    <xf numFmtId="0" fontId="11" fillId="22" borderId="142" applyNumberFormat="0" applyAlignment="0" applyProtection="0"/>
    <xf numFmtId="0" fontId="21" fillId="22" borderId="144" applyNumberFormat="0" applyAlignment="0" applyProtection="0"/>
    <xf numFmtId="0" fontId="8" fillId="25" borderId="143" applyNumberFormat="0" applyFont="0" applyAlignment="0" applyProtection="0"/>
    <xf numFmtId="0" fontId="18" fillId="9" borderId="142" applyNumberFormat="0" applyAlignment="0" applyProtection="0"/>
    <xf numFmtId="0" fontId="18" fillId="9" borderId="142" applyNumberFormat="0" applyAlignment="0" applyProtection="0"/>
    <xf numFmtId="0" fontId="18" fillId="9" borderId="142" applyNumberFormat="0" applyAlignment="0" applyProtection="0"/>
    <xf numFmtId="0" fontId="8" fillId="25" borderId="143" applyNumberFormat="0" applyFont="0" applyAlignment="0" applyProtection="0"/>
    <xf numFmtId="0" fontId="23" fillId="0" borderId="145" applyNumberFormat="0" applyFill="0" applyAlignment="0" applyProtection="0"/>
    <xf numFmtId="0" fontId="11" fillId="22" borderId="142" applyNumberFormat="0" applyAlignment="0" applyProtection="0"/>
    <xf numFmtId="0" fontId="21" fillId="22" borderId="144" applyNumberFormat="0" applyAlignment="0" applyProtection="0"/>
    <xf numFmtId="0" fontId="11" fillId="22" borderId="142" applyNumberFormat="0" applyAlignment="0" applyProtection="0"/>
    <xf numFmtId="0" fontId="23" fillId="0" borderId="145" applyNumberFormat="0" applyFill="0" applyAlignment="0" applyProtection="0"/>
    <xf numFmtId="0" fontId="23" fillId="0" borderId="145" applyNumberFormat="0" applyFill="0" applyAlignment="0" applyProtection="0"/>
    <xf numFmtId="0" fontId="11" fillId="22" borderId="142" applyNumberFormat="0" applyAlignment="0" applyProtection="0"/>
    <xf numFmtId="0" fontId="21" fillId="22" borderId="144" applyNumberFormat="0" applyAlignment="0" applyProtection="0"/>
    <xf numFmtId="0" fontId="23" fillId="0" borderId="145" applyNumberFormat="0" applyFill="0" applyAlignment="0" applyProtection="0"/>
    <xf numFmtId="0" fontId="18" fillId="9" borderId="142"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8" fillId="25" borderId="147" applyNumberFormat="0" applyFont="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8" fillId="25" borderId="147" applyNumberFormat="0" applyFon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21" fillId="22" borderId="148" applyNumberFormat="0" applyAlignment="0" applyProtection="0"/>
    <xf numFmtId="0" fontId="21" fillId="22" borderId="148" applyNumberForma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11" fillId="22" borderId="146" applyNumberFormat="0" applyAlignment="0" applyProtection="0"/>
    <xf numFmtId="0" fontId="21" fillId="22" borderId="148" applyNumberFormat="0" applyAlignment="0" applyProtection="0"/>
    <xf numFmtId="0" fontId="18" fillId="9" borderId="146" applyNumberFormat="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18" fillId="9"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11" fillId="22" borderId="146" applyNumberForma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23" fillId="0" borderId="149" applyNumberFormat="0" applyFill="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8" fillId="9" borderId="146" applyNumberFormat="0" applyAlignment="0" applyProtection="0"/>
    <xf numFmtId="0" fontId="11" fillId="22" borderId="146" applyNumberFormat="0" applyAlignment="0" applyProtection="0"/>
    <xf numFmtId="0" fontId="11" fillId="22"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18" fillId="9"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21" fillId="22" borderId="148" applyNumberFormat="0" applyAlignment="0" applyProtection="0"/>
    <xf numFmtId="0" fontId="23" fillId="0" borderId="149" applyNumberFormat="0" applyFill="0" applyAlignment="0" applyProtection="0"/>
    <xf numFmtId="0" fontId="8" fillId="25" borderId="147" applyNumberFormat="0" applyFont="0" applyAlignment="0" applyProtection="0"/>
    <xf numFmtId="0" fontId="23" fillId="0" borderId="149" applyNumberFormat="0" applyFill="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8" fillId="25" borderId="147" applyNumberFormat="0" applyFont="0" applyAlignment="0" applyProtection="0"/>
    <xf numFmtId="0" fontId="8" fillId="25" borderId="147" applyNumberFormat="0" applyFont="0" applyAlignment="0" applyProtection="0"/>
    <xf numFmtId="0" fontId="11" fillId="22" borderId="146" applyNumberFormat="0" applyAlignment="0" applyProtection="0"/>
    <xf numFmtId="0" fontId="11" fillId="22" borderId="146" applyNumberFormat="0" applyAlignment="0" applyProtection="0"/>
    <xf numFmtId="0" fontId="21" fillId="22" borderId="148" applyNumberFormat="0" applyAlignment="0" applyProtection="0"/>
    <xf numFmtId="0" fontId="8" fillId="25" borderId="147" applyNumberFormat="0" applyFont="0" applyAlignment="0" applyProtection="0"/>
    <xf numFmtId="0" fontId="18" fillId="9" borderId="146" applyNumberFormat="0" applyAlignment="0" applyProtection="0"/>
    <xf numFmtId="0" fontId="18" fillId="9" borderId="146" applyNumberFormat="0" applyAlignment="0" applyProtection="0"/>
    <xf numFmtId="0" fontId="18" fillId="9" borderId="146" applyNumberFormat="0" applyAlignment="0" applyProtection="0"/>
    <xf numFmtId="0" fontId="8" fillId="25" borderId="147" applyNumberFormat="0" applyFont="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11" fillId="22" borderId="146" applyNumberFormat="0" applyAlignment="0" applyProtection="0"/>
    <xf numFmtId="0" fontId="23" fillId="0" borderId="149" applyNumberFormat="0" applyFill="0" applyAlignment="0" applyProtection="0"/>
    <xf numFmtId="0" fontId="23" fillId="0" borderId="149" applyNumberFormat="0" applyFill="0" applyAlignment="0" applyProtection="0"/>
    <xf numFmtId="0" fontId="11" fillId="22" borderId="146" applyNumberFormat="0" applyAlignment="0" applyProtection="0"/>
    <xf numFmtId="0" fontId="21" fillId="22" borderId="148" applyNumberFormat="0" applyAlignment="0" applyProtection="0"/>
    <xf numFmtId="0" fontId="23" fillId="0" borderId="149" applyNumberFormat="0" applyFill="0" applyAlignment="0" applyProtection="0"/>
    <xf numFmtId="0" fontId="18" fillId="9" borderId="146"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8" fillId="25" borderId="151" applyNumberFormat="0" applyFont="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8" fillId="25" borderId="151" applyNumberFormat="0" applyFon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1" fillId="22" borderId="152" applyNumberFormat="0" applyAlignment="0" applyProtection="0"/>
    <xf numFmtId="0" fontId="21" fillId="22" borderId="152" applyNumberForma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11" fillId="22" borderId="150" applyNumberFormat="0" applyAlignment="0" applyProtection="0"/>
    <xf numFmtId="0" fontId="21" fillId="22" borderId="152" applyNumberFormat="0" applyAlignment="0" applyProtection="0"/>
    <xf numFmtId="0" fontId="18" fillId="9" borderId="150" applyNumberFormat="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18" fillId="9"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11" fillId="22" borderId="150" applyNumberForma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23" fillId="0" borderId="153" applyNumberFormat="0" applyFill="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8" fillId="9" borderId="150" applyNumberFormat="0" applyAlignment="0" applyProtection="0"/>
    <xf numFmtId="0" fontId="11" fillId="22" borderId="150" applyNumberFormat="0" applyAlignment="0" applyProtection="0"/>
    <xf numFmtId="0" fontId="11" fillId="22"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18" fillId="9"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21" fillId="22" borderId="152" applyNumberFormat="0" applyAlignment="0" applyProtection="0"/>
    <xf numFmtId="0" fontId="23" fillId="0" borderId="153" applyNumberFormat="0" applyFill="0" applyAlignment="0" applyProtection="0"/>
    <xf numFmtId="0" fontId="8" fillId="25" borderId="151" applyNumberFormat="0" applyFont="0" applyAlignment="0" applyProtection="0"/>
    <xf numFmtId="0" fontId="23" fillId="0" borderId="153" applyNumberFormat="0" applyFill="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8" fillId="25" borderId="151" applyNumberFormat="0" applyFont="0" applyAlignment="0" applyProtection="0"/>
    <xf numFmtId="0" fontId="8" fillId="25" borderId="151" applyNumberFormat="0" applyFont="0" applyAlignment="0" applyProtection="0"/>
    <xf numFmtId="0" fontId="11" fillId="22" borderId="150" applyNumberFormat="0" applyAlignment="0" applyProtection="0"/>
    <xf numFmtId="0" fontId="11" fillId="22" borderId="150" applyNumberFormat="0" applyAlignment="0" applyProtection="0"/>
    <xf numFmtId="0" fontId="21" fillId="22" borderId="152" applyNumberFormat="0" applyAlignment="0" applyProtection="0"/>
    <xf numFmtId="0" fontId="8" fillId="25" borderId="151" applyNumberFormat="0" applyFont="0" applyAlignment="0" applyProtection="0"/>
    <xf numFmtId="0" fontId="18" fillId="9" borderId="150" applyNumberFormat="0" applyAlignment="0" applyProtection="0"/>
    <xf numFmtId="0" fontId="18" fillId="9" borderId="150" applyNumberFormat="0" applyAlignment="0" applyProtection="0"/>
    <xf numFmtId="0" fontId="18" fillId="9" borderId="150" applyNumberFormat="0" applyAlignment="0" applyProtection="0"/>
    <xf numFmtId="0" fontId="8" fillId="25" borderId="151" applyNumberFormat="0" applyFont="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11" fillId="22" borderId="150" applyNumberFormat="0" applyAlignment="0" applyProtection="0"/>
    <xf numFmtId="0" fontId="23" fillId="0" borderId="153" applyNumberFormat="0" applyFill="0" applyAlignment="0" applyProtection="0"/>
    <xf numFmtId="0" fontId="23" fillId="0" borderId="153" applyNumberFormat="0" applyFill="0" applyAlignment="0" applyProtection="0"/>
    <xf numFmtId="0" fontId="11" fillId="22" borderId="150" applyNumberFormat="0" applyAlignment="0" applyProtection="0"/>
    <xf numFmtId="0" fontId="21" fillId="22" borderId="152" applyNumberFormat="0" applyAlignment="0" applyProtection="0"/>
    <xf numFmtId="0" fontId="23" fillId="0" borderId="153" applyNumberFormat="0" applyFill="0" applyAlignment="0" applyProtection="0"/>
    <xf numFmtId="0" fontId="18" fillId="9" borderId="150" applyNumberFormat="0" applyAlignment="0" applyProtection="0"/>
    <xf numFmtId="172" fontId="62" fillId="0" borderId="196"/>
    <xf numFmtId="0" fontId="23" fillId="0" borderId="195" applyNumberFormat="0" applyFill="0" applyAlignment="0" applyProtection="0"/>
    <xf numFmtId="0" fontId="21" fillId="22" borderId="193" applyNumberFormat="0" applyAlignment="0" applyProtection="0"/>
    <xf numFmtId="0" fontId="8" fillId="25" borderId="192" applyNumberFormat="0" applyFont="0" applyAlignment="0" applyProtection="0"/>
    <xf numFmtId="0" fontId="18" fillId="9" borderId="191" applyNumberFormat="0" applyAlignment="0" applyProtection="0"/>
    <xf numFmtId="0" fontId="11" fillId="22" borderId="191" applyNumberFormat="0" applyAlignment="0" applyProtection="0"/>
    <xf numFmtId="0" fontId="23" fillId="0" borderId="195" applyNumberFormat="0" applyFill="0" applyAlignment="0" applyProtection="0"/>
    <xf numFmtId="0" fontId="23" fillId="0" borderId="195" applyNumberFormat="0" applyFill="0" applyAlignment="0" applyProtection="0"/>
    <xf numFmtId="0" fontId="23" fillId="0" borderId="195" applyNumberFormat="0" applyFill="0" applyAlignment="0" applyProtection="0"/>
    <xf numFmtId="0" fontId="23" fillId="0" borderId="195" applyNumberFormat="0" applyFill="0" applyAlignment="0" applyProtection="0"/>
    <xf numFmtId="0" fontId="21" fillId="22" borderId="193" applyNumberFormat="0" applyAlignment="0" applyProtection="0"/>
    <xf numFmtId="0" fontId="21" fillId="22" borderId="193" applyNumberFormat="0" applyAlignment="0" applyProtection="0"/>
    <xf numFmtId="0" fontId="21" fillId="22" borderId="193" applyNumberFormat="0" applyAlignment="0" applyProtection="0"/>
    <xf numFmtId="0" fontId="21" fillId="22" borderId="193" applyNumberFormat="0" applyAlignment="0" applyProtection="0"/>
    <xf numFmtId="0" fontId="8" fillId="25" borderId="192" applyNumberFormat="0" applyFont="0" applyAlignment="0" applyProtection="0"/>
    <xf numFmtId="0" fontId="8" fillId="25" borderId="192" applyNumberFormat="0" applyFont="0" applyAlignment="0" applyProtection="0"/>
    <xf numFmtId="0" fontId="18" fillId="9" borderId="191" applyNumberFormat="0" applyAlignment="0" applyProtection="0"/>
    <xf numFmtId="0" fontId="18" fillId="9" borderId="191" applyNumberFormat="0" applyAlignment="0" applyProtection="0"/>
    <xf numFmtId="0" fontId="62" fillId="0" borderId="0"/>
    <xf numFmtId="0" fontId="11" fillId="22" borderId="191" applyNumberFormat="0" applyAlignment="0" applyProtection="0"/>
    <xf numFmtId="0" fontId="11" fillId="22" borderId="191" applyNumberFormat="0" applyAlignment="0" applyProtection="0"/>
    <xf numFmtId="172" fontId="62" fillId="0" borderId="196"/>
    <xf numFmtId="176" fontId="62" fillId="0" borderId="196"/>
    <xf numFmtId="181" fontId="62" fillId="0" borderId="196"/>
    <xf numFmtId="182" fontId="62" fillId="0" borderId="196"/>
    <xf numFmtId="172" fontId="62" fillId="0" borderId="0"/>
    <xf numFmtId="173" fontId="62" fillId="0" borderId="0"/>
    <xf numFmtId="174" fontId="62" fillId="0" borderId="0"/>
    <xf numFmtId="172" fontId="62" fillId="0" borderId="95"/>
    <xf numFmtId="173" fontId="62" fillId="0" borderId="95"/>
    <xf numFmtId="173" fontId="62" fillId="0" borderId="95"/>
    <xf numFmtId="174" fontId="62" fillId="0" borderId="95"/>
    <xf numFmtId="174" fontId="62" fillId="0" borderId="95"/>
    <xf numFmtId="172" fontId="62" fillId="0" borderId="95"/>
    <xf numFmtId="175" fontId="62" fillId="0" borderId="0"/>
    <xf numFmtId="176" fontId="62" fillId="0" borderId="0"/>
    <xf numFmtId="177" fontId="62" fillId="0" borderId="0"/>
    <xf numFmtId="175" fontId="62" fillId="0" borderId="95"/>
    <xf numFmtId="176" fontId="62" fillId="0" borderId="95"/>
    <xf numFmtId="176" fontId="62" fillId="0" borderId="95"/>
    <xf numFmtId="177" fontId="62" fillId="0" borderId="95"/>
    <xf numFmtId="177" fontId="62" fillId="0" borderId="95"/>
    <xf numFmtId="175" fontId="62" fillId="0" borderId="95"/>
    <xf numFmtId="178" fontId="62" fillId="0" borderId="0">
      <alignment horizontal="right"/>
      <protection locked="0"/>
    </xf>
    <xf numFmtId="179" fontId="62" fillId="0" borderId="0">
      <alignment horizontal="right"/>
      <protection locked="0"/>
    </xf>
    <xf numFmtId="180" fontId="62" fillId="0" borderId="0"/>
    <xf numFmtId="181" fontId="62" fillId="0" borderId="0"/>
    <xf numFmtId="182" fontId="62" fillId="0" borderId="0"/>
    <xf numFmtId="180" fontId="62" fillId="0" borderId="95"/>
    <xf numFmtId="181" fontId="62" fillId="0" borderId="95"/>
    <xf numFmtId="181" fontId="62" fillId="0" borderId="95"/>
    <xf numFmtId="182" fontId="62" fillId="0" borderId="95"/>
    <xf numFmtId="182" fontId="62" fillId="0" borderId="95"/>
    <xf numFmtId="180" fontId="62" fillId="0" borderId="95"/>
    <xf numFmtId="44" fontId="1" fillId="0" borderId="0" applyFont="0" applyFill="0" applyBorder="0" applyAlignment="0" applyProtection="0"/>
    <xf numFmtId="172" fontId="62" fillId="31" borderId="181">
      <protection locked="0"/>
    </xf>
    <xf numFmtId="173" fontId="62" fillId="31" borderId="181">
      <protection locked="0"/>
    </xf>
    <xf numFmtId="174" fontId="62" fillId="31" borderId="181">
      <protection locked="0"/>
    </xf>
    <xf numFmtId="175" fontId="62" fillId="31" borderId="181">
      <protection locked="0"/>
    </xf>
    <xf numFmtId="176" fontId="62" fillId="31" borderId="181">
      <protection locked="0"/>
    </xf>
    <xf numFmtId="177" fontId="62" fillId="31" borderId="181">
      <protection locked="0"/>
    </xf>
    <xf numFmtId="178" fontId="62" fillId="48" borderId="181">
      <alignment horizontal="right"/>
      <protection locked="0"/>
    </xf>
    <xf numFmtId="179" fontId="62" fillId="48" borderId="181">
      <alignment horizontal="right"/>
      <protection locked="0"/>
    </xf>
    <xf numFmtId="0" fontId="62" fillId="49" borderId="181">
      <alignment horizontal="left"/>
      <protection locked="0"/>
    </xf>
    <xf numFmtId="49" fontId="62" fillId="26" borderId="181">
      <alignment horizontal="left" vertical="top" wrapText="1"/>
      <protection locked="0"/>
    </xf>
    <xf numFmtId="180" fontId="62" fillId="31" borderId="181">
      <protection locked="0"/>
    </xf>
    <xf numFmtId="181" fontId="62" fillId="31" borderId="181">
      <protection locked="0"/>
    </xf>
    <xf numFmtId="182" fontId="62" fillId="31" borderId="181">
      <protection locked="0"/>
    </xf>
    <xf numFmtId="49" fontId="62" fillId="26" borderId="181">
      <alignment horizontal="left"/>
      <protection locked="0"/>
    </xf>
    <xf numFmtId="183" fontId="62" fillId="31" borderId="181">
      <alignment horizontal="left" indent="1"/>
      <protection locked="0"/>
    </xf>
    <xf numFmtId="0" fontId="23" fillId="0" borderId="195" applyNumberFormat="0" applyFill="0" applyAlignment="0" applyProtection="0"/>
    <xf numFmtId="0" fontId="17" fillId="0" borderId="182" applyNumberFormat="0" applyFill="0" applyAlignment="0" applyProtection="0"/>
    <xf numFmtId="0" fontId="17" fillId="0" borderId="182" applyNumberFormat="0" applyFill="0" applyAlignment="0" applyProtection="0"/>
    <xf numFmtId="0" fontId="23" fillId="0" borderId="195" applyNumberFormat="0" applyFill="0" applyAlignment="0" applyProtection="0"/>
    <xf numFmtId="0" fontId="65" fillId="50" borderId="194">
      <protection locked="0"/>
    </xf>
    <xf numFmtId="0" fontId="62" fillId="0" borderId="0"/>
    <xf numFmtId="0" fontId="63" fillId="0" borderId="0"/>
    <xf numFmtId="0" fontId="64" fillId="0" borderId="0">
      <alignment horizontal="center"/>
    </xf>
    <xf numFmtId="0" fontId="8" fillId="25" borderId="192" applyNumberFormat="0" applyFont="0" applyAlignment="0" applyProtection="0"/>
    <xf numFmtId="0" fontId="8" fillId="25" borderId="192" applyNumberFormat="0" applyFont="0" applyAlignment="0" applyProtection="0"/>
    <xf numFmtId="0" fontId="25" fillId="0" borderId="0"/>
    <xf numFmtId="0" fontId="65" fillId="50" borderId="180">
      <protection locked="0"/>
    </xf>
    <xf numFmtId="0" fontId="65" fillId="50" borderId="180">
      <protection locked="0"/>
    </xf>
    <xf numFmtId="0" fontId="66" fillId="0" borderId="0">
      <alignment horizontal="center"/>
    </xf>
    <xf numFmtId="15" fontId="66" fillId="0" borderId="0">
      <alignment horizontal="center"/>
    </xf>
    <xf numFmtId="173" fontId="62" fillId="0" borderId="95"/>
    <xf numFmtId="173" fontId="62" fillId="0" borderId="95"/>
    <xf numFmtId="174" fontId="62" fillId="0" borderId="95"/>
    <xf numFmtId="174" fontId="62" fillId="0" borderId="95"/>
    <xf numFmtId="172" fontId="62" fillId="0" borderId="95"/>
    <xf numFmtId="172" fontId="62" fillId="0" borderId="95"/>
    <xf numFmtId="176" fontId="62" fillId="0" borderId="95"/>
    <xf numFmtId="176" fontId="62" fillId="0" borderId="95"/>
    <xf numFmtId="177" fontId="62" fillId="0" borderId="95"/>
    <xf numFmtId="177" fontId="62" fillId="0" borderId="95"/>
    <xf numFmtId="175" fontId="62" fillId="0" borderId="95"/>
    <xf numFmtId="175" fontId="62" fillId="0" borderId="95"/>
    <xf numFmtId="181" fontId="62" fillId="0" borderId="95"/>
    <xf numFmtId="181" fontId="62" fillId="0" borderId="95"/>
    <xf numFmtId="182" fontId="62" fillId="0" borderId="95"/>
    <xf numFmtId="182" fontId="62" fillId="0" borderId="95"/>
    <xf numFmtId="180" fontId="62" fillId="0" borderId="95"/>
    <xf numFmtId="180" fontId="62" fillId="0" borderId="95"/>
    <xf numFmtId="0" fontId="65" fillId="50" borderId="194">
      <protection locked="0"/>
    </xf>
    <xf numFmtId="0" fontId="21" fillId="22" borderId="193" applyNumberFormat="0" applyAlignment="0" applyProtection="0"/>
    <xf numFmtId="180" fontId="62" fillId="0" borderId="196"/>
    <xf numFmtId="172" fontId="62" fillId="0" borderId="95"/>
    <xf numFmtId="173" fontId="62" fillId="0" borderId="95"/>
    <xf numFmtId="174" fontId="62" fillId="0" borderId="95"/>
    <xf numFmtId="175" fontId="62" fillId="0" borderId="95"/>
    <xf numFmtId="176" fontId="62" fillId="0" borderId="95"/>
    <xf numFmtId="177" fontId="62" fillId="0" borderId="95"/>
    <xf numFmtId="180" fontId="62" fillId="0" borderId="95"/>
    <xf numFmtId="181" fontId="62" fillId="0" borderId="95"/>
    <xf numFmtId="182" fontId="62" fillId="0" borderId="95"/>
    <xf numFmtId="0" fontId="65" fillId="50" borderId="180">
      <protection locked="0"/>
    </xf>
    <xf numFmtId="0" fontId="21" fillId="22" borderId="193" applyNumberFormat="0" applyAlignment="0" applyProtection="0"/>
    <xf numFmtId="172" fontId="62" fillId="0" borderId="95"/>
    <xf numFmtId="173" fontId="62" fillId="0" borderId="95"/>
    <xf numFmtId="174" fontId="62" fillId="0" borderId="95"/>
    <xf numFmtId="175" fontId="62" fillId="0" borderId="95"/>
    <xf numFmtId="176" fontId="62" fillId="0" borderId="95"/>
    <xf numFmtId="177" fontId="62" fillId="0" borderId="95"/>
    <xf numFmtId="180" fontId="62" fillId="0" borderId="95"/>
    <xf numFmtId="181" fontId="62" fillId="0" borderId="95"/>
    <xf numFmtId="182" fontId="62" fillId="0" borderId="95"/>
    <xf numFmtId="0" fontId="65" fillId="50" borderId="180">
      <protection locked="0"/>
    </xf>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0" fontId="62" fillId="0" borderId="186"/>
    <xf numFmtId="180" fontId="62" fillId="0" borderId="186"/>
    <xf numFmtId="181" fontId="62" fillId="0" borderId="186"/>
    <xf numFmtId="172" fontId="62" fillId="0" borderId="186"/>
    <xf numFmtId="175" fontId="62" fillId="0" borderId="186"/>
    <xf numFmtId="175" fontId="62" fillId="0" borderId="186"/>
    <xf numFmtId="177" fontId="62" fillId="0" borderId="186"/>
    <xf numFmtId="172"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17" fillId="0" borderId="184" applyNumberFormat="0" applyFill="0" applyAlignment="0" applyProtection="0"/>
    <xf numFmtId="0" fontId="11" fillId="22" borderId="183" applyNumberFormat="0" applyAlignment="0" applyProtection="0"/>
    <xf numFmtId="0" fontId="18" fillId="9" borderId="183" applyNumberFormat="0" applyAlignment="0" applyProtection="0"/>
    <xf numFmtId="0" fontId="11" fillId="22" borderId="183" applyNumberFormat="0" applyAlignment="0" applyProtection="0"/>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176" fontId="62" fillId="0" borderId="186"/>
    <xf numFmtId="180" fontId="62" fillId="0" borderId="186"/>
    <xf numFmtId="172" fontId="62" fillId="0" borderId="186"/>
    <xf numFmtId="173" fontId="62" fillId="0" borderId="186"/>
    <xf numFmtId="174" fontId="62" fillId="0" borderId="186"/>
    <xf numFmtId="172" fontId="62" fillId="0" borderId="190"/>
    <xf numFmtId="175" fontId="62" fillId="0" borderId="186"/>
    <xf numFmtId="176" fontId="62" fillId="0" borderId="186"/>
    <xf numFmtId="177" fontId="62" fillId="0" borderId="186"/>
    <xf numFmtId="176" fontId="62" fillId="0" borderId="186"/>
    <xf numFmtId="180" fontId="62" fillId="0" borderId="186"/>
    <xf numFmtId="181" fontId="62" fillId="0" borderId="186"/>
    <xf numFmtId="182" fontId="62" fillId="0" borderId="186"/>
    <xf numFmtId="175" fontId="62" fillId="0" borderId="186"/>
    <xf numFmtId="0" fontId="17" fillId="0" borderId="184" applyNumberFormat="0" applyFill="0" applyAlignment="0" applyProtection="0"/>
    <xf numFmtId="172" fontId="62" fillId="0" borderId="186"/>
    <xf numFmtId="0" fontId="65" fillId="50" borderId="185">
      <protection locked="0"/>
    </xf>
    <xf numFmtId="0" fontId="11" fillId="22" borderId="183" applyNumberFormat="0" applyAlignment="0" applyProtection="0"/>
    <xf numFmtId="0" fontId="11" fillId="22" borderId="183" applyNumberFormat="0" applyAlignment="0" applyProtection="0"/>
    <xf numFmtId="182" fontId="62" fillId="0" borderId="186"/>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174" fontId="62" fillId="0" borderId="186"/>
    <xf numFmtId="0" fontId="18" fillId="9" borderId="183" applyNumberFormat="0" applyAlignment="0" applyProtection="0"/>
    <xf numFmtId="0" fontId="11" fillId="22" borderId="183" applyNumberFormat="0" applyAlignment="0" applyProtection="0"/>
    <xf numFmtId="0" fontId="17" fillId="0" borderId="184" applyNumberFormat="0" applyFill="0" applyAlignment="0" applyProtection="0"/>
    <xf numFmtId="0" fontId="18" fillId="9" borderId="183" applyNumberFormat="0" applyAlignment="0" applyProtection="0"/>
    <xf numFmtId="0" fontId="21" fillId="22" borderId="187" applyNumberFormat="0" applyAlignment="0" applyProtection="0"/>
    <xf numFmtId="173" fontId="62" fillId="0" borderId="186"/>
    <xf numFmtId="174" fontId="62" fillId="0" borderId="186"/>
    <xf numFmtId="0" fontId="18" fillId="9" borderId="183" applyNumberFormat="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11" fillId="22" borderId="191" applyNumberFormat="0" applyAlignment="0" applyProtection="0"/>
    <xf numFmtId="0" fontId="21" fillId="22" borderId="187" applyNumberFormat="0" applyAlignment="0" applyProtection="0"/>
    <xf numFmtId="0" fontId="23" fillId="0" borderId="188" applyNumberFormat="0" applyFill="0" applyAlignment="0" applyProtection="0"/>
    <xf numFmtId="177" fontId="62" fillId="0" borderId="186"/>
    <xf numFmtId="172" fontId="62" fillId="0" borderId="186"/>
    <xf numFmtId="173" fontId="62" fillId="0" borderId="186"/>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172" fontId="62" fillId="0" borderId="186"/>
    <xf numFmtId="180" fontId="62" fillId="0" borderId="186"/>
    <xf numFmtId="175" fontId="62" fillId="0" borderId="186"/>
    <xf numFmtId="175" fontId="62" fillId="0" borderId="186"/>
    <xf numFmtId="180" fontId="62" fillId="0" borderId="186"/>
    <xf numFmtId="172"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65" fillId="50" borderId="185">
      <protection locked="0"/>
    </xf>
    <xf numFmtId="172" fontId="62" fillId="0" borderId="186"/>
    <xf numFmtId="182" fontId="62" fillId="0" borderId="186"/>
    <xf numFmtId="175" fontId="62" fillId="0" borderId="186"/>
    <xf numFmtId="177" fontId="62" fillId="0" borderId="186"/>
    <xf numFmtId="174" fontId="62" fillId="0" borderId="186"/>
    <xf numFmtId="173" fontId="62" fillId="0" borderId="186"/>
    <xf numFmtId="180"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180" fontId="62" fillId="0" borderId="186"/>
    <xf numFmtId="181"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0">
      <protection locked="0"/>
    </xf>
    <xf numFmtId="172" fontId="62" fillId="0" borderId="186"/>
    <xf numFmtId="175" fontId="62" fillId="0" borderId="186"/>
    <xf numFmtId="180" fontId="62" fillId="0" borderId="186"/>
    <xf numFmtId="0" fontId="65" fillId="50" borderId="185">
      <protection locked="0"/>
    </xf>
    <xf numFmtId="0" fontId="65" fillId="50" borderId="185">
      <protection locked="0"/>
    </xf>
    <xf numFmtId="0" fontId="11" fillId="22" borderId="183" applyNumberFormat="0" applyAlignment="0" applyProtection="0"/>
    <xf numFmtId="175" fontId="62" fillId="0" borderId="186"/>
    <xf numFmtId="172" fontId="62" fillId="0" borderId="186"/>
    <xf numFmtId="175" fontId="62" fillId="0" borderId="186"/>
    <xf numFmtId="175" fontId="62" fillId="0" borderId="186"/>
    <xf numFmtId="0" fontId="21" fillId="22" borderId="187" applyNumberFormat="0" applyAlignment="0" applyProtection="0"/>
    <xf numFmtId="180" fontId="62" fillId="0" borderId="186"/>
    <xf numFmtId="175" fontId="62" fillId="0" borderId="186"/>
    <xf numFmtId="0" fontId="65" fillId="50" borderId="185">
      <protection locked="0"/>
    </xf>
    <xf numFmtId="0" fontId="21" fillId="22" borderId="187" applyNumberFormat="0" applyAlignment="0" applyProtection="0"/>
    <xf numFmtId="0" fontId="8" fillId="25" borderId="151" applyNumberFormat="0" applyFont="0" applyAlignment="0" applyProtection="0"/>
    <xf numFmtId="172" fontId="62" fillId="0" borderId="186"/>
    <xf numFmtId="0" fontId="8" fillId="25" borderId="151" applyNumberFormat="0" applyFont="0" applyAlignment="0" applyProtection="0"/>
    <xf numFmtId="174" fontId="62" fillId="0" borderId="186"/>
    <xf numFmtId="0" fontId="23" fillId="0" borderId="188" applyNumberFormat="0" applyFill="0" applyAlignment="0" applyProtection="0"/>
    <xf numFmtId="176" fontId="62" fillId="0" borderId="186"/>
    <xf numFmtId="175" fontId="62" fillId="0" borderId="186"/>
    <xf numFmtId="0" fontId="23" fillId="0" borderId="188" applyNumberFormat="0" applyFill="0" applyAlignment="0" applyProtection="0"/>
    <xf numFmtId="182" fontId="62" fillId="0" borderId="186"/>
    <xf numFmtId="175" fontId="62" fillId="0" borderId="186"/>
    <xf numFmtId="175" fontId="62" fillId="0" borderId="186"/>
    <xf numFmtId="0" fontId="18" fillId="9" borderId="183" applyNumberFormat="0" applyAlignment="0" applyProtection="0"/>
    <xf numFmtId="0" fontId="21" fillId="22" borderId="187" applyNumberFormat="0" applyAlignment="0" applyProtection="0"/>
    <xf numFmtId="172" fontId="62" fillId="0" borderId="186"/>
    <xf numFmtId="173" fontId="62" fillId="0" borderId="186"/>
    <xf numFmtId="177" fontId="62" fillId="0" borderId="186"/>
    <xf numFmtId="0" fontId="23" fillId="0" borderId="188" applyNumberFormat="0" applyFill="0" applyAlignment="0" applyProtection="0"/>
    <xf numFmtId="176" fontId="62" fillId="0" borderId="186"/>
    <xf numFmtId="172" fontId="62" fillId="0" borderId="186"/>
    <xf numFmtId="180" fontId="62" fillId="0" borderId="186"/>
    <xf numFmtId="0" fontId="18" fillId="9" borderId="183" applyNumberFormat="0" applyAlignment="0" applyProtection="0"/>
    <xf numFmtId="172" fontId="62" fillId="0" borderId="186"/>
    <xf numFmtId="0" fontId="21" fillId="22" borderId="187" applyNumberFormat="0" applyAlignment="0" applyProtection="0"/>
    <xf numFmtId="180" fontId="62" fillId="0" borderId="186"/>
    <xf numFmtId="172" fontId="62" fillId="0" borderId="186"/>
    <xf numFmtId="180" fontId="62" fillId="0" borderId="186"/>
    <xf numFmtId="175" fontId="62" fillId="0" borderId="186"/>
    <xf numFmtId="173" fontId="62" fillId="0" borderId="186"/>
    <xf numFmtId="172" fontId="62" fillId="0" borderId="186"/>
    <xf numFmtId="175" fontId="62" fillId="0" borderId="186"/>
    <xf numFmtId="174" fontId="62" fillId="0" borderId="186"/>
    <xf numFmtId="181" fontId="62" fillId="0" borderId="186"/>
    <xf numFmtId="180" fontId="62" fillId="0" borderId="186"/>
    <xf numFmtId="175" fontId="62" fillId="0" borderId="186"/>
    <xf numFmtId="172" fontId="62" fillId="0" borderId="186"/>
    <xf numFmtId="180" fontId="62" fillId="0" borderId="186"/>
    <xf numFmtId="175" fontId="62" fillId="0" borderId="186"/>
    <xf numFmtId="172" fontId="62" fillId="0" borderId="186"/>
    <xf numFmtId="180" fontId="62" fillId="0" borderId="186"/>
    <xf numFmtId="180" fontId="62" fillId="0" borderId="186"/>
    <xf numFmtId="181" fontId="62" fillId="0" borderId="186"/>
    <xf numFmtId="177" fontId="62" fillId="0" borderId="186"/>
    <xf numFmtId="172" fontId="62" fillId="0" borderId="186"/>
    <xf numFmtId="0" fontId="23" fillId="0" borderId="188" applyNumberFormat="0" applyFill="0" applyAlignment="0" applyProtection="0"/>
    <xf numFmtId="0" fontId="11" fillId="22" borderId="183" applyNumberFormat="0" applyAlignment="0" applyProtection="0"/>
    <xf numFmtId="172" fontId="62" fillId="0" borderId="186"/>
    <xf numFmtId="174" fontId="62" fillId="0" borderId="186"/>
    <xf numFmtId="172" fontId="62" fillId="0" borderId="186"/>
    <xf numFmtId="175" fontId="62" fillId="0" borderId="186"/>
    <xf numFmtId="180" fontId="62" fillId="0" borderId="186"/>
    <xf numFmtId="172" fontId="62" fillId="0" borderId="186"/>
    <xf numFmtId="0" fontId="18" fillId="9" borderId="183" applyNumberFormat="0" applyAlignment="0" applyProtection="0"/>
    <xf numFmtId="174" fontId="62" fillId="0" borderId="186"/>
    <xf numFmtId="0" fontId="11" fillId="22" borderId="183" applyNumberFormat="0" applyAlignment="0" applyProtection="0"/>
    <xf numFmtId="182" fontId="62" fillId="0" borderId="186"/>
    <xf numFmtId="172" fontId="62" fillId="0" borderId="186"/>
    <xf numFmtId="173" fontId="62" fillId="0" borderId="186"/>
    <xf numFmtId="175" fontId="62" fillId="0" borderId="186"/>
    <xf numFmtId="176" fontId="62" fillId="0" borderId="186"/>
    <xf numFmtId="175" fontId="62" fillId="0" borderId="186"/>
    <xf numFmtId="175" fontId="62" fillId="0" borderId="186"/>
    <xf numFmtId="0" fontId="11" fillId="22" borderId="183" applyNumberFormat="0" applyAlignment="0" applyProtection="0"/>
    <xf numFmtId="172" fontId="62" fillId="0" borderId="186"/>
    <xf numFmtId="175" fontId="62" fillId="0" borderId="186"/>
    <xf numFmtId="182" fontId="62" fillId="0" borderId="186"/>
    <xf numFmtId="172"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180" fontId="62" fillId="0" borderId="186"/>
    <xf numFmtId="172" fontId="62" fillId="0" borderId="186"/>
    <xf numFmtId="180" fontId="62" fillId="0" borderId="186"/>
    <xf numFmtId="180" fontId="62" fillId="0" borderId="186"/>
    <xf numFmtId="0" fontId="65" fillId="50" borderId="185">
      <protection locked="0"/>
    </xf>
    <xf numFmtId="0" fontId="8" fillId="25" borderId="151" applyNumberFormat="0" applyFont="0" applyAlignment="0" applyProtection="0"/>
    <xf numFmtId="180" fontId="62" fillId="0" borderId="186"/>
    <xf numFmtId="177" fontId="62" fillId="0" borderId="186"/>
    <xf numFmtId="172" fontId="62" fillId="0" borderId="186"/>
    <xf numFmtId="0" fontId="11" fillId="22" borderId="183" applyNumberFormat="0" applyAlignment="0" applyProtection="0"/>
    <xf numFmtId="0" fontId="17" fillId="0" borderId="184"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0" fontId="21" fillId="22" borderId="187" applyNumberFormat="0" applyAlignment="0" applyProtection="0"/>
    <xf numFmtId="175" fontId="62" fillId="0" borderId="186"/>
    <xf numFmtId="175" fontId="62" fillId="0" borderId="186"/>
    <xf numFmtId="173" fontId="62" fillId="0" borderId="186"/>
    <xf numFmtId="175" fontId="62" fillId="0" borderId="186"/>
    <xf numFmtId="180" fontId="62" fillId="0" borderId="186"/>
    <xf numFmtId="180" fontId="62" fillId="0" borderId="186"/>
    <xf numFmtId="172" fontId="62" fillId="0" borderId="186"/>
    <xf numFmtId="175" fontId="62" fillId="0" borderId="186"/>
    <xf numFmtId="180" fontId="62" fillId="0" borderId="186"/>
    <xf numFmtId="172" fontId="62" fillId="0" borderId="186"/>
    <xf numFmtId="174" fontId="62" fillId="0" borderId="186"/>
    <xf numFmtId="180" fontId="62" fillId="0" borderId="186"/>
    <xf numFmtId="0" fontId="23" fillId="0" borderId="188" applyNumberFormat="0" applyFill="0" applyAlignment="0" applyProtection="0"/>
    <xf numFmtId="175" fontId="62" fillId="0" borderId="186"/>
    <xf numFmtId="175" fontId="62" fillId="0" borderId="186"/>
    <xf numFmtId="180" fontId="62" fillId="0" borderId="186"/>
    <xf numFmtId="172" fontId="62" fillId="0" borderId="186"/>
    <xf numFmtId="0" fontId="18" fillId="9" borderId="183" applyNumberFormat="0" applyAlignment="0" applyProtection="0"/>
    <xf numFmtId="177" fontId="62" fillId="0" borderId="186"/>
    <xf numFmtId="176" fontId="62" fillId="0" borderId="186"/>
    <xf numFmtId="181" fontId="62" fillId="0" borderId="186"/>
    <xf numFmtId="176" fontId="62" fillId="0" borderId="186"/>
    <xf numFmtId="181" fontId="62" fillId="0" borderId="186"/>
    <xf numFmtId="173" fontId="62" fillId="0" borderId="186"/>
    <xf numFmtId="0" fontId="65" fillId="50" borderId="185">
      <protection locked="0"/>
    </xf>
    <xf numFmtId="181" fontId="62" fillId="0" borderId="186"/>
    <xf numFmtId="182" fontId="62" fillId="0" borderId="186"/>
    <xf numFmtId="0" fontId="65" fillId="50" borderId="185">
      <protection locked="0"/>
    </xf>
    <xf numFmtId="175" fontId="62" fillId="0" borderId="186"/>
    <xf numFmtId="182" fontId="62" fillId="0" borderId="186"/>
    <xf numFmtId="0" fontId="17" fillId="0" borderId="184" applyNumberFormat="0" applyFill="0" applyAlignment="0" applyProtection="0"/>
    <xf numFmtId="177" fontId="62" fillId="0" borderId="186"/>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0" fontId="62" fillId="0" borderId="186"/>
    <xf numFmtId="172" fontId="62" fillId="0" borderId="186"/>
    <xf numFmtId="175" fontId="62" fillId="0" borderId="186"/>
    <xf numFmtId="180" fontId="62" fillId="0" borderId="186"/>
    <xf numFmtId="180" fontId="62" fillId="0" borderId="186"/>
    <xf numFmtId="180" fontId="62" fillId="0" borderId="186"/>
    <xf numFmtId="175" fontId="62" fillId="0" borderId="186"/>
    <xf numFmtId="180" fontId="62" fillId="0" borderId="186"/>
    <xf numFmtId="180" fontId="62" fillId="0" borderId="186"/>
    <xf numFmtId="175" fontId="62" fillId="0" borderId="186"/>
    <xf numFmtId="175" fontId="62" fillId="0" borderId="186"/>
    <xf numFmtId="0" fontId="21" fillId="22" borderId="187" applyNumberFormat="0" applyAlignment="0" applyProtection="0"/>
    <xf numFmtId="175" fontId="62" fillId="0" borderId="186"/>
    <xf numFmtId="0" fontId="23" fillId="0" borderId="188" applyNumberFormat="0" applyFill="0" applyAlignment="0" applyProtection="0"/>
    <xf numFmtId="172" fontId="62" fillId="0" borderId="186"/>
    <xf numFmtId="172" fontId="62" fillId="0" borderId="186"/>
    <xf numFmtId="175" fontId="62" fillId="0" borderId="186"/>
    <xf numFmtId="176" fontId="62" fillId="0" borderId="186"/>
    <xf numFmtId="0" fontId="18" fillId="9" borderId="183" applyNumberFormat="0" applyAlignment="0" applyProtection="0"/>
    <xf numFmtId="172" fontId="62" fillId="0" borderId="186"/>
    <xf numFmtId="0" fontId="21" fillId="22" borderId="187" applyNumberFormat="0" applyAlignment="0" applyProtection="0"/>
    <xf numFmtId="174" fontId="62" fillId="0" borderId="186"/>
    <xf numFmtId="172" fontId="62" fillId="0" borderId="186"/>
    <xf numFmtId="0" fontId="18" fillId="9" borderId="183" applyNumberFormat="0" applyAlignment="0" applyProtection="0"/>
    <xf numFmtId="177" fontId="62" fillId="0" borderId="186"/>
    <xf numFmtId="0" fontId="11" fillId="22" borderId="183" applyNumberFormat="0" applyAlignment="0" applyProtection="0"/>
    <xf numFmtId="172" fontId="62" fillId="0" borderId="186"/>
    <xf numFmtId="172" fontId="62" fillId="0" borderId="186"/>
    <xf numFmtId="180" fontId="62" fillId="0" borderId="186"/>
    <xf numFmtId="0" fontId="65" fillId="50" borderId="185">
      <protection locked="0"/>
    </xf>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6" fontId="62" fillId="0" borderId="186"/>
    <xf numFmtId="180" fontId="62" fillId="0" borderId="186"/>
    <xf numFmtId="172" fontId="62" fillId="0" borderId="186"/>
    <xf numFmtId="172" fontId="62" fillId="0" borderId="186"/>
    <xf numFmtId="0" fontId="23" fillId="0" borderId="188" applyNumberFormat="0" applyFill="0" applyAlignment="0" applyProtection="0"/>
    <xf numFmtId="180" fontId="62" fillId="0" borderId="186"/>
    <xf numFmtId="172" fontId="62" fillId="0" borderId="186"/>
    <xf numFmtId="172" fontId="62" fillId="0" borderId="186"/>
    <xf numFmtId="180" fontId="62" fillId="0" borderId="186"/>
    <xf numFmtId="175" fontId="62" fillId="0" borderId="186"/>
    <xf numFmtId="175" fontId="62" fillId="0" borderId="186"/>
    <xf numFmtId="180" fontId="62" fillId="0" borderId="186"/>
    <xf numFmtId="180" fontId="62" fillId="0" borderId="186"/>
    <xf numFmtId="180" fontId="62" fillId="0" borderId="186"/>
    <xf numFmtId="172" fontId="62" fillId="0" borderId="186"/>
    <xf numFmtId="174" fontId="62" fillId="0" borderId="186"/>
    <xf numFmtId="172" fontId="62" fillId="0" borderId="186"/>
    <xf numFmtId="180" fontId="62" fillId="0" borderId="186"/>
    <xf numFmtId="0" fontId="18" fillId="9" borderId="183" applyNumberFormat="0" applyAlignment="0" applyProtection="0"/>
    <xf numFmtId="180" fontId="62" fillId="0" borderId="186"/>
    <xf numFmtId="180" fontId="62" fillId="0" borderId="186"/>
    <xf numFmtId="0" fontId="23" fillId="0" borderId="188" applyNumberFormat="0" applyFill="0" applyAlignment="0" applyProtection="0"/>
    <xf numFmtId="172" fontId="62" fillId="0" borderId="186"/>
    <xf numFmtId="0" fontId="8" fillId="25" borderId="151" applyNumberFormat="0" applyFont="0" applyAlignment="0" applyProtection="0"/>
    <xf numFmtId="0" fontId="18" fillId="9" borderId="183" applyNumberFormat="0" applyAlignment="0" applyProtection="0"/>
    <xf numFmtId="172" fontId="62" fillId="0" borderId="186"/>
    <xf numFmtId="180" fontId="62" fillId="0" borderId="186"/>
    <xf numFmtId="0" fontId="8" fillId="25" borderId="151" applyNumberFormat="0" applyFont="0" applyAlignment="0" applyProtection="0"/>
    <xf numFmtId="0" fontId="11" fillId="22" borderId="183" applyNumberFormat="0" applyAlignment="0" applyProtection="0"/>
    <xf numFmtId="172"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2" fontId="62" fillId="0" borderId="186"/>
    <xf numFmtId="181" fontId="62" fillId="0" borderId="186"/>
    <xf numFmtId="175" fontId="62" fillId="0" borderId="186"/>
    <xf numFmtId="175" fontId="62" fillId="0" borderId="186"/>
    <xf numFmtId="174" fontId="62" fillId="0" borderId="186"/>
    <xf numFmtId="180" fontId="62" fillId="0" borderId="186"/>
    <xf numFmtId="173" fontId="62" fillId="0" borderId="186"/>
    <xf numFmtId="0" fontId="21" fillId="22" borderId="187" applyNumberFormat="0" applyAlignment="0" applyProtection="0"/>
    <xf numFmtId="172" fontId="62" fillId="0" borderId="186"/>
    <xf numFmtId="175" fontId="62" fillId="0" borderId="186"/>
    <xf numFmtId="180" fontId="62" fillId="0" borderId="186"/>
    <xf numFmtId="0" fontId="11" fillId="22" borderId="183" applyNumberFormat="0" applyAlignment="0" applyProtection="0"/>
    <xf numFmtId="175" fontId="62" fillId="0" borderId="186"/>
    <xf numFmtId="176" fontId="62" fillId="0" borderId="186"/>
    <xf numFmtId="175" fontId="62" fillId="0" borderId="186"/>
    <xf numFmtId="182" fontId="62" fillId="0" borderId="186"/>
    <xf numFmtId="0" fontId="17" fillId="0" borderId="184" applyNumberFormat="0" applyFill="0" applyAlignment="0" applyProtection="0"/>
    <xf numFmtId="177" fontId="62" fillId="0" borderId="186"/>
    <xf numFmtId="173" fontId="62" fillId="0" borderId="186"/>
    <xf numFmtId="180" fontId="62" fillId="0" borderId="186"/>
    <xf numFmtId="181" fontId="62" fillId="0" borderId="186"/>
    <xf numFmtId="182" fontId="62" fillId="0" borderId="186"/>
    <xf numFmtId="0" fontId="65" fillId="50" borderId="185">
      <protection locked="0"/>
    </xf>
    <xf numFmtId="0" fontId="17" fillId="0" borderId="184"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75" fontId="62" fillId="0" borderId="186"/>
    <xf numFmtId="175" fontId="62" fillId="0" borderId="186"/>
    <xf numFmtId="172" fontId="62" fillId="0" borderId="186"/>
    <xf numFmtId="0" fontId="18" fillId="9" borderId="183" applyNumberFormat="0" applyAlignment="0" applyProtection="0"/>
    <xf numFmtId="175" fontId="62" fillId="0" borderId="186"/>
    <xf numFmtId="172" fontId="62" fillId="0" borderId="186"/>
    <xf numFmtId="180" fontId="62" fillId="0" borderId="186"/>
    <xf numFmtId="174" fontId="62" fillId="0" borderId="186"/>
    <xf numFmtId="174" fontId="62" fillId="0" borderId="186"/>
    <xf numFmtId="172" fontId="62" fillId="0" borderId="186"/>
    <xf numFmtId="174" fontId="62" fillId="0" borderId="186"/>
    <xf numFmtId="175" fontId="62" fillId="0" borderId="186"/>
    <xf numFmtId="177" fontId="62" fillId="0" borderId="186"/>
    <xf numFmtId="172" fontId="62" fillId="0" borderId="186"/>
    <xf numFmtId="0" fontId="11" fillId="22" borderId="183" applyNumberFormat="0" applyAlignment="0" applyProtection="0"/>
    <xf numFmtId="180" fontId="62" fillId="0" borderId="186"/>
    <xf numFmtId="180" fontId="62" fillId="0" borderId="186"/>
    <xf numFmtId="180" fontId="62" fillId="0" borderId="186"/>
    <xf numFmtId="172" fontId="62" fillId="0" borderId="186"/>
    <xf numFmtId="0" fontId="8" fillId="25" borderId="151" applyNumberFormat="0" applyFont="0" applyAlignment="0" applyProtection="0"/>
    <xf numFmtId="172" fontId="62" fillId="0" borderId="186"/>
    <xf numFmtId="181" fontId="62" fillId="0" borderId="186"/>
    <xf numFmtId="175" fontId="62" fillId="0" borderId="186"/>
    <xf numFmtId="176" fontId="62" fillId="0" borderId="186"/>
    <xf numFmtId="0" fontId="18" fillId="9" borderId="183" applyNumberFormat="0" applyAlignment="0" applyProtection="0"/>
    <xf numFmtId="172" fontId="62" fillId="0" borderId="186"/>
    <xf numFmtId="180" fontId="62" fillId="0" borderId="186"/>
    <xf numFmtId="175" fontId="62" fillId="0" borderId="186"/>
    <xf numFmtId="180" fontId="62" fillId="0" borderId="186"/>
    <xf numFmtId="172" fontId="62" fillId="0" borderId="186"/>
    <xf numFmtId="180" fontId="62" fillId="0" borderId="186"/>
    <xf numFmtId="175" fontId="62" fillId="0" borderId="186"/>
    <xf numFmtId="175" fontId="62" fillId="0" borderId="186"/>
    <xf numFmtId="172" fontId="62" fillId="0" borderId="186"/>
    <xf numFmtId="175" fontId="62" fillId="0" borderId="186"/>
    <xf numFmtId="176" fontId="62" fillId="0" borderId="186"/>
    <xf numFmtId="175" fontId="62" fillId="0" borderId="186"/>
    <xf numFmtId="180" fontId="62" fillId="0" borderId="186"/>
    <xf numFmtId="180" fontId="62" fillId="0" borderId="186"/>
    <xf numFmtId="172" fontId="62" fillId="0" borderId="186"/>
    <xf numFmtId="0" fontId="21" fillId="22" borderId="187" applyNumberFormat="0" applyAlignment="0" applyProtection="0"/>
    <xf numFmtId="173" fontId="62" fillId="0" borderId="186"/>
    <xf numFmtId="0" fontId="23" fillId="0" borderId="188" applyNumberFormat="0" applyFill="0" applyAlignment="0" applyProtection="0"/>
    <xf numFmtId="0" fontId="8" fillId="25" borderId="151" applyNumberFormat="0" applyFont="0" applyAlignment="0" applyProtection="0"/>
    <xf numFmtId="43" fontId="8" fillId="0" borderId="0" applyFont="0" applyFill="0" applyBorder="0" applyAlignment="0" applyProtection="0"/>
    <xf numFmtId="0" fontId="65" fillId="50" borderId="185">
      <protection locked="0"/>
    </xf>
    <xf numFmtId="176" fontId="62" fillId="0" borderId="186"/>
    <xf numFmtId="0" fontId="23" fillId="0" borderId="188" applyNumberFormat="0" applyFill="0" applyAlignment="0" applyProtection="0"/>
    <xf numFmtId="175" fontId="62" fillId="0" borderId="186"/>
    <xf numFmtId="0" fontId="21" fillId="22" borderId="187" applyNumberFormat="0" applyAlignment="0" applyProtection="0"/>
    <xf numFmtId="172" fontId="62" fillId="0" borderId="186"/>
    <xf numFmtId="182" fontId="62" fillId="0" borderId="186"/>
    <xf numFmtId="172" fontId="62" fillId="0" borderId="186"/>
    <xf numFmtId="180" fontId="62" fillId="0" borderId="186"/>
    <xf numFmtId="0" fontId="11" fillId="22" borderId="183" applyNumberFormat="0" applyAlignment="0" applyProtection="0"/>
    <xf numFmtId="175" fontId="62" fillId="0" borderId="186"/>
    <xf numFmtId="181" fontId="62" fillId="0" borderId="186"/>
    <xf numFmtId="175" fontId="62" fillId="0" borderId="186"/>
    <xf numFmtId="172" fontId="62" fillId="0" borderId="186"/>
    <xf numFmtId="175" fontId="62" fillId="0" borderId="186"/>
    <xf numFmtId="173" fontId="62" fillId="0" borderId="186"/>
    <xf numFmtId="180" fontId="62" fillId="0" borderId="186"/>
    <xf numFmtId="177" fontId="62" fillId="0" borderId="186"/>
    <xf numFmtId="175" fontId="62" fillId="0" borderId="186"/>
    <xf numFmtId="173" fontId="62" fillId="0" borderId="186"/>
    <xf numFmtId="172" fontId="62" fillId="0" borderId="186"/>
    <xf numFmtId="181" fontId="62" fillId="0" borderId="186"/>
    <xf numFmtId="182" fontId="62" fillId="0" borderId="186"/>
    <xf numFmtId="0" fontId="65" fillId="50" borderId="185">
      <protection locked="0"/>
    </xf>
    <xf numFmtId="180" fontId="62" fillId="0" borderId="186"/>
    <xf numFmtId="180" fontId="62" fillId="0" borderId="186"/>
    <xf numFmtId="180" fontId="62" fillId="0" borderId="186"/>
    <xf numFmtId="172" fontId="62" fillId="0" borderId="186"/>
    <xf numFmtId="180" fontId="62" fillId="0" borderId="186"/>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2" fontId="62" fillId="0" borderId="186"/>
    <xf numFmtId="172" fontId="62" fillId="0" borderId="186"/>
    <xf numFmtId="175" fontId="62" fillId="0" borderId="186"/>
    <xf numFmtId="180" fontId="62" fillId="0" borderId="186"/>
    <xf numFmtId="172" fontId="62" fillId="0" borderId="186"/>
    <xf numFmtId="0" fontId="8" fillId="25" borderId="151" applyNumberFormat="0" applyFont="0" applyAlignment="0" applyProtection="0"/>
    <xf numFmtId="175" fontId="62" fillId="0" borderId="186"/>
    <xf numFmtId="177" fontId="62" fillId="0" borderId="186"/>
    <xf numFmtId="180" fontId="62" fillId="0" borderId="186"/>
    <xf numFmtId="172" fontId="62" fillId="0" borderId="186"/>
    <xf numFmtId="175"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5" fontId="62" fillId="0" borderId="186"/>
    <xf numFmtId="180" fontId="62" fillId="0" borderId="186"/>
    <xf numFmtId="172" fontId="62" fillId="0" borderId="186"/>
    <xf numFmtId="180" fontId="62" fillId="0" borderId="186"/>
    <xf numFmtId="180" fontId="62" fillId="0" borderId="186"/>
    <xf numFmtId="175" fontId="62" fillId="0" borderId="186"/>
    <xf numFmtId="175" fontId="62" fillId="0" borderId="186"/>
    <xf numFmtId="172" fontId="62" fillId="0" borderId="186"/>
    <xf numFmtId="172" fontId="62" fillId="0" borderId="186"/>
    <xf numFmtId="172" fontId="62" fillId="0" borderId="186"/>
    <xf numFmtId="0" fontId="65" fillId="50" borderId="189">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5" fontId="62" fillId="0" borderId="186"/>
    <xf numFmtId="0" fontId="65" fillId="50" borderId="189">
      <protection locked="0"/>
    </xf>
    <xf numFmtId="9" fontId="8" fillId="0" borderId="0" applyFont="0" applyFill="0" applyBorder="0" applyAlignment="0" applyProtection="0"/>
    <xf numFmtId="182" fontId="62" fillId="0" borderId="186"/>
    <xf numFmtId="172" fontId="62" fillId="0" borderId="186"/>
    <xf numFmtId="0" fontId="11" fillId="22" borderId="183" applyNumberFormat="0" applyAlignment="0" applyProtection="0"/>
    <xf numFmtId="0" fontId="18" fillId="9" borderId="183" applyNumberFormat="0" applyAlignment="0" applyProtection="0"/>
    <xf numFmtId="182" fontId="62" fillId="0" borderId="186"/>
    <xf numFmtId="181" fontId="62" fillId="0" borderId="186"/>
    <xf numFmtId="180" fontId="62" fillId="0" borderId="186"/>
    <xf numFmtId="172" fontId="62" fillId="0" borderId="186"/>
    <xf numFmtId="176" fontId="62" fillId="0" borderId="186"/>
    <xf numFmtId="177" fontId="62" fillId="0" borderId="186"/>
    <xf numFmtId="176" fontId="62" fillId="0" borderId="186"/>
    <xf numFmtId="175" fontId="62" fillId="0" borderId="186"/>
    <xf numFmtId="177" fontId="62" fillId="0" borderId="186"/>
    <xf numFmtId="181" fontId="62" fillId="0" borderId="186"/>
    <xf numFmtId="174" fontId="62" fillId="0" borderId="186"/>
    <xf numFmtId="0" fontId="11" fillId="22" borderId="183" applyNumberFormat="0" applyAlignment="0" applyProtection="0"/>
    <xf numFmtId="173" fontId="62" fillId="0" borderId="186"/>
    <xf numFmtId="180" fontId="62" fillId="0" borderId="186"/>
    <xf numFmtId="177" fontId="62" fillId="0" borderId="186"/>
    <xf numFmtId="175" fontId="62" fillId="0" borderId="186"/>
    <xf numFmtId="172" fontId="62" fillId="0" borderId="186"/>
    <xf numFmtId="0" fontId="21" fillId="22" borderId="187" applyNumberFormat="0" applyAlignment="0" applyProtection="0"/>
    <xf numFmtId="0" fontId="23" fillId="0" borderId="188" applyNumberFormat="0" applyFill="0" applyAlignment="0" applyProtection="0"/>
    <xf numFmtId="181" fontId="62" fillId="0" borderId="186"/>
    <xf numFmtId="176" fontId="62" fillId="0" borderId="186"/>
    <xf numFmtId="174" fontId="62" fillId="0" borderId="186"/>
    <xf numFmtId="173" fontId="62" fillId="0" borderId="186"/>
    <xf numFmtId="172" fontId="62" fillId="0" borderId="186"/>
    <xf numFmtId="182"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11" fillId="22" borderId="183" applyNumberFormat="0" applyAlignment="0" applyProtection="0"/>
    <xf numFmtId="0" fontId="65" fillId="50" borderId="185">
      <protection locked="0"/>
    </xf>
    <xf numFmtId="0" fontId="11" fillId="22" borderId="183" applyNumberFormat="0" applyAlignment="0" applyProtection="0"/>
    <xf numFmtId="0" fontId="21" fillId="22" borderId="187" applyNumberFormat="0" applyAlignment="0" applyProtection="0"/>
    <xf numFmtId="0" fontId="65" fillId="50" borderId="185">
      <protection locked="0"/>
    </xf>
    <xf numFmtId="174" fontId="62" fillId="0" borderId="186"/>
    <xf numFmtId="173"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23" fillId="0" borderId="188" applyNumberFormat="0" applyFill="0" applyAlignment="0" applyProtection="0"/>
    <xf numFmtId="172" fontId="62" fillId="0" borderId="186"/>
    <xf numFmtId="173"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2" fontId="62" fillId="0" borderId="186"/>
    <xf numFmtId="180" fontId="62" fillId="0" borderId="186"/>
    <xf numFmtId="0" fontId="11" fillId="22" borderId="183" applyNumberFormat="0" applyAlignment="0" applyProtection="0"/>
    <xf numFmtId="0" fontId="65" fillId="50" borderId="185">
      <protection locked="0"/>
    </xf>
    <xf numFmtId="182" fontId="62" fillId="0" borderId="186"/>
    <xf numFmtId="172" fontId="62" fillId="0" borderId="186"/>
    <xf numFmtId="0" fontId="23" fillId="0" borderId="188" applyNumberFormat="0" applyFill="0" applyAlignment="0" applyProtection="0"/>
    <xf numFmtId="180" fontId="62" fillId="0" borderId="186"/>
    <xf numFmtId="0" fontId="65" fillId="50" borderId="185">
      <protection locked="0"/>
    </xf>
    <xf numFmtId="0" fontId="11" fillId="22" borderId="183" applyNumberFormat="0" applyAlignment="0" applyProtection="0"/>
    <xf numFmtId="172" fontId="62" fillId="0" borderId="186"/>
    <xf numFmtId="172" fontId="62" fillId="0" borderId="186"/>
    <xf numFmtId="0" fontId="18" fillId="9" borderId="183" applyNumberFormat="0" applyAlignment="0" applyProtection="0"/>
    <xf numFmtId="173" fontId="62" fillId="0" borderId="186"/>
    <xf numFmtId="172" fontId="62" fillId="0" borderId="186"/>
    <xf numFmtId="175" fontId="62" fillId="0" borderId="186"/>
    <xf numFmtId="172" fontId="62" fillId="0" borderId="186"/>
    <xf numFmtId="175" fontId="62" fillId="0" borderId="186"/>
    <xf numFmtId="176" fontId="62" fillId="0" borderId="186"/>
    <xf numFmtId="177" fontId="62" fillId="0" borderId="186"/>
    <xf numFmtId="0" fontId="8" fillId="25" borderId="151" applyNumberFormat="0" applyFont="0" applyAlignment="0" applyProtection="0"/>
    <xf numFmtId="175" fontId="62" fillId="0" borderId="186"/>
    <xf numFmtId="180" fontId="62" fillId="0" borderId="186"/>
    <xf numFmtId="172" fontId="62" fillId="0" borderId="186"/>
    <xf numFmtId="181" fontId="62" fillId="0" borderId="186"/>
    <xf numFmtId="182" fontId="62" fillId="0" borderId="186"/>
    <xf numFmtId="0" fontId="18" fillId="9" borderId="183" applyNumberFormat="0" applyAlignment="0" applyProtection="0"/>
    <xf numFmtId="180" fontId="62" fillId="0" borderId="186"/>
    <xf numFmtId="180" fontId="62" fillId="0" borderId="186"/>
    <xf numFmtId="175" fontId="62" fillId="0" borderId="186"/>
    <xf numFmtId="172" fontId="62" fillId="0" borderId="186"/>
    <xf numFmtId="176" fontId="62" fillId="0" borderId="186"/>
    <xf numFmtId="172" fontId="62" fillId="0" borderId="186"/>
    <xf numFmtId="172" fontId="62" fillId="0" borderId="186"/>
    <xf numFmtId="175" fontId="62" fillId="0" borderId="186"/>
    <xf numFmtId="175" fontId="62" fillId="0" borderId="186"/>
    <xf numFmtId="172" fontId="62" fillId="0" borderId="186"/>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8" fillId="25" borderId="151" applyNumberFormat="0" applyFont="0" applyAlignment="0" applyProtection="0"/>
    <xf numFmtId="174" fontId="62" fillId="0" borderId="186"/>
    <xf numFmtId="175" fontId="62" fillId="0" borderId="186"/>
    <xf numFmtId="180" fontId="62" fillId="0" borderId="186"/>
    <xf numFmtId="0" fontId="11" fillId="22" borderId="183" applyNumberFormat="0" applyAlignment="0" applyProtection="0"/>
    <xf numFmtId="174" fontId="62" fillId="0" borderId="186"/>
    <xf numFmtId="173" fontId="62" fillId="0" borderId="186"/>
    <xf numFmtId="0" fontId="21" fillId="22" borderId="187" applyNumberFormat="0" applyAlignment="0" applyProtection="0"/>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4" fontId="62" fillId="0" borderId="186"/>
    <xf numFmtId="176" fontId="62" fillId="0" borderId="186"/>
    <xf numFmtId="177"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1" fontId="62" fillId="0" borderId="186"/>
    <xf numFmtId="175" fontId="62" fillId="0" borderId="186"/>
    <xf numFmtId="180"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175" fontId="62" fillId="0" borderId="186"/>
    <xf numFmtId="180" fontId="62" fillId="0" borderId="186"/>
    <xf numFmtId="175" fontId="62" fillId="0" borderId="186"/>
    <xf numFmtId="172" fontId="62" fillId="0" borderId="186"/>
    <xf numFmtId="180" fontId="62" fillId="0" borderId="186"/>
    <xf numFmtId="175" fontId="62" fillId="0" borderId="186"/>
    <xf numFmtId="180" fontId="62" fillId="0" borderId="186"/>
    <xf numFmtId="172" fontId="62" fillId="0" borderId="186"/>
    <xf numFmtId="172" fontId="62" fillId="0" borderId="186"/>
    <xf numFmtId="180"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7" fontId="62" fillId="0" borderId="186"/>
    <xf numFmtId="0" fontId="11" fillId="22" borderId="183" applyNumberFormat="0" applyAlignment="0" applyProtection="0"/>
    <xf numFmtId="181" fontId="62" fillId="0" borderId="186"/>
    <xf numFmtId="180" fontId="62" fillId="0" borderId="186"/>
    <xf numFmtId="172" fontId="62" fillId="0" borderId="186"/>
    <xf numFmtId="172" fontId="62" fillId="0" borderId="186"/>
    <xf numFmtId="175" fontId="62" fillId="0" borderId="186"/>
    <xf numFmtId="175" fontId="62" fillId="0" borderId="186"/>
    <xf numFmtId="172" fontId="62" fillId="0" borderId="186"/>
    <xf numFmtId="0" fontId="23" fillId="0" borderId="188" applyNumberFormat="0" applyFill="0" applyAlignment="0" applyProtection="0"/>
    <xf numFmtId="175" fontId="62" fillId="0" borderId="186"/>
    <xf numFmtId="0" fontId="18" fillId="9" borderId="183" applyNumberFormat="0" applyAlignment="0" applyProtection="0"/>
    <xf numFmtId="0" fontId="21" fillId="22" borderId="187" applyNumberFormat="0" applyAlignment="0" applyProtection="0"/>
    <xf numFmtId="0" fontId="8" fillId="25" borderId="151" applyNumberFormat="0" applyFont="0" applyAlignment="0" applyProtection="0"/>
    <xf numFmtId="0" fontId="65" fillId="50" borderId="185">
      <protection locked="0"/>
    </xf>
    <xf numFmtId="180" fontId="62" fillId="0" borderId="186"/>
    <xf numFmtId="0" fontId="11" fillId="22" borderId="183" applyNumberFormat="0" applyAlignment="0" applyProtection="0"/>
    <xf numFmtId="0" fontId="18" fillId="9" borderId="183" applyNumberFormat="0" applyAlignment="0" applyProtection="0"/>
    <xf numFmtId="175" fontId="62" fillId="0" borderId="186"/>
    <xf numFmtId="172" fontId="62" fillId="0" borderId="186"/>
    <xf numFmtId="180" fontId="62" fillId="0" borderId="186"/>
    <xf numFmtId="175" fontId="62" fillId="0" borderId="186"/>
    <xf numFmtId="172" fontId="62" fillId="0" borderId="186"/>
    <xf numFmtId="173" fontId="62" fillId="0" borderId="186"/>
    <xf numFmtId="172" fontId="62" fillId="0" borderId="186"/>
    <xf numFmtId="175" fontId="62" fillId="0" borderId="186"/>
    <xf numFmtId="180" fontId="62" fillId="0" borderId="186"/>
    <xf numFmtId="172" fontId="62" fillId="0" borderId="186"/>
    <xf numFmtId="180" fontId="62" fillId="0" borderId="186"/>
    <xf numFmtId="0" fontId="11" fillId="22" borderId="183" applyNumberFormat="0" applyAlignment="0" applyProtection="0"/>
    <xf numFmtId="182" fontId="62" fillId="0" borderId="186"/>
    <xf numFmtId="176" fontId="62" fillId="0" borderId="186"/>
    <xf numFmtId="180"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23" fillId="0" borderId="188" applyNumberFormat="0" applyFill="0" applyAlignment="0" applyProtection="0"/>
    <xf numFmtId="180" fontId="62" fillId="0" borderId="186"/>
    <xf numFmtId="180" fontId="62" fillId="0" borderId="186"/>
    <xf numFmtId="175" fontId="62" fillId="0" borderId="186"/>
    <xf numFmtId="174" fontId="62" fillId="0" borderId="186"/>
    <xf numFmtId="0" fontId="8" fillId="25" borderId="151" applyNumberFormat="0" applyFont="0" applyAlignment="0" applyProtection="0"/>
    <xf numFmtId="175"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80" fontId="62" fillId="0" borderId="186"/>
    <xf numFmtId="175"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90"/>
    <xf numFmtId="173" fontId="62" fillId="0" borderId="190"/>
    <xf numFmtId="174" fontId="62" fillId="0" borderId="190"/>
    <xf numFmtId="175" fontId="62" fillId="0" borderId="190"/>
    <xf numFmtId="176" fontId="62" fillId="0" borderId="190"/>
    <xf numFmtId="177" fontId="62" fillId="0" borderId="190"/>
    <xf numFmtId="180" fontId="62" fillId="0" borderId="190"/>
    <xf numFmtId="181" fontId="62" fillId="0" borderId="190"/>
    <xf numFmtId="182" fontId="62" fillId="0" borderId="190"/>
    <xf numFmtId="0" fontId="65" fillId="50" borderId="189">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90"/>
    <xf numFmtId="173" fontId="62" fillId="0" borderId="190"/>
    <xf numFmtId="174" fontId="62" fillId="0" borderId="190"/>
    <xf numFmtId="175" fontId="62" fillId="0" borderId="190"/>
    <xf numFmtId="176" fontId="62" fillId="0" borderId="190"/>
    <xf numFmtId="177" fontId="62" fillId="0" borderId="190"/>
    <xf numFmtId="180" fontId="62" fillId="0" borderId="190"/>
    <xf numFmtId="181" fontId="62" fillId="0" borderId="190"/>
    <xf numFmtId="182" fontId="62" fillId="0" borderId="190"/>
    <xf numFmtId="0" fontId="65" fillId="50" borderId="189">
      <protection locked="0"/>
    </xf>
    <xf numFmtId="0" fontId="21" fillId="22" borderId="187" applyNumberFormat="0" applyAlignment="0" applyProtection="0"/>
    <xf numFmtId="180" fontId="62" fillId="0" borderId="190"/>
    <xf numFmtId="180" fontId="62" fillId="0" borderId="190"/>
    <xf numFmtId="0" fontId="11" fillId="22" borderId="183" applyNumberFormat="0" applyAlignment="0" applyProtection="0"/>
    <xf numFmtId="180" fontId="62" fillId="0" borderId="186"/>
    <xf numFmtId="0" fontId="23" fillId="0" borderId="188" applyNumberFormat="0" applyFill="0" applyAlignment="0" applyProtection="0"/>
    <xf numFmtId="174" fontId="62" fillId="0" borderId="186"/>
    <xf numFmtId="176" fontId="62" fillId="0" borderId="186"/>
    <xf numFmtId="0" fontId="21" fillId="22" borderId="187" applyNumberFormat="0" applyAlignment="0" applyProtection="0"/>
    <xf numFmtId="180" fontId="62" fillId="0" borderId="186"/>
    <xf numFmtId="175" fontId="62" fillId="0" borderId="186"/>
    <xf numFmtId="174" fontId="62" fillId="0" borderId="186"/>
    <xf numFmtId="0" fontId="23" fillId="0" borderId="188" applyNumberFormat="0" applyFill="0" applyAlignment="0" applyProtection="0"/>
    <xf numFmtId="0" fontId="11" fillId="22" borderId="183" applyNumberFormat="0" applyAlignment="0" applyProtection="0"/>
    <xf numFmtId="0" fontId="8" fillId="25" borderId="151" applyNumberFormat="0" applyFont="0" applyAlignment="0" applyProtection="0"/>
    <xf numFmtId="175" fontId="62" fillId="0" borderId="190"/>
    <xf numFmtId="0" fontId="11" fillId="22" borderId="183" applyNumberFormat="0" applyAlignment="0" applyProtection="0"/>
    <xf numFmtId="176" fontId="62" fillId="0" borderId="186"/>
    <xf numFmtId="175" fontId="62" fillId="0" borderId="186"/>
    <xf numFmtId="0" fontId="23" fillId="0" borderId="188" applyNumberFormat="0" applyFill="0" applyAlignment="0" applyProtection="0"/>
    <xf numFmtId="0" fontId="23" fillId="0" borderId="188" applyNumberFormat="0" applyFill="0" applyAlignment="0" applyProtection="0"/>
    <xf numFmtId="0" fontId="65" fillId="50" borderId="185">
      <protection locked="0"/>
    </xf>
    <xf numFmtId="0" fontId="65" fillId="50" borderId="185">
      <protection locked="0"/>
    </xf>
    <xf numFmtId="0" fontId="21" fillId="22" borderId="187" applyNumberFormat="0" applyAlignment="0" applyProtection="0"/>
    <xf numFmtId="0" fontId="21" fillId="22" borderId="187" applyNumberFormat="0" applyAlignment="0" applyProtection="0"/>
    <xf numFmtId="0" fontId="8" fillId="25" borderId="151" applyNumberFormat="0" applyFont="0" applyAlignment="0" applyProtection="0"/>
    <xf numFmtId="0" fontId="8" fillId="25" borderId="151" applyNumberFormat="0" applyFont="0" applyAlignment="0" applyProtection="0"/>
    <xf numFmtId="172" fontId="62" fillId="0" borderId="190"/>
    <xf numFmtId="0" fontId="18" fillId="9" borderId="183" applyNumberFormat="0" applyAlignment="0" applyProtection="0"/>
    <xf numFmtId="0" fontId="17" fillId="0" borderId="182" applyNumberFormat="0" applyFill="0" applyAlignment="0" applyProtection="0"/>
    <xf numFmtId="0" fontId="17" fillId="0" borderId="182" applyNumberFormat="0" applyFill="0" applyAlignment="0" applyProtection="0"/>
    <xf numFmtId="175" fontId="62" fillId="0" borderId="190"/>
    <xf numFmtId="0" fontId="21" fillId="22" borderId="187" applyNumberFormat="0" applyAlignment="0" applyProtection="0"/>
    <xf numFmtId="0" fontId="23" fillId="0" borderId="188" applyNumberFormat="0" applyFill="0" applyAlignment="0" applyProtection="0"/>
    <xf numFmtId="0" fontId="21" fillId="22" borderId="187" applyNumberFormat="0" applyAlignment="0" applyProtection="0"/>
    <xf numFmtId="176" fontId="62" fillId="0" borderId="186"/>
    <xf numFmtId="0" fontId="23" fillId="0" borderId="188" applyNumberFormat="0" applyFill="0" applyAlignment="0" applyProtection="0"/>
    <xf numFmtId="180" fontId="62" fillId="0" borderId="190"/>
    <xf numFmtId="0" fontId="23" fillId="0" borderId="188" applyNumberFormat="0" applyFill="0" applyAlignment="0" applyProtection="0"/>
    <xf numFmtId="0" fontId="18" fillId="9" borderId="183" applyNumberFormat="0" applyAlignment="0" applyProtection="0"/>
    <xf numFmtId="172" fontId="62" fillId="0" borderId="186"/>
    <xf numFmtId="181" fontId="62" fillId="0" borderId="186"/>
    <xf numFmtId="172" fontId="62" fillId="0" borderId="186"/>
    <xf numFmtId="0" fontId="21" fillId="22" borderId="187" applyNumberFormat="0" applyAlignment="0" applyProtection="0"/>
    <xf numFmtId="0" fontId="23" fillId="0" borderId="188" applyNumberFormat="0" applyFill="0" applyAlignment="0" applyProtection="0"/>
    <xf numFmtId="0" fontId="65" fillId="50" borderId="185">
      <protection locked="0"/>
    </xf>
    <xf numFmtId="0" fontId="21" fillId="22" borderId="187" applyNumberFormat="0" applyAlignment="0" applyProtection="0"/>
    <xf numFmtId="175" fontId="62" fillId="0" borderId="186"/>
    <xf numFmtId="0" fontId="18" fillId="9" borderId="183" applyNumberFormat="0" applyAlignment="0" applyProtection="0"/>
    <xf numFmtId="172" fontId="62" fillId="0" borderId="190"/>
    <xf numFmtId="0" fontId="23" fillId="0" borderId="188" applyNumberFormat="0" applyFill="0" applyAlignment="0" applyProtection="0"/>
    <xf numFmtId="180" fontId="62" fillId="0" borderId="186"/>
    <xf numFmtId="175" fontId="62" fillId="0" borderId="190"/>
    <xf numFmtId="0" fontId="65" fillId="50" borderId="185">
      <protection locked="0"/>
    </xf>
    <xf numFmtId="0" fontId="17" fillId="0" borderId="182" applyNumberFormat="0" applyFill="0" applyAlignment="0" applyProtection="0"/>
    <xf numFmtId="0" fontId="23" fillId="0" borderId="188" applyNumberFormat="0" applyFill="0" applyAlignment="0" applyProtection="0"/>
    <xf numFmtId="177" fontId="62" fillId="0" borderId="186"/>
    <xf numFmtId="175" fontId="62" fillId="0" borderId="186"/>
    <xf numFmtId="180" fontId="62" fillId="0" borderId="186"/>
    <xf numFmtId="172" fontId="62" fillId="0" borderId="186"/>
    <xf numFmtId="172" fontId="62" fillId="0" borderId="190"/>
    <xf numFmtId="175" fontId="62" fillId="0" borderId="190"/>
    <xf numFmtId="180" fontId="62" fillId="0" borderId="190"/>
    <xf numFmtId="174" fontId="62" fillId="0" borderId="186"/>
    <xf numFmtId="0" fontId="17" fillId="0" borderId="182" applyNumberFormat="0" applyFill="0" applyAlignment="0" applyProtection="0"/>
    <xf numFmtId="0" fontId="17" fillId="0" borderId="182" applyNumberFormat="0" applyFill="0" applyAlignment="0" applyProtection="0"/>
    <xf numFmtId="175" fontId="62" fillId="0" borderId="186"/>
    <xf numFmtId="180" fontId="62" fillId="0" borderId="186"/>
    <xf numFmtId="0" fontId="11" fillId="22" borderId="183" applyNumberFormat="0" applyAlignment="0" applyProtection="0"/>
    <xf numFmtId="0" fontId="11" fillId="22" borderId="183" applyNumberFormat="0" applyAlignment="0" applyProtection="0"/>
    <xf numFmtId="175" fontId="62" fillId="0" borderId="190"/>
    <xf numFmtId="172" fontId="62" fillId="0" borderId="186"/>
    <xf numFmtId="0" fontId="18" fillId="9" borderId="183" applyNumberFormat="0" applyAlignment="0" applyProtection="0"/>
    <xf numFmtId="172" fontId="62" fillId="0" borderId="190"/>
    <xf numFmtId="0" fontId="23" fillId="0" borderId="188" applyNumberFormat="0" applyFill="0" applyAlignment="0" applyProtection="0"/>
    <xf numFmtId="0" fontId="8" fillId="25" borderId="151" applyNumberFormat="0" applyFont="0" applyAlignment="0" applyProtection="0"/>
    <xf numFmtId="0" fontId="17" fillId="0" borderId="182" applyNumberFormat="0" applyFill="0" applyAlignment="0" applyProtection="0"/>
    <xf numFmtId="0" fontId="65" fillId="50" borderId="189">
      <protection locked="0"/>
    </xf>
    <xf numFmtId="0" fontId="11" fillId="22" borderId="183" applyNumberFormat="0" applyAlignment="0" applyProtection="0"/>
    <xf numFmtId="0" fontId="18" fillId="9" borderId="183" applyNumberFormat="0" applyAlignment="0" applyProtection="0"/>
    <xf numFmtId="172" fontId="62" fillId="0" borderId="186"/>
    <xf numFmtId="173" fontId="62" fillId="0" borderId="190"/>
    <xf numFmtId="173" fontId="62" fillId="0" borderId="190"/>
    <xf numFmtId="174" fontId="62" fillId="0" borderId="190"/>
    <xf numFmtId="174" fontId="62" fillId="0" borderId="190"/>
    <xf numFmtId="172" fontId="62" fillId="0" borderId="190"/>
    <xf numFmtId="172" fontId="62" fillId="0" borderId="190"/>
    <xf numFmtId="176" fontId="62" fillId="0" borderId="190"/>
    <xf numFmtId="176" fontId="62" fillId="0" borderId="190"/>
    <xf numFmtId="177" fontId="62" fillId="0" borderId="190"/>
    <xf numFmtId="177" fontId="62" fillId="0" borderId="190"/>
    <xf numFmtId="175" fontId="62" fillId="0" borderId="190"/>
    <xf numFmtId="175" fontId="62" fillId="0" borderId="190"/>
    <xf numFmtId="181" fontId="62" fillId="0" borderId="190"/>
    <xf numFmtId="181" fontId="62" fillId="0" borderId="190"/>
    <xf numFmtId="182" fontId="62" fillId="0" borderId="190"/>
    <xf numFmtId="182" fontId="62" fillId="0" borderId="190"/>
    <xf numFmtId="180" fontId="62" fillId="0" borderId="190"/>
    <xf numFmtId="180" fontId="62" fillId="0" borderId="19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21" fillId="22" borderId="187" applyNumberFormat="0" applyAlignment="0" applyProtection="0"/>
    <xf numFmtId="0" fontId="21" fillId="22" borderId="187" applyNumberFormat="0" applyAlignment="0" applyProtection="0"/>
    <xf numFmtId="0" fontId="21" fillId="22" borderId="187" applyNumberForma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3" fillId="0" borderId="188" applyNumberFormat="0" applyFill="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180" fontId="62" fillId="0" borderId="19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9">
      <protection locked="0"/>
    </xf>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9">
      <protection locked="0"/>
    </xf>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0" fontId="62" fillId="0" borderId="186"/>
    <xf numFmtId="180" fontId="62" fillId="0" borderId="186"/>
    <xf numFmtId="181" fontId="62" fillId="0" borderId="186"/>
    <xf numFmtId="172" fontId="62" fillId="0" borderId="186"/>
    <xf numFmtId="175" fontId="62" fillId="0" borderId="186"/>
    <xf numFmtId="175" fontId="62" fillId="0" borderId="186"/>
    <xf numFmtId="177" fontId="62" fillId="0" borderId="186"/>
    <xf numFmtId="172"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11" fillId="22"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176" fontId="62" fillId="0" borderId="186"/>
    <xf numFmtId="180"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76" fontId="62" fillId="0" borderId="186"/>
    <xf numFmtId="180" fontId="62" fillId="0" borderId="186"/>
    <xf numFmtId="181" fontId="62" fillId="0" borderId="186"/>
    <xf numFmtId="182" fontId="62" fillId="0" borderId="186"/>
    <xf numFmtId="175" fontId="62" fillId="0" borderId="186"/>
    <xf numFmtId="0" fontId="17" fillId="0" borderId="182" applyNumberFormat="0" applyFill="0" applyAlignment="0" applyProtection="0"/>
    <xf numFmtId="172" fontId="62" fillId="0" borderId="186"/>
    <xf numFmtId="0" fontId="65" fillId="50" borderId="185">
      <protection locked="0"/>
    </xf>
    <xf numFmtId="0" fontId="11" fillId="22" borderId="183" applyNumberFormat="0" applyAlignment="0" applyProtection="0"/>
    <xf numFmtId="0" fontId="11" fillId="22" borderId="183" applyNumberFormat="0" applyAlignment="0" applyProtection="0"/>
    <xf numFmtId="182" fontId="62" fillId="0" borderId="186"/>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174" fontId="62" fillId="0" borderId="186"/>
    <xf numFmtId="0" fontId="18" fillId="9" borderId="183" applyNumberFormat="0" applyAlignment="0" applyProtection="0"/>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3" fontId="62" fillId="0" borderId="186"/>
    <xf numFmtId="174" fontId="62" fillId="0" borderId="186"/>
    <xf numFmtId="0" fontId="18" fillId="9" borderId="183" applyNumberFormat="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11" fillId="22" borderId="191" applyNumberFormat="0" applyAlignment="0" applyProtection="0"/>
    <xf numFmtId="0" fontId="21" fillId="22" borderId="187" applyNumberFormat="0" applyAlignment="0" applyProtection="0"/>
    <xf numFmtId="0" fontId="23" fillId="0" borderId="188" applyNumberFormat="0" applyFill="0" applyAlignment="0" applyProtection="0"/>
    <xf numFmtId="177" fontId="62" fillId="0" borderId="186"/>
    <xf numFmtId="172" fontId="62" fillId="0" borderId="186"/>
    <xf numFmtId="173" fontId="62" fillId="0" borderId="186"/>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172" fontId="62" fillId="0" borderId="186"/>
    <xf numFmtId="180" fontId="62" fillId="0" borderId="186"/>
    <xf numFmtId="175" fontId="62" fillId="0" borderId="186"/>
    <xf numFmtId="175" fontId="62" fillId="0" borderId="186"/>
    <xf numFmtId="180" fontId="62" fillId="0" borderId="186"/>
    <xf numFmtId="172"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65" fillId="50" borderId="185">
      <protection locked="0"/>
    </xf>
    <xf numFmtId="172" fontId="62" fillId="0" borderId="186"/>
    <xf numFmtId="182" fontId="62" fillId="0" borderId="186"/>
    <xf numFmtId="175" fontId="62" fillId="0" borderId="186"/>
    <xf numFmtId="177" fontId="62" fillId="0" borderId="186"/>
    <xf numFmtId="174" fontId="62" fillId="0" borderId="186"/>
    <xf numFmtId="173" fontId="62" fillId="0" borderId="186"/>
    <xf numFmtId="180"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180" fontId="62" fillId="0" borderId="186"/>
    <xf numFmtId="181"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9">
      <protection locked="0"/>
    </xf>
    <xf numFmtId="172" fontId="62" fillId="0" borderId="186"/>
    <xf numFmtId="175" fontId="62" fillId="0" borderId="186"/>
    <xf numFmtId="180" fontId="62" fillId="0" borderId="186"/>
    <xf numFmtId="0" fontId="65" fillId="50" borderId="185">
      <protection locked="0"/>
    </xf>
    <xf numFmtId="0" fontId="65" fillId="50" borderId="185">
      <protection locked="0"/>
    </xf>
    <xf numFmtId="0" fontId="11" fillId="22" borderId="183" applyNumberFormat="0" applyAlignment="0" applyProtection="0"/>
    <xf numFmtId="175" fontId="62" fillId="0" borderId="186"/>
    <xf numFmtId="172" fontId="62" fillId="0" borderId="186"/>
    <xf numFmtId="175" fontId="62" fillId="0" borderId="186"/>
    <xf numFmtId="175" fontId="62" fillId="0" borderId="186"/>
    <xf numFmtId="0" fontId="21" fillId="22" borderId="187" applyNumberFormat="0" applyAlignment="0" applyProtection="0"/>
    <xf numFmtId="180" fontId="62" fillId="0" borderId="186"/>
    <xf numFmtId="175" fontId="62" fillId="0" borderId="186"/>
    <xf numFmtId="0" fontId="65" fillId="50" borderId="185">
      <protection locked="0"/>
    </xf>
    <xf numFmtId="0" fontId="21" fillId="22" borderId="187" applyNumberFormat="0" applyAlignment="0" applyProtection="0"/>
    <xf numFmtId="0" fontId="8" fillId="25" borderId="151" applyNumberFormat="0" applyFont="0" applyAlignment="0" applyProtection="0"/>
    <xf numFmtId="172" fontId="62" fillId="0" borderId="186"/>
    <xf numFmtId="0" fontId="8" fillId="25" borderId="151" applyNumberFormat="0" applyFont="0" applyAlignment="0" applyProtection="0"/>
    <xf numFmtId="174" fontId="62" fillId="0" borderId="186"/>
    <xf numFmtId="0" fontId="23" fillId="0" borderId="188" applyNumberFormat="0" applyFill="0" applyAlignment="0" applyProtection="0"/>
    <xf numFmtId="176" fontId="62" fillId="0" borderId="186"/>
    <xf numFmtId="175" fontId="62" fillId="0" borderId="186"/>
    <xf numFmtId="0" fontId="23" fillId="0" borderId="188" applyNumberFormat="0" applyFill="0" applyAlignment="0" applyProtection="0"/>
    <xf numFmtId="182" fontId="62" fillId="0" borderId="186"/>
    <xf numFmtId="175" fontId="62" fillId="0" borderId="186"/>
    <xf numFmtId="175" fontId="62" fillId="0" borderId="186"/>
    <xf numFmtId="0" fontId="18" fillId="9" borderId="183" applyNumberFormat="0" applyAlignment="0" applyProtection="0"/>
    <xf numFmtId="0" fontId="21" fillId="22" borderId="187" applyNumberFormat="0" applyAlignment="0" applyProtection="0"/>
    <xf numFmtId="172" fontId="62" fillId="0" borderId="186"/>
    <xf numFmtId="173" fontId="62" fillId="0" borderId="186"/>
    <xf numFmtId="177" fontId="62" fillId="0" borderId="186"/>
    <xf numFmtId="0" fontId="23" fillId="0" borderId="188" applyNumberFormat="0" applyFill="0" applyAlignment="0" applyProtection="0"/>
    <xf numFmtId="176" fontId="62" fillId="0" borderId="186"/>
    <xf numFmtId="172" fontId="62" fillId="0" borderId="186"/>
    <xf numFmtId="180" fontId="62" fillId="0" borderId="186"/>
    <xf numFmtId="0" fontId="18" fillId="9" borderId="183" applyNumberFormat="0" applyAlignment="0" applyProtection="0"/>
    <xf numFmtId="172" fontId="62" fillId="0" borderId="186"/>
    <xf numFmtId="0" fontId="21" fillId="22" borderId="187" applyNumberFormat="0" applyAlignment="0" applyProtection="0"/>
    <xf numFmtId="180" fontId="62" fillId="0" borderId="186"/>
    <xf numFmtId="172" fontId="62" fillId="0" borderId="186"/>
    <xf numFmtId="180" fontId="62" fillId="0" borderId="186"/>
    <xf numFmtId="175" fontId="62" fillId="0" borderId="186"/>
    <xf numFmtId="173" fontId="62" fillId="0" borderId="186"/>
    <xf numFmtId="172" fontId="62" fillId="0" borderId="186"/>
    <xf numFmtId="175" fontId="62" fillId="0" borderId="186"/>
    <xf numFmtId="174" fontId="62" fillId="0" borderId="186"/>
    <xf numFmtId="181" fontId="62" fillId="0" borderId="186"/>
    <xf numFmtId="180" fontId="62" fillId="0" borderId="186"/>
    <xf numFmtId="175" fontId="62" fillId="0" borderId="186"/>
    <xf numFmtId="172" fontId="62" fillId="0" borderId="186"/>
    <xf numFmtId="180" fontId="62" fillId="0" borderId="186"/>
    <xf numFmtId="175" fontId="62" fillId="0" borderId="186"/>
    <xf numFmtId="172" fontId="62" fillId="0" borderId="186"/>
    <xf numFmtId="180" fontId="62" fillId="0" borderId="186"/>
    <xf numFmtId="180" fontId="62" fillId="0" borderId="186"/>
    <xf numFmtId="181" fontId="62" fillId="0" borderId="186"/>
    <xf numFmtId="177" fontId="62" fillId="0" borderId="186"/>
    <xf numFmtId="172" fontId="62" fillId="0" borderId="186"/>
    <xf numFmtId="0" fontId="23" fillId="0" borderId="188" applyNumberFormat="0" applyFill="0" applyAlignment="0" applyProtection="0"/>
    <xf numFmtId="0" fontId="11" fillId="22" borderId="183" applyNumberFormat="0" applyAlignment="0" applyProtection="0"/>
    <xf numFmtId="172" fontId="62" fillId="0" borderId="186"/>
    <xf numFmtId="174" fontId="62" fillId="0" borderId="186"/>
    <xf numFmtId="172" fontId="62" fillId="0" borderId="186"/>
    <xf numFmtId="175" fontId="62" fillId="0" borderId="186"/>
    <xf numFmtId="180" fontId="62" fillId="0" borderId="186"/>
    <xf numFmtId="172" fontId="62" fillId="0" borderId="186"/>
    <xf numFmtId="0" fontId="18" fillId="9" borderId="183" applyNumberFormat="0" applyAlignment="0" applyProtection="0"/>
    <xf numFmtId="174" fontId="62" fillId="0" borderId="186"/>
    <xf numFmtId="0" fontId="11" fillId="22" borderId="183" applyNumberFormat="0" applyAlignment="0" applyProtection="0"/>
    <xf numFmtId="182" fontId="62" fillId="0" borderId="186"/>
    <xf numFmtId="172" fontId="62" fillId="0" borderId="186"/>
    <xf numFmtId="173" fontId="62" fillId="0" borderId="186"/>
    <xf numFmtId="175" fontId="62" fillId="0" borderId="186"/>
    <xf numFmtId="176" fontId="62" fillId="0" borderId="186"/>
    <xf numFmtId="175" fontId="62" fillId="0" borderId="186"/>
    <xf numFmtId="175" fontId="62" fillId="0" borderId="186"/>
    <xf numFmtId="0" fontId="11" fillId="22" borderId="183" applyNumberFormat="0" applyAlignment="0" applyProtection="0"/>
    <xf numFmtId="172" fontId="62" fillId="0" borderId="186"/>
    <xf numFmtId="175" fontId="62" fillId="0" borderId="186"/>
    <xf numFmtId="182" fontId="62" fillId="0" borderId="186"/>
    <xf numFmtId="172"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180" fontId="62" fillId="0" borderId="186"/>
    <xf numFmtId="172" fontId="62" fillId="0" borderId="186"/>
    <xf numFmtId="180" fontId="62" fillId="0" borderId="186"/>
    <xf numFmtId="180" fontId="62" fillId="0" borderId="186"/>
    <xf numFmtId="0" fontId="65" fillId="50" borderId="185">
      <protection locked="0"/>
    </xf>
    <xf numFmtId="0" fontId="8" fillId="25" borderId="151" applyNumberFormat="0" applyFont="0" applyAlignment="0" applyProtection="0"/>
    <xf numFmtId="180" fontId="62" fillId="0" borderId="186"/>
    <xf numFmtId="177" fontId="62" fillId="0" borderId="186"/>
    <xf numFmtId="172" fontId="62" fillId="0" borderId="186"/>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0" fontId="21" fillId="22" borderId="187" applyNumberFormat="0" applyAlignment="0" applyProtection="0"/>
    <xf numFmtId="175" fontId="62" fillId="0" borderId="186"/>
    <xf numFmtId="175" fontId="62" fillId="0" borderId="186"/>
    <xf numFmtId="173" fontId="62" fillId="0" borderId="186"/>
    <xf numFmtId="175" fontId="62" fillId="0" borderId="186"/>
    <xf numFmtId="180" fontId="62" fillId="0" borderId="186"/>
    <xf numFmtId="180" fontId="62" fillId="0" borderId="186"/>
    <xf numFmtId="172" fontId="62" fillId="0" borderId="186"/>
    <xf numFmtId="175" fontId="62" fillId="0" borderId="186"/>
    <xf numFmtId="180" fontId="62" fillId="0" borderId="186"/>
    <xf numFmtId="172" fontId="62" fillId="0" borderId="186"/>
    <xf numFmtId="174" fontId="62" fillId="0" borderId="186"/>
    <xf numFmtId="180" fontId="62" fillId="0" borderId="186"/>
    <xf numFmtId="0" fontId="23" fillId="0" borderId="188" applyNumberFormat="0" applyFill="0" applyAlignment="0" applyProtection="0"/>
    <xf numFmtId="175" fontId="62" fillId="0" borderId="186"/>
    <xf numFmtId="175" fontId="62" fillId="0" borderId="186"/>
    <xf numFmtId="180" fontId="62" fillId="0" borderId="186"/>
    <xf numFmtId="172" fontId="62" fillId="0" borderId="186"/>
    <xf numFmtId="0" fontId="18" fillId="9" borderId="183" applyNumberFormat="0" applyAlignment="0" applyProtection="0"/>
    <xf numFmtId="177" fontId="62" fillId="0" borderId="186"/>
    <xf numFmtId="176" fontId="62" fillId="0" borderId="186"/>
    <xf numFmtId="181" fontId="62" fillId="0" borderId="186"/>
    <xf numFmtId="176" fontId="62" fillId="0" borderId="186"/>
    <xf numFmtId="181" fontId="62" fillId="0" borderId="186"/>
    <xf numFmtId="173" fontId="62" fillId="0" borderId="186"/>
    <xf numFmtId="0" fontId="65" fillId="50" borderId="185">
      <protection locked="0"/>
    </xf>
    <xf numFmtId="181" fontId="62" fillId="0" borderId="186"/>
    <xf numFmtId="182" fontId="62" fillId="0" borderId="186"/>
    <xf numFmtId="0" fontId="65" fillId="50" borderId="185">
      <protection locked="0"/>
    </xf>
    <xf numFmtId="175" fontId="62" fillId="0" borderId="186"/>
    <xf numFmtId="182" fontId="62" fillId="0" borderId="186"/>
    <xf numFmtId="0" fontId="17" fillId="0" borderId="182" applyNumberFormat="0" applyFill="0" applyAlignment="0" applyProtection="0"/>
    <xf numFmtId="177" fontId="62" fillId="0" borderId="186"/>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0" fontId="62" fillId="0" borderId="186"/>
    <xf numFmtId="172" fontId="62" fillId="0" borderId="186"/>
    <xf numFmtId="175" fontId="62" fillId="0" borderId="186"/>
    <xf numFmtId="180" fontId="62" fillId="0" borderId="186"/>
    <xf numFmtId="180" fontId="62" fillId="0" borderId="186"/>
    <xf numFmtId="180" fontId="62" fillId="0" borderId="186"/>
    <xf numFmtId="175" fontId="62" fillId="0" borderId="186"/>
    <xf numFmtId="180" fontId="62" fillId="0" borderId="186"/>
    <xf numFmtId="180" fontId="62" fillId="0" borderId="186"/>
    <xf numFmtId="175" fontId="62" fillId="0" borderId="186"/>
    <xf numFmtId="175" fontId="62" fillId="0" borderId="186"/>
    <xf numFmtId="0" fontId="21" fillId="22" borderId="187" applyNumberFormat="0" applyAlignment="0" applyProtection="0"/>
    <xf numFmtId="175" fontId="62" fillId="0" borderId="186"/>
    <xf numFmtId="0" fontId="23" fillId="0" borderId="188" applyNumberFormat="0" applyFill="0" applyAlignment="0" applyProtection="0"/>
    <xf numFmtId="172" fontId="62" fillId="0" borderId="186"/>
    <xf numFmtId="172" fontId="62" fillId="0" borderId="186"/>
    <xf numFmtId="175" fontId="62" fillId="0" borderId="186"/>
    <xf numFmtId="176" fontId="62" fillId="0" borderId="186"/>
    <xf numFmtId="0" fontId="18" fillId="9" borderId="183" applyNumberFormat="0" applyAlignment="0" applyProtection="0"/>
    <xf numFmtId="172" fontId="62" fillId="0" borderId="186"/>
    <xf numFmtId="0" fontId="21" fillId="22" borderId="187" applyNumberFormat="0" applyAlignment="0" applyProtection="0"/>
    <xf numFmtId="174" fontId="62" fillId="0" borderId="186"/>
    <xf numFmtId="172" fontId="62" fillId="0" borderId="186"/>
    <xf numFmtId="0" fontId="18" fillId="9" borderId="183" applyNumberFormat="0" applyAlignment="0" applyProtection="0"/>
    <xf numFmtId="177" fontId="62" fillId="0" borderId="186"/>
    <xf numFmtId="0" fontId="11" fillId="22" borderId="183" applyNumberFormat="0" applyAlignment="0" applyProtection="0"/>
    <xf numFmtId="172" fontId="62" fillId="0" borderId="186"/>
    <xf numFmtId="172" fontId="62" fillId="0" borderId="186"/>
    <xf numFmtId="180" fontId="62" fillId="0" borderId="186"/>
    <xf numFmtId="0" fontId="65" fillId="50" borderId="185">
      <protection locked="0"/>
    </xf>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6" fontId="62" fillId="0" borderId="186"/>
    <xf numFmtId="180" fontId="62" fillId="0" borderId="186"/>
    <xf numFmtId="172" fontId="62" fillId="0" borderId="186"/>
    <xf numFmtId="172" fontId="62" fillId="0" borderId="186"/>
    <xf numFmtId="0" fontId="23" fillId="0" borderId="188" applyNumberFormat="0" applyFill="0" applyAlignment="0" applyProtection="0"/>
    <xf numFmtId="180" fontId="62" fillId="0" borderId="186"/>
    <xf numFmtId="172" fontId="62" fillId="0" borderId="186"/>
    <xf numFmtId="172" fontId="62" fillId="0" borderId="186"/>
    <xf numFmtId="180" fontId="62" fillId="0" borderId="186"/>
    <xf numFmtId="175" fontId="62" fillId="0" borderId="186"/>
    <xf numFmtId="175" fontId="62" fillId="0" borderId="186"/>
    <xf numFmtId="180" fontId="62" fillId="0" borderId="186"/>
    <xf numFmtId="180" fontId="62" fillId="0" borderId="186"/>
    <xf numFmtId="180" fontId="62" fillId="0" borderId="186"/>
    <xf numFmtId="172" fontId="62" fillId="0" borderId="186"/>
    <xf numFmtId="174" fontId="62" fillId="0" borderId="186"/>
    <xf numFmtId="172" fontId="62" fillId="0" borderId="186"/>
    <xf numFmtId="180" fontId="62" fillId="0" borderId="186"/>
    <xf numFmtId="0" fontId="18" fillId="9" borderId="183" applyNumberFormat="0" applyAlignment="0" applyProtection="0"/>
    <xf numFmtId="180" fontId="62" fillId="0" borderId="186"/>
    <xf numFmtId="180" fontId="62" fillId="0" borderId="186"/>
    <xf numFmtId="0" fontId="23" fillId="0" borderId="188" applyNumberFormat="0" applyFill="0" applyAlignment="0" applyProtection="0"/>
    <xf numFmtId="172" fontId="62" fillId="0" borderId="186"/>
    <xf numFmtId="0" fontId="8" fillId="25" borderId="151" applyNumberFormat="0" applyFont="0" applyAlignment="0" applyProtection="0"/>
    <xf numFmtId="0" fontId="18" fillId="9" borderId="183" applyNumberFormat="0" applyAlignment="0" applyProtection="0"/>
    <xf numFmtId="172" fontId="62" fillId="0" borderId="186"/>
    <xf numFmtId="180" fontId="62" fillId="0" borderId="186"/>
    <xf numFmtId="0" fontId="8" fillId="25" borderId="151" applyNumberFormat="0" applyFont="0" applyAlignment="0" applyProtection="0"/>
    <xf numFmtId="0" fontId="11" fillId="22" borderId="183" applyNumberFormat="0" applyAlignment="0" applyProtection="0"/>
    <xf numFmtId="172"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2" fontId="62" fillId="0" borderId="186"/>
    <xf numFmtId="181" fontId="62" fillId="0" borderId="186"/>
    <xf numFmtId="175" fontId="62" fillId="0" borderId="186"/>
    <xf numFmtId="175" fontId="62" fillId="0" borderId="186"/>
    <xf numFmtId="174" fontId="62" fillId="0" borderId="186"/>
    <xf numFmtId="180" fontId="62" fillId="0" borderId="186"/>
    <xf numFmtId="173" fontId="62" fillId="0" borderId="186"/>
    <xf numFmtId="0" fontId="21" fillId="22" borderId="187" applyNumberFormat="0" applyAlignment="0" applyProtection="0"/>
    <xf numFmtId="172" fontId="62" fillId="0" borderId="186"/>
    <xf numFmtId="175" fontId="62" fillId="0" borderId="186"/>
    <xf numFmtId="180" fontId="62" fillId="0" borderId="186"/>
    <xf numFmtId="0" fontId="11" fillId="22" borderId="183" applyNumberFormat="0" applyAlignment="0" applyProtection="0"/>
    <xf numFmtId="175" fontId="62" fillId="0" borderId="186"/>
    <xf numFmtId="176" fontId="62" fillId="0" borderId="186"/>
    <xf numFmtId="175" fontId="62" fillId="0" borderId="186"/>
    <xf numFmtId="182" fontId="62" fillId="0" borderId="186"/>
    <xf numFmtId="0" fontId="17" fillId="0" borderId="182" applyNumberFormat="0" applyFill="0" applyAlignment="0" applyProtection="0"/>
    <xf numFmtId="177" fontId="62" fillId="0" borderId="186"/>
    <xf numFmtId="173" fontId="62" fillId="0" borderId="186"/>
    <xf numFmtId="180" fontId="62" fillId="0" borderId="186"/>
    <xf numFmtId="181" fontId="62" fillId="0" borderId="186"/>
    <xf numFmtId="182" fontId="62" fillId="0" borderId="186"/>
    <xf numFmtId="0" fontId="65" fillId="50" borderId="185">
      <protection locked="0"/>
    </xf>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75" fontId="62" fillId="0" borderId="186"/>
    <xf numFmtId="175" fontId="62" fillId="0" borderId="186"/>
    <xf numFmtId="172" fontId="62" fillId="0" borderId="186"/>
    <xf numFmtId="0" fontId="18" fillId="9" borderId="183" applyNumberFormat="0" applyAlignment="0" applyProtection="0"/>
    <xf numFmtId="175" fontId="62" fillId="0" borderId="186"/>
    <xf numFmtId="172" fontId="62" fillId="0" borderId="186"/>
    <xf numFmtId="180" fontId="62" fillId="0" borderId="186"/>
    <xf numFmtId="174" fontId="62" fillId="0" borderId="186"/>
    <xf numFmtId="174" fontId="62" fillId="0" borderId="186"/>
    <xf numFmtId="172" fontId="62" fillId="0" borderId="186"/>
    <xf numFmtId="174" fontId="62" fillId="0" borderId="186"/>
    <xf numFmtId="175" fontId="62" fillId="0" borderId="186"/>
    <xf numFmtId="177" fontId="62" fillId="0" borderId="186"/>
    <xf numFmtId="172" fontId="62" fillId="0" borderId="186"/>
    <xf numFmtId="0" fontId="11" fillId="22" borderId="183" applyNumberFormat="0" applyAlignment="0" applyProtection="0"/>
    <xf numFmtId="180" fontId="62" fillId="0" borderId="186"/>
    <xf numFmtId="180" fontId="62" fillId="0" borderId="186"/>
    <xf numFmtId="180" fontId="62" fillId="0" borderId="186"/>
    <xf numFmtId="172" fontId="62" fillId="0" borderId="186"/>
    <xf numFmtId="0" fontId="8" fillId="25" borderId="151" applyNumberFormat="0" applyFont="0" applyAlignment="0" applyProtection="0"/>
    <xf numFmtId="172" fontId="62" fillId="0" borderId="186"/>
    <xf numFmtId="181" fontId="62" fillId="0" borderId="186"/>
    <xf numFmtId="175" fontId="62" fillId="0" borderId="186"/>
    <xf numFmtId="176" fontId="62" fillId="0" borderId="186"/>
    <xf numFmtId="0" fontId="18" fillId="9" borderId="183" applyNumberFormat="0" applyAlignment="0" applyProtection="0"/>
    <xf numFmtId="172" fontId="62" fillId="0" borderId="186"/>
    <xf numFmtId="180" fontId="62" fillId="0" borderId="186"/>
    <xf numFmtId="175" fontId="62" fillId="0" borderId="186"/>
    <xf numFmtId="180" fontId="62" fillId="0" borderId="186"/>
    <xf numFmtId="172" fontId="62" fillId="0" borderId="186"/>
    <xf numFmtId="180" fontId="62" fillId="0" borderId="186"/>
    <xf numFmtId="175" fontId="62" fillId="0" borderId="186"/>
    <xf numFmtId="175" fontId="62" fillId="0" borderId="186"/>
    <xf numFmtId="172" fontId="62" fillId="0" borderId="186"/>
    <xf numFmtId="175" fontId="62" fillId="0" borderId="186"/>
    <xf numFmtId="176" fontId="62" fillId="0" borderId="186"/>
    <xf numFmtId="175" fontId="62" fillId="0" borderId="186"/>
    <xf numFmtId="180" fontId="62" fillId="0" borderId="186"/>
    <xf numFmtId="180" fontId="62" fillId="0" borderId="186"/>
    <xf numFmtId="172" fontId="62" fillId="0" borderId="186"/>
    <xf numFmtId="0" fontId="21" fillId="22" borderId="187" applyNumberFormat="0" applyAlignment="0" applyProtection="0"/>
    <xf numFmtId="173" fontId="62" fillId="0" borderId="186"/>
    <xf numFmtId="0" fontId="23" fillId="0" borderId="188" applyNumberFormat="0" applyFill="0" applyAlignment="0" applyProtection="0"/>
    <xf numFmtId="0" fontId="8" fillId="25" borderId="151" applyNumberFormat="0" applyFont="0" applyAlignment="0" applyProtection="0"/>
    <xf numFmtId="0" fontId="65" fillId="50" borderId="185">
      <protection locked="0"/>
    </xf>
    <xf numFmtId="176" fontId="62" fillId="0" borderId="186"/>
    <xf numFmtId="0" fontId="23" fillId="0" borderId="188" applyNumberFormat="0" applyFill="0" applyAlignment="0" applyProtection="0"/>
    <xf numFmtId="175" fontId="62" fillId="0" borderId="186"/>
    <xf numFmtId="0" fontId="21" fillId="22" borderId="187" applyNumberFormat="0" applyAlignment="0" applyProtection="0"/>
    <xf numFmtId="172" fontId="62" fillId="0" borderId="186"/>
    <xf numFmtId="182" fontId="62" fillId="0" borderId="186"/>
    <xf numFmtId="172" fontId="62" fillId="0" borderId="186"/>
    <xf numFmtId="180" fontId="62" fillId="0" borderId="186"/>
    <xf numFmtId="0" fontId="11" fillId="22" borderId="183" applyNumberFormat="0" applyAlignment="0" applyProtection="0"/>
    <xf numFmtId="175" fontId="62" fillId="0" borderId="186"/>
    <xf numFmtId="181" fontId="62" fillId="0" borderId="186"/>
    <xf numFmtId="175" fontId="62" fillId="0" borderId="186"/>
    <xf numFmtId="172" fontId="62" fillId="0" borderId="186"/>
    <xf numFmtId="175" fontId="62" fillId="0" borderId="186"/>
    <xf numFmtId="173" fontId="62" fillId="0" borderId="186"/>
    <xf numFmtId="180" fontId="62" fillId="0" borderId="186"/>
    <xf numFmtId="177" fontId="62" fillId="0" borderId="186"/>
    <xf numFmtId="175" fontId="62" fillId="0" borderId="186"/>
    <xf numFmtId="173" fontId="62" fillId="0" borderId="186"/>
    <xf numFmtId="172" fontId="62" fillId="0" borderId="186"/>
    <xf numFmtId="181" fontId="62" fillId="0" borderId="186"/>
    <xf numFmtId="182" fontId="62" fillId="0" borderId="186"/>
    <xf numFmtId="0" fontId="65" fillId="50" borderId="185">
      <protection locked="0"/>
    </xf>
    <xf numFmtId="180" fontId="62" fillId="0" borderId="186"/>
    <xf numFmtId="180" fontId="62" fillId="0" borderId="186"/>
    <xf numFmtId="180" fontId="62" fillId="0" borderId="186"/>
    <xf numFmtId="172" fontId="62" fillId="0" borderId="186"/>
    <xf numFmtId="180" fontId="62" fillId="0" borderId="186"/>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2" fontId="62" fillId="0" borderId="186"/>
    <xf numFmtId="172" fontId="62" fillId="0" borderId="186"/>
    <xf numFmtId="175" fontId="62" fillId="0" borderId="186"/>
    <xf numFmtId="180" fontId="62" fillId="0" borderId="186"/>
    <xf numFmtId="172" fontId="62" fillId="0" borderId="186"/>
    <xf numFmtId="0" fontId="8" fillId="25" borderId="151" applyNumberFormat="0" applyFont="0" applyAlignment="0" applyProtection="0"/>
    <xf numFmtId="175" fontId="62" fillId="0" borderId="186"/>
    <xf numFmtId="177" fontId="62" fillId="0" borderId="186"/>
    <xf numFmtId="180" fontId="62" fillId="0" borderId="186"/>
    <xf numFmtId="172" fontId="62" fillId="0" borderId="186"/>
    <xf numFmtId="175"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5" fontId="62" fillId="0" borderId="186"/>
    <xf numFmtId="180" fontId="62" fillId="0" borderId="186"/>
    <xf numFmtId="172" fontId="62" fillId="0" borderId="186"/>
    <xf numFmtId="180" fontId="62" fillId="0" borderId="186"/>
    <xf numFmtId="180" fontId="62" fillId="0" borderId="186"/>
    <xf numFmtId="175" fontId="62" fillId="0" borderId="186"/>
    <xf numFmtId="175" fontId="62" fillId="0" borderId="186"/>
    <xf numFmtId="172" fontId="62" fillId="0" borderId="186"/>
    <xf numFmtId="172" fontId="62" fillId="0" borderId="186"/>
    <xf numFmtId="172" fontId="62" fillId="0" borderId="186"/>
    <xf numFmtId="0" fontId="65" fillId="50" borderId="189">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5" fontId="62" fillId="0" borderId="186"/>
    <xf numFmtId="0" fontId="65" fillId="50" borderId="189">
      <protection locked="0"/>
    </xf>
    <xf numFmtId="0" fontId="18" fillId="9" borderId="183" applyNumberFormat="0" applyAlignment="0" applyProtection="0"/>
    <xf numFmtId="182" fontId="62" fillId="0" borderId="186"/>
    <xf numFmtId="172" fontId="62" fillId="0" borderId="186"/>
    <xf numFmtId="0" fontId="11" fillId="22" borderId="183" applyNumberFormat="0" applyAlignment="0" applyProtection="0"/>
    <xf numFmtId="0" fontId="18" fillId="9" borderId="183" applyNumberFormat="0" applyAlignment="0" applyProtection="0"/>
    <xf numFmtId="182" fontId="62" fillId="0" borderId="186"/>
    <xf numFmtId="181" fontId="62" fillId="0" borderId="186"/>
    <xf numFmtId="180" fontId="62" fillId="0" borderId="186"/>
    <xf numFmtId="172" fontId="62" fillId="0" borderId="186"/>
    <xf numFmtId="176" fontId="62" fillId="0" borderId="186"/>
    <xf numFmtId="177" fontId="62" fillId="0" borderId="186"/>
    <xf numFmtId="176" fontId="62" fillId="0" borderId="186"/>
    <xf numFmtId="175" fontId="62" fillId="0" borderId="186"/>
    <xf numFmtId="177" fontId="62" fillId="0" borderId="186"/>
    <xf numFmtId="181" fontId="62" fillId="0" borderId="186"/>
    <xf numFmtId="174" fontId="62" fillId="0" borderId="186"/>
    <xf numFmtId="0" fontId="11" fillId="22" borderId="183" applyNumberFormat="0" applyAlignment="0" applyProtection="0"/>
    <xf numFmtId="173" fontId="62" fillId="0" borderId="186"/>
    <xf numFmtId="180" fontId="62" fillId="0" borderId="186"/>
    <xf numFmtId="177" fontId="62" fillId="0" borderId="186"/>
    <xf numFmtId="175" fontId="62" fillId="0" borderId="186"/>
    <xf numFmtId="172" fontId="62" fillId="0" borderId="186"/>
    <xf numFmtId="0" fontId="21" fillId="22" borderId="187" applyNumberFormat="0" applyAlignment="0" applyProtection="0"/>
    <xf numFmtId="0" fontId="23" fillId="0" borderId="188" applyNumberFormat="0" applyFill="0" applyAlignment="0" applyProtection="0"/>
    <xf numFmtId="181" fontId="62" fillId="0" borderId="186"/>
    <xf numFmtId="176" fontId="62" fillId="0" borderId="186"/>
    <xf numFmtId="174" fontId="62" fillId="0" borderId="186"/>
    <xf numFmtId="173" fontId="62" fillId="0" borderId="186"/>
    <xf numFmtId="172" fontId="62" fillId="0" borderId="186"/>
    <xf numFmtId="182"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11" fillId="22" borderId="183" applyNumberFormat="0" applyAlignment="0" applyProtection="0"/>
    <xf numFmtId="0" fontId="65" fillId="50" borderId="185">
      <protection locked="0"/>
    </xf>
    <xf numFmtId="0" fontId="11" fillId="22" borderId="183" applyNumberFormat="0" applyAlignment="0" applyProtection="0"/>
    <xf numFmtId="0" fontId="21" fillId="22" borderId="187" applyNumberFormat="0" applyAlignment="0" applyProtection="0"/>
    <xf numFmtId="0" fontId="65" fillId="50" borderId="185">
      <protection locked="0"/>
    </xf>
    <xf numFmtId="174" fontId="62" fillId="0" borderId="186"/>
    <xf numFmtId="173"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23" fillId="0" borderId="188" applyNumberFormat="0" applyFill="0" applyAlignment="0" applyProtection="0"/>
    <xf numFmtId="172" fontId="62" fillId="0" borderId="186"/>
    <xf numFmtId="173"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2" fontId="62" fillId="0" borderId="186"/>
    <xf numFmtId="180" fontId="62" fillId="0" borderId="186"/>
    <xf numFmtId="0" fontId="11" fillId="22" borderId="183" applyNumberFormat="0" applyAlignment="0" applyProtection="0"/>
    <xf numFmtId="0" fontId="65" fillId="50" borderId="185">
      <protection locked="0"/>
    </xf>
    <xf numFmtId="182" fontId="62" fillId="0" borderId="186"/>
    <xf numFmtId="172" fontId="62" fillId="0" borderId="186"/>
    <xf numFmtId="0" fontId="23" fillId="0" borderId="188" applyNumberFormat="0" applyFill="0" applyAlignment="0" applyProtection="0"/>
    <xf numFmtId="180" fontId="62" fillId="0" borderId="186"/>
    <xf numFmtId="0" fontId="65" fillId="50" borderId="185">
      <protection locked="0"/>
    </xf>
    <xf numFmtId="0" fontId="11" fillId="22" borderId="183" applyNumberFormat="0" applyAlignment="0" applyProtection="0"/>
    <xf numFmtId="172" fontId="62" fillId="0" borderId="186"/>
    <xf numFmtId="172" fontId="62" fillId="0" borderId="186"/>
    <xf numFmtId="0" fontId="18" fillId="9" borderId="183" applyNumberFormat="0" applyAlignment="0" applyProtection="0"/>
    <xf numFmtId="173" fontId="62" fillId="0" borderId="186"/>
    <xf numFmtId="172" fontId="62" fillId="0" borderId="186"/>
    <xf numFmtId="175" fontId="62" fillId="0" borderId="186"/>
    <xf numFmtId="172" fontId="62" fillId="0" borderId="186"/>
    <xf numFmtId="175" fontId="62" fillId="0" borderId="186"/>
    <xf numFmtId="176" fontId="62" fillId="0" borderId="186"/>
    <xf numFmtId="177" fontId="62" fillId="0" borderId="186"/>
    <xf numFmtId="0" fontId="8" fillId="25" borderId="151" applyNumberFormat="0" applyFont="0" applyAlignment="0" applyProtection="0"/>
    <xf numFmtId="175" fontId="62" fillId="0" borderId="186"/>
    <xf numFmtId="180" fontId="62" fillId="0" borderId="186"/>
    <xf numFmtId="172" fontId="62" fillId="0" borderId="186"/>
    <xf numFmtId="181" fontId="62" fillId="0" borderId="186"/>
    <xf numFmtId="182" fontId="62" fillId="0" borderId="186"/>
    <xf numFmtId="0" fontId="18" fillId="9" borderId="183" applyNumberFormat="0" applyAlignment="0" applyProtection="0"/>
    <xf numFmtId="180" fontId="62" fillId="0" borderId="186"/>
    <xf numFmtId="180" fontId="62" fillId="0" borderId="186"/>
    <xf numFmtId="175" fontId="62" fillId="0" borderId="186"/>
    <xf numFmtId="172" fontId="62" fillId="0" borderId="186"/>
    <xf numFmtId="176" fontId="62" fillId="0" borderId="186"/>
    <xf numFmtId="172" fontId="62" fillId="0" borderId="186"/>
    <xf numFmtId="172" fontId="62" fillId="0" borderId="186"/>
    <xf numFmtId="175" fontId="62" fillId="0" borderId="186"/>
    <xf numFmtId="175" fontId="62" fillId="0" borderId="186"/>
    <xf numFmtId="172" fontId="62" fillId="0" borderId="186"/>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8" fillId="25" borderId="151" applyNumberFormat="0" applyFont="0" applyAlignment="0" applyProtection="0"/>
    <xf numFmtId="174" fontId="62" fillId="0" borderId="186"/>
    <xf numFmtId="175" fontId="62" fillId="0" borderId="186"/>
    <xf numFmtId="180" fontId="62" fillId="0" borderId="186"/>
    <xf numFmtId="0" fontId="11" fillId="22" borderId="183" applyNumberFormat="0" applyAlignment="0" applyProtection="0"/>
    <xf numFmtId="174" fontId="62" fillId="0" borderId="186"/>
    <xf numFmtId="173" fontId="62" fillId="0" borderId="186"/>
    <xf numFmtId="0" fontId="21" fillId="22" borderId="187" applyNumberFormat="0" applyAlignment="0" applyProtection="0"/>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4" fontId="62" fillId="0" borderId="186"/>
    <xf numFmtId="176" fontId="62" fillId="0" borderId="186"/>
    <xf numFmtId="177"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1" fontId="62" fillId="0" borderId="186"/>
    <xf numFmtId="175" fontId="62" fillId="0" borderId="186"/>
    <xf numFmtId="180"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175" fontId="62" fillId="0" borderId="186"/>
    <xf numFmtId="180" fontId="62" fillId="0" borderId="186"/>
    <xf numFmtId="175" fontId="62" fillId="0" borderId="186"/>
    <xf numFmtId="172" fontId="62" fillId="0" borderId="186"/>
    <xf numFmtId="180" fontId="62" fillId="0" borderId="186"/>
    <xf numFmtId="175" fontId="62" fillId="0" borderId="186"/>
    <xf numFmtId="180" fontId="62" fillId="0" borderId="186"/>
    <xf numFmtId="172" fontId="62" fillId="0" borderId="186"/>
    <xf numFmtId="172" fontId="62" fillId="0" borderId="186"/>
    <xf numFmtId="180"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7" fontId="62" fillId="0" borderId="186"/>
    <xf numFmtId="0" fontId="11" fillId="22" borderId="183" applyNumberFormat="0" applyAlignment="0" applyProtection="0"/>
    <xf numFmtId="181" fontId="62" fillId="0" borderId="186"/>
    <xf numFmtId="180" fontId="62" fillId="0" borderId="186"/>
    <xf numFmtId="172" fontId="62" fillId="0" borderId="186"/>
    <xf numFmtId="172" fontId="62" fillId="0" borderId="186"/>
    <xf numFmtId="175" fontId="62" fillId="0" borderId="186"/>
    <xf numFmtId="175" fontId="62" fillId="0" borderId="186"/>
    <xf numFmtId="172" fontId="62" fillId="0" borderId="186"/>
    <xf numFmtId="0" fontId="23" fillId="0" borderId="188" applyNumberFormat="0" applyFill="0" applyAlignment="0" applyProtection="0"/>
    <xf numFmtId="175" fontId="62" fillId="0" borderId="186"/>
    <xf numFmtId="0" fontId="18" fillId="9" borderId="183" applyNumberFormat="0" applyAlignment="0" applyProtection="0"/>
    <xf numFmtId="0" fontId="21" fillId="22" borderId="187" applyNumberFormat="0" applyAlignment="0" applyProtection="0"/>
    <xf numFmtId="0" fontId="8" fillId="25" borderId="151" applyNumberFormat="0" applyFont="0" applyAlignment="0" applyProtection="0"/>
    <xf numFmtId="0" fontId="65" fillId="50" borderId="185">
      <protection locked="0"/>
    </xf>
    <xf numFmtId="180" fontId="62" fillId="0" borderId="186"/>
    <xf numFmtId="0" fontId="11" fillId="22" borderId="183" applyNumberFormat="0" applyAlignment="0" applyProtection="0"/>
    <xf numFmtId="0" fontId="18" fillId="9" borderId="183" applyNumberFormat="0" applyAlignment="0" applyProtection="0"/>
    <xf numFmtId="175" fontId="62" fillId="0" borderId="186"/>
    <xf numFmtId="172" fontId="62" fillId="0" borderId="186"/>
    <xf numFmtId="180" fontId="62" fillId="0" borderId="186"/>
    <xf numFmtId="175" fontId="62" fillId="0" borderId="186"/>
    <xf numFmtId="172" fontId="62" fillId="0" borderId="186"/>
    <xf numFmtId="173" fontId="62" fillId="0" borderId="186"/>
    <xf numFmtId="172" fontId="62" fillId="0" borderId="186"/>
    <xf numFmtId="175" fontId="62" fillId="0" borderId="186"/>
    <xf numFmtId="180" fontId="62" fillId="0" borderId="186"/>
    <xf numFmtId="172" fontId="62" fillId="0" borderId="186"/>
    <xf numFmtId="180" fontId="62" fillId="0" borderId="186"/>
    <xf numFmtId="0" fontId="11" fillId="22" borderId="183" applyNumberFormat="0" applyAlignment="0" applyProtection="0"/>
    <xf numFmtId="182" fontId="62" fillId="0" borderId="186"/>
    <xf numFmtId="176" fontId="62" fillId="0" borderId="186"/>
    <xf numFmtId="180"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23" fillId="0" borderId="188" applyNumberFormat="0" applyFill="0" applyAlignment="0" applyProtection="0"/>
    <xf numFmtId="180" fontId="62" fillId="0" borderId="186"/>
    <xf numFmtId="180" fontId="62" fillId="0" borderId="186"/>
    <xf numFmtId="175" fontId="62" fillId="0" borderId="186"/>
    <xf numFmtId="174" fontId="62" fillId="0" borderId="186"/>
    <xf numFmtId="0" fontId="8" fillId="25" borderId="151" applyNumberFormat="0" applyFont="0" applyAlignment="0" applyProtection="0"/>
    <xf numFmtId="175"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80" fontId="62" fillId="0" borderId="186"/>
    <xf numFmtId="175"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1" fillId="22" borderId="183" applyNumberFormat="0" applyAlignment="0" applyProtection="0"/>
    <xf numFmtId="0" fontId="11" fillId="22" borderId="183" applyNumberFormat="0" applyAlignment="0" applyProtection="0"/>
    <xf numFmtId="0" fontId="21" fillId="22" borderId="187"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0" fontId="18" fillId="9" borderId="183" applyNumberFormat="0" applyAlignment="0" applyProtection="0"/>
    <xf numFmtId="0" fontId="11" fillId="22" borderId="183" applyNumberFormat="0" applyAlignment="0" applyProtection="0"/>
    <xf numFmtId="177" fontId="62" fillId="0" borderId="186"/>
    <xf numFmtId="0" fontId="8" fillId="25" borderId="151" applyNumberFormat="0" applyFont="0" applyAlignment="0" applyProtection="0"/>
    <xf numFmtId="0" fontId="11" fillId="22" borderId="183" applyNumberFormat="0" applyAlignment="0" applyProtection="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21" fillId="22" borderId="187" applyNumberFormat="0" applyAlignment="0" applyProtection="0"/>
    <xf numFmtId="0" fontId="21" fillId="22" borderId="187" applyNumberFormat="0" applyAlignment="0" applyProtection="0"/>
    <xf numFmtId="0" fontId="21" fillId="22" borderId="187" applyNumberForma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3" fillId="0" borderId="188" applyNumberFormat="0" applyFill="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0" fontId="62" fillId="0" borderId="186"/>
    <xf numFmtId="180" fontId="62" fillId="0" borderId="186"/>
    <xf numFmtId="181" fontId="62" fillId="0" borderId="186"/>
    <xf numFmtId="172" fontId="62" fillId="0" borderId="186"/>
    <xf numFmtId="175" fontId="62" fillId="0" borderId="186"/>
    <xf numFmtId="175" fontId="62" fillId="0" borderId="186"/>
    <xf numFmtId="177" fontId="62" fillId="0" borderId="186"/>
    <xf numFmtId="172"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11" fillId="22"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176" fontId="62" fillId="0" borderId="186"/>
    <xf numFmtId="180"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76" fontId="62" fillId="0" borderId="186"/>
    <xf numFmtId="180" fontId="62" fillId="0" borderId="186"/>
    <xf numFmtId="181" fontId="62" fillId="0" borderId="186"/>
    <xf numFmtId="182" fontId="62" fillId="0" borderId="186"/>
    <xf numFmtId="175" fontId="62" fillId="0" borderId="186"/>
    <xf numFmtId="0" fontId="17" fillId="0" borderId="182" applyNumberFormat="0" applyFill="0" applyAlignment="0" applyProtection="0"/>
    <xf numFmtId="172" fontId="62" fillId="0" borderId="186"/>
    <xf numFmtId="0" fontId="65" fillId="50" borderId="185">
      <protection locked="0"/>
    </xf>
    <xf numFmtId="0" fontId="11" fillId="22" borderId="183" applyNumberFormat="0" applyAlignment="0" applyProtection="0"/>
    <xf numFmtId="0" fontId="11" fillId="22" borderId="183" applyNumberFormat="0" applyAlignment="0" applyProtection="0"/>
    <xf numFmtId="182" fontId="62" fillId="0" borderId="186"/>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174" fontId="62" fillId="0" borderId="186"/>
    <xf numFmtId="0" fontId="18" fillId="9" borderId="183" applyNumberFormat="0" applyAlignment="0" applyProtection="0"/>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3" fontId="62" fillId="0" borderId="186"/>
    <xf numFmtId="174" fontId="62" fillId="0" borderId="186"/>
    <xf numFmtId="0" fontId="18" fillId="9" borderId="183" applyNumberFormat="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7" fontId="62" fillId="0" borderId="186"/>
    <xf numFmtId="172" fontId="62" fillId="0" borderId="186"/>
    <xf numFmtId="173" fontId="62" fillId="0" borderId="186"/>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172" fontId="62" fillId="0" borderId="186"/>
    <xf numFmtId="180" fontId="62" fillId="0" borderId="186"/>
    <xf numFmtId="175" fontId="62" fillId="0" borderId="186"/>
    <xf numFmtId="175" fontId="62" fillId="0" borderId="186"/>
    <xf numFmtId="180" fontId="62" fillId="0" borderId="186"/>
    <xf numFmtId="172"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65" fillId="50" borderId="185">
      <protection locked="0"/>
    </xf>
    <xf numFmtId="172" fontId="62" fillId="0" borderId="186"/>
    <xf numFmtId="182" fontId="62" fillId="0" borderId="186"/>
    <xf numFmtId="175" fontId="62" fillId="0" borderId="186"/>
    <xf numFmtId="177" fontId="62" fillId="0" borderId="186"/>
    <xf numFmtId="174" fontId="62" fillId="0" borderId="186"/>
    <xf numFmtId="173" fontId="62" fillId="0" borderId="186"/>
    <xf numFmtId="180"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180" fontId="62" fillId="0" borderId="186"/>
    <xf numFmtId="181"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65" fillId="50" borderId="185">
      <protection locked="0"/>
    </xf>
    <xf numFmtId="0" fontId="65" fillId="50" borderId="185">
      <protection locked="0"/>
    </xf>
    <xf numFmtId="0" fontId="11" fillId="22" borderId="183" applyNumberFormat="0" applyAlignment="0" applyProtection="0"/>
    <xf numFmtId="175" fontId="62" fillId="0" borderId="186"/>
    <xf numFmtId="172" fontId="62" fillId="0" borderId="186"/>
    <xf numFmtId="175" fontId="62" fillId="0" borderId="186"/>
    <xf numFmtId="175" fontId="62" fillId="0" borderId="186"/>
    <xf numFmtId="0" fontId="21" fillId="22" borderId="187" applyNumberFormat="0" applyAlignment="0" applyProtection="0"/>
    <xf numFmtId="180" fontId="62" fillId="0" borderId="186"/>
    <xf numFmtId="175" fontId="62" fillId="0" borderId="186"/>
    <xf numFmtId="0" fontId="65" fillId="50" borderId="185">
      <protection locked="0"/>
    </xf>
    <xf numFmtId="0" fontId="21" fillId="22" borderId="187" applyNumberFormat="0" applyAlignment="0" applyProtection="0"/>
    <xf numFmtId="0" fontId="8" fillId="25" borderId="151" applyNumberFormat="0" applyFont="0" applyAlignment="0" applyProtection="0"/>
    <xf numFmtId="172" fontId="62" fillId="0" borderId="186"/>
    <xf numFmtId="0" fontId="8" fillId="25" borderId="151" applyNumberFormat="0" applyFont="0" applyAlignment="0" applyProtection="0"/>
    <xf numFmtId="174" fontId="62" fillId="0" borderId="186"/>
    <xf numFmtId="0" fontId="23" fillId="0" borderId="188" applyNumberFormat="0" applyFill="0" applyAlignment="0" applyProtection="0"/>
    <xf numFmtId="176" fontId="62" fillId="0" borderId="186"/>
    <xf numFmtId="175" fontId="62" fillId="0" borderId="186"/>
    <xf numFmtId="0" fontId="23" fillId="0" borderId="188" applyNumberFormat="0" applyFill="0" applyAlignment="0" applyProtection="0"/>
    <xf numFmtId="182" fontId="62" fillId="0" borderId="186"/>
    <xf numFmtId="175" fontId="62" fillId="0" borderId="186"/>
    <xf numFmtId="175" fontId="62" fillId="0" borderId="186"/>
    <xf numFmtId="0" fontId="18" fillId="9" borderId="183" applyNumberFormat="0" applyAlignment="0" applyProtection="0"/>
    <xf numFmtId="0" fontId="21" fillId="22" borderId="187" applyNumberFormat="0" applyAlignment="0" applyProtection="0"/>
    <xf numFmtId="172" fontId="62" fillId="0" borderId="186"/>
    <xf numFmtId="173" fontId="62" fillId="0" borderId="186"/>
    <xf numFmtId="177" fontId="62" fillId="0" borderId="186"/>
    <xf numFmtId="0" fontId="23" fillId="0" borderId="188" applyNumberFormat="0" applyFill="0" applyAlignment="0" applyProtection="0"/>
    <xf numFmtId="176" fontId="62" fillId="0" borderId="186"/>
    <xf numFmtId="172" fontId="62" fillId="0" borderId="186"/>
    <xf numFmtId="180" fontId="62" fillId="0" borderId="186"/>
    <xf numFmtId="0" fontId="18" fillId="9" borderId="183" applyNumberFormat="0" applyAlignment="0" applyProtection="0"/>
    <xf numFmtId="172" fontId="62" fillId="0" borderId="186"/>
    <xf numFmtId="0" fontId="21" fillId="22" borderId="187" applyNumberFormat="0" applyAlignment="0" applyProtection="0"/>
    <xf numFmtId="180" fontId="62" fillId="0" borderId="186"/>
    <xf numFmtId="172" fontId="62" fillId="0" borderId="186"/>
    <xf numFmtId="180" fontId="62" fillId="0" borderId="186"/>
    <xf numFmtId="175" fontId="62" fillId="0" borderId="186"/>
    <xf numFmtId="173" fontId="62" fillId="0" borderId="186"/>
    <xf numFmtId="172" fontId="62" fillId="0" borderId="186"/>
    <xf numFmtId="175" fontId="62" fillId="0" borderId="186"/>
    <xf numFmtId="174" fontId="62" fillId="0" borderId="186"/>
    <xf numFmtId="181" fontId="62" fillId="0" borderId="186"/>
    <xf numFmtId="180" fontId="62" fillId="0" borderId="186"/>
    <xf numFmtId="175" fontId="62" fillId="0" borderId="186"/>
    <xf numFmtId="172" fontId="62" fillId="0" borderId="186"/>
    <xf numFmtId="180" fontId="62" fillId="0" borderId="186"/>
    <xf numFmtId="175" fontId="62" fillId="0" borderId="186"/>
    <xf numFmtId="172" fontId="62" fillId="0" borderId="186"/>
    <xf numFmtId="180" fontId="62" fillId="0" borderId="186"/>
    <xf numFmtId="180" fontId="62" fillId="0" borderId="186"/>
    <xf numFmtId="181" fontId="62" fillId="0" borderId="186"/>
    <xf numFmtId="177" fontId="62" fillId="0" borderId="186"/>
    <xf numFmtId="172" fontId="62" fillId="0" borderId="186"/>
    <xf numFmtId="0" fontId="23" fillId="0" borderId="188" applyNumberFormat="0" applyFill="0" applyAlignment="0" applyProtection="0"/>
    <xf numFmtId="0" fontId="11" fillId="22" borderId="183" applyNumberFormat="0" applyAlignment="0" applyProtection="0"/>
    <xf numFmtId="172" fontId="62" fillId="0" borderId="186"/>
    <xf numFmtId="174" fontId="62" fillId="0" borderId="186"/>
    <xf numFmtId="172" fontId="62" fillId="0" borderId="186"/>
    <xf numFmtId="175" fontId="62" fillId="0" borderId="186"/>
    <xf numFmtId="180" fontId="62" fillId="0" borderId="186"/>
    <xf numFmtId="172" fontId="62" fillId="0" borderId="186"/>
    <xf numFmtId="0" fontId="18" fillId="9" borderId="183" applyNumberFormat="0" applyAlignment="0" applyProtection="0"/>
    <xf numFmtId="174" fontId="62" fillId="0" borderId="186"/>
    <xf numFmtId="0" fontId="11" fillId="22" borderId="183" applyNumberFormat="0" applyAlignment="0" applyProtection="0"/>
    <xf numFmtId="182" fontId="62" fillId="0" borderId="186"/>
    <xf numFmtId="172" fontId="62" fillId="0" borderId="186"/>
    <xf numFmtId="173" fontId="62" fillId="0" borderId="186"/>
    <xf numFmtId="175" fontId="62" fillId="0" borderId="186"/>
    <xf numFmtId="176" fontId="62" fillId="0" borderId="186"/>
    <xf numFmtId="175" fontId="62" fillId="0" borderId="186"/>
    <xf numFmtId="175" fontId="62" fillId="0" borderId="186"/>
    <xf numFmtId="0" fontId="11" fillId="22" borderId="183" applyNumberFormat="0" applyAlignment="0" applyProtection="0"/>
    <xf numFmtId="172" fontId="62" fillId="0" borderId="186"/>
    <xf numFmtId="175" fontId="62" fillId="0" borderId="186"/>
    <xf numFmtId="182" fontId="62" fillId="0" borderId="186"/>
    <xf numFmtId="172"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180" fontId="62" fillId="0" borderId="186"/>
    <xf numFmtId="172" fontId="62" fillId="0" borderId="186"/>
    <xf numFmtId="180" fontId="62" fillId="0" borderId="186"/>
    <xf numFmtId="180" fontId="62" fillId="0" borderId="186"/>
    <xf numFmtId="0" fontId="65" fillId="50" borderId="185">
      <protection locked="0"/>
    </xf>
    <xf numFmtId="0" fontId="8" fillId="25" borderId="151" applyNumberFormat="0" applyFont="0" applyAlignment="0" applyProtection="0"/>
    <xf numFmtId="180" fontId="62" fillId="0" borderId="186"/>
    <xf numFmtId="177" fontId="62" fillId="0" borderId="186"/>
    <xf numFmtId="172" fontId="62" fillId="0" borderId="186"/>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0" fontId="21" fillId="22" borderId="187" applyNumberFormat="0" applyAlignment="0" applyProtection="0"/>
    <xf numFmtId="175" fontId="62" fillId="0" borderId="186"/>
    <xf numFmtId="175" fontId="62" fillId="0" borderId="186"/>
    <xf numFmtId="173" fontId="62" fillId="0" borderId="186"/>
    <xf numFmtId="175" fontId="62" fillId="0" borderId="186"/>
    <xf numFmtId="180" fontId="62" fillId="0" borderId="186"/>
    <xf numFmtId="180" fontId="62" fillId="0" borderId="186"/>
    <xf numFmtId="172" fontId="62" fillId="0" borderId="186"/>
    <xf numFmtId="175" fontId="62" fillId="0" borderId="186"/>
    <xf numFmtId="180" fontId="62" fillId="0" borderId="186"/>
    <xf numFmtId="172" fontId="62" fillId="0" borderId="186"/>
    <xf numFmtId="174" fontId="62" fillId="0" borderId="186"/>
    <xf numFmtId="180" fontId="62" fillId="0" borderId="186"/>
    <xf numFmtId="0" fontId="23" fillId="0" borderId="188" applyNumberFormat="0" applyFill="0" applyAlignment="0" applyProtection="0"/>
    <xf numFmtId="175" fontId="62" fillId="0" borderId="186"/>
    <xf numFmtId="175" fontId="62" fillId="0" borderId="186"/>
    <xf numFmtId="180" fontId="62" fillId="0" borderId="186"/>
    <xf numFmtId="172" fontId="62" fillId="0" borderId="186"/>
    <xf numFmtId="0" fontId="18" fillId="9" borderId="183" applyNumberFormat="0" applyAlignment="0" applyProtection="0"/>
    <xf numFmtId="177" fontId="62" fillId="0" borderId="186"/>
    <xf numFmtId="176" fontId="62" fillId="0" borderId="186"/>
    <xf numFmtId="181" fontId="62" fillId="0" borderId="186"/>
    <xf numFmtId="176" fontId="62" fillId="0" borderId="186"/>
    <xf numFmtId="181" fontId="62" fillId="0" borderId="186"/>
    <xf numFmtId="173" fontId="62" fillId="0" borderId="186"/>
    <xf numFmtId="0" fontId="65" fillId="50" borderId="185">
      <protection locked="0"/>
    </xf>
    <xf numFmtId="181" fontId="62" fillId="0" borderId="186"/>
    <xf numFmtId="182" fontId="62" fillId="0" borderId="186"/>
    <xf numFmtId="0" fontId="65" fillId="50" borderId="185">
      <protection locked="0"/>
    </xf>
    <xf numFmtId="175" fontId="62" fillId="0" borderId="186"/>
    <xf numFmtId="182" fontId="62" fillId="0" borderId="186"/>
    <xf numFmtId="0" fontId="17" fillId="0" borderId="182" applyNumberFormat="0" applyFill="0" applyAlignment="0" applyProtection="0"/>
    <xf numFmtId="177" fontId="62" fillId="0" borderId="186"/>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0" fontId="62" fillId="0" borderId="186"/>
    <xf numFmtId="172" fontId="62" fillId="0" borderId="186"/>
    <xf numFmtId="175" fontId="62" fillId="0" borderId="186"/>
    <xf numFmtId="180" fontId="62" fillId="0" borderId="186"/>
    <xf numFmtId="180" fontId="62" fillId="0" borderId="186"/>
    <xf numFmtId="180" fontId="62" fillId="0" borderId="186"/>
    <xf numFmtId="175" fontId="62" fillId="0" borderId="186"/>
    <xf numFmtId="180" fontId="62" fillId="0" borderId="186"/>
    <xf numFmtId="180" fontId="62" fillId="0" borderId="186"/>
    <xf numFmtId="175" fontId="62" fillId="0" borderId="186"/>
    <xf numFmtId="175" fontId="62" fillId="0" borderId="186"/>
    <xf numFmtId="0" fontId="21" fillId="22" borderId="187" applyNumberFormat="0" applyAlignment="0" applyProtection="0"/>
    <xf numFmtId="175" fontId="62" fillId="0" borderId="186"/>
    <xf numFmtId="0" fontId="23" fillId="0" borderId="188" applyNumberFormat="0" applyFill="0" applyAlignment="0" applyProtection="0"/>
    <xf numFmtId="172" fontId="62" fillId="0" borderId="186"/>
    <xf numFmtId="172" fontId="62" fillId="0" borderId="186"/>
    <xf numFmtId="175" fontId="62" fillId="0" borderId="186"/>
    <xf numFmtId="176" fontId="62" fillId="0" borderId="186"/>
    <xf numFmtId="0" fontId="18" fillId="9" borderId="183" applyNumberFormat="0" applyAlignment="0" applyProtection="0"/>
    <xf numFmtId="172" fontId="62" fillId="0" borderId="186"/>
    <xf numFmtId="0" fontId="21" fillId="22" borderId="187" applyNumberFormat="0" applyAlignment="0" applyProtection="0"/>
    <xf numFmtId="174" fontId="62" fillId="0" borderId="186"/>
    <xf numFmtId="172" fontId="62" fillId="0" borderId="186"/>
    <xf numFmtId="0" fontId="18" fillId="9" borderId="183" applyNumberFormat="0" applyAlignment="0" applyProtection="0"/>
    <xf numFmtId="177" fontId="62" fillId="0" borderId="186"/>
    <xf numFmtId="0" fontId="11" fillId="22" borderId="183" applyNumberFormat="0" applyAlignment="0" applyProtection="0"/>
    <xf numFmtId="172" fontId="62" fillId="0" borderId="186"/>
    <xf numFmtId="172" fontId="62" fillId="0" borderId="186"/>
    <xf numFmtId="180" fontId="62" fillId="0" borderId="186"/>
    <xf numFmtId="0" fontId="65" fillId="50" borderId="185">
      <protection locked="0"/>
    </xf>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6" fontId="62" fillId="0" borderId="186"/>
    <xf numFmtId="180" fontId="62" fillId="0" borderId="186"/>
    <xf numFmtId="172" fontId="62" fillId="0" borderId="186"/>
    <xf numFmtId="172" fontId="62" fillId="0" borderId="186"/>
    <xf numFmtId="0" fontId="23" fillId="0" borderId="188" applyNumberFormat="0" applyFill="0" applyAlignment="0" applyProtection="0"/>
    <xf numFmtId="180" fontId="62" fillId="0" borderId="186"/>
    <xf numFmtId="172" fontId="62" fillId="0" borderId="186"/>
    <xf numFmtId="172" fontId="62" fillId="0" borderId="186"/>
    <xf numFmtId="180" fontId="62" fillId="0" borderId="186"/>
    <xf numFmtId="175" fontId="62" fillId="0" borderId="186"/>
    <xf numFmtId="175" fontId="62" fillId="0" borderId="186"/>
    <xf numFmtId="180" fontId="62" fillId="0" borderId="186"/>
    <xf numFmtId="180" fontId="62" fillId="0" borderId="186"/>
    <xf numFmtId="180" fontId="62" fillId="0" borderId="186"/>
    <xf numFmtId="172" fontId="62" fillId="0" borderId="186"/>
    <xf numFmtId="174" fontId="62" fillId="0" borderId="186"/>
    <xf numFmtId="172" fontId="62" fillId="0" borderId="186"/>
    <xf numFmtId="180" fontId="62" fillId="0" borderId="186"/>
    <xf numFmtId="0" fontId="18" fillId="9" borderId="183" applyNumberFormat="0" applyAlignment="0" applyProtection="0"/>
    <xf numFmtId="180" fontId="62" fillId="0" borderId="186"/>
    <xf numFmtId="180" fontId="62" fillId="0" borderId="186"/>
    <xf numFmtId="0" fontId="23" fillId="0" borderId="188" applyNumberFormat="0" applyFill="0" applyAlignment="0" applyProtection="0"/>
    <xf numFmtId="172" fontId="62" fillId="0" borderId="186"/>
    <xf numFmtId="0" fontId="8" fillId="25" borderId="151" applyNumberFormat="0" applyFont="0" applyAlignment="0" applyProtection="0"/>
    <xf numFmtId="0" fontId="18" fillId="9" borderId="183" applyNumberFormat="0" applyAlignment="0" applyProtection="0"/>
    <xf numFmtId="172" fontId="62" fillId="0" borderId="186"/>
    <xf numFmtId="180" fontId="62" fillId="0" borderId="186"/>
    <xf numFmtId="0" fontId="8" fillId="25" borderId="151" applyNumberFormat="0" applyFont="0" applyAlignment="0" applyProtection="0"/>
    <xf numFmtId="0" fontId="11" fillId="22" borderId="183" applyNumberFormat="0" applyAlignment="0" applyProtection="0"/>
    <xf numFmtId="172"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2" fontId="62" fillId="0" borderId="186"/>
    <xf numFmtId="181" fontId="62" fillId="0" borderId="186"/>
    <xf numFmtId="175" fontId="62" fillId="0" borderId="186"/>
    <xf numFmtId="175" fontId="62" fillId="0" borderId="186"/>
    <xf numFmtId="174" fontId="62" fillId="0" borderId="186"/>
    <xf numFmtId="180" fontId="62" fillId="0" borderId="186"/>
    <xf numFmtId="173" fontId="62" fillId="0" borderId="186"/>
    <xf numFmtId="0" fontId="21" fillId="22" borderId="187" applyNumberFormat="0" applyAlignment="0" applyProtection="0"/>
    <xf numFmtId="172" fontId="62" fillId="0" borderId="186"/>
    <xf numFmtId="175" fontId="62" fillId="0" borderId="186"/>
    <xf numFmtId="180" fontId="62" fillId="0" borderId="186"/>
    <xf numFmtId="0" fontId="11" fillId="22" borderId="183" applyNumberFormat="0" applyAlignment="0" applyProtection="0"/>
    <xf numFmtId="175" fontId="62" fillId="0" borderId="186"/>
    <xf numFmtId="176" fontId="62" fillId="0" borderId="186"/>
    <xf numFmtId="175" fontId="62" fillId="0" borderId="186"/>
    <xf numFmtId="182" fontId="62" fillId="0" borderId="186"/>
    <xf numFmtId="0" fontId="17" fillId="0" borderId="182" applyNumberFormat="0" applyFill="0" applyAlignment="0" applyProtection="0"/>
    <xf numFmtId="177" fontId="62" fillId="0" borderId="186"/>
    <xf numFmtId="173" fontId="62" fillId="0" borderId="186"/>
    <xf numFmtId="180" fontId="62" fillId="0" borderId="186"/>
    <xf numFmtId="181" fontId="62" fillId="0" borderId="186"/>
    <xf numFmtId="182" fontId="62" fillId="0" borderId="186"/>
    <xf numFmtId="0" fontId="65" fillId="50" borderId="185">
      <protection locked="0"/>
    </xf>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75" fontId="62" fillId="0" borderId="186"/>
    <xf numFmtId="175" fontId="62" fillId="0" borderId="186"/>
    <xf numFmtId="172" fontId="62" fillId="0" borderId="186"/>
    <xf numFmtId="0" fontId="18" fillId="9" borderId="183" applyNumberFormat="0" applyAlignment="0" applyProtection="0"/>
    <xf numFmtId="175" fontId="62" fillId="0" borderId="186"/>
    <xf numFmtId="172" fontId="62" fillId="0" borderId="186"/>
    <xf numFmtId="180" fontId="62" fillId="0" borderId="186"/>
    <xf numFmtId="174" fontId="62" fillId="0" borderId="186"/>
    <xf numFmtId="174" fontId="62" fillId="0" borderId="186"/>
    <xf numFmtId="172" fontId="62" fillId="0" borderId="186"/>
    <xf numFmtId="174" fontId="62" fillId="0" borderId="186"/>
    <xf numFmtId="175" fontId="62" fillId="0" borderId="186"/>
    <xf numFmtId="177" fontId="62" fillId="0" borderId="186"/>
    <xf numFmtId="172" fontId="62" fillId="0" borderId="186"/>
    <xf numFmtId="0" fontId="11" fillId="22" borderId="183" applyNumberFormat="0" applyAlignment="0" applyProtection="0"/>
    <xf numFmtId="180" fontId="62" fillId="0" borderId="186"/>
    <xf numFmtId="180" fontId="62" fillId="0" borderId="186"/>
    <xf numFmtId="180" fontId="62" fillId="0" borderId="186"/>
    <xf numFmtId="172" fontId="62" fillId="0" borderId="186"/>
    <xf numFmtId="0" fontId="8" fillId="25" borderId="151" applyNumberFormat="0" applyFont="0" applyAlignment="0" applyProtection="0"/>
    <xf numFmtId="172" fontId="62" fillId="0" borderId="186"/>
    <xf numFmtId="181" fontId="62" fillId="0" borderId="186"/>
    <xf numFmtId="175" fontId="62" fillId="0" borderId="186"/>
    <xf numFmtId="176" fontId="62" fillId="0" borderId="186"/>
    <xf numFmtId="0" fontId="18" fillId="9" borderId="183" applyNumberFormat="0" applyAlignment="0" applyProtection="0"/>
    <xf numFmtId="172" fontId="62" fillId="0" borderId="186"/>
    <xf numFmtId="180" fontId="62" fillId="0" borderId="186"/>
    <xf numFmtId="175" fontId="62" fillId="0" borderId="186"/>
    <xf numFmtId="180" fontId="62" fillId="0" borderId="186"/>
    <xf numFmtId="172" fontId="62" fillId="0" borderId="186"/>
    <xf numFmtId="180" fontId="62" fillId="0" borderId="186"/>
    <xf numFmtId="175" fontId="62" fillId="0" borderId="186"/>
    <xf numFmtId="175" fontId="62" fillId="0" borderId="186"/>
    <xf numFmtId="172" fontId="62" fillId="0" borderId="186"/>
    <xf numFmtId="175" fontId="62" fillId="0" borderId="186"/>
    <xf numFmtId="176" fontId="62" fillId="0" borderId="186"/>
    <xf numFmtId="175" fontId="62" fillId="0" borderId="186"/>
    <xf numFmtId="180" fontId="62" fillId="0" borderId="186"/>
    <xf numFmtId="180" fontId="62" fillId="0" borderId="186"/>
    <xf numFmtId="172" fontId="62" fillId="0" borderId="186"/>
    <xf numFmtId="0" fontId="21" fillId="22" borderId="187" applyNumberFormat="0" applyAlignment="0" applyProtection="0"/>
    <xf numFmtId="173" fontId="62" fillId="0" borderId="186"/>
    <xf numFmtId="0" fontId="23" fillId="0" borderId="188" applyNumberFormat="0" applyFill="0" applyAlignment="0" applyProtection="0"/>
    <xf numFmtId="0" fontId="8" fillId="25" borderId="151" applyNumberFormat="0" applyFont="0" applyAlignment="0" applyProtection="0"/>
    <xf numFmtId="175" fontId="62" fillId="0" borderId="186"/>
    <xf numFmtId="0" fontId="65" fillId="50" borderId="185">
      <protection locked="0"/>
    </xf>
    <xf numFmtId="176" fontId="62" fillId="0" borderId="186"/>
    <xf numFmtId="0" fontId="23" fillId="0" borderId="188" applyNumberFormat="0" applyFill="0" applyAlignment="0" applyProtection="0"/>
    <xf numFmtId="175" fontId="62" fillId="0" borderId="186"/>
    <xf numFmtId="0" fontId="21" fillId="22" borderId="187" applyNumberFormat="0" applyAlignment="0" applyProtection="0"/>
    <xf numFmtId="172" fontId="62" fillId="0" borderId="186"/>
    <xf numFmtId="182" fontId="62" fillId="0" borderId="186"/>
    <xf numFmtId="172" fontId="62" fillId="0" borderId="186"/>
    <xf numFmtId="180" fontId="62" fillId="0" borderId="186"/>
    <xf numFmtId="0" fontId="11" fillId="22" borderId="183" applyNumberFormat="0" applyAlignment="0" applyProtection="0"/>
    <xf numFmtId="175" fontId="62" fillId="0" borderId="186"/>
    <xf numFmtId="181" fontId="62" fillId="0" borderId="186"/>
    <xf numFmtId="175" fontId="62" fillId="0" borderId="186"/>
    <xf numFmtId="172" fontId="62" fillId="0" borderId="186"/>
    <xf numFmtId="175" fontId="62" fillId="0" borderId="186"/>
    <xf numFmtId="173" fontId="62" fillId="0" borderId="186"/>
    <xf numFmtId="180" fontId="62" fillId="0" borderId="186"/>
    <xf numFmtId="177" fontId="62" fillId="0" borderId="186"/>
    <xf numFmtId="175" fontId="62" fillId="0" borderId="186"/>
    <xf numFmtId="173" fontId="62" fillId="0" borderId="186"/>
    <xf numFmtId="172" fontId="62" fillId="0" borderId="186"/>
    <xf numFmtId="181" fontId="62" fillId="0" borderId="186"/>
    <xf numFmtId="182" fontId="62" fillId="0" borderId="186"/>
    <xf numFmtId="0" fontId="65" fillId="50" borderId="185">
      <protection locked="0"/>
    </xf>
    <xf numFmtId="180" fontId="62" fillId="0" borderId="186"/>
    <xf numFmtId="180" fontId="62" fillId="0" borderId="186"/>
    <xf numFmtId="180" fontId="62" fillId="0" borderId="186"/>
    <xf numFmtId="172" fontId="62" fillId="0" borderId="186"/>
    <xf numFmtId="180" fontId="62" fillId="0" borderId="186"/>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2" fontId="62" fillId="0" borderId="186"/>
    <xf numFmtId="172" fontId="62" fillId="0" borderId="186"/>
    <xf numFmtId="175" fontId="62" fillId="0" borderId="186"/>
    <xf numFmtId="180" fontId="62" fillId="0" borderId="186"/>
    <xf numFmtId="172" fontId="62" fillId="0" borderId="186"/>
    <xf numFmtId="0" fontId="8" fillId="25" borderId="151" applyNumberFormat="0" applyFont="0" applyAlignment="0" applyProtection="0"/>
    <xf numFmtId="175" fontId="62" fillId="0" borderId="186"/>
    <xf numFmtId="177" fontId="62" fillId="0" borderId="186"/>
    <xf numFmtId="180" fontId="62" fillId="0" borderId="186"/>
    <xf numFmtId="172" fontId="62" fillId="0" borderId="186"/>
    <xf numFmtId="175"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5" fontId="62" fillId="0" borderId="186"/>
    <xf numFmtId="180" fontId="62" fillId="0" borderId="186"/>
    <xf numFmtId="172" fontId="62" fillId="0" borderId="186"/>
    <xf numFmtId="180" fontId="62" fillId="0" borderId="186"/>
    <xf numFmtId="180" fontId="62" fillId="0" borderId="186"/>
    <xf numFmtId="175" fontId="62" fillId="0" borderId="186"/>
    <xf numFmtId="175" fontId="62" fillId="0" borderId="186"/>
    <xf numFmtId="172" fontId="62" fillId="0" borderId="186"/>
    <xf numFmtId="172" fontId="62" fillId="0" borderId="186"/>
    <xf numFmtId="17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5" fontId="62" fillId="0" borderId="186"/>
    <xf numFmtId="0" fontId="65" fillId="50" borderId="185">
      <protection locked="0"/>
    </xf>
    <xf numFmtId="182" fontId="62" fillId="0" borderId="186"/>
    <xf numFmtId="172" fontId="62" fillId="0" borderId="186"/>
    <xf numFmtId="0" fontId="11" fillId="22" borderId="183" applyNumberFormat="0" applyAlignment="0" applyProtection="0"/>
    <xf numFmtId="0" fontId="18" fillId="9" borderId="183" applyNumberFormat="0" applyAlignment="0" applyProtection="0"/>
    <xf numFmtId="182" fontId="62" fillId="0" borderId="186"/>
    <xf numFmtId="181" fontId="62" fillId="0" borderId="186"/>
    <xf numFmtId="180" fontId="62" fillId="0" borderId="186"/>
    <xf numFmtId="172" fontId="62" fillId="0" borderId="186"/>
    <xf numFmtId="176" fontId="62" fillId="0" borderId="186"/>
    <xf numFmtId="177" fontId="62" fillId="0" borderId="186"/>
    <xf numFmtId="176" fontId="62" fillId="0" borderId="186"/>
    <xf numFmtId="175" fontId="62" fillId="0" borderId="186"/>
    <xf numFmtId="177" fontId="62" fillId="0" borderId="186"/>
    <xf numFmtId="181" fontId="62" fillId="0" borderId="186"/>
    <xf numFmtId="174" fontId="62" fillId="0" borderId="186"/>
    <xf numFmtId="0" fontId="11" fillId="22" borderId="183" applyNumberFormat="0" applyAlignment="0" applyProtection="0"/>
    <xf numFmtId="173" fontId="62" fillId="0" borderId="186"/>
    <xf numFmtId="180" fontId="62" fillId="0" borderId="186"/>
    <xf numFmtId="177" fontId="62" fillId="0" borderId="186"/>
    <xf numFmtId="175" fontId="62" fillId="0" borderId="186"/>
    <xf numFmtId="172" fontId="62" fillId="0" borderId="186"/>
    <xf numFmtId="0" fontId="21" fillId="22" borderId="187" applyNumberFormat="0" applyAlignment="0" applyProtection="0"/>
    <xf numFmtId="0" fontId="23" fillId="0" borderId="188" applyNumberFormat="0" applyFill="0" applyAlignment="0" applyProtection="0"/>
    <xf numFmtId="181" fontId="62" fillId="0" borderId="186"/>
    <xf numFmtId="176" fontId="62" fillId="0" borderId="186"/>
    <xf numFmtId="174" fontId="62" fillId="0" borderId="186"/>
    <xf numFmtId="173" fontId="62" fillId="0" borderId="186"/>
    <xf numFmtId="172" fontId="62" fillId="0" borderId="186"/>
    <xf numFmtId="182"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11" fillId="22" borderId="183" applyNumberFormat="0" applyAlignment="0" applyProtection="0"/>
    <xf numFmtId="0" fontId="65" fillId="50" borderId="185">
      <protection locked="0"/>
    </xf>
    <xf numFmtId="0" fontId="11" fillId="22" borderId="183" applyNumberFormat="0" applyAlignment="0" applyProtection="0"/>
    <xf numFmtId="0" fontId="21" fillId="22" borderId="187" applyNumberFormat="0" applyAlignment="0" applyProtection="0"/>
    <xf numFmtId="0" fontId="65" fillId="50" borderId="185">
      <protection locked="0"/>
    </xf>
    <xf numFmtId="174" fontId="62" fillId="0" borderId="186"/>
    <xf numFmtId="173"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23" fillId="0" borderId="188" applyNumberFormat="0" applyFill="0" applyAlignment="0" applyProtection="0"/>
    <xf numFmtId="172" fontId="62" fillId="0" borderId="186"/>
    <xf numFmtId="173"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2" fontId="62" fillId="0" borderId="186"/>
    <xf numFmtId="180" fontId="62" fillId="0" borderId="186"/>
    <xf numFmtId="0" fontId="11" fillId="22" borderId="183" applyNumberFormat="0" applyAlignment="0" applyProtection="0"/>
    <xf numFmtId="0" fontId="65" fillId="50" borderId="185">
      <protection locked="0"/>
    </xf>
    <xf numFmtId="182" fontId="62" fillId="0" borderId="186"/>
    <xf numFmtId="172" fontId="62" fillId="0" borderId="186"/>
    <xf numFmtId="0" fontId="23" fillId="0" borderId="188" applyNumberFormat="0" applyFill="0" applyAlignment="0" applyProtection="0"/>
    <xf numFmtId="180" fontId="62" fillId="0" borderId="186"/>
    <xf numFmtId="0" fontId="65" fillId="50" borderId="185">
      <protection locked="0"/>
    </xf>
    <xf numFmtId="0" fontId="11" fillId="22" borderId="183" applyNumberFormat="0" applyAlignment="0" applyProtection="0"/>
    <xf numFmtId="172" fontId="62" fillId="0" borderId="186"/>
    <xf numFmtId="172" fontId="62" fillId="0" borderId="186"/>
    <xf numFmtId="0" fontId="18" fillId="9" borderId="183" applyNumberFormat="0" applyAlignment="0" applyProtection="0"/>
    <xf numFmtId="173" fontId="62" fillId="0" borderId="186"/>
    <xf numFmtId="172" fontId="62" fillId="0" borderId="186"/>
    <xf numFmtId="175" fontId="62" fillId="0" borderId="186"/>
    <xf numFmtId="172" fontId="62" fillId="0" borderId="186"/>
    <xf numFmtId="175" fontId="62" fillId="0" borderId="186"/>
    <xf numFmtId="176" fontId="62" fillId="0" borderId="186"/>
    <xf numFmtId="177" fontId="62" fillId="0" borderId="186"/>
    <xf numFmtId="0" fontId="8" fillId="25" borderId="151" applyNumberFormat="0" applyFont="0" applyAlignment="0" applyProtection="0"/>
    <xf numFmtId="175" fontId="62" fillId="0" borderId="186"/>
    <xf numFmtId="180" fontId="62" fillId="0" borderId="186"/>
    <xf numFmtId="172" fontId="62" fillId="0" borderId="186"/>
    <xf numFmtId="181" fontId="62" fillId="0" borderId="186"/>
    <xf numFmtId="182" fontId="62" fillId="0" borderId="186"/>
    <xf numFmtId="0" fontId="18" fillId="9" borderId="183" applyNumberFormat="0" applyAlignment="0" applyProtection="0"/>
    <xf numFmtId="180" fontId="62" fillId="0" borderId="186"/>
    <xf numFmtId="180" fontId="62" fillId="0" borderId="186"/>
    <xf numFmtId="175" fontId="62" fillId="0" borderId="186"/>
    <xf numFmtId="172" fontId="62" fillId="0" borderId="186"/>
    <xf numFmtId="176" fontId="62" fillId="0" borderId="186"/>
    <xf numFmtId="172" fontId="62" fillId="0" borderId="186"/>
    <xf numFmtId="172" fontId="62" fillId="0" borderId="186"/>
    <xf numFmtId="175" fontId="62" fillId="0" borderId="186"/>
    <xf numFmtId="175" fontId="62" fillId="0" borderId="186"/>
    <xf numFmtId="172" fontId="62" fillId="0" borderId="186"/>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8" fillId="25" borderId="151" applyNumberFormat="0" applyFont="0" applyAlignment="0" applyProtection="0"/>
    <xf numFmtId="174" fontId="62" fillId="0" borderId="186"/>
    <xf numFmtId="175" fontId="62" fillId="0" borderId="186"/>
    <xf numFmtId="180" fontId="62" fillId="0" borderId="186"/>
    <xf numFmtId="0" fontId="11" fillId="22" borderId="183" applyNumberFormat="0" applyAlignment="0" applyProtection="0"/>
    <xf numFmtId="174" fontId="62" fillId="0" borderId="186"/>
    <xf numFmtId="173" fontId="62" fillId="0" borderId="186"/>
    <xf numFmtId="0" fontId="21" fillId="22" borderId="187" applyNumberFormat="0" applyAlignment="0" applyProtection="0"/>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4" fontId="62" fillId="0" borderId="186"/>
    <xf numFmtId="176" fontId="62" fillId="0" borderId="186"/>
    <xf numFmtId="177"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1" fontId="62" fillId="0" borderId="186"/>
    <xf numFmtId="175" fontId="62" fillId="0" borderId="186"/>
    <xf numFmtId="180"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175" fontId="62" fillId="0" borderId="186"/>
    <xf numFmtId="180" fontId="62" fillId="0" borderId="186"/>
    <xf numFmtId="175" fontId="62" fillId="0" borderId="186"/>
    <xf numFmtId="172" fontId="62" fillId="0" borderId="186"/>
    <xf numFmtId="180" fontId="62" fillId="0" borderId="186"/>
    <xf numFmtId="175" fontId="62" fillId="0" borderId="186"/>
    <xf numFmtId="180" fontId="62" fillId="0" borderId="186"/>
    <xf numFmtId="172" fontId="62" fillId="0" borderId="186"/>
    <xf numFmtId="172" fontId="62" fillId="0" borderId="186"/>
    <xf numFmtId="180"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7" fontId="62" fillId="0" borderId="186"/>
    <xf numFmtId="0" fontId="11" fillId="22" borderId="183" applyNumberFormat="0" applyAlignment="0" applyProtection="0"/>
    <xf numFmtId="181" fontId="62" fillId="0" borderId="186"/>
    <xf numFmtId="180" fontId="62" fillId="0" borderId="186"/>
    <xf numFmtId="172" fontId="62" fillId="0" borderId="186"/>
    <xf numFmtId="172" fontId="62" fillId="0" borderId="186"/>
    <xf numFmtId="175" fontId="62" fillId="0" borderId="186"/>
    <xf numFmtId="175" fontId="62" fillId="0" borderId="186"/>
    <xf numFmtId="172" fontId="62" fillId="0" borderId="186"/>
    <xf numFmtId="0" fontId="23" fillId="0" borderId="188" applyNumberFormat="0" applyFill="0" applyAlignment="0" applyProtection="0"/>
    <xf numFmtId="175" fontId="62" fillId="0" borderId="186"/>
    <xf numFmtId="0" fontId="18" fillId="9" borderId="183" applyNumberFormat="0" applyAlignment="0" applyProtection="0"/>
    <xf numFmtId="0" fontId="21" fillId="22" borderId="187" applyNumberFormat="0" applyAlignment="0" applyProtection="0"/>
    <xf numFmtId="0" fontId="8" fillId="25" borderId="151" applyNumberFormat="0" applyFont="0" applyAlignment="0" applyProtection="0"/>
    <xf numFmtId="0" fontId="65" fillId="50" borderId="185">
      <protection locked="0"/>
    </xf>
    <xf numFmtId="180" fontId="62" fillId="0" borderId="186"/>
    <xf numFmtId="0" fontId="11" fillId="22" borderId="183" applyNumberFormat="0" applyAlignment="0" applyProtection="0"/>
    <xf numFmtId="0" fontId="18" fillId="9" borderId="183" applyNumberFormat="0" applyAlignment="0" applyProtection="0"/>
    <xf numFmtId="175" fontId="62" fillId="0" borderId="186"/>
    <xf numFmtId="172" fontId="62" fillId="0" borderId="186"/>
    <xf numFmtId="180" fontId="62" fillId="0" borderId="186"/>
    <xf numFmtId="175" fontId="62" fillId="0" borderId="186"/>
    <xf numFmtId="172" fontId="62" fillId="0" borderId="186"/>
    <xf numFmtId="173" fontId="62" fillId="0" borderId="186"/>
    <xf numFmtId="172" fontId="62" fillId="0" borderId="186"/>
    <xf numFmtId="175" fontId="62" fillId="0" borderId="186"/>
    <xf numFmtId="180" fontId="62" fillId="0" borderId="186"/>
    <xf numFmtId="172" fontId="62" fillId="0" borderId="186"/>
    <xf numFmtId="180" fontId="62" fillId="0" borderId="186"/>
    <xf numFmtId="0" fontId="11" fillId="22" borderId="183" applyNumberFormat="0" applyAlignment="0" applyProtection="0"/>
    <xf numFmtId="182" fontId="62" fillId="0" borderId="186"/>
    <xf numFmtId="176" fontId="62" fillId="0" borderId="186"/>
    <xf numFmtId="180"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23" fillId="0" borderId="188" applyNumberFormat="0" applyFill="0" applyAlignment="0" applyProtection="0"/>
    <xf numFmtId="180" fontId="62" fillId="0" borderId="186"/>
    <xf numFmtId="180" fontId="62" fillId="0" borderId="186"/>
    <xf numFmtId="175" fontId="62" fillId="0" borderId="186"/>
    <xf numFmtId="174" fontId="62" fillId="0" borderId="186"/>
    <xf numFmtId="0" fontId="8" fillId="25" borderId="151" applyNumberFormat="0" applyFont="0" applyAlignment="0" applyProtection="0"/>
    <xf numFmtId="175"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80" fontId="62" fillId="0" borderId="186"/>
    <xf numFmtId="175"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21" fillId="22" borderId="187" applyNumberFormat="0" applyAlignment="0" applyProtection="0"/>
    <xf numFmtId="0" fontId="21" fillId="22" borderId="187" applyNumberFormat="0" applyAlignment="0" applyProtection="0"/>
    <xf numFmtId="0" fontId="17" fillId="0" borderId="182" applyNumberFormat="0" applyFill="0" applyAlignment="0" applyProtection="0"/>
    <xf numFmtId="0" fontId="17" fillId="0" borderId="182" applyNumberFormat="0" applyFill="0" applyAlignment="0" applyProtection="0"/>
    <xf numFmtId="0" fontId="21" fillId="22" borderId="187" applyNumberFormat="0" applyAlignment="0" applyProtection="0"/>
    <xf numFmtId="0" fontId="18" fillId="9" borderId="183" applyNumberFormat="0" applyAlignment="0" applyProtection="0"/>
    <xf numFmtId="0" fontId="18" fillId="9" borderId="183"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172" fontId="62" fillId="0" borderId="186"/>
    <xf numFmtId="173" fontId="62" fillId="0" borderId="186"/>
    <xf numFmtId="174" fontId="62" fillId="0" borderId="186"/>
    <xf numFmtId="175" fontId="62" fillId="0" borderId="186"/>
    <xf numFmtId="0" fontId="8" fillId="25" borderId="151" applyNumberFormat="0" applyFont="0" applyAlignment="0" applyProtection="0"/>
    <xf numFmtId="0" fontId="8" fillId="25" borderId="151" applyNumberFormat="0" applyFont="0" applyAlignment="0" applyProtection="0"/>
    <xf numFmtId="0" fontId="21" fillId="22" borderId="187" applyNumberFormat="0" applyAlignment="0" applyProtection="0"/>
    <xf numFmtId="0" fontId="21" fillId="22" borderId="187" applyNumberFormat="0" applyAlignment="0" applyProtection="0"/>
    <xf numFmtId="180" fontId="62" fillId="0" borderId="186"/>
    <xf numFmtId="0" fontId="65" fillId="50" borderId="185">
      <protection locked="0"/>
    </xf>
    <xf numFmtId="0" fontId="65" fillId="50" borderId="185">
      <protection locked="0"/>
    </xf>
    <xf numFmtId="0" fontId="11" fillId="22" borderId="183" applyNumberFormat="0" applyAlignment="0" applyProtection="0"/>
    <xf numFmtId="180" fontId="62" fillId="0" borderId="186"/>
    <xf numFmtId="0" fontId="23" fillId="0" borderId="188" applyNumberFormat="0" applyFill="0" applyAlignment="0" applyProtection="0"/>
    <xf numFmtId="0" fontId="23" fillId="0" borderId="188" applyNumberFormat="0" applyFill="0" applyAlignment="0" applyProtection="0"/>
    <xf numFmtId="172" fontId="62" fillId="0" borderId="186"/>
    <xf numFmtId="172" fontId="62" fillId="0" borderId="186"/>
    <xf numFmtId="0" fontId="18" fillId="9" borderId="183" applyNumberFormat="0" applyAlignment="0" applyProtection="0"/>
    <xf numFmtId="180" fontId="62" fillId="0" borderId="186"/>
    <xf numFmtId="0" fontId="65" fillId="50" borderId="185">
      <protection locked="0"/>
    </xf>
    <xf numFmtId="0" fontId="17" fillId="0" borderId="182" applyNumberFormat="0" applyFill="0" applyAlignment="0" applyProtection="0"/>
    <xf numFmtId="176" fontId="62" fillId="0" borderId="186"/>
    <xf numFmtId="175" fontId="62" fillId="0" borderId="186"/>
    <xf numFmtId="175" fontId="62" fillId="0" borderId="186"/>
    <xf numFmtId="172" fontId="62" fillId="0" borderId="186"/>
    <xf numFmtId="172" fontId="62" fillId="0" borderId="186"/>
    <xf numFmtId="172" fontId="62" fillId="0" borderId="186"/>
    <xf numFmtId="0" fontId="11" fillId="22" borderId="183" applyNumberFormat="0" applyAlignment="0" applyProtection="0"/>
    <xf numFmtId="0" fontId="8" fillId="25" borderId="151" applyNumberFormat="0" applyFont="0" applyAlignment="0" applyProtection="0"/>
    <xf numFmtId="181" fontId="62" fillId="0" borderId="186"/>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21" fillId="22" borderId="187" applyNumberFormat="0" applyAlignment="0" applyProtection="0"/>
    <xf numFmtId="0" fontId="21" fillId="22" borderId="187" applyNumberFormat="0" applyAlignment="0" applyProtection="0"/>
    <xf numFmtId="0" fontId="21" fillId="22" borderId="187" applyNumberForma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3" fillId="0" borderId="188" applyNumberFormat="0" applyFill="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0" fontId="62" fillId="0" borderId="186"/>
    <xf numFmtId="180" fontId="62" fillId="0" borderId="186"/>
    <xf numFmtId="181" fontId="62" fillId="0" borderId="186"/>
    <xf numFmtId="172" fontId="62" fillId="0" borderId="186"/>
    <xf numFmtId="175" fontId="62" fillId="0" borderId="186"/>
    <xf numFmtId="175" fontId="62" fillId="0" borderId="186"/>
    <xf numFmtId="177" fontId="62" fillId="0" borderId="186"/>
    <xf numFmtId="172"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11" fillId="22"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0" fontId="8" fillId="25" borderId="151" applyNumberFormat="0" applyFont="0" applyAlignment="0" applyProtection="0"/>
    <xf numFmtId="176" fontId="62" fillId="0" borderId="186"/>
    <xf numFmtId="180"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76" fontId="62" fillId="0" borderId="186"/>
    <xf numFmtId="180" fontId="62" fillId="0" borderId="186"/>
    <xf numFmtId="181" fontId="62" fillId="0" borderId="186"/>
    <xf numFmtId="182" fontId="62" fillId="0" borderId="186"/>
    <xf numFmtId="175" fontId="62" fillId="0" borderId="186"/>
    <xf numFmtId="0" fontId="17" fillId="0" borderId="182" applyNumberFormat="0" applyFill="0" applyAlignment="0" applyProtection="0"/>
    <xf numFmtId="172" fontId="62" fillId="0" borderId="186"/>
    <xf numFmtId="0" fontId="65" fillId="50" borderId="185">
      <protection locked="0"/>
    </xf>
    <xf numFmtId="0" fontId="11" fillId="22" borderId="183" applyNumberFormat="0" applyAlignment="0" applyProtection="0"/>
    <xf numFmtId="0" fontId="11" fillId="22" borderId="183" applyNumberFormat="0" applyAlignment="0" applyProtection="0"/>
    <xf numFmtId="182" fontId="62" fillId="0" borderId="186"/>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174" fontId="62" fillId="0" borderId="186"/>
    <xf numFmtId="0" fontId="18" fillId="9" borderId="183" applyNumberFormat="0" applyAlignment="0" applyProtection="0"/>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3" fontId="62" fillId="0" borderId="186"/>
    <xf numFmtId="174" fontId="62" fillId="0" borderId="186"/>
    <xf numFmtId="0" fontId="18" fillId="9" borderId="183" applyNumberFormat="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177" fontId="62" fillId="0" borderId="196"/>
    <xf numFmtId="0" fontId="21" fillId="22" borderId="187" applyNumberFormat="0" applyAlignment="0" applyProtection="0"/>
    <xf numFmtId="0" fontId="23" fillId="0" borderId="188" applyNumberFormat="0" applyFill="0" applyAlignment="0" applyProtection="0"/>
    <xf numFmtId="177" fontId="62" fillId="0" borderId="186"/>
    <xf numFmtId="172" fontId="62" fillId="0" borderId="186"/>
    <xf numFmtId="173" fontId="62" fillId="0" borderId="186"/>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172" fontId="62" fillId="0" borderId="186"/>
    <xf numFmtId="180" fontId="62" fillId="0" borderId="186"/>
    <xf numFmtId="175" fontId="62" fillId="0" borderId="186"/>
    <xf numFmtId="175" fontId="62" fillId="0" borderId="186"/>
    <xf numFmtId="180" fontId="62" fillId="0" borderId="186"/>
    <xf numFmtId="172"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65" fillId="50" borderId="185">
      <protection locked="0"/>
    </xf>
    <xf numFmtId="172" fontId="62" fillId="0" borderId="186"/>
    <xf numFmtId="182" fontId="62" fillId="0" borderId="186"/>
    <xf numFmtId="175" fontId="62" fillId="0" borderId="186"/>
    <xf numFmtId="177" fontId="62" fillId="0" borderId="186"/>
    <xf numFmtId="174" fontId="62" fillId="0" borderId="186"/>
    <xf numFmtId="173" fontId="62" fillId="0" borderId="186"/>
    <xf numFmtId="180"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180" fontId="62" fillId="0" borderId="186"/>
    <xf numFmtId="181"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65" fillId="50" borderId="185">
      <protection locked="0"/>
    </xf>
    <xf numFmtId="0" fontId="65" fillId="50" borderId="185">
      <protection locked="0"/>
    </xf>
    <xf numFmtId="0" fontId="11" fillId="22" borderId="183" applyNumberFormat="0" applyAlignment="0" applyProtection="0"/>
    <xf numFmtId="175" fontId="62" fillId="0" borderId="186"/>
    <xf numFmtId="172" fontId="62" fillId="0" borderId="186"/>
    <xf numFmtId="175" fontId="62" fillId="0" borderId="186"/>
    <xf numFmtId="175" fontId="62" fillId="0" borderId="186"/>
    <xf numFmtId="0" fontId="21" fillId="22" borderId="187" applyNumberFormat="0" applyAlignment="0" applyProtection="0"/>
    <xf numFmtId="180" fontId="62" fillId="0" borderId="186"/>
    <xf numFmtId="175" fontId="62" fillId="0" borderId="186"/>
    <xf numFmtId="0" fontId="65" fillId="50" borderId="185">
      <protection locked="0"/>
    </xf>
    <xf numFmtId="0" fontId="21" fillId="22" borderId="187" applyNumberFormat="0" applyAlignment="0" applyProtection="0"/>
    <xf numFmtId="0" fontId="8" fillId="25" borderId="151" applyNumberFormat="0" applyFont="0" applyAlignment="0" applyProtection="0"/>
    <xf numFmtId="172" fontId="62" fillId="0" borderId="186"/>
    <xf numFmtId="0" fontId="8" fillId="25" borderId="151" applyNumberFormat="0" applyFont="0" applyAlignment="0" applyProtection="0"/>
    <xf numFmtId="174" fontId="62" fillId="0" borderId="186"/>
    <xf numFmtId="0" fontId="23" fillId="0" borderId="188" applyNumberFormat="0" applyFill="0" applyAlignment="0" applyProtection="0"/>
    <xf numFmtId="176" fontId="62" fillId="0" borderId="186"/>
    <xf numFmtId="175" fontId="62" fillId="0" borderId="186"/>
    <xf numFmtId="0" fontId="23" fillId="0" borderId="188" applyNumberFormat="0" applyFill="0" applyAlignment="0" applyProtection="0"/>
    <xf numFmtId="182" fontId="62" fillId="0" borderId="186"/>
    <xf numFmtId="175" fontId="62" fillId="0" borderId="186"/>
    <xf numFmtId="175" fontId="62" fillId="0" borderId="186"/>
    <xf numFmtId="0" fontId="18" fillId="9" borderId="183" applyNumberFormat="0" applyAlignment="0" applyProtection="0"/>
    <xf numFmtId="0" fontId="21" fillId="22" borderId="187" applyNumberFormat="0" applyAlignment="0" applyProtection="0"/>
    <xf numFmtId="172" fontId="62" fillId="0" borderId="186"/>
    <xf numFmtId="0" fontId="18" fillId="9" borderId="191" applyNumberFormat="0" applyAlignment="0" applyProtection="0"/>
    <xf numFmtId="173" fontId="62" fillId="0" borderId="186"/>
    <xf numFmtId="177" fontId="62" fillId="0" borderId="186"/>
    <xf numFmtId="0" fontId="23" fillId="0" borderId="188" applyNumberFormat="0" applyFill="0" applyAlignment="0" applyProtection="0"/>
    <xf numFmtId="0" fontId="8" fillId="25" borderId="151" applyNumberFormat="0" applyFont="0" applyAlignment="0" applyProtection="0"/>
    <xf numFmtId="176" fontId="62" fillId="0" borderId="186"/>
    <xf numFmtId="172" fontId="62" fillId="0" borderId="186"/>
    <xf numFmtId="180" fontId="62" fillId="0" borderId="186"/>
    <xf numFmtId="0" fontId="18" fillId="9" borderId="183" applyNumberFormat="0" applyAlignment="0" applyProtection="0"/>
    <xf numFmtId="172" fontId="62" fillId="0" borderId="186"/>
    <xf numFmtId="0" fontId="21" fillId="22" borderId="187" applyNumberFormat="0" applyAlignment="0" applyProtection="0"/>
    <xf numFmtId="180" fontId="62" fillId="0" borderId="186"/>
    <xf numFmtId="172" fontId="62" fillId="0" borderId="186"/>
    <xf numFmtId="180" fontId="62" fillId="0" borderId="186"/>
    <xf numFmtId="175" fontId="62" fillId="0" borderId="186"/>
    <xf numFmtId="173" fontId="62" fillId="0" borderId="186"/>
    <xf numFmtId="172" fontId="62" fillId="0" borderId="186"/>
    <xf numFmtId="175" fontId="62" fillId="0" borderId="186"/>
    <xf numFmtId="174" fontId="62" fillId="0" borderId="186"/>
    <xf numFmtId="181" fontId="62" fillId="0" borderId="186"/>
    <xf numFmtId="180" fontId="62" fillId="0" borderId="186"/>
    <xf numFmtId="175" fontId="62" fillId="0" borderId="186"/>
    <xf numFmtId="172" fontId="62" fillId="0" borderId="186"/>
    <xf numFmtId="180" fontId="62" fillId="0" borderId="186"/>
    <xf numFmtId="175" fontId="62" fillId="0" borderId="186"/>
    <xf numFmtId="172" fontId="62" fillId="0" borderId="186"/>
    <xf numFmtId="180" fontId="62" fillId="0" borderId="186"/>
    <xf numFmtId="180" fontId="62" fillId="0" borderId="186"/>
    <xf numFmtId="181" fontId="62" fillId="0" borderId="186"/>
    <xf numFmtId="177" fontId="62" fillId="0" borderId="186"/>
    <xf numFmtId="172" fontId="62" fillId="0" borderId="186"/>
    <xf numFmtId="0" fontId="23" fillId="0" borderId="188" applyNumberFormat="0" applyFill="0" applyAlignment="0" applyProtection="0"/>
    <xf numFmtId="0" fontId="11" fillId="22" borderId="183" applyNumberFormat="0" applyAlignment="0" applyProtection="0"/>
    <xf numFmtId="172" fontId="62" fillId="0" borderId="186"/>
    <xf numFmtId="174" fontId="62" fillId="0" borderId="186"/>
    <xf numFmtId="172" fontId="62" fillId="0" borderId="186"/>
    <xf numFmtId="175" fontId="62" fillId="0" borderId="186"/>
    <xf numFmtId="180" fontId="62" fillId="0" borderId="186"/>
    <xf numFmtId="172" fontId="62" fillId="0" borderId="186"/>
    <xf numFmtId="0" fontId="18" fillId="9" borderId="183" applyNumberFormat="0" applyAlignment="0" applyProtection="0"/>
    <xf numFmtId="174" fontId="62" fillId="0" borderId="186"/>
    <xf numFmtId="0" fontId="11" fillId="22" borderId="183" applyNumberFormat="0" applyAlignment="0" applyProtection="0"/>
    <xf numFmtId="182" fontId="62" fillId="0" borderId="186"/>
    <xf numFmtId="172" fontId="62" fillId="0" borderId="186"/>
    <xf numFmtId="173" fontId="62" fillId="0" borderId="186"/>
    <xf numFmtId="175" fontId="62" fillId="0" borderId="186"/>
    <xf numFmtId="176" fontId="62" fillId="0" borderId="186"/>
    <xf numFmtId="175" fontId="62" fillId="0" borderId="186"/>
    <xf numFmtId="175" fontId="62" fillId="0" borderId="186"/>
    <xf numFmtId="0" fontId="11" fillId="22" borderId="183" applyNumberFormat="0" applyAlignment="0" applyProtection="0"/>
    <xf numFmtId="172" fontId="62" fillId="0" borderId="186"/>
    <xf numFmtId="175" fontId="62" fillId="0" borderId="186"/>
    <xf numFmtId="182" fontId="62" fillId="0" borderId="186"/>
    <xf numFmtId="172"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172" fontId="62" fillId="0" borderId="186"/>
    <xf numFmtId="180" fontId="62" fillId="0" borderId="186"/>
    <xf numFmtId="180" fontId="62" fillId="0" borderId="186"/>
    <xf numFmtId="0" fontId="65" fillId="50" borderId="185">
      <protection locked="0"/>
    </xf>
    <xf numFmtId="0" fontId="8" fillId="25" borderId="151" applyNumberFormat="0" applyFont="0" applyAlignment="0" applyProtection="0"/>
    <xf numFmtId="180" fontId="62" fillId="0" borderId="186"/>
    <xf numFmtId="177" fontId="62" fillId="0" borderId="186"/>
    <xf numFmtId="172" fontId="62" fillId="0" borderId="186"/>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0" fontId="21" fillId="22" borderId="187" applyNumberFormat="0" applyAlignment="0" applyProtection="0"/>
    <xf numFmtId="175" fontId="62" fillId="0" borderId="186"/>
    <xf numFmtId="175" fontId="62" fillId="0" borderId="186"/>
    <xf numFmtId="173" fontId="62" fillId="0" borderId="186"/>
    <xf numFmtId="175" fontId="62" fillId="0" borderId="186"/>
    <xf numFmtId="180" fontId="62" fillId="0" borderId="186"/>
    <xf numFmtId="180" fontId="62" fillId="0" borderId="186"/>
    <xf numFmtId="172" fontId="62" fillId="0" borderId="186"/>
    <xf numFmtId="175" fontId="62" fillId="0" borderId="186"/>
    <xf numFmtId="180" fontId="62" fillId="0" borderId="186"/>
    <xf numFmtId="172" fontId="62" fillId="0" borderId="186"/>
    <xf numFmtId="174" fontId="62" fillId="0" borderId="186"/>
    <xf numFmtId="180" fontId="62" fillId="0" borderId="186"/>
    <xf numFmtId="0" fontId="23" fillId="0" borderId="188" applyNumberFormat="0" applyFill="0" applyAlignment="0" applyProtection="0"/>
    <xf numFmtId="175" fontId="62" fillId="0" borderId="186"/>
    <xf numFmtId="175" fontId="62" fillId="0" borderId="186"/>
    <xf numFmtId="180" fontId="62" fillId="0" borderId="186"/>
    <xf numFmtId="172" fontId="62" fillId="0" borderId="186"/>
    <xf numFmtId="0" fontId="18" fillId="9" borderId="183" applyNumberFormat="0" applyAlignment="0" applyProtection="0"/>
    <xf numFmtId="177" fontId="62" fillId="0" borderId="186"/>
    <xf numFmtId="176" fontId="62" fillId="0" borderId="186"/>
    <xf numFmtId="181" fontId="62" fillId="0" borderId="186"/>
    <xf numFmtId="176" fontId="62" fillId="0" borderId="186"/>
    <xf numFmtId="181" fontId="62" fillId="0" borderId="186"/>
    <xf numFmtId="173" fontId="62" fillId="0" borderId="186"/>
    <xf numFmtId="0" fontId="65" fillId="50" borderId="185">
      <protection locked="0"/>
    </xf>
    <xf numFmtId="181" fontId="62" fillId="0" borderId="186"/>
    <xf numFmtId="182" fontId="62" fillId="0" borderId="186"/>
    <xf numFmtId="0" fontId="65" fillId="50" borderId="185">
      <protection locked="0"/>
    </xf>
    <xf numFmtId="175" fontId="62" fillId="0" borderId="186"/>
    <xf numFmtId="182" fontId="62" fillId="0" borderId="186"/>
    <xf numFmtId="0" fontId="17" fillId="0" borderId="182" applyNumberFormat="0" applyFill="0" applyAlignment="0" applyProtection="0"/>
    <xf numFmtId="177" fontId="62" fillId="0" borderId="186"/>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0" fontId="62" fillId="0" borderId="186"/>
    <xf numFmtId="172" fontId="62" fillId="0" borderId="186"/>
    <xf numFmtId="175" fontId="62" fillId="0" borderId="186"/>
    <xf numFmtId="180" fontId="62" fillId="0" borderId="186"/>
    <xf numFmtId="180" fontId="62" fillId="0" borderId="186"/>
    <xf numFmtId="180" fontId="62" fillId="0" borderId="186"/>
    <xf numFmtId="175" fontId="62" fillId="0" borderId="186"/>
    <xf numFmtId="180" fontId="62" fillId="0" borderId="186"/>
    <xf numFmtId="180" fontId="62" fillId="0" borderId="186"/>
    <xf numFmtId="175" fontId="62" fillId="0" borderId="186"/>
    <xf numFmtId="175" fontId="62" fillId="0" borderId="186"/>
    <xf numFmtId="0" fontId="21" fillId="22" borderId="187" applyNumberFormat="0" applyAlignment="0" applyProtection="0"/>
    <xf numFmtId="175" fontId="62" fillId="0" borderId="186"/>
    <xf numFmtId="0" fontId="23" fillId="0" borderId="188" applyNumberFormat="0" applyFill="0" applyAlignment="0" applyProtection="0"/>
    <xf numFmtId="172" fontId="62" fillId="0" borderId="186"/>
    <xf numFmtId="172" fontId="62" fillId="0" borderId="186"/>
    <xf numFmtId="175" fontId="62" fillId="0" borderId="186"/>
    <xf numFmtId="176" fontId="62" fillId="0" borderId="186"/>
    <xf numFmtId="0" fontId="18" fillId="9" borderId="183" applyNumberFormat="0" applyAlignment="0" applyProtection="0"/>
    <xf numFmtId="172" fontId="62" fillId="0" borderId="186"/>
    <xf numFmtId="0" fontId="21" fillId="22" borderId="187" applyNumberFormat="0" applyAlignment="0" applyProtection="0"/>
    <xf numFmtId="174" fontId="62" fillId="0" borderId="186"/>
    <xf numFmtId="172" fontId="62" fillId="0" borderId="186"/>
    <xf numFmtId="0" fontId="18" fillId="9" borderId="183" applyNumberFormat="0" applyAlignment="0" applyProtection="0"/>
    <xf numFmtId="177" fontId="62" fillId="0" borderId="186"/>
    <xf numFmtId="0" fontId="11" fillId="22" borderId="183" applyNumberFormat="0" applyAlignment="0" applyProtection="0"/>
    <xf numFmtId="172" fontId="62" fillId="0" borderId="186"/>
    <xf numFmtId="172" fontId="62" fillId="0" borderId="186"/>
    <xf numFmtId="180" fontId="62" fillId="0" borderId="186"/>
    <xf numFmtId="0" fontId="65" fillId="50" borderId="185">
      <protection locked="0"/>
    </xf>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6" fontId="62" fillId="0" borderId="186"/>
    <xf numFmtId="180" fontId="62" fillId="0" borderId="186"/>
    <xf numFmtId="172" fontId="62" fillId="0" borderId="186"/>
    <xf numFmtId="172" fontId="62" fillId="0" borderId="186"/>
    <xf numFmtId="0" fontId="23" fillId="0" borderId="188" applyNumberFormat="0" applyFill="0" applyAlignment="0" applyProtection="0"/>
    <xf numFmtId="180" fontId="62" fillId="0" borderId="186"/>
    <xf numFmtId="172" fontId="62" fillId="0" borderId="186"/>
    <xf numFmtId="172" fontId="62" fillId="0" borderId="186"/>
    <xf numFmtId="180" fontId="62" fillId="0" borderId="186"/>
    <xf numFmtId="175" fontId="62" fillId="0" borderId="186"/>
    <xf numFmtId="175" fontId="62" fillId="0" borderId="186"/>
    <xf numFmtId="180" fontId="62" fillId="0" borderId="186"/>
    <xf numFmtId="180" fontId="62" fillId="0" borderId="186"/>
    <xf numFmtId="180" fontId="62" fillId="0" borderId="186"/>
    <xf numFmtId="172" fontId="62" fillId="0" borderId="186"/>
    <xf numFmtId="174" fontId="62" fillId="0" borderId="186"/>
    <xf numFmtId="172" fontId="62" fillId="0" borderId="186"/>
    <xf numFmtId="180" fontId="62" fillId="0" borderId="186"/>
    <xf numFmtId="0" fontId="18" fillId="9" borderId="183" applyNumberFormat="0" applyAlignment="0" applyProtection="0"/>
    <xf numFmtId="180" fontId="62" fillId="0" borderId="186"/>
    <xf numFmtId="180" fontId="62" fillId="0" borderId="186"/>
    <xf numFmtId="0" fontId="23" fillId="0" borderId="188" applyNumberFormat="0" applyFill="0" applyAlignment="0" applyProtection="0"/>
    <xf numFmtId="172" fontId="62" fillId="0" borderId="186"/>
    <xf numFmtId="0" fontId="8" fillId="25" borderId="151" applyNumberFormat="0" applyFont="0" applyAlignment="0" applyProtection="0"/>
    <xf numFmtId="0" fontId="18" fillId="9" borderId="183" applyNumberFormat="0" applyAlignment="0" applyProtection="0"/>
    <xf numFmtId="172" fontId="62" fillId="0" borderId="186"/>
    <xf numFmtId="180" fontId="62" fillId="0" borderId="186"/>
    <xf numFmtId="0" fontId="8" fillId="25" borderId="151" applyNumberFormat="0" applyFont="0" applyAlignment="0" applyProtection="0"/>
    <xf numFmtId="0" fontId="11" fillId="22" borderId="183" applyNumberFormat="0" applyAlignment="0" applyProtection="0"/>
    <xf numFmtId="172"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2" fontId="62" fillId="0" borderId="186"/>
    <xf numFmtId="181" fontId="62" fillId="0" borderId="186"/>
    <xf numFmtId="175" fontId="62" fillId="0" borderId="186"/>
    <xf numFmtId="175" fontId="62" fillId="0" borderId="186"/>
    <xf numFmtId="174" fontId="62" fillId="0" borderId="186"/>
    <xf numFmtId="180" fontId="62" fillId="0" borderId="186"/>
    <xf numFmtId="173" fontId="62" fillId="0" borderId="186"/>
    <xf numFmtId="0" fontId="21" fillId="22" borderId="187" applyNumberFormat="0" applyAlignment="0" applyProtection="0"/>
    <xf numFmtId="172" fontId="62" fillId="0" borderId="186"/>
    <xf numFmtId="175" fontId="62" fillId="0" borderId="186"/>
    <xf numFmtId="180" fontId="62" fillId="0" borderId="186"/>
    <xf numFmtId="0" fontId="11" fillId="22" borderId="183" applyNumberFormat="0" applyAlignment="0" applyProtection="0"/>
    <xf numFmtId="175" fontId="62" fillId="0" borderId="186"/>
    <xf numFmtId="176" fontId="62" fillId="0" borderId="186"/>
    <xf numFmtId="175" fontId="62" fillId="0" borderId="186"/>
    <xf numFmtId="182" fontId="62" fillId="0" borderId="186"/>
    <xf numFmtId="0" fontId="17" fillId="0" borderId="182" applyNumberFormat="0" applyFill="0" applyAlignment="0" applyProtection="0"/>
    <xf numFmtId="177" fontId="62" fillId="0" borderId="186"/>
    <xf numFmtId="173" fontId="62" fillId="0" borderId="186"/>
    <xf numFmtId="180" fontId="62" fillId="0" borderId="186"/>
    <xf numFmtId="181" fontId="62" fillId="0" borderId="186"/>
    <xf numFmtId="182" fontId="62" fillId="0" borderId="186"/>
    <xf numFmtId="0" fontId="65" fillId="50" borderId="185">
      <protection locked="0"/>
    </xf>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75" fontId="62" fillId="0" borderId="186"/>
    <xf numFmtId="175" fontId="62" fillId="0" borderId="186"/>
    <xf numFmtId="172" fontId="62" fillId="0" borderId="186"/>
    <xf numFmtId="0" fontId="18" fillId="9" borderId="183" applyNumberFormat="0" applyAlignment="0" applyProtection="0"/>
    <xf numFmtId="175" fontId="62" fillId="0" borderId="186"/>
    <xf numFmtId="172" fontId="62" fillId="0" borderId="186"/>
    <xf numFmtId="180" fontId="62" fillId="0" borderId="186"/>
    <xf numFmtId="174" fontId="62" fillId="0" borderId="186"/>
    <xf numFmtId="174" fontId="62" fillId="0" borderId="186"/>
    <xf numFmtId="172" fontId="62" fillId="0" borderId="186"/>
    <xf numFmtId="174" fontId="62" fillId="0" borderId="186"/>
    <xf numFmtId="175" fontId="62" fillId="0" borderId="186"/>
    <xf numFmtId="177" fontId="62" fillId="0" borderId="186"/>
    <xf numFmtId="172" fontId="62" fillId="0" borderId="186"/>
    <xf numFmtId="0" fontId="11" fillId="22" borderId="183" applyNumberFormat="0" applyAlignment="0" applyProtection="0"/>
    <xf numFmtId="180" fontId="62" fillId="0" borderId="186"/>
    <xf numFmtId="180" fontId="62" fillId="0" borderId="186"/>
    <xf numFmtId="180" fontId="62" fillId="0" borderId="186"/>
    <xf numFmtId="172" fontId="62" fillId="0" borderId="186"/>
    <xf numFmtId="0" fontId="8" fillId="25" borderId="151" applyNumberFormat="0" applyFont="0" applyAlignment="0" applyProtection="0"/>
    <xf numFmtId="172" fontId="62" fillId="0" borderId="186"/>
    <xf numFmtId="181" fontId="62" fillId="0" borderId="186"/>
    <xf numFmtId="175" fontId="62" fillId="0" borderId="186"/>
    <xf numFmtId="176" fontId="62" fillId="0" borderId="186"/>
    <xf numFmtId="0" fontId="18" fillId="9" borderId="183" applyNumberFormat="0" applyAlignment="0" applyProtection="0"/>
    <xf numFmtId="172" fontId="62" fillId="0" borderId="186"/>
    <xf numFmtId="180" fontId="62" fillId="0" borderId="186"/>
    <xf numFmtId="175" fontId="62" fillId="0" borderId="186"/>
    <xf numFmtId="180" fontId="62" fillId="0" borderId="186"/>
    <xf numFmtId="172" fontId="62" fillId="0" borderId="186"/>
    <xf numFmtId="180" fontId="62" fillId="0" borderId="186"/>
    <xf numFmtId="175" fontId="62" fillId="0" borderId="186"/>
    <xf numFmtId="175" fontId="62" fillId="0" borderId="186"/>
    <xf numFmtId="172" fontId="62" fillId="0" borderId="186"/>
    <xf numFmtId="175" fontId="62" fillId="0" borderId="186"/>
    <xf numFmtId="176" fontId="62" fillId="0" borderId="186"/>
    <xf numFmtId="175" fontId="62" fillId="0" borderId="186"/>
    <xf numFmtId="180" fontId="62" fillId="0" borderId="186"/>
    <xf numFmtId="180" fontId="62" fillId="0" borderId="186"/>
    <xf numFmtId="172" fontId="62" fillId="0" borderId="186"/>
    <xf numFmtId="0" fontId="21" fillId="22" borderId="187" applyNumberFormat="0" applyAlignment="0" applyProtection="0"/>
    <xf numFmtId="173" fontId="62" fillId="0" borderId="186"/>
    <xf numFmtId="0" fontId="23" fillId="0" borderId="188" applyNumberFormat="0" applyFill="0" applyAlignment="0" applyProtection="0"/>
    <xf numFmtId="0" fontId="8" fillId="25" borderId="151" applyNumberFormat="0" applyFont="0" applyAlignment="0" applyProtection="0"/>
    <xf numFmtId="175" fontId="62" fillId="0" borderId="186"/>
    <xf numFmtId="0" fontId="65" fillId="50" borderId="185">
      <protection locked="0"/>
    </xf>
    <xf numFmtId="176" fontId="62" fillId="0" borderId="186"/>
    <xf numFmtId="0" fontId="23" fillId="0" borderId="188" applyNumberFormat="0" applyFill="0" applyAlignment="0" applyProtection="0"/>
    <xf numFmtId="175" fontId="62" fillId="0" borderId="186"/>
    <xf numFmtId="0" fontId="21" fillId="22" borderId="187" applyNumberFormat="0" applyAlignment="0" applyProtection="0"/>
    <xf numFmtId="172" fontId="62" fillId="0" borderId="186"/>
    <xf numFmtId="182" fontId="62" fillId="0" borderId="186"/>
    <xf numFmtId="172" fontId="62" fillId="0" borderId="186"/>
    <xf numFmtId="180" fontId="62" fillId="0" borderId="186"/>
    <xf numFmtId="0" fontId="11" fillId="22" borderId="183" applyNumberFormat="0" applyAlignment="0" applyProtection="0"/>
    <xf numFmtId="175" fontId="62" fillId="0" borderId="186"/>
    <xf numFmtId="181" fontId="62" fillId="0" borderId="186"/>
    <xf numFmtId="175" fontId="62" fillId="0" borderId="186"/>
    <xf numFmtId="172" fontId="62" fillId="0" borderId="186"/>
    <xf numFmtId="175" fontId="62" fillId="0" borderId="186"/>
    <xf numFmtId="173" fontId="62" fillId="0" borderId="186"/>
    <xf numFmtId="180" fontId="62" fillId="0" borderId="186"/>
    <xf numFmtId="177" fontId="62" fillId="0" borderId="186"/>
    <xf numFmtId="175" fontId="62" fillId="0" borderId="186"/>
    <xf numFmtId="173" fontId="62" fillId="0" borderId="186"/>
    <xf numFmtId="172" fontId="62" fillId="0" borderId="186"/>
    <xf numFmtId="181" fontId="62" fillId="0" borderId="186"/>
    <xf numFmtId="182" fontId="62" fillId="0" borderId="186"/>
    <xf numFmtId="0" fontId="65" fillId="50" borderId="185">
      <protection locked="0"/>
    </xf>
    <xf numFmtId="180" fontId="62" fillId="0" borderId="186"/>
    <xf numFmtId="180" fontId="62" fillId="0" borderId="186"/>
    <xf numFmtId="180" fontId="62" fillId="0" borderId="186"/>
    <xf numFmtId="172" fontId="62" fillId="0" borderId="186"/>
    <xf numFmtId="180" fontId="62" fillId="0" borderId="186"/>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2" fontId="62" fillId="0" borderId="186"/>
    <xf numFmtId="172" fontId="62" fillId="0" borderId="186"/>
    <xf numFmtId="175" fontId="62" fillId="0" borderId="186"/>
    <xf numFmtId="180" fontId="62" fillId="0" borderId="186"/>
    <xf numFmtId="172" fontId="62" fillId="0" borderId="186"/>
    <xf numFmtId="0" fontId="8" fillId="25" borderId="151" applyNumberFormat="0" applyFont="0" applyAlignment="0" applyProtection="0"/>
    <xf numFmtId="175" fontId="62" fillId="0" borderId="186"/>
    <xf numFmtId="177" fontId="62" fillId="0" borderId="186"/>
    <xf numFmtId="180" fontId="62" fillId="0" borderId="186"/>
    <xf numFmtId="172" fontId="62" fillId="0" borderId="186"/>
    <xf numFmtId="175"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5" fontId="62" fillId="0" borderId="186"/>
    <xf numFmtId="180" fontId="62" fillId="0" borderId="186"/>
    <xf numFmtId="172" fontId="62" fillId="0" borderId="186"/>
    <xf numFmtId="180" fontId="62" fillId="0" borderId="186"/>
    <xf numFmtId="180" fontId="62" fillId="0" borderId="186"/>
    <xf numFmtId="175" fontId="62" fillId="0" borderId="186"/>
    <xf numFmtId="175" fontId="62" fillId="0" borderId="186"/>
    <xf numFmtId="172" fontId="62" fillId="0" borderId="186"/>
    <xf numFmtId="172" fontId="62" fillId="0" borderId="186"/>
    <xf numFmtId="17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5" fontId="62" fillId="0" borderId="186"/>
    <xf numFmtId="0" fontId="65" fillId="50" borderId="185">
      <protection locked="0"/>
    </xf>
    <xf numFmtId="0" fontId="8" fillId="25" borderId="151" applyNumberFormat="0" applyFont="0" applyAlignment="0" applyProtection="0"/>
    <xf numFmtId="182" fontId="62" fillId="0" borderId="186"/>
    <xf numFmtId="172" fontId="62" fillId="0" borderId="186"/>
    <xf numFmtId="0" fontId="11" fillId="22" borderId="183" applyNumberFormat="0" applyAlignment="0" applyProtection="0"/>
    <xf numFmtId="0" fontId="18" fillId="9" borderId="183" applyNumberFormat="0" applyAlignment="0" applyProtection="0"/>
    <xf numFmtId="182" fontId="62" fillId="0" borderId="186"/>
    <xf numFmtId="181" fontId="62" fillId="0" borderId="186"/>
    <xf numFmtId="180" fontId="62" fillId="0" borderId="186"/>
    <xf numFmtId="172" fontId="62" fillId="0" borderId="186"/>
    <xf numFmtId="176" fontId="62" fillId="0" borderId="186"/>
    <xf numFmtId="177" fontId="62" fillId="0" borderId="186"/>
    <xf numFmtId="176" fontId="62" fillId="0" borderId="186"/>
    <xf numFmtId="175" fontId="62" fillId="0" borderId="186"/>
    <xf numFmtId="177" fontId="62" fillId="0" borderId="186"/>
    <xf numFmtId="181" fontId="62" fillId="0" borderId="186"/>
    <xf numFmtId="174" fontId="62" fillId="0" borderId="186"/>
    <xf numFmtId="0" fontId="11" fillId="22" borderId="183" applyNumberFormat="0" applyAlignment="0" applyProtection="0"/>
    <xf numFmtId="173" fontId="62" fillId="0" borderId="186"/>
    <xf numFmtId="180" fontId="62" fillId="0" borderId="186"/>
    <xf numFmtId="177" fontId="62" fillId="0" borderId="186"/>
    <xf numFmtId="175" fontId="62" fillId="0" borderId="186"/>
    <xf numFmtId="172" fontId="62" fillId="0" borderId="186"/>
    <xf numFmtId="0" fontId="21" fillId="22" borderId="187" applyNumberFormat="0" applyAlignment="0" applyProtection="0"/>
    <xf numFmtId="0" fontId="23" fillId="0" borderId="188" applyNumberFormat="0" applyFill="0" applyAlignment="0" applyProtection="0"/>
    <xf numFmtId="181" fontId="62" fillId="0" borderId="186"/>
    <xf numFmtId="176" fontId="62" fillId="0" borderId="186"/>
    <xf numFmtId="174" fontId="62" fillId="0" borderId="186"/>
    <xf numFmtId="173" fontId="62" fillId="0" borderId="186"/>
    <xf numFmtId="172" fontId="62" fillId="0" borderId="186"/>
    <xf numFmtId="182"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11" fillId="22" borderId="183" applyNumberFormat="0" applyAlignment="0" applyProtection="0"/>
    <xf numFmtId="0" fontId="65" fillId="50" borderId="185">
      <protection locked="0"/>
    </xf>
    <xf numFmtId="0" fontId="11" fillId="22" borderId="183" applyNumberFormat="0" applyAlignment="0" applyProtection="0"/>
    <xf numFmtId="0" fontId="21" fillId="22" borderId="187" applyNumberFormat="0" applyAlignment="0" applyProtection="0"/>
    <xf numFmtId="0" fontId="65" fillId="50" borderId="185">
      <protection locked="0"/>
    </xf>
    <xf numFmtId="174" fontId="62" fillId="0" borderId="186"/>
    <xf numFmtId="173"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23" fillId="0" borderId="188" applyNumberFormat="0" applyFill="0" applyAlignment="0" applyProtection="0"/>
    <xf numFmtId="172" fontId="62" fillId="0" borderId="186"/>
    <xf numFmtId="173"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2" fontId="62" fillId="0" borderId="186"/>
    <xf numFmtId="180" fontId="62" fillId="0" borderId="186"/>
    <xf numFmtId="0" fontId="11" fillId="22" borderId="183" applyNumberFormat="0" applyAlignment="0" applyProtection="0"/>
    <xf numFmtId="0" fontId="65" fillId="50" borderId="185">
      <protection locked="0"/>
    </xf>
    <xf numFmtId="182" fontId="62" fillId="0" borderId="186"/>
    <xf numFmtId="172" fontId="62" fillId="0" borderId="186"/>
    <xf numFmtId="0" fontId="23" fillId="0" borderId="188" applyNumberFormat="0" applyFill="0" applyAlignment="0" applyProtection="0"/>
    <xf numFmtId="180" fontId="62" fillId="0" borderId="186"/>
    <xf numFmtId="0" fontId="65" fillId="50" borderId="185">
      <protection locked="0"/>
    </xf>
    <xf numFmtId="0" fontId="11" fillId="22" borderId="183" applyNumberFormat="0" applyAlignment="0" applyProtection="0"/>
    <xf numFmtId="172" fontId="62" fillId="0" borderId="186"/>
    <xf numFmtId="172" fontId="62" fillId="0" borderId="186"/>
    <xf numFmtId="0" fontId="18" fillId="9" borderId="183" applyNumberFormat="0" applyAlignment="0" applyProtection="0"/>
    <xf numFmtId="173" fontId="62" fillId="0" borderId="186"/>
    <xf numFmtId="172" fontId="62" fillId="0" borderId="186"/>
    <xf numFmtId="175" fontId="62" fillId="0" borderId="186"/>
    <xf numFmtId="172" fontId="62" fillId="0" borderId="186"/>
    <xf numFmtId="175" fontId="62" fillId="0" borderId="186"/>
    <xf numFmtId="176" fontId="62" fillId="0" borderId="186"/>
    <xf numFmtId="177" fontId="62" fillId="0" borderId="186"/>
    <xf numFmtId="0" fontId="8" fillId="25" borderId="151" applyNumberFormat="0" applyFont="0" applyAlignment="0" applyProtection="0"/>
    <xf numFmtId="175" fontId="62" fillId="0" borderId="186"/>
    <xf numFmtId="180" fontId="62" fillId="0" borderId="186"/>
    <xf numFmtId="172" fontId="62" fillId="0" borderId="186"/>
    <xf numFmtId="181" fontId="62" fillId="0" borderId="186"/>
    <xf numFmtId="182" fontId="62" fillId="0" borderId="186"/>
    <xf numFmtId="0" fontId="18" fillId="9" borderId="183" applyNumberFormat="0" applyAlignment="0" applyProtection="0"/>
    <xf numFmtId="180" fontId="62" fillId="0" borderId="186"/>
    <xf numFmtId="180" fontId="62" fillId="0" borderId="186"/>
    <xf numFmtId="175" fontId="62" fillId="0" borderId="186"/>
    <xf numFmtId="172" fontId="62" fillId="0" borderId="186"/>
    <xf numFmtId="176" fontId="62" fillId="0" borderId="186"/>
    <xf numFmtId="172" fontId="62" fillId="0" borderId="186"/>
    <xf numFmtId="172" fontId="62" fillId="0" borderId="186"/>
    <xf numFmtId="175" fontId="62" fillId="0" borderId="186"/>
    <xf numFmtId="175" fontId="62" fillId="0" borderId="186"/>
    <xf numFmtId="172" fontId="62" fillId="0" borderId="186"/>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8" fillId="25" borderId="151" applyNumberFormat="0" applyFont="0" applyAlignment="0" applyProtection="0"/>
    <xf numFmtId="174" fontId="62" fillId="0" borderId="186"/>
    <xf numFmtId="175" fontId="62" fillId="0" borderId="186"/>
    <xf numFmtId="180" fontId="62" fillId="0" borderId="186"/>
    <xf numFmtId="0" fontId="11" fillId="22" borderId="183" applyNumberFormat="0" applyAlignment="0" applyProtection="0"/>
    <xf numFmtId="174" fontId="62" fillId="0" borderId="186"/>
    <xf numFmtId="173" fontId="62" fillId="0" borderId="186"/>
    <xf numFmtId="0" fontId="21" fillId="22" borderId="187" applyNumberFormat="0" applyAlignment="0" applyProtection="0"/>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4" fontId="62" fillId="0" borderId="186"/>
    <xf numFmtId="176" fontId="62" fillId="0" borderId="186"/>
    <xf numFmtId="177"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1" fontId="62" fillId="0" borderId="186"/>
    <xf numFmtId="175" fontId="62" fillId="0" borderId="186"/>
    <xf numFmtId="180"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175" fontId="62" fillId="0" borderId="186"/>
    <xf numFmtId="180" fontId="62" fillId="0" borderId="186"/>
    <xf numFmtId="175" fontId="62" fillId="0" borderId="186"/>
    <xf numFmtId="172" fontId="62" fillId="0" borderId="186"/>
    <xf numFmtId="180" fontId="62" fillId="0" borderId="186"/>
    <xf numFmtId="175" fontId="62" fillId="0" borderId="186"/>
    <xf numFmtId="180" fontId="62" fillId="0" borderId="186"/>
    <xf numFmtId="172" fontId="62" fillId="0" borderId="186"/>
    <xf numFmtId="172" fontId="62" fillId="0" borderId="186"/>
    <xf numFmtId="180"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7" fontId="62" fillId="0" borderId="186"/>
    <xf numFmtId="0" fontId="11" fillId="22" borderId="183" applyNumberFormat="0" applyAlignment="0" applyProtection="0"/>
    <xf numFmtId="181" fontId="62" fillId="0" borderId="186"/>
    <xf numFmtId="180" fontId="62" fillId="0" borderId="186"/>
    <xf numFmtId="172" fontId="62" fillId="0" borderId="186"/>
    <xf numFmtId="172" fontId="62" fillId="0" borderId="186"/>
    <xf numFmtId="175" fontId="62" fillId="0" borderId="186"/>
    <xf numFmtId="175" fontId="62" fillId="0" borderId="186"/>
    <xf numFmtId="172" fontId="62" fillId="0" borderId="186"/>
    <xf numFmtId="0" fontId="23" fillId="0" borderId="188" applyNumberFormat="0" applyFill="0" applyAlignment="0" applyProtection="0"/>
    <xf numFmtId="175" fontId="62" fillId="0" borderId="186"/>
    <xf numFmtId="0" fontId="18" fillId="9" borderId="183" applyNumberFormat="0" applyAlignment="0" applyProtection="0"/>
    <xf numFmtId="0" fontId="21" fillId="22" borderId="187" applyNumberFormat="0" applyAlignment="0" applyProtection="0"/>
    <xf numFmtId="0" fontId="8" fillId="25" borderId="151" applyNumberFormat="0" applyFont="0" applyAlignment="0" applyProtection="0"/>
    <xf numFmtId="0" fontId="65" fillId="50" borderId="185">
      <protection locked="0"/>
    </xf>
    <xf numFmtId="180" fontId="62" fillId="0" borderId="186"/>
    <xf numFmtId="0" fontId="11" fillId="22" borderId="183" applyNumberFormat="0" applyAlignment="0" applyProtection="0"/>
    <xf numFmtId="0" fontId="18" fillId="9" borderId="183" applyNumberFormat="0" applyAlignment="0" applyProtection="0"/>
    <xf numFmtId="175" fontId="62" fillId="0" borderId="186"/>
    <xf numFmtId="172" fontId="62" fillId="0" borderId="186"/>
    <xf numFmtId="180" fontId="62" fillId="0" borderId="186"/>
    <xf numFmtId="175" fontId="62" fillId="0" borderId="186"/>
    <xf numFmtId="172" fontId="62" fillId="0" borderId="186"/>
    <xf numFmtId="173" fontId="62" fillId="0" borderId="186"/>
    <xf numFmtId="172" fontId="62" fillId="0" borderId="186"/>
    <xf numFmtId="175" fontId="62" fillId="0" borderId="186"/>
    <xf numFmtId="180" fontId="62" fillId="0" borderId="186"/>
    <xf numFmtId="172" fontId="62" fillId="0" borderId="186"/>
    <xf numFmtId="180" fontId="62" fillId="0" borderId="186"/>
    <xf numFmtId="0" fontId="11" fillId="22" borderId="183" applyNumberFormat="0" applyAlignment="0" applyProtection="0"/>
    <xf numFmtId="182" fontId="62" fillId="0" borderId="186"/>
    <xf numFmtId="176" fontId="62" fillId="0" borderId="186"/>
    <xf numFmtId="180"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23" fillId="0" borderId="188" applyNumberFormat="0" applyFill="0" applyAlignment="0" applyProtection="0"/>
    <xf numFmtId="180" fontId="62" fillId="0" borderId="186"/>
    <xf numFmtId="180" fontId="62" fillId="0" borderId="186"/>
    <xf numFmtId="175" fontId="62" fillId="0" borderId="186"/>
    <xf numFmtId="174" fontId="62" fillId="0" borderId="186"/>
    <xf numFmtId="0" fontId="8" fillId="25" borderId="151" applyNumberFormat="0" applyFont="0" applyAlignment="0" applyProtection="0"/>
    <xf numFmtId="175"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80" fontId="62" fillId="0" borderId="186"/>
    <xf numFmtId="175"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90"/>
    <xf numFmtId="172" fontId="62" fillId="0" borderId="190"/>
    <xf numFmtId="180" fontId="62" fillId="0" borderId="190"/>
    <xf numFmtId="0" fontId="23" fillId="0" borderId="188" applyNumberFormat="0" applyFill="0" applyAlignment="0" applyProtection="0"/>
    <xf numFmtId="180" fontId="62" fillId="0" borderId="186"/>
    <xf numFmtId="173" fontId="62" fillId="0" borderId="186"/>
    <xf numFmtId="172" fontId="62" fillId="0" borderId="186"/>
    <xf numFmtId="0" fontId="21" fillId="22" borderId="187" applyNumberFormat="0" applyAlignment="0" applyProtection="0"/>
    <xf numFmtId="0" fontId="65" fillId="50" borderId="189">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80" fontId="62" fillId="0" borderId="186"/>
    <xf numFmtId="0" fontId="11" fillId="22" borderId="183" applyNumberFormat="0" applyAlignment="0" applyProtection="0"/>
    <xf numFmtId="0" fontId="65" fillId="50" borderId="185">
      <protection locked="0"/>
    </xf>
    <xf numFmtId="0" fontId="18" fillId="9" borderId="183" applyNumberFormat="0" applyAlignment="0" applyProtection="0"/>
    <xf numFmtId="0" fontId="18" fillId="9" borderId="183" applyNumberFormat="0" applyAlignment="0" applyProtection="0"/>
    <xf numFmtId="0" fontId="65" fillId="50" borderId="189">
      <protection locked="0"/>
    </xf>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1" fillId="22" borderId="187" applyNumberFormat="0" applyAlignment="0" applyProtection="0"/>
    <xf numFmtId="0" fontId="21" fillId="22" borderId="187" applyNumberForma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3" fillId="0" borderId="188" applyNumberFormat="0" applyFill="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9">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9">
      <protection locked="0"/>
    </xf>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0" fontId="62" fillId="0" borderId="186"/>
    <xf numFmtId="180" fontId="62" fillId="0" borderId="186"/>
    <xf numFmtId="181" fontId="62" fillId="0" borderId="186"/>
    <xf numFmtId="172" fontId="62" fillId="0" borderId="186"/>
    <xf numFmtId="175" fontId="62" fillId="0" borderId="186"/>
    <xf numFmtId="175" fontId="62" fillId="0" borderId="186"/>
    <xf numFmtId="177" fontId="62" fillId="0" borderId="186"/>
    <xf numFmtId="172"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11" fillId="22"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0" fontId="8" fillId="25" borderId="151" applyNumberFormat="0" applyFont="0" applyAlignment="0" applyProtection="0"/>
    <xf numFmtId="176" fontId="62" fillId="0" borderId="186"/>
    <xf numFmtId="180" fontId="62" fillId="0" borderId="186"/>
    <xf numFmtId="172" fontId="62" fillId="0" borderId="186"/>
    <xf numFmtId="173" fontId="62" fillId="0" borderId="186"/>
    <xf numFmtId="174" fontId="62" fillId="0" borderId="186"/>
    <xf numFmtId="0" fontId="8" fillId="25" borderId="151" applyNumberFormat="0" applyFont="0" applyAlignment="0" applyProtection="0"/>
    <xf numFmtId="175" fontId="62" fillId="0" borderId="186"/>
    <xf numFmtId="176" fontId="62" fillId="0" borderId="186"/>
    <xf numFmtId="177" fontId="62" fillId="0" borderId="186"/>
    <xf numFmtId="176" fontId="62" fillId="0" borderId="186"/>
    <xf numFmtId="180" fontId="62" fillId="0" borderId="186"/>
    <xf numFmtId="181" fontId="62" fillId="0" borderId="186"/>
    <xf numFmtId="182" fontId="62" fillId="0" borderId="186"/>
    <xf numFmtId="175" fontId="62" fillId="0" borderId="186"/>
    <xf numFmtId="0" fontId="21" fillId="22" borderId="187" applyNumberFormat="0" applyAlignment="0" applyProtection="0"/>
    <xf numFmtId="172" fontId="62" fillId="0" borderId="186"/>
    <xf numFmtId="0" fontId="65" fillId="50" borderId="185">
      <protection locked="0"/>
    </xf>
    <xf numFmtId="0" fontId="11" fillId="22" borderId="183" applyNumberFormat="0" applyAlignment="0" applyProtection="0"/>
    <xf numFmtId="0" fontId="11" fillId="22" borderId="183" applyNumberFormat="0" applyAlignment="0" applyProtection="0"/>
    <xf numFmtId="182" fontId="62" fillId="0" borderId="186"/>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174" fontId="62" fillId="0" borderId="186"/>
    <xf numFmtId="0" fontId="18" fillId="9" borderId="183" applyNumberFormat="0" applyAlignment="0" applyProtection="0"/>
    <xf numFmtId="0" fontId="11" fillId="22" borderId="183" applyNumberFormat="0" applyAlignment="0" applyProtection="0"/>
    <xf numFmtId="0" fontId="23" fillId="0" borderId="188"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3" fontId="62" fillId="0" borderId="186"/>
    <xf numFmtId="174" fontId="62" fillId="0" borderId="186"/>
    <xf numFmtId="0" fontId="18" fillId="9" borderId="183" applyNumberFormat="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177" fontId="62" fillId="0" borderId="196"/>
    <xf numFmtId="0" fontId="21" fillId="22" borderId="187" applyNumberFormat="0" applyAlignment="0" applyProtection="0"/>
    <xf numFmtId="0" fontId="23" fillId="0" borderId="188" applyNumberFormat="0" applyFill="0" applyAlignment="0" applyProtection="0"/>
    <xf numFmtId="177" fontId="62" fillId="0" borderId="186"/>
    <xf numFmtId="172" fontId="62" fillId="0" borderId="186"/>
    <xf numFmtId="173" fontId="62" fillId="0" borderId="186"/>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172" fontId="62" fillId="0" borderId="186"/>
    <xf numFmtId="180" fontId="62" fillId="0" borderId="186"/>
    <xf numFmtId="175" fontId="62" fillId="0" borderId="186"/>
    <xf numFmtId="175" fontId="62" fillId="0" borderId="186"/>
    <xf numFmtId="180" fontId="62" fillId="0" borderId="186"/>
    <xf numFmtId="172"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65" fillId="50" borderId="185">
      <protection locked="0"/>
    </xf>
    <xf numFmtId="172" fontId="62" fillId="0" borderId="186"/>
    <xf numFmtId="182" fontId="62" fillId="0" borderId="186"/>
    <xf numFmtId="175" fontId="62" fillId="0" borderId="186"/>
    <xf numFmtId="177" fontId="62" fillId="0" borderId="186"/>
    <xf numFmtId="174" fontId="62" fillId="0" borderId="186"/>
    <xf numFmtId="173" fontId="62" fillId="0" borderId="186"/>
    <xf numFmtId="180"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180" fontId="62" fillId="0" borderId="186"/>
    <xf numFmtId="181"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4" fontId="62" fillId="0" borderId="186"/>
    <xf numFmtId="172" fontId="62" fillId="0" borderId="186"/>
    <xf numFmtId="175" fontId="62" fillId="0" borderId="186"/>
    <xf numFmtId="180" fontId="62" fillId="0" borderId="186"/>
    <xf numFmtId="0" fontId="65" fillId="50" borderId="185">
      <protection locked="0"/>
    </xf>
    <xf numFmtId="0" fontId="65" fillId="50" borderId="185">
      <protection locked="0"/>
    </xf>
    <xf numFmtId="0" fontId="11" fillId="22" borderId="183" applyNumberFormat="0" applyAlignment="0" applyProtection="0"/>
    <xf numFmtId="175" fontId="62" fillId="0" borderId="186"/>
    <xf numFmtId="172" fontId="62" fillId="0" borderId="186"/>
    <xf numFmtId="175" fontId="62" fillId="0" borderId="186"/>
    <xf numFmtId="175" fontId="62" fillId="0" borderId="186"/>
    <xf numFmtId="0" fontId="21" fillId="22" borderId="187" applyNumberFormat="0" applyAlignment="0" applyProtection="0"/>
    <xf numFmtId="180" fontId="62" fillId="0" borderId="186"/>
    <xf numFmtId="175" fontId="62" fillId="0" borderId="186"/>
    <xf numFmtId="0" fontId="65" fillId="50" borderId="185">
      <protection locked="0"/>
    </xf>
    <xf numFmtId="0" fontId="21" fillId="22" borderId="187" applyNumberFormat="0" applyAlignment="0" applyProtection="0"/>
    <xf numFmtId="0" fontId="8" fillId="25" borderId="151" applyNumberFormat="0" applyFont="0" applyAlignment="0" applyProtection="0"/>
    <xf numFmtId="172" fontId="62" fillId="0" borderId="186"/>
    <xf numFmtId="0" fontId="8" fillId="25" borderId="151" applyNumberFormat="0" applyFont="0" applyAlignment="0" applyProtection="0"/>
    <xf numFmtId="174" fontId="62" fillId="0" borderId="186"/>
    <xf numFmtId="0" fontId="23" fillId="0" borderId="188" applyNumberFormat="0" applyFill="0" applyAlignment="0" applyProtection="0"/>
    <xf numFmtId="176" fontId="62" fillId="0" borderId="186"/>
    <xf numFmtId="175" fontId="62" fillId="0" borderId="186"/>
    <xf numFmtId="0" fontId="23" fillId="0" borderId="188" applyNumberFormat="0" applyFill="0" applyAlignment="0" applyProtection="0"/>
    <xf numFmtId="182" fontId="62" fillId="0" borderId="186"/>
    <xf numFmtId="175" fontId="62" fillId="0" borderId="186"/>
    <xf numFmtId="175" fontId="62" fillId="0" borderId="186"/>
    <xf numFmtId="0" fontId="18" fillId="9" borderId="183" applyNumberFormat="0" applyAlignment="0" applyProtection="0"/>
    <xf numFmtId="0" fontId="21" fillId="22" borderId="187" applyNumberFormat="0" applyAlignment="0" applyProtection="0"/>
    <xf numFmtId="172" fontId="62" fillId="0" borderId="186"/>
    <xf numFmtId="0" fontId="18" fillId="9" borderId="191" applyNumberFormat="0" applyAlignment="0" applyProtection="0"/>
    <xf numFmtId="173" fontId="62" fillId="0" borderId="186"/>
    <xf numFmtId="177" fontId="62" fillId="0" borderId="186"/>
    <xf numFmtId="0" fontId="23" fillId="0" borderId="188" applyNumberFormat="0" applyFill="0" applyAlignment="0" applyProtection="0"/>
    <xf numFmtId="0" fontId="8" fillId="25" borderId="151" applyNumberFormat="0" applyFont="0" applyAlignment="0" applyProtection="0"/>
    <xf numFmtId="176" fontId="62" fillId="0" borderId="186"/>
    <xf numFmtId="172" fontId="62" fillId="0" borderId="186"/>
    <xf numFmtId="180" fontId="62" fillId="0" borderId="186"/>
    <xf numFmtId="0" fontId="18" fillId="9" borderId="183" applyNumberFormat="0" applyAlignment="0" applyProtection="0"/>
    <xf numFmtId="172" fontId="62" fillId="0" borderId="186"/>
    <xf numFmtId="0" fontId="21" fillId="22" borderId="187" applyNumberFormat="0" applyAlignment="0" applyProtection="0"/>
    <xf numFmtId="180" fontId="62" fillId="0" borderId="186"/>
    <xf numFmtId="172" fontId="62" fillId="0" borderId="186"/>
    <xf numFmtId="180" fontId="62" fillId="0" borderId="186"/>
    <xf numFmtId="175" fontId="62" fillId="0" borderId="186"/>
    <xf numFmtId="173" fontId="62" fillId="0" borderId="186"/>
    <xf numFmtId="172" fontId="62" fillId="0" borderId="186"/>
    <xf numFmtId="175" fontId="62" fillId="0" borderId="186"/>
    <xf numFmtId="174" fontId="62" fillId="0" borderId="186"/>
    <xf numFmtId="181" fontId="62" fillId="0" borderId="186"/>
    <xf numFmtId="180" fontId="62" fillId="0" borderId="186"/>
    <xf numFmtId="175" fontId="62" fillId="0" borderId="186"/>
    <xf numFmtId="172" fontId="62" fillId="0" borderId="186"/>
    <xf numFmtId="180" fontId="62" fillId="0" borderId="186"/>
    <xf numFmtId="175" fontId="62" fillId="0" borderId="186"/>
    <xf numFmtId="172" fontId="62" fillId="0" borderId="186"/>
    <xf numFmtId="180" fontId="62" fillId="0" borderId="186"/>
    <xf numFmtId="180" fontId="62" fillId="0" borderId="186"/>
    <xf numFmtId="181" fontId="62" fillId="0" borderId="186"/>
    <xf numFmtId="177" fontId="62" fillId="0" borderId="186"/>
    <xf numFmtId="172" fontId="62" fillId="0" borderId="186"/>
    <xf numFmtId="0" fontId="23" fillId="0" borderId="188" applyNumberFormat="0" applyFill="0" applyAlignment="0" applyProtection="0"/>
    <xf numFmtId="0" fontId="11" fillId="22" borderId="183" applyNumberFormat="0" applyAlignment="0" applyProtection="0"/>
    <xf numFmtId="172" fontId="62" fillId="0" borderId="186"/>
    <xf numFmtId="174" fontId="62" fillId="0" borderId="186"/>
    <xf numFmtId="172" fontId="62" fillId="0" borderId="186"/>
    <xf numFmtId="175" fontId="62" fillId="0" borderId="186"/>
    <xf numFmtId="180" fontId="62" fillId="0" borderId="186"/>
    <xf numFmtId="172" fontId="62" fillId="0" borderId="186"/>
    <xf numFmtId="0" fontId="18" fillId="9" borderId="183" applyNumberFormat="0" applyAlignment="0" applyProtection="0"/>
    <xf numFmtId="174" fontId="62" fillId="0" borderId="186"/>
    <xf numFmtId="0" fontId="11" fillId="22" borderId="183" applyNumberFormat="0" applyAlignment="0" applyProtection="0"/>
    <xf numFmtId="182" fontId="62" fillId="0" borderId="186"/>
    <xf numFmtId="172" fontId="62" fillId="0" borderId="186"/>
    <xf numFmtId="173" fontId="62" fillId="0" borderId="186"/>
    <xf numFmtId="175" fontId="62" fillId="0" borderId="186"/>
    <xf numFmtId="176" fontId="62" fillId="0" borderId="186"/>
    <xf numFmtId="175" fontId="62" fillId="0" borderId="186"/>
    <xf numFmtId="175" fontId="62" fillId="0" borderId="186"/>
    <xf numFmtId="0" fontId="11" fillId="22" borderId="183" applyNumberFormat="0" applyAlignment="0" applyProtection="0"/>
    <xf numFmtId="172" fontId="62" fillId="0" borderId="186"/>
    <xf numFmtId="175" fontId="62" fillId="0" borderId="186"/>
    <xf numFmtId="182" fontId="62" fillId="0" borderId="186"/>
    <xf numFmtId="172"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172" fontId="62" fillId="0" borderId="186"/>
    <xf numFmtId="180" fontId="62" fillId="0" borderId="186"/>
    <xf numFmtId="180" fontId="62" fillId="0" borderId="186"/>
    <xf numFmtId="0" fontId="65" fillId="50" borderId="185">
      <protection locked="0"/>
    </xf>
    <xf numFmtId="0" fontId="8" fillId="25" borderId="151" applyNumberFormat="0" applyFont="0" applyAlignment="0" applyProtection="0"/>
    <xf numFmtId="180" fontId="62" fillId="0" borderId="186"/>
    <xf numFmtId="177" fontId="62" fillId="0" borderId="186"/>
    <xf numFmtId="172" fontId="62" fillId="0" borderId="186"/>
    <xf numFmtId="0" fontId="11" fillId="22" borderId="183" applyNumberFormat="0" applyAlignment="0" applyProtection="0"/>
    <xf numFmtId="180" fontId="62" fillId="0" borderId="19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0" fontId="21" fillId="22" borderId="187" applyNumberFormat="0" applyAlignment="0" applyProtection="0"/>
    <xf numFmtId="175" fontId="62" fillId="0" borderId="186"/>
    <xf numFmtId="175" fontId="62" fillId="0" borderId="186"/>
    <xf numFmtId="173" fontId="62" fillId="0" borderId="186"/>
    <xf numFmtId="175" fontId="62" fillId="0" borderId="186"/>
    <xf numFmtId="180" fontId="62" fillId="0" borderId="186"/>
    <xf numFmtId="180" fontId="62" fillId="0" borderId="186"/>
    <xf numFmtId="172" fontId="62" fillId="0" borderId="186"/>
    <xf numFmtId="175" fontId="62" fillId="0" borderId="186"/>
    <xf numFmtId="180" fontId="62" fillId="0" borderId="186"/>
    <xf numFmtId="172" fontId="62" fillId="0" borderId="186"/>
    <xf numFmtId="174" fontId="62" fillId="0" borderId="186"/>
    <xf numFmtId="180" fontId="62" fillId="0" borderId="186"/>
    <xf numFmtId="0" fontId="23" fillId="0" borderId="188" applyNumberFormat="0" applyFill="0" applyAlignment="0" applyProtection="0"/>
    <xf numFmtId="175" fontId="62" fillId="0" borderId="186"/>
    <xf numFmtId="175" fontId="62" fillId="0" borderId="186"/>
    <xf numFmtId="180" fontId="62" fillId="0" borderId="186"/>
    <xf numFmtId="172" fontId="62" fillId="0" borderId="186"/>
    <xf numFmtId="0" fontId="18" fillId="9" borderId="183" applyNumberFormat="0" applyAlignment="0" applyProtection="0"/>
    <xf numFmtId="177" fontId="62" fillId="0" borderId="186"/>
    <xf numFmtId="176" fontId="62" fillId="0" borderId="186"/>
    <xf numFmtId="181" fontId="62" fillId="0" borderId="186"/>
    <xf numFmtId="176" fontId="62" fillId="0" borderId="186"/>
    <xf numFmtId="181" fontId="62" fillId="0" borderId="186"/>
    <xf numFmtId="173" fontId="62" fillId="0" borderId="186"/>
    <xf numFmtId="0" fontId="65" fillId="50" borderId="185">
      <protection locked="0"/>
    </xf>
    <xf numFmtId="181" fontId="62" fillId="0" borderId="186"/>
    <xf numFmtId="182" fontId="62" fillId="0" borderId="186"/>
    <xf numFmtId="0" fontId="65" fillId="50" borderId="185">
      <protection locked="0"/>
    </xf>
    <xf numFmtId="175" fontId="62" fillId="0" borderId="186"/>
    <xf numFmtId="182" fontId="62" fillId="0" borderId="186"/>
    <xf numFmtId="0" fontId="21" fillId="22" borderId="187" applyNumberFormat="0" applyAlignment="0" applyProtection="0"/>
    <xf numFmtId="177" fontId="62" fillId="0" borderId="186"/>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0" fontId="62" fillId="0" borderId="186"/>
    <xf numFmtId="172" fontId="62" fillId="0" borderId="186"/>
    <xf numFmtId="175" fontId="62" fillId="0" borderId="186"/>
    <xf numFmtId="180" fontId="62" fillId="0" borderId="186"/>
    <xf numFmtId="180" fontId="62" fillId="0" borderId="186"/>
    <xf numFmtId="180" fontId="62" fillId="0" borderId="186"/>
    <xf numFmtId="175" fontId="62" fillId="0" borderId="186"/>
    <xf numFmtId="180" fontId="62" fillId="0" borderId="186"/>
    <xf numFmtId="180" fontId="62" fillId="0" borderId="186"/>
    <xf numFmtId="175" fontId="62" fillId="0" borderId="186"/>
    <xf numFmtId="175" fontId="62" fillId="0" borderId="186"/>
    <xf numFmtId="0" fontId="21" fillId="22" borderId="187" applyNumberFormat="0" applyAlignment="0" applyProtection="0"/>
    <xf numFmtId="175" fontId="62" fillId="0" borderId="186"/>
    <xf numFmtId="0" fontId="23" fillId="0" borderId="188" applyNumberFormat="0" applyFill="0" applyAlignment="0" applyProtection="0"/>
    <xf numFmtId="172" fontId="62" fillId="0" borderId="186"/>
    <xf numFmtId="172" fontId="62" fillId="0" borderId="186"/>
    <xf numFmtId="175" fontId="62" fillId="0" borderId="186"/>
    <xf numFmtId="176" fontId="62" fillId="0" borderId="186"/>
    <xf numFmtId="0" fontId="18" fillId="9" borderId="183" applyNumberFormat="0" applyAlignment="0" applyProtection="0"/>
    <xf numFmtId="172" fontId="62" fillId="0" borderId="186"/>
    <xf numFmtId="0" fontId="21" fillId="22" borderId="187" applyNumberFormat="0" applyAlignment="0" applyProtection="0"/>
    <xf numFmtId="174" fontId="62" fillId="0" borderId="186"/>
    <xf numFmtId="172" fontId="62" fillId="0" borderId="186"/>
    <xf numFmtId="0" fontId="18" fillId="9" borderId="183" applyNumberFormat="0" applyAlignment="0" applyProtection="0"/>
    <xf numFmtId="177" fontId="62" fillId="0" borderId="186"/>
    <xf numFmtId="0" fontId="11" fillId="22" borderId="183" applyNumberFormat="0" applyAlignment="0" applyProtection="0"/>
    <xf numFmtId="172" fontId="62" fillId="0" borderId="186"/>
    <xf numFmtId="172" fontId="62" fillId="0" borderId="186"/>
    <xf numFmtId="180" fontId="62" fillId="0" borderId="186"/>
    <xf numFmtId="0" fontId="65" fillId="50" borderId="185">
      <protection locked="0"/>
    </xf>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6" fontId="62" fillId="0" borderId="186"/>
    <xf numFmtId="180" fontId="62" fillId="0" borderId="186"/>
    <xf numFmtId="172" fontId="62" fillId="0" borderId="186"/>
    <xf numFmtId="172" fontId="62" fillId="0" borderId="186"/>
    <xf numFmtId="0" fontId="23" fillId="0" borderId="188" applyNumberFormat="0" applyFill="0" applyAlignment="0" applyProtection="0"/>
    <xf numFmtId="180" fontId="62" fillId="0" borderId="186"/>
    <xf numFmtId="172" fontId="62" fillId="0" borderId="186"/>
    <xf numFmtId="172" fontId="62" fillId="0" borderId="186"/>
    <xf numFmtId="180" fontId="62" fillId="0" borderId="186"/>
    <xf numFmtId="175" fontId="62" fillId="0" borderId="186"/>
    <xf numFmtId="175" fontId="62" fillId="0" borderId="186"/>
    <xf numFmtId="180" fontId="62" fillId="0" borderId="186"/>
    <xf numFmtId="180" fontId="62" fillId="0" borderId="186"/>
    <xf numFmtId="180" fontId="62" fillId="0" borderId="186"/>
    <xf numFmtId="172" fontId="62" fillId="0" borderId="186"/>
    <xf numFmtId="174" fontId="62" fillId="0" borderId="186"/>
    <xf numFmtId="172" fontId="62" fillId="0" borderId="186"/>
    <xf numFmtId="180" fontId="62" fillId="0" borderId="186"/>
    <xf numFmtId="0" fontId="18" fillId="9" borderId="183" applyNumberFormat="0" applyAlignment="0" applyProtection="0"/>
    <xf numFmtId="180" fontId="62" fillId="0" borderId="186"/>
    <xf numFmtId="180" fontId="62" fillId="0" borderId="186"/>
    <xf numFmtId="0" fontId="23" fillId="0" borderId="188" applyNumberFormat="0" applyFill="0" applyAlignment="0" applyProtection="0"/>
    <xf numFmtId="172" fontId="62" fillId="0" borderId="186"/>
    <xf numFmtId="0" fontId="8" fillId="25" borderId="151" applyNumberFormat="0" applyFont="0" applyAlignment="0" applyProtection="0"/>
    <xf numFmtId="0" fontId="18" fillId="9" borderId="183" applyNumberFormat="0" applyAlignment="0" applyProtection="0"/>
    <xf numFmtId="172" fontId="62" fillId="0" borderId="186"/>
    <xf numFmtId="180" fontId="62" fillId="0" borderId="186"/>
    <xf numFmtId="0" fontId="8" fillId="25" borderId="151" applyNumberFormat="0" applyFont="0" applyAlignment="0" applyProtection="0"/>
    <xf numFmtId="0" fontId="11" fillId="22" borderId="183" applyNumberFormat="0" applyAlignment="0" applyProtection="0"/>
    <xf numFmtId="172"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2" fontId="62" fillId="0" borderId="186"/>
    <xf numFmtId="181" fontId="62" fillId="0" borderId="186"/>
    <xf numFmtId="175" fontId="62" fillId="0" borderId="186"/>
    <xf numFmtId="175" fontId="62" fillId="0" borderId="186"/>
    <xf numFmtId="174" fontId="62" fillId="0" borderId="186"/>
    <xf numFmtId="180" fontId="62" fillId="0" borderId="186"/>
    <xf numFmtId="173" fontId="62" fillId="0" borderId="186"/>
    <xf numFmtId="0" fontId="21" fillId="22" borderId="187" applyNumberFormat="0" applyAlignment="0" applyProtection="0"/>
    <xf numFmtId="172" fontId="62" fillId="0" borderId="186"/>
    <xf numFmtId="175" fontId="62" fillId="0" borderId="186"/>
    <xf numFmtId="180" fontId="62" fillId="0" borderId="186"/>
    <xf numFmtId="0" fontId="11" fillId="22" borderId="183" applyNumberFormat="0" applyAlignment="0" applyProtection="0"/>
    <xf numFmtId="175" fontId="62" fillId="0" borderId="186"/>
    <xf numFmtId="176" fontId="62" fillId="0" borderId="186"/>
    <xf numFmtId="175" fontId="62" fillId="0" borderId="186"/>
    <xf numFmtId="182" fontId="62" fillId="0" borderId="186"/>
    <xf numFmtId="0" fontId="23" fillId="0" borderId="188" applyNumberFormat="0" applyFill="0" applyAlignment="0" applyProtection="0"/>
    <xf numFmtId="177" fontId="62" fillId="0" borderId="186"/>
    <xf numFmtId="173" fontId="62" fillId="0" borderId="186"/>
    <xf numFmtId="180" fontId="62" fillId="0" borderId="186"/>
    <xf numFmtId="181" fontId="62" fillId="0" borderId="186"/>
    <xf numFmtId="182" fontId="62" fillId="0" borderId="186"/>
    <xf numFmtId="0" fontId="65" fillId="50" borderId="185">
      <protection locked="0"/>
    </xf>
    <xf numFmtId="0" fontId="18" fillId="9"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75" fontId="62" fillId="0" borderId="186"/>
    <xf numFmtId="175" fontId="62" fillId="0" borderId="186"/>
    <xf numFmtId="172" fontId="62" fillId="0" borderId="186"/>
    <xf numFmtId="0" fontId="18" fillId="9" borderId="183" applyNumberFormat="0" applyAlignment="0" applyProtection="0"/>
    <xf numFmtId="175" fontId="62" fillId="0" borderId="186"/>
    <xf numFmtId="172" fontId="62" fillId="0" borderId="186"/>
    <xf numFmtId="180" fontId="62" fillId="0" borderId="186"/>
    <xf numFmtId="174" fontId="62" fillId="0" borderId="186"/>
    <xf numFmtId="174" fontId="62" fillId="0" borderId="186"/>
    <xf numFmtId="172" fontId="62" fillId="0" borderId="186"/>
    <xf numFmtId="174" fontId="62" fillId="0" borderId="186"/>
    <xf numFmtId="175" fontId="62" fillId="0" borderId="186"/>
    <xf numFmtId="177" fontId="62" fillId="0" borderId="186"/>
    <xf numFmtId="172" fontId="62" fillId="0" borderId="186"/>
    <xf numFmtId="0" fontId="11" fillId="22" borderId="183" applyNumberFormat="0" applyAlignment="0" applyProtection="0"/>
    <xf numFmtId="180" fontId="62" fillId="0" borderId="186"/>
    <xf numFmtId="180" fontId="62" fillId="0" borderId="186"/>
    <xf numFmtId="180" fontId="62" fillId="0" borderId="186"/>
    <xf numFmtId="172" fontId="62" fillId="0" borderId="186"/>
    <xf numFmtId="0" fontId="8" fillId="25" borderId="151" applyNumberFormat="0" applyFont="0" applyAlignment="0" applyProtection="0"/>
    <xf numFmtId="172" fontId="62" fillId="0" borderId="186"/>
    <xf numFmtId="181" fontId="62" fillId="0" borderId="186"/>
    <xf numFmtId="175" fontId="62" fillId="0" borderId="186"/>
    <xf numFmtId="176" fontId="62" fillId="0" borderId="186"/>
    <xf numFmtId="0" fontId="18" fillId="9" borderId="183" applyNumberFormat="0" applyAlignment="0" applyProtection="0"/>
    <xf numFmtId="172" fontId="62" fillId="0" borderId="186"/>
    <xf numFmtId="180" fontId="62" fillId="0" borderId="186"/>
    <xf numFmtId="175" fontId="62" fillId="0" borderId="186"/>
    <xf numFmtId="180" fontId="62" fillId="0" borderId="186"/>
    <xf numFmtId="172" fontId="62" fillId="0" borderId="186"/>
    <xf numFmtId="180" fontId="62" fillId="0" borderId="186"/>
    <xf numFmtId="175" fontId="62" fillId="0" borderId="186"/>
    <xf numFmtId="175" fontId="62" fillId="0" borderId="186"/>
    <xf numFmtId="172" fontId="62" fillId="0" borderId="186"/>
    <xf numFmtId="175" fontId="62" fillId="0" borderId="186"/>
    <xf numFmtId="176" fontId="62" fillId="0" borderId="186"/>
    <xf numFmtId="175" fontId="62" fillId="0" borderId="186"/>
    <xf numFmtId="180" fontId="62" fillId="0" borderId="186"/>
    <xf numFmtId="180" fontId="62" fillId="0" borderId="186"/>
    <xf numFmtId="172" fontId="62" fillId="0" borderId="186"/>
    <xf numFmtId="0" fontId="21" fillId="22" borderId="187" applyNumberFormat="0" applyAlignment="0" applyProtection="0"/>
    <xf numFmtId="173" fontId="62" fillId="0" borderId="186"/>
    <xf numFmtId="0" fontId="23" fillId="0" borderId="188" applyNumberFormat="0" applyFill="0" applyAlignment="0" applyProtection="0"/>
    <xf numFmtId="0" fontId="8" fillId="25" borderId="151" applyNumberFormat="0" applyFont="0" applyAlignment="0" applyProtection="0"/>
    <xf numFmtId="173" fontId="62" fillId="0" borderId="186"/>
    <xf numFmtId="0" fontId="65" fillId="50" borderId="185">
      <protection locked="0"/>
    </xf>
    <xf numFmtId="176" fontId="62" fillId="0" borderId="186"/>
    <xf numFmtId="0" fontId="23" fillId="0" borderId="188" applyNumberFormat="0" applyFill="0" applyAlignment="0" applyProtection="0"/>
    <xf numFmtId="175" fontId="62" fillId="0" borderId="186"/>
    <xf numFmtId="0" fontId="21" fillId="22" borderId="187" applyNumberFormat="0" applyAlignment="0" applyProtection="0"/>
    <xf numFmtId="172" fontId="62" fillId="0" borderId="186"/>
    <xf numFmtId="182" fontId="62" fillId="0" borderId="186"/>
    <xf numFmtId="172" fontId="62" fillId="0" borderId="186"/>
    <xf numFmtId="180" fontId="62" fillId="0" borderId="186"/>
    <xf numFmtId="0" fontId="11" fillId="22" borderId="183" applyNumberFormat="0" applyAlignment="0" applyProtection="0"/>
    <xf numFmtId="175" fontId="62" fillId="0" borderId="186"/>
    <xf numFmtId="181" fontId="62" fillId="0" borderId="186"/>
    <xf numFmtId="175" fontId="62" fillId="0" borderId="186"/>
    <xf numFmtId="172" fontId="62" fillId="0" borderId="186"/>
    <xf numFmtId="175" fontId="62" fillId="0" borderId="186"/>
    <xf numFmtId="173" fontId="62" fillId="0" borderId="186"/>
    <xf numFmtId="180" fontId="62" fillId="0" borderId="186"/>
    <xf numFmtId="177" fontId="62" fillId="0" borderId="186"/>
    <xf numFmtId="175" fontId="62" fillId="0" borderId="186"/>
    <xf numFmtId="173" fontId="62" fillId="0" borderId="186"/>
    <xf numFmtId="172" fontId="62" fillId="0" borderId="186"/>
    <xf numFmtId="181" fontId="62" fillId="0" borderId="186"/>
    <xf numFmtId="182" fontId="62" fillId="0" borderId="186"/>
    <xf numFmtId="0" fontId="65" fillId="50" borderId="185">
      <protection locked="0"/>
    </xf>
    <xf numFmtId="180" fontId="62" fillId="0" borderId="186"/>
    <xf numFmtId="180" fontId="62" fillId="0" borderId="186"/>
    <xf numFmtId="180" fontId="62" fillId="0" borderId="186"/>
    <xf numFmtId="172" fontId="62" fillId="0" borderId="186"/>
    <xf numFmtId="180" fontId="62" fillId="0" borderId="186"/>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2" fontId="62" fillId="0" borderId="186"/>
    <xf numFmtId="172" fontId="62" fillId="0" borderId="186"/>
    <xf numFmtId="175" fontId="62" fillId="0" borderId="186"/>
    <xf numFmtId="180" fontId="62" fillId="0" borderId="186"/>
    <xf numFmtId="172" fontId="62" fillId="0" borderId="186"/>
    <xf numFmtId="0" fontId="8" fillId="25" borderId="151" applyNumberFormat="0" applyFont="0" applyAlignment="0" applyProtection="0"/>
    <xf numFmtId="175" fontId="62" fillId="0" borderId="186"/>
    <xf numFmtId="177" fontId="62" fillId="0" borderId="186"/>
    <xf numFmtId="180" fontId="62" fillId="0" borderId="186"/>
    <xf numFmtId="172" fontId="62" fillId="0" borderId="186"/>
    <xf numFmtId="175"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5" fontId="62" fillId="0" borderId="186"/>
    <xf numFmtId="180" fontId="62" fillId="0" borderId="186"/>
    <xf numFmtId="172" fontId="62" fillId="0" borderId="186"/>
    <xf numFmtId="180" fontId="62" fillId="0" borderId="186"/>
    <xf numFmtId="180" fontId="62" fillId="0" borderId="186"/>
    <xf numFmtId="175" fontId="62" fillId="0" borderId="186"/>
    <xf numFmtId="175" fontId="62" fillId="0" borderId="186"/>
    <xf numFmtId="172" fontId="62" fillId="0" borderId="186"/>
    <xf numFmtId="172" fontId="62" fillId="0" borderId="186"/>
    <xf numFmtId="172" fontId="62" fillId="0" borderId="186"/>
    <xf numFmtId="0" fontId="8" fillId="25" borderId="151" applyNumberFormat="0" applyFon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5" fontId="62" fillId="0" borderId="186"/>
    <xf numFmtId="0" fontId="23" fillId="0" borderId="188" applyNumberFormat="0" applyFill="0" applyAlignment="0" applyProtection="0"/>
    <xf numFmtId="0" fontId="18" fillId="9" borderId="183" applyNumberFormat="0" applyAlignment="0" applyProtection="0"/>
    <xf numFmtId="182" fontId="62" fillId="0" borderId="186"/>
    <xf numFmtId="172" fontId="62" fillId="0" borderId="186"/>
    <xf numFmtId="0" fontId="11" fillId="22" borderId="183" applyNumberFormat="0" applyAlignment="0" applyProtection="0"/>
    <xf numFmtId="0" fontId="18" fillId="9" borderId="183" applyNumberFormat="0" applyAlignment="0" applyProtection="0"/>
    <xf numFmtId="182" fontId="62" fillId="0" borderId="186"/>
    <xf numFmtId="181" fontId="62" fillId="0" borderId="186"/>
    <xf numFmtId="180" fontId="62" fillId="0" borderId="186"/>
    <xf numFmtId="172" fontId="62" fillId="0" borderId="186"/>
    <xf numFmtId="176" fontId="62" fillId="0" borderId="186"/>
    <xf numFmtId="177" fontId="62" fillId="0" borderId="186"/>
    <xf numFmtId="176" fontId="62" fillId="0" borderId="186"/>
    <xf numFmtId="175" fontId="62" fillId="0" borderId="186"/>
    <xf numFmtId="177" fontId="62" fillId="0" borderId="186"/>
    <xf numFmtId="181" fontId="62" fillId="0" borderId="186"/>
    <xf numFmtId="174" fontId="62" fillId="0" borderId="186"/>
    <xf numFmtId="0" fontId="11" fillId="22" borderId="183" applyNumberFormat="0" applyAlignment="0" applyProtection="0"/>
    <xf numFmtId="173" fontId="62" fillId="0" borderId="186"/>
    <xf numFmtId="180" fontId="62" fillId="0" borderId="186"/>
    <xf numFmtId="177" fontId="62" fillId="0" borderId="186"/>
    <xf numFmtId="175" fontId="62" fillId="0" borderId="186"/>
    <xf numFmtId="172" fontId="62" fillId="0" borderId="186"/>
    <xf numFmtId="0" fontId="21" fillId="22" borderId="187" applyNumberFormat="0" applyAlignment="0" applyProtection="0"/>
    <xf numFmtId="0" fontId="23" fillId="0" borderId="188" applyNumberFormat="0" applyFill="0" applyAlignment="0" applyProtection="0"/>
    <xf numFmtId="181" fontId="62" fillId="0" borderId="186"/>
    <xf numFmtId="176" fontId="62" fillId="0" borderId="186"/>
    <xf numFmtId="174" fontId="62" fillId="0" borderId="186"/>
    <xf numFmtId="173" fontId="62" fillId="0" borderId="186"/>
    <xf numFmtId="172" fontId="62" fillId="0" borderId="186"/>
    <xf numFmtId="182"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11" fillId="22" borderId="183" applyNumberFormat="0" applyAlignment="0" applyProtection="0"/>
    <xf numFmtId="0" fontId="21" fillId="22" borderId="187" applyNumberFormat="0" applyAlignment="0" applyProtection="0"/>
    <xf numFmtId="0" fontId="11" fillId="22" borderId="183" applyNumberFormat="0" applyAlignment="0" applyProtection="0"/>
    <xf numFmtId="0" fontId="21" fillId="22" borderId="187" applyNumberFormat="0" applyAlignment="0" applyProtection="0"/>
    <xf numFmtId="0" fontId="21" fillId="22" borderId="187" applyNumberFormat="0" applyAlignment="0" applyProtection="0"/>
    <xf numFmtId="174" fontId="62" fillId="0" borderId="186"/>
    <xf numFmtId="173"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0" fontId="23" fillId="0" borderId="188" applyNumberFormat="0" applyFill="0" applyAlignment="0" applyProtection="0"/>
    <xf numFmtId="172" fontId="62" fillId="0" borderId="186"/>
    <xf numFmtId="173" fontId="62" fillId="0" borderId="186"/>
    <xf numFmtId="0" fontId="21" fillId="22" borderId="187" applyNumberFormat="0" applyAlignment="0" applyProtection="0"/>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180" fontId="62" fillId="0" borderId="186"/>
    <xf numFmtId="0" fontId="8" fillId="25" borderId="151" applyNumberFormat="0" applyFont="0" applyAlignment="0" applyProtection="0"/>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21" fillId="22" borderId="187"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8" fillId="9" borderId="183" applyNumberFormat="0" applyAlignment="0" applyProtection="0"/>
    <xf numFmtId="175"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2" fontId="62" fillId="0" borderId="186"/>
    <xf numFmtId="180" fontId="62" fillId="0" borderId="186"/>
    <xf numFmtId="0" fontId="11" fillId="22" borderId="183" applyNumberFormat="0" applyAlignment="0" applyProtection="0"/>
    <xf numFmtId="176" fontId="62" fillId="0" borderId="186"/>
    <xf numFmtId="182" fontId="62" fillId="0" borderId="186"/>
    <xf numFmtId="172" fontId="62" fillId="0" borderId="186"/>
    <xf numFmtId="0" fontId="23" fillId="0" borderId="188" applyNumberFormat="0" applyFill="0" applyAlignment="0" applyProtection="0"/>
    <xf numFmtId="180" fontId="62" fillId="0" borderId="186"/>
    <xf numFmtId="175" fontId="62" fillId="0" borderId="186"/>
    <xf numFmtId="0" fontId="11" fillId="22" borderId="183" applyNumberFormat="0" applyAlignment="0" applyProtection="0"/>
    <xf numFmtId="172" fontId="62" fillId="0" borderId="186"/>
    <xf numFmtId="172" fontId="62" fillId="0" borderId="186"/>
    <xf numFmtId="0" fontId="18" fillId="9" borderId="183" applyNumberFormat="0" applyAlignment="0" applyProtection="0"/>
    <xf numFmtId="173" fontId="62" fillId="0" borderId="186"/>
    <xf numFmtId="172" fontId="62" fillId="0" borderId="186"/>
    <xf numFmtId="175" fontId="62" fillId="0" borderId="186"/>
    <xf numFmtId="172" fontId="62" fillId="0" borderId="186"/>
    <xf numFmtId="175" fontId="62" fillId="0" borderId="186"/>
    <xf numFmtId="176" fontId="62" fillId="0" borderId="186"/>
    <xf numFmtId="177" fontId="62" fillId="0" borderId="186"/>
    <xf numFmtId="0" fontId="8" fillId="25" borderId="151" applyNumberFormat="0" applyFont="0" applyAlignment="0" applyProtection="0"/>
    <xf numFmtId="175" fontId="62" fillId="0" borderId="186"/>
    <xf numFmtId="180" fontId="62" fillId="0" borderId="186"/>
    <xf numFmtId="172" fontId="62" fillId="0" borderId="186"/>
    <xf numFmtId="181" fontId="62" fillId="0" borderId="186"/>
    <xf numFmtId="182" fontId="62" fillId="0" borderId="186"/>
    <xf numFmtId="0" fontId="18" fillId="9" borderId="183" applyNumberFormat="0" applyAlignment="0" applyProtection="0"/>
    <xf numFmtId="180" fontId="62" fillId="0" borderId="186"/>
    <xf numFmtId="180" fontId="62" fillId="0" borderId="186"/>
    <xf numFmtId="175" fontId="62" fillId="0" borderId="186"/>
    <xf numFmtId="172" fontId="62" fillId="0" borderId="186"/>
    <xf numFmtId="176" fontId="62" fillId="0" borderId="186"/>
    <xf numFmtId="172" fontId="62" fillId="0" borderId="186"/>
    <xf numFmtId="172" fontId="62" fillId="0" borderId="186"/>
    <xf numFmtId="175" fontId="62" fillId="0" borderId="186"/>
    <xf numFmtId="175" fontId="62" fillId="0" borderId="186"/>
    <xf numFmtId="172" fontId="62" fillId="0" borderId="186"/>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8" fillId="25" borderId="151" applyNumberFormat="0" applyFont="0" applyAlignment="0" applyProtection="0"/>
    <xf numFmtId="174" fontId="62" fillId="0" borderId="186"/>
    <xf numFmtId="175" fontId="62" fillId="0" borderId="186"/>
    <xf numFmtId="180" fontId="62" fillId="0" borderId="186"/>
    <xf numFmtId="0" fontId="11" fillId="22" borderId="183" applyNumberFormat="0" applyAlignment="0" applyProtection="0"/>
    <xf numFmtId="174" fontId="62" fillId="0" borderId="186"/>
    <xf numFmtId="173" fontId="62" fillId="0" borderId="186"/>
    <xf numFmtId="0" fontId="21" fillId="22" borderId="187" applyNumberFormat="0" applyAlignment="0" applyProtection="0"/>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174" fontId="62" fillId="0" borderId="186"/>
    <xf numFmtId="176" fontId="62" fillId="0" borderId="186"/>
    <xf numFmtId="177"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1" fontId="62" fillId="0" borderId="186"/>
    <xf numFmtId="175" fontId="62" fillId="0" borderId="186"/>
    <xf numFmtId="180" fontId="62" fillId="0" borderId="186"/>
    <xf numFmtId="175" fontId="62" fillId="0" borderId="186"/>
    <xf numFmtId="177" fontId="62" fillId="0" borderId="186"/>
    <xf numFmtId="173" fontId="62" fillId="0" borderId="186"/>
    <xf numFmtId="181" fontId="62" fillId="0" borderId="186"/>
    <xf numFmtId="182" fontId="62" fillId="0" borderId="186"/>
    <xf numFmtId="0" fontId="21" fillId="22" borderId="187"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175" fontId="62" fillId="0" borderId="186"/>
    <xf numFmtId="180" fontId="62" fillId="0" borderId="186"/>
    <xf numFmtId="175" fontId="62" fillId="0" borderId="186"/>
    <xf numFmtId="172" fontId="62" fillId="0" borderId="186"/>
    <xf numFmtId="180" fontId="62" fillId="0" borderId="186"/>
    <xf numFmtId="175" fontId="62" fillId="0" borderId="186"/>
    <xf numFmtId="180" fontId="62" fillId="0" borderId="186"/>
    <xf numFmtId="172" fontId="62" fillId="0" borderId="186"/>
    <xf numFmtId="172" fontId="62" fillId="0" borderId="186"/>
    <xf numFmtId="180"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7" fontId="62" fillId="0" borderId="186"/>
    <xf numFmtId="0" fontId="11" fillId="22" borderId="183" applyNumberFormat="0" applyAlignment="0" applyProtection="0"/>
    <xf numFmtId="181" fontId="62" fillId="0" borderId="186"/>
    <xf numFmtId="180" fontId="62" fillId="0" borderId="186"/>
    <xf numFmtId="172" fontId="62" fillId="0" borderId="186"/>
    <xf numFmtId="172" fontId="62" fillId="0" borderId="186"/>
    <xf numFmtId="175" fontId="62" fillId="0" borderId="186"/>
    <xf numFmtId="175" fontId="62" fillId="0" borderId="186"/>
    <xf numFmtId="172" fontId="62" fillId="0" borderId="186"/>
    <xf numFmtId="0" fontId="23" fillId="0" borderId="188" applyNumberFormat="0" applyFill="0" applyAlignment="0" applyProtection="0"/>
    <xf numFmtId="175" fontId="62" fillId="0" borderId="186"/>
    <xf numFmtId="0" fontId="18" fillId="9" borderId="183" applyNumberFormat="0" applyAlignment="0" applyProtection="0"/>
    <xf numFmtId="0" fontId="21" fillId="22" borderId="187" applyNumberFormat="0" applyAlignment="0" applyProtection="0"/>
    <xf numFmtId="0" fontId="8" fillId="25" borderId="151" applyNumberFormat="0" applyFont="0" applyAlignment="0" applyProtection="0"/>
    <xf numFmtId="177" fontId="62" fillId="0" borderId="186"/>
    <xf numFmtId="180" fontId="62" fillId="0" borderId="186"/>
    <xf numFmtId="0" fontId="11" fillId="22" borderId="183" applyNumberFormat="0" applyAlignment="0" applyProtection="0"/>
    <xf numFmtId="0" fontId="18" fillId="9" borderId="183" applyNumberFormat="0" applyAlignment="0" applyProtection="0"/>
    <xf numFmtId="175" fontId="62" fillId="0" borderId="186"/>
    <xf numFmtId="172" fontId="62" fillId="0" borderId="186"/>
    <xf numFmtId="180" fontId="62" fillId="0" borderId="186"/>
    <xf numFmtId="175" fontId="62" fillId="0" borderId="186"/>
    <xf numFmtId="172" fontId="62" fillId="0" borderId="186"/>
    <xf numFmtId="173" fontId="62" fillId="0" borderId="186"/>
    <xf numFmtId="172" fontId="62" fillId="0" borderId="186"/>
    <xf numFmtId="175" fontId="62" fillId="0" borderId="186"/>
    <xf numFmtId="180" fontId="62" fillId="0" borderId="186"/>
    <xf numFmtId="172" fontId="62" fillId="0" borderId="186"/>
    <xf numFmtId="180" fontId="62" fillId="0" borderId="186"/>
    <xf numFmtId="0" fontId="11" fillId="22" borderId="183" applyNumberFormat="0" applyAlignment="0" applyProtection="0"/>
    <xf numFmtId="182" fontId="62" fillId="0" borderId="186"/>
    <xf numFmtId="176" fontId="62" fillId="0" borderId="186"/>
    <xf numFmtId="180"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23" fillId="0" borderId="188" applyNumberFormat="0" applyFill="0" applyAlignment="0" applyProtection="0"/>
    <xf numFmtId="180" fontId="62" fillId="0" borderId="186"/>
    <xf numFmtId="180" fontId="62" fillId="0" borderId="186"/>
    <xf numFmtId="175" fontId="62" fillId="0" borderId="186"/>
    <xf numFmtId="174" fontId="62" fillId="0" borderId="186"/>
    <xf numFmtId="0" fontId="8" fillId="25" borderId="151" applyNumberFormat="0" applyFont="0" applyAlignment="0" applyProtection="0"/>
    <xf numFmtId="175"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180"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2"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80" fontId="62" fillId="0" borderId="186"/>
    <xf numFmtId="175" fontId="62" fillId="0" borderId="186"/>
    <xf numFmtId="173"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9">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9">
      <protection locked="0"/>
    </xf>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0" fontId="62" fillId="0" borderId="186"/>
    <xf numFmtId="180" fontId="62" fillId="0" borderId="186"/>
    <xf numFmtId="181" fontId="62" fillId="0" borderId="186"/>
    <xf numFmtId="172" fontId="62" fillId="0" borderId="186"/>
    <xf numFmtId="175" fontId="62" fillId="0" borderId="186"/>
    <xf numFmtId="175" fontId="62" fillId="0" borderId="186"/>
    <xf numFmtId="177" fontId="62" fillId="0" borderId="186"/>
    <xf numFmtId="172"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172" fontId="62" fillId="0" borderId="190"/>
    <xf numFmtId="0" fontId="11" fillId="22" borderId="183" applyNumberFormat="0" applyAlignment="0" applyProtection="0"/>
    <xf numFmtId="0" fontId="18" fillId="9" borderId="183" applyNumberFormat="0" applyAlignment="0" applyProtection="0"/>
    <xf numFmtId="0" fontId="11" fillId="22" borderId="183" applyNumberFormat="0" applyAlignment="0" applyProtection="0"/>
    <xf numFmtId="175" fontId="62" fillId="0" borderId="19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0" fontId="8" fillId="25" borderId="151" applyNumberFormat="0" applyFont="0" applyAlignment="0" applyProtection="0"/>
    <xf numFmtId="176" fontId="62" fillId="0" borderId="186"/>
    <xf numFmtId="180" fontId="62" fillId="0" borderId="186"/>
    <xf numFmtId="172" fontId="62" fillId="0" borderId="186"/>
    <xf numFmtId="173" fontId="62" fillId="0" borderId="186"/>
    <xf numFmtId="174" fontId="62" fillId="0" borderId="186"/>
    <xf numFmtId="0" fontId="8" fillId="25" borderId="151" applyNumberFormat="0" applyFont="0" applyAlignment="0" applyProtection="0"/>
    <xf numFmtId="175" fontId="62" fillId="0" borderId="186"/>
    <xf numFmtId="176" fontId="62" fillId="0" borderId="186"/>
    <xf numFmtId="177" fontId="62" fillId="0" borderId="186"/>
    <xf numFmtId="176" fontId="62" fillId="0" borderId="186"/>
    <xf numFmtId="180" fontId="62" fillId="0" borderId="186"/>
    <xf numFmtId="181" fontId="62" fillId="0" borderId="186"/>
    <xf numFmtId="182" fontId="62" fillId="0" borderId="186"/>
    <xf numFmtId="175" fontId="62" fillId="0" borderId="186"/>
    <xf numFmtId="175" fontId="62" fillId="0" borderId="186"/>
    <xf numFmtId="172" fontId="62" fillId="0" borderId="186"/>
    <xf numFmtId="0" fontId="65" fillId="50" borderId="185">
      <protection locked="0"/>
    </xf>
    <xf numFmtId="0" fontId="11" fillId="22" borderId="183" applyNumberFormat="0" applyAlignment="0" applyProtection="0"/>
    <xf numFmtId="0" fontId="11" fillId="22" borderId="183" applyNumberFormat="0" applyAlignment="0" applyProtection="0"/>
    <xf numFmtId="182" fontId="62" fillId="0" borderId="186"/>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174" fontId="62" fillId="0" borderId="186"/>
    <xf numFmtId="0" fontId="18" fillId="9" borderId="183" applyNumberFormat="0" applyAlignment="0" applyProtection="0"/>
    <xf numFmtId="0" fontId="11" fillId="22" borderId="183" applyNumberFormat="0" applyAlignment="0" applyProtection="0"/>
    <xf numFmtId="175"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3" fontId="62" fillId="0" borderId="186"/>
    <xf numFmtId="174" fontId="62" fillId="0" borderId="186"/>
    <xf numFmtId="0" fontId="18" fillId="9" borderId="183" applyNumberFormat="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180" fontId="62" fillId="0" borderId="196"/>
    <xf numFmtId="0" fontId="21" fillId="22" borderId="187" applyNumberFormat="0" applyAlignment="0" applyProtection="0"/>
    <xf numFmtId="0" fontId="23" fillId="0" borderId="188" applyNumberFormat="0" applyFill="0" applyAlignment="0" applyProtection="0"/>
    <xf numFmtId="177" fontId="62" fillId="0" borderId="186"/>
    <xf numFmtId="172" fontId="62" fillId="0" borderId="186"/>
    <xf numFmtId="173" fontId="62" fillId="0" borderId="186"/>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172" fontId="62" fillId="0" borderId="186"/>
    <xf numFmtId="180" fontId="62" fillId="0" borderId="186"/>
    <xf numFmtId="175" fontId="62" fillId="0" borderId="186"/>
    <xf numFmtId="175" fontId="62" fillId="0" borderId="186"/>
    <xf numFmtId="180" fontId="62" fillId="0" borderId="186"/>
    <xf numFmtId="172"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65" fillId="50" borderId="185">
      <protection locked="0"/>
    </xf>
    <xf numFmtId="172" fontId="62" fillId="0" borderId="186"/>
    <xf numFmtId="182" fontId="62" fillId="0" borderId="186"/>
    <xf numFmtId="175" fontId="62" fillId="0" borderId="186"/>
    <xf numFmtId="177" fontId="62" fillId="0" borderId="186"/>
    <xf numFmtId="174" fontId="62" fillId="0" borderId="186"/>
    <xf numFmtId="173" fontId="62" fillId="0" borderId="186"/>
    <xf numFmtId="180"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180" fontId="62" fillId="0" borderId="186"/>
    <xf numFmtId="181"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9">
      <protection locked="0"/>
    </xf>
    <xf numFmtId="172" fontId="62" fillId="0" borderId="186"/>
    <xf numFmtId="175" fontId="62" fillId="0" borderId="186"/>
    <xf numFmtId="180" fontId="62" fillId="0" borderId="186"/>
    <xf numFmtId="0" fontId="65" fillId="50" borderId="185">
      <protection locked="0"/>
    </xf>
    <xf numFmtId="0" fontId="65" fillId="50" borderId="185">
      <protection locked="0"/>
    </xf>
    <xf numFmtId="0" fontId="11" fillId="22" borderId="183" applyNumberFormat="0" applyAlignment="0" applyProtection="0"/>
    <xf numFmtId="175" fontId="62" fillId="0" borderId="186"/>
    <xf numFmtId="172" fontId="62" fillId="0" borderId="186"/>
    <xf numFmtId="175" fontId="62" fillId="0" borderId="186"/>
    <xf numFmtId="175" fontId="62" fillId="0" borderId="186"/>
    <xf numFmtId="0" fontId="21" fillId="22" borderId="187" applyNumberFormat="0" applyAlignment="0" applyProtection="0"/>
    <xf numFmtId="180" fontId="62" fillId="0" borderId="186"/>
    <xf numFmtId="175" fontId="62" fillId="0" borderId="186"/>
    <xf numFmtId="0" fontId="65" fillId="50" borderId="185">
      <protection locked="0"/>
    </xf>
    <xf numFmtId="0" fontId="21" fillId="22" borderId="187" applyNumberFormat="0" applyAlignment="0" applyProtection="0"/>
    <xf numFmtId="0" fontId="8" fillId="25" borderId="151" applyNumberFormat="0" applyFont="0" applyAlignment="0" applyProtection="0"/>
    <xf numFmtId="172" fontId="62" fillId="0" borderId="186"/>
    <xf numFmtId="0" fontId="8" fillId="25" borderId="151" applyNumberFormat="0" applyFont="0" applyAlignment="0" applyProtection="0"/>
    <xf numFmtId="174" fontId="62" fillId="0" borderId="186"/>
    <xf numFmtId="0" fontId="23" fillId="0" borderId="188" applyNumberFormat="0" applyFill="0" applyAlignment="0" applyProtection="0"/>
    <xf numFmtId="176" fontId="62" fillId="0" borderId="186"/>
    <xf numFmtId="175" fontId="62" fillId="0" borderId="186"/>
    <xf numFmtId="0" fontId="23" fillId="0" borderId="188" applyNumberFormat="0" applyFill="0" applyAlignment="0" applyProtection="0"/>
    <xf numFmtId="182" fontId="62" fillId="0" borderId="186"/>
    <xf numFmtId="175" fontId="62" fillId="0" borderId="186"/>
    <xf numFmtId="175" fontId="62" fillId="0" borderId="186"/>
    <xf numFmtId="0" fontId="18" fillId="9" borderId="183" applyNumberFormat="0" applyAlignment="0" applyProtection="0"/>
    <xf numFmtId="0" fontId="21" fillId="22" borderId="187" applyNumberFormat="0" applyAlignment="0" applyProtection="0"/>
    <xf numFmtId="172" fontId="62" fillId="0" borderId="186"/>
    <xf numFmtId="173" fontId="62" fillId="0" borderId="186"/>
    <xf numFmtId="177" fontId="62" fillId="0" borderId="186"/>
    <xf numFmtId="0" fontId="23" fillId="0" borderId="188" applyNumberFormat="0" applyFill="0" applyAlignment="0" applyProtection="0"/>
    <xf numFmtId="0" fontId="8" fillId="25" borderId="151" applyNumberFormat="0" applyFont="0" applyAlignment="0" applyProtection="0"/>
    <xf numFmtId="176" fontId="62" fillId="0" borderId="186"/>
    <xf numFmtId="172" fontId="62" fillId="0" borderId="186"/>
    <xf numFmtId="180" fontId="62" fillId="0" borderId="186"/>
    <xf numFmtId="0" fontId="18" fillId="9" borderId="183" applyNumberFormat="0" applyAlignment="0" applyProtection="0"/>
    <xf numFmtId="172" fontId="62" fillId="0" borderId="186"/>
    <xf numFmtId="0" fontId="21" fillId="22" borderId="187" applyNumberFormat="0" applyAlignment="0" applyProtection="0"/>
    <xf numFmtId="180" fontId="62" fillId="0" borderId="186"/>
    <xf numFmtId="172" fontId="62" fillId="0" borderId="186"/>
    <xf numFmtId="180" fontId="62" fillId="0" borderId="186"/>
    <xf numFmtId="175" fontId="62" fillId="0" borderId="186"/>
    <xf numFmtId="173" fontId="62" fillId="0" borderId="186"/>
    <xf numFmtId="172" fontId="62" fillId="0" borderId="186"/>
    <xf numFmtId="175" fontId="62" fillId="0" borderId="186"/>
    <xf numFmtId="174" fontId="62" fillId="0" borderId="186"/>
    <xf numFmtId="181" fontId="62" fillId="0" borderId="186"/>
    <xf numFmtId="180" fontId="62" fillId="0" borderId="186"/>
    <xf numFmtId="175" fontId="62" fillId="0" borderId="186"/>
    <xf numFmtId="172" fontId="62" fillId="0" borderId="186"/>
    <xf numFmtId="180" fontId="62" fillId="0" borderId="186"/>
    <xf numFmtId="175" fontId="62" fillId="0" borderId="186"/>
    <xf numFmtId="172" fontId="62" fillId="0" borderId="186"/>
    <xf numFmtId="180" fontId="62" fillId="0" borderId="186"/>
    <xf numFmtId="180" fontId="62" fillId="0" borderId="186"/>
    <xf numFmtId="181" fontId="62" fillId="0" borderId="186"/>
    <xf numFmtId="177" fontId="62" fillId="0" borderId="186"/>
    <xf numFmtId="172" fontId="62" fillId="0" borderId="186"/>
    <xf numFmtId="0" fontId="23" fillId="0" borderId="188" applyNumberFormat="0" applyFill="0" applyAlignment="0" applyProtection="0"/>
    <xf numFmtId="0" fontId="11" fillId="22" borderId="183" applyNumberFormat="0" applyAlignment="0" applyProtection="0"/>
    <xf numFmtId="172" fontId="62" fillId="0" borderId="186"/>
    <xf numFmtId="174" fontId="62" fillId="0" borderId="186"/>
    <xf numFmtId="172" fontId="62" fillId="0" borderId="186"/>
    <xf numFmtId="175" fontId="62" fillId="0" borderId="186"/>
    <xf numFmtId="180" fontId="62" fillId="0" borderId="186"/>
    <xf numFmtId="172" fontId="62" fillId="0" borderId="186"/>
    <xf numFmtId="0" fontId="18" fillId="9" borderId="183" applyNumberFormat="0" applyAlignment="0" applyProtection="0"/>
    <xf numFmtId="174" fontId="62" fillId="0" borderId="186"/>
    <xf numFmtId="0" fontId="11" fillId="22" borderId="183" applyNumberFormat="0" applyAlignment="0" applyProtection="0"/>
    <xf numFmtId="182" fontId="62" fillId="0" borderId="186"/>
    <xf numFmtId="172" fontId="62" fillId="0" borderId="186"/>
    <xf numFmtId="173" fontId="62" fillId="0" borderId="186"/>
    <xf numFmtId="175" fontId="62" fillId="0" borderId="186"/>
    <xf numFmtId="176" fontId="62" fillId="0" borderId="186"/>
    <xf numFmtId="175" fontId="62" fillId="0" borderId="186"/>
    <xf numFmtId="175" fontId="62" fillId="0" borderId="186"/>
    <xf numFmtId="0" fontId="11" fillId="22" borderId="183" applyNumberFormat="0" applyAlignment="0" applyProtection="0"/>
    <xf numFmtId="172" fontId="62" fillId="0" borderId="186"/>
    <xf numFmtId="175" fontId="62" fillId="0" borderId="186"/>
    <xf numFmtId="182" fontId="62" fillId="0" borderId="186"/>
    <xf numFmtId="172"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172" fontId="62" fillId="0" borderId="186"/>
    <xf numFmtId="180" fontId="62" fillId="0" borderId="186"/>
    <xf numFmtId="180" fontId="62" fillId="0" borderId="186"/>
    <xf numFmtId="0" fontId="65" fillId="50" borderId="185">
      <protection locked="0"/>
    </xf>
    <xf numFmtId="0" fontId="8" fillId="25" borderId="151" applyNumberFormat="0" applyFont="0" applyAlignment="0" applyProtection="0"/>
    <xf numFmtId="180" fontId="62" fillId="0" borderId="186"/>
    <xf numFmtId="177" fontId="62" fillId="0" borderId="186"/>
    <xf numFmtId="172" fontId="62" fillId="0" borderId="186"/>
    <xf numFmtId="0" fontId="11" fillId="22" borderId="183" applyNumberFormat="0" applyAlignment="0" applyProtection="0"/>
    <xf numFmtId="175"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0" fontId="21" fillId="22" borderId="187" applyNumberFormat="0" applyAlignment="0" applyProtection="0"/>
    <xf numFmtId="175" fontId="62" fillId="0" borderId="186"/>
    <xf numFmtId="175" fontId="62" fillId="0" borderId="186"/>
    <xf numFmtId="173" fontId="62" fillId="0" borderId="186"/>
    <xf numFmtId="175" fontId="62" fillId="0" borderId="186"/>
    <xf numFmtId="180" fontId="62" fillId="0" borderId="186"/>
    <xf numFmtId="180" fontId="62" fillId="0" borderId="186"/>
    <xf numFmtId="172" fontId="62" fillId="0" borderId="186"/>
    <xf numFmtId="175" fontId="62" fillId="0" borderId="186"/>
    <xf numFmtId="180" fontId="62" fillId="0" borderId="186"/>
    <xf numFmtId="172" fontId="62" fillId="0" borderId="186"/>
    <xf numFmtId="174" fontId="62" fillId="0" borderId="186"/>
    <xf numFmtId="180" fontId="62" fillId="0" borderId="186"/>
    <xf numFmtId="0" fontId="23" fillId="0" borderId="188" applyNumberFormat="0" applyFill="0" applyAlignment="0" applyProtection="0"/>
    <xf numFmtId="175" fontId="62" fillId="0" borderId="186"/>
    <xf numFmtId="175" fontId="62" fillId="0" borderId="186"/>
    <xf numFmtId="180" fontId="62" fillId="0" borderId="186"/>
    <xf numFmtId="172" fontId="62" fillId="0" borderId="186"/>
    <xf numFmtId="0" fontId="18" fillId="9" borderId="183" applyNumberFormat="0" applyAlignment="0" applyProtection="0"/>
    <xf numFmtId="177" fontId="62" fillId="0" borderId="186"/>
    <xf numFmtId="176" fontId="62" fillId="0" borderId="186"/>
    <xf numFmtId="181" fontId="62" fillId="0" borderId="186"/>
    <xf numFmtId="176" fontId="62" fillId="0" borderId="186"/>
    <xf numFmtId="181" fontId="62" fillId="0" borderId="186"/>
    <xf numFmtId="173" fontId="62" fillId="0" borderId="186"/>
    <xf numFmtId="0" fontId="65" fillId="50" borderId="185">
      <protection locked="0"/>
    </xf>
    <xf numFmtId="181" fontId="62" fillId="0" borderId="186"/>
    <xf numFmtId="182" fontId="62" fillId="0" borderId="186"/>
    <xf numFmtId="0" fontId="65" fillId="50" borderId="185">
      <protection locked="0"/>
    </xf>
    <xf numFmtId="175" fontId="62" fillId="0" borderId="186"/>
    <xf numFmtId="182" fontId="62" fillId="0" borderId="186"/>
    <xf numFmtId="176" fontId="62" fillId="0" borderId="186"/>
    <xf numFmtId="177" fontId="62" fillId="0" borderId="186"/>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0" fontId="62" fillId="0" borderId="186"/>
    <xf numFmtId="172" fontId="62" fillId="0" borderId="186"/>
    <xf numFmtId="175" fontId="62" fillId="0" borderId="186"/>
    <xf numFmtId="180" fontId="62" fillId="0" borderId="186"/>
    <xf numFmtId="180" fontId="62" fillId="0" borderId="186"/>
    <xf numFmtId="180" fontId="62" fillId="0" borderId="186"/>
    <xf numFmtId="175" fontId="62" fillId="0" borderId="186"/>
    <xf numFmtId="180" fontId="62" fillId="0" borderId="186"/>
    <xf numFmtId="180" fontId="62" fillId="0" borderId="186"/>
    <xf numFmtId="175" fontId="62" fillId="0" borderId="186"/>
    <xf numFmtId="175" fontId="62" fillId="0" borderId="186"/>
    <xf numFmtId="0" fontId="21" fillId="22" borderId="187" applyNumberFormat="0" applyAlignment="0" applyProtection="0"/>
    <xf numFmtId="175" fontId="62" fillId="0" borderId="186"/>
    <xf numFmtId="0" fontId="23" fillId="0" borderId="188" applyNumberFormat="0" applyFill="0" applyAlignment="0" applyProtection="0"/>
    <xf numFmtId="172" fontId="62" fillId="0" borderId="186"/>
    <xf numFmtId="172" fontId="62" fillId="0" borderId="186"/>
    <xf numFmtId="175" fontId="62" fillId="0" borderId="186"/>
    <xf numFmtId="176" fontId="62" fillId="0" borderId="186"/>
    <xf numFmtId="0" fontId="18" fillId="9" borderId="183" applyNumberFormat="0" applyAlignment="0" applyProtection="0"/>
    <xf numFmtId="172" fontId="62" fillId="0" borderId="186"/>
    <xf numFmtId="0" fontId="21" fillId="22" borderId="187" applyNumberFormat="0" applyAlignment="0" applyProtection="0"/>
    <xf numFmtId="174" fontId="62" fillId="0" borderId="186"/>
    <xf numFmtId="172" fontId="62" fillId="0" borderId="186"/>
    <xf numFmtId="0" fontId="18" fillId="9" borderId="183" applyNumberFormat="0" applyAlignment="0" applyProtection="0"/>
    <xf numFmtId="177" fontId="62" fillId="0" borderId="186"/>
    <xf numFmtId="0" fontId="11" fillId="22" borderId="183" applyNumberFormat="0" applyAlignment="0" applyProtection="0"/>
    <xf numFmtId="172" fontId="62" fillId="0" borderId="186"/>
    <xf numFmtId="172" fontId="62" fillId="0" borderId="186"/>
    <xf numFmtId="180" fontId="62" fillId="0" borderId="186"/>
    <xf numFmtId="0" fontId="65" fillId="50" borderId="185">
      <protection locked="0"/>
    </xf>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6" fontId="62" fillId="0" borderId="186"/>
    <xf numFmtId="180" fontId="62" fillId="0" borderId="186"/>
    <xf numFmtId="172" fontId="62" fillId="0" borderId="186"/>
    <xf numFmtId="172" fontId="62" fillId="0" borderId="186"/>
    <xf numFmtId="0" fontId="23" fillId="0" borderId="188" applyNumberFormat="0" applyFill="0" applyAlignment="0" applyProtection="0"/>
    <xf numFmtId="180" fontId="62" fillId="0" borderId="186"/>
    <xf numFmtId="172" fontId="62" fillId="0" borderId="186"/>
    <xf numFmtId="172" fontId="62" fillId="0" borderId="186"/>
    <xf numFmtId="180" fontId="62" fillId="0" borderId="186"/>
    <xf numFmtId="175" fontId="62" fillId="0" borderId="186"/>
    <xf numFmtId="175" fontId="62" fillId="0" borderId="186"/>
    <xf numFmtId="180" fontId="62" fillId="0" borderId="186"/>
    <xf numFmtId="180" fontId="62" fillId="0" borderId="186"/>
    <xf numFmtId="180" fontId="62" fillId="0" borderId="186"/>
    <xf numFmtId="172" fontId="62" fillId="0" borderId="186"/>
    <xf numFmtId="174" fontId="62" fillId="0" borderId="186"/>
    <xf numFmtId="172" fontId="62" fillId="0" borderId="186"/>
    <xf numFmtId="180" fontId="62" fillId="0" borderId="186"/>
    <xf numFmtId="0" fontId="18" fillId="9" borderId="183" applyNumberFormat="0" applyAlignment="0" applyProtection="0"/>
    <xf numFmtId="180" fontId="62" fillId="0" borderId="186"/>
    <xf numFmtId="180" fontId="62" fillId="0" borderId="186"/>
    <xf numFmtId="0" fontId="23" fillId="0" borderId="188" applyNumberFormat="0" applyFill="0" applyAlignment="0" applyProtection="0"/>
    <xf numFmtId="172" fontId="62" fillId="0" borderId="186"/>
    <xf numFmtId="0" fontId="8" fillId="25" borderId="151" applyNumberFormat="0" applyFont="0" applyAlignment="0" applyProtection="0"/>
    <xf numFmtId="0" fontId="18" fillId="9" borderId="183" applyNumberFormat="0" applyAlignment="0" applyProtection="0"/>
    <xf numFmtId="172" fontId="62" fillId="0" borderId="186"/>
    <xf numFmtId="180" fontId="62" fillId="0" borderId="186"/>
    <xf numFmtId="0" fontId="8" fillId="25" borderId="151" applyNumberFormat="0" applyFont="0" applyAlignment="0" applyProtection="0"/>
    <xf numFmtId="0" fontId="11" fillId="22" borderId="183" applyNumberFormat="0" applyAlignment="0" applyProtection="0"/>
    <xf numFmtId="172"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2" fontId="62" fillId="0" borderId="186"/>
    <xf numFmtId="181" fontId="62" fillId="0" borderId="186"/>
    <xf numFmtId="175" fontId="62" fillId="0" borderId="186"/>
    <xf numFmtId="175" fontId="62" fillId="0" borderId="186"/>
    <xf numFmtId="174" fontId="62" fillId="0" borderId="186"/>
    <xf numFmtId="180" fontId="62" fillId="0" borderId="186"/>
    <xf numFmtId="173" fontId="62" fillId="0" borderId="186"/>
    <xf numFmtId="0" fontId="21" fillId="22" borderId="187" applyNumberFormat="0" applyAlignment="0" applyProtection="0"/>
    <xf numFmtId="172" fontId="62" fillId="0" borderId="186"/>
    <xf numFmtId="175" fontId="62" fillId="0" borderId="186"/>
    <xf numFmtId="180" fontId="62" fillId="0" borderId="186"/>
    <xf numFmtId="0" fontId="11" fillId="22" borderId="183" applyNumberFormat="0" applyAlignment="0" applyProtection="0"/>
    <xf numFmtId="175" fontId="62" fillId="0" borderId="186"/>
    <xf numFmtId="176" fontId="62" fillId="0" borderId="186"/>
    <xf numFmtId="175" fontId="62" fillId="0" borderId="186"/>
    <xf numFmtId="182" fontId="62" fillId="0" borderId="186"/>
    <xf numFmtId="172" fontId="62" fillId="0" borderId="186"/>
    <xf numFmtId="177" fontId="62" fillId="0" borderId="186"/>
    <xf numFmtId="173" fontId="62" fillId="0" borderId="186"/>
    <xf numFmtId="180" fontId="62" fillId="0" borderId="186"/>
    <xf numFmtId="181" fontId="62" fillId="0" borderId="186"/>
    <xf numFmtId="182" fontId="62" fillId="0" borderId="186"/>
    <xf numFmtId="0" fontId="65" fillId="50" borderId="185">
      <protection locked="0"/>
    </xf>
    <xf numFmtId="0" fontId="18" fillId="9"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75" fontId="62" fillId="0" borderId="186"/>
    <xf numFmtId="175" fontId="62" fillId="0" borderId="186"/>
    <xf numFmtId="172" fontId="62" fillId="0" borderId="186"/>
    <xf numFmtId="0" fontId="18" fillId="9" borderId="183" applyNumberFormat="0" applyAlignment="0" applyProtection="0"/>
    <xf numFmtId="175" fontId="62" fillId="0" borderId="186"/>
    <xf numFmtId="172" fontId="62" fillId="0" borderId="186"/>
    <xf numFmtId="180" fontId="62" fillId="0" borderId="186"/>
    <xf numFmtId="174" fontId="62" fillId="0" borderId="186"/>
    <xf numFmtId="174" fontId="62" fillId="0" borderId="186"/>
    <xf numFmtId="172" fontId="62" fillId="0" borderId="186"/>
    <xf numFmtId="174" fontId="62" fillId="0" borderId="186"/>
    <xf numFmtId="175" fontId="62" fillId="0" borderId="186"/>
    <xf numFmtId="177" fontId="62" fillId="0" borderId="186"/>
    <xf numFmtId="172" fontId="62" fillId="0" borderId="186"/>
    <xf numFmtId="0" fontId="11" fillId="22" borderId="183" applyNumberFormat="0" applyAlignment="0" applyProtection="0"/>
    <xf numFmtId="180" fontId="62" fillId="0" borderId="186"/>
    <xf numFmtId="180" fontId="62" fillId="0" borderId="186"/>
    <xf numFmtId="180" fontId="62" fillId="0" borderId="186"/>
    <xf numFmtId="172" fontId="62" fillId="0" borderId="186"/>
    <xf numFmtId="0" fontId="8" fillId="25" borderId="151" applyNumberFormat="0" applyFont="0" applyAlignment="0" applyProtection="0"/>
    <xf numFmtId="172" fontId="62" fillId="0" borderId="186"/>
    <xf numFmtId="181" fontId="62" fillId="0" borderId="186"/>
    <xf numFmtId="175" fontId="62" fillId="0" borderId="186"/>
    <xf numFmtId="176" fontId="62" fillId="0" borderId="186"/>
    <xf numFmtId="0" fontId="18" fillId="9" borderId="183" applyNumberFormat="0" applyAlignment="0" applyProtection="0"/>
    <xf numFmtId="172" fontId="62" fillId="0" borderId="186"/>
    <xf numFmtId="180" fontId="62" fillId="0" borderId="186"/>
    <xf numFmtId="175" fontId="62" fillId="0" borderId="186"/>
    <xf numFmtId="180" fontId="62" fillId="0" borderId="186"/>
    <xf numFmtId="172" fontId="62" fillId="0" borderId="186"/>
    <xf numFmtId="180" fontId="62" fillId="0" borderId="186"/>
    <xf numFmtId="175" fontId="62" fillId="0" borderId="186"/>
    <xf numFmtId="175" fontId="62" fillId="0" borderId="186"/>
    <xf numFmtId="172" fontId="62" fillId="0" borderId="186"/>
    <xf numFmtId="175" fontId="62" fillId="0" borderId="186"/>
    <xf numFmtId="176" fontId="62" fillId="0" borderId="186"/>
    <xf numFmtId="175" fontId="62" fillId="0" borderId="186"/>
    <xf numFmtId="180" fontId="62" fillId="0" borderId="186"/>
    <xf numFmtId="180" fontId="62" fillId="0" borderId="186"/>
    <xf numFmtId="172" fontId="62" fillId="0" borderId="186"/>
    <xf numFmtId="0" fontId="21" fillId="22" borderId="187" applyNumberFormat="0" applyAlignment="0" applyProtection="0"/>
    <xf numFmtId="173" fontId="62" fillId="0" borderId="186"/>
    <xf numFmtId="0" fontId="23" fillId="0" borderId="188" applyNumberFormat="0" applyFill="0" applyAlignment="0" applyProtection="0"/>
    <xf numFmtId="0" fontId="8" fillId="25" borderId="151" applyNumberFormat="0" applyFont="0" applyAlignment="0" applyProtection="0"/>
    <xf numFmtId="0" fontId="11" fillId="22" borderId="183" applyNumberFormat="0" applyAlignment="0" applyProtection="0"/>
    <xf numFmtId="0" fontId="65" fillId="50" borderId="185">
      <protection locked="0"/>
    </xf>
    <xf numFmtId="176" fontId="62" fillId="0" borderId="186"/>
    <xf numFmtId="0" fontId="23" fillId="0" borderId="188" applyNumberFormat="0" applyFill="0" applyAlignment="0" applyProtection="0"/>
    <xf numFmtId="175" fontId="62" fillId="0" borderId="186"/>
    <xf numFmtId="0" fontId="21" fillId="22" borderId="187" applyNumberFormat="0" applyAlignment="0" applyProtection="0"/>
    <xf numFmtId="172" fontId="62" fillId="0" borderId="186"/>
    <xf numFmtId="182" fontId="62" fillId="0" borderId="186"/>
    <xf numFmtId="172" fontId="62" fillId="0" borderId="186"/>
    <xf numFmtId="180" fontId="62" fillId="0" borderId="186"/>
    <xf numFmtId="0" fontId="11" fillId="22" borderId="183" applyNumberFormat="0" applyAlignment="0" applyProtection="0"/>
    <xf numFmtId="175" fontId="62" fillId="0" borderId="186"/>
    <xf numFmtId="181" fontId="62" fillId="0" borderId="186"/>
    <xf numFmtId="175" fontId="62" fillId="0" borderId="186"/>
    <xf numFmtId="172" fontId="62" fillId="0" borderId="186"/>
    <xf numFmtId="175" fontId="62" fillId="0" borderId="186"/>
    <xf numFmtId="173" fontId="62" fillId="0" borderId="186"/>
    <xf numFmtId="180" fontId="62" fillId="0" borderId="186"/>
    <xf numFmtId="177" fontId="62" fillId="0" borderId="186"/>
    <xf numFmtId="175" fontId="62" fillId="0" borderId="186"/>
    <xf numFmtId="173" fontId="62" fillId="0" borderId="186"/>
    <xf numFmtId="172" fontId="62" fillId="0" borderId="186"/>
    <xf numFmtId="181" fontId="62" fillId="0" borderId="186"/>
    <xf numFmtId="182" fontId="62" fillId="0" borderId="186"/>
    <xf numFmtId="0" fontId="65" fillId="50" borderId="185">
      <protection locked="0"/>
    </xf>
    <xf numFmtId="180" fontId="62" fillId="0" borderId="186"/>
    <xf numFmtId="180" fontId="62" fillId="0" borderId="186"/>
    <xf numFmtId="180" fontId="62" fillId="0" borderId="186"/>
    <xf numFmtId="172" fontId="62" fillId="0" borderId="186"/>
    <xf numFmtId="180" fontId="62" fillId="0" borderId="186"/>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2" fontId="62" fillId="0" borderId="186"/>
    <xf numFmtId="172" fontId="62" fillId="0" borderId="186"/>
    <xf numFmtId="175" fontId="62" fillId="0" borderId="186"/>
    <xf numFmtId="180" fontId="62" fillId="0" borderId="186"/>
    <xf numFmtId="172" fontId="62" fillId="0" borderId="186"/>
    <xf numFmtId="0" fontId="8" fillId="25" borderId="151" applyNumberFormat="0" applyFont="0" applyAlignment="0" applyProtection="0"/>
    <xf numFmtId="175" fontId="62" fillId="0" borderId="186"/>
    <xf numFmtId="177" fontId="62" fillId="0" borderId="186"/>
    <xf numFmtId="180" fontId="62" fillId="0" borderId="186"/>
    <xf numFmtId="172" fontId="62" fillId="0" borderId="186"/>
    <xf numFmtId="175"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5" fontId="62" fillId="0" borderId="186"/>
    <xf numFmtId="180" fontId="62" fillId="0" borderId="186"/>
    <xf numFmtId="172" fontId="62" fillId="0" borderId="186"/>
    <xf numFmtId="180" fontId="62" fillId="0" borderId="186"/>
    <xf numFmtId="180" fontId="62" fillId="0" borderId="186"/>
    <xf numFmtId="175" fontId="62" fillId="0" borderId="186"/>
    <xf numFmtId="175" fontId="62" fillId="0" borderId="186"/>
    <xf numFmtId="172" fontId="62" fillId="0" borderId="186"/>
    <xf numFmtId="172" fontId="62" fillId="0" borderId="186"/>
    <xf numFmtId="172" fontId="62" fillId="0" borderId="186"/>
    <xf numFmtId="0" fontId="65" fillId="50" borderId="189">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5" fontId="62" fillId="0" borderId="186"/>
    <xf numFmtId="0" fontId="65" fillId="50" borderId="189">
      <protection locked="0"/>
    </xf>
    <xf numFmtId="177" fontId="62" fillId="0" borderId="186"/>
    <xf numFmtId="182" fontId="62" fillId="0" borderId="186"/>
    <xf numFmtId="172" fontId="62" fillId="0" borderId="186"/>
    <xf numFmtId="0" fontId="11" fillId="22" borderId="183" applyNumberFormat="0" applyAlignment="0" applyProtection="0"/>
    <xf numFmtId="0" fontId="18" fillId="9" borderId="183" applyNumberFormat="0" applyAlignment="0" applyProtection="0"/>
    <xf numFmtId="182" fontId="62" fillId="0" borderId="186"/>
    <xf numFmtId="181" fontId="62" fillId="0" borderId="186"/>
    <xf numFmtId="180" fontId="62" fillId="0" borderId="186"/>
    <xf numFmtId="172" fontId="62" fillId="0" borderId="186"/>
    <xf numFmtId="176" fontId="62" fillId="0" borderId="186"/>
    <xf numFmtId="177" fontId="62" fillId="0" borderId="186"/>
    <xf numFmtId="176" fontId="62" fillId="0" borderId="186"/>
    <xf numFmtId="175" fontId="62" fillId="0" borderId="186"/>
    <xf numFmtId="177" fontId="62" fillId="0" borderId="186"/>
    <xf numFmtId="181" fontId="62" fillId="0" borderId="186"/>
    <xf numFmtId="174" fontId="62" fillId="0" borderId="186"/>
    <xf numFmtId="0" fontId="11" fillId="22" borderId="183" applyNumberFormat="0" applyAlignment="0" applyProtection="0"/>
    <xf numFmtId="173" fontId="62" fillId="0" borderId="186"/>
    <xf numFmtId="180" fontId="62" fillId="0" borderId="186"/>
    <xf numFmtId="177" fontId="62" fillId="0" borderId="186"/>
    <xf numFmtId="175" fontId="62" fillId="0" borderId="186"/>
    <xf numFmtId="172" fontId="62" fillId="0" borderId="186"/>
    <xf numFmtId="0" fontId="21" fillId="22" borderId="187" applyNumberFormat="0" applyAlignment="0" applyProtection="0"/>
    <xf numFmtId="0" fontId="23" fillId="0" borderId="188" applyNumberFormat="0" applyFill="0" applyAlignment="0" applyProtection="0"/>
    <xf numFmtId="181" fontId="62" fillId="0" borderId="186"/>
    <xf numFmtId="176" fontId="62" fillId="0" borderId="186"/>
    <xf numFmtId="174" fontId="62" fillId="0" borderId="186"/>
    <xf numFmtId="173" fontId="62" fillId="0" borderId="186"/>
    <xf numFmtId="172" fontId="62" fillId="0" borderId="186"/>
    <xf numFmtId="182"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11" fillId="22" borderId="183" applyNumberFormat="0" applyAlignment="0" applyProtection="0"/>
    <xf numFmtId="0" fontId="65" fillId="50" borderId="185">
      <protection locked="0"/>
    </xf>
    <xf numFmtId="0" fontId="11" fillId="22" borderId="183" applyNumberFormat="0" applyAlignment="0" applyProtection="0"/>
    <xf numFmtId="0" fontId="21" fillId="22" borderId="187" applyNumberFormat="0" applyAlignment="0" applyProtection="0"/>
    <xf numFmtId="0" fontId="65" fillId="50" borderId="185">
      <protection locked="0"/>
    </xf>
    <xf numFmtId="174" fontId="62" fillId="0" borderId="186"/>
    <xf numFmtId="173"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23" fillId="0" borderId="188" applyNumberFormat="0" applyFill="0" applyAlignment="0" applyProtection="0"/>
    <xf numFmtId="172" fontId="62" fillId="0" borderId="186"/>
    <xf numFmtId="173"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2" fontId="62" fillId="0" borderId="186"/>
    <xf numFmtId="180" fontId="62" fillId="0" borderId="186"/>
    <xf numFmtId="0" fontId="11" fillId="22" borderId="183" applyNumberFormat="0" applyAlignment="0" applyProtection="0"/>
    <xf numFmtId="0" fontId="65" fillId="50" borderId="185">
      <protection locked="0"/>
    </xf>
    <xf numFmtId="182" fontId="62" fillId="0" borderId="186"/>
    <xf numFmtId="172" fontId="62" fillId="0" borderId="186"/>
    <xf numFmtId="0" fontId="23" fillId="0" borderId="188" applyNumberFormat="0" applyFill="0" applyAlignment="0" applyProtection="0"/>
    <xf numFmtId="180" fontId="62" fillId="0" borderId="186"/>
    <xf numFmtId="0" fontId="65" fillId="50" borderId="185">
      <protection locked="0"/>
    </xf>
    <xf numFmtId="0" fontId="11" fillId="22" borderId="183" applyNumberFormat="0" applyAlignment="0" applyProtection="0"/>
    <xf numFmtId="172" fontId="62" fillId="0" borderId="186"/>
    <xf numFmtId="172" fontId="62" fillId="0" borderId="186"/>
    <xf numFmtId="0" fontId="18" fillId="9" borderId="183" applyNumberFormat="0" applyAlignment="0" applyProtection="0"/>
    <xf numFmtId="173" fontId="62" fillId="0" borderId="186"/>
    <xf numFmtId="172" fontId="62" fillId="0" borderId="186"/>
    <xf numFmtId="175" fontId="62" fillId="0" borderId="186"/>
    <xf numFmtId="172" fontId="62" fillId="0" borderId="186"/>
    <xf numFmtId="175" fontId="62" fillId="0" borderId="186"/>
    <xf numFmtId="176" fontId="62" fillId="0" borderId="186"/>
    <xf numFmtId="177" fontId="62" fillId="0" borderId="186"/>
    <xf numFmtId="0" fontId="8" fillId="25" borderId="151" applyNumberFormat="0" applyFont="0" applyAlignment="0" applyProtection="0"/>
    <xf numFmtId="175" fontId="62" fillId="0" borderId="186"/>
    <xf numFmtId="180" fontId="62" fillId="0" borderId="186"/>
    <xf numFmtId="172" fontId="62" fillId="0" borderId="186"/>
    <xf numFmtId="181" fontId="62" fillId="0" borderId="186"/>
    <xf numFmtId="182" fontId="62" fillId="0" borderId="186"/>
    <xf numFmtId="0" fontId="18" fillId="9" borderId="183" applyNumberFormat="0" applyAlignment="0" applyProtection="0"/>
    <xf numFmtId="180" fontId="62" fillId="0" borderId="186"/>
    <xf numFmtId="180" fontId="62" fillId="0" borderId="186"/>
    <xf numFmtId="175" fontId="62" fillId="0" borderId="186"/>
    <xf numFmtId="172" fontId="62" fillId="0" borderId="186"/>
    <xf numFmtId="176" fontId="62" fillId="0" borderId="186"/>
    <xf numFmtId="172" fontId="62" fillId="0" borderId="186"/>
    <xf numFmtId="172" fontId="62" fillId="0" borderId="186"/>
    <xf numFmtId="175" fontId="62" fillId="0" borderId="186"/>
    <xf numFmtId="175" fontId="62" fillId="0" borderId="186"/>
    <xf numFmtId="172" fontId="62" fillId="0" borderId="186"/>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8" fillId="25" borderId="151" applyNumberFormat="0" applyFont="0" applyAlignment="0" applyProtection="0"/>
    <xf numFmtId="174" fontId="62" fillId="0" borderId="186"/>
    <xf numFmtId="175" fontId="62" fillId="0" borderId="186"/>
    <xf numFmtId="180" fontId="62" fillId="0" borderId="186"/>
    <xf numFmtId="0" fontId="11" fillId="22" borderId="183" applyNumberFormat="0" applyAlignment="0" applyProtection="0"/>
    <xf numFmtId="174" fontId="62" fillId="0" borderId="186"/>
    <xf numFmtId="173" fontId="62" fillId="0" borderId="186"/>
    <xf numFmtId="0" fontId="21" fillId="22" borderId="187" applyNumberFormat="0" applyAlignment="0" applyProtection="0"/>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4" fontId="62" fillId="0" borderId="186"/>
    <xf numFmtId="176" fontId="62" fillId="0" borderId="186"/>
    <xf numFmtId="177"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1" fontId="62" fillId="0" borderId="186"/>
    <xf numFmtId="175" fontId="62" fillId="0" borderId="186"/>
    <xf numFmtId="180"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175" fontId="62" fillId="0" borderId="186"/>
    <xf numFmtId="180" fontId="62" fillId="0" borderId="186"/>
    <xf numFmtId="175" fontId="62" fillId="0" borderId="186"/>
    <xf numFmtId="172" fontId="62" fillId="0" borderId="186"/>
    <xf numFmtId="180" fontId="62" fillId="0" borderId="186"/>
    <xf numFmtId="175" fontId="62" fillId="0" borderId="186"/>
    <xf numFmtId="180" fontId="62" fillId="0" borderId="186"/>
    <xf numFmtId="172" fontId="62" fillId="0" borderId="186"/>
    <xf numFmtId="172" fontId="62" fillId="0" borderId="186"/>
    <xf numFmtId="180"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7" fontId="62" fillId="0" borderId="186"/>
    <xf numFmtId="0" fontId="11" fillId="22" borderId="183" applyNumberFormat="0" applyAlignment="0" applyProtection="0"/>
    <xf numFmtId="181" fontId="62" fillId="0" borderId="186"/>
    <xf numFmtId="180" fontId="62" fillId="0" borderId="186"/>
    <xf numFmtId="172" fontId="62" fillId="0" borderId="186"/>
    <xf numFmtId="172" fontId="62" fillId="0" borderId="186"/>
    <xf numFmtId="175" fontId="62" fillId="0" borderId="186"/>
    <xf numFmtId="175" fontId="62" fillId="0" borderId="186"/>
    <xf numFmtId="172" fontId="62" fillId="0" borderId="186"/>
    <xf numFmtId="0" fontId="23" fillId="0" borderId="188" applyNumberFormat="0" applyFill="0" applyAlignment="0" applyProtection="0"/>
    <xf numFmtId="175" fontId="62" fillId="0" borderId="186"/>
    <xf numFmtId="0" fontId="18" fillId="9" borderId="183" applyNumberFormat="0" applyAlignment="0" applyProtection="0"/>
    <xf numFmtId="0" fontId="21" fillId="22" borderId="187" applyNumberFormat="0" applyAlignment="0" applyProtection="0"/>
    <xf numFmtId="0" fontId="8" fillId="25" borderId="151" applyNumberFormat="0" applyFont="0" applyAlignment="0" applyProtection="0"/>
    <xf numFmtId="0" fontId="65" fillId="50" borderId="185">
      <protection locked="0"/>
    </xf>
    <xf numFmtId="180" fontId="62" fillId="0" borderId="186"/>
    <xf numFmtId="0" fontId="11" fillId="22" borderId="183" applyNumberFormat="0" applyAlignment="0" applyProtection="0"/>
    <xf numFmtId="0" fontId="18" fillId="9" borderId="183" applyNumberFormat="0" applyAlignment="0" applyProtection="0"/>
    <xf numFmtId="175" fontId="62" fillId="0" borderId="186"/>
    <xf numFmtId="172" fontId="62" fillId="0" borderId="186"/>
    <xf numFmtId="180" fontId="62" fillId="0" borderId="186"/>
    <xf numFmtId="175" fontId="62" fillId="0" borderId="186"/>
    <xf numFmtId="172" fontId="62" fillId="0" borderId="186"/>
    <xf numFmtId="173" fontId="62" fillId="0" borderId="186"/>
    <xf numFmtId="172" fontId="62" fillId="0" borderId="186"/>
    <xf numFmtId="175" fontId="62" fillId="0" borderId="186"/>
    <xf numFmtId="180" fontId="62" fillId="0" borderId="186"/>
    <xf numFmtId="172" fontId="62" fillId="0" borderId="186"/>
    <xf numFmtId="180" fontId="62" fillId="0" borderId="186"/>
    <xf numFmtId="0" fontId="11" fillId="22" borderId="183" applyNumberFormat="0" applyAlignment="0" applyProtection="0"/>
    <xf numFmtId="182" fontId="62" fillId="0" borderId="186"/>
    <xf numFmtId="176" fontId="62" fillId="0" borderId="186"/>
    <xf numFmtId="180"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23" fillId="0" borderId="188" applyNumberFormat="0" applyFill="0" applyAlignment="0" applyProtection="0"/>
    <xf numFmtId="180" fontId="62" fillId="0" borderId="186"/>
    <xf numFmtId="180" fontId="62" fillId="0" borderId="186"/>
    <xf numFmtId="175" fontId="62" fillId="0" borderId="186"/>
    <xf numFmtId="174" fontId="62" fillId="0" borderId="186"/>
    <xf numFmtId="0" fontId="8" fillId="25" borderId="151" applyNumberFormat="0" applyFont="0" applyAlignment="0" applyProtection="0"/>
    <xf numFmtId="175"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80" fontId="62" fillId="0" borderId="186"/>
    <xf numFmtId="175"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175" fontId="62" fillId="0" borderId="186"/>
    <xf numFmtId="0" fontId="18" fillId="9" borderId="183" applyNumberFormat="0" applyAlignment="0" applyProtection="0"/>
    <xf numFmtId="0" fontId="8" fillId="25" borderId="151" applyNumberFormat="0" applyFont="0" applyAlignment="0" applyProtection="0"/>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65" fillId="50" borderId="185">
      <protection locked="0"/>
    </xf>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182"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0" fontId="62" fillId="0" borderId="186"/>
    <xf numFmtId="180" fontId="62" fillId="0" borderId="186"/>
    <xf numFmtId="181" fontId="62" fillId="0" borderId="186"/>
    <xf numFmtId="172" fontId="62" fillId="0" borderId="186"/>
    <xf numFmtId="175" fontId="62" fillId="0" borderId="186"/>
    <xf numFmtId="175" fontId="62" fillId="0" borderId="186"/>
    <xf numFmtId="177" fontId="62" fillId="0" borderId="186"/>
    <xf numFmtId="172"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11" fillId="22"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0" fontId="8" fillId="25" borderId="151" applyNumberFormat="0" applyFont="0" applyAlignment="0" applyProtection="0"/>
    <xf numFmtId="176" fontId="62" fillId="0" borderId="186"/>
    <xf numFmtId="180" fontId="62" fillId="0" borderId="186"/>
    <xf numFmtId="172" fontId="62" fillId="0" borderId="186"/>
    <xf numFmtId="173" fontId="62" fillId="0" borderId="186"/>
    <xf numFmtId="174" fontId="62" fillId="0" borderId="186"/>
    <xf numFmtId="0" fontId="8" fillId="25" borderId="151" applyNumberFormat="0" applyFont="0" applyAlignment="0" applyProtection="0"/>
    <xf numFmtId="175" fontId="62" fillId="0" borderId="186"/>
    <xf numFmtId="176" fontId="62" fillId="0" borderId="186"/>
    <xf numFmtId="177" fontId="62" fillId="0" borderId="186"/>
    <xf numFmtId="176" fontId="62" fillId="0" borderId="186"/>
    <xf numFmtId="180" fontId="62" fillId="0" borderId="186"/>
    <xf numFmtId="181" fontId="62" fillId="0" borderId="186"/>
    <xf numFmtId="182" fontId="62" fillId="0" borderId="186"/>
    <xf numFmtId="175" fontId="62" fillId="0" borderId="186"/>
    <xf numFmtId="0" fontId="17" fillId="0" borderId="182" applyNumberFormat="0" applyFill="0" applyAlignment="0" applyProtection="0"/>
    <xf numFmtId="172" fontId="62" fillId="0" borderId="186"/>
    <xf numFmtId="0" fontId="65" fillId="50" borderId="185">
      <protection locked="0"/>
    </xf>
    <xf numFmtId="0" fontId="11" fillId="22" borderId="183" applyNumberFormat="0" applyAlignment="0" applyProtection="0"/>
    <xf numFmtId="0" fontId="11" fillId="22" borderId="183" applyNumberFormat="0" applyAlignment="0" applyProtection="0"/>
    <xf numFmtId="182" fontId="62" fillId="0" borderId="186"/>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174" fontId="62" fillId="0" borderId="186"/>
    <xf numFmtId="0" fontId="18" fillId="9" borderId="183" applyNumberFormat="0" applyAlignment="0" applyProtection="0"/>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3" fontId="62" fillId="0" borderId="186"/>
    <xf numFmtId="174" fontId="62" fillId="0" borderId="186"/>
    <xf numFmtId="0" fontId="18" fillId="9" borderId="183" applyNumberFormat="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7" fontId="62" fillId="0" borderId="186"/>
    <xf numFmtId="172" fontId="62" fillId="0" borderId="186"/>
    <xf numFmtId="173" fontId="62" fillId="0" borderId="186"/>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172" fontId="62" fillId="0" borderId="186"/>
    <xf numFmtId="180" fontId="62" fillId="0" borderId="186"/>
    <xf numFmtId="175" fontId="62" fillId="0" borderId="186"/>
    <xf numFmtId="175" fontId="62" fillId="0" borderId="186"/>
    <xf numFmtId="180" fontId="62" fillId="0" borderId="186"/>
    <xf numFmtId="172"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65" fillId="50" borderId="185">
      <protection locked="0"/>
    </xf>
    <xf numFmtId="172" fontId="62" fillId="0" borderId="186"/>
    <xf numFmtId="182" fontId="62" fillId="0" borderId="186"/>
    <xf numFmtId="175" fontId="62" fillId="0" borderId="186"/>
    <xf numFmtId="177" fontId="62" fillId="0" borderId="186"/>
    <xf numFmtId="174" fontId="62" fillId="0" borderId="186"/>
    <xf numFmtId="173" fontId="62" fillId="0" borderId="186"/>
    <xf numFmtId="180"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180" fontId="62" fillId="0" borderId="186"/>
    <xf numFmtId="181"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65" fillId="50" borderId="185">
      <protection locked="0"/>
    </xf>
    <xf numFmtId="0" fontId="65" fillId="50" borderId="185">
      <protection locked="0"/>
    </xf>
    <xf numFmtId="0" fontId="11" fillId="22" borderId="183" applyNumberFormat="0" applyAlignment="0" applyProtection="0"/>
    <xf numFmtId="175" fontId="62" fillId="0" borderId="186"/>
    <xf numFmtId="172" fontId="62" fillId="0" borderId="186"/>
    <xf numFmtId="175" fontId="62" fillId="0" borderId="186"/>
    <xf numFmtId="175" fontId="62" fillId="0" borderId="186"/>
    <xf numFmtId="0" fontId="21" fillId="22" borderId="187" applyNumberFormat="0" applyAlignment="0" applyProtection="0"/>
    <xf numFmtId="180" fontId="62" fillId="0" borderId="186"/>
    <xf numFmtId="175" fontId="62" fillId="0" borderId="186"/>
    <xf numFmtId="0" fontId="65" fillId="50" borderId="185">
      <protection locked="0"/>
    </xf>
    <xf numFmtId="0" fontId="21" fillId="22" borderId="187" applyNumberFormat="0" applyAlignment="0" applyProtection="0"/>
    <xf numFmtId="0" fontId="8" fillId="25" borderId="151" applyNumberFormat="0" applyFont="0" applyAlignment="0" applyProtection="0"/>
    <xf numFmtId="172" fontId="62" fillId="0" borderId="186"/>
    <xf numFmtId="0" fontId="8" fillId="25" borderId="151" applyNumberFormat="0" applyFont="0" applyAlignment="0" applyProtection="0"/>
    <xf numFmtId="174" fontId="62" fillId="0" borderId="186"/>
    <xf numFmtId="0" fontId="23" fillId="0" borderId="188" applyNumberFormat="0" applyFill="0" applyAlignment="0" applyProtection="0"/>
    <xf numFmtId="176" fontId="62" fillId="0" borderId="186"/>
    <xf numFmtId="175" fontId="62" fillId="0" borderId="186"/>
    <xf numFmtId="0" fontId="23" fillId="0" borderId="188" applyNumberFormat="0" applyFill="0" applyAlignment="0" applyProtection="0"/>
    <xf numFmtId="182" fontId="62" fillId="0" borderId="186"/>
    <xf numFmtId="175" fontId="62" fillId="0" borderId="186"/>
    <xf numFmtId="175" fontId="62" fillId="0" borderId="186"/>
    <xf numFmtId="0" fontId="18" fillId="9" borderId="183" applyNumberFormat="0" applyAlignment="0" applyProtection="0"/>
    <xf numFmtId="0" fontId="21" fillId="22" borderId="187" applyNumberFormat="0" applyAlignment="0" applyProtection="0"/>
    <xf numFmtId="172" fontId="62" fillId="0" borderId="186"/>
    <xf numFmtId="0" fontId="8" fillId="25" borderId="151" applyNumberFormat="0" applyFont="0" applyAlignment="0" applyProtection="0"/>
    <xf numFmtId="173" fontId="62" fillId="0" borderId="186"/>
    <xf numFmtId="177" fontId="62" fillId="0" borderId="186"/>
    <xf numFmtId="0" fontId="23" fillId="0" borderId="188" applyNumberFormat="0" applyFill="0" applyAlignment="0" applyProtection="0"/>
    <xf numFmtId="0" fontId="8" fillId="25" borderId="151" applyNumberFormat="0" applyFont="0" applyAlignment="0" applyProtection="0"/>
    <xf numFmtId="176" fontId="62" fillId="0" borderId="186"/>
    <xf numFmtId="172" fontId="62" fillId="0" borderId="186"/>
    <xf numFmtId="180" fontId="62" fillId="0" borderId="186"/>
    <xf numFmtId="0" fontId="18" fillId="9" borderId="183" applyNumberFormat="0" applyAlignment="0" applyProtection="0"/>
    <xf numFmtId="172" fontId="62" fillId="0" borderId="186"/>
    <xf numFmtId="0" fontId="21" fillId="22" borderId="187" applyNumberFormat="0" applyAlignment="0" applyProtection="0"/>
    <xf numFmtId="180" fontId="62" fillId="0" borderId="186"/>
    <xf numFmtId="172" fontId="62" fillId="0" borderId="186"/>
    <xf numFmtId="180" fontId="62" fillId="0" borderId="186"/>
    <xf numFmtId="175" fontId="62" fillId="0" borderId="186"/>
    <xf numFmtId="173" fontId="62" fillId="0" borderId="186"/>
    <xf numFmtId="172" fontId="62" fillId="0" borderId="186"/>
    <xf numFmtId="175" fontId="62" fillId="0" borderId="186"/>
    <xf numFmtId="174" fontId="62" fillId="0" borderId="186"/>
    <xf numFmtId="181" fontId="62" fillId="0" borderId="186"/>
    <xf numFmtId="180" fontId="62" fillId="0" borderId="186"/>
    <xf numFmtId="175" fontId="62" fillId="0" borderId="186"/>
    <xf numFmtId="172" fontId="62" fillId="0" borderId="186"/>
    <xf numFmtId="180" fontId="62" fillId="0" borderId="186"/>
    <xf numFmtId="175" fontId="62" fillId="0" borderId="186"/>
    <xf numFmtId="172" fontId="62" fillId="0" borderId="186"/>
    <xf numFmtId="180" fontId="62" fillId="0" borderId="186"/>
    <xf numFmtId="180" fontId="62" fillId="0" borderId="186"/>
    <xf numFmtId="181" fontId="62" fillId="0" borderId="186"/>
    <xf numFmtId="177" fontId="62" fillId="0" borderId="186"/>
    <xf numFmtId="172" fontId="62" fillId="0" borderId="186"/>
    <xf numFmtId="0" fontId="23" fillId="0" borderId="188" applyNumberFormat="0" applyFill="0" applyAlignment="0" applyProtection="0"/>
    <xf numFmtId="0" fontId="11" fillId="22" borderId="183" applyNumberFormat="0" applyAlignment="0" applyProtection="0"/>
    <xf numFmtId="172" fontId="62" fillId="0" borderId="186"/>
    <xf numFmtId="174" fontId="62" fillId="0" borderId="186"/>
    <xf numFmtId="172" fontId="62" fillId="0" borderId="186"/>
    <xf numFmtId="175" fontId="62" fillId="0" borderId="186"/>
    <xf numFmtId="180" fontId="62" fillId="0" borderId="186"/>
    <xf numFmtId="172" fontId="62" fillId="0" borderId="186"/>
    <xf numFmtId="0" fontId="18" fillId="9" borderId="183" applyNumberFormat="0" applyAlignment="0" applyProtection="0"/>
    <xf numFmtId="174" fontId="62" fillId="0" borderId="186"/>
    <xf numFmtId="0" fontId="11" fillId="22" borderId="183" applyNumberFormat="0" applyAlignment="0" applyProtection="0"/>
    <xf numFmtId="182" fontId="62" fillId="0" borderId="186"/>
    <xf numFmtId="172" fontId="62" fillId="0" borderId="186"/>
    <xf numFmtId="173" fontId="62" fillId="0" borderId="186"/>
    <xf numFmtId="175" fontId="62" fillId="0" borderId="186"/>
    <xf numFmtId="176" fontId="62" fillId="0" borderId="186"/>
    <xf numFmtId="175" fontId="62" fillId="0" borderId="186"/>
    <xf numFmtId="175" fontId="62" fillId="0" borderId="186"/>
    <xf numFmtId="0" fontId="11" fillId="22" borderId="183" applyNumberFormat="0" applyAlignment="0" applyProtection="0"/>
    <xf numFmtId="172" fontId="62" fillId="0" borderId="186"/>
    <xf numFmtId="175" fontId="62" fillId="0" borderId="186"/>
    <xf numFmtId="182" fontId="62" fillId="0" borderId="186"/>
    <xf numFmtId="172"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172" fontId="62" fillId="0" borderId="186"/>
    <xf numFmtId="180" fontId="62" fillId="0" borderId="186"/>
    <xf numFmtId="180" fontId="62" fillId="0" borderId="186"/>
    <xf numFmtId="0" fontId="65" fillId="50" borderId="185">
      <protection locked="0"/>
    </xf>
    <xf numFmtId="0" fontId="8" fillId="25" borderId="151" applyNumberFormat="0" applyFont="0" applyAlignment="0" applyProtection="0"/>
    <xf numFmtId="180" fontId="62" fillId="0" borderId="186"/>
    <xf numFmtId="177" fontId="62" fillId="0" borderId="186"/>
    <xf numFmtId="172" fontId="62" fillId="0" borderId="186"/>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0" fontId="21" fillId="22" borderId="187" applyNumberFormat="0" applyAlignment="0" applyProtection="0"/>
    <xf numFmtId="175" fontId="62" fillId="0" borderId="186"/>
    <xf numFmtId="175" fontId="62" fillId="0" borderId="186"/>
    <xf numFmtId="173" fontId="62" fillId="0" borderId="186"/>
    <xf numFmtId="175" fontId="62" fillId="0" borderId="186"/>
    <xf numFmtId="180" fontId="62" fillId="0" borderId="186"/>
    <xf numFmtId="180" fontId="62" fillId="0" borderId="186"/>
    <xf numFmtId="172" fontId="62" fillId="0" borderId="186"/>
    <xf numFmtId="175" fontId="62" fillId="0" borderId="186"/>
    <xf numFmtId="180" fontId="62" fillId="0" borderId="186"/>
    <xf numFmtId="172" fontId="62" fillId="0" borderId="186"/>
    <xf numFmtId="174" fontId="62" fillId="0" borderId="186"/>
    <xf numFmtId="180" fontId="62" fillId="0" borderId="186"/>
    <xf numFmtId="0" fontId="23" fillId="0" borderId="188" applyNumberFormat="0" applyFill="0" applyAlignment="0" applyProtection="0"/>
    <xf numFmtId="175" fontId="62" fillId="0" borderId="186"/>
    <xf numFmtId="175" fontId="62" fillId="0" borderId="186"/>
    <xf numFmtId="180" fontId="62" fillId="0" borderId="186"/>
    <xf numFmtId="172" fontId="62" fillId="0" borderId="186"/>
    <xf numFmtId="0" fontId="18" fillId="9" borderId="183" applyNumberFormat="0" applyAlignment="0" applyProtection="0"/>
    <xf numFmtId="177" fontId="62" fillId="0" borderId="186"/>
    <xf numFmtId="176" fontId="62" fillId="0" borderId="186"/>
    <xf numFmtId="181" fontId="62" fillId="0" borderId="186"/>
    <xf numFmtId="176" fontId="62" fillId="0" borderId="186"/>
    <xf numFmtId="181" fontId="62" fillId="0" borderId="186"/>
    <xf numFmtId="173" fontId="62" fillId="0" borderId="186"/>
    <xf numFmtId="0" fontId="65" fillId="50" borderId="185">
      <protection locked="0"/>
    </xf>
    <xf numFmtId="181" fontId="62" fillId="0" borderId="186"/>
    <xf numFmtId="182" fontId="62" fillId="0" borderId="186"/>
    <xf numFmtId="0" fontId="65" fillId="50" borderId="185">
      <protection locked="0"/>
    </xf>
    <xf numFmtId="175" fontId="62" fillId="0" borderId="186"/>
    <xf numFmtId="182" fontId="62" fillId="0" borderId="186"/>
    <xf numFmtId="0" fontId="17" fillId="0" borderId="182" applyNumberFormat="0" applyFill="0" applyAlignment="0" applyProtection="0"/>
    <xf numFmtId="177" fontId="62" fillId="0" borderId="186"/>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0" fontId="62" fillId="0" borderId="186"/>
    <xf numFmtId="172" fontId="62" fillId="0" borderId="186"/>
    <xf numFmtId="175" fontId="62" fillId="0" borderId="186"/>
    <xf numFmtId="180" fontId="62" fillId="0" borderId="186"/>
    <xf numFmtId="180" fontId="62" fillId="0" borderId="186"/>
    <xf numFmtId="180" fontId="62" fillId="0" borderId="186"/>
    <xf numFmtId="175" fontId="62" fillId="0" borderId="186"/>
    <xf numFmtId="180" fontId="62" fillId="0" borderId="186"/>
    <xf numFmtId="180" fontId="62" fillId="0" borderId="186"/>
    <xf numFmtId="175" fontId="62" fillId="0" borderId="186"/>
    <xf numFmtId="175" fontId="62" fillId="0" borderId="186"/>
    <xf numFmtId="0" fontId="21" fillId="22" borderId="187" applyNumberFormat="0" applyAlignment="0" applyProtection="0"/>
    <xf numFmtId="175" fontId="62" fillId="0" borderId="186"/>
    <xf numFmtId="0" fontId="23" fillId="0" borderId="188" applyNumberFormat="0" applyFill="0" applyAlignment="0" applyProtection="0"/>
    <xf numFmtId="172" fontId="62" fillId="0" borderId="186"/>
    <xf numFmtId="172" fontId="62" fillId="0" borderId="186"/>
    <xf numFmtId="175" fontId="62" fillId="0" borderId="186"/>
    <xf numFmtId="176" fontId="62" fillId="0" borderId="186"/>
    <xf numFmtId="0" fontId="18" fillId="9" borderId="183" applyNumberFormat="0" applyAlignment="0" applyProtection="0"/>
    <xf numFmtId="172" fontId="62" fillId="0" borderId="186"/>
    <xf numFmtId="0" fontId="21" fillId="22" borderId="187" applyNumberFormat="0" applyAlignment="0" applyProtection="0"/>
    <xf numFmtId="174" fontId="62" fillId="0" borderId="186"/>
    <xf numFmtId="172" fontId="62" fillId="0" borderId="186"/>
    <xf numFmtId="0" fontId="18" fillId="9" borderId="183" applyNumberFormat="0" applyAlignment="0" applyProtection="0"/>
    <xf numFmtId="177" fontId="62" fillId="0" borderId="186"/>
    <xf numFmtId="0" fontId="11" fillId="22" borderId="183" applyNumberFormat="0" applyAlignment="0" applyProtection="0"/>
    <xf numFmtId="172" fontId="62" fillId="0" borderId="186"/>
    <xf numFmtId="172" fontId="62" fillId="0" borderId="186"/>
    <xf numFmtId="180" fontId="62" fillId="0" borderId="186"/>
    <xf numFmtId="0" fontId="65" fillId="50" borderId="185">
      <protection locked="0"/>
    </xf>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6" fontId="62" fillId="0" borderId="186"/>
    <xf numFmtId="180" fontId="62" fillId="0" borderId="186"/>
    <xf numFmtId="172" fontId="62" fillId="0" borderId="186"/>
    <xf numFmtId="172" fontId="62" fillId="0" borderId="186"/>
    <xf numFmtId="0" fontId="23" fillId="0" borderId="188" applyNumberFormat="0" applyFill="0" applyAlignment="0" applyProtection="0"/>
    <xf numFmtId="180" fontId="62" fillId="0" borderId="186"/>
    <xf numFmtId="172" fontId="62" fillId="0" borderId="186"/>
    <xf numFmtId="172" fontId="62" fillId="0" borderId="186"/>
    <xf numFmtId="180" fontId="62" fillId="0" borderId="186"/>
    <xf numFmtId="175" fontId="62" fillId="0" borderId="186"/>
    <xf numFmtId="175" fontId="62" fillId="0" borderId="186"/>
    <xf numFmtId="180" fontId="62" fillId="0" borderId="186"/>
    <xf numFmtId="180" fontId="62" fillId="0" borderId="186"/>
    <xf numFmtId="180" fontId="62" fillId="0" borderId="186"/>
    <xf numFmtId="172" fontId="62" fillId="0" borderId="186"/>
    <xf numFmtId="174" fontId="62" fillId="0" borderId="186"/>
    <xf numFmtId="172" fontId="62" fillId="0" borderId="186"/>
    <xf numFmtId="180" fontId="62" fillId="0" borderId="186"/>
    <xf numFmtId="0" fontId="18" fillId="9" borderId="183" applyNumberFormat="0" applyAlignment="0" applyProtection="0"/>
    <xf numFmtId="180" fontId="62" fillId="0" borderId="186"/>
    <xf numFmtId="180" fontId="62" fillId="0" borderId="186"/>
    <xf numFmtId="0" fontId="23" fillId="0" borderId="188" applyNumberFormat="0" applyFill="0" applyAlignment="0" applyProtection="0"/>
    <xf numFmtId="172" fontId="62" fillId="0" borderId="186"/>
    <xf numFmtId="0" fontId="8" fillId="25" borderId="151" applyNumberFormat="0" applyFont="0" applyAlignment="0" applyProtection="0"/>
    <xf numFmtId="0" fontId="18" fillId="9" borderId="183" applyNumberFormat="0" applyAlignment="0" applyProtection="0"/>
    <xf numFmtId="172" fontId="62" fillId="0" borderId="186"/>
    <xf numFmtId="180" fontId="62" fillId="0" borderId="186"/>
    <xf numFmtId="0" fontId="8" fillId="25" borderId="151" applyNumberFormat="0" applyFont="0" applyAlignment="0" applyProtection="0"/>
    <xf numFmtId="0" fontId="11" fillId="22" borderId="183" applyNumberFormat="0" applyAlignment="0" applyProtection="0"/>
    <xf numFmtId="172"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2" fontId="62" fillId="0" borderId="186"/>
    <xf numFmtId="181" fontId="62" fillId="0" borderId="186"/>
    <xf numFmtId="175" fontId="62" fillId="0" borderId="186"/>
    <xf numFmtId="175" fontId="62" fillId="0" borderId="186"/>
    <xf numFmtId="174" fontId="62" fillId="0" borderId="186"/>
    <xf numFmtId="180" fontId="62" fillId="0" borderId="186"/>
    <xf numFmtId="173" fontId="62" fillId="0" borderId="186"/>
    <xf numFmtId="0" fontId="21" fillId="22" borderId="187" applyNumberFormat="0" applyAlignment="0" applyProtection="0"/>
    <xf numFmtId="172" fontId="62" fillId="0" borderId="186"/>
    <xf numFmtId="175" fontId="62" fillId="0" borderId="186"/>
    <xf numFmtId="180" fontId="62" fillId="0" borderId="186"/>
    <xf numFmtId="0" fontId="11" fillId="22" borderId="183" applyNumberFormat="0" applyAlignment="0" applyProtection="0"/>
    <xf numFmtId="175" fontId="62" fillId="0" borderId="186"/>
    <xf numFmtId="176" fontId="62" fillId="0" borderId="186"/>
    <xf numFmtId="175" fontId="62" fillId="0" borderId="186"/>
    <xf numFmtId="182" fontId="62" fillId="0" borderId="186"/>
    <xf numFmtId="0" fontId="17" fillId="0" borderId="182" applyNumberFormat="0" applyFill="0" applyAlignment="0" applyProtection="0"/>
    <xf numFmtId="177" fontId="62" fillId="0" borderId="186"/>
    <xf numFmtId="173" fontId="62" fillId="0" borderId="186"/>
    <xf numFmtId="180" fontId="62" fillId="0" borderId="186"/>
    <xf numFmtId="181" fontId="62" fillId="0" borderId="186"/>
    <xf numFmtId="182" fontId="62" fillId="0" borderId="186"/>
    <xf numFmtId="0" fontId="65" fillId="50" borderId="185">
      <protection locked="0"/>
    </xf>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75" fontId="62" fillId="0" borderId="186"/>
    <xf numFmtId="175" fontId="62" fillId="0" borderId="186"/>
    <xf numFmtId="172" fontId="62" fillId="0" borderId="186"/>
    <xf numFmtId="0" fontId="18" fillId="9" borderId="183" applyNumberFormat="0" applyAlignment="0" applyProtection="0"/>
    <xf numFmtId="175" fontId="62" fillId="0" borderId="186"/>
    <xf numFmtId="172" fontId="62" fillId="0" borderId="186"/>
    <xf numFmtId="180" fontId="62" fillId="0" borderId="186"/>
    <xf numFmtId="174" fontId="62" fillId="0" borderId="186"/>
    <xf numFmtId="174" fontId="62" fillId="0" borderId="186"/>
    <xf numFmtId="172" fontId="62" fillId="0" borderId="186"/>
    <xf numFmtId="174" fontId="62" fillId="0" borderId="186"/>
    <xf numFmtId="175" fontId="62" fillId="0" borderId="186"/>
    <xf numFmtId="177" fontId="62" fillId="0" borderId="186"/>
    <xf numFmtId="172" fontId="62" fillId="0" borderId="186"/>
    <xf numFmtId="0" fontId="11" fillId="22" borderId="183" applyNumberFormat="0" applyAlignment="0" applyProtection="0"/>
    <xf numFmtId="180" fontId="62" fillId="0" borderId="186"/>
    <xf numFmtId="180" fontId="62" fillId="0" borderId="186"/>
    <xf numFmtId="180" fontId="62" fillId="0" borderId="186"/>
    <xf numFmtId="172" fontId="62" fillId="0" borderId="186"/>
    <xf numFmtId="0" fontId="8" fillId="25" borderId="151" applyNumberFormat="0" applyFont="0" applyAlignment="0" applyProtection="0"/>
    <xf numFmtId="172" fontId="62" fillId="0" borderId="186"/>
    <xf numFmtId="181" fontId="62" fillId="0" borderId="186"/>
    <xf numFmtId="175" fontId="62" fillId="0" borderId="186"/>
    <xf numFmtId="176" fontId="62" fillId="0" borderId="186"/>
    <xf numFmtId="0" fontId="18" fillId="9" borderId="183" applyNumberFormat="0" applyAlignment="0" applyProtection="0"/>
    <xf numFmtId="172" fontId="62" fillId="0" borderId="186"/>
    <xf numFmtId="180" fontId="62" fillId="0" borderId="186"/>
    <xf numFmtId="175" fontId="62" fillId="0" borderId="186"/>
    <xf numFmtId="180" fontId="62" fillId="0" borderId="186"/>
    <xf numFmtId="172" fontId="62" fillId="0" borderId="186"/>
    <xf numFmtId="180" fontId="62" fillId="0" borderId="186"/>
    <xf numFmtId="175" fontId="62" fillId="0" borderId="186"/>
    <xf numFmtId="175" fontId="62" fillId="0" borderId="186"/>
    <xf numFmtId="172" fontId="62" fillId="0" borderId="186"/>
    <xf numFmtId="175" fontId="62" fillId="0" borderId="186"/>
    <xf numFmtId="176" fontId="62" fillId="0" borderId="186"/>
    <xf numFmtId="175" fontId="62" fillId="0" borderId="186"/>
    <xf numFmtId="180" fontId="62" fillId="0" borderId="186"/>
    <xf numFmtId="180" fontId="62" fillId="0" borderId="186"/>
    <xf numFmtId="172" fontId="62" fillId="0" borderId="186"/>
    <xf numFmtId="0" fontId="21" fillId="22" borderId="187" applyNumberFormat="0" applyAlignment="0" applyProtection="0"/>
    <xf numFmtId="173" fontId="62" fillId="0" borderId="186"/>
    <xf numFmtId="0" fontId="23" fillId="0" borderId="188" applyNumberFormat="0" applyFill="0" applyAlignment="0" applyProtection="0"/>
    <xf numFmtId="0" fontId="8" fillId="25" borderId="151" applyNumberFormat="0" applyFont="0" applyAlignment="0" applyProtection="0"/>
    <xf numFmtId="0" fontId="65" fillId="50" borderId="185">
      <protection locked="0"/>
    </xf>
    <xf numFmtId="176" fontId="62" fillId="0" borderId="186"/>
    <xf numFmtId="0" fontId="23" fillId="0" borderId="188" applyNumberFormat="0" applyFill="0" applyAlignment="0" applyProtection="0"/>
    <xf numFmtId="175" fontId="62" fillId="0" borderId="186"/>
    <xf numFmtId="0" fontId="21" fillId="22" borderId="187" applyNumberFormat="0" applyAlignment="0" applyProtection="0"/>
    <xf numFmtId="172" fontId="62" fillId="0" borderId="186"/>
    <xf numFmtId="182" fontId="62" fillId="0" borderId="186"/>
    <xf numFmtId="172" fontId="62" fillId="0" borderId="186"/>
    <xf numFmtId="180" fontId="62" fillId="0" borderId="186"/>
    <xf numFmtId="0" fontId="11" fillId="22" borderId="183" applyNumberFormat="0" applyAlignment="0" applyProtection="0"/>
    <xf numFmtId="175" fontId="62" fillId="0" borderId="186"/>
    <xf numFmtId="181" fontId="62" fillId="0" borderId="186"/>
    <xf numFmtId="175" fontId="62" fillId="0" borderId="186"/>
    <xf numFmtId="172" fontId="62" fillId="0" borderId="186"/>
    <xf numFmtId="175" fontId="62" fillId="0" borderId="186"/>
    <xf numFmtId="173" fontId="62" fillId="0" borderId="186"/>
    <xf numFmtId="180" fontId="62" fillId="0" borderId="186"/>
    <xf numFmtId="177" fontId="62" fillId="0" borderId="186"/>
    <xf numFmtId="175" fontId="62" fillId="0" borderId="186"/>
    <xf numFmtId="173" fontId="62" fillId="0" borderId="186"/>
    <xf numFmtId="172" fontId="62" fillId="0" borderId="186"/>
    <xf numFmtId="181" fontId="62" fillId="0" borderId="186"/>
    <xf numFmtId="182" fontId="62" fillId="0" borderId="186"/>
    <xf numFmtId="0" fontId="65" fillId="50" borderId="185">
      <protection locked="0"/>
    </xf>
    <xf numFmtId="180" fontId="62" fillId="0" borderId="186"/>
    <xf numFmtId="180" fontId="62" fillId="0" borderId="186"/>
    <xf numFmtId="180" fontId="62" fillId="0" borderId="186"/>
    <xf numFmtId="172" fontId="62" fillId="0" borderId="186"/>
    <xf numFmtId="180" fontId="62" fillId="0" borderId="186"/>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2" fontId="62" fillId="0" borderId="186"/>
    <xf numFmtId="172" fontId="62" fillId="0" borderId="186"/>
    <xf numFmtId="175" fontId="62" fillId="0" borderId="186"/>
    <xf numFmtId="180" fontId="62" fillId="0" borderId="186"/>
    <xf numFmtId="172" fontId="62" fillId="0" borderId="186"/>
    <xf numFmtId="0" fontId="8" fillId="25" borderId="151" applyNumberFormat="0" applyFont="0" applyAlignment="0" applyProtection="0"/>
    <xf numFmtId="175" fontId="62" fillId="0" borderId="186"/>
    <xf numFmtId="177" fontId="62" fillId="0" borderId="186"/>
    <xf numFmtId="180" fontId="62" fillId="0" borderId="186"/>
    <xf numFmtId="172" fontId="62" fillId="0" borderId="186"/>
    <xf numFmtId="175"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5" fontId="62" fillId="0" borderId="186"/>
    <xf numFmtId="180" fontId="62" fillId="0" borderId="186"/>
    <xf numFmtId="172" fontId="62" fillId="0" borderId="186"/>
    <xf numFmtId="180" fontId="62" fillId="0" borderId="186"/>
    <xf numFmtId="180" fontId="62" fillId="0" borderId="186"/>
    <xf numFmtId="175" fontId="62" fillId="0" borderId="186"/>
    <xf numFmtId="175" fontId="62" fillId="0" borderId="186"/>
    <xf numFmtId="172" fontId="62" fillId="0" borderId="186"/>
    <xf numFmtId="172" fontId="62" fillId="0" borderId="186"/>
    <xf numFmtId="172" fontId="62" fillId="0" borderId="186"/>
    <xf numFmtId="0" fontId="65" fillId="50" borderId="185">
      <protection locked="0"/>
    </xf>
    <xf numFmtId="180" fontId="62" fillId="0" borderId="186"/>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5" fontId="62" fillId="0" borderId="186"/>
    <xf numFmtId="0" fontId="65" fillId="50" borderId="185">
      <protection locked="0"/>
    </xf>
    <xf numFmtId="181" fontId="62" fillId="0" borderId="186"/>
    <xf numFmtId="0" fontId="8" fillId="25" borderId="151" applyNumberFormat="0" applyFont="0" applyAlignment="0" applyProtection="0"/>
    <xf numFmtId="0" fontId="18" fillId="9" borderId="183" applyNumberFormat="0" applyAlignment="0" applyProtection="0"/>
    <xf numFmtId="0" fontId="18" fillId="9" borderId="183" applyNumberFormat="0" applyAlignment="0" applyProtection="0"/>
    <xf numFmtId="182" fontId="62" fillId="0" borderId="186"/>
    <xf numFmtId="0" fontId="8" fillId="25" borderId="151" applyNumberFormat="0" applyFont="0" applyAlignment="0" applyProtection="0"/>
    <xf numFmtId="0" fontId="65" fillId="50" borderId="185">
      <protection locked="0"/>
    </xf>
    <xf numFmtId="0" fontId="65" fillId="50" borderId="185">
      <protection locked="0"/>
    </xf>
    <xf numFmtId="177" fontId="62" fillId="0" borderId="186"/>
    <xf numFmtId="176" fontId="62" fillId="0" borderId="186"/>
    <xf numFmtId="0" fontId="23" fillId="0" borderId="188" applyNumberFormat="0" applyFill="0" applyAlignment="0" applyProtection="0"/>
    <xf numFmtId="180" fontId="62" fillId="0" borderId="186"/>
    <xf numFmtId="0" fontId="23" fillId="0" borderId="188" applyNumberFormat="0" applyFill="0" applyAlignment="0" applyProtection="0"/>
    <xf numFmtId="0" fontId="11" fillId="22" borderId="183" applyNumberFormat="0" applyAlignment="0" applyProtection="0"/>
    <xf numFmtId="182" fontId="62" fillId="0" borderId="186"/>
    <xf numFmtId="0" fontId="11" fillId="22" borderId="183" applyNumberFormat="0" applyAlignment="0" applyProtection="0"/>
    <xf numFmtId="0" fontId="21" fillId="22" borderId="187" applyNumberFormat="0" applyAlignment="0" applyProtection="0"/>
    <xf numFmtId="175" fontId="62" fillId="0" borderId="186"/>
    <xf numFmtId="0" fontId="8" fillId="25" borderId="151" applyNumberFormat="0" applyFont="0" applyAlignment="0" applyProtection="0"/>
    <xf numFmtId="0" fontId="18" fillId="9" borderId="183" applyNumberFormat="0" applyAlignment="0" applyProtection="0"/>
    <xf numFmtId="180" fontId="62" fillId="0" borderId="186"/>
    <xf numFmtId="0" fontId="11" fillId="22" borderId="183" applyNumberFormat="0" applyAlignment="0" applyProtection="0"/>
    <xf numFmtId="0" fontId="18" fillId="9" borderId="183" applyNumberFormat="0" applyAlignment="0" applyProtection="0"/>
    <xf numFmtId="172" fontId="62" fillId="0" borderId="186"/>
    <xf numFmtId="0" fontId="65" fillId="50" borderId="185">
      <protection locked="0"/>
    </xf>
    <xf numFmtId="0" fontId="23" fillId="0" borderId="188" applyNumberFormat="0" applyFill="0" applyAlignment="0" applyProtection="0"/>
    <xf numFmtId="172" fontId="62" fillId="0" borderId="186"/>
    <xf numFmtId="180" fontId="62" fillId="0" borderId="186"/>
    <xf numFmtId="180" fontId="62" fillId="0" borderId="186"/>
    <xf numFmtId="172" fontId="62" fillId="0" borderId="186"/>
    <xf numFmtId="0" fontId="65" fillId="50" borderId="185">
      <protection locked="0"/>
    </xf>
    <xf numFmtId="181" fontId="62" fillId="0" borderId="186"/>
    <xf numFmtId="0" fontId="11" fillId="22" borderId="183" applyNumberFormat="0" applyAlignment="0" applyProtection="0"/>
    <xf numFmtId="172" fontId="62" fillId="0" borderId="186"/>
    <xf numFmtId="0" fontId="11" fillId="22" borderId="183" applyNumberFormat="0" applyAlignment="0" applyProtection="0"/>
    <xf numFmtId="172" fontId="62" fillId="0" borderId="186"/>
    <xf numFmtId="0" fontId="65" fillId="50" borderId="185">
      <protection locked="0"/>
    </xf>
    <xf numFmtId="180" fontId="62" fillId="0" borderId="190"/>
    <xf numFmtId="0" fontId="8" fillId="25" borderId="151" applyNumberFormat="0" applyFont="0" applyAlignment="0" applyProtection="0"/>
    <xf numFmtId="175" fontId="62" fillId="0" borderId="186"/>
    <xf numFmtId="175" fontId="62" fillId="0" borderId="190"/>
    <xf numFmtId="0" fontId="17" fillId="0" borderId="182" applyNumberFormat="0" applyFill="0" applyAlignment="0" applyProtection="0"/>
    <xf numFmtId="181" fontId="62" fillId="0" borderId="186"/>
    <xf numFmtId="175" fontId="62" fillId="0" borderId="186"/>
    <xf numFmtId="172" fontId="62" fillId="0" borderId="186"/>
    <xf numFmtId="0" fontId="8" fillId="25" borderId="151" applyNumberFormat="0" applyFont="0" applyAlignment="0" applyProtection="0"/>
    <xf numFmtId="175" fontId="62" fillId="0" borderId="186"/>
    <xf numFmtId="180" fontId="62" fillId="0" borderId="186"/>
    <xf numFmtId="176" fontId="62" fillId="0" borderId="186"/>
    <xf numFmtId="175" fontId="62" fillId="0" borderId="186"/>
    <xf numFmtId="180" fontId="62" fillId="0" borderId="186"/>
    <xf numFmtId="0" fontId="8" fillId="25" borderId="151" applyNumberFormat="0" applyFont="0" applyAlignment="0" applyProtection="0"/>
    <xf numFmtId="176" fontId="62" fillId="0" borderId="186"/>
    <xf numFmtId="172" fontId="62" fillId="0" borderId="186"/>
    <xf numFmtId="175" fontId="62" fillId="0" borderId="186"/>
    <xf numFmtId="180" fontId="62" fillId="0" borderId="186"/>
    <xf numFmtId="175" fontId="62" fillId="0" borderId="186"/>
    <xf numFmtId="177" fontId="62" fillId="0" borderId="186"/>
    <xf numFmtId="0" fontId="18" fillId="9" borderId="183" applyNumberFormat="0" applyAlignment="0" applyProtection="0"/>
    <xf numFmtId="0" fontId="21" fillId="22" borderId="187" applyNumberFormat="0" applyAlignment="0" applyProtection="0"/>
    <xf numFmtId="180" fontId="62" fillId="0" borderId="186"/>
    <xf numFmtId="181" fontId="62" fillId="0" borderId="186"/>
    <xf numFmtId="172" fontId="62" fillId="0" borderId="186"/>
    <xf numFmtId="172" fontId="62" fillId="0" borderId="186"/>
    <xf numFmtId="172" fontId="62" fillId="0" borderId="186"/>
    <xf numFmtId="175" fontId="62" fillId="0" borderId="186"/>
    <xf numFmtId="0" fontId="65" fillId="50" borderId="185">
      <protection locked="0"/>
    </xf>
    <xf numFmtId="174" fontId="62" fillId="0" borderId="186"/>
    <xf numFmtId="172" fontId="62" fillId="0" borderId="186"/>
    <xf numFmtId="0" fontId="8" fillId="25" borderId="151" applyNumberFormat="0" applyFont="0" applyAlignment="0" applyProtection="0"/>
    <xf numFmtId="0" fontId="11" fillId="22" borderId="183" applyNumberFormat="0" applyAlignment="0" applyProtection="0"/>
    <xf numFmtId="175" fontId="62" fillId="0" borderId="186"/>
    <xf numFmtId="172" fontId="62" fillId="0" borderId="190"/>
    <xf numFmtId="0" fontId="17" fillId="0" borderId="182" applyNumberFormat="0" applyFill="0" applyAlignment="0" applyProtection="0"/>
    <xf numFmtId="0" fontId="11" fillId="22" borderId="183" applyNumberFormat="0" applyAlignment="0" applyProtection="0"/>
    <xf numFmtId="176" fontId="62" fillId="0" borderId="186"/>
    <xf numFmtId="175" fontId="62" fillId="0" borderId="186"/>
    <xf numFmtId="175" fontId="62" fillId="0" borderId="186"/>
    <xf numFmtId="0" fontId="21" fillId="22" borderId="187" applyNumberFormat="0" applyAlignment="0" applyProtection="0"/>
    <xf numFmtId="174" fontId="62" fillId="0" borderId="186"/>
    <xf numFmtId="182" fontId="62" fillId="0" borderId="186"/>
    <xf numFmtId="173" fontId="62" fillId="0" borderId="186"/>
    <xf numFmtId="0" fontId="11" fillId="22" borderId="183" applyNumberFormat="0" applyAlignment="0" applyProtection="0"/>
    <xf numFmtId="172" fontId="62" fillId="0" borderId="186"/>
    <xf numFmtId="0" fontId="11" fillId="22" borderId="183" applyNumberFormat="0" applyAlignment="0" applyProtection="0"/>
    <xf numFmtId="172" fontId="62" fillId="0" borderId="186"/>
    <xf numFmtId="180" fontId="62" fillId="0" borderId="186"/>
    <xf numFmtId="177" fontId="62" fillId="0" borderId="186"/>
    <xf numFmtId="0" fontId="11" fillId="22" borderId="183" applyNumberFormat="0" applyAlignment="0" applyProtection="0"/>
    <xf numFmtId="180" fontId="62" fillId="0" borderId="186"/>
    <xf numFmtId="0" fontId="18" fillId="9" borderId="183" applyNumberFormat="0" applyAlignment="0" applyProtection="0"/>
    <xf numFmtId="173" fontId="62" fillId="0" borderId="186"/>
    <xf numFmtId="181" fontId="62" fillId="0" borderId="186"/>
    <xf numFmtId="172" fontId="62" fillId="0" borderId="186"/>
    <xf numFmtId="0" fontId="21" fillId="22" borderId="187" applyNumberFormat="0" applyAlignment="0" applyProtection="0"/>
    <xf numFmtId="173" fontId="62" fillId="0" borderId="186"/>
    <xf numFmtId="0" fontId="18" fillId="9" borderId="183" applyNumberFormat="0" applyAlignment="0" applyProtection="0"/>
    <xf numFmtId="181" fontId="62" fillId="0" borderId="186"/>
    <xf numFmtId="175" fontId="62" fillId="0" borderId="186"/>
    <xf numFmtId="173" fontId="62" fillId="0" borderId="186"/>
    <xf numFmtId="0" fontId="8" fillId="25" borderId="151" applyNumberFormat="0" applyFont="0" applyAlignment="0" applyProtection="0"/>
    <xf numFmtId="0" fontId="11" fillId="22" borderId="183" applyNumberFormat="0" applyAlignment="0" applyProtection="0"/>
    <xf numFmtId="0" fontId="65" fillId="50" borderId="185">
      <protection locked="0"/>
    </xf>
    <xf numFmtId="0" fontId="8" fillId="25" borderId="151" applyNumberFormat="0" applyFont="0" applyAlignment="0" applyProtection="0"/>
    <xf numFmtId="176" fontId="62" fillId="0" borderId="186"/>
    <xf numFmtId="180" fontId="62" fillId="0" borderId="186"/>
    <xf numFmtId="175" fontId="62" fillId="0" borderId="186"/>
    <xf numFmtId="182" fontId="62" fillId="0" borderId="186"/>
    <xf numFmtId="0" fontId="11" fillId="22" borderId="183" applyNumberFormat="0" applyAlignment="0" applyProtection="0"/>
    <xf numFmtId="175" fontId="62" fillId="0" borderId="186"/>
    <xf numFmtId="0" fontId="18" fillId="9" borderId="183" applyNumberFormat="0" applyAlignment="0" applyProtection="0"/>
    <xf numFmtId="0" fontId="21" fillId="22" borderId="187" applyNumberFormat="0" applyAlignment="0" applyProtection="0"/>
    <xf numFmtId="182" fontId="62" fillId="0" borderId="186"/>
    <xf numFmtId="0" fontId="8" fillId="25" borderId="151" applyNumberFormat="0" applyFont="0" applyAlignment="0" applyProtection="0"/>
    <xf numFmtId="181" fontId="62" fillId="0" borderId="186"/>
    <xf numFmtId="177" fontId="62" fillId="0" borderId="186"/>
    <xf numFmtId="0" fontId="18" fillId="9" borderId="183" applyNumberFormat="0" applyAlignment="0" applyProtection="0"/>
    <xf numFmtId="180" fontId="62" fillId="0" borderId="186"/>
    <xf numFmtId="181" fontId="62" fillId="0" borderId="186"/>
    <xf numFmtId="180" fontId="62" fillId="0" borderId="186"/>
    <xf numFmtId="177" fontId="62" fillId="0" borderId="186"/>
    <xf numFmtId="173" fontId="62" fillId="0" borderId="186"/>
    <xf numFmtId="182" fontId="62" fillId="0" borderId="186"/>
    <xf numFmtId="180" fontId="62" fillId="0" borderId="186"/>
    <xf numFmtId="175" fontId="62" fillId="0" borderId="186"/>
    <xf numFmtId="0" fontId="21" fillId="22" borderId="187" applyNumberFormat="0" applyAlignment="0" applyProtection="0"/>
    <xf numFmtId="177" fontId="62" fillId="0" borderId="186"/>
    <xf numFmtId="172" fontId="62" fillId="0" borderId="186"/>
    <xf numFmtId="174" fontId="62" fillId="0" borderId="186"/>
    <xf numFmtId="0" fontId="65" fillId="50" borderId="185">
      <protection locked="0"/>
    </xf>
    <xf numFmtId="176" fontId="62" fillId="0" borderId="186"/>
    <xf numFmtId="181" fontId="62" fillId="0" borderId="186"/>
    <xf numFmtId="0" fontId="21" fillId="22" borderId="187" applyNumberFormat="0" applyAlignment="0" applyProtection="0"/>
    <xf numFmtId="0" fontId="21" fillId="22" borderId="187" applyNumberFormat="0" applyAlignment="0" applyProtection="0"/>
    <xf numFmtId="180" fontId="62" fillId="0" borderId="186"/>
    <xf numFmtId="172" fontId="62" fillId="0" borderId="186"/>
    <xf numFmtId="0" fontId="65" fillId="50" borderId="185">
      <protection locked="0"/>
    </xf>
    <xf numFmtId="175" fontId="62" fillId="0" borderId="186"/>
    <xf numFmtId="175" fontId="62" fillId="0" borderId="186"/>
    <xf numFmtId="0" fontId="23" fillId="0" borderId="188" applyNumberFormat="0" applyFill="0" applyAlignment="0" applyProtection="0"/>
    <xf numFmtId="177" fontId="62" fillId="0" borderId="186"/>
    <xf numFmtId="174" fontId="62" fillId="0" borderId="186"/>
    <xf numFmtId="0" fontId="17" fillId="0" borderId="182" applyNumberFormat="0" applyFill="0" applyAlignment="0" applyProtection="0"/>
    <xf numFmtId="180" fontId="62" fillId="0" borderId="186"/>
    <xf numFmtId="0" fontId="23" fillId="0" borderId="188" applyNumberFormat="0" applyFill="0" applyAlignment="0" applyProtection="0"/>
    <xf numFmtId="175" fontId="62" fillId="0" borderId="186"/>
    <xf numFmtId="0" fontId="8" fillId="25" borderId="151" applyNumberFormat="0" applyFont="0" applyAlignment="0" applyProtection="0"/>
    <xf numFmtId="173" fontId="62" fillId="0" borderId="186"/>
    <xf numFmtId="172" fontId="62" fillId="0" borderId="186"/>
    <xf numFmtId="175" fontId="62" fillId="0" borderId="186"/>
    <xf numFmtId="180" fontId="62" fillId="0" borderId="186"/>
    <xf numFmtId="180" fontId="62" fillId="0" borderId="186"/>
    <xf numFmtId="180" fontId="62" fillId="0" borderId="186"/>
    <xf numFmtId="182" fontId="62" fillId="0" borderId="186"/>
    <xf numFmtId="0" fontId="21" fillId="22" borderId="187" applyNumberFormat="0" applyAlignment="0" applyProtection="0"/>
    <xf numFmtId="176" fontId="62" fillId="0" borderId="186"/>
    <xf numFmtId="173" fontId="62" fillId="0" borderId="186"/>
    <xf numFmtId="0" fontId="21" fillId="22" borderId="187" applyNumberFormat="0" applyAlignment="0" applyProtection="0"/>
    <xf numFmtId="182" fontId="62" fillId="0" borderId="186"/>
    <xf numFmtId="175" fontId="62" fillId="0" borderId="186"/>
    <xf numFmtId="181" fontId="62" fillId="0" borderId="186"/>
    <xf numFmtId="0" fontId="23" fillId="0" borderId="188" applyNumberFormat="0" applyFill="0" applyAlignment="0" applyProtection="0"/>
    <xf numFmtId="180" fontId="62" fillId="0" borderId="186"/>
    <xf numFmtId="0" fontId="23" fillId="0" borderId="188" applyNumberFormat="0" applyFill="0" applyAlignment="0" applyProtection="0"/>
    <xf numFmtId="0" fontId="17" fillId="0" borderId="182" applyNumberFormat="0" applyFill="0" applyAlignment="0" applyProtection="0"/>
    <xf numFmtId="177" fontId="62" fillId="0" borderId="186"/>
    <xf numFmtId="0" fontId="21" fillId="22" borderId="187" applyNumberFormat="0" applyAlignment="0" applyProtection="0"/>
    <xf numFmtId="172" fontId="62" fillId="0" borderId="186"/>
    <xf numFmtId="176" fontId="62" fillId="0" borderId="186"/>
    <xf numFmtId="175" fontId="62" fillId="0" borderId="186"/>
    <xf numFmtId="0" fontId="65" fillId="50" borderId="185">
      <protection locked="0"/>
    </xf>
    <xf numFmtId="177" fontId="62" fillId="0" borderId="186"/>
    <xf numFmtId="175" fontId="62" fillId="0" borderId="186"/>
    <xf numFmtId="0" fontId="23" fillId="0" borderId="188" applyNumberFormat="0" applyFill="0" applyAlignment="0" applyProtection="0"/>
    <xf numFmtId="0" fontId="8" fillId="25" borderId="151" applyNumberFormat="0" applyFont="0" applyAlignment="0" applyProtection="0"/>
    <xf numFmtId="0" fontId="23" fillId="0" borderId="188" applyNumberFormat="0" applyFill="0" applyAlignment="0" applyProtection="0"/>
    <xf numFmtId="175" fontId="62" fillId="0" borderId="190"/>
    <xf numFmtId="172" fontId="62" fillId="0" borderId="186"/>
    <xf numFmtId="0" fontId="8" fillId="25" borderId="151" applyNumberFormat="0" applyFont="0" applyAlignment="0" applyProtection="0"/>
    <xf numFmtId="182" fontId="62" fillId="0" borderId="186"/>
    <xf numFmtId="172" fontId="62" fillId="0" borderId="186"/>
    <xf numFmtId="172" fontId="62" fillId="0" borderId="186"/>
    <xf numFmtId="0" fontId="11" fillId="22" borderId="183" applyNumberFormat="0" applyAlignment="0" applyProtection="0"/>
    <xf numFmtId="174" fontId="62" fillId="0" borderId="186"/>
    <xf numFmtId="177" fontId="62" fillId="0" borderId="186"/>
    <xf numFmtId="180" fontId="62" fillId="0" borderId="186"/>
    <xf numFmtId="175" fontId="62" fillId="0" borderId="186"/>
    <xf numFmtId="175" fontId="62" fillId="0" borderId="186"/>
    <xf numFmtId="176" fontId="62" fillId="0" borderId="186"/>
    <xf numFmtId="174" fontId="62" fillId="0" borderId="186"/>
    <xf numFmtId="172" fontId="62" fillId="0" borderId="186"/>
    <xf numFmtId="175" fontId="62" fillId="0" borderId="186"/>
    <xf numFmtId="180" fontId="62" fillId="0" borderId="186"/>
    <xf numFmtId="0" fontId="17" fillId="0" borderId="182" applyNumberFormat="0" applyFill="0" applyAlignment="0" applyProtection="0"/>
    <xf numFmtId="175" fontId="62" fillId="0" borderId="186"/>
    <xf numFmtId="0" fontId="65" fillId="50" borderId="185">
      <protection locked="0"/>
    </xf>
    <xf numFmtId="0" fontId="8" fillId="25" borderId="151" applyNumberFormat="0" applyFon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172" fontId="62" fillId="0" borderId="186"/>
    <xf numFmtId="0" fontId="23" fillId="0" borderId="188" applyNumberFormat="0" applyFill="0" applyAlignment="0" applyProtection="0"/>
    <xf numFmtId="172" fontId="62" fillId="0" borderId="186"/>
    <xf numFmtId="0" fontId="21" fillId="22" borderId="187" applyNumberFormat="0" applyAlignment="0" applyProtection="0"/>
    <xf numFmtId="0" fontId="11" fillId="22" borderId="183" applyNumberFormat="0" applyAlignment="0" applyProtection="0"/>
    <xf numFmtId="181" fontId="62" fillId="0" borderId="186"/>
    <xf numFmtId="0" fontId="11" fillId="22" borderId="183" applyNumberFormat="0" applyAlignment="0" applyProtection="0"/>
    <xf numFmtId="174" fontId="62" fillId="0" borderId="186"/>
    <xf numFmtId="175" fontId="62" fillId="0" borderId="186"/>
    <xf numFmtId="0" fontId="23" fillId="0" borderId="188" applyNumberFormat="0" applyFill="0" applyAlignment="0" applyProtection="0"/>
    <xf numFmtId="0" fontId="11" fillId="22" borderId="183" applyNumberFormat="0" applyAlignment="0" applyProtection="0"/>
    <xf numFmtId="172" fontId="62" fillId="0" borderId="186"/>
    <xf numFmtId="0" fontId="17" fillId="0" borderId="182" applyNumberFormat="0" applyFill="0" applyAlignment="0" applyProtection="0"/>
    <xf numFmtId="182" fontId="62" fillId="0" borderId="186"/>
    <xf numFmtId="0" fontId="8" fillId="25" borderId="151" applyNumberFormat="0" applyFont="0" applyAlignment="0" applyProtection="0"/>
    <xf numFmtId="0" fontId="8" fillId="25" borderId="151" applyNumberFormat="0" applyFont="0" applyAlignment="0" applyProtection="0"/>
    <xf numFmtId="173" fontId="62" fillId="0" borderId="186"/>
    <xf numFmtId="0" fontId="23" fillId="0" borderId="188" applyNumberFormat="0" applyFill="0" applyAlignment="0" applyProtection="0"/>
    <xf numFmtId="182" fontId="62" fillId="0" borderId="186"/>
    <xf numFmtId="172" fontId="62" fillId="0" borderId="186"/>
    <xf numFmtId="0" fontId="21" fillId="22" borderId="187" applyNumberFormat="0" applyAlignment="0" applyProtection="0"/>
    <xf numFmtId="174" fontId="62" fillId="0" borderId="186"/>
    <xf numFmtId="0" fontId="21" fillId="22" borderId="187" applyNumberFormat="0" applyAlignment="0" applyProtection="0"/>
    <xf numFmtId="0" fontId="8" fillId="25" borderId="151" applyNumberFormat="0" applyFont="0" applyAlignment="0" applyProtection="0"/>
    <xf numFmtId="0" fontId="21" fillId="22" borderId="187" applyNumberFormat="0" applyAlignment="0" applyProtection="0"/>
    <xf numFmtId="0" fontId="18" fillId="9" borderId="183" applyNumberFormat="0" applyAlignment="0" applyProtection="0"/>
    <xf numFmtId="0" fontId="18" fillId="9" borderId="183" applyNumberFormat="0" applyAlignment="0" applyProtection="0"/>
    <xf numFmtId="180" fontId="62" fillId="0" borderId="186"/>
    <xf numFmtId="173" fontId="62" fillId="0" borderId="186"/>
    <xf numFmtId="175" fontId="62" fillId="0" borderId="186"/>
    <xf numFmtId="0" fontId="18" fillId="9" borderId="183" applyNumberFormat="0" applyAlignment="0" applyProtection="0"/>
    <xf numFmtId="174" fontId="62" fillId="0" borderId="186"/>
    <xf numFmtId="0" fontId="21" fillId="22" borderId="187" applyNumberFormat="0" applyAlignment="0" applyProtection="0"/>
    <xf numFmtId="0" fontId="65" fillId="50" borderId="189">
      <protection locked="0"/>
    </xf>
    <xf numFmtId="0" fontId="11" fillId="22" borderId="183" applyNumberFormat="0" applyAlignment="0" applyProtection="0"/>
    <xf numFmtId="180" fontId="62" fillId="0" borderId="186"/>
    <xf numFmtId="0" fontId="23" fillId="0" borderId="188" applyNumberFormat="0" applyFill="0" applyAlignment="0" applyProtection="0"/>
    <xf numFmtId="175" fontId="62" fillId="0" borderId="186"/>
    <xf numFmtId="176" fontId="62" fillId="0" borderId="186"/>
    <xf numFmtId="0" fontId="11" fillId="22" borderId="183" applyNumberFormat="0" applyAlignment="0" applyProtection="0"/>
    <xf numFmtId="173" fontId="62" fillId="0" borderId="186"/>
    <xf numFmtId="0" fontId="8" fillId="25" borderId="151" applyNumberFormat="0" applyFont="0" applyAlignment="0" applyProtection="0"/>
    <xf numFmtId="0" fontId="8" fillId="25" borderId="151" applyNumberFormat="0" applyFont="0" applyAlignment="0" applyProtection="0"/>
    <xf numFmtId="0" fontId="17" fillId="0" borderId="182" applyNumberFormat="0" applyFill="0" applyAlignment="0" applyProtection="0"/>
    <xf numFmtId="172" fontId="62" fillId="0" borderId="186"/>
    <xf numFmtId="0" fontId="23" fillId="0" borderId="188" applyNumberFormat="0" applyFill="0" applyAlignment="0" applyProtection="0"/>
    <xf numFmtId="180" fontId="62" fillId="0" borderId="186"/>
    <xf numFmtId="182" fontId="62" fillId="0" borderId="186"/>
    <xf numFmtId="172" fontId="62" fillId="0" borderId="186"/>
    <xf numFmtId="0" fontId="23" fillId="0" borderId="188" applyNumberFormat="0" applyFill="0" applyAlignment="0" applyProtection="0"/>
    <xf numFmtId="0" fontId="23" fillId="0" borderId="188" applyNumberFormat="0" applyFill="0" applyAlignment="0" applyProtection="0"/>
    <xf numFmtId="172" fontId="62" fillId="0" borderId="186"/>
    <xf numFmtId="0" fontId="18" fillId="9" borderId="183" applyNumberFormat="0" applyAlignment="0" applyProtection="0"/>
    <xf numFmtId="172" fontId="62" fillId="0" borderId="190"/>
    <xf numFmtId="180" fontId="62" fillId="0" borderId="186"/>
    <xf numFmtId="0" fontId="18" fillId="9" borderId="183" applyNumberFormat="0" applyAlignment="0" applyProtection="0"/>
    <xf numFmtId="0" fontId="21" fillId="22" borderId="187" applyNumberFormat="0" applyAlignment="0" applyProtection="0"/>
    <xf numFmtId="0" fontId="65" fillId="50" borderId="185">
      <protection locked="0"/>
    </xf>
    <xf numFmtId="177" fontId="62" fillId="0" borderId="186"/>
    <xf numFmtId="0" fontId="21" fillId="22" borderId="187" applyNumberFormat="0" applyAlignment="0" applyProtection="0"/>
    <xf numFmtId="174" fontId="62" fillId="0" borderId="186"/>
    <xf numFmtId="181" fontId="62" fillId="0" borderId="186"/>
    <xf numFmtId="173" fontId="62" fillId="0" borderId="186"/>
    <xf numFmtId="174" fontId="62" fillId="0" borderId="186"/>
    <xf numFmtId="0" fontId="21" fillId="22" borderId="187" applyNumberFormat="0" applyAlignment="0" applyProtection="0"/>
    <xf numFmtId="0" fontId="23" fillId="0" borderId="188" applyNumberFormat="0" applyFill="0" applyAlignment="0" applyProtection="0"/>
    <xf numFmtId="0" fontId="17" fillId="0" borderId="182" applyNumberFormat="0" applyFill="0" applyAlignment="0" applyProtection="0"/>
    <xf numFmtId="0" fontId="23" fillId="0" borderId="188" applyNumberFormat="0" applyFill="0" applyAlignment="0" applyProtection="0"/>
    <xf numFmtId="0" fontId="21" fillId="22" borderId="187" applyNumberFormat="0" applyAlignment="0" applyProtection="0"/>
    <xf numFmtId="180" fontId="62" fillId="0" borderId="186"/>
    <xf numFmtId="0" fontId="8" fillId="25" borderId="151" applyNumberFormat="0" applyFont="0" applyAlignment="0" applyProtection="0"/>
    <xf numFmtId="172" fontId="62" fillId="0" borderId="186"/>
    <xf numFmtId="180" fontId="62" fillId="0" borderId="186"/>
    <xf numFmtId="175" fontId="62" fillId="0" borderId="186"/>
    <xf numFmtId="0" fontId="8" fillId="25" borderId="151" applyNumberFormat="0" applyFont="0" applyAlignment="0" applyProtection="0"/>
    <xf numFmtId="0" fontId="65" fillId="50" borderId="185">
      <protection locked="0"/>
    </xf>
    <xf numFmtId="173" fontId="62" fillId="0" borderId="186"/>
    <xf numFmtId="0" fontId="11" fillId="22" borderId="183" applyNumberFormat="0" applyAlignment="0" applyProtection="0"/>
    <xf numFmtId="180" fontId="62" fillId="0" borderId="190"/>
    <xf numFmtId="0" fontId="23" fillId="0" borderId="188" applyNumberFormat="0" applyFill="0" applyAlignment="0" applyProtection="0"/>
    <xf numFmtId="0" fontId="8" fillId="25" borderId="151" applyNumberFormat="0" applyFont="0" applyAlignment="0" applyProtection="0"/>
    <xf numFmtId="0" fontId="18" fillId="9" borderId="183" applyNumberFormat="0" applyAlignment="0" applyProtection="0"/>
    <xf numFmtId="180" fontId="62" fillId="0" borderId="186"/>
    <xf numFmtId="177" fontId="62" fillId="0" borderId="186"/>
    <xf numFmtId="180" fontId="62" fillId="0" borderId="186"/>
    <xf numFmtId="172" fontId="62" fillId="0" borderId="186"/>
    <xf numFmtId="182" fontId="62" fillId="0" borderId="186"/>
    <xf numFmtId="172" fontId="62" fillId="0" borderId="186"/>
    <xf numFmtId="0" fontId="18" fillId="9" borderId="183" applyNumberFormat="0" applyAlignment="0" applyProtection="0"/>
    <xf numFmtId="0" fontId="18" fillId="9" borderId="183" applyNumberFormat="0" applyAlignment="0" applyProtection="0"/>
    <xf numFmtId="175" fontId="62" fillId="0" borderId="186"/>
    <xf numFmtId="0" fontId="8" fillId="25" borderId="151" applyNumberFormat="0" applyFont="0" applyAlignment="0" applyProtection="0"/>
    <xf numFmtId="182" fontId="62" fillId="0" borderId="186"/>
    <xf numFmtId="175" fontId="62" fillId="0" borderId="186"/>
    <xf numFmtId="0" fontId="21" fillId="22" borderId="187" applyNumberFormat="0" applyAlignment="0" applyProtection="0"/>
    <xf numFmtId="0" fontId="18" fillId="9" borderId="183" applyNumberFormat="0" applyAlignment="0" applyProtection="0"/>
    <xf numFmtId="180" fontId="62" fillId="0" borderId="186"/>
    <xf numFmtId="180" fontId="62" fillId="0" borderId="186"/>
    <xf numFmtId="0" fontId="18" fillId="9" borderId="183" applyNumberFormat="0" applyAlignment="0" applyProtection="0"/>
    <xf numFmtId="181" fontId="62" fillId="0" borderId="186"/>
    <xf numFmtId="0" fontId="8" fillId="25" borderId="151" applyNumberFormat="0" applyFont="0" applyAlignment="0" applyProtection="0"/>
    <xf numFmtId="0" fontId="65" fillId="50" borderId="185">
      <protection locked="0"/>
    </xf>
    <xf numFmtId="0" fontId="11" fillId="22" borderId="183" applyNumberFormat="0" applyAlignment="0" applyProtection="0"/>
    <xf numFmtId="175" fontId="62" fillId="0" borderId="186"/>
    <xf numFmtId="176" fontId="62" fillId="0" borderId="186"/>
    <xf numFmtId="172" fontId="62" fillId="0" borderId="186"/>
    <xf numFmtId="0" fontId="8" fillId="25" borderId="151" applyNumberFormat="0" applyFont="0" applyAlignment="0" applyProtection="0"/>
    <xf numFmtId="0" fontId="11" fillId="22" borderId="183" applyNumberFormat="0" applyAlignment="0" applyProtection="0"/>
    <xf numFmtId="177" fontId="62" fillId="0" borderId="186"/>
    <xf numFmtId="174"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6" fontId="62" fillId="0" borderId="186"/>
    <xf numFmtId="180" fontId="62" fillId="0" borderId="186"/>
    <xf numFmtId="172" fontId="62" fillId="0" borderId="186"/>
    <xf numFmtId="172" fontId="62" fillId="0" borderId="186"/>
    <xf numFmtId="0" fontId="23" fillId="0" borderId="188" applyNumberFormat="0" applyFill="0" applyAlignment="0" applyProtection="0"/>
    <xf numFmtId="180" fontId="62" fillId="0" borderId="186"/>
    <xf numFmtId="172" fontId="62" fillId="0" borderId="186"/>
    <xf numFmtId="172" fontId="62" fillId="0" borderId="186"/>
    <xf numFmtId="180" fontId="62" fillId="0" borderId="186"/>
    <xf numFmtId="175" fontId="62" fillId="0" borderId="186"/>
    <xf numFmtId="175" fontId="62" fillId="0" borderId="186"/>
    <xf numFmtId="180" fontId="62" fillId="0" borderId="186"/>
    <xf numFmtId="180" fontId="62" fillId="0" borderId="186"/>
    <xf numFmtId="180" fontId="62" fillId="0" borderId="186"/>
    <xf numFmtId="172" fontId="62" fillId="0" borderId="186"/>
    <xf numFmtId="174" fontId="62" fillId="0" borderId="186"/>
    <xf numFmtId="172" fontId="62" fillId="0" borderId="186"/>
    <xf numFmtId="180" fontId="62" fillId="0" borderId="186"/>
    <xf numFmtId="0" fontId="18" fillId="9" borderId="183" applyNumberFormat="0" applyAlignment="0" applyProtection="0"/>
    <xf numFmtId="180" fontId="62" fillId="0" borderId="186"/>
    <xf numFmtId="180" fontId="62" fillId="0" borderId="186"/>
    <xf numFmtId="0" fontId="23" fillId="0" borderId="188" applyNumberFormat="0" applyFill="0" applyAlignment="0" applyProtection="0"/>
    <xf numFmtId="172" fontId="62" fillId="0" borderId="186"/>
    <xf numFmtId="0" fontId="8" fillId="25" borderId="151" applyNumberFormat="0" applyFont="0" applyAlignment="0" applyProtection="0"/>
    <xf numFmtId="0" fontId="18" fillId="9" borderId="183" applyNumberFormat="0" applyAlignment="0" applyProtection="0"/>
    <xf numFmtId="172" fontId="62" fillId="0" borderId="186"/>
    <xf numFmtId="180" fontId="62" fillId="0" borderId="186"/>
    <xf numFmtId="0" fontId="8" fillId="25" borderId="151" applyNumberFormat="0" applyFont="0" applyAlignment="0" applyProtection="0"/>
    <xf numFmtId="0" fontId="11" fillId="22" borderId="183" applyNumberFormat="0" applyAlignment="0" applyProtection="0"/>
    <xf numFmtId="172"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2" fontId="62" fillId="0" borderId="186"/>
    <xf numFmtId="181" fontId="62" fillId="0" borderId="186"/>
    <xf numFmtId="175" fontId="62" fillId="0" borderId="186"/>
    <xf numFmtId="175" fontId="62" fillId="0" borderId="186"/>
    <xf numFmtId="174" fontId="62" fillId="0" borderId="186"/>
    <xf numFmtId="180" fontId="62" fillId="0" borderId="186"/>
    <xf numFmtId="173" fontId="62" fillId="0" borderId="186"/>
    <xf numFmtId="0" fontId="21" fillId="22" borderId="187" applyNumberFormat="0" applyAlignment="0" applyProtection="0"/>
    <xf numFmtId="172" fontId="62" fillId="0" borderId="186"/>
    <xf numFmtId="175" fontId="62" fillId="0" borderId="186"/>
    <xf numFmtId="180" fontId="62" fillId="0" borderId="186"/>
    <xf numFmtId="0" fontId="11" fillId="22" borderId="183" applyNumberFormat="0" applyAlignment="0" applyProtection="0"/>
    <xf numFmtId="175" fontId="62" fillId="0" borderId="186"/>
    <xf numFmtId="176" fontId="62" fillId="0" borderId="186"/>
    <xf numFmtId="175" fontId="62" fillId="0" borderId="186"/>
    <xf numFmtId="182" fontId="62" fillId="0" borderId="186"/>
    <xf numFmtId="0" fontId="17" fillId="0" borderId="182" applyNumberFormat="0" applyFill="0" applyAlignment="0" applyProtection="0"/>
    <xf numFmtId="177" fontId="62" fillId="0" borderId="186"/>
    <xf numFmtId="173" fontId="62" fillId="0" borderId="186"/>
    <xf numFmtId="180" fontId="62" fillId="0" borderId="186"/>
    <xf numFmtId="181" fontId="62" fillId="0" borderId="186"/>
    <xf numFmtId="182" fontId="62" fillId="0" borderId="186"/>
    <xf numFmtId="0" fontId="65" fillId="50" borderId="185">
      <protection locked="0"/>
    </xf>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75" fontId="62" fillId="0" borderId="186"/>
    <xf numFmtId="175" fontId="62" fillId="0" borderId="186"/>
    <xf numFmtId="172" fontId="62" fillId="0" borderId="186"/>
    <xf numFmtId="0" fontId="18" fillId="9" borderId="183" applyNumberFormat="0" applyAlignment="0" applyProtection="0"/>
    <xf numFmtId="175" fontId="62" fillId="0" borderId="186"/>
    <xf numFmtId="172" fontId="62" fillId="0" borderId="186"/>
    <xf numFmtId="180" fontId="62" fillId="0" borderId="186"/>
    <xf numFmtId="174" fontId="62" fillId="0" borderId="186"/>
    <xf numFmtId="174" fontId="62" fillId="0" borderId="186"/>
    <xf numFmtId="172" fontId="62" fillId="0" borderId="186"/>
    <xf numFmtId="174" fontId="62" fillId="0" borderId="186"/>
    <xf numFmtId="175" fontId="62" fillId="0" borderId="186"/>
    <xf numFmtId="177" fontId="62" fillId="0" borderId="186"/>
    <xf numFmtId="172" fontId="62" fillId="0" borderId="186"/>
    <xf numFmtId="0" fontId="11" fillId="22" borderId="183" applyNumberFormat="0" applyAlignment="0" applyProtection="0"/>
    <xf numFmtId="180" fontId="62" fillId="0" borderId="186"/>
    <xf numFmtId="180" fontId="62" fillId="0" borderId="186"/>
    <xf numFmtId="180" fontId="62" fillId="0" borderId="186"/>
    <xf numFmtId="172" fontId="62" fillId="0" borderId="186"/>
    <xf numFmtId="0" fontId="8" fillId="25" borderId="151" applyNumberFormat="0" applyFont="0" applyAlignment="0" applyProtection="0"/>
    <xf numFmtId="172" fontId="62" fillId="0" borderId="186"/>
    <xf numFmtId="181" fontId="62" fillId="0" borderId="186"/>
    <xf numFmtId="175" fontId="62" fillId="0" borderId="186"/>
    <xf numFmtId="176" fontId="62" fillId="0" borderId="186"/>
    <xf numFmtId="0" fontId="18" fillId="9" borderId="183" applyNumberFormat="0" applyAlignment="0" applyProtection="0"/>
    <xf numFmtId="172" fontId="62" fillId="0" borderId="186"/>
    <xf numFmtId="180" fontId="62" fillId="0" borderId="186"/>
    <xf numFmtId="175" fontId="62" fillId="0" borderId="186"/>
    <xf numFmtId="180" fontId="62" fillId="0" borderId="186"/>
    <xf numFmtId="172" fontId="62" fillId="0" borderId="186"/>
    <xf numFmtId="180" fontId="62" fillId="0" borderId="186"/>
    <xf numFmtId="175" fontId="62" fillId="0" borderId="186"/>
    <xf numFmtId="175" fontId="62" fillId="0" borderId="186"/>
    <xf numFmtId="172" fontId="62" fillId="0" borderId="186"/>
    <xf numFmtId="175" fontId="62" fillId="0" borderId="186"/>
    <xf numFmtId="176" fontId="62" fillId="0" borderId="186"/>
    <xf numFmtId="175" fontId="62" fillId="0" borderId="186"/>
    <xf numFmtId="180" fontId="62" fillId="0" borderId="186"/>
    <xf numFmtId="180" fontId="62" fillId="0" borderId="186"/>
    <xf numFmtId="172" fontId="62" fillId="0" borderId="186"/>
    <xf numFmtId="0" fontId="21" fillId="22" borderId="187" applyNumberFormat="0" applyAlignment="0" applyProtection="0"/>
    <xf numFmtId="173" fontId="62" fillId="0" borderId="186"/>
    <xf numFmtId="0" fontId="23" fillId="0" borderId="188" applyNumberFormat="0" applyFill="0" applyAlignment="0" applyProtection="0"/>
    <xf numFmtId="0" fontId="8" fillId="25" borderId="151" applyNumberFormat="0" applyFont="0" applyAlignment="0" applyProtection="0"/>
    <xf numFmtId="0" fontId="65" fillId="50" borderId="185">
      <protection locked="0"/>
    </xf>
    <xf numFmtId="176" fontId="62" fillId="0" borderId="186"/>
    <xf numFmtId="0" fontId="23" fillId="0" borderId="188" applyNumberFormat="0" applyFill="0" applyAlignment="0" applyProtection="0"/>
    <xf numFmtId="175" fontId="62" fillId="0" borderId="186"/>
    <xf numFmtId="0" fontId="21" fillId="22" borderId="187" applyNumberFormat="0" applyAlignment="0" applyProtection="0"/>
    <xf numFmtId="172" fontId="62" fillId="0" borderId="186"/>
    <xf numFmtId="182" fontId="62" fillId="0" borderId="186"/>
    <xf numFmtId="172" fontId="62" fillId="0" borderId="186"/>
    <xf numFmtId="180" fontId="62" fillId="0" borderId="186"/>
    <xf numFmtId="0" fontId="11" fillId="22" borderId="183" applyNumberFormat="0" applyAlignment="0" applyProtection="0"/>
    <xf numFmtId="175" fontId="62" fillId="0" borderId="186"/>
    <xf numFmtId="181" fontId="62" fillId="0" borderId="186"/>
    <xf numFmtId="175" fontId="62" fillId="0" borderId="186"/>
    <xf numFmtId="172" fontId="62" fillId="0" borderId="186"/>
    <xf numFmtId="175" fontId="62" fillId="0" borderId="186"/>
    <xf numFmtId="173" fontId="62" fillId="0" borderId="186"/>
    <xf numFmtId="180" fontId="62" fillId="0" borderId="186"/>
    <xf numFmtId="177" fontId="62" fillId="0" borderId="186"/>
    <xf numFmtId="175" fontId="62" fillId="0" borderId="186"/>
    <xf numFmtId="173" fontId="62" fillId="0" borderId="186"/>
    <xf numFmtId="172" fontId="62" fillId="0" borderId="186"/>
    <xf numFmtId="181" fontId="62" fillId="0" borderId="186"/>
    <xf numFmtId="182" fontId="62" fillId="0" borderId="186"/>
    <xf numFmtId="0" fontId="65" fillId="50" borderId="185">
      <protection locked="0"/>
    </xf>
    <xf numFmtId="180" fontId="62" fillId="0" borderId="186"/>
    <xf numFmtId="180" fontId="62" fillId="0" borderId="186"/>
    <xf numFmtId="180" fontId="62" fillId="0" borderId="186"/>
    <xf numFmtId="172" fontId="62" fillId="0" borderId="186"/>
    <xf numFmtId="180" fontId="62" fillId="0" borderId="186"/>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2" fontId="62" fillId="0" borderId="186"/>
    <xf numFmtId="172" fontId="62" fillId="0" borderId="186"/>
    <xf numFmtId="175" fontId="62" fillId="0" borderId="186"/>
    <xf numFmtId="180" fontId="62" fillId="0" borderId="186"/>
    <xf numFmtId="172" fontId="62" fillId="0" borderId="186"/>
    <xf numFmtId="0" fontId="8" fillId="25" borderId="151" applyNumberFormat="0" applyFont="0" applyAlignment="0" applyProtection="0"/>
    <xf numFmtId="175" fontId="62" fillId="0" borderId="186"/>
    <xf numFmtId="177" fontId="62" fillId="0" borderId="186"/>
    <xf numFmtId="180" fontId="62" fillId="0" borderId="186"/>
    <xf numFmtId="172" fontId="62" fillId="0" borderId="186"/>
    <xf numFmtId="175"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5" fontId="62" fillId="0" borderId="186"/>
    <xf numFmtId="180" fontId="62" fillId="0" borderId="186"/>
    <xf numFmtId="172" fontId="62" fillId="0" borderId="186"/>
    <xf numFmtId="180" fontId="62" fillId="0" borderId="186"/>
    <xf numFmtId="180" fontId="62" fillId="0" borderId="186"/>
    <xf numFmtId="175" fontId="62" fillId="0" borderId="186"/>
    <xf numFmtId="175" fontId="62" fillId="0" borderId="186"/>
    <xf numFmtId="172" fontId="62" fillId="0" borderId="186"/>
    <xf numFmtId="172"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5" fontId="62" fillId="0" borderId="186"/>
    <xf numFmtId="182" fontId="62" fillId="0" borderId="186"/>
    <xf numFmtId="172" fontId="62" fillId="0" borderId="186"/>
    <xf numFmtId="0" fontId="11" fillId="22" borderId="183" applyNumberFormat="0" applyAlignment="0" applyProtection="0"/>
    <xf numFmtId="0" fontId="18" fillId="9" borderId="183" applyNumberFormat="0" applyAlignment="0" applyProtection="0"/>
    <xf numFmtId="182" fontId="62" fillId="0" borderId="186"/>
    <xf numFmtId="181" fontId="62" fillId="0" borderId="186"/>
    <xf numFmtId="180" fontId="62" fillId="0" borderId="186"/>
    <xf numFmtId="172" fontId="62" fillId="0" borderId="186"/>
    <xf numFmtId="176" fontId="62" fillId="0" borderId="186"/>
    <xf numFmtId="177" fontId="62" fillId="0" borderId="186"/>
    <xf numFmtId="176" fontId="62" fillId="0" borderId="186"/>
    <xf numFmtId="175" fontId="62" fillId="0" borderId="186"/>
    <xf numFmtId="177" fontId="62" fillId="0" borderId="186"/>
    <xf numFmtId="181" fontId="62" fillId="0" borderId="186"/>
    <xf numFmtId="174" fontId="62" fillId="0" borderId="186"/>
    <xf numFmtId="0" fontId="11" fillId="22" borderId="183" applyNumberFormat="0" applyAlignment="0" applyProtection="0"/>
    <xf numFmtId="173" fontId="62" fillId="0" borderId="186"/>
    <xf numFmtId="180" fontId="62" fillId="0" borderId="186"/>
    <xf numFmtId="177" fontId="62" fillId="0" borderId="186"/>
    <xf numFmtId="175" fontId="62" fillId="0" borderId="186"/>
    <xf numFmtId="172" fontId="62" fillId="0" borderId="186"/>
    <xf numFmtId="0" fontId="21" fillId="22" borderId="187" applyNumberFormat="0" applyAlignment="0" applyProtection="0"/>
    <xf numFmtId="0" fontId="23" fillId="0" borderId="188" applyNumberFormat="0" applyFill="0" applyAlignment="0" applyProtection="0"/>
    <xf numFmtId="181" fontId="62" fillId="0" borderId="186"/>
    <xf numFmtId="176" fontId="62" fillId="0" borderId="186"/>
    <xf numFmtId="174" fontId="62" fillId="0" borderId="186"/>
    <xf numFmtId="173" fontId="62" fillId="0" borderId="186"/>
    <xf numFmtId="172" fontId="62" fillId="0" borderId="186"/>
    <xf numFmtId="182"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11" fillId="22" borderId="183" applyNumberFormat="0" applyAlignment="0" applyProtection="0"/>
    <xf numFmtId="0" fontId="65" fillId="50" borderId="185">
      <protection locked="0"/>
    </xf>
    <xf numFmtId="0" fontId="11" fillId="22" borderId="183" applyNumberFormat="0" applyAlignment="0" applyProtection="0"/>
    <xf numFmtId="0" fontId="21" fillId="22" borderId="187" applyNumberFormat="0" applyAlignment="0" applyProtection="0"/>
    <xf numFmtId="0" fontId="65" fillId="50" borderId="185">
      <protection locked="0"/>
    </xf>
    <xf numFmtId="174" fontId="62" fillId="0" borderId="186"/>
    <xf numFmtId="173"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23" fillId="0" borderId="188" applyNumberFormat="0" applyFill="0" applyAlignment="0" applyProtection="0"/>
    <xf numFmtId="172" fontId="62" fillId="0" borderId="186"/>
    <xf numFmtId="173"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2" fontId="62" fillId="0" borderId="186"/>
    <xf numFmtId="180" fontId="62" fillId="0" borderId="186"/>
    <xf numFmtId="0" fontId="11" fillId="22" borderId="183" applyNumberFormat="0" applyAlignment="0" applyProtection="0"/>
    <xf numFmtId="0" fontId="65" fillId="50" borderId="185">
      <protection locked="0"/>
    </xf>
    <xf numFmtId="182" fontId="62" fillId="0" borderId="186"/>
    <xf numFmtId="172" fontId="62" fillId="0" borderId="186"/>
    <xf numFmtId="0" fontId="23" fillId="0" borderId="188" applyNumberFormat="0" applyFill="0" applyAlignment="0" applyProtection="0"/>
    <xf numFmtId="180" fontId="62" fillId="0" borderId="186"/>
    <xf numFmtId="0" fontId="65" fillId="50" borderId="185">
      <protection locked="0"/>
    </xf>
    <xf numFmtId="0" fontId="11" fillId="22" borderId="183" applyNumberFormat="0" applyAlignment="0" applyProtection="0"/>
    <xf numFmtId="172" fontId="62" fillId="0" borderId="186"/>
    <xf numFmtId="172" fontId="62" fillId="0" borderId="186"/>
    <xf numFmtId="0" fontId="18" fillId="9" borderId="183" applyNumberFormat="0" applyAlignment="0" applyProtection="0"/>
    <xf numFmtId="173" fontId="62" fillId="0" borderId="186"/>
    <xf numFmtId="172" fontId="62" fillId="0" borderId="186"/>
    <xf numFmtId="175" fontId="62" fillId="0" borderId="186"/>
    <xf numFmtId="172" fontId="62" fillId="0" borderId="186"/>
    <xf numFmtId="175" fontId="62" fillId="0" borderId="186"/>
    <xf numFmtId="176" fontId="62" fillId="0" borderId="186"/>
    <xf numFmtId="177" fontId="62" fillId="0" borderId="186"/>
    <xf numFmtId="0" fontId="8" fillId="25" borderId="151" applyNumberFormat="0" applyFont="0" applyAlignment="0" applyProtection="0"/>
    <xf numFmtId="175" fontId="62" fillId="0" borderId="186"/>
    <xf numFmtId="180" fontId="62" fillId="0" borderId="186"/>
    <xf numFmtId="172" fontId="62" fillId="0" borderId="186"/>
    <xf numFmtId="181" fontId="62" fillId="0" borderId="186"/>
    <xf numFmtId="182" fontId="62" fillId="0" borderId="186"/>
    <xf numFmtId="0" fontId="18" fillId="9" borderId="183" applyNumberFormat="0" applyAlignment="0" applyProtection="0"/>
    <xf numFmtId="180" fontId="62" fillId="0" borderId="186"/>
    <xf numFmtId="180" fontId="62" fillId="0" borderId="186"/>
    <xf numFmtId="175" fontId="62" fillId="0" borderId="186"/>
    <xf numFmtId="172" fontId="62" fillId="0" borderId="186"/>
    <xf numFmtId="176" fontId="62" fillId="0" borderId="186"/>
    <xf numFmtId="172" fontId="62" fillId="0" borderId="186"/>
    <xf numFmtId="172" fontId="62" fillId="0" borderId="186"/>
    <xf numFmtId="175" fontId="62" fillId="0" borderId="186"/>
    <xf numFmtId="175" fontId="62" fillId="0" borderId="186"/>
    <xf numFmtId="172" fontId="62" fillId="0" borderId="186"/>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8" fillId="25" borderId="151" applyNumberFormat="0" applyFont="0" applyAlignment="0" applyProtection="0"/>
    <xf numFmtId="174" fontId="62" fillId="0" borderId="186"/>
    <xf numFmtId="175" fontId="62" fillId="0" borderId="186"/>
    <xf numFmtId="180" fontId="62" fillId="0" borderId="186"/>
    <xf numFmtId="0" fontId="11" fillId="22" borderId="183" applyNumberFormat="0" applyAlignment="0" applyProtection="0"/>
    <xf numFmtId="174" fontId="62" fillId="0" borderId="186"/>
    <xf numFmtId="173" fontId="62" fillId="0" borderId="186"/>
    <xf numFmtId="0" fontId="21" fillId="22" borderId="187" applyNumberFormat="0" applyAlignment="0" applyProtection="0"/>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4" fontId="62" fillId="0" borderId="186"/>
    <xf numFmtId="176" fontId="62" fillId="0" borderId="186"/>
    <xf numFmtId="177"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1" fontId="62" fillId="0" borderId="186"/>
    <xf numFmtId="175" fontId="62" fillId="0" borderId="186"/>
    <xf numFmtId="180"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175" fontId="62" fillId="0" borderId="186"/>
    <xf numFmtId="180" fontId="62" fillId="0" borderId="186"/>
    <xf numFmtId="175" fontId="62" fillId="0" borderId="186"/>
    <xf numFmtId="172" fontId="62" fillId="0" borderId="186"/>
    <xf numFmtId="180" fontId="62" fillId="0" borderId="186"/>
    <xf numFmtId="175" fontId="62" fillId="0" borderId="186"/>
    <xf numFmtId="180" fontId="62" fillId="0" borderId="186"/>
    <xf numFmtId="172" fontId="62" fillId="0" borderId="186"/>
    <xf numFmtId="172" fontId="62" fillId="0" borderId="186"/>
    <xf numFmtId="180"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7" fontId="62" fillId="0" borderId="186"/>
    <xf numFmtId="0" fontId="11" fillId="22" borderId="183" applyNumberFormat="0" applyAlignment="0" applyProtection="0"/>
    <xf numFmtId="181" fontId="62" fillId="0" borderId="186"/>
    <xf numFmtId="180" fontId="62" fillId="0" borderId="186"/>
    <xf numFmtId="172" fontId="62" fillId="0" borderId="186"/>
    <xf numFmtId="172" fontId="62" fillId="0" borderId="186"/>
    <xf numFmtId="175" fontId="62" fillId="0" borderId="186"/>
    <xf numFmtId="175" fontId="62" fillId="0" borderId="186"/>
    <xf numFmtId="172" fontId="62" fillId="0" borderId="186"/>
    <xf numFmtId="0" fontId="23" fillId="0" borderId="188" applyNumberFormat="0" applyFill="0" applyAlignment="0" applyProtection="0"/>
    <xf numFmtId="175" fontId="62" fillId="0" borderId="186"/>
    <xf numFmtId="0" fontId="18" fillId="9" borderId="183" applyNumberFormat="0" applyAlignment="0" applyProtection="0"/>
    <xf numFmtId="0" fontId="21" fillId="22" borderId="187" applyNumberFormat="0" applyAlignment="0" applyProtection="0"/>
    <xf numFmtId="0" fontId="8" fillId="25" borderId="151" applyNumberFormat="0" applyFont="0" applyAlignment="0" applyProtection="0"/>
    <xf numFmtId="0" fontId="65" fillId="50" borderId="185">
      <protection locked="0"/>
    </xf>
    <xf numFmtId="180" fontId="62" fillId="0" borderId="186"/>
    <xf numFmtId="0" fontId="11" fillId="22" borderId="183" applyNumberFormat="0" applyAlignment="0" applyProtection="0"/>
    <xf numFmtId="0" fontId="18" fillId="9" borderId="183" applyNumberFormat="0" applyAlignment="0" applyProtection="0"/>
    <xf numFmtId="175" fontId="62" fillId="0" borderId="186"/>
    <xf numFmtId="172" fontId="62" fillId="0" borderId="186"/>
    <xf numFmtId="180" fontId="62" fillId="0" borderId="186"/>
    <xf numFmtId="175" fontId="62" fillId="0" borderId="186"/>
    <xf numFmtId="172" fontId="62" fillId="0" borderId="186"/>
    <xf numFmtId="173" fontId="62" fillId="0" borderId="186"/>
    <xf numFmtId="172" fontId="62" fillId="0" borderId="186"/>
    <xf numFmtId="175" fontId="62" fillId="0" borderId="186"/>
    <xf numFmtId="180" fontId="62" fillId="0" borderId="186"/>
    <xf numFmtId="172" fontId="62" fillId="0" borderId="186"/>
    <xf numFmtId="180" fontId="62" fillId="0" borderId="186"/>
    <xf numFmtId="0" fontId="11" fillId="22" borderId="183" applyNumberFormat="0" applyAlignment="0" applyProtection="0"/>
    <xf numFmtId="182" fontId="62" fillId="0" borderId="186"/>
    <xf numFmtId="176" fontId="62" fillId="0" borderId="186"/>
    <xf numFmtId="180"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23" fillId="0" borderId="188" applyNumberFormat="0" applyFill="0" applyAlignment="0" applyProtection="0"/>
    <xf numFmtId="180" fontId="62" fillId="0" borderId="186"/>
    <xf numFmtId="180" fontId="62" fillId="0" borderId="186"/>
    <xf numFmtId="175" fontId="62" fillId="0" borderId="186"/>
    <xf numFmtId="174" fontId="62" fillId="0" borderId="186"/>
    <xf numFmtId="0" fontId="8" fillId="25" borderId="151" applyNumberFormat="0" applyFont="0" applyAlignment="0" applyProtection="0"/>
    <xf numFmtId="175"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80" fontId="62" fillId="0" borderId="186"/>
    <xf numFmtId="175"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23" fillId="0" borderId="188" applyNumberFormat="0" applyFill="0" applyAlignment="0" applyProtection="0"/>
    <xf numFmtId="0" fontId="18" fillId="9" borderId="183" applyNumberFormat="0" applyAlignment="0" applyProtection="0"/>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0" fontId="21" fillId="22" borderId="187" applyNumberForma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0" fontId="62" fillId="0" borderId="186"/>
    <xf numFmtId="181" fontId="62" fillId="0" borderId="186"/>
    <xf numFmtId="172" fontId="62" fillId="0" borderId="186"/>
    <xf numFmtId="175" fontId="62" fillId="0" borderId="186"/>
    <xf numFmtId="175" fontId="62" fillId="0" borderId="186"/>
    <xf numFmtId="177" fontId="62" fillId="0" borderId="186"/>
    <xf numFmtId="172"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11" fillId="22"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0" fontId="23" fillId="0" borderId="188" applyNumberFormat="0" applyFill="0" applyAlignment="0" applyProtection="0"/>
    <xf numFmtId="0" fontId="21" fillId="22" borderId="187" applyNumberFormat="0" applyAlignment="0" applyProtection="0"/>
    <xf numFmtId="0" fontId="18" fillId="9" borderId="183" applyNumberFormat="0" applyAlignment="0" applyProtection="0"/>
    <xf numFmtId="0" fontId="8" fillId="25" borderId="151" applyNumberFormat="0" applyFont="0" applyAlignment="0" applyProtection="0"/>
    <xf numFmtId="176" fontId="62" fillId="0" borderId="186"/>
    <xf numFmtId="180" fontId="62" fillId="0" borderId="186"/>
    <xf numFmtId="172" fontId="62" fillId="0" borderId="186"/>
    <xf numFmtId="173" fontId="62" fillId="0" borderId="186"/>
    <xf numFmtId="174" fontId="62" fillId="0" borderId="186"/>
    <xf numFmtId="0" fontId="8" fillId="25" borderId="151" applyNumberFormat="0" applyFont="0" applyAlignment="0" applyProtection="0"/>
    <xf numFmtId="175" fontId="62" fillId="0" borderId="186"/>
    <xf numFmtId="176" fontId="62" fillId="0" borderId="186"/>
    <xf numFmtId="177" fontId="62" fillId="0" borderId="186"/>
    <xf numFmtId="176" fontId="62" fillId="0" borderId="186"/>
    <xf numFmtId="180" fontId="62" fillId="0" borderId="186"/>
    <xf numFmtId="181" fontId="62" fillId="0" borderId="186"/>
    <xf numFmtId="182" fontId="62" fillId="0" borderId="186"/>
    <xf numFmtId="175" fontId="62" fillId="0" borderId="186"/>
    <xf numFmtId="0" fontId="17" fillId="0" borderId="182" applyNumberFormat="0" applyFill="0" applyAlignment="0" applyProtection="0"/>
    <xf numFmtId="172" fontId="62" fillId="0" borderId="186"/>
    <xf numFmtId="0" fontId="65" fillId="50" borderId="185">
      <protection locked="0"/>
    </xf>
    <xf numFmtId="0" fontId="11" fillId="22" borderId="183" applyNumberFormat="0" applyAlignment="0" applyProtection="0"/>
    <xf numFmtId="0" fontId="8" fillId="25" borderId="151" applyNumberFormat="0" applyFont="0" applyAlignment="0" applyProtection="0"/>
    <xf numFmtId="0" fontId="11" fillId="22" borderId="183" applyNumberFormat="0" applyAlignment="0" applyProtection="0"/>
    <xf numFmtId="182" fontId="62" fillId="0" borderId="186"/>
    <xf numFmtId="0" fontId="65" fillId="50" borderId="185">
      <protection locked="0"/>
    </xf>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174" fontId="62" fillId="0" borderId="186"/>
    <xf numFmtId="0" fontId="18" fillId="9" borderId="183" applyNumberFormat="0" applyAlignment="0" applyProtection="0"/>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3" fontId="62" fillId="0" borderId="186"/>
    <xf numFmtId="174" fontId="62" fillId="0" borderId="186"/>
    <xf numFmtId="0" fontId="18" fillId="9" borderId="183" applyNumberFormat="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7" fontId="62" fillId="0" borderId="186"/>
    <xf numFmtId="172" fontId="62" fillId="0" borderId="186"/>
    <xf numFmtId="173" fontId="62" fillId="0" borderId="186"/>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175" fontId="62" fillId="0" borderId="186"/>
    <xf numFmtId="180"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172" fontId="62" fillId="0" borderId="186"/>
    <xf numFmtId="180" fontId="62" fillId="0" borderId="186"/>
    <xf numFmtId="175" fontId="62" fillId="0" borderId="186"/>
    <xf numFmtId="175" fontId="62" fillId="0" borderId="186"/>
    <xf numFmtId="180" fontId="62" fillId="0" borderId="186"/>
    <xf numFmtId="172"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65" fillId="50" borderId="185">
      <protection locked="0"/>
    </xf>
    <xf numFmtId="172" fontId="62" fillId="0" borderId="186"/>
    <xf numFmtId="182" fontId="62" fillId="0" borderId="186"/>
    <xf numFmtId="175" fontId="62" fillId="0" borderId="186"/>
    <xf numFmtId="177" fontId="62" fillId="0" borderId="186"/>
    <xf numFmtId="174" fontId="62" fillId="0" borderId="186"/>
    <xf numFmtId="173" fontId="62" fillId="0" borderId="186"/>
    <xf numFmtId="180"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180" fontId="62" fillId="0" borderId="186"/>
    <xf numFmtId="181"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2" fontId="62" fillId="0" borderId="186"/>
    <xf numFmtId="175" fontId="62" fillId="0" borderId="186"/>
    <xf numFmtId="180" fontId="62" fillId="0" borderId="186"/>
    <xf numFmtId="0" fontId="65" fillId="50" borderId="185">
      <protection locked="0"/>
    </xf>
    <xf numFmtId="0" fontId="65" fillId="50" borderId="185">
      <protection locked="0"/>
    </xf>
    <xf numFmtId="0" fontId="11" fillId="22" borderId="183" applyNumberFormat="0" applyAlignment="0" applyProtection="0"/>
    <xf numFmtId="175" fontId="62" fillId="0" borderId="186"/>
    <xf numFmtId="172" fontId="62" fillId="0" borderId="186"/>
    <xf numFmtId="175" fontId="62" fillId="0" borderId="186"/>
    <xf numFmtId="175" fontId="62" fillId="0" borderId="186"/>
    <xf numFmtId="0" fontId="21" fillId="22" borderId="187" applyNumberFormat="0" applyAlignment="0" applyProtection="0"/>
    <xf numFmtId="180" fontId="62" fillId="0" borderId="186"/>
    <xf numFmtId="175" fontId="62" fillId="0" borderId="186"/>
    <xf numFmtId="0" fontId="65" fillId="50" borderId="185">
      <protection locked="0"/>
    </xf>
    <xf numFmtId="0" fontId="21" fillId="22" borderId="187" applyNumberFormat="0" applyAlignment="0" applyProtection="0"/>
    <xf numFmtId="0" fontId="8" fillId="25" borderId="151" applyNumberFormat="0" applyFont="0" applyAlignment="0" applyProtection="0"/>
    <xf numFmtId="172" fontId="62" fillId="0" borderId="186"/>
    <xf numFmtId="0" fontId="8" fillId="25" borderId="151" applyNumberFormat="0" applyFont="0" applyAlignment="0" applyProtection="0"/>
    <xf numFmtId="174" fontId="62" fillId="0" borderId="186"/>
    <xf numFmtId="0" fontId="23" fillId="0" borderId="188" applyNumberFormat="0" applyFill="0" applyAlignment="0" applyProtection="0"/>
    <xf numFmtId="176" fontId="62" fillId="0" borderId="186"/>
    <xf numFmtId="175" fontId="62" fillId="0" borderId="186"/>
    <xf numFmtId="0" fontId="23" fillId="0" borderId="188" applyNumberFormat="0" applyFill="0" applyAlignment="0" applyProtection="0"/>
    <xf numFmtId="182" fontId="62" fillId="0" borderId="186"/>
    <xf numFmtId="175" fontId="62" fillId="0" borderId="186"/>
    <xf numFmtId="175" fontId="62" fillId="0" borderId="186"/>
    <xf numFmtId="0" fontId="18" fillId="9" borderId="183" applyNumberFormat="0" applyAlignment="0" applyProtection="0"/>
    <xf numFmtId="0" fontId="21" fillId="22" borderId="187" applyNumberFormat="0" applyAlignment="0" applyProtection="0"/>
    <xf numFmtId="172" fontId="62" fillId="0" borderId="186"/>
    <xf numFmtId="0" fontId="8" fillId="25" borderId="151" applyNumberFormat="0" applyFont="0" applyAlignment="0" applyProtection="0"/>
    <xf numFmtId="173" fontId="62" fillId="0" borderId="186"/>
    <xf numFmtId="177" fontId="62" fillId="0" borderId="186"/>
    <xf numFmtId="0" fontId="23" fillId="0" borderId="188" applyNumberFormat="0" applyFill="0" applyAlignment="0" applyProtection="0"/>
    <xf numFmtId="0" fontId="8" fillId="25" borderId="151" applyNumberFormat="0" applyFont="0" applyAlignment="0" applyProtection="0"/>
    <xf numFmtId="176" fontId="62" fillId="0" borderId="186"/>
    <xf numFmtId="172" fontId="62" fillId="0" borderId="186"/>
    <xf numFmtId="180" fontId="62" fillId="0" borderId="186"/>
    <xf numFmtId="0" fontId="18" fillId="9" borderId="183" applyNumberFormat="0" applyAlignment="0" applyProtection="0"/>
    <xf numFmtId="172" fontId="62" fillId="0" borderId="186"/>
    <xf numFmtId="0" fontId="21" fillId="22" borderId="187" applyNumberFormat="0" applyAlignment="0" applyProtection="0"/>
    <xf numFmtId="180" fontId="62" fillId="0" borderId="186"/>
    <xf numFmtId="172" fontId="62" fillId="0" borderId="186"/>
    <xf numFmtId="180" fontId="62" fillId="0" borderId="186"/>
    <xf numFmtId="175" fontId="62" fillId="0" borderId="186"/>
    <xf numFmtId="173" fontId="62" fillId="0" borderId="186"/>
    <xf numFmtId="172" fontId="62" fillId="0" borderId="186"/>
    <xf numFmtId="175" fontId="62" fillId="0" borderId="186"/>
    <xf numFmtId="174" fontId="62" fillId="0" borderId="186"/>
    <xf numFmtId="181" fontId="62" fillId="0" borderId="186"/>
    <xf numFmtId="180" fontId="62" fillId="0" borderId="186"/>
    <xf numFmtId="175" fontId="62" fillId="0" borderId="186"/>
    <xf numFmtId="172" fontId="62" fillId="0" borderId="186"/>
    <xf numFmtId="180" fontId="62" fillId="0" borderId="186"/>
    <xf numFmtId="175" fontId="62" fillId="0" borderId="186"/>
    <xf numFmtId="172" fontId="62" fillId="0" borderId="186"/>
    <xf numFmtId="180" fontId="62" fillId="0" borderId="186"/>
    <xf numFmtId="180" fontId="62" fillId="0" borderId="186"/>
    <xf numFmtId="181" fontId="62" fillId="0" borderId="186"/>
    <xf numFmtId="177" fontId="62" fillId="0" borderId="186"/>
    <xf numFmtId="172" fontId="62" fillId="0" borderId="186"/>
    <xf numFmtId="0" fontId="23" fillId="0" borderId="188" applyNumberFormat="0" applyFill="0" applyAlignment="0" applyProtection="0"/>
    <xf numFmtId="0" fontId="11" fillId="22" borderId="183" applyNumberFormat="0" applyAlignment="0" applyProtection="0"/>
    <xf numFmtId="172" fontId="62" fillId="0" borderId="186"/>
    <xf numFmtId="174" fontId="62" fillId="0" borderId="186"/>
    <xf numFmtId="172" fontId="62" fillId="0" borderId="186"/>
    <xf numFmtId="175" fontId="62" fillId="0" borderId="186"/>
    <xf numFmtId="180" fontId="62" fillId="0" borderId="186"/>
    <xf numFmtId="172" fontId="62" fillId="0" borderId="186"/>
    <xf numFmtId="0" fontId="18" fillId="9" borderId="183" applyNumberFormat="0" applyAlignment="0" applyProtection="0"/>
    <xf numFmtId="174" fontId="62" fillId="0" borderId="186"/>
    <xf numFmtId="0" fontId="11" fillId="22" borderId="183" applyNumberFormat="0" applyAlignment="0" applyProtection="0"/>
    <xf numFmtId="182" fontId="62" fillId="0" borderId="186"/>
    <xf numFmtId="172" fontId="62" fillId="0" borderId="186"/>
    <xf numFmtId="173" fontId="62" fillId="0" borderId="186"/>
    <xf numFmtId="175" fontId="62" fillId="0" borderId="186"/>
    <xf numFmtId="176" fontId="62" fillId="0" borderId="186"/>
    <xf numFmtId="175" fontId="62" fillId="0" borderId="186"/>
    <xf numFmtId="175" fontId="62" fillId="0" borderId="186"/>
    <xf numFmtId="0" fontId="11" fillId="22" borderId="183" applyNumberFormat="0" applyAlignment="0" applyProtection="0"/>
    <xf numFmtId="172" fontId="62" fillId="0" borderId="186"/>
    <xf numFmtId="175" fontId="62" fillId="0" borderId="186"/>
    <xf numFmtId="182" fontId="62" fillId="0" borderId="186"/>
    <xf numFmtId="172"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172" fontId="62" fillId="0" borderId="186"/>
    <xf numFmtId="180" fontId="62" fillId="0" borderId="186"/>
    <xf numFmtId="180" fontId="62" fillId="0" borderId="186"/>
    <xf numFmtId="0" fontId="65" fillId="50" borderId="185">
      <protection locked="0"/>
    </xf>
    <xf numFmtId="0" fontId="8" fillId="25" borderId="151" applyNumberFormat="0" applyFont="0" applyAlignment="0" applyProtection="0"/>
    <xf numFmtId="180" fontId="62" fillId="0" borderId="186"/>
    <xf numFmtId="177" fontId="62" fillId="0" borderId="186"/>
    <xf numFmtId="172" fontId="62" fillId="0" borderId="186"/>
    <xf numFmtId="0" fontId="11" fillId="22" borderId="183" applyNumberFormat="0" applyAlignment="0" applyProtection="0"/>
    <xf numFmtId="0" fontId="17" fillId="0" borderId="182" applyNumberFormat="0" applyFill="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0" fontId="21" fillId="22" borderId="187" applyNumberFormat="0" applyAlignment="0" applyProtection="0"/>
    <xf numFmtId="175" fontId="62" fillId="0" borderId="186"/>
    <xf numFmtId="175" fontId="62" fillId="0" borderId="186"/>
    <xf numFmtId="175" fontId="62" fillId="0" borderId="186"/>
    <xf numFmtId="180" fontId="62" fillId="0" borderId="186"/>
    <xf numFmtId="180" fontId="62" fillId="0" borderId="186"/>
    <xf numFmtId="172" fontId="62" fillId="0" borderId="186"/>
    <xf numFmtId="175" fontId="62" fillId="0" borderId="186"/>
    <xf numFmtId="180" fontId="62" fillId="0" borderId="186"/>
    <xf numFmtId="172" fontId="62" fillId="0" borderId="186"/>
    <xf numFmtId="174" fontId="62" fillId="0" borderId="186"/>
    <xf numFmtId="180" fontId="62" fillId="0" borderId="186"/>
    <xf numFmtId="0" fontId="23" fillId="0" borderId="188" applyNumberFormat="0" applyFill="0" applyAlignment="0" applyProtection="0"/>
    <xf numFmtId="175" fontId="62" fillId="0" borderId="186"/>
    <xf numFmtId="175" fontId="62" fillId="0" borderId="186"/>
    <xf numFmtId="180" fontId="62" fillId="0" borderId="186"/>
    <xf numFmtId="172" fontId="62" fillId="0" borderId="186"/>
    <xf numFmtId="0" fontId="18" fillId="9" borderId="183" applyNumberFormat="0" applyAlignment="0" applyProtection="0"/>
    <xf numFmtId="177" fontId="62" fillId="0" borderId="186"/>
    <xf numFmtId="176" fontId="62" fillId="0" borderId="186"/>
    <xf numFmtId="181" fontId="62" fillId="0" borderId="186"/>
    <xf numFmtId="176" fontId="62" fillId="0" borderId="186"/>
    <xf numFmtId="181" fontId="62" fillId="0" borderId="186"/>
    <xf numFmtId="173" fontId="62" fillId="0" borderId="186"/>
    <xf numFmtId="0" fontId="65" fillId="50" borderId="185">
      <protection locked="0"/>
    </xf>
    <xf numFmtId="181" fontId="62" fillId="0" borderId="186"/>
    <xf numFmtId="182" fontId="62" fillId="0" borderId="186"/>
    <xf numFmtId="0" fontId="65" fillId="50" borderId="185">
      <protection locked="0"/>
    </xf>
    <xf numFmtId="175" fontId="62" fillId="0" borderId="186"/>
    <xf numFmtId="182" fontId="62" fillId="0" borderId="186"/>
    <xf numFmtId="0" fontId="17" fillId="0" borderId="182" applyNumberFormat="0" applyFill="0" applyAlignment="0" applyProtection="0"/>
    <xf numFmtId="177" fontId="62" fillId="0" borderId="186"/>
    <xf numFmtId="0" fontId="11" fillId="22" borderId="183" applyNumberFormat="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0" fontId="62" fillId="0" borderId="186"/>
    <xf numFmtId="172" fontId="62" fillId="0" borderId="186"/>
    <xf numFmtId="175" fontId="62" fillId="0" borderId="186"/>
    <xf numFmtId="180" fontId="62" fillId="0" borderId="186"/>
    <xf numFmtId="180" fontId="62" fillId="0" borderId="186"/>
    <xf numFmtId="180" fontId="62" fillId="0" borderId="186"/>
    <xf numFmtId="175" fontId="62" fillId="0" borderId="186"/>
    <xf numFmtId="180" fontId="62" fillId="0" borderId="186"/>
    <xf numFmtId="180" fontId="62" fillId="0" borderId="186"/>
    <xf numFmtId="175" fontId="62" fillId="0" borderId="186"/>
    <xf numFmtId="175" fontId="62" fillId="0" borderId="186"/>
    <xf numFmtId="0" fontId="21" fillId="22" borderId="187" applyNumberFormat="0" applyAlignment="0" applyProtection="0"/>
    <xf numFmtId="175" fontId="62" fillId="0" borderId="186"/>
    <xf numFmtId="0" fontId="23" fillId="0" borderId="188" applyNumberFormat="0" applyFill="0" applyAlignment="0" applyProtection="0"/>
    <xf numFmtId="172" fontId="62" fillId="0" borderId="186"/>
    <xf numFmtId="172" fontId="62" fillId="0" borderId="186"/>
    <xf numFmtId="175" fontId="62" fillId="0" borderId="186"/>
    <xf numFmtId="176" fontId="62" fillId="0" borderId="186"/>
    <xf numFmtId="0" fontId="18" fillId="9" borderId="183" applyNumberFormat="0" applyAlignment="0" applyProtection="0"/>
    <xf numFmtId="172" fontId="62" fillId="0" borderId="186"/>
    <xf numFmtId="0" fontId="21" fillId="22" borderId="187" applyNumberFormat="0" applyAlignment="0" applyProtection="0"/>
    <xf numFmtId="174" fontId="62" fillId="0" borderId="186"/>
    <xf numFmtId="172" fontId="62" fillId="0" borderId="186"/>
    <xf numFmtId="0" fontId="18" fillId="9" borderId="183" applyNumberFormat="0" applyAlignment="0" applyProtection="0"/>
    <xf numFmtId="177" fontId="62" fillId="0" borderId="186"/>
    <xf numFmtId="0" fontId="11" fillId="22" borderId="183" applyNumberFormat="0" applyAlignment="0" applyProtection="0"/>
    <xf numFmtId="172" fontId="62" fillId="0" borderId="186"/>
    <xf numFmtId="172" fontId="62" fillId="0" borderId="186"/>
    <xf numFmtId="180" fontId="62" fillId="0" borderId="186"/>
    <xf numFmtId="0" fontId="65" fillId="50" borderId="185">
      <protection locked="0"/>
    </xf>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6" fontId="62" fillId="0" borderId="186"/>
    <xf numFmtId="180" fontId="62" fillId="0" borderId="186"/>
    <xf numFmtId="172" fontId="62" fillId="0" borderId="186"/>
    <xf numFmtId="172" fontId="62" fillId="0" borderId="186"/>
    <xf numFmtId="0" fontId="23" fillId="0" borderId="188" applyNumberFormat="0" applyFill="0" applyAlignment="0" applyProtection="0"/>
    <xf numFmtId="180" fontId="62" fillId="0" borderId="186"/>
    <xf numFmtId="172" fontId="62" fillId="0" borderId="186"/>
    <xf numFmtId="172" fontId="62" fillId="0" borderId="186"/>
    <xf numFmtId="180" fontId="62" fillId="0" borderId="186"/>
    <xf numFmtId="175" fontId="62" fillId="0" borderId="186"/>
    <xf numFmtId="175" fontId="62" fillId="0" borderId="186"/>
    <xf numFmtId="180" fontId="62" fillId="0" borderId="186"/>
    <xf numFmtId="180" fontId="62" fillId="0" borderId="186"/>
    <xf numFmtId="180" fontId="62" fillId="0" borderId="186"/>
    <xf numFmtId="172" fontId="62" fillId="0" borderId="186"/>
    <xf numFmtId="174" fontId="62" fillId="0" borderId="186"/>
    <xf numFmtId="172" fontId="62" fillId="0" borderId="186"/>
    <xf numFmtId="180" fontId="62" fillId="0" borderId="186"/>
    <xf numFmtId="0" fontId="18" fillId="9" borderId="183" applyNumberFormat="0" applyAlignment="0" applyProtection="0"/>
    <xf numFmtId="180" fontId="62" fillId="0" borderId="186"/>
    <xf numFmtId="180" fontId="62" fillId="0" borderId="186"/>
    <xf numFmtId="0" fontId="23" fillId="0" borderId="188" applyNumberFormat="0" applyFill="0" applyAlignment="0" applyProtection="0"/>
    <xf numFmtId="172" fontId="62" fillId="0" borderId="186"/>
    <xf numFmtId="0" fontId="8" fillId="25" borderId="151" applyNumberFormat="0" applyFont="0" applyAlignment="0" applyProtection="0"/>
    <xf numFmtId="0" fontId="18" fillId="9" borderId="183" applyNumberFormat="0" applyAlignment="0" applyProtection="0"/>
    <xf numFmtId="172" fontId="62" fillId="0" borderId="186"/>
    <xf numFmtId="180" fontId="62" fillId="0" borderId="186"/>
    <xf numFmtId="0" fontId="8" fillId="25" borderId="151" applyNumberFormat="0" applyFont="0" applyAlignment="0" applyProtection="0"/>
    <xf numFmtId="0" fontId="11" fillId="22" borderId="183" applyNumberFormat="0" applyAlignment="0" applyProtection="0"/>
    <xf numFmtId="172" fontId="62" fillId="0" borderId="186"/>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2" fontId="62" fillId="0" borderId="186"/>
    <xf numFmtId="181" fontId="62" fillId="0" borderId="186"/>
    <xf numFmtId="175" fontId="62" fillId="0" borderId="186"/>
    <xf numFmtId="175" fontId="62" fillId="0" borderId="186"/>
    <xf numFmtId="174" fontId="62" fillId="0" borderId="186"/>
    <xf numFmtId="180" fontId="62" fillId="0" borderId="186"/>
    <xf numFmtId="173" fontId="62" fillId="0" borderId="186"/>
    <xf numFmtId="0" fontId="21" fillId="22" borderId="187" applyNumberFormat="0" applyAlignment="0" applyProtection="0"/>
    <xf numFmtId="172" fontId="62" fillId="0" borderId="186"/>
    <xf numFmtId="175" fontId="62" fillId="0" borderId="186"/>
    <xf numFmtId="180" fontId="62" fillId="0" borderId="186"/>
    <xf numFmtId="0" fontId="11" fillId="22" borderId="183" applyNumberFormat="0" applyAlignment="0" applyProtection="0"/>
    <xf numFmtId="175" fontId="62" fillId="0" borderId="186"/>
    <xf numFmtId="176" fontId="62" fillId="0" borderId="186"/>
    <xf numFmtId="175" fontId="62" fillId="0" borderId="186"/>
    <xf numFmtId="182" fontId="62" fillId="0" borderId="186"/>
    <xf numFmtId="0" fontId="17" fillId="0" borderId="182" applyNumberFormat="0" applyFill="0" applyAlignment="0" applyProtection="0"/>
    <xf numFmtId="177" fontId="62" fillId="0" borderId="186"/>
    <xf numFmtId="173" fontId="62" fillId="0" borderId="186"/>
    <xf numFmtId="180" fontId="62" fillId="0" borderId="186"/>
    <xf numFmtId="181" fontId="62" fillId="0" borderId="186"/>
    <xf numFmtId="182" fontId="62" fillId="0" borderId="186"/>
    <xf numFmtId="0" fontId="65" fillId="50" borderId="185">
      <protection locked="0"/>
    </xf>
    <xf numFmtId="0" fontId="17" fillId="0" borderId="182"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5" fontId="62" fillId="0" borderId="186"/>
    <xf numFmtId="175" fontId="62" fillId="0" borderId="186"/>
    <xf numFmtId="175" fontId="62" fillId="0" borderId="186"/>
    <xf numFmtId="172" fontId="62" fillId="0" borderId="186"/>
    <xf numFmtId="0" fontId="18" fillId="9" borderId="183" applyNumberFormat="0" applyAlignment="0" applyProtection="0"/>
    <xf numFmtId="175" fontId="62" fillId="0" borderId="186"/>
    <xf numFmtId="172" fontId="62" fillId="0" borderId="186"/>
    <xf numFmtId="180" fontId="62" fillId="0" borderId="186"/>
    <xf numFmtId="174" fontId="62" fillId="0" borderId="186"/>
    <xf numFmtId="174" fontId="62" fillId="0" borderId="186"/>
    <xf numFmtId="172" fontId="62" fillId="0" borderId="186"/>
    <xf numFmtId="174" fontId="62" fillId="0" borderId="186"/>
    <xf numFmtId="175" fontId="62" fillId="0" borderId="186"/>
    <xf numFmtId="177" fontId="62" fillId="0" borderId="186"/>
    <xf numFmtId="172" fontId="62" fillId="0" borderId="186"/>
    <xf numFmtId="0" fontId="11" fillId="22" borderId="183" applyNumberFormat="0" applyAlignment="0" applyProtection="0"/>
    <xf numFmtId="180" fontId="62" fillId="0" borderId="186"/>
    <xf numFmtId="180" fontId="62" fillId="0" borderId="186"/>
    <xf numFmtId="180" fontId="62" fillId="0" borderId="186"/>
    <xf numFmtId="172" fontId="62" fillId="0" borderId="186"/>
    <xf numFmtId="0" fontId="8" fillId="25" borderId="151" applyNumberFormat="0" applyFont="0" applyAlignment="0" applyProtection="0"/>
    <xf numFmtId="172" fontId="62" fillId="0" borderId="186"/>
    <xf numFmtId="181" fontId="62" fillId="0" borderId="186"/>
    <xf numFmtId="175" fontId="62" fillId="0" borderId="186"/>
    <xf numFmtId="176" fontId="62" fillId="0" borderId="186"/>
    <xf numFmtId="0" fontId="18" fillId="9" borderId="183" applyNumberFormat="0" applyAlignment="0" applyProtection="0"/>
    <xf numFmtId="172" fontId="62" fillId="0" borderId="186"/>
    <xf numFmtId="180" fontId="62" fillId="0" borderId="186"/>
    <xf numFmtId="175" fontId="62" fillId="0" borderId="186"/>
    <xf numFmtId="180" fontId="62" fillId="0" borderId="186"/>
    <xf numFmtId="172" fontId="62" fillId="0" borderId="186"/>
    <xf numFmtId="180" fontId="62" fillId="0" borderId="186"/>
    <xf numFmtId="175" fontId="62" fillId="0" borderId="186"/>
    <xf numFmtId="175" fontId="62" fillId="0" borderId="186"/>
    <xf numFmtId="172" fontId="62" fillId="0" borderId="186"/>
    <xf numFmtId="175" fontId="62" fillId="0" borderId="186"/>
    <xf numFmtId="176" fontId="62" fillId="0" borderId="186"/>
    <xf numFmtId="175" fontId="62" fillId="0" borderId="186"/>
    <xf numFmtId="180" fontId="62" fillId="0" borderId="186"/>
    <xf numFmtId="180" fontId="62" fillId="0" borderId="186"/>
    <xf numFmtId="172" fontId="62" fillId="0" borderId="186"/>
    <xf numFmtId="0" fontId="21" fillId="22" borderId="187" applyNumberFormat="0" applyAlignment="0" applyProtection="0"/>
    <xf numFmtId="173" fontId="62" fillId="0" borderId="186"/>
    <xf numFmtId="0" fontId="23" fillId="0" borderId="188" applyNumberFormat="0" applyFill="0" applyAlignment="0" applyProtection="0"/>
    <xf numFmtId="0" fontId="8" fillId="25" borderId="151" applyNumberFormat="0" applyFont="0" applyAlignment="0" applyProtection="0"/>
    <xf numFmtId="0" fontId="65" fillId="50" borderId="185">
      <protection locked="0"/>
    </xf>
    <xf numFmtId="176" fontId="62" fillId="0" borderId="186"/>
    <xf numFmtId="0" fontId="23" fillId="0" borderId="188" applyNumberFormat="0" applyFill="0" applyAlignment="0" applyProtection="0"/>
    <xf numFmtId="175" fontId="62" fillId="0" borderId="186"/>
    <xf numFmtId="0" fontId="21" fillId="22" borderId="187" applyNumberFormat="0" applyAlignment="0" applyProtection="0"/>
    <xf numFmtId="172" fontId="62" fillId="0" borderId="186"/>
    <xf numFmtId="182" fontId="62" fillId="0" borderId="186"/>
    <xf numFmtId="172" fontId="62" fillId="0" borderId="186"/>
    <xf numFmtId="180" fontId="62" fillId="0" borderId="186"/>
    <xf numFmtId="0" fontId="11" fillId="22" borderId="183" applyNumberFormat="0" applyAlignment="0" applyProtection="0"/>
    <xf numFmtId="175" fontId="62" fillId="0" borderId="186"/>
    <xf numFmtId="181" fontId="62" fillId="0" borderId="186"/>
    <xf numFmtId="175" fontId="62" fillId="0" borderId="186"/>
    <xf numFmtId="172" fontId="62" fillId="0" borderId="186"/>
    <xf numFmtId="175" fontId="62" fillId="0" borderId="186"/>
    <xf numFmtId="173" fontId="62" fillId="0" borderId="186"/>
    <xf numFmtId="180" fontId="62" fillId="0" borderId="186"/>
    <xf numFmtId="177" fontId="62" fillId="0" borderId="186"/>
    <xf numFmtId="175" fontId="62" fillId="0" borderId="186"/>
    <xf numFmtId="173" fontId="62" fillId="0" borderId="186"/>
    <xf numFmtId="172" fontId="62" fillId="0" borderId="186"/>
    <xf numFmtId="181" fontId="62" fillId="0" borderId="186"/>
    <xf numFmtId="182" fontId="62" fillId="0" borderId="186"/>
    <xf numFmtId="0" fontId="65" fillId="50" borderId="185">
      <protection locked="0"/>
    </xf>
    <xf numFmtId="180" fontId="62" fillId="0" borderId="186"/>
    <xf numFmtId="180" fontId="62" fillId="0" borderId="186"/>
    <xf numFmtId="180" fontId="62" fillId="0" borderId="186"/>
    <xf numFmtId="172" fontId="62" fillId="0" borderId="186"/>
    <xf numFmtId="180" fontId="62" fillId="0" borderId="186"/>
    <xf numFmtId="0" fontId="21" fillId="22" borderId="187" applyNumberFormat="0" applyAlignment="0" applyProtection="0"/>
    <xf numFmtId="0" fontId="23" fillId="0" borderId="188" applyNumberFormat="0" applyFill="0" applyAlignment="0" applyProtection="0"/>
    <xf numFmtId="0" fontId="8" fillId="25" borderId="151" applyNumberFormat="0" applyFont="0" applyAlignment="0" applyProtection="0"/>
    <xf numFmtId="182" fontId="62" fillId="0" borderId="186"/>
    <xf numFmtId="172" fontId="62" fillId="0" borderId="186"/>
    <xf numFmtId="175" fontId="62" fillId="0" borderId="186"/>
    <xf numFmtId="180" fontId="62" fillId="0" borderId="186"/>
    <xf numFmtId="172" fontId="62" fillId="0" borderId="186"/>
    <xf numFmtId="0" fontId="8" fillId="25" borderId="151" applyNumberFormat="0" applyFont="0" applyAlignment="0" applyProtection="0"/>
    <xf numFmtId="175" fontId="62" fillId="0" borderId="186"/>
    <xf numFmtId="177" fontId="62" fillId="0" borderId="186"/>
    <xf numFmtId="180" fontId="62" fillId="0" borderId="186"/>
    <xf numFmtId="172" fontId="62" fillId="0" borderId="186"/>
    <xf numFmtId="175"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75" fontId="62" fillId="0" borderId="186"/>
    <xf numFmtId="180" fontId="62" fillId="0" borderId="186"/>
    <xf numFmtId="172" fontId="62" fillId="0" borderId="186"/>
    <xf numFmtId="180" fontId="62" fillId="0" borderId="186"/>
    <xf numFmtId="180" fontId="62" fillId="0" borderId="186"/>
    <xf numFmtId="175" fontId="62" fillId="0" borderId="186"/>
    <xf numFmtId="175" fontId="62" fillId="0" borderId="186"/>
    <xf numFmtId="172" fontId="62" fillId="0" borderId="186"/>
    <xf numFmtId="172"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5" fontId="62" fillId="0" borderId="186"/>
    <xf numFmtId="182" fontId="62" fillId="0" borderId="186"/>
    <xf numFmtId="172" fontId="62" fillId="0" borderId="186"/>
    <xf numFmtId="0" fontId="11" fillId="22" borderId="183" applyNumberFormat="0" applyAlignment="0" applyProtection="0"/>
    <xf numFmtId="0" fontId="18" fillId="9" borderId="183" applyNumberFormat="0" applyAlignment="0" applyProtection="0"/>
    <xf numFmtId="182" fontId="62" fillId="0" borderId="186"/>
    <xf numFmtId="181" fontId="62" fillId="0" borderId="186"/>
    <xf numFmtId="180" fontId="62" fillId="0" borderId="186"/>
    <xf numFmtId="172" fontId="62" fillId="0" borderId="186"/>
    <xf numFmtId="176" fontId="62" fillId="0" borderId="186"/>
    <xf numFmtId="177" fontId="62" fillId="0" borderId="186"/>
    <xf numFmtId="176" fontId="62" fillId="0" borderId="186"/>
    <xf numFmtId="175" fontId="62" fillId="0" borderId="186"/>
    <xf numFmtId="177" fontId="62" fillId="0" borderId="186"/>
    <xf numFmtId="181" fontId="62" fillId="0" borderId="186"/>
    <xf numFmtId="174" fontId="62" fillId="0" borderId="186"/>
    <xf numFmtId="0" fontId="11" fillId="22" borderId="183" applyNumberFormat="0" applyAlignment="0" applyProtection="0"/>
    <xf numFmtId="173" fontId="62" fillId="0" borderId="186"/>
    <xf numFmtId="180" fontId="62" fillId="0" borderId="186"/>
    <xf numFmtId="177" fontId="62" fillId="0" borderId="186"/>
    <xf numFmtId="175" fontId="62" fillId="0" borderId="186"/>
    <xf numFmtId="172" fontId="62" fillId="0" borderId="186"/>
    <xf numFmtId="0" fontId="21" fillId="22" borderId="187" applyNumberFormat="0" applyAlignment="0" applyProtection="0"/>
    <xf numFmtId="0" fontId="23" fillId="0" borderId="188" applyNumberFormat="0" applyFill="0" applyAlignment="0" applyProtection="0"/>
    <xf numFmtId="181" fontId="62" fillId="0" borderId="186"/>
    <xf numFmtId="176" fontId="62" fillId="0" borderId="186"/>
    <xf numFmtId="174" fontId="62" fillId="0" borderId="186"/>
    <xf numFmtId="173" fontId="62" fillId="0" borderId="186"/>
    <xf numFmtId="172" fontId="62" fillId="0" borderId="186"/>
    <xf numFmtId="182" fontId="62" fillId="0" borderId="186"/>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11" fillId="22" borderId="183" applyNumberFormat="0" applyAlignment="0" applyProtection="0"/>
    <xf numFmtId="0" fontId="65" fillId="50" borderId="185">
      <protection locked="0"/>
    </xf>
    <xf numFmtId="0" fontId="11" fillId="22" borderId="183" applyNumberFormat="0" applyAlignment="0" applyProtection="0"/>
    <xf numFmtId="0" fontId="21" fillId="22" borderId="187" applyNumberFormat="0" applyAlignment="0" applyProtection="0"/>
    <xf numFmtId="0" fontId="65" fillId="50" borderId="185">
      <protection locked="0"/>
    </xf>
    <xf numFmtId="174" fontId="62" fillId="0" borderId="186"/>
    <xf numFmtId="173"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23" fillId="0" borderId="188" applyNumberFormat="0" applyFill="0" applyAlignment="0" applyProtection="0"/>
    <xf numFmtId="172" fontId="62" fillId="0" borderId="186"/>
    <xf numFmtId="173"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80" fontId="62" fillId="0" borderId="186"/>
    <xf numFmtId="0" fontId="8" fillId="25" borderId="151" applyNumberFormat="0" applyFont="0" applyAlignment="0" applyProtection="0"/>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5"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5"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75" fontId="62" fillId="0" borderId="186"/>
    <xf numFmtId="172" fontId="62" fillId="0" borderId="186"/>
    <xf numFmtId="180" fontId="62" fillId="0" borderId="186"/>
    <xf numFmtId="0" fontId="11" fillId="22" borderId="183" applyNumberFormat="0" applyAlignment="0" applyProtection="0"/>
    <xf numFmtId="0" fontId="65" fillId="50" borderId="185">
      <protection locked="0"/>
    </xf>
    <xf numFmtId="182" fontId="62" fillId="0" borderId="186"/>
    <xf numFmtId="172" fontId="62" fillId="0" borderId="186"/>
    <xf numFmtId="0" fontId="23" fillId="0" borderId="188" applyNumberFormat="0" applyFill="0" applyAlignment="0" applyProtection="0"/>
    <xf numFmtId="180" fontId="62" fillId="0" borderId="186"/>
    <xf numFmtId="0" fontId="65" fillId="50" borderId="185">
      <protection locked="0"/>
    </xf>
    <xf numFmtId="0" fontId="11" fillId="22" borderId="183" applyNumberFormat="0" applyAlignment="0" applyProtection="0"/>
    <xf numFmtId="172" fontId="62" fillId="0" borderId="186"/>
    <xf numFmtId="172" fontId="62" fillId="0" borderId="186"/>
    <xf numFmtId="0" fontId="18" fillId="9" borderId="183" applyNumberFormat="0" applyAlignment="0" applyProtection="0"/>
    <xf numFmtId="173" fontId="62" fillId="0" borderId="186"/>
    <xf numFmtId="172" fontId="62" fillId="0" borderId="186"/>
    <xf numFmtId="175" fontId="62" fillId="0" borderId="186"/>
    <xf numFmtId="172" fontId="62" fillId="0" borderId="186"/>
    <xf numFmtId="175" fontId="62" fillId="0" borderId="186"/>
    <xf numFmtId="176" fontId="62" fillId="0" borderId="186"/>
    <xf numFmtId="177" fontId="62" fillId="0" borderId="186"/>
    <xf numFmtId="0" fontId="8" fillId="25" borderId="151" applyNumberFormat="0" applyFont="0" applyAlignment="0" applyProtection="0"/>
    <xf numFmtId="175" fontId="62" fillId="0" borderId="186"/>
    <xf numFmtId="180" fontId="62" fillId="0" borderId="186"/>
    <xf numFmtId="172" fontId="62" fillId="0" borderId="186"/>
    <xf numFmtId="181" fontId="62" fillId="0" borderId="186"/>
    <xf numFmtId="182" fontId="62" fillId="0" borderId="186"/>
    <xf numFmtId="0" fontId="18" fillId="9" borderId="183" applyNumberFormat="0" applyAlignment="0" applyProtection="0"/>
    <xf numFmtId="180" fontId="62" fillId="0" borderId="186"/>
    <xf numFmtId="180" fontId="62" fillId="0" borderId="186"/>
    <xf numFmtId="175" fontId="62" fillId="0" borderId="186"/>
    <xf numFmtId="172" fontId="62" fillId="0" borderId="186"/>
    <xf numFmtId="176" fontId="62" fillId="0" borderId="186"/>
    <xf numFmtId="172" fontId="62" fillId="0" borderId="186"/>
    <xf numFmtId="172" fontId="62" fillId="0" borderId="186"/>
    <xf numFmtId="175" fontId="62" fillId="0" borderId="186"/>
    <xf numFmtId="175" fontId="62" fillId="0" borderId="186"/>
    <xf numFmtId="172" fontId="62" fillId="0" borderId="186"/>
    <xf numFmtId="0" fontId="18" fillId="9" borderId="183" applyNumberForma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8" fillId="25" borderId="151" applyNumberFormat="0" applyFont="0" applyAlignment="0" applyProtection="0"/>
    <xf numFmtId="174" fontId="62" fillId="0" borderId="186"/>
    <xf numFmtId="175" fontId="62" fillId="0" borderId="186"/>
    <xf numFmtId="180" fontId="62" fillId="0" borderId="186"/>
    <xf numFmtId="0" fontId="11" fillId="22" borderId="183" applyNumberFormat="0" applyAlignment="0" applyProtection="0"/>
    <xf numFmtId="174" fontId="62" fillId="0" borderId="186"/>
    <xf numFmtId="173" fontId="62" fillId="0" borderId="186"/>
    <xf numFmtId="0" fontId="21" fillId="22" borderId="187" applyNumberFormat="0" applyAlignment="0" applyProtection="0"/>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174" fontId="62" fillId="0" borderId="186"/>
    <xf numFmtId="176" fontId="62" fillId="0" borderId="186"/>
    <xf numFmtId="177"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80" fontId="62" fillId="0" borderId="186"/>
    <xf numFmtId="181" fontId="62" fillId="0" borderId="186"/>
    <xf numFmtId="175" fontId="62" fillId="0" borderId="186"/>
    <xf numFmtId="180" fontId="62" fillId="0" borderId="186"/>
    <xf numFmtId="175" fontId="62" fillId="0" borderId="186"/>
    <xf numFmtId="177" fontId="62" fillId="0" borderId="186"/>
    <xf numFmtId="173" fontId="62" fillId="0" borderId="186"/>
    <xf numFmtId="181" fontId="62" fillId="0" borderId="186"/>
    <xf numFmtId="182"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80" fontId="62" fillId="0" borderId="186"/>
    <xf numFmtId="175" fontId="62" fillId="0" borderId="186"/>
    <xf numFmtId="180" fontId="62" fillId="0" borderId="186"/>
    <xf numFmtId="175" fontId="62" fillId="0" borderId="186"/>
    <xf numFmtId="172" fontId="62" fillId="0" borderId="186"/>
    <xf numFmtId="180" fontId="62" fillId="0" borderId="186"/>
    <xf numFmtId="175" fontId="62" fillId="0" borderId="186"/>
    <xf numFmtId="180" fontId="62" fillId="0" borderId="186"/>
    <xf numFmtId="172" fontId="62" fillId="0" borderId="186"/>
    <xf numFmtId="172" fontId="62" fillId="0" borderId="186"/>
    <xf numFmtId="180" fontId="62" fillId="0" borderId="186"/>
    <xf numFmtId="176" fontId="62" fillId="0" borderId="186"/>
    <xf numFmtId="175" fontId="62" fillId="0" borderId="186"/>
    <xf numFmtId="174" fontId="62" fillId="0" borderId="186"/>
    <xf numFmtId="173" fontId="62" fillId="0" borderId="186"/>
    <xf numFmtId="172" fontId="62" fillId="0" borderId="186"/>
    <xf numFmtId="0" fontId="23" fillId="0" borderId="188" applyNumberFormat="0" applyFill="0" applyAlignment="0" applyProtection="0"/>
    <xf numFmtId="0" fontId="21" fillId="22" borderId="187" applyNumberFormat="0" applyAlignment="0" applyProtection="0"/>
    <xf numFmtId="0" fontId="8" fillId="25" borderId="151" applyNumberFormat="0" applyFont="0" applyAlignment="0" applyProtection="0"/>
    <xf numFmtId="0" fontId="18" fillId="9" borderId="183" applyNumberFormat="0" applyAlignment="0" applyProtection="0"/>
    <xf numFmtId="177" fontId="62" fillId="0" borderId="186"/>
    <xf numFmtId="0" fontId="11" fillId="22" borderId="183" applyNumberFormat="0" applyAlignment="0" applyProtection="0"/>
    <xf numFmtId="181" fontId="62" fillId="0" borderId="186"/>
    <xf numFmtId="180" fontId="62" fillId="0" borderId="186"/>
    <xf numFmtId="172" fontId="62" fillId="0" borderId="186"/>
    <xf numFmtId="172" fontId="62" fillId="0" borderId="186"/>
    <xf numFmtId="175" fontId="62" fillId="0" borderId="186"/>
    <xf numFmtId="175" fontId="62" fillId="0" borderId="186"/>
    <xf numFmtId="172" fontId="62" fillId="0" borderId="186"/>
    <xf numFmtId="0" fontId="23" fillId="0" borderId="188" applyNumberFormat="0" applyFill="0" applyAlignment="0" applyProtection="0"/>
    <xf numFmtId="175" fontId="62" fillId="0" borderId="186"/>
    <xf numFmtId="0" fontId="18" fillId="9" borderId="183" applyNumberFormat="0" applyAlignment="0" applyProtection="0"/>
    <xf numFmtId="0" fontId="21" fillId="22" borderId="187" applyNumberFormat="0" applyAlignment="0" applyProtection="0"/>
    <xf numFmtId="0" fontId="8" fillId="25" borderId="151" applyNumberFormat="0" applyFont="0" applyAlignment="0" applyProtection="0"/>
    <xf numFmtId="0" fontId="65" fillId="50" borderId="185">
      <protection locked="0"/>
    </xf>
    <xf numFmtId="180" fontId="62" fillId="0" borderId="186"/>
    <xf numFmtId="0" fontId="11" fillId="22" borderId="183" applyNumberFormat="0" applyAlignment="0" applyProtection="0"/>
    <xf numFmtId="0" fontId="18" fillId="9" borderId="183" applyNumberFormat="0" applyAlignment="0" applyProtection="0"/>
    <xf numFmtId="175" fontId="62" fillId="0" borderId="186"/>
    <xf numFmtId="172" fontId="62" fillId="0" borderId="186"/>
    <xf numFmtId="180" fontId="62" fillId="0" borderId="186"/>
    <xf numFmtId="175" fontId="62" fillId="0" borderId="186"/>
    <xf numFmtId="172" fontId="62" fillId="0" borderId="186"/>
    <xf numFmtId="173" fontId="62" fillId="0" borderId="186"/>
    <xf numFmtId="172" fontId="62" fillId="0" borderId="186"/>
    <xf numFmtId="175" fontId="62" fillId="0" borderId="186"/>
    <xf numFmtId="180" fontId="62" fillId="0" borderId="186"/>
    <xf numFmtId="172" fontId="62" fillId="0" borderId="186"/>
    <xf numFmtId="180" fontId="62" fillId="0" borderId="186"/>
    <xf numFmtId="0" fontId="11" fillId="22" borderId="183" applyNumberFormat="0" applyAlignment="0" applyProtection="0"/>
    <xf numFmtId="182" fontId="62" fillId="0" borderId="186"/>
    <xf numFmtId="176" fontId="62" fillId="0" borderId="186"/>
    <xf numFmtId="180" fontId="62" fillId="0" borderId="186"/>
    <xf numFmtId="172" fontId="62" fillId="0" borderId="186"/>
    <xf numFmtId="0" fontId="11" fillId="22" borderId="183" applyNumberFormat="0" applyAlignment="0" applyProtection="0"/>
    <xf numFmtId="0" fontId="18" fillId="9" borderId="183" applyNumberFormat="0" applyAlignment="0" applyProtection="0"/>
    <xf numFmtId="0" fontId="23" fillId="0" borderId="188" applyNumberFormat="0" applyFill="0" applyAlignment="0" applyProtection="0"/>
    <xf numFmtId="180" fontId="62" fillId="0" borderId="186"/>
    <xf numFmtId="180" fontId="62" fillId="0" borderId="186"/>
    <xf numFmtId="175" fontId="62" fillId="0" borderId="186"/>
    <xf numFmtId="174" fontId="62" fillId="0" borderId="186"/>
    <xf numFmtId="0" fontId="8" fillId="25" borderId="151" applyNumberFormat="0" applyFont="0" applyAlignment="0" applyProtection="0"/>
    <xf numFmtId="175"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65" fillId="50" borderId="185">
      <protection locked="0"/>
    </xf>
    <xf numFmtId="17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2" fontId="62" fillId="0" borderId="186"/>
    <xf numFmtId="173" fontId="62" fillId="0" borderId="186"/>
    <xf numFmtId="174" fontId="62" fillId="0" borderId="186"/>
    <xf numFmtId="175" fontId="62" fillId="0" borderId="186"/>
    <xf numFmtId="176" fontId="62" fillId="0" borderId="186"/>
    <xf numFmtId="177" fontId="62" fillId="0" borderId="186"/>
    <xf numFmtId="180" fontId="62" fillId="0" borderId="186"/>
    <xf numFmtId="181" fontId="62" fillId="0" borderId="186"/>
    <xf numFmtId="182" fontId="62" fillId="0" borderId="186"/>
    <xf numFmtId="180" fontId="62" fillId="0" borderId="186"/>
    <xf numFmtId="175" fontId="62" fillId="0" borderId="186"/>
    <xf numFmtId="0" fontId="65" fillId="50" borderId="185">
      <protection locked="0"/>
    </xf>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0" fontId="11" fillId="22" borderId="183" applyNumberFormat="0" applyAlignment="0" applyProtection="0"/>
    <xf numFmtId="0" fontId="18" fillId="9" borderId="183" applyNumberFormat="0" applyAlignment="0" applyProtection="0"/>
    <xf numFmtId="0" fontId="8" fillId="25" borderId="151" applyNumberFormat="0" applyFont="0" applyAlignment="0" applyProtection="0"/>
    <xf numFmtId="0" fontId="21" fillId="22" borderId="187" applyNumberFormat="0" applyAlignment="0" applyProtection="0"/>
    <xf numFmtId="0" fontId="23" fillId="0" borderId="188" applyNumberFormat="0" applyFill="0" applyAlignment="0" applyProtection="0"/>
    <xf numFmtId="173" fontId="62" fillId="0" borderId="196"/>
    <xf numFmtId="174" fontId="62" fillId="0" borderId="196"/>
    <xf numFmtId="175" fontId="62" fillId="0" borderId="196"/>
    <xf numFmtId="176" fontId="62" fillId="0" borderId="196"/>
    <xf numFmtId="177" fontId="62" fillId="0" borderId="196"/>
    <xf numFmtId="180" fontId="62" fillId="0" borderId="196"/>
    <xf numFmtId="181" fontId="62" fillId="0" borderId="196"/>
    <xf numFmtId="182" fontId="62" fillId="0" borderId="196"/>
    <xf numFmtId="0" fontId="11" fillId="22" borderId="191" applyNumberFormat="0" applyAlignment="0" applyProtection="0"/>
    <xf numFmtId="0" fontId="18" fillId="9" borderId="191" applyNumberFormat="0" applyAlignment="0" applyProtection="0"/>
    <xf numFmtId="0" fontId="8" fillId="25" borderId="192" applyNumberFormat="0" applyFont="0" applyAlignment="0" applyProtection="0"/>
    <xf numFmtId="0" fontId="21" fillId="22" borderId="193" applyNumberFormat="0" applyAlignment="0" applyProtection="0"/>
    <xf numFmtId="0" fontId="23" fillId="0" borderId="195" applyNumberFormat="0" applyFill="0" applyAlignment="0" applyProtection="0"/>
    <xf numFmtId="172" fontId="62" fillId="0" borderId="196"/>
    <xf numFmtId="173" fontId="62" fillId="0" borderId="196"/>
    <xf numFmtId="174" fontId="62" fillId="0" borderId="196"/>
    <xf numFmtId="175" fontId="62" fillId="0" borderId="196"/>
    <xf numFmtId="176" fontId="62" fillId="0" borderId="196"/>
    <xf numFmtId="177" fontId="62" fillId="0" borderId="196"/>
    <xf numFmtId="180" fontId="62" fillId="0" borderId="196"/>
    <xf numFmtId="181" fontId="62" fillId="0" borderId="196"/>
    <xf numFmtId="182" fontId="62" fillId="0" borderId="196"/>
    <xf numFmtId="0" fontId="65" fillId="50" borderId="201">
      <protection locked="0"/>
    </xf>
    <xf numFmtId="0" fontId="21" fillId="22" borderId="199" applyNumberFormat="0" applyAlignment="0" applyProtection="0"/>
    <xf numFmtId="0" fontId="23" fillId="0" borderId="200" applyNumberFormat="0" applyFill="0" applyAlignment="0" applyProtection="0"/>
    <xf numFmtId="0" fontId="8" fillId="25" borderId="198" applyNumberFormat="0" applyFont="0" applyAlignment="0" applyProtection="0"/>
    <xf numFmtId="180" fontId="62" fillId="0" borderId="202"/>
    <xf numFmtId="180" fontId="62" fillId="0" borderId="202"/>
    <xf numFmtId="181" fontId="62" fillId="0" borderId="202"/>
    <xf numFmtId="172" fontId="62" fillId="0" borderId="202"/>
    <xf numFmtId="175" fontId="62" fillId="0" borderId="202"/>
    <xf numFmtId="175" fontId="62" fillId="0" borderId="202"/>
    <xf numFmtId="177" fontId="62" fillId="0" borderId="202"/>
    <xf numFmtId="172" fontId="62" fillId="0" borderId="202"/>
    <xf numFmtId="180" fontId="62" fillId="0" borderId="202"/>
    <xf numFmtId="181" fontId="62" fillId="0" borderId="202"/>
    <xf numFmtId="182" fontId="62" fillId="0" borderId="202"/>
    <xf numFmtId="0" fontId="11" fillId="22" borderId="197" applyNumberFormat="0" applyAlignment="0" applyProtection="0"/>
    <xf numFmtId="0" fontId="18" fillId="9" borderId="197" applyNumberFormat="0" applyAlignment="0" applyProtection="0"/>
    <xf numFmtId="0" fontId="11" fillId="22" borderId="197" applyNumberFormat="0" applyAlignment="0" applyProtection="0"/>
    <xf numFmtId="0" fontId="18" fillId="9" borderId="197" applyNumberFormat="0" applyAlignment="0" applyProtection="0"/>
    <xf numFmtId="0" fontId="11" fillId="22"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0" fontId="23" fillId="0" borderId="200" applyNumberFormat="0" applyFill="0" applyAlignment="0" applyProtection="0"/>
    <xf numFmtId="0" fontId="21" fillId="22" borderId="199" applyNumberFormat="0" applyAlignment="0" applyProtection="0"/>
    <xf numFmtId="0" fontId="18" fillId="9" borderId="197" applyNumberFormat="0" applyAlignment="0" applyProtection="0"/>
    <xf numFmtId="0" fontId="8" fillId="25" borderId="198" applyNumberFormat="0" applyFont="0" applyAlignment="0" applyProtection="0"/>
    <xf numFmtId="176" fontId="62" fillId="0" borderId="202"/>
    <xf numFmtId="180" fontId="62" fillId="0" borderId="202"/>
    <xf numFmtId="172" fontId="62" fillId="0" borderId="202"/>
    <xf numFmtId="173" fontId="62" fillId="0" borderId="202"/>
    <xf numFmtId="174" fontId="62" fillId="0" borderId="202"/>
    <xf numFmtId="0" fontId="8" fillId="25" borderId="198" applyNumberFormat="0" applyFont="0" applyAlignment="0" applyProtection="0"/>
    <xf numFmtId="175" fontId="62" fillId="0" borderId="202"/>
    <xf numFmtId="176" fontId="62" fillId="0" borderId="202"/>
    <xf numFmtId="177" fontId="62" fillId="0" borderId="202"/>
    <xf numFmtId="176" fontId="62" fillId="0" borderId="202"/>
    <xf numFmtId="180" fontId="62" fillId="0" borderId="202"/>
    <xf numFmtId="181" fontId="62" fillId="0" borderId="202"/>
    <xf numFmtId="182" fontId="62" fillId="0" borderId="202"/>
    <xf numFmtId="175" fontId="62" fillId="0" borderId="202"/>
    <xf numFmtId="172" fontId="62" fillId="0" borderId="196"/>
    <xf numFmtId="172" fontId="62" fillId="0" borderId="202"/>
    <xf numFmtId="0" fontId="65" fillId="50" borderId="201">
      <protection locked="0"/>
    </xf>
    <xf numFmtId="0" fontId="11" fillId="22" borderId="197" applyNumberFormat="0" applyAlignment="0" applyProtection="0"/>
    <xf numFmtId="0" fontId="8" fillId="25" borderId="198" applyNumberFormat="0" applyFont="0" applyAlignment="0" applyProtection="0"/>
    <xf numFmtId="0" fontId="11" fillId="22" borderId="197" applyNumberFormat="0" applyAlignment="0" applyProtection="0"/>
    <xf numFmtId="182" fontId="62" fillId="0" borderId="202"/>
    <xf numFmtId="0" fontId="65" fillId="50" borderId="201">
      <protection locked="0"/>
    </xf>
    <xf numFmtId="0" fontId="21" fillId="22" borderId="199" applyNumberFormat="0" applyAlignment="0" applyProtection="0"/>
    <xf numFmtId="0" fontId="23" fillId="0" borderId="200" applyNumberFormat="0" applyFill="0" applyAlignment="0" applyProtection="0"/>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175" fontId="62" fillId="0" borderId="202"/>
    <xf numFmtId="174" fontId="62" fillId="0" borderId="202"/>
    <xf numFmtId="0" fontId="18" fillId="9" borderId="197" applyNumberFormat="0" applyAlignment="0" applyProtection="0"/>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3" fontId="62" fillId="0" borderId="202"/>
    <xf numFmtId="174" fontId="62" fillId="0" borderId="202"/>
    <xf numFmtId="0" fontId="18" fillId="9" borderId="197" applyNumberFormat="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7" fontId="62" fillId="0" borderId="202"/>
    <xf numFmtId="172" fontId="62" fillId="0" borderId="202"/>
    <xf numFmtId="173" fontId="62" fillId="0" borderId="202"/>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172" fontId="62" fillId="0" borderId="202"/>
    <xf numFmtId="175" fontId="62" fillId="0" borderId="202"/>
    <xf numFmtId="180"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172" fontId="62" fillId="0" borderId="202"/>
    <xf numFmtId="180" fontId="62" fillId="0" borderId="202"/>
    <xf numFmtId="175" fontId="62" fillId="0" borderId="202"/>
    <xf numFmtId="175" fontId="62" fillId="0" borderId="202"/>
    <xf numFmtId="180" fontId="62" fillId="0" borderId="202"/>
    <xf numFmtId="172" fontId="62" fillId="0" borderId="202"/>
    <xf numFmtId="176" fontId="62" fillId="0" borderId="202"/>
    <xf numFmtId="175" fontId="62" fillId="0" borderId="202"/>
    <xf numFmtId="174" fontId="62" fillId="0" borderId="202"/>
    <xf numFmtId="173" fontId="62" fillId="0" borderId="202"/>
    <xf numFmtId="172" fontId="62" fillId="0" borderId="202"/>
    <xf numFmtId="0" fontId="23" fillId="0" borderId="200" applyNumberFormat="0" applyFill="0" applyAlignment="0" applyProtection="0"/>
    <xf numFmtId="0" fontId="21" fillId="22" borderId="199" applyNumberFormat="0" applyAlignment="0" applyProtection="0"/>
    <xf numFmtId="0" fontId="8" fillId="25" borderId="198" applyNumberFormat="0" applyFont="0" applyAlignment="0" applyProtection="0"/>
    <xf numFmtId="0" fontId="18" fillId="9" borderId="197" applyNumberFormat="0" applyAlignment="0" applyProtection="0"/>
    <xf numFmtId="0" fontId="11" fillId="22" borderId="197" applyNumberFormat="0" applyAlignment="0" applyProtection="0"/>
    <xf numFmtId="0" fontId="65" fillId="50" borderId="201">
      <protection locked="0"/>
    </xf>
    <xf numFmtId="172" fontId="62" fillId="0" borderId="202"/>
    <xf numFmtId="182" fontId="62" fillId="0" borderId="202"/>
    <xf numFmtId="175" fontId="62" fillId="0" borderId="202"/>
    <xf numFmtId="177" fontId="62" fillId="0" borderId="202"/>
    <xf numFmtId="174" fontId="62" fillId="0" borderId="202"/>
    <xf numFmtId="173" fontId="62" fillId="0" borderId="202"/>
    <xf numFmtId="180" fontId="62" fillId="0" borderId="202"/>
    <xf numFmtId="172" fontId="62" fillId="0" borderId="202"/>
    <xf numFmtId="0" fontId="23" fillId="0" borderId="200" applyNumberFormat="0" applyFill="0" applyAlignment="0" applyProtection="0"/>
    <xf numFmtId="0" fontId="21" fillId="22" borderId="199" applyNumberFormat="0" applyAlignment="0" applyProtection="0"/>
    <xf numFmtId="0" fontId="8" fillId="25" borderId="198" applyNumberFormat="0" applyFont="0" applyAlignment="0" applyProtection="0"/>
    <xf numFmtId="0" fontId="18" fillId="9" borderId="197" applyNumberFormat="0" applyAlignment="0" applyProtection="0"/>
    <xf numFmtId="0" fontId="11" fillId="22" borderId="197" applyNumberFormat="0" applyAlignment="0" applyProtection="0"/>
    <xf numFmtId="0" fontId="11" fillId="22" borderId="197" applyNumberFormat="0" applyAlignment="0" applyProtection="0"/>
    <xf numFmtId="0" fontId="18" fillId="9" borderId="197" applyNumberFormat="0" applyAlignment="0" applyProtection="0"/>
    <xf numFmtId="180" fontId="62" fillId="0" borderId="202"/>
    <xf numFmtId="181"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172" fontId="62" fillId="0" borderId="202"/>
    <xf numFmtId="175" fontId="62" fillId="0" borderId="202"/>
    <xf numFmtId="180" fontId="62" fillId="0" borderId="202"/>
    <xf numFmtId="0" fontId="65" fillId="50" borderId="201">
      <protection locked="0"/>
    </xf>
    <xf numFmtId="0" fontId="65" fillId="50" borderId="201">
      <protection locked="0"/>
    </xf>
    <xf numFmtId="0" fontId="11" fillId="22" borderId="197" applyNumberFormat="0" applyAlignment="0" applyProtection="0"/>
    <xf numFmtId="175" fontId="62" fillId="0" borderId="202"/>
    <xf numFmtId="172" fontId="62" fillId="0" borderId="202"/>
    <xf numFmtId="175" fontId="62" fillId="0" borderId="202"/>
    <xf numFmtId="175" fontId="62" fillId="0" borderId="202"/>
    <xf numFmtId="0" fontId="21" fillId="22" borderId="199" applyNumberFormat="0" applyAlignment="0" applyProtection="0"/>
    <xf numFmtId="180" fontId="62" fillId="0" borderId="202"/>
    <xf numFmtId="175" fontId="62" fillId="0" borderId="202"/>
    <xf numFmtId="0" fontId="65" fillId="50" borderId="201">
      <protection locked="0"/>
    </xf>
    <xf numFmtId="0" fontId="21" fillId="22" borderId="199" applyNumberFormat="0" applyAlignment="0" applyProtection="0"/>
    <xf numFmtId="0" fontId="8" fillId="25" borderId="198" applyNumberFormat="0" applyFont="0" applyAlignment="0" applyProtection="0"/>
    <xf numFmtId="172" fontId="62" fillId="0" borderId="202"/>
    <xf numFmtId="0" fontId="8" fillId="25" borderId="198" applyNumberFormat="0" applyFont="0" applyAlignment="0" applyProtection="0"/>
    <xf numFmtId="174" fontId="62" fillId="0" borderId="202"/>
    <xf numFmtId="0" fontId="23" fillId="0" borderId="200" applyNumberFormat="0" applyFill="0" applyAlignment="0" applyProtection="0"/>
    <xf numFmtId="176" fontId="62" fillId="0" borderId="202"/>
    <xf numFmtId="175" fontId="62" fillId="0" borderId="202"/>
    <xf numFmtId="0" fontId="23" fillId="0" borderId="200" applyNumberFormat="0" applyFill="0" applyAlignment="0" applyProtection="0"/>
    <xf numFmtId="182" fontId="62" fillId="0" borderId="202"/>
    <xf numFmtId="175" fontId="62" fillId="0" borderId="202"/>
    <xf numFmtId="175" fontId="62" fillId="0" borderId="202"/>
    <xf numFmtId="0" fontId="18" fillId="9" borderId="197" applyNumberFormat="0" applyAlignment="0" applyProtection="0"/>
    <xf numFmtId="0" fontId="21" fillId="22" borderId="199" applyNumberFormat="0" applyAlignment="0" applyProtection="0"/>
    <xf numFmtId="172" fontId="62" fillId="0" borderId="202"/>
    <xf numFmtId="0" fontId="8" fillId="25" borderId="198" applyNumberFormat="0" applyFont="0" applyAlignment="0" applyProtection="0"/>
    <xf numFmtId="173" fontId="62" fillId="0" borderId="202"/>
    <xf numFmtId="177" fontId="62" fillId="0" borderId="202"/>
    <xf numFmtId="0" fontId="23" fillId="0" borderId="200" applyNumberFormat="0" applyFill="0" applyAlignment="0" applyProtection="0"/>
    <xf numFmtId="0" fontId="8" fillId="25" borderId="198" applyNumberFormat="0" applyFont="0" applyAlignment="0" applyProtection="0"/>
    <xf numFmtId="176" fontId="62" fillId="0" borderId="202"/>
    <xf numFmtId="172" fontId="62" fillId="0" borderId="202"/>
    <xf numFmtId="180" fontId="62" fillId="0" borderId="202"/>
    <xf numFmtId="0" fontId="18" fillId="9" borderId="197" applyNumberFormat="0" applyAlignment="0" applyProtection="0"/>
    <xf numFmtId="172" fontId="62" fillId="0" borderId="202"/>
    <xf numFmtId="0" fontId="21" fillId="22" borderId="199" applyNumberFormat="0" applyAlignment="0" applyProtection="0"/>
    <xf numFmtId="180" fontId="62" fillId="0" borderId="202"/>
    <xf numFmtId="172" fontId="62" fillId="0" borderId="202"/>
    <xf numFmtId="180" fontId="62" fillId="0" borderId="202"/>
    <xf numFmtId="175" fontId="62" fillId="0" borderId="202"/>
    <xf numFmtId="173" fontId="62" fillId="0" borderId="202"/>
    <xf numFmtId="172" fontId="62" fillId="0" borderId="202"/>
    <xf numFmtId="175" fontId="62" fillId="0" borderId="202"/>
    <xf numFmtId="174" fontId="62" fillId="0" borderId="202"/>
    <xf numFmtId="181" fontId="62" fillId="0" borderId="202"/>
    <xf numFmtId="180" fontId="62" fillId="0" borderId="202"/>
    <xf numFmtId="175" fontId="62" fillId="0" borderId="202"/>
    <xf numFmtId="172" fontId="62" fillId="0" borderId="202"/>
    <xf numFmtId="180" fontId="62" fillId="0" borderId="202"/>
    <xf numFmtId="175" fontId="62" fillId="0" borderId="202"/>
    <xf numFmtId="172" fontId="62" fillId="0" borderId="202"/>
    <xf numFmtId="180" fontId="62" fillId="0" borderId="202"/>
    <xf numFmtId="180" fontId="62" fillId="0" borderId="202"/>
    <xf numFmtId="181" fontId="62" fillId="0" borderId="202"/>
    <xf numFmtId="177" fontId="62" fillId="0" borderId="202"/>
    <xf numFmtId="172" fontId="62" fillId="0" borderId="202"/>
    <xf numFmtId="0" fontId="23" fillId="0" borderId="200" applyNumberFormat="0" applyFill="0" applyAlignment="0" applyProtection="0"/>
    <xf numFmtId="0" fontId="11" fillId="22" borderId="197" applyNumberFormat="0" applyAlignment="0" applyProtection="0"/>
    <xf numFmtId="172" fontId="62" fillId="0" borderId="202"/>
    <xf numFmtId="174" fontId="62" fillId="0" borderId="202"/>
    <xf numFmtId="172" fontId="62" fillId="0" borderId="202"/>
    <xf numFmtId="175" fontId="62" fillId="0" borderId="202"/>
    <xf numFmtId="180" fontId="62" fillId="0" borderId="202"/>
    <xf numFmtId="172" fontId="62" fillId="0" borderId="202"/>
    <xf numFmtId="0" fontId="18" fillId="9" borderId="197" applyNumberFormat="0" applyAlignment="0" applyProtection="0"/>
    <xf numFmtId="174" fontId="62" fillId="0" borderId="202"/>
    <xf numFmtId="0" fontId="11" fillId="22" borderId="197" applyNumberFormat="0" applyAlignment="0" applyProtection="0"/>
    <xf numFmtId="182" fontId="62" fillId="0" borderId="202"/>
    <xf numFmtId="172" fontId="62" fillId="0" borderId="202"/>
    <xf numFmtId="173" fontId="62" fillId="0" borderId="202"/>
    <xf numFmtId="175" fontId="62" fillId="0" borderId="202"/>
    <xf numFmtId="176" fontId="62" fillId="0" borderId="202"/>
    <xf numFmtId="175" fontId="62" fillId="0" borderId="202"/>
    <xf numFmtId="175" fontId="62" fillId="0" borderId="202"/>
    <xf numFmtId="0" fontId="11" fillId="22" borderId="197" applyNumberFormat="0" applyAlignment="0" applyProtection="0"/>
    <xf numFmtId="172" fontId="62" fillId="0" borderId="202"/>
    <xf numFmtId="175" fontId="62" fillId="0" borderId="202"/>
    <xf numFmtId="182" fontId="62" fillId="0" borderId="202"/>
    <xf numFmtId="172" fontId="62" fillId="0" borderId="202"/>
    <xf numFmtId="175" fontId="62" fillId="0" borderId="202"/>
    <xf numFmtId="177" fontId="62" fillId="0" borderId="202"/>
    <xf numFmtId="173" fontId="62" fillId="0" borderId="202"/>
    <xf numFmtId="181" fontId="62" fillId="0" borderId="202"/>
    <xf numFmtId="182" fontId="62" fillId="0" borderId="202"/>
    <xf numFmtId="0" fontId="65" fillId="50" borderId="201">
      <protection locked="0"/>
    </xf>
    <xf numFmtId="180" fontId="62" fillId="0" borderId="202"/>
    <xf numFmtId="0" fontId="8" fillId="25" borderId="198" applyNumberFormat="0" applyFont="0" applyAlignment="0" applyProtection="0"/>
    <xf numFmtId="172" fontId="62" fillId="0" borderId="202"/>
    <xf numFmtId="180" fontId="62" fillId="0" borderId="202"/>
    <xf numFmtId="180" fontId="62" fillId="0" borderId="202"/>
    <xf numFmtId="0" fontId="65" fillId="50" borderId="201">
      <protection locked="0"/>
    </xf>
    <xf numFmtId="0" fontId="8" fillId="25" borderId="198" applyNumberFormat="0" applyFont="0" applyAlignment="0" applyProtection="0"/>
    <xf numFmtId="180" fontId="62" fillId="0" borderId="202"/>
    <xf numFmtId="177" fontId="62" fillId="0" borderId="202"/>
    <xf numFmtId="172"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80" fontId="62" fillId="0" borderId="202"/>
    <xf numFmtId="0" fontId="21" fillId="22" borderId="199" applyNumberFormat="0" applyAlignment="0" applyProtection="0"/>
    <xf numFmtId="175" fontId="62" fillId="0" borderId="202"/>
    <xf numFmtId="175" fontId="62" fillId="0" borderId="202"/>
    <xf numFmtId="173" fontId="62" fillId="0" borderId="202"/>
    <xf numFmtId="175" fontId="62" fillId="0" borderId="202"/>
    <xf numFmtId="180" fontId="62" fillId="0" borderId="202"/>
    <xf numFmtId="180" fontId="62" fillId="0" borderId="202"/>
    <xf numFmtId="172" fontId="62" fillId="0" borderId="202"/>
    <xf numFmtId="175" fontId="62" fillId="0" borderId="202"/>
    <xf numFmtId="180" fontId="62" fillId="0" borderId="202"/>
    <xf numFmtId="172" fontId="62" fillId="0" borderId="202"/>
    <xf numFmtId="174" fontId="62" fillId="0" borderId="202"/>
    <xf numFmtId="180" fontId="62" fillId="0" borderId="202"/>
    <xf numFmtId="0" fontId="23" fillId="0" borderId="200" applyNumberFormat="0" applyFill="0" applyAlignment="0" applyProtection="0"/>
    <xf numFmtId="175" fontId="62" fillId="0" borderId="202"/>
    <xf numFmtId="175" fontId="62" fillId="0" borderId="202"/>
    <xf numFmtId="180" fontId="62" fillId="0" borderId="202"/>
    <xf numFmtId="172" fontId="62" fillId="0" borderId="202"/>
    <xf numFmtId="0" fontId="18" fillId="9" borderId="197" applyNumberFormat="0" applyAlignment="0" applyProtection="0"/>
    <xf numFmtId="177" fontId="62" fillId="0" borderId="202"/>
    <xf numFmtId="176" fontId="62" fillId="0" borderId="202"/>
    <xf numFmtId="181" fontId="62" fillId="0" borderId="202"/>
    <xf numFmtId="176" fontId="62" fillId="0" borderId="202"/>
    <xf numFmtId="181" fontId="62" fillId="0" borderId="202"/>
    <xf numFmtId="173" fontId="62" fillId="0" borderId="202"/>
    <xf numFmtId="0" fontId="65" fillId="50" borderId="201">
      <protection locked="0"/>
    </xf>
    <xf numFmtId="181" fontId="62" fillId="0" borderId="202"/>
    <xf numFmtId="182" fontId="62" fillId="0" borderId="202"/>
    <xf numFmtId="0" fontId="65" fillId="50" borderId="201">
      <protection locked="0"/>
    </xf>
    <xf numFmtId="175" fontId="62" fillId="0" borderId="202"/>
    <xf numFmtId="182" fontId="62" fillId="0" borderId="202"/>
    <xf numFmtId="177" fontId="62" fillId="0" borderId="202"/>
    <xf numFmtId="0" fontId="11" fillId="22" borderId="197" applyNumberFormat="0" applyAlignment="0" applyProtection="0"/>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80" fontId="62" fillId="0" borderId="202"/>
    <xf numFmtId="180" fontId="62" fillId="0" borderId="202"/>
    <xf numFmtId="172" fontId="62" fillId="0" borderId="202"/>
    <xf numFmtId="175" fontId="62" fillId="0" borderId="202"/>
    <xf numFmtId="180" fontId="62" fillId="0" borderId="202"/>
    <xf numFmtId="180" fontId="62" fillId="0" borderId="202"/>
    <xf numFmtId="180" fontId="62" fillId="0" borderId="202"/>
    <xf numFmtId="175" fontId="62" fillId="0" borderId="202"/>
    <xf numFmtId="180" fontId="62" fillId="0" borderId="202"/>
    <xf numFmtId="180" fontId="62" fillId="0" borderId="202"/>
    <xf numFmtId="175" fontId="62" fillId="0" borderId="202"/>
    <xf numFmtId="175" fontId="62" fillId="0" borderId="202"/>
    <xf numFmtId="0" fontId="21" fillId="22" borderId="199" applyNumberFormat="0" applyAlignment="0" applyProtection="0"/>
    <xf numFmtId="175" fontId="62" fillId="0" borderId="202"/>
    <xf numFmtId="0" fontId="23" fillId="0" borderId="200" applyNumberFormat="0" applyFill="0" applyAlignment="0" applyProtection="0"/>
    <xf numFmtId="172" fontId="62" fillId="0" borderId="202"/>
    <xf numFmtId="172" fontId="62" fillId="0" borderId="202"/>
    <xf numFmtId="175" fontId="62" fillId="0" borderId="202"/>
    <xf numFmtId="176" fontId="62" fillId="0" borderId="202"/>
    <xf numFmtId="0" fontId="18" fillId="9" borderId="197" applyNumberFormat="0" applyAlignment="0" applyProtection="0"/>
    <xf numFmtId="172" fontId="62" fillId="0" borderId="202"/>
    <xf numFmtId="0" fontId="21" fillId="22" borderId="199" applyNumberFormat="0" applyAlignment="0" applyProtection="0"/>
    <xf numFmtId="174" fontId="62" fillId="0" borderId="202"/>
    <xf numFmtId="172" fontId="62" fillId="0" borderId="202"/>
    <xf numFmtId="0" fontId="18" fillId="9" borderId="197" applyNumberFormat="0" applyAlignment="0" applyProtection="0"/>
    <xf numFmtId="177" fontId="62" fillId="0" borderId="202"/>
    <xf numFmtId="0" fontId="11" fillId="22" borderId="197" applyNumberFormat="0" applyAlignment="0" applyProtection="0"/>
    <xf numFmtId="172" fontId="62" fillId="0" borderId="202"/>
    <xf numFmtId="172" fontId="62" fillId="0" borderId="202"/>
    <xf numFmtId="180" fontId="62" fillId="0" borderId="202"/>
    <xf numFmtId="0" fontId="65" fillId="50" borderId="201">
      <protection locked="0"/>
    </xf>
    <xf numFmtId="175"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0" fontId="65" fillId="50" borderId="201">
      <protection locked="0"/>
    </xf>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0" fontId="11" fillId="22" borderId="197" applyNumberFormat="0" applyAlignment="0" applyProtection="0"/>
    <xf numFmtId="176" fontId="62" fillId="0" borderId="202"/>
    <xf numFmtId="180" fontId="62" fillId="0" borderId="202"/>
    <xf numFmtId="172" fontId="62" fillId="0" borderId="202"/>
    <xf numFmtId="172" fontId="62" fillId="0" borderId="202"/>
    <xf numFmtId="0" fontId="23" fillId="0" borderId="200" applyNumberFormat="0" applyFill="0" applyAlignment="0" applyProtection="0"/>
    <xf numFmtId="180" fontId="62" fillId="0" borderId="202"/>
    <xf numFmtId="172" fontId="62" fillId="0" borderId="202"/>
    <xf numFmtId="172" fontId="62" fillId="0" borderId="202"/>
    <xf numFmtId="180" fontId="62" fillId="0" borderId="202"/>
    <xf numFmtId="175" fontId="62" fillId="0" borderId="202"/>
    <xf numFmtId="175" fontId="62" fillId="0" borderId="202"/>
    <xf numFmtId="180" fontId="62" fillId="0" borderId="202"/>
    <xf numFmtId="180" fontId="62" fillId="0" borderId="202"/>
    <xf numFmtId="180" fontId="62" fillId="0" borderId="202"/>
    <xf numFmtId="172" fontId="62" fillId="0" borderId="202"/>
    <xf numFmtId="174" fontId="62" fillId="0" borderId="202"/>
    <xf numFmtId="172" fontId="62" fillId="0" borderId="202"/>
    <xf numFmtId="180" fontId="62" fillId="0" borderId="202"/>
    <xf numFmtId="0" fontId="18" fillId="9" borderId="197" applyNumberFormat="0" applyAlignment="0" applyProtection="0"/>
    <xf numFmtId="180" fontId="62" fillId="0" borderId="202"/>
    <xf numFmtId="180" fontId="62" fillId="0" borderId="202"/>
    <xf numFmtId="0" fontId="23" fillId="0" borderId="200" applyNumberFormat="0" applyFill="0" applyAlignment="0" applyProtection="0"/>
    <xf numFmtId="172" fontId="62" fillId="0" borderId="202"/>
    <xf numFmtId="0" fontId="8" fillId="25" borderId="198" applyNumberFormat="0" applyFont="0" applyAlignment="0" applyProtection="0"/>
    <xf numFmtId="0" fontId="18" fillId="9" borderId="197" applyNumberFormat="0" applyAlignment="0" applyProtection="0"/>
    <xf numFmtId="172" fontId="62" fillId="0" borderId="202"/>
    <xf numFmtId="180" fontId="62" fillId="0" borderId="202"/>
    <xf numFmtId="0" fontId="8" fillId="25" borderId="198" applyNumberFormat="0" applyFont="0" applyAlignment="0" applyProtection="0"/>
    <xf numFmtId="0" fontId="11" fillId="22" borderId="197" applyNumberFormat="0" applyAlignment="0" applyProtection="0"/>
    <xf numFmtId="172" fontId="62" fillId="0" borderId="202"/>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80" fontId="62" fillId="0" borderId="202"/>
    <xf numFmtId="172" fontId="62" fillId="0" borderId="202"/>
    <xf numFmtId="181" fontId="62" fillId="0" borderId="202"/>
    <xf numFmtId="175" fontId="62" fillId="0" borderId="202"/>
    <xf numFmtId="175" fontId="62" fillId="0" borderId="202"/>
    <xf numFmtId="174" fontId="62" fillId="0" borderId="202"/>
    <xf numFmtId="180" fontId="62" fillId="0" borderId="202"/>
    <xf numFmtId="173" fontId="62" fillId="0" borderId="202"/>
    <xf numFmtId="0" fontId="21" fillId="22" borderId="199" applyNumberFormat="0" applyAlignment="0" applyProtection="0"/>
    <xf numFmtId="172" fontId="62" fillId="0" borderId="202"/>
    <xf numFmtId="175" fontId="62" fillId="0" borderId="202"/>
    <xf numFmtId="180" fontId="62" fillId="0" borderId="202"/>
    <xf numFmtId="0" fontId="11" fillId="22" borderId="197" applyNumberFormat="0" applyAlignment="0" applyProtection="0"/>
    <xf numFmtId="175" fontId="62" fillId="0" borderId="202"/>
    <xf numFmtId="176" fontId="62" fillId="0" borderId="202"/>
    <xf numFmtId="175" fontId="62" fillId="0" borderId="202"/>
    <xf numFmtId="182" fontId="62" fillId="0" borderId="202"/>
    <xf numFmtId="177" fontId="62" fillId="0" borderId="202"/>
    <xf numFmtId="173" fontId="62" fillId="0" borderId="202"/>
    <xf numFmtId="180" fontId="62" fillId="0" borderId="202"/>
    <xf numFmtId="181" fontId="62" fillId="0" borderId="202"/>
    <xf numFmtId="182" fontId="62" fillId="0" borderId="202"/>
    <xf numFmtId="0" fontId="65" fillId="50" borderId="201">
      <protection locked="0"/>
    </xf>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5" fontId="62" fillId="0" borderId="202"/>
    <xf numFmtId="175" fontId="62" fillId="0" borderId="202"/>
    <xf numFmtId="175" fontId="62" fillId="0" borderId="202"/>
    <xf numFmtId="172" fontId="62" fillId="0" borderId="202"/>
    <xf numFmtId="0" fontId="18" fillId="9" borderId="197" applyNumberFormat="0" applyAlignment="0" applyProtection="0"/>
    <xf numFmtId="175" fontId="62" fillId="0" borderId="202"/>
    <xf numFmtId="172" fontId="62" fillId="0" borderId="202"/>
    <xf numFmtId="180" fontId="62" fillId="0" borderId="202"/>
    <xf numFmtId="174" fontId="62" fillId="0" borderId="202"/>
    <xf numFmtId="174" fontId="62" fillId="0" borderId="202"/>
    <xf numFmtId="172" fontId="62" fillId="0" borderId="202"/>
    <xf numFmtId="174" fontId="62" fillId="0" borderId="202"/>
    <xf numFmtId="175" fontId="62" fillId="0" borderId="202"/>
    <xf numFmtId="177" fontId="62" fillId="0" borderId="202"/>
    <xf numFmtId="172" fontId="62" fillId="0" borderId="202"/>
    <xf numFmtId="0" fontId="11" fillId="22" borderId="197" applyNumberFormat="0" applyAlignment="0" applyProtection="0"/>
    <xf numFmtId="180" fontId="62" fillId="0" borderId="202"/>
    <xf numFmtId="180" fontId="62" fillId="0" borderId="202"/>
    <xf numFmtId="180" fontId="62" fillId="0" borderId="202"/>
    <xf numFmtId="172" fontId="62" fillId="0" borderId="202"/>
    <xf numFmtId="0" fontId="8" fillId="25" borderId="198" applyNumberFormat="0" applyFont="0" applyAlignment="0" applyProtection="0"/>
    <xf numFmtId="172" fontId="62" fillId="0" borderId="202"/>
    <xf numFmtId="181" fontId="62" fillId="0" borderId="202"/>
    <xf numFmtId="175" fontId="62" fillId="0" borderId="202"/>
    <xf numFmtId="176" fontId="62" fillId="0" borderId="202"/>
    <xf numFmtId="0" fontId="18" fillId="9" borderId="197" applyNumberFormat="0" applyAlignment="0" applyProtection="0"/>
    <xf numFmtId="172" fontId="62" fillId="0" borderId="202"/>
    <xf numFmtId="180" fontId="62" fillId="0" borderId="202"/>
    <xf numFmtId="175" fontId="62" fillId="0" borderId="202"/>
    <xf numFmtId="180" fontId="62" fillId="0" borderId="202"/>
    <xf numFmtId="172" fontId="62" fillId="0" borderId="202"/>
    <xf numFmtId="180" fontId="62" fillId="0" borderId="202"/>
    <xf numFmtId="175" fontId="62" fillId="0" borderId="202"/>
    <xf numFmtId="175" fontId="62" fillId="0" borderId="202"/>
    <xf numFmtId="172" fontId="62" fillId="0" borderId="202"/>
    <xf numFmtId="175" fontId="62" fillId="0" borderId="202"/>
    <xf numFmtId="176" fontId="62" fillId="0" borderId="202"/>
    <xf numFmtId="175" fontId="62" fillId="0" borderId="202"/>
    <xf numFmtId="180" fontId="62" fillId="0" borderId="202"/>
    <xf numFmtId="180" fontId="62" fillId="0" borderId="202"/>
    <xf numFmtId="172" fontId="62" fillId="0" borderId="202"/>
    <xf numFmtId="0" fontId="21" fillId="22" borderId="199" applyNumberFormat="0" applyAlignment="0" applyProtection="0"/>
    <xf numFmtId="173" fontId="62" fillId="0" borderId="202"/>
    <xf numFmtId="0" fontId="23" fillId="0" borderId="200" applyNumberFormat="0" applyFill="0" applyAlignment="0" applyProtection="0"/>
    <xf numFmtId="0" fontId="8" fillId="25" borderId="198" applyNumberFormat="0" applyFont="0" applyAlignment="0" applyProtection="0"/>
    <xf numFmtId="0" fontId="65" fillId="50" borderId="201">
      <protection locked="0"/>
    </xf>
    <xf numFmtId="176" fontId="62" fillId="0" borderId="202"/>
    <xf numFmtId="0" fontId="23" fillId="0" borderId="200" applyNumberFormat="0" applyFill="0" applyAlignment="0" applyProtection="0"/>
    <xf numFmtId="175" fontId="62" fillId="0" borderId="202"/>
    <xf numFmtId="0" fontId="21" fillId="22" borderId="199" applyNumberFormat="0" applyAlignment="0" applyProtection="0"/>
    <xf numFmtId="172" fontId="62" fillId="0" borderId="202"/>
    <xf numFmtId="182" fontId="62" fillId="0" borderId="202"/>
    <xf numFmtId="172" fontId="62" fillId="0" borderId="202"/>
    <xf numFmtId="180" fontId="62" fillId="0" borderId="202"/>
    <xf numFmtId="0" fontId="11" fillId="22" borderId="197" applyNumberFormat="0" applyAlignment="0" applyProtection="0"/>
    <xf numFmtId="175" fontId="62" fillId="0" borderId="202"/>
    <xf numFmtId="181" fontId="62" fillId="0" borderId="202"/>
    <xf numFmtId="175" fontId="62" fillId="0" borderId="202"/>
    <xf numFmtId="172" fontId="62" fillId="0" borderId="202"/>
    <xf numFmtId="175" fontId="62" fillId="0" borderId="202"/>
    <xf numFmtId="173" fontId="62" fillId="0" borderId="202"/>
    <xf numFmtId="180" fontId="62" fillId="0" borderId="202"/>
    <xf numFmtId="177" fontId="62" fillId="0" borderId="202"/>
    <xf numFmtId="175" fontId="62" fillId="0" borderId="202"/>
    <xf numFmtId="173" fontId="62" fillId="0" borderId="202"/>
    <xf numFmtId="172" fontId="62" fillId="0" borderId="202"/>
    <xf numFmtId="181" fontId="62" fillId="0" borderId="202"/>
    <xf numFmtId="182" fontId="62" fillId="0" borderId="202"/>
    <xf numFmtId="0" fontId="65" fillId="50" borderId="201">
      <protection locked="0"/>
    </xf>
    <xf numFmtId="180" fontId="62" fillId="0" borderId="202"/>
    <xf numFmtId="180" fontId="62" fillId="0" borderId="202"/>
    <xf numFmtId="180" fontId="62" fillId="0" borderId="202"/>
    <xf numFmtId="172" fontId="62" fillId="0" borderId="202"/>
    <xf numFmtId="180" fontId="62" fillId="0" borderId="202"/>
    <xf numFmtId="0" fontId="21" fillId="22" borderId="199" applyNumberFormat="0" applyAlignment="0" applyProtection="0"/>
    <xf numFmtId="0" fontId="23" fillId="0" borderId="200" applyNumberFormat="0" applyFill="0" applyAlignment="0" applyProtection="0"/>
    <xf numFmtId="0" fontId="8" fillId="25" borderId="198" applyNumberFormat="0" applyFont="0" applyAlignment="0" applyProtection="0"/>
    <xf numFmtId="182" fontId="62" fillId="0" borderId="202"/>
    <xf numFmtId="172" fontId="62" fillId="0" borderId="202"/>
    <xf numFmtId="175" fontId="62" fillId="0" borderId="202"/>
    <xf numFmtId="180" fontId="62" fillId="0" borderId="202"/>
    <xf numFmtId="172" fontId="62" fillId="0" borderId="202"/>
    <xf numFmtId="0" fontId="8" fillId="25" borderId="198" applyNumberFormat="0" applyFont="0" applyAlignment="0" applyProtection="0"/>
    <xf numFmtId="175" fontId="62" fillId="0" borderId="202"/>
    <xf numFmtId="177" fontId="62" fillId="0" borderId="202"/>
    <xf numFmtId="180" fontId="62" fillId="0" borderId="202"/>
    <xf numFmtId="172" fontId="62" fillId="0" borderId="202"/>
    <xf numFmtId="175" fontId="62" fillId="0" borderId="202"/>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175" fontId="62" fillId="0" borderId="202"/>
    <xf numFmtId="180" fontId="62" fillId="0" borderId="202"/>
    <xf numFmtId="172" fontId="62" fillId="0" borderId="202"/>
    <xf numFmtId="180" fontId="62" fillId="0" borderId="202"/>
    <xf numFmtId="180" fontId="62" fillId="0" borderId="202"/>
    <xf numFmtId="175" fontId="62" fillId="0" borderId="202"/>
    <xf numFmtId="175" fontId="62" fillId="0" borderId="202"/>
    <xf numFmtId="172" fontId="62" fillId="0" borderId="202"/>
    <xf numFmtId="172" fontId="62" fillId="0" borderId="202"/>
    <xf numFmtId="172"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80" fontId="62" fillId="0" borderId="202"/>
    <xf numFmtId="175" fontId="62" fillId="0" borderId="202"/>
    <xf numFmtId="175" fontId="62" fillId="0" borderId="202"/>
    <xf numFmtId="182" fontId="62" fillId="0" borderId="202"/>
    <xf numFmtId="172" fontId="62" fillId="0" borderId="202"/>
    <xf numFmtId="0" fontId="11" fillId="22" borderId="197" applyNumberFormat="0" applyAlignment="0" applyProtection="0"/>
    <xf numFmtId="0" fontId="18" fillId="9" borderId="197" applyNumberFormat="0" applyAlignment="0" applyProtection="0"/>
    <xf numFmtId="182" fontId="62" fillId="0" borderId="202"/>
    <xf numFmtId="181" fontId="62" fillId="0" borderId="202"/>
    <xf numFmtId="180" fontId="62" fillId="0" borderId="202"/>
    <xf numFmtId="172" fontId="62" fillId="0" borderId="202"/>
    <xf numFmtId="176" fontId="62" fillId="0" borderId="202"/>
    <xf numFmtId="177" fontId="62" fillId="0" borderId="202"/>
    <xf numFmtId="176" fontId="62" fillId="0" borderId="202"/>
    <xf numFmtId="175" fontId="62" fillId="0" borderId="202"/>
    <xf numFmtId="177" fontId="62" fillId="0" borderId="202"/>
    <xf numFmtId="181" fontId="62" fillId="0" borderId="202"/>
    <xf numFmtId="174" fontId="62" fillId="0" borderId="202"/>
    <xf numFmtId="0" fontId="11" fillId="22" borderId="197" applyNumberFormat="0" applyAlignment="0" applyProtection="0"/>
    <xf numFmtId="173" fontId="62" fillId="0" borderId="202"/>
    <xf numFmtId="180" fontId="62" fillId="0" borderId="202"/>
    <xf numFmtId="177" fontId="62" fillId="0" borderId="202"/>
    <xf numFmtId="175" fontId="62" fillId="0" borderId="202"/>
    <xf numFmtId="172" fontId="62" fillId="0" borderId="202"/>
    <xf numFmtId="0" fontId="21" fillId="22" borderId="199" applyNumberFormat="0" applyAlignment="0" applyProtection="0"/>
    <xf numFmtId="0" fontId="23" fillId="0" borderId="200" applyNumberFormat="0" applyFill="0" applyAlignment="0" applyProtection="0"/>
    <xf numFmtId="181" fontId="62" fillId="0" borderId="202"/>
    <xf numFmtId="176" fontId="62" fillId="0" borderId="202"/>
    <xf numFmtId="174" fontId="62" fillId="0" borderId="202"/>
    <xf numFmtId="173" fontId="62" fillId="0" borderId="202"/>
    <xf numFmtId="172" fontId="62" fillId="0" borderId="202"/>
    <xf numFmtId="182" fontId="62" fillId="0" borderId="202"/>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23" fillId="0" borderId="200" applyNumberFormat="0" applyFill="0" applyAlignment="0" applyProtection="0"/>
    <xf numFmtId="0" fontId="21" fillId="22" borderId="199" applyNumberFormat="0" applyAlignment="0" applyProtection="0"/>
    <xf numFmtId="0" fontId="8" fillId="25" borderId="198" applyNumberFormat="0" applyFont="0" applyAlignment="0" applyProtection="0"/>
    <xf numFmtId="0" fontId="18" fillId="9" borderId="197" applyNumberFormat="0" applyAlignment="0" applyProtection="0"/>
    <xf numFmtId="0" fontId="8" fillId="25" borderId="198" applyNumberFormat="0" applyFont="0" applyAlignment="0" applyProtection="0"/>
    <xf numFmtId="0" fontId="11" fillId="22" borderId="197" applyNumberFormat="0" applyAlignment="0" applyProtection="0"/>
    <xf numFmtId="0" fontId="65" fillId="50" borderId="201">
      <protection locked="0"/>
    </xf>
    <xf numFmtId="0" fontId="11" fillId="22" borderId="197" applyNumberFormat="0" applyAlignment="0" applyProtection="0"/>
    <xf numFmtId="0" fontId="21" fillId="22" borderId="199" applyNumberFormat="0" applyAlignment="0" applyProtection="0"/>
    <xf numFmtId="0" fontId="65" fillId="50" borderId="201">
      <protection locked="0"/>
    </xf>
    <xf numFmtId="174" fontId="62" fillId="0" borderId="202"/>
    <xf numFmtId="173"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0" fontId="23" fillId="0" borderId="200" applyNumberFormat="0" applyFill="0" applyAlignment="0" applyProtection="0"/>
    <xf numFmtId="172" fontId="62" fillId="0" borderId="202"/>
    <xf numFmtId="173" fontId="62" fillId="0" borderId="202"/>
    <xf numFmtId="0" fontId="65" fillId="50" borderId="201">
      <protection locked="0"/>
    </xf>
    <xf numFmtId="0" fontId="11" fillId="22" borderId="197" applyNumberFormat="0" applyAlignment="0" applyProtection="0"/>
    <xf numFmtId="0" fontId="18" fillId="9"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180" fontId="62" fillId="0" borderId="202"/>
    <xf numFmtId="0" fontId="8" fillId="25" borderId="198" applyNumberFormat="0" applyFont="0" applyAlignment="0" applyProtection="0"/>
    <xf numFmtId="0" fontId="23" fillId="0" borderId="200" applyNumberFormat="0" applyFill="0" applyAlignment="0" applyProtection="0"/>
    <xf numFmtId="0" fontId="21" fillId="22" borderId="199" applyNumberFormat="0" applyAlignment="0" applyProtection="0"/>
    <xf numFmtId="0" fontId="8" fillId="25" borderId="198" applyNumberFormat="0" applyFont="0" applyAlignment="0" applyProtection="0"/>
    <xf numFmtId="0" fontId="18" fillId="9" borderId="197" applyNumberFormat="0" applyAlignment="0" applyProtection="0"/>
    <xf numFmtId="175"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80" fontId="62" fillId="0" borderId="202"/>
    <xf numFmtId="175"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0" fontId="65" fillId="50" borderId="201">
      <protection locked="0"/>
    </xf>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175" fontId="62" fillId="0" borderId="202"/>
    <xf numFmtId="0" fontId="23" fillId="0" borderId="200" applyNumberFormat="0" applyFill="0" applyAlignment="0" applyProtection="0"/>
    <xf numFmtId="0" fontId="21" fillId="22" borderId="199" applyNumberFormat="0" applyAlignment="0" applyProtection="0"/>
    <xf numFmtId="0" fontId="8" fillId="25" borderId="198" applyNumberFormat="0" applyFon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80" fontId="62" fillId="0" borderId="202"/>
    <xf numFmtId="175" fontId="62" fillId="0" borderId="202"/>
    <xf numFmtId="172" fontId="62" fillId="0" borderId="202"/>
    <xf numFmtId="180" fontId="62" fillId="0" borderId="202"/>
    <xf numFmtId="0" fontId="11" fillId="22" borderId="197" applyNumberFormat="0" applyAlignment="0" applyProtection="0"/>
    <xf numFmtId="0" fontId="65" fillId="50" borderId="201">
      <protection locked="0"/>
    </xf>
    <xf numFmtId="182" fontId="62" fillId="0" borderId="202"/>
    <xf numFmtId="172" fontId="62" fillId="0" borderId="202"/>
    <xf numFmtId="0" fontId="23" fillId="0" borderId="200" applyNumberFormat="0" applyFill="0" applyAlignment="0" applyProtection="0"/>
    <xf numFmtId="180" fontId="62" fillId="0" borderId="202"/>
    <xf numFmtId="0" fontId="65" fillId="50" borderId="201">
      <protection locked="0"/>
    </xf>
    <xf numFmtId="0" fontId="11" fillId="22" borderId="197" applyNumberFormat="0" applyAlignment="0" applyProtection="0"/>
    <xf numFmtId="172" fontId="62" fillId="0" borderId="202"/>
    <xf numFmtId="172" fontId="62" fillId="0" borderId="202"/>
    <xf numFmtId="0" fontId="18" fillId="9" borderId="197" applyNumberFormat="0" applyAlignment="0" applyProtection="0"/>
    <xf numFmtId="173" fontId="62" fillId="0" borderId="202"/>
    <xf numFmtId="172" fontId="62" fillId="0" borderId="202"/>
    <xf numFmtId="175" fontId="62" fillId="0" borderId="202"/>
    <xf numFmtId="172" fontId="62" fillId="0" borderId="202"/>
    <xf numFmtId="175" fontId="62" fillId="0" borderId="202"/>
    <xf numFmtId="176" fontId="62" fillId="0" borderId="202"/>
    <xf numFmtId="177" fontId="62" fillId="0" borderId="202"/>
    <xf numFmtId="0" fontId="8" fillId="25" borderId="198" applyNumberFormat="0" applyFont="0" applyAlignment="0" applyProtection="0"/>
    <xf numFmtId="175" fontId="62" fillId="0" borderId="202"/>
    <xf numFmtId="180" fontId="62" fillId="0" borderId="202"/>
    <xf numFmtId="172" fontId="62" fillId="0" borderId="202"/>
    <xf numFmtId="181" fontId="62" fillId="0" borderId="202"/>
    <xf numFmtId="182" fontId="62" fillId="0" borderId="202"/>
    <xf numFmtId="0" fontId="18" fillId="9" borderId="197" applyNumberFormat="0" applyAlignment="0" applyProtection="0"/>
    <xf numFmtId="180" fontId="62" fillId="0" borderId="202"/>
    <xf numFmtId="180" fontId="62" fillId="0" borderId="202"/>
    <xf numFmtId="175" fontId="62" fillId="0" borderId="202"/>
    <xf numFmtId="172" fontId="62" fillId="0" borderId="202"/>
    <xf numFmtId="176" fontId="62" fillId="0" borderId="202"/>
    <xf numFmtId="172" fontId="62" fillId="0" borderId="202"/>
    <xf numFmtId="172" fontId="62" fillId="0" borderId="202"/>
    <xf numFmtId="175" fontId="62" fillId="0" borderId="202"/>
    <xf numFmtId="175" fontId="62" fillId="0" borderId="202"/>
    <xf numFmtId="172" fontId="62" fillId="0" borderId="202"/>
    <xf numFmtId="0" fontId="18" fillId="9" borderId="197" applyNumberFormat="0" applyAlignment="0" applyProtection="0"/>
    <xf numFmtId="0" fontId="21" fillId="22" borderId="199" applyNumberFormat="0" applyAlignment="0" applyProtection="0"/>
    <xf numFmtId="0" fontId="23" fillId="0" borderId="200" applyNumberFormat="0" applyFill="0" applyAlignment="0" applyProtection="0"/>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8" fillId="25" borderId="198" applyNumberFormat="0" applyFont="0" applyAlignment="0" applyProtection="0"/>
    <xf numFmtId="174" fontId="62" fillId="0" borderId="202"/>
    <xf numFmtId="175" fontId="62" fillId="0" borderId="202"/>
    <xf numFmtId="180" fontId="62" fillId="0" borderId="202"/>
    <xf numFmtId="0" fontId="11" fillId="22" borderId="197" applyNumberFormat="0" applyAlignment="0" applyProtection="0"/>
    <xf numFmtId="174" fontId="62" fillId="0" borderId="202"/>
    <xf numFmtId="173" fontId="62" fillId="0" borderId="202"/>
    <xf numFmtId="0" fontId="21" fillId="22" borderId="199" applyNumberFormat="0" applyAlignment="0" applyProtection="0"/>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0" fontId="11" fillId="22" borderId="197" applyNumberFormat="0" applyAlignment="0" applyProtection="0"/>
    <xf numFmtId="174" fontId="62" fillId="0" borderId="202"/>
    <xf numFmtId="176" fontId="62" fillId="0" borderId="202"/>
    <xf numFmtId="177"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80" fontId="62" fillId="0" borderId="202"/>
    <xf numFmtId="181" fontId="62" fillId="0" borderId="202"/>
    <xf numFmtId="175" fontId="62" fillId="0" borderId="202"/>
    <xf numFmtId="180" fontId="62" fillId="0" borderId="202"/>
    <xf numFmtId="175" fontId="62" fillId="0" borderId="202"/>
    <xf numFmtId="177" fontId="62" fillId="0" borderId="202"/>
    <xf numFmtId="173" fontId="62" fillId="0" borderId="202"/>
    <xf numFmtId="181" fontId="62" fillId="0" borderId="202"/>
    <xf numFmtId="182" fontId="62" fillId="0" borderId="202"/>
    <xf numFmtId="0" fontId="65" fillId="50" borderId="201">
      <protection locked="0"/>
    </xf>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80" fontId="62" fillId="0" borderId="202"/>
    <xf numFmtId="175" fontId="62" fillId="0" borderId="202"/>
    <xf numFmtId="180" fontId="62" fillId="0" borderId="202"/>
    <xf numFmtId="175" fontId="62" fillId="0" borderId="202"/>
    <xf numFmtId="172" fontId="62" fillId="0" borderId="202"/>
    <xf numFmtId="180" fontId="62" fillId="0" borderId="202"/>
    <xf numFmtId="175" fontId="62" fillId="0" borderId="202"/>
    <xf numFmtId="180" fontId="62" fillId="0" borderId="202"/>
    <xf numFmtId="172" fontId="62" fillId="0" borderId="202"/>
    <xf numFmtId="172" fontId="62" fillId="0" borderId="202"/>
    <xf numFmtId="180" fontId="62" fillId="0" borderId="202"/>
    <xf numFmtId="176" fontId="62" fillId="0" borderId="202"/>
    <xf numFmtId="175" fontId="62" fillId="0" borderId="202"/>
    <xf numFmtId="174" fontId="62" fillId="0" borderId="202"/>
    <xf numFmtId="173" fontId="62" fillId="0" borderId="202"/>
    <xf numFmtId="172" fontId="62" fillId="0" borderId="202"/>
    <xf numFmtId="0" fontId="23" fillId="0" borderId="200" applyNumberFormat="0" applyFill="0" applyAlignment="0" applyProtection="0"/>
    <xf numFmtId="0" fontId="21" fillId="22" borderId="199" applyNumberFormat="0" applyAlignment="0" applyProtection="0"/>
    <xf numFmtId="0" fontId="8" fillId="25" borderId="198" applyNumberFormat="0" applyFont="0" applyAlignment="0" applyProtection="0"/>
    <xf numFmtId="0" fontId="18" fillId="9" borderId="197" applyNumberFormat="0" applyAlignment="0" applyProtection="0"/>
    <xf numFmtId="177" fontId="62" fillId="0" borderId="202"/>
    <xf numFmtId="0" fontId="11" fillId="22" borderId="197" applyNumberFormat="0" applyAlignment="0" applyProtection="0"/>
    <xf numFmtId="181" fontId="62" fillId="0" borderId="202"/>
    <xf numFmtId="180" fontId="62" fillId="0" borderId="202"/>
    <xf numFmtId="172" fontId="62" fillId="0" borderId="202"/>
    <xf numFmtId="172" fontId="62" fillId="0" borderId="202"/>
    <xf numFmtId="175" fontId="62" fillId="0" borderId="202"/>
    <xf numFmtId="175" fontId="62" fillId="0" borderId="202"/>
    <xf numFmtId="172" fontId="62" fillId="0" borderId="202"/>
    <xf numFmtId="0" fontId="23" fillId="0" borderId="200" applyNumberFormat="0" applyFill="0" applyAlignment="0" applyProtection="0"/>
    <xf numFmtId="175" fontId="62" fillId="0" borderId="202"/>
    <xf numFmtId="0" fontId="18" fillId="9" borderId="197" applyNumberFormat="0" applyAlignment="0" applyProtection="0"/>
    <xf numFmtId="0" fontId="21" fillId="22" borderId="199" applyNumberFormat="0" applyAlignment="0" applyProtection="0"/>
    <xf numFmtId="0" fontId="8" fillId="25" borderId="198" applyNumberFormat="0" applyFont="0" applyAlignment="0" applyProtection="0"/>
    <xf numFmtId="0" fontId="65" fillId="50" borderId="201">
      <protection locked="0"/>
    </xf>
    <xf numFmtId="180" fontId="62" fillId="0" borderId="202"/>
    <xf numFmtId="0" fontId="11" fillId="22" borderId="197" applyNumberFormat="0" applyAlignment="0" applyProtection="0"/>
    <xf numFmtId="0" fontId="18" fillId="9" borderId="197" applyNumberFormat="0" applyAlignment="0" applyProtection="0"/>
    <xf numFmtId="175" fontId="62" fillId="0" borderId="202"/>
    <xf numFmtId="172" fontId="62" fillId="0" borderId="202"/>
    <xf numFmtId="180" fontId="62" fillId="0" borderId="202"/>
    <xf numFmtId="175" fontId="62" fillId="0" borderId="202"/>
    <xf numFmtId="172" fontId="62" fillId="0" borderId="202"/>
    <xf numFmtId="173" fontId="62" fillId="0" borderId="202"/>
    <xf numFmtId="172" fontId="62" fillId="0" borderId="202"/>
    <xf numFmtId="175" fontId="62" fillId="0" borderId="202"/>
    <xf numFmtId="180" fontId="62" fillId="0" borderId="202"/>
    <xf numFmtId="172" fontId="62" fillId="0" borderId="202"/>
    <xf numFmtId="180" fontId="62" fillId="0" borderId="202"/>
    <xf numFmtId="0" fontId="11" fillId="22" borderId="197" applyNumberFormat="0" applyAlignment="0" applyProtection="0"/>
    <xf numFmtId="182" fontId="62" fillId="0" borderId="202"/>
    <xf numFmtId="176" fontId="62" fillId="0" borderId="202"/>
    <xf numFmtId="180" fontId="62" fillId="0" borderId="202"/>
    <xf numFmtId="172" fontId="62" fillId="0" borderId="202"/>
    <xf numFmtId="0" fontId="11" fillId="22" borderId="197" applyNumberFormat="0" applyAlignment="0" applyProtection="0"/>
    <xf numFmtId="0" fontId="18" fillId="9" borderId="197" applyNumberFormat="0" applyAlignment="0" applyProtection="0"/>
    <xf numFmtId="0" fontId="23" fillId="0" borderId="200" applyNumberFormat="0" applyFill="0" applyAlignment="0" applyProtection="0"/>
    <xf numFmtId="180" fontId="62" fillId="0" borderId="202"/>
    <xf numFmtId="180" fontId="62" fillId="0" borderId="202"/>
    <xf numFmtId="175" fontId="62" fillId="0" borderId="202"/>
    <xf numFmtId="174" fontId="62" fillId="0" borderId="202"/>
    <xf numFmtId="0" fontId="8" fillId="25" borderId="198" applyNumberFormat="0" applyFont="0" applyAlignment="0" applyProtection="0"/>
    <xf numFmtId="175" fontId="62" fillId="0" borderId="202"/>
    <xf numFmtId="177" fontId="62" fillId="0" borderId="202"/>
    <xf numFmtId="180" fontId="62" fillId="0" borderId="202"/>
    <xf numFmtId="181" fontId="62" fillId="0" borderId="202"/>
    <xf numFmtId="182"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0" fontId="65" fillId="50" borderId="201">
      <protection locked="0"/>
    </xf>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172"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180" fontId="62" fillId="0" borderId="202"/>
    <xf numFmtId="175" fontId="62" fillId="0" borderId="202"/>
    <xf numFmtId="0" fontId="65" fillId="50" borderId="201">
      <protection locked="0"/>
    </xf>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3" fontId="62" fillId="0" borderId="196"/>
    <xf numFmtId="175" fontId="62" fillId="0" borderId="196"/>
    <xf numFmtId="174" fontId="62" fillId="0" borderId="196"/>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81" fontId="62" fillId="0" borderId="196"/>
    <xf numFmtId="172" fontId="62" fillId="0" borderId="196"/>
    <xf numFmtId="0" fontId="21" fillId="22" borderId="205" applyNumberFormat="0" applyAlignment="0" applyProtection="0"/>
    <xf numFmtId="0" fontId="11" fillId="22" borderId="203" applyNumberFormat="0" applyAlignment="0" applyProtection="0"/>
    <xf numFmtId="180" fontId="62" fillId="0" borderId="207"/>
    <xf numFmtId="0" fontId="23" fillId="0" borderId="206" applyNumberFormat="0" applyFill="0" applyAlignment="0" applyProtection="0"/>
    <xf numFmtId="174" fontId="62" fillId="0" borderId="207"/>
    <xf numFmtId="176" fontId="62" fillId="0" borderId="207"/>
    <xf numFmtId="0" fontId="21" fillId="22" borderId="205" applyNumberFormat="0" applyAlignment="0" applyProtection="0"/>
    <xf numFmtId="180" fontId="62" fillId="0" borderId="207"/>
    <xf numFmtId="175" fontId="62" fillId="0" borderId="207"/>
    <xf numFmtId="174" fontId="62" fillId="0" borderId="207"/>
    <xf numFmtId="0" fontId="23" fillId="0" borderId="206" applyNumberFormat="0" applyFill="0" applyAlignment="0" applyProtection="0"/>
    <xf numFmtId="0" fontId="8" fillId="25" borderId="204" applyNumberFormat="0" applyFont="0" applyAlignment="0" applyProtection="0"/>
    <xf numFmtId="0" fontId="11" fillId="22" borderId="203" applyNumberFormat="0" applyAlignment="0" applyProtection="0"/>
    <xf numFmtId="0" fontId="8" fillId="25" borderId="204" applyNumberFormat="0" applyFont="0" applyAlignment="0" applyProtection="0"/>
    <xf numFmtId="0" fontId="11" fillId="22" borderId="203" applyNumberFormat="0" applyAlignment="0" applyProtection="0"/>
    <xf numFmtId="176" fontId="62" fillId="0" borderId="207"/>
    <xf numFmtId="175" fontId="62" fillId="0" borderId="207"/>
    <xf numFmtId="0" fontId="23" fillId="0" borderId="206" applyNumberFormat="0" applyFill="0" applyAlignment="0" applyProtection="0"/>
    <xf numFmtId="0" fontId="23" fillId="0" borderId="206" applyNumberFormat="0" applyFill="0" applyAlignment="0" applyProtection="0"/>
    <xf numFmtId="0" fontId="65" fillId="50" borderId="201">
      <protection locked="0"/>
    </xf>
    <xf numFmtId="0" fontId="65" fillId="50" borderId="201">
      <protection locked="0"/>
    </xf>
    <xf numFmtId="0" fontId="21" fillId="22" borderId="205" applyNumberFormat="0" applyAlignment="0" applyProtection="0"/>
    <xf numFmtId="0" fontId="21" fillId="22" borderId="205"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18" fillId="9" borderId="203" applyNumberFormat="0" applyAlignment="0" applyProtection="0"/>
    <xf numFmtId="0" fontId="21" fillId="22" borderId="205" applyNumberFormat="0" applyAlignment="0" applyProtection="0"/>
    <xf numFmtId="0" fontId="23" fillId="0" borderId="206" applyNumberFormat="0" applyFill="0" applyAlignment="0" applyProtection="0"/>
    <xf numFmtId="0" fontId="21" fillId="22" borderId="205" applyNumberFormat="0" applyAlignment="0" applyProtection="0"/>
    <xf numFmtId="176" fontId="62" fillId="0" borderId="207"/>
    <xf numFmtId="0" fontId="23" fillId="0" borderId="206" applyNumberFormat="0" applyFill="0" applyAlignment="0" applyProtection="0"/>
    <xf numFmtId="173" fontId="62" fillId="0" borderId="196"/>
    <xf numFmtId="0" fontId="23" fillId="0" borderId="206" applyNumberFormat="0" applyFill="0" applyAlignment="0" applyProtection="0"/>
    <xf numFmtId="0" fontId="18" fillId="9" borderId="203" applyNumberFormat="0" applyAlignment="0" applyProtection="0"/>
    <xf numFmtId="172" fontId="62" fillId="0" borderId="207"/>
    <xf numFmtId="181" fontId="62" fillId="0" borderId="207"/>
    <xf numFmtId="172" fontId="62" fillId="0" borderId="207"/>
    <xf numFmtId="0" fontId="21" fillId="22" borderId="205" applyNumberFormat="0" applyAlignment="0" applyProtection="0"/>
    <xf numFmtId="0" fontId="23" fillId="0" borderId="206" applyNumberFormat="0" applyFill="0" applyAlignment="0" applyProtection="0"/>
    <xf numFmtId="0" fontId="65" fillId="50" borderId="201">
      <protection locked="0"/>
    </xf>
    <xf numFmtId="0" fontId="21" fillId="22" borderId="205" applyNumberFormat="0" applyAlignment="0" applyProtection="0"/>
    <xf numFmtId="175" fontId="62" fillId="0" borderId="207"/>
    <xf numFmtId="0" fontId="18" fillId="9" borderId="203" applyNumberFormat="0" applyAlignment="0" applyProtection="0"/>
    <xf numFmtId="0" fontId="23" fillId="0" borderId="206" applyNumberFormat="0" applyFill="0" applyAlignment="0" applyProtection="0"/>
    <xf numFmtId="180" fontId="62" fillId="0" borderId="207"/>
    <xf numFmtId="0" fontId="65" fillId="50" borderId="201">
      <protection locked="0"/>
    </xf>
    <xf numFmtId="0" fontId="23" fillId="0" borderId="206" applyNumberFormat="0" applyFill="0" applyAlignment="0" applyProtection="0"/>
    <xf numFmtId="177" fontId="62" fillId="0" borderId="207"/>
    <xf numFmtId="175" fontId="62" fillId="0" borderId="207"/>
    <xf numFmtId="180" fontId="62" fillId="0" borderId="207"/>
    <xf numFmtId="172" fontId="62" fillId="0" borderId="207"/>
    <xf numFmtId="174" fontId="62" fillId="0" borderId="207"/>
    <xf numFmtId="175" fontId="62" fillId="0" borderId="207"/>
    <xf numFmtId="180" fontId="62" fillId="0" borderId="207"/>
    <xf numFmtId="0" fontId="11" fillId="22" borderId="203" applyNumberFormat="0" applyAlignment="0" applyProtection="0"/>
    <xf numFmtId="0" fontId="11" fillId="22" borderId="203" applyNumberFormat="0" applyAlignment="0" applyProtection="0"/>
    <xf numFmtId="172" fontId="62" fillId="0" borderId="207"/>
    <xf numFmtId="0" fontId="18" fillId="9" borderId="203" applyNumberFormat="0" applyAlignment="0" applyProtection="0"/>
    <xf numFmtId="0" fontId="23" fillId="0" borderId="206" applyNumberFormat="0" applyFill="0" applyAlignment="0" applyProtection="0"/>
    <xf numFmtId="0" fontId="8" fillId="25" borderId="204" applyNumberFormat="0" applyFont="0" applyAlignment="0" applyProtection="0"/>
    <xf numFmtId="0" fontId="65" fillId="50" borderId="208">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172" fontId="62" fillId="0" borderId="207"/>
    <xf numFmtId="182" fontId="62" fillId="0" borderId="196"/>
    <xf numFmtId="175" fontId="62" fillId="0" borderId="196"/>
    <xf numFmtId="176" fontId="62" fillId="0" borderId="196"/>
    <xf numFmtId="174" fontId="62" fillId="0" borderId="196"/>
    <xf numFmtId="0" fontId="11" fillId="22" borderId="197" applyNumberFormat="0" applyAlignment="0" applyProtection="0"/>
    <xf numFmtId="0" fontId="11" fillId="22" borderId="197" applyNumberFormat="0" applyAlignment="0" applyProtection="0"/>
    <xf numFmtId="0" fontId="18" fillId="9"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8" fillId="25" borderId="198" applyNumberFormat="0" applyFont="0" applyAlignment="0" applyProtection="0"/>
    <xf numFmtId="0" fontId="21" fillId="22" borderId="199" applyNumberFormat="0" applyAlignment="0" applyProtection="0"/>
    <xf numFmtId="0" fontId="21" fillId="22" borderId="199" applyNumberFormat="0" applyAlignment="0" applyProtection="0"/>
    <xf numFmtId="0" fontId="21" fillId="22" borderId="199" applyNumberFormat="0" applyAlignment="0" applyProtection="0"/>
    <xf numFmtId="0" fontId="21" fillId="22" borderId="199" applyNumberFormat="0" applyAlignment="0" applyProtection="0"/>
    <xf numFmtId="0" fontId="23" fillId="0" borderId="200" applyNumberFormat="0" applyFill="0" applyAlignment="0" applyProtection="0"/>
    <xf numFmtId="0" fontId="23" fillId="0" borderId="200" applyNumberFormat="0" applyFill="0" applyAlignment="0" applyProtection="0"/>
    <xf numFmtId="0" fontId="23" fillId="0" borderId="200" applyNumberFormat="0" applyFill="0" applyAlignment="0" applyProtection="0"/>
    <xf numFmtId="0" fontId="23" fillId="0" borderId="200" applyNumberFormat="0" applyFill="0" applyAlignment="0" applyProtection="0"/>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11" fillId="22" borderId="197" applyNumberFormat="0" applyAlignment="0" applyProtection="0"/>
    <xf numFmtId="0" fontId="18" fillId="9" borderId="197" applyNumberFormat="0" applyAlignment="0" applyProtection="0"/>
    <xf numFmtId="0" fontId="8" fillId="25" borderId="198" applyNumberFormat="0" applyFont="0" applyAlignment="0" applyProtection="0"/>
    <xf numFmtId="0" fontId="21" fillId="22" borderId="199" applyNumberFormat="0" applyAlignment="0" applyProtection="0"/>
    <xf numFmtId="0" fontId="23" fillId="0" borderId="200" applyNumberFormat="0" applyFill="0" applyAlignment="0" applyProtection="0"/>
    <xf numFmtId="172" fontId="62" fillId="0" borderId="202"/>
    <xf numFmtId="173" fontId="62" fillId="0" borderId="202"/>
    <xf numFmtId="174" fontId="62" fillId="0" borderId="202"/>
    <xf numFmtId="175" fontId="62" fillId="0" borderId="202"/>
    <xf numFmtId="176" fontId="62" fillId="0" borderId="202"/>
    <xf numFmtId="177" fontId="62" fillId="0" borderId="202"/>
    <xf numFmtId="180" fontId="62" fillId="0" borderId="202"/>
    <xf numFmtId="181" fontId="62" fillId="0" borderId="202"/>
    <xf numFmtId="182" fontId="62" fillId="0" borderId="202"/>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0" fontId="62" fillId="0" borderId="207"/>
    <xf numFmtId="180" fontId="62" fillId="0" borderId="207"/>
    <xf numFmtId="181" fontId="62" fillId="0" borderId="207"/>
    <xf numFmtId="172" fontId="62" fillId="0" borderId="207"/>
    <xf numFmtId="175" fontId="62" fillId="0" borderId="207"/>
    <xf numFmtId="175" fontId="62" fillId="0" borderId="207"/>
    <xf numFmtId="177" fontId="62" fillId="0" borderId="207"/>
    <xf numFmtId="172"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1" fillId="22" borderId="205" applyNumberFormat="0" applyAlignment="0" applyProtection="0"/>
    <xf numFmtId="0" fontId="18" fillId="9" borderId="203" applyNumberFormat="0" applyAlignment="0" applyProtection="0"/>
    <xf numFmtId="0" fontId="8" fillId="25" borderId="204" applyNumberFormat="0" applyFont="0" applyAlignment="0" applyProtection="0"/>
    <xf numFmtId="176" fontId="62" fillId="0" borderId="207"/>
    <xf numFmtId="180" fontId="62" fillId="0" borderId="207"/>
    <xf numFmtId="172" fontId="62" fillId="0" borderId="207"/>
    <xf numFmtId="173" fontId="62" fillId="0" borderId="207"/>
    <xf numFmtId="174" fontId="62" fillId="0" borderId="207"/>
    <xf numFmtId="0" fontId="8" fillId="25" borderId="204" applyNumberFormat="0" applyFont="0" applyAlignment="0" applyProtection="0"/>
    <xf numFmtId="175" fontId="62" fillId="0" borderId="207"/>
    <xf numFmtId="176" fontId="62" fillId="0" borderId="207"/>
    <xf numFmtId="177" fontId="62" fillId="0" borderId="207"/>
    <xf numFmtId="176" fontId="62" fillId="0" borderId="207"/>
    <xf numFmtId="180" fontId="62" fillId="0" borderId="207"/>
    <xf numFmtId="181" fontId="62" fillId="0" borderId="207"/>
    <xf numFmtId="182" fontId="62" fillId="0" borderId="207"/>
    <xf numFmtId="175" fontId="62" fillId="0" borderId="207"/>
    <xf numFmtId="172" fontId="62" fillId="0" borderId="207"/>
    <xf numFmtId="0" fontId="65" fillId="50" borderId="201">
      <protection locked="0"/>
    </xf>
    <xf numFmtId="0" fontId="11" fillId="22" borderId="203" applyNumberFormat="0" applyAlignment="0" applyProtection="0"/>
    <xf numFmtId="0" fontId="8" fillId="25" borderId="204" applyNumberFormat="0" applyFont="0" applyAlignment="0" applyProtection="0"/>
    <xf numFmtId="0" fontId="11" fillId="22" borderId="203" applyNumberFormat="0" applyAlignment="0" applyProtection="0"/>
    <xf numFmtId="182" fontId="62" fillId="0" borderId="207"/>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174" fontId="62" fillId="0" borderId="207"/>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3" fontId="62" fillId="0" borderId="207"/>
    <xf numFmtId="174" fontId="62" fillId="0" borderId="207"/>
    <xf numFmtId="0" fontId="18" fillId="9" borderId="203" applyNumberFormat="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7" fontId="62" fillId="0" borderId="207"/>
    <xf numFmtId="172" fontId="62" fillId="0" borderId="207"/>
    <xf numFmtId="173" fontId="62" fillId="0" borderId="207"/>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172" fontId="62" fillId="0" borderId="207"/>
    <xf numFmtId="180" fontId="62" fillId="0" borderId="207"/>
    <xf numFmtId="175" fontId="62" fillId="0" borderId="207"/>
    <xf numFmtId="175" fontId="62" fillId="0" borderId="207"/>
    <xf numFmtId="180" fontId="62" fillId="0" borderId="207"/>
    <xf numFmtId="172"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65" fillId="50" borderId="201">
      <protection locked="0"/>
    </xf>
    <xf numFmtId="172" fontId="62" fillId="0" borderId="207"/>
    <xf numFmtId="182" fontId="62" fillId="0" borderId="207"/>
    <xf numFmtId="175" fontId="62" fillId="0" borderId="207"/>
    <xf numFmtId="177" fontId="62" fillId="0" borderId="207"/>
    <xf numFmtId="174" fontId="62" fillId="0" borderId="207"/>
    <xf numFmtId="173" fontId="62" fillId="0" borderId="207"/>
    <xf numFmtId="180"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180" fontId="62" fillId="0" borderId="207"/>
    <xf numFmtId="181"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2" fontId="62" fillId="0" borderId="207"/>
    <xf numFmtId="175" fontId="62" fillId="0" borderId="207"/>
    <xf numFmtId="180" fontId="62" fillId="0" borderId="207"/>
    <xf numFmtId="0" fontId="65" fillId="50" borderId="201">
      <protection locked="0"/>
    </xf>
    <xf numFmtId="0" fontId="65" fillId="50" borderId="201">
      <protection locked="0"/>
    </xf>
    <xf numFmtId="0" fontId="11" fillId="22" borderId="203" applyNumberFormat="0" applyAlignment="0" applyProtection="0"/>
    <xf numFmtId="175" fontId="62" fillId="0" borderId="207"/>
    <xf numFmtId="172" fontId="62" fillId="0" borderId="207"/>
    <xf numFmtId="175" fontId="62" fillId="0" borderId="207"/>
    <xf numFmtId="175" fontId="62" fillId="0" borderId="207"/>
    <xf numFmtId="0" fontId="21" fillId="22" borderId="205" applyNumberFormat="0" applyAlignment="0" applyProtection="0"/>
    <xf numFmtId="180" fontId="62" fillId="0" borderId="207"/>
    <xf numFmtId="175" fontId="62" fillId="0" borderId="207"/>
    <xf numFmtId="0" fontId="65" fillId="50" borderId="201">
      <protection locked="0"/>
    </xf>
    <xf numFmtId="0" fontId="21" fillId="22" borderId="205" applyNumberFormat="0" applyAlignment="0" applyProtection="0"/>
    <xf numFmtId="0" fontId="8" fillId="25" borderId="204" applyNumberFormat="0" applyFont="0" applyAlignment="0" applyProtection="0"/>
    <xf numFmtId="172" fontId="62" fillId="0" borderId="207"/>
    <xf numFmtId="0" fontId="8" fillId="25" borderId="204" applyNumberFormat="0" applyFont="0" applyAlignment="0" applyProtection="0"/>
    <xf numFmtId="174" fontId="62" fillId="0" borderId="207"/>
    <xf numFmtId="0" fontId="23" fillId="0" borderId="206" applyNumberFormat="0" applyFill="0" applyAlignment="0" applyProtection="0"/>
    <xf numFmtId="176" fontId="62" fillId="0" borderId="207"/>
    <xf numFmtId="175" fontId="62" fillId="0" borderId="207"/>
    <xf numFmtId="0" fontId="23" fillId="0" borderId="206" applyNumberFormat="0" applyFill="0" applyAlignment="0" applyProtection="0"/>
    <xf numFmtId="182" fontId="62" fillId="0" borderId="207"/>
    <xf numFmtId="175" fontId="62" fillId="0" borderId="207"/>
    <xf numFmtId="175" fontId="62" fillId="0" borderId="207"/>
    <xf numFmtId="0" fontId="18" fillId="9" borderId="203" applyNumberFormat="0" applyAlignment="0" applyProtection="0"/>
    <xf numFmtId="0" fontId="21" fillId="22" borderId="205" applyNumberFormat="0" applyAlignment="0" applyProtection="0"/>
    <xf numFmtId="172" fontId="62" fillId="0" borderId="207"/>
    <xf numFmtId="0" fontId="8" fillId="25" borderId="204" applyNumberFormat="0" applyFont="0" applyAlignment="0" applyProtection="0"/>
    <xf numFmtId="173" fontId="62" fillId="0" borderId="207"/>
    <xf numFmtId="177" fontId="62" fillId="0" borderId="207"/>
    <xf numFmtId="0" fontId="23" fillId="0" borderId="206" applyNumberFormat="0" applyFill="0" applyAlignment="0" applyProtection="0"/>
    <xf numFmtId="0" fontId="8" fillId="25" borderId="204" applyNumberFormat="0" applyFont="0" applyAlignment="0" applyProtection="0"/>
    <xf numFmtId="176" fontId="62" fillId="0" borderId="207"/>
    <xf numFmtId="172" fontId="62" fillId="0" borderId="207"/>
    <xf numFmtId="180" fontId="62" fillId="0" borderId="207"/>
    <xf numFmtId="0" fontId="18" fillId="9" borderId="203" applyNumberFormat="0" applyAlignment="0" applyProtection="0"/>
    <xf numFmtId="172" fontId="62" fillId="0" borderId="207"/>
    <xf numFmtId="0" fontId="21" fillId="22" borderId="205" applyNumberFormat="0" applyAlignment="0" applyProtection="0"/>
    <xf numFmtId="180" fontId="62" fillId="0" borderId="207"/>
    <xf numFmtId="172" fontId="62" fillId="0" borderId="207"/>
    <xf numFmtId="180" fontId="62" fillId="0" borderId="207"/>
    <xf numFmtId="175" fontId="62" fillId="0" borderId="207"/>
    <xf numFmtId="173" fontId="62" fillId="0" borderId="207"/>
    <xf numFmtId="172" fontId="62" fillId="0" borderId="207"/>
    <xf numFmtId="175" fontId="62" fillId="0" borderId="207"/>
    <xf numFmtId="174" fontId="62" fillId="0" borderId="207"/>
    <xf numFmtId="181" fontId="62" fillId="0" borderId="207"/>
    <xf numFmtId="180" fontId="62" fillId="0" borderId="207"/>
    <xf numFmtId="175" fontId="62" fillId="0" borderId="207"/>
    <xf numFmtId="172" fontId="62" fillId="0" borderId="207"/>
    <xf numFmtId="180" fontId="62" fillId="0" borderId="207"/>
    <xf numFmtId="175" fontId="62" fillId="0" borderId="207"/>
    <xf numFmtId="172" fontId="62" fillId="0" borderId="207"/>
    <xf numFmtId="180" fontId="62" fillId="0" borderId="207"/>
    <xf numFmtId="180" fontId="62" fillId="0" borderId="207"/>
    <xf numFmtId="181" fontId="62" fillId="0" borderId="207"/>
    <xf numFmtId="177" fontId="62" fillId="0" borderId="207"/>
    <xf numFmtId="172" fontId="62" fillId="0" borderId="207"/>
    <xf numFmtId="0" fontId="23" fillId="0" borderId="206" applyNumberFormat="0" applyFill="0" applyAlignment="0" applyProtection="0"/>
    <xf numFmtId="0" fontId="11" fillId="22" borderId="203" applyNumberFormat="0" applyAlignment="0" applyProtection="0"/>
    <xf numFmtId="172" fontId="62" fillId="0" borderId="207"/>
    <xf numFmtId="174" fontId="62" fillId="0" borderId="207"/>
    <xf numFmtId="172" fontId="62" fillId="0" borderId="207"/>
    <xf numFmtId="175" fontId="62" fillId="0" borderId="207"/>
    <xf numFmtId="180" fontId="62" fillId="0" borderId="207"/>
    <xf numFmtId="172" fontId="62" fillId="0" borderId="207"/>
    <xf numFmtId="0" fontId="18" fillId="9" borderId="203" applyNumberFormat="0" applyAlignment="0" applyProtection="0"/>
    <xf numFmtId="174" fontId="62" fillId="0" borderId="207"/>
    <xf numFmtId="0" fontId="11" fillId="22" borderId="203" applyNumberFormat="0" applyAlignment="0" applyProtection="0"/>
    <xf numFmtId="182" fontId="62" fillId="0" borderId="207"/>
    <xf numFmtId="172" fontId="62" fillId="0" borderId="207"/>
    <xf numFmtId="173" fontId="62" fillId="0" borderId="207"/>
    <xf numFmtId="175" fontId="62" fillId="0" borderId="207"/>
    <xf numFmtId="176" fontId="62" fillId="0" borderId="207"/>
    <xf numFmtId="175" fontId="62" fillId="0" borderId="207"/>
    <xf numFmtId="175" fontId="62" fillId="0" borderId="207"/>
    <xf numFmtId="0" fontId="11" fillId="22" borderId="203" applyNumberFormat="0" applyAlignment="0" applyProtection="0"/>
    <xf numFmtId="172" fontId="62" fillId="0" borderId="207"/>
    <xf numFmtId="175" fontId="62" fillId="0" borderId="207"/>
    <xf numFmtId="182" fontId="62" fillId="0" borderId="207"/>
    <xf numFmtId="172"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172" fontId="62" fillId="0" borderId="207"/>
    <xf numFmtId="180" fontId="62" fillId="0" borderId="207"/>
    <xf numFmtId="180" fontId="62" fillId="0" borderId="207"/>
    <xf numFmtId="0" fontId="65" fillId="50" borderId="201">
      <protection locked="0"/>
    </xf>
    <xf numFmtId="0" fontId="8" fillId="25" borderId="204" applyNumberFormat="0" applyFont="0" applyAlignment="0" applyProtection="0"/>
    <xf numFmtId="180" fontId="62" fillId="0" borderId="207"/>
    <xf numFmtId="177"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0" fontId="21" fillId="22" borderId="205" applyNumberFormat="0" applyAlignment="0" applyProtection="0"/>
    <xf numFmtId="175" fontId="62" fillId="0" borderId="207"/>
    <xf numFmtId="175" fontId="62" fillId="0" borderId="207"/>
    <xf numFmtId="173" fontId="62" fillId="0" borderId="207"/>
    <xf numFmtId="175" fontId="62" fillId="0" borderId="207"/>
    <xf numFmtId="180" fontId="62" fillId="0" borderId="207"/>
    <xf numFmtId="180" fontId="62" fillId="0" borderId="207"/>
    <xf numFmtId="172" fontId="62" fillId="0" borderId="207"/>
    <xf numFmtId="175" fontId="62" fillId="0" borderId="207"/>
    <xf numFmtId="180" fontId="62" fillId="0" borderId="207"/>
    <xf numFmtId="172" fontId="62" fillId="0" borderId="207"/>
    <xf numFmtId="174" fontId="62" fillId="0" borderId="207"/>
    <xf numFmtId="180" fontId="62" fillId="0" borderId="207"/>
    <xf numFmtId="0" fontId="23" fillId="0" borderId="206" applyNumberFormat="0" applyFill="0" applyAlignment="0" applyProtection="0"/>
    <xf numFmtId="175" fontId="62" fillId="0" borderId="207"/>
    <xf numFmtId="175" fontId="62" fillId="0" borderId="207"/>
    <xf numFmtId="180" fontId="62" fillId="0" borderId="207"/>
    <xf numFmtId="172" fontId="62" fillId="0" borderId="207"/>
    <xf numFmtId="0" fontId="18" fillId="9" borderId="203" applyNumberFormat="0" applyAlignment="0" applyProtection="0"/>
    <xf numFmtId="177" fontId="62" fillId="0" borderId="207"/>
    <xf numFmtId="176" fontId="62" fillId="0" borderId="207"/>
    <xf numFmtId="181" fontId="62" fillId="0" borderId="207"/>
    <xf numFmtId="176" fontId="62" fillId="0" borderId="207"/>
    <xf numFmtId="181" fontId="62" fillId="0" borderId="207"/>
    <xf numFmtId="173" fontId="62" fillId="0" borderId="207"/>
    <xf numFmtId="0" fontId="65" fillId="50" borderId="201">
      <protection locked="0"/>
    </xf>
    <xf numFmtId="181" fontId="62" fillId="0" borderId="207"/>
    <xf numFmtId="182" fontId="62" fillId="0" borderId="207"/>
    <xf numFmtId="0" fontId="65" fillId="50" borderId="201">
      <protection locked="0"/>
    </xf>
    <xf numFmtId="175" fontId="62" fillId="0" borderId="207"/>
    <xf numFmtId="182" fontId="62" fillId="0" borderId="207"/>
    <xf numFmtId="177" fontId="62" fillId="0" borderId="207"/>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0" fontId="62" fillId="0" borderId="207"/>
    <xf numFmtId="172" fontId="62" fillId="0" borderId="207"/>
    <xf numFmtId="175" fontId="62" fillId="0" borderId="207"/>
    <xf numFmtId="180" fontId="62" fillId="0" borderId="207"/>
    <xf numFmtId="180" fontId="62" fillId="0" borderId="207"/>
    <xf numFmtId="180" fontId="62" fillId="0" borderId="207"/>
    <xf numFmtId="175" fontId="62" fillId="0" borderId="207"/>
    <xf numFmtId="180" fontId="62" fillId="0" borderId="207"/>
    <xf numFmtId="180" fontId="62" fillId="0" borderId="207"/>
    <xf numFmtId="175" fontId="62" fillId="0" borderId="207"/>
    <xf numFmtId="175" fontId="62" fillId="0" borderId="207"/>
    <xf numFmtId="0" fontId="21" fillId="22" borderId="205" applyNumberFormat="0" applyAlignment="0" applyProtection="0"/>
    <xf numFmtId="175" fontId="62" fillId="0" borderId="207"/>
    <xf numFmtId="0" fontId="23" fillId="0" borderId="206" applyNumberFormat="0" applyFill="0" applyAlignment="0" applyProtection="0"/>
    <xf numFmtId="172" fontId="62" fillId="0" borderId="207"/>
    <xf numFmtId="172" fontId="62" fillId="0" borderId="207"/>
    <xf numFmtId="175" fontId="62" fillId="0" borderId="207"/>
    <xf numFmtId="176" fontId="62" fillId="0" borderId="207"/>
    <xf numFmtId="0" fontId="18" fillId="9" borderId="203" applyNumberFormat="0" applyAlignment="0" applyProtection="0"/>
    <xf numFmtId="172" fontId="62" fillId="0" borderId="207"/>
    <xf numFmtId="0" fontId="21" fillId="22" borderId="205" applyNumberFormat="0" applyAlignment="0" applyProtection="0"/>
    <xf numFmtId="174" fontId="62" fillId="0" borderId="207"/>
    <xf numFmtId="172" fontId="62" fillId="0" borderId="207"/>
    <xf numFmtId="0" fontId="18" fillId="9" borderId="203" applyNumberFormat="0" applyAlignment="0" applyProtection="0"/>
    <xf numFmtId="177" fontId="62" fillId="0" borderId="207"/>
    <xf numFmtId="0" fontId="11" fillId="22" borderId="203" applyNumberFormat="0" applyAlignment="0" applyProtection="0"/>
    <xf numFmtId="172" fontId="62" fillId="0" borderId="207"/>
    <xf numFmtId="172" fontId="62" fillId="0" borderId="207"/>
    <xf numFmtId="180" fontId="62" fillId="0" borderId="207"/>
    <xf numFmtId="0" fontId="65" fillId="50" borderId="201">
      <protection locked="0"/>
    </xf>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6" fontId="62" fillId="0" borderId="207"/>
    <xf numFmtId="180" fontId="62" fillId="0" borderId="207"/>
    <xf numFmtId="172" fontId="62" fillId="0" borderId="207"/>
    <xf numFmtId="172" fontId="62" fillId="0" borderId="207"/>
    <xf numFmtId="0" fontId="23" fillId="0" borderId="206" applyNumberFormat="0" applyFill="0" applyAlignment="0" applyProtection="0"/>
    <xf numFmtId="180" fontId="62" fillId="0" borderId="207"/>
    <xf numFmtId="172" fontId="62" fillId="0" borderId="207"/>
    <xf numFmtId="172" fontId="62" fillId="0" borderId="207"/>
    <xf numFmtId="180" fontId="62" fillId="0" borderId="207"/>
    <xf numFmtId="175" fontId="62" fillId="0" borderId="207"/>
    <xf numFmtId="175" fontId="62" fillId="0" borderId="207"/>
    <xf numFmtId="180" fontId="62" fillId="0" borderId="207"/>
    <xf numFmtId="180" fontId="62" fillId="0" borderId="207"/>
    <xf numFmtId="180" fontId="62" fillId="0" borderId="207"/>
    <xf numFmtId="172" fontId="62" fillId="0" borderId="207"/>
    <xf numFmtId="174" fontId="62" fillId="0" borderId="207"/>
    <xf numFmtId="172" fontId="62" fillId="0" borderId="207"/>
    <xf numFmtId="180" fontId="62" fillId="0" borderId="207"/>
    <xf numFmtId="0" fontId="18" fillId="9" borderId="203" applyNumberFormat="0" applyAlignment="0" applyProtection="0"/>
    <xf numFmtId="180" fontId="62" fillId="0" borderId="207"/>
    <xf numFmtId="180" fontId="62" fillId="0" borderId="207"/>
    <xf numFmtId="0" fontId="23" fillId="0" borderId="206" applyNumberFormat="0" applyFill="0" applyAlignment="0" applyProtection="0"/>
    <xf numFmtId="172" fontId="62" fillId="0" borderId="207"/>
    <xf numFmtId="0" fontId="8" fillId="25" borderId="204" applyNumberFormat="0" applyFont="0" applyAlignment="0" applyProtection="0"/>
    <xf numFmtId="0" fontId="18" fillId="9" borderId="203" applyNumberFormat="0" applyAlignment="0" applyProtection="0"/>
    <xf numFmtId="172" fontId="62" fillId="0" borderId="207"/>
    <xf numFmtId="180" fontId="62" fillId="0" borderId="207"/>
    <xf numFmtId="0" fontId="8" fillId="25" borderId="204" applyNumberFormat="0" applyFont="0" applyAlignment="0" applyProtection="0"/>
    <xf numFmtId="0" fontId="11" fillId="22" borderId="203" applyNumberFormat="0" applyAlignment="0" applyProtection="0"/>
    <xf numFmtId="172"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2" fontId="62" fillId="0" borderId="207"/>
    <xf numFmtId="181" fontId="62" fillId="0" borderId="207"/>
    <xf numFmtId="175" fontId="62" fillId="0" borderId="207"/>
    <xf numFmtId="175" fontId="62" fillId="0" borderId="207"/>
    <xf numFmtId="174" fontId="62" fillId="0" borderId="207"/>
    <xf numFmtId="180" fontId="62" fillId="0" borderId="207"/>
    <xf numFmtId="173" fontId="62" fillId="0" borderId="207"/>
    <xf numFmtId="0" fontId="21" fillId="22" borderId="205" applyNumberFormat="0" applyAlignment="0" applyProtection="0"/>
    <xf numFmtId="172" fontId="62" fillId="0" borderId="207"/>
    <xf numFmtId="175" fontId="62" fillId="0" borderId="207"/>
    <xf numFmtId="180" fontId="62" fillId="0" borderId="207"/>
    <xf numFmtId="0" fontId="11" fillId="22" borderId="203" applyNumberFormat="0" applyAlignment="0" applyProtection="0"/>
    <xf numFmtId="175" fontId="62" fillId="0" borderId="207"/>
    <xf numFmtId="176" fontId="62" fillId="0" borderId="207"/>
    <xf numFmtId="175" fontId="62" fillId="0" borderId="207"/>
    <xf numFmtId="182" fontId="62" fillId="0" borderId="207"/>
    <xf numFmtId="177" fontId="62" fillId="0" borderId="207"/>
    <xf numFmtId="173"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5" fontId="62" fillId="0" borderId="207"/>
    <xf numFmtId="175" fontId="62" fillId="0" borderId="207"/>
    <xf numFmtId="175" fontId="62" fillId="0" borderId="207"/>
    <xf numFmtId="172" fontId="62" fillId="0" borderId="207"/>
    <xf numFmtId="0" fontId="18" fillId="9" borderId="203" applyNumberFormat="0" applyAlignment="0" applyProtection="0"/>
    <xf numFmtId="175" fontId="62" fillId="0" borderId="207"/>
    <xf numFmtId="172" fontId="62" fillId="0" borderId="207"/>
    <xf numFmtId="180" fontId="62" fillId="0" borderId="207"/>
    <xf numFmtId="174" fontId="62" fillId="0" borderId="207"/>
    <xf numFmtId="174" fontId="62" fillId="0" borderId="207"/>
    <xf numFmtId="172" fontId="62" fillId="0" borderId="207"/>
    <xf numFmtId="174" fontId="62" fillId="0" borderId="207"/>
    <xf numFmtId="175" fontId="62" fillId="0" borderId="207"/>
    <xf numFmtId="177" fontId="62" fillId="0" borderId="207"/>
    <xf numFmtId="172" fontId="62" fillId="0" borderId="207"/>
    <xf numFmtId="0" fontId="11" fillId="22" borderId="203" applyNumberFormat="0" applyAlignment="0" applyProtection="0"/>
    <xf numFmtId="180" fontId="62" fillId="0" borderId="207"/>
    <xf numFmtId="180" fontId="62" fillId="0" borderId="207"/>
    <xf numFmtId="180" fontId="62" fillId="0" borderId="207"/>
    <xf numFmtId="172" fontId="62" fillId="0" borderId="207"/>
    <xf numFmtId="0" fontId="8" fillId="25" borderId="204" applyNumberFormat="0" applyFont="0" applyAlignment="0" applyProtection="0"/>
    <xf numFmtId="172" fontId="62" fillId="0" borderId="207"/>
    <xf numFmtId="181" fontId="62" fillId="0" borderId="207"/>
    <xf numFmtId="175" fontId="62" fillId="0" borderId="207"/>
    <xf numFmtId="176" fontId="62" fillId="0" borderId="207"/>
    <xf numFmtId="0" fontId="18" fillId="9" borderId="203" applyNumberFormat="0" applyAlignment="0" applyProtection="0"/>
    <xf numFmtId="172" fontId="62" fillId="0" borderId="207"/>
    <xf numFmtId="180" fontId="62" fillId="0" borderId="207"/>
    <xf numFmtId="175" fontId="62" fillId="0" borderId="207"/>
    <xf numFmtId="180" fontId="62" fillId="0" borderId="207"/>
    <xf numFmtId="172" fontId="62" fillId="0" borderId="207"/>
    <xf numFmtId="180" fontId="62" fillId="0" borderId="207"/>
    <xf numFmtId="175" fontId="62" fillId="0" borderId="207"/>
    <xf numFmtId="175" fontId="62" fillId="0" borderId="207"/>
    <xf numFmtId="172" fontId="62" fillId="0" borderId="207"/>
    <xf numFmtId="175" fontId="62" fillId="0" borderId="207"/>
    <xf numFmtId="176" fontId="62" fillId="0" borderId="207"/>
    <xf numFmtId="175" fontId="62" fillId="0" borderId="207"/>
    <xf numFmtId="180" fontId="62" fillId="0" borderId="207"/>
    <xf numFmtId="180" fontId="62" fillId="0" borderId="207"/>
    <xf numFmtId="172" fontId="62" fillId="0" borderId="207"/>
    <xf numFmtId="0" fontId="21" fillId="22" borderId="205" applyNumberFormat="0" applyAlignment="0" applyProtection="0"/>
    <xf numFmtId="173" fontId="62" fillId="0" borderId="207"/>
    <xf numFmtId="0" fontId="23" fillId="0" borderId="206" applyNumberFormat="0" applyFill="0" applyAlignment="0" applyProtection="0"/>
    <xf numFmtId="0" fontId="8" fillId="25" borderId="204" applyNumberFormat="0" applyFont="0" applyAlignment="0" applyProtection="0"/>
    <xf numFmtId="0" fontId="65" fillId="50" borderId="201">
      <protection locked="0"/>
    </xf>
    <xf numFmtId="176" fontId="62" fillId="0" borderId="207"/>
    <xf numFmtId="0" fontId="23" fillId="0" borderId="206" applyNumberFormat="0" applyFill="0" applyAlignment="0" applyProtection="0"/>
    <xf numFmtId="175" fontId="62" fillId="0" borderId="207"/>
    <xf numFmtId="0" fontId="21" fillId="22" borderId="205" applyNumberFormat="0" applyAlignment="0" applyProtection="0"/>
    <xf numFmtId="172" fontId="62" fillId="0" borderId="207"/>
    <xf numFmtId="182" fontId="62" fillId="0" borderId="207"/>
    <xf numFmtId="172" fontId="62" fillId="0" borderId="207"/>
    <xf numFmtId="180" fontId="62" fillId="0" borderId="207"/>
    <xf numFmtId="0" fontId="11" fillId="22" borderId="203" applyNumberFormat="0" applyAlignment="0" applyProtection="0"/>
    <xf numFmtId="175" fontId="62" fillId="0" borderId="207"/>
    <xf numFmtId="181" fontId="62" fillId="0" borderId="207"/>
    <xf numFmtId="175" fontId="62" fillId="0" borderId="207"/>
    <xf numFmtId="172" fontId="62" fillId="0" borderId="207"/>
    <xf numFmtId="175" fontId="62" fillId="0" borderId="207"/>
    <xf numFmtId="173" fontId="62" fillId="0" borderId="207"/>
    <xf numFmtId="180" fontId="62" fillId="0" borderId="207"/>
    <xf numFmtId="177" fontId="62" fillId="0" borderId="207"/>
    <xf numFmtId="175" fontId="62" fillId="0" borderId="207"/>
    <xf numFmtId="173" fontId="62" fillId="0" borderId="207"/>
    <xf numFmtId="172" fontId="62" fillId="0" borderId="207"/>
    <xf numFmtId="181" fontId="62" fillId="0" borderId="207"/>
    <xf numFmtId="182" fontId="62" fillId="0" borderId="207"/>
    <xf numFmtId="0" fontId="65" fillId="50" borderId="201">
      <protection locked="0"/>
    </xf>
    <xf numFmtId="180" fontId="62" fillId="0" borderId="207"/>
    <xf numFmtId="180" fontId="62" fillId="0" borderId="207"/>
    <xf numFmtId="180" fontId="62" fillId="0" borderId="207"/>
    <xf numFmtId="172" fontId="62" fillId="0" borderId="207"/>
    <xf numFmtId="180" fontId="62" fillId="0" borderId="207"/>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2" fontId="62" fillId="0" borderId="207"/>
    <xf numFmtId="172" fontId="62" fillId="0" borderId="207"/>
    <xf numFmtId="175" fontId="62" fillId="0" borderId="207"/>
    <xf numFmtId="180" fontId="62" fillId="0" borderId="207"/>
    <xf numFmtId="172" fontId="62" fillId="0" borderId="207"/>
    <xf numFmtId="0" fontId="8" fillId="25" borderId="204" applyNumberFormat="0" applyFont="0" applyAlignment="0" applyProtection="0"/>
    <xf numFmtId="175" fontId="62" fillId="0" borderId="207"/>
    <xf numFmtId="177" fontId="62" fillId="0" borderId="207"/>
    <xf numFmtId="180" fontId="62" fillId="0" borderId="207"/>
    <xf numFmtId="172" fontId="62" fillId="0" borderId="207"/>
    <xf numFmtId="175"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5" fontId="62" fillId="0" borderId="207"/>
    <xf numFmtId="180" fontId="62" fillId="0" borderId="207"/>
    <xf numFmtId="172" fontId="62" fillId="0" borderId="207"/>
    <xf numFmtId="180" fontId="62" fillId="0" borderId="207"/>
    <xf numFmtId="180" fontId="62" fillId="0" borderId="207"/>
    <xf numFmtId="175" fontId="62" fillId="0" borderId="207"/>
    <xf numFmtId="175" fontId="62" fillId="0" borderId="207"/>
    <xf numFmtId="172" fontId="62" fillId="0" borderId="207"/>
    <xf numFmtId="172"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5" fontId="62" fillId="0" borderId="207"/>
    <xf numFmtId="0" fontId="18" fillId="9" borderId="203" applyNumberFormat="0" applyAlignment="0" applyProtection="0"/>
    <xf numFmtId="182" fontId="62" fillId="0" borderId="207"/>
    <xf numFmtId="172" fontId="62" fillId="0" borderId="207"/>
    <xf numFmtId="0" fontId="11" fillId="22" borderId="203" applyNumberFormat="0" applyAlignment="0" applyProtection="0"/>
    <xf numFmtId="0" fontId="18" fillId="9" borderId="203" applyNumberFormat="0" applyAlignment="0" applyProtection="0"/>
    <xf numFmtId="182" fontId="62" fillId="0" borderId="207"/>
    <xf numFmtId="181" fontId="62" fillId="0" borderId="207"/>
    <xf numFmtId="180" fontId="62" fillId="0" borderId="207"/>
    <xf numFmtId="172" fontId="62" fillId="0" borderId="207"/>
    <xf numFmtId="176" fontId="62" fillId="0" borderId="207"/>
    <xf numFmtId="177" fontId="62" fillId="0" borderId="207"/>
    <xf numFmtId="176" fontId="62" fillId="0" borderId="207"/>
    <xf numFmtId="175" fontId="62" fillId="0" borderId="207"/>
    <xf numFmtId="177" fontId="62" fillId="0" borderId="207"/>
    <xf numFmtId="181" fontId="62" fillId="0" borderId="207"/>
    <xf numFmtId="174" fontId="62" fillId="0" borderId="207"/>
    <xf numFmtId="0" fontId="11" fillId="22" borderId="203" applyNumberFormat="0" applyAlignment="0" applyProtection="0"/>
    <xf numFmtId="173" fontId="62" fillId="0" borderId="207"/>
    <xf numFmtId="180" fontId="62" fillId="0" borderId="207"/>
    <xf numFmtId="177" fontId="62" fillId="0" borderId="207"/>
    <xf numFmtId="175" fontId="62" fillId="0" borderId="207"/>
    <xf numFmtId="172" fontId="62" fillId="0" borderId="207"/>
    <xf numFmtId="0" fontId="21" fillId="22" borderId="205" applyNumberFormat="0" applyAlignment="0" applyProtection="0"/>
    <xf numFmtId="0" fontId="23" fillId="0" borderId="206" applyNumberFormat="0" applyFill="0" applyAlignment="0" applyProtection="0"/>
    <xf numFmtId="181" fontId="62" fillId="0" borderId="207"/>
    <xf numFmtId="176" fontId="62" fillId="0" borderId="207"/>
    <xf numFmtId="174" fontId="62" fillId="0" borderId="207"/>
    <xf numFmtId="173" fontId="62" fillId="0" borderId="207"/>
    <xf numFmtId="172" fontId="62" fillId="0" borderId="207"/>
    <xf numFmtId="182"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11" fillId="22" borderId="203" applyNumberFormat="0" applyAlignment="0" applyProtection="0"/>
    <xf numFmtId="0" fontId="65" fillId="50" borderId="201">
      <protection locked="0"/>
    </xf>
    <xf numFmtId="0" fontId="11" fillId="22" borderId="203" applyNumberFormat="0" applyAlignment="0" applyProtection="0"/>
    <xf numFmtId="0" fontId="21" fillId="22" borderId="205" applyNumberFormat="0" applyAlignment="0" applyProtection="0"/>
    <xf numFmtId="0" fontId="65" fillId="50" borderId="201">
      <protection locked="0"/>
    </xf>
    <xf numFmtId="174" fontId="62" fillId="0" borderId="207"/>
    <xf numFmtId="173"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23" fillId="0" borderId="206" applyNumberFormat="0" applyFill="0" applyAlignment="0" applyProtection="0"/>
    <xf numFmtId="172" fontId="62" fillId="0" borderId="207"/>
    <xf numFmtId="173"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2" fontId="62" fillId="0" borderId="207"/>
    <xf numFmtId="180" fontId="62" fillId="0" borderId="207"/>
    <xf numFmtId="0" fontId="11" fillId="22" borderId="203" applyNumberFormat="0" applyAlignment="0" applyProtection="0"/>
    <xf numFmtId="0" fontId="65" fillId="50" borderId="201">
      <protection locked="0"/>
    </xf>
    <xf numFmtId="182" fontId="62" fillId="0" borderId="207"/>
    <xf numFmtId="172" fontId="62" fillId="0" borderId="207"/>
    <xf numFmtId="0" fontId="23" fillId="0" borderId="206" applyNumberFormat="0" applyFill="0" applyAlignment="0" applyProtection="0"/>
    <xf numFmtId="180" fontId="62" fillId="0" borderId="207"/>
    <xf numFmtId="0" fontId="65" fillId="50" borderId="201">
      <protection locked="0"/>
    </xf>
    <xf numFmtId="0" fontId="11" fillId="22" borderId="203" applyNumberFormat="0" applyAlignment="0" applyProtection="0"/>
    <xf numFmtId="172" fontId="62" fillId="0" borderId="207"/>
    <xf numFmtId="172" fontId="62" fillId="0" borderId="207"/>
    <xf numFmtId="0" fontId="18" fillId="9" borderId="203" applyNumberFormat="0" applyAlignment="0" applyProtection="0"/>
    <xf numFmtId="173" fontId="62" fillId="0" borderId="207"/>
    <xf numFmtId="172" fontId="62" fillId="0" borderId="207"/>
    <xf numFmtId="175" fontId="62" fillId="0" borderId="207"/>
    <xf numFmtId="172" fontId="62" fillId="0" borderId="207"/>
    <xf numFmtId="175" fontId="62" fillId="0" borderId="207"/>
    <xf numFmtId="176" fontId="62" fillId="0" borderId="207"/>
    <xf numFmtId="177" fontId="62" fillId="0" borderId="207"/>
    <xf numFmtId="0" fontId="8" fillId="25" borderId="204" applyNumberFormat="0" applyFont="0" applyAlignment="0" applyProtection="0"/>
    <xf numFmtId="175" fontId="62" fillId="0" borderId="207"/>
    <xf numFmtId="180" fontId="62" fillId="0" borderId="207"/>
    <xf numFmtId="172" fontId="62" fillId="0" borderId="207"/>
    <xf numFmtId="181" fontId="62" fillId="0" borderId="207"/>
    <xf numFmtId="182" fontId="62" fillId="0" borderId="207"/>
    <xf numFmtId="0" fontId="18" fillId="9" borderId="203" applyNumberFormat="0" applyAlignment="0" applyProtection="0"/>
    <xf numFmtId="180" fontId="62" fillId="0" borderId="207"/>
    <xf numFmtId="180" fontId="62" fillId="0" borderId="207"/>
    <xf numFmtId="175" fontId="62" fillId="0" borderId="207"/>
    <xf numFmtId="172" fontId="62" fillId="0" borderId="207"/>
    <xf numFmtId="176" fontId="62" fillId="0" borderId="207"/>
    <xf numFmtId="172" fontId="62" fillId="0" borderId="207"/>
    <xf numFmtId="172" fontId="62" fillId="0" borderId="207"/>
    <xf numFmtId="175" fontId="62" fillId="0" borderId="207"/>
    <xf numFmtId="175" fontId="62" fillId="0" borderId="207"/>
    <xf numFmtId="172" fontId="62" fillId="0" borderId="207"/>
    <xf numFmtId="0" fontId="18" fillId="9" borderId="203" applyNumberForma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8" fillId="25" borderId="204" applyNumberFormat="0" applyFont="0" applyAlignment="0" applyProtection="0"/>
    <xf numFmtId="174" fontId="62" fillId="0" borderId="207"/>
    <xf numFmtId="175" fontId="62" fillId="0" borderId="207"/>
    <xf numFmtId="180" fontId="62" fillId="0" borderId="207"/>
    <xf numFmtId="0" fontId="11" fillId="22" borderId="203" applyNumberFormat="0" applyAlignment="0" applyProtection="0"/>
    <xf numFmtId="174" fontId="62" fillId="0" borderId="207"/>
    <xf numFmtId="173" fontId="62" fillId="0" borderId="207"/>
    <xf numFmtId="0" fontId="21" fillId="22" borderId="205" applyNumberFormat="0" applyAlignment="0" applyProtection="0"/>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4" fontId="62" fillId="0" borderId="207"/>
    <xf numFmtId="176" fontId="62" fillId="0" borderId="207"/>
    <xf numFmtId="177"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1" fontId="62" fillId="0" borderId="207"/>
    <xf numFmtId="175" fontId="62" fillId="0" borderId="207"/>
    <xf numFmtId="180"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175" fontId="62" fillId="0" borderId="207"/>
    <xf numFmtId="180" fontId="62" fillId="0" borderId="207"/>
    <xf numFmtId="175" fontId="62" fillId="0" borderId="207"/>
    <xf numFmtId="172" fontId="62" fillId="0" borderId="207"/>
    <xf numFmtId="180" fontId="62" fillId="0" borderId="207"/>
    <xf numFmtId="175" fontId="62" fillId="0" borderId="207"/>
    <xf numFmtId="180" fontId="62" fillId="0" borderId="207"/>
    <xf numFmtId="172" fontId="62" fillId="0" borderId="207"/>
    <xf numFmtId="172" fontId="62" fillId="0" borderId="207"/>
    <xf numFmtId="180"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7" fontId="62" fillId="0" borderId="207"/>
    <xf numFmtId="0" fontId="11" fillId="22" borderId="203" applyNumberFormat="0" applyAlignment="0" applyProtection="0"/>
    <xf numFmtId="181" fontId="62" fillId="0" borderId="207"/>
    <xf numFmtId="180" fontId="62" fillId="0" borderId="207"/>
    <xf numFmtId="172" fontId="62" fillId="0" borderId="207"/>
    <xf numFmtId="172" fontId="62" fillId="0" borderId="207"/>
    <xf numFmtId="175" fontId="62" fillId="0" borderId="207"/>
    <xf numFmtId="175" fontId="62" fillId="0" borderId="207"/>
    <xf numFmtId="172" fontId="62" fillId="0" borderId="207"/>
    <xf numFmtId="0" fontId="23" fillId="0" borderId="206" applyNumberFormat="0" applyFill="0" applyAlignment="0" applyProtection="0"/>
    <xf numFmtId="175" fontId="62" fillId="0" borderId="207"/>
    <xf numFmtId="0" fontId="18" fillId="9" borderId="203" applyNumberFormat="0" applyAlignment="0" applyProtection="0"/>
    <xf numFmtId="0" fontId="21" fillId="22" borderId="205" applyNumberFormat="0" applyAlignment="0" applyProtection="0"/>
    <xf numFmtId="0" fontId="8" fillId="25" borderId="204" applyNumberFormat="0" applyFont="0" applyAlignment="0" applyProtection="0"/>
    <xf numFmtId="0" fontId="65" fillId="50" borderId="201">
      <protection locked="0"/>
    </xf>
    <xf numFmtId="180" fontId="62" fillId="0" borderId="207"/>
    <xf numFmtId="0" fontId="11" fillId="22" borderId="203" applyNumberFormat="0" applyAlignment="0" applyProtection="0"/>
    <xf numFmtId="0" fontId="18" fillId="9" borderId="203" applyNumberFormat="0" applyAlignment="0" applyProtection="0"/>
    <xf numFmtId="175" fontId="62" fillId="0" borderId="207"/>
    <xf numFmtId="172" fontId="62" fillId="0" borderId="207"/>
    <xf numFmtId="180" fontId="62" fillId="0" borderId="207"/>
    <xf numFmtId="175" fontId="62" fillId="0" borderId="207"/>
    <xf numFmtId="172" fontId="62" fillId="0" borderId="207"/>
    <xf numFmtId="173" fontId="62" fillId="0" borderId="207"/>
    <xf numFmtId="172" fontId="62" fillId="0" borderId="207"/>
    <xf numFmtId="175" fontId="62" fillId="0" borderId="207"/>
    <xf numFmtId="180" fontId="62" fillId="0" borderId="207"/>
    <xf numFmtId="172" fontId="62" fillId="0" borderId="207"/>
    <xf numFmtId="180" fontId="62" fillId="0" borderId="207"/>
    <xf numFmtId="0" fontId="11" fillId="22" borderId="203" applyNumberFormat="0" applyAlignment="0" applyProtection="0"/>
    <xf numFmtId="182" fontId="62" fillId="0" borderId="207"/>
    <xf numFmtId="176" fontId="62" fillId="0" borderId="207"/>
    <xf numFmtId="180"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23" fillId="0" borderId="206" applyNumberFormat="0" applyFill="0" applyAlignment="0" applyProtection="0"/>
    <xf numFmtId="180" fontId="62" fillId="0" borderId="207"/>
    <xf numFmtId="180" fontId="62" fillId="0" borderId="207"/>
    <xf numFmtId="175" fontId="62" fillId="0" borderId="207"/>
    <xf numFmtId="174" fontId="62" fillId="0" borderId="207"/>
    <xf numFmtId="0" fontId="8" fillId="25" borderId="204" applyNumberFormat="0" applyFont="0" applyAlignment="0" applyProtection="0"/>
    <xf numFmtId="175"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80" fontId="62" fillId="0" borderId="207"/>
    <xf numFmtId="175"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21" fillId="22" borderId="205"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18" fillId="9" borderId="203" applyNumberFormat="0" applyAlignment="0" applyProtection="0"/>
    <xf numFmtId="0" fontId="11" fillId="22" borderId="203" applyNumberFormat="0" applyAlignment="0" applyProtection="0"/>
    <xf numFmtId="177" fontId="62" fillId="0" borderId="207"/>
    <xf numFmtId="0" fontId="8" fillId="25" borderId="204" applyNumberFormat="0" applyFon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21" fillId="22" borderId="205" applyNumberFormat="0" applyAlignment="0" applyProtection="0"/>
    <xf numFmtId="0" fontId="21" fillId="22" borderId="205" applyNumberFormat="0" applyAlignment="0" applyProtection="0"/>
    <xf numFmtId="0" fontId="21" fillId="22" borderId="205" applyNumberForma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3" fillId="0" borderId="206" applyNumberFormat="0" applyFill="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0" fontId="62" fillId="0" borderId="207"/>
    <xf numFmtId="180" fontId="62" fillId="0" borderId="207"/>
    <xf numFmtId="181" fontId="62" fillId="0" borderId="207"/>
    <xf numFmtId="172" fontId="62" fillId="0" borderId="207"/>
    <xf numFmtId="175" fontId="62" fillId="0" borderId="207"/>
    <xf numFmtId="175" fontId="62" fillId="0" borderId="207"/>
    <xf numFmtId="177" fontId="62" fillId="0" borderId="207"/>
    <xf numFmtId="172"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1" fillId="22" borderId="205" applyNumberFormat="0" applyAlignment="0" applyProtection="0"/>
    <xf numFmtId="0" fontId="18" fillId="9" borderId="203" applyNumberFormat="0" applyAlignment="0" applyProtection="0"/>
    <xf numFmtId="0" fontId="8" fillId="25" borderId="204" applyNumberFormat="0" applyFont="0" applyAlignment="0" applyProtection="0"/>
    <xf numFmtId="176" fontId="62" fillId="0" borderId="207"/>
    <xf numFmtId="180" fontId="62" fillId="0" borderId="207"/>
    <xf numFmtId="172" fontId="62" fillId="0" borderId="207"/>
    <xf numFmtId="173" fontId="62" fillId="0" borderId="207"/>
    <xf numFmtId="174" fontId="62" fillId="0" borderId="207"/>
    <xf numFmtId="0" fontId="8" fillId="25" borderId="204" applyNumberFormat="0" applyFont="0" applyAlignment="0" applyProtection="0"/>
    <xf numFmtId="175" fontId="62" fillId="0" borderId="207"/>
    <xf numFmtId="176" fontId="62" fillId="0" borderId="207"/>
    <xf numFmtId="177" fontId="62" fillId="0" borderId="207"/>
    <xf numFmtId="176" fontId="62" fillId="0" borderId="207"/>
    <xf numFmtId="180" fontId="62" fillId="0" borderId="207"/>
    <xf numFmtId="181" fontId="62" fillId="0" borderId="207"/>
    <xf numFmtId="182" fontId="62" fillId="0" borderId="207"/>
    <xf numFmtId="175" fontId="62" fillId="0" borderId="207"/>
    <xf numFmtId="172" fontId="62" fillId="0" borderId="207"/>
    <xf numFmtId="0" fontId="65" fillId="50" borderId="201">
      <protection locked="0"/>
    </xf>
    <xf numFmtId="0" fontId="11" fillId="22" borderId="203" applyNumberFormat="0" applyAlignment="0" applyProtection="0"/>
    <xf numFmtId="0" fontId="8" fillId="25" borderId="204" applyNumberFormat="0" applyFont="0" applyAlignment="0" applyProtection="0"/>
    <xf numFmtId="0" fontId="11" fillId="22" borderId="203" applyNumberFormat="0" applyAlignment="0" applyProtection="0"/>
    <xf numFmtId="182" fontId="62" fillId="0" borderId="207"/>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174" fontId="62" fillId="0" borderId="207"/>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3" fontId="62" fillId="0" borderId="207"/>
    <xf numFmtId="174" fontId="62" fillId="0" borderId="207"/>
    <xf numFmtId="0" fontId="18" fillId="9" borderId="203" applyNumberFormat="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7" fontId="62" fillId="0" borderId="207"/>
    <xf numFmtId="172" fontId="62" fillId="0" borderId="207"/>
    <xf numFmtId="173" fontId="62" fillId="0" borderId="207"/>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172" fontId="62" fillId="0" borderId="207"/>
    <xf numFmtId="180" fontId="62" fillId="0" borderId="207"/>
    <xf numFmtId="175" fontId="62" fillId="0" borderId="207"/>
    <xf numFmtId="175" fontId="62" fillId="0" borderId="207"/>
    <xf numFmtId="180" fontId="62" fillId="0" borderId="207"/>
    <xf numFmtId="172"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65" fillId="50" borderId="201">
      <protection locked="0"/>
    </xf>
    <xf numFmtId="172" fontId="62" fillId="0" borderId="207"/>
    <xf numFmtId="182" fontId="62" fillId="0" borderId="207"/>
    <xf numFmtId="175" fontId="62" fillId="0" borderId="207"/>
    <xf numFmtId="177" fontId="62" fillId="0" borderId="207"/>
    <xf numFmtId="174" fontId="62" fillId="0" borderId="207"/>
    <xf numFmtId="173" fontId="62" fillId="0" borderId="207"/>
    <xf numFmtId="180"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180" fontId="62" fillId="0" borderId="207"/>
    <xf numFmtId="181"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65" fillId="50" borderId="201">
      <protection locked="0"/>
    </xf>
    <xf numFmtId="0" fontId="65" fillId="50" borderId="201">
      <protection locked="0"/>
    </xf>
    <xf numFmtId="0" fontId="11" fillId="22" borderId="203" applyNumberFormat="0" applyAlignment="0" applyProtection="0"/>
    <xf numFmtId="175" fontId="62" fillId="0" borderId="207"/>
    <xf numFmtId="172" fontId="62" fillId="0" borderId="207"/>
    <xf numFmtId="175" fontId="62" fillId="0" borderId="207"/>
    <xf numFmtId="175" fontId="62" fillId="0" borderId="207"/>
    <xf numFmtId="0" fontId="21" fillId="22" borderId="205" applyNumberFormat="0" applyAlignment="0" applyProtection="0"/>
    <xf numFmtId="180" fontId="62" fillId="0" borderId="207"/>
    <xf numFmtId="175" fontId="62" fillId="0" borderId="207"/>
    <xf numFmtId="0" fontId="65" fillId="50" borderId="201">
      <protection locked="0"/>
    </xf>
    <xf numFmtId="0" fontId="21" fillId="22" borderId="205" applyNumberFormat="0" applyAlignment="0" applyProtection="0"/>
    <xf numFmtId="0" fontId="8" fillId="25" borderId="204" applyNumberFormat="0" applyFont="0" applyAlignment="0" applyProtection="0"/>
    <xf numFmtId="172" fontId="62" fillId="0" borderId="207"/>
    <xf numFmtId="0" fontId="8" fillId="25" borderId="204" applyNumberFormat="0" applyFont="0" applyAlignment="0" applyProtection="0"/>
    <xf numFmtId="174" fontId="62" fillId="0" borderId="207"/>
    <xf numFmtId="0" fontId="23" fillId="0" borderId="206" applyNumberFormat="0" applyFill="0" applyAlignment="0" applyProtection="0"/>
    <xf numFmtId="176" fontId="62" fillId="0" borderId="207"/>
    <xf numFmtId="175" fontId="62" fillId="0" borderId="207"/>
    <xf numFmtId="0" fontId="23" fillId="0" borderId="206" applyNumberFormat="0" applyFill="0" applyAlignment="0" applyProtection="0"/>
    <xf numFmtId="182" fontId="62" fillId="0" borderId="207"/>
    <xf numFmtId="175" fontId="62" fillId="0" borderId="207"/>
    <xf numFmtId="175" fontId="62" fillId="0" borderId="207"/>
    <xf numFmtId="0" fontId="18" fillId="9" borderId="203" applyNumberFormat="0" applyAlignment="0" applyProtection="0"/>
    <xf numFmtId="0" fontId="21" fillId="22" borderId="205" applyNumberFormat="0" applyAlignment="0" applyProtection="0"/>
    <xf numFmtId="172" fontId="62" fillId="0" borderId="207"/>
    <xf numFmtId="0" fontId="8" fillId="25" borderId="204" applyNumberFormat="0" applyFont="0" applyAlignment="0" applyProtection="0"/>
    <xf numFmtId="173" fontId="62" fillId="0" borderId="207"/>
    <xf numFmtId="177" fontId="62" fillId="0" borderId="207"/>
    <xf numFmtId="0" fontId="23" fillId="0" borderId="206" applyNumberFormat="0" applyFill="0" applyAlignment="0" applyProtection="0"/>
    <xf numFmtId="0" fontId="8" fillId="25" borderId="204" applyNumberFormat="0" applyFont="0" applyAlignment="0" applyProtection="0"/>
    <xf numFmtId="176" fontId="62" fillId="0" borderId="207"/>
    <xf numFmtId="172" fontId="62" fillId="0" borderId="207"/>
    <xf numFmtId="180" fontId="62" fillId="0" borderId="207"/>
    <xf numFmtId="0" fontId="18" fillId="9" borderId="203" applyNumberFormat="0" applyAlignment="0" applyProtection="0"/>
    <xf numFmtId="172" fontId="62" fillId="0" borderId="207"/>
    <xf numFmtId="0" fontId="21" fillId="22" borderId="205" applyNumberFormat="0" applyAlignment="0" applyProtection="0"/>
    <xf numFmtId="180" fontId="62" fillId="0" borderId="207"/>
    <xf numFmtId="172" fontId="62" fillId="0" borderId="207"/>
    <xf numFmtId="180" fontId="62" fillId="0" borderId="207"/>
    <xf numFmtId="175" fontId="62" fillId="0" borderId="207"/>
    <xf numFmtId="173" fontId="62" fillId="0" borderId="207"/>
    <xf numFmtId="172" fontId="62" fillId="0" borderId="207"/>
    <xf numFmtId="175" fontId="62" fillId="0" borderId="207"/>
    <xf numFmtId="174" fontId="62" fillId="0" borderId="207"/>
    <xf numFmtId="181" fontId="62" fillId="0" borderId="207"/>
    <xf numFmtId="180" fontId="62" fillId="0" borderId="207"/>
    <xf numFmtId="175" fontId="62" fillId="0" borderId="207"/>
    <xf numFmtId="172" fontId="62" fillId="0" borderId="207"/>
    <xf numFmtId="180" fontId="62" fillId="0" borderId="207"/>
    <xf numFmtId="175" fontId="62" fillId="0" borderId="207"/>
    <xf numFmtId="172" fontId="62" fillId="0" borderId="207"/>
    <xf numFmtId="180" fontId="62" fillId="0" borderId="207"/>
    <xf numFmtId="180" fontId="62" fillId="0" borderId="207"/>
    <xf numFmtId="181" fontId="62" fillId="0" borderId="207"/>
    <xf numFmtId="177" fontId="62" fillId="0" borderId="207"/>
    <xf numFmtId="172" fontId="62" fillId="0" borderId="207"/>
    <xf numFmtId="0" fontId="23" fillId="0" borderId="206" applyNumberFormat="0" applyFill="0" applyAlignment="0" applyProtection="0"/>
    <xf numFmtId="0" fontId="11" fillId="22" borderId="203" applyNumberFormat="0" applyAlignment="0" applyProtection="0"/>
    <xf numFmtId="172" fontId="62" fillId="0" borderId="207"/>
    <xf numFmtId="174" fontId="62" fillId="0" borderId="207"/>
    <xf numFmtId="172" fontId="62" fillId="0" borderId="207"/>
    <xf numFmtId="175" fontId="62" fillId="0" borderId="207"/>
    <xf numFmtId="180" fontId="62" fillId="0" borderId="207"/>
    <xf numFmtId="172" fontId="62" fillId="0" borderId="207"/>
    <xf numFmtId="0" fontId="18" fillId="9" borderId="203" applyNumberFormat="0" applyAlignment="0" applyProtection="0"/>
    <xf numFmtId="174" fontId="62" fillId="0" borderId="207"/>
    <xf numFmtId="0" fontId="11" fillId="22" borderId="203" applyNumberFormat="0" applyAlignment="0" applyProtection="0"/>
    <xf numFmtId="182" fontId="62" fillId="0" borderId="207"/>
    <xf numFmtId="172" fontId="62" fillId="0" borderId="207"/>
    <xf numFmtId="173" fontId="62" fillId="0" borderId="207"/>
    <xf numFmtId="175" fontId="62" fillId="0" borderId="207"/>
    <xf numFmtId="176" fontId="62" fillId="0" borderId="207"/>
    <xf numFmtId="175" fontId="62" fillId="0" borderId="207"/>
    <xf numFmtId="175" fontId="62" fillId="0" borderId="207"/>
    <xf numFmtId="0" fontId="11" fillId="22" borderId="203" applyNumberFormat="0" applyAlignment="0" applyProtection="0"/>
    <xf numFmtId="172" fontId="62" fillId="0" borderId="207"/>
    <xf numFmtId="175" fontId="62" fillId="0" borderId="207"/>
    <xf numFmtId="182" fontId="62" fillId="0" borderId="207"/>
    <xf numFmtId="172"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172" fontId="62" fillId="0" borderId="207"/>
    <xf numFmtId="180" fontId="62" fillId="0" borderId="207"/>
    <xf numFmtId="180" fontId="62" fillId="0" borderId="207"/>
    <xf numFmtId="0" fontId="65" fillId="50" borderId="201">
      <protection locked="0"/>
    </xf>
    <xf numFmtId="0" fontId="8" fillId="25" borderId="204" applyNumberFormat="0" applyFont="0" applyAlignment="0" applyProtection="0"/>
    <xf numFmtId="180" fontId="62" fillId="0" borderId="207"/>
    <xf numFmtId="177"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0" fontId="21" fillId="22" borderId="205" applyNumberFormat="0" applyAlignment="0" applyProtection="0"/>
    <xf numFmtId="175" fontId="62" fillId="0" borderId="207"/>
    <xf numFmtId="175" fontId="62" fillId="0" borderId="207"/>
    <xf numFmtId="173" fontId="62" fillId="0" borderId="207"/>
    <xf numFmtId="175" fontId="62" fillId="0" borderId="207"/>
    <xf numFmtId="180" fontId="62" fillId="0" borderId="207"/>
    <xf numFmtId="180" fontId="62" fillId="0" borderId="207"/>
    <xf numFmtId="172" fontId="62" fillId="0" borderId="207"/>
    <xf numFmtId="175" fontId="62" fillId="0" borderId="207"/>
    <xf numFmtId="180" fontId="62" fillId="0" borderId="207"/>
    <xf numFmtId="172" fontId="62" fillId="0" borderId="207"/>
    <xf numFmtId="174" fontId="62" fillId="0" borderId="207"/>
    <xf numFmtId="180" fontId="62" fillId="0" borderId="207"/>
    <xf numFmtId="0" fontId="23" fillId="0" borderId="206" applyNumberFormat="0" applyFill="0" applyAlignment="0" applyProtection="0"/>
    <xf numFmtId="175" fontId="62" fillId="0" borderId="207"/>
    <xf numFmtId="175" fontId="62" fillId="0" borderId="207"/>
    <xf numFmtId="180" fontId="62" fillId="0" borderId="207"/>
    <xf numFmtId="172" fontId="62" fillId="0" borderId="207"/>
    <xf numFmtId="0" fontId="18" fillId="9" borderId="203" applyNumberFormat="0" applyAlignment="0" applyProtection="0"/>
    <xf numFmtId="177" fontId="62" fillId="0" borderId="207"/>
    <xf numFmtId="176" fontId="62" fillId="0" borderId="207"/>
    <xf numFmtId="181" fontId="62" fillId="0" borderId="207"/>
    <xf numFmtId="176" fontId="62" fillId="0" borderId="207"/>
    <xf numFmtId="181" fontId="62" fillId="0" borderId="207"/>
    <xf numFmtId="173" fontId="62" fillId="0" borderId="207"/>
    <xf numFmtId="0" fontId="65" fillId="50" borderId="201">
      <protection locked="0"/>
    </xf>
    <xf numFmtId="181" fontId="62" fillId="0" borderId="207"/>
    <xf numFmtId="182" fontId="62" fillId="0" borderId="207"/>
    <xf numFmtId="0" fontId="65" fillId="50" borderId="201">
      <protection locked="0"/>
    </xf>
    <xf numFmtId="175" fontId="62" fillId="0" borderId="207"/>
    <xf numFmtId="182" fontId="62" fillId="0" borderId="207"/>
    <xf numFmtId="177" fontId="62" fillId="0" borderId="207"/>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0" fontId="62" fillId="0" borderId="207"/>
    <xf numFmtId="172" fontId="62" fillId="0" borderId="207"/>
    <xf numFmtId="175" fontId="62" fillId="0" borderId="207"/>
    <xf numFmtId="180" fontId="62" fillId="0" borderId="207"/>
    <xf numFmtId="180" fontId="62" fillId="0" borderId="207"/>
    <xf numFmtId="180" fontId="62" fillId="0" borderId="207"/>
    <xf numFmtId="175" fontId="62" fillId="0" borderId="207"/>
    <xf numFmtId="180" fontId="62" fillId="0" borderId="207"/>
    <xf numFmtId="180" fontId="62" fillId="0" borderId="207"/>
    <xf numFmtId="175" fontId="62" fillId="0" borderId="207"/>
    <xf numFmtId="175" fontId="62" fillId="0" borderId="207"/>
    <xf numFmtId="0" fontId="21" fillId="22" borderId="205" applyNumberFormat="0" applyAlignment="0" applyProtection="0"/>
    <xf numFmtId="175" fontId="62" fillId="0" borderId="207"/>
    <xf numFmtId="0" fontId="23" fillId="0" borderId="206" applyNumberFormat="0" applyFill="0" applyAlignment="0" applyProtection="0"/>
    <xf numFmtId="172" fontId="62" fillId="0" borderId="207"/>
    <xf numFmtId="172" fontId="62" fillId="0" borderId="207"/>
    <xf numFmtId="175" fontId="62" fillId="0" borderId="207"/>
    <xf numFmtId="176" fontId="62" fillId="0" borderId="207"/>
    <xf numFmtId="0" fontId="18" fillId="9" borderId="203" applyNumberFormat="0" applyAlignment="0" applyProtection="0"/>
    <xf numFmtId="172" fontId="62" fillId="0" borderId="207"/>
    <xf numFmtId="0" fontId="21" fillId="22" borderId="205" applyNumberFormat="0" applyAlignment="0" applyProtection="0"/>
    <xf numFmtId="174" fontId="62" fillId="0" borderId="207"/>
    <xf numFmtId="172" fontId="62" fillId="0" borderId="207"/>
    <xf numFmtId="0" fontId="18" fillId="9" borderId="203" applyNumberFormat="0" applyAlignment="0" applyProtection="0"/>
    <xf numFmtId="177" fontId="62" fillId="0" borderId="207"/>
    <xf numFmtId="0" fontId="11" fillId="22" borderId="203" applyNumberFormat="0" applyAlignment="0" applyProtection="0"/>
    <xf numFmtId="172" fontId="62" fillId="0" borderId="207"/>
    <xf numFmtId="172" fontId="62" fillId="0" borderId="207"/>
    <xf numFmtId="180" fontId="62" fillId="0" borderId="207"/>
    <xf numFmtId="0" fontId="65" fillId="50" borderId="201">
      <protection locked="0"/>
    </xf>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6" fontId="62" fillId="0" borderId="207"/>
    <xf numFmtId="180" fontId="62" fillId="0" borderId="207"/>
    <xf numFmtId="172" fontId="62" fillId="0" borderId="207"/>
    <xf numFmtId="172" fontId="62" fillId="0" borderId="207"/>
    <xf numFmtId="0" fontId="23" fillId="0" borderId="206" applyNumberFormat="0" applyFill="0" applyAlignment="0" applyProtection="0"/>
    <xf numFmtId="180" fontId="62" fillId="0" borderId="207"/>
    <xf numFmtId="172" fontId="62" fillId="0" borderId="207"/>
    <xf numFmtId="172" fontId="62" fillId="0" borderId="207"/>
    <xf numFmtId="180" fontId="62" fillId="0" borderId="207"/>
    <xf numFmtId="175" fontId="62" fillId="0" borderId="207"/>
    <xf numFmtId="175" fontId="62" fillId="0" borderId="207"/>
    <xf numFmtId="180" fontId="62" fillId="0" borderId="207"/>
    <xf numFmtId="180" fontId="62" fillId="0" borderId="207"/>
    <xf numFmtId="180" fontId="62" fillId="0" borderId="207"/>
    <xf numFmtId="172" fontId="62" fillId="0" borderId="207"/>
    <xf numFmtId="174" fontId="62" fillId="0" borderId="207"/>
    <xf numFmtId="172" fontId="62" fillId="0" borderId="207"/>
    <xf numFmtId="180" fontId="62" fillId="0" borderId="207"/>
    <xf numFmtId="0" fontId="18" fillId="9" borderId="203" applyNumberFormat="0" applyAlignment="0" applyProtection="0"/>
    <xf numFmtId="180" fontId="62" fillId="0" borderId="207"/>
    <xf numFmtId="180" fontId="62" fillId="0" borderId="207"/>
    <xf numFmtId="0" fontId="23" fillId="0" borderId="206" applyNumberFormat="0" applyFill="0" applyAlignment="0" applyProtection="0"/>
    <xf numFmtId="172" fontId="62" fillId="0" borderId="207"/>
    <xf numFmtId="0" fontId="8" fillId="25" borderId="204" applyNumberFormat="0" applyFont="0" applyAlignment="0" applyProtection="0"/>
    <xf numFmtId="0" fontId="18" fillId="9" borderId="203" applyNumberFormat="0" applyAlignment="0" applyProtection="0"/>
    <xf numFmtId="172" fontId="62" fillId="0" borderId="207"/>
    <xf numFmtId="180" fontId="62" fillId="0" borderId="207"/>
    <xf numFmtId="0" fontId="8" fillId="25" borderId="204" applyNumberFormat="0" applyFont="0" applyAlignment="0" applyProtection="0"/>
    <xf numFmtId="0" fontId="11" fillId="22" borderId="203" applyNumberFormat="0" applyAlignment="0" applyProtection="0"/>
    <xf numFmtId="172"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2" fontId="62" fillId="0" borderId="207"/>
    <xf numFmtId="181" fontId="62" fillId="0" borderId="207"/>
    <xf numFmtId="175" fontId="62" fillId="0" borderId="207"/>
    <xf numFmtId="175" fontId="62" fillId="0" borderId="207"/>
    <xf numFmtId="174" fontId="62" fillId="0" borderId="207"/>
    <xf numFmtId="180" fontId="62" fillId="0" borderId="207"/>
    <xf numFmtId="173" fontId="62" fillId="0" borderId="207"/>
    <xf numFmtId="0" fontId="21" fillId="22" borderId="205" applyNumberFormat="0" applyAlignment="0" applyProtection="0"/>
    <xf numFmtId="172" fontId="62" fillId="0" borderId="207"/>
    <xf numFmtId="175" fontId="62" fillId="0" borderId="207"/>
    <xf numFmtId="180" fontId="62" fillId="0" borderId="207"/>
    <xf numFmtId="0" fontId="11" fillId="22" borderId="203" applyNumberFormat="0" applyAlignment="0" applyProtection="0"/>
    <xf numFmtId="175" fontId="62" fillId="0" borderId="207"/>
    <xf numFmtId="176" fontId="62" fillId="0" borderId="207"/>
    <xf numFmtId="175" fontId="62" fillId="0" borderId="207"/>
    <xf numFmtId="182" fontId="62" fillId="0" borderId="207"/>
    <xf numFmtId="177" fontId="62" fillId="0" borderId="207"/>
    <xf numFmtId="173"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5" fontId="62" fillId="0" borderId="207"/>
    <xf numFmtId="175" fontId="62" fillId="0" borderId="207"/>
    <xf numFmtId="175" fontId="62" fillId="0" borderId="207"/>
    <xf numFmtId="172" fontId="62" fillId="0" borderId="207"/>
    <xf numFmtId="0" fontId="18" fillId="9" borderId="203" applyNumberFormat="0" applyAlignment="0" applyProtection="0"/>
    <xf numFmtId="175" fontId="62" fillId="0" borderId="207"/>
    <xf numFmtId="172" fontId="62" fillId="0" borderId="207"/>
    <xf numFmtId="180" fontId="62" fillId="0" borderId="207"/>
    <xf numFmtId="174" fontId="62" fillId="0" borderId="207"/>
    <xf numFmtId="174" fontId="62" fillId="0" borderId="207"/>
    <xf numFmtId="172" fontId="62" fillId="0" borderId="207"/>
    <xf numFmtId="174" fontId="62" fillId="0" borderId="207"/>
    <xf numFmtId="175" fontId="62" fillId="0" borderId="207"/>
    <xf numFmtId="177" fontId="62" fillId="0" borderId="207"/>
    <xf numFmtId="172" fontId="62" fillId="0" borderId="207"/>
    <xf numFmtId="0" fontId="11" fillId="22" borderId="203" applyNumberFormat="0" applyAlignment="0" applyProtection="0"/>
    <xf numFmtId="180" fontId="62" fillId="0" borderId="207"/>
    <xf numFmtId="180" fontId="62" fillId="0" borderId="207"/>
    <xf numFmtId="180" fontId="62" fillId="0" borderId="207"/>
    <xf numFmtId="172" fontId="62" fillId="0" borderId="207"/>
    <xf numFmtId="0" fontId="8" fillId="25" borderId="204" applyNumberFormat="0" applyFont="0" applyAlignment="0" applyProtection="0"/>
    <xf numFmtId="172" fontId="62" fillId="0" borderId="207"/>
    <xf numFmtId="181" fontId="62" fillId="0" borderId="207"/>
    <xf numFmtId="175" fontId="62" fillId="0" borderId="207"/>
    <xf numFmtId="176" fontId="62" fillId="0" borderId="207"/>
    <xf numFmtId="0" fontId="18" fillId="9" borderId="203" applyNumberFormat="0" applyAlignment="0" applyProtection="0"/>
    <xf numFmtId="172" fontId="62" fillId="0" borderId="207"/>
    <xf numFmtId="180" fontId="62" fillId="0" borderId="207"/>
    <xf numFmtId="175" fontId="62" fillId="0" borderId="207"/>
    <xf numFmtId="180" fontId="62" fillId="0" borderId="207"/>
    <xf numFmtId="172" fontId="62" fillId="0" borderId="207"/>
    <xf numFmtId="180" fontId="62" fillId="0" borderId="207"/>
    <xf numFmtId="175" fontId="62" fillId="0" borderId="207"/>
    <xf numFmtId="175" fontId="62" fillId="0" borderId="207"/>
    <xf numFmtId="172" fontId="62" fillId="0" borderId="207"/>
    <xf numFmtId="175" fontId="62" fillId="0" borderId="207"/>
    <xf numFmtId="176" fontId="62" fillId="0" borderId="207"/>
    <xf numFmtId="175" fontId="62" fillId="0" borderId="207"/>
    <xf numFmtId="180" fontId="62" fillId="0" borderId="207"/>
    <xf numFmtId="180" fontId="62" fillId="0" borderId="207"/>
    <xf numFmtId="172" fontId="62" fillId="0" borderId="207"/>
    <xf numFmtId="0" fontId="21" fillId="22" borderId="205" applyNumberFormat="0" applyAlignment="0" applyProtection="0"/>
    <xf numFmtId="173" fontId="62" fillId="0" borderId="207"/>
    <xf numFmtId="0" fontId="23" fillId="0" borderId="206" applyNumberFormat="0" applyFill="0" applyAlignment="0" applyProtection="0"/>
    <xf numFmtId="0" fontId="8" fillId="25" borderId="204" applyNumberFormat="0" applyFont="0" applyAlignment="0" applyProtection="0"/>
    <xf numFmtId="175" fontId="62" fillId="0" borderId="207"/>
    <xf numFmtId="0" fontId="65" fillId="50" borderId="201">
      <protection locked="0"/>
    </xf>
    <xf numFmtId="176" fontId="62" fillId="0" borderId="207"/>
    <xf numFmtId="0" fontId="23" fillId="0" borderId="206" applyNumberFormat="0" applyFill="0" applyAlignment="0" applyProtection="0"/>
    <xf numFmtId="175" fontId="62" fillId="0" borderId="207"/>
    <xf numFmtId="0" fontId="21" fillId="22" borderId="205" applyNumberFormat="0" applyAlignment="0" applyProtection="0"/>
    <xf numFmtId="172" fontId="62" fillId="0" borderId="207"/>
    <xf numFmtId="182" fontId="62" fillId="0" borderId="207"/>
    <xf numFmtId="172" fontId="62" fillId="0" borderId="207"/>
    <xf numFmtId="180" fontId="62" fillId="0" borderId="207"/>
    <xf numFmtId="0" fontId="11" fillId="22" borderId="203" applyNumberFormat="0" applyAlignment="0" applyProtection="0"/>
    <xf numFmtId="175" fontId="62" fillId="0" borderId="207"/>
    <xf numFmtId="181" fontId="62" fillId="0" borderId="207"/>
    <xf numFmtId="175" fontId="62" fillId="0" borderId="207"/>
    <xf numFmtId="172" fontId="62" fillId="0" borderId="207"/>
    <xf numFmtId="175" fontId="62" fillId="0" borderId="207"/>
    <xf numFmtId="173" fontId="62" fillId="0" borderId="207"/>
    <xf numFmtId="180" fontId="62" fillId="0" borderId="207"/>
    <xf numFmtId="177" fontId="62" fillId="0" borderId="207"/>
    <xf numFmtId="175" fontId="62" fillId="0" borderId="207"/>
    <xf numFmtId="173" fontId="62" fillId="0" borderId="207"/>
    <xf numFmtId="172" fontId="62" fillId="0" borderId="207"/>
    <xf numFmtId="181" fontId="62" fillId="0" borderId="207"/>
    <xf numFmtId="182" fontId="62" fillId="0" borderId="207"/>
    <xf numFmtId="0" fontId="65" fillId="50" borderId="201">
      <protection locked="0"/>
    </xf>
    <xf numFmtId="180" fontId="62" fillId="0" borderId="207"/>
    <xf numFmtId="180" fontId="62" fillId="0" borderId="207"/>
    <xf numFmtId="180" fontId="62" fillId="0" borderId="207"/>
    <xf numFmtId="172" fontId="62" fillId="0" borderId="207"/>
    <xf numFmtId="180" fontId="62" fillId="0" borderId="207"/>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2" fontId="62" fillId="0" borderId="207"/>
    <xf numFmtId="172" fontId="62" fillId="0" borderId="207"/>
    <xf numFmtId="175" fontId="62" fillId="0" borderId="207"/>
    <xf numFmtId="180" fontId="62" fillId="0" borderId="207"/>
    <xf numFmtId="172" fontId="62" fillId="0" borderId="207"/>
    <xf numFmtId="0" fontId="8" fillId="25" borderId="204" applyNumberFormat="0" applyFont="0" applyAlignment="0" applyProtection="0"/>
    <xf numFmtId="175" fontId="62" fillId="0" borderId="207"/>
    <xf numFmtId="177" fontId="62" fillId="0" borderId="207"/>
    <xf numFmtId="180" fontId="62" fillId="0" borderId="207"/>
    <xf numFmtId="172" fontId="62" fillId="0" borderId="207"/>
    <xf numFmtId="175"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5" fontId="62" fillId="0" borderId="207"/>
    <xf numFmtId="180" fontId="62" fillId="0" borderId="207"/>
    <xf numFmtId="172" fontId="62" fillId="0" borderId="207"/>
    <xf numFmtId="180" fontId="62" fillId="0" borderId="207"/>
    <xf numFmtId="180" fontId="62" fillId="0" borderId="207"/>
    <xf numFmtId="175" fontId="62" fillId="0" borderId="207"/>
    <xf numFmtId="175" fontId="62" fillId="0" borderId="207"/>
    <xf numFmtId="172" fontId="62" fillId="0" borderId="207"/>
    <xf numFmtId="172" fontId="62" fillId="0" borderId="207"/>
    <xf numFmtId="17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5" fontId="62" fillId="0" borderId="207"/>
    <xf numFmtId="0" fontId="65" fillId="50" borderId="201">
      <protection locked="0"/>
    </xf>
    <xf numFmtId="182" fontId="62" fillId="0" borderId="207"/>
    <xf numFmtId="172" fontId="62" fillId="0" borderId="207"/>
    <xf numFmtId="0" fontId="11" fillId="22" borderId="203" applyNumberFormat="0" applyAlignment="0" applyProtection="0"/>
    <xf numFmtId="0" fontId="18" fillId="9" borderId="203" applyNumberFormat="0" applyAlignment="0" applyProtection="0"/>
    <xf numFmtId="182" fontId="62" fillId="0" borderId="207"/>
    <xf numFmtId="181" fontId="62" fillId="0" borderId="207"/>
    <xf numFmtId="180" fontId="62" fillId="0" borderId="207"/>
    <xf numFmtId="172" fontId="62" fillId="0" borderId="207"/>
    <xf numFmtId="176" fontId="62" fillId="0" borderId="207"/>
    <xf numFmtId="177" fontId="62" fillId="0" borderId="207"/>
    <xf numFmtId="176" fontId="62" fillId="0" borderId="207"/>
    <xf numFmtId="175" fontId="62" fillId="0" borderId="207"/>
    <xf numFmtId="177" fontId="62" fillId="0" borderId="207"/>
    <xf numFmtId="181" fontId="62" fillId="0" borderId="207"/>
    <xf numFmtId="174" fontId="62" fillId="0" borderId="207"/>
    <xf numFmtId="0" fontId="11" fillId="22" borderId="203" applyNumberFormat="0" applyAlignment="0" applyProtection="0"/>
    <xf numFmtId="173" fontId="62" fillId="0" borderId="207"/>
    <xf numFmtId="180" fontId="62" fillId="0" borderId="207"/>
    <xf numFmtId="177" fontId="62" fillId="0" borderId="207"/>
    <xf numFmtId="175" fontId="62" fillId="0" borderId="207"/>
    <xf numFmtId="172" fontId="62" fillId="0" borderId="207"/>
    <xf numFmtId="0" fontId="21" fillId="22" borderId="205" applyNumberFormat="0" applyAlignment="0" applyProtection="0"/>
    <xf numFmtId="0" fontId="23" fillId="0" borderId="206" applyNumberFormat="0" applyFill="0" applyAlignment="0" applyProtection="0"/>
    <xf numFmtId="181" fontId="62" fillId="0" borderId="207"/>
    <xf numFmtId="176" fontId="62" fillId="0" borderId="207"/>
    <xf numFmtId="174" fontId="62" fillId="0" borderId="207"/>
    <xf numFmtId="173" fontId="62" fillId="0" borderId="207"/>
    <xf numFmtId="172" fontId="62" fillId="0" borderId="207"/>
    <xf numFmtId="182"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11" fillId="22" borderId="203" applyNumberFormat="0" applyAlignment="0" applyProtection="0"/>
    <xf numFmtId="0" fontId="65" fillId="50" borderId="201">
      <protection locked="0"/>
    </xf>
    <xf numFmtId="0" fontId="11" fillId="22" borderId="203" applyNumberFormat="0" applyAlignment="0" applyProtection="0"/>
    <xf numFmtId="0" fontId="21" fillId="22" borderId="205" applyNumberFormat="0" applyAlignment="0" applyProtection="0"/>
    <xf numFmtId="0" fontId="65" fillId="50" borderId="201">
      <protection locked="0"/>
    </xf>
    <xf numFmtId="174" fontId="62" fillId="0" borderId="207"/>
    <xf numFmtId="173"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23" fillId="0" borderId="206" applyNumberFormat="0" applyFill="0" applyAlignment="0" applyProtection="0"/>
    <xf numFmtId="172" fontId="62" fillId="0" borderId="207"/>
    <xf numFmtId="173"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2" fontId="62" fillId="0" borderId="207"/>
    <xf numFmtId="180" fontId="62" fillId="0" borderId="207"/>
    <xf numFmtId="0" fontId="11" fillId="22" borderId="203" applyNumberFormat="0" applyAlignment="0" applyProtection="0"/>
    <xf numFmtId="0" fontId="65" fillId="50" borderId="201">
      <protection locked="0"/>
    </xf>
    <xf numFmtId="182" fontId="62" fillId="0" borderId="207"/>
    <xf numFmtId="172" fontId="62" fillId="0" borderId="207"/>
    <xf numFmtId="0" fontId="23" fillId="0" borderId="206" applyNumberFormat="0" applyFill="0" applyAlignment="0" applyProtection="0"/>
    <xf numFmtId="180" fontId="62" fillId="0" borderId="207"/>
    <xf numFmtId="0" fontId="65" fillId="50" borderId="201">
      <protection locked="0"/>
    </xf>
    <xf numFmtId="0" fontId="11" fillId="22" borderId="203" applyNumberFormat="0" applyAlignment="0" applyProtection="0"/>
    <xf numFmtId="172" fontId="62" fillId="0" borderId="207"/>
    <xf numFmtId="172" fontId="62" fillId="0" borderId="207"/>
    <xf numFmtId="0" fontId="18" fillId="9" borderId="203" applyNumberFormat="0" applyAlignment="0" applyProtection="0"/>
    <xf numFmtId="173" fontId="62" fillId="0" borderId="207"/>
    <xf numFmtId="172" fontId="62" fillId="0" borderId="207"/>
    <xf numFmtId="175" fontId="62" fillId="0" borderId="207"/>
    <xf numFmtId="172" fontId="62" fillId="0" borderId="207"/>
    <xf numFmtId="175" fontId="62" fillId="0" borderId="207"/>
    <xf numFmtId="176" fontId="62" fillId="0" borderId="207"/>
    <xf numFmtId="177" fontId="62" fillId="0" borderId="207"/>
    <xf numFmtId="0" fontId="8" fillId="25" borderId="204" applyNumberFormat="0" applyFont="0" applyAlignment="0" applyProtection="0"/>
    <xf numFmtId="175" fontId="62" fillId="0" borderId="207"/>
    <xf numFmtId="180" fontId="62" fillId="0" borderId="207"/>
    <xf numFmtId="172" fontId="62" fillId="0" borderId="207"/>
    <xf numFmtId="181" fontId="62" fillId="0" borderId="207"/>
    <xf numFmtId="182" fontId="62" fillId="0" borderId="207"/>
    <xf numFmtId="0" fontId="18" fillId="9" borderId="203" applyNumberFormat="0" applyAlignment="0" applyProtection="0"/>
    <xf numFmtId="180" fontId="62" fillId="0" borderId="207"/>
    <xf numFmtId="180" fontId="62" fillId="0" borderId="207"/>
    <xf numFmtId="175" fontId="62" fillId="0" borderId="207"/>
    <xf numFmtId="172" fontId="62" fillId="0" borderId="207"/>
    <xf numFmtId="176" fontId="62" fillId="0" borderId="207"/>
    <xf numFmtId="172" fontId="62" fillId="0" borderId="207"/>
    <xf numFmtId="172" fontId="62" fillId="0" borderId="207"/>
    <xf numFmtId="175" fontId="62" fillId="0" borderId="207"/>
    <xf numFmtId="175" fontId="62" fillId="0" borderId="207"/>
    <xf numFmtId="172" fontId="62" fillId="0" borderId="207"/>
    <xf numFmtId="0" fontId="18" fillId="9" borderId="203" applyNumberForma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8" fillId="25" borderId="204" applyNumberFormat="0" applyFont="0" applyAlignment="0" applyProtection="0"/>
    <xf numFmtId="174" fontId="62" fillId="0" borderId="207"/>
    <xf numFmtId="175" fontId="62" fillId="0" borderId="207"/>
    <xf numFmtId="180" fontId="62" fillId="0" borderId="207"/>
    <xf numFmtId="0" fontId="11" fillId="22" borderId="203" applyNumberFormat="0" applyAlignment="0" applyProtection="0"/>
    <xf numFmtId="174" fontId="62" fillId="0" borderId="207"/>
    <xf numFmtId="173" fontId="62" fillId="0" borderId="207"/>
    <xf numFmtId="0" fontId="21" fillId="22" borderId="205" applyNumberFormat="0" applyAlignment="0" applyProtection="0"/>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4" fontId="62" fillId="0" borderId="207"/>
    <xf numFmtId="176" fontId="62" fillId="0" borderId="207"/>
    <xf numFmtId="177"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1" fontId="62" fillId="0" borderId="207"/>
    <xf numFmtId="175" fontId="62" fillId="0" borderId="207"/>
    <xf numFmtId="180"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175" fontId="62" fillId="0" borderId="207"/>
    <xf numFmtId="180" fontId="62" fillId="0" borderId="207"/>
    <xf numFmtId="175" fontId="62" fillId="0" borderId="207"/>
    <xf numFmtId="172" fontId="62" fillId="0" borderId="207"/>
    <xf numFmtId="180" fontId="62" fillId="0" borderId="207"/>
    <xf numFmtId="175" fontId="62" fillId="0" borderId="207"/>
    <xf numFmtId="180" fontId="62" fillId="0" borderId="207"/>
    <xf numFmtId="172" fontId="62" fillId="0" borderId="207"/>
    <xf numFmtId="172" fontId="62" fillId="0" borderId="207"/>
    <xf numFmtId="180"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7" fontId="62" fillId="0" borderId="207"/>
    <xf numFmtId="0" fontId="11" fillId="22" borderId="203" applyNumberFormat="0" applyAlignment="0" applyProtection="0"/>
    <xf numFmtId="181" fontId="62" fillId="0" borderId="207"/>
    <xf numFmtId="180" fontId="62" fillId="0" borderId="207"/>
    <xf numFmtId="172" fontId="62" fillId="0" borderId="207"/>
    <xf numFmtId="172" fontId="62" fillId="0" borderId="207"/>
    <xf numFmtId="175" fontId="62" fillId="0" borderId="207"/>
    <xf numFmtId="175" fontId="62" fillId="0" borderId="207"/>
    <xf numFmtId="172" fontId="62" fillId="0" borderId="207"/>
    <xf numFmtId="0" fontId="23" fillId="0" borderId="206" applyNumberFormat="0" applyFill="0" applyAlignment="0" applyProtection="0"/>
    <xf numFmtId="175" fontId="62" fillId="0" borderId="207"/>
    <xf numFmtId="0" fontId="18" fillId="9" borderId="203" applyNumberFormat="0" applyAlignment="0" applyProtection="0"/>
    <xf numFmtId="0" fontId="21" fillId="22" borderId="205" applyNumberFormat="0" applyAlignment="0" applyProtection="0"/>
    <xf numFmtId="0" fontId="8" fillId="25" borderId="204" applyNumberFormat="0" applyFont="0" applyAlignment="0" applyProtection="0"/>
    <xf numFmtId="0" fontId="65" fillId="50" borderId="201">
      <protection locked="0"/>
    </xf>
    <xf numFmtId="180" fontId="62" fillId="0" borderId="207"/>
    <xf numFmtId="0" fontId="11" fillId="22" borderId="203" applyNumberFormat="0" applyAlignment="0" applyProtection="0"/>
    <xf numFmtId="0" fontId="18" fillId="9" borderId="203" applyNumberFormat="0" applyAlignment="0" applyProtection="0"/>
    <xf numFmtId="175" fontId="62" fillId="0" borderId="207"/>
    <xf numFmtId="172" fontId="62" fillId="0" borderId="207"/>
    <xf numFmtId="180" fontId="62" fillId="0" borderId="207"/>
    <xf numFmtId="175" fontId="62" fillId="0" borderId="207"/>
    <xf numFmtId="172" fontId="62" fillId="0" borderId="207"/>
    <xf numFmtId="173" fontId="62" fillId="0" borderId="207"/>
    <xf numFmtId="172" fontId="62" fillId="0" borderId="207"/>
    <xf numFmtId="175" fontId="62" fillId="0" borderId="207"/>
    <xf numFmtId="180" fontId="62" fillId="0" borderId="207"/>
    <xf numFmtId="172" fontId="62" fillId="0" borderId="207"/>
    <xf numFmtId="180" fontId="62" fillId="0" borderId="207"/>
    <xf numFmtId="0" fontId="11" fillId="22" borderId="203" applyNumberFormat="0" applyAlignment="0" applyProtection="0"/>
    <xf numFmtId="182" fontId="62" fillId="0" borderId="207"/>
    <xf numFmtId="176" fontId="62" fillId="0" borderId="207"/>
    <xf numFmtId="180"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23" fillId="0" borderId="206" applyNumberFormat="0" applyFill="0" applyAlignment="0" applyProtection="0"/>
    <xf numFmtId="180" fontId="62" fillId="0" borderId="207"/>
    <xf numFmtId="180" fontId="62" fillId="0" borderId="207"/>
    <xf numFmtId="175" fontId="62" fillId="0" borderId="207"/>
    <xf numFmtId="174" fontId="62" fillId="0" borderId="207"/>
    <xf numFmtId="0" fontId="8" fillId="25" borderId="204" applyNumberFormat="0" applyFont="0" applyAlignment="0" applyProtection="0"/>
    <xf numFmtId="175"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80" fontId="62" fillId="0" borderId="207"/>
    <xf numFmtId="175"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21" fillId="22" borderId="205" applyNumberFormat="0" applyAlignment="0" applyProtection="0"/>
    <xf numFmtId="0" fontId="21" fillId="22" borderId="205" applyNumberFormat="0" applyAlignment="0" applyProtection="0"/>
    <xf numFmtId="0" fontId="21" fillId="22" borderId="205" applyNumberFormat="0" applyAlignment="0" applyProtection="0"/>
    <xf numFmtId="0" fontId="18" fillId="9" borderId="203" applyNumberFormat="0" applyAlignment="0" applyProtection="0"/>
    <xf numFmtId="0" fontId="18" fillId="9" borderId="203"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172" fontId="62" fillId="0" borderId="207"/>
    <xf numFmtId="173" fontId="62" fillId="0" borderId="207"/>
    <xf numFmtId="174" fontId="62" fillId="0" borderId="207"/>
    <xf numFmtId="175" fontId="62" fillId="0" borderId="207"/>
    <xf numFmtId="0" fontId="8" fillId="25" borderId="204" applyNumberFormat="0" applyFont="0" applyAlignment="0" applyProtection="0"/>
    <xf numFmtId="0" fontId="8" fillId="25" borderId="204" applyNumberFormat="0" applyFont="0" applyAlignment="0" applyProtection="0"/>
    <xf numFmtId="0" fontId="21" fillId="22" borderId="205" applyNumberFormat="0" applyAlignment="0" applyProtection="0"/>
    <xf numFmtId="0" fontId="21" fillId="22" borderId="205" applyNumberFormat="0" applyAlignment="0" applyProtection="0"/>
    <xf numFmtId="180" fontId="62" fillId="0" borderId="207"/>
    <xf numFmtId="0" fontId="65" fillId="50" borderId="201">
      <protection locked="0"/>
    </xf>
    <xf numFmtId="0" fontId="65" fillId="50" borderId="201">
      <protection locked="0"/>
    </xf>
    <xf numFmtId="0" fontId="11" fillId="22" borderId="203" applyNumberFormat="0" applyAlignment="0" applyProtection="0"/>
    <xf numFmtId="180" fontId="62" fillId="0" borderId="207"/>
    <xf numFmtId="0" fontId="23" fillId="0" borderId="206" applyNumberFormat="0" applyFill="0" applyAlignment="0" applyProtection="0"/>
    <xf numFmtId="0" fontId="23" fillId="0" borderId="206" applyNumberFormat="0" applyFill="0" applyAlignment="0" applyProtection="0"/>
    <xf numFmtId="172" fontId="62" fillId="0" borderId="207"/>
    <xf numFmtId="172" fontId="62" fillId="0" borderId="207"/>
    <xf numFmtId="0" fontId="18" fillId="9" borderId="203" applyNumberFormat="0" applyAlignment="0" applyProtection="0"/>
    <xf numFmtId="180" fontId="62" fillId="0" borderId="207"/>
    <xf numFmtId="0" fontId="65" fillId="50" borderId="201">
      <protection locked="0"/>
    </xf>
    <xf numFmtId="175" fontId="62" fillId="0" borderId="196"/>
    <xf numFmtId="176" fontId="62" fillId="0" borderId="207"/>
    <xf numFmtId="175" fontId="62" fillId="0" borderId="207"/>
    <xf numFmtId="175" fontId="62" fillId="0" borderId="207"/>
    <xf numFmtId="172" fontId="62" fillId="0" borderId="207"/>
    <xf numFmtId="172" fontId="62" fillId="0" borderId="207"/>
    <xf numFmtId="172" fontId="62" fillId="0" borderId="207"/>
    <xf numFmtId="0" fontId="11" fillId="22" borderId="203" applyNumberFormat="0" applyAlignment="0" applyProtection="0"/>
    <xf numFmtId="0" fontId="8" fillId="25" borderId="204" applyNumberFormat="0" applyFont="0" applyAlignment="0" applyProtection="0"/>
    <xf numFmtId="181" fontId="62" fillId="0" borderId="207"/>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21" fillId="22" borderId="205" applyNumberFormat="0" applyAlignment="0" applyProtection="0"/>
    <xf numFmtId="0" fontId="21" fillId="22" borderId="205" applyNumberFormat="0" applyAlignment="0" applyProtection="0"/>
    <xf numFmtId="0" fontId="21" fillId="22" borderId="205" applyNumberForma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3" fillId="0" borderId="206" applyNumberFormat="0" applyFill="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0" fontId="62" fillId="0" borderId="207"/>
    <xf numFmtId="180" fontId="62" fillId="0" borderId="207"/>
    <xf numFmtId="181" fontId="62" fillId="0" borderId="207"/>
    <xf numFmtId="172" fontId="62" fillId="0" borderId="207"/>
    <xf numFmtId="175" fontId="62" fillId="0" borderId="207"/>
    <xf numFmtId="175" fontId="62" fillId="0" borderId="207"/>
    <xf numFmtId="177" fontId="62" fillId="0" borderId="207"/>
    <xf numFmtId="172"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1" fillId="22" borderId="205" applyNumberFormat="0" applyAlignment="0" applyProtection="0"/>
    <xf numFmtId="0" fontId="18" fillId="9" borderId="203" applyNumberFormat="0" applyAlignment="0" applyProtection="0"/>
    <xf numFmtId="0" fontId="8" fillId="25" borderId="204" applyNumberFormat="0" applyFont="0" applyAlignment="0" applyProtection="0"/>
    <xf numFmtId="176" fontId="62" fillId="0" borderId="207"/>
    <xf numFmtId="180" fontId="62" fillId="0" borderId="207"/>
    <xf numFmtId="172" fontId="62" fillId="0" borderId="207"/>
    <xf numFmtId="173" fontId="62" fillId="0" borderId="207"/>
    <xf numFmtId="174" fontId="62" fillId="0" borderId="207"/>
    <xf numFmtId="0" fontId="8" fillId="25" borderId="204" applyNumberFormat="0" applyFont="0" applyAlignment="0" applyProtection="0"/>
    <xf numFmtId="175" fontId="62" fillId="0" borderId="207"/>
    <xf numFmtId="176" fontId="62" fillId="0" borderId="207"/>
    <xf numFmtId="177" fontId="62" fillId="0" borderId="207"/>
    <xf numFmtId="176" fontId="62" fillId="0" borderId="207"/>
    <xf numFmtId="180" fontId="62" fillId="0" borderId="207"/>
    <xf numFmtId="181" fontId="62" fillId="0" borderId="207"/>
    <xf numFmtId="182" fontId="62" fillId="0" borderId="207"/>
    <xf numFmtId="175" fontId="62" fillId="0" borderId="207"/>
    <xf numFmtId="172" fontId="62" fillId="0" borderId="207"/>
    <xf numFmtId="0" fontId="65" fillId="50" borderId="201">
      <protection locked="0"/>
    </xf>
    <xf numFmtId="0" fontId="11" fillId="22" borderId="203" applyNumberFormat="0" applyAlignment="0" applyProtection="0"/>
    <xf numFmtId="0" fontId="8" fillId="25" borderId="204" applyNumberFormat="0" applyFont="0" applyAlignment="0" applyProtection="0"/>
    <xf numFmtId="0" fontId="11" fillId="22" borderId="203" applyNumberFormat="0" applyAlignment="0" applyProtection="0"/>
    <xf numFmtId="182" fontId="62" fillId="0" borderId="207"/>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174" fontId="62" fillId="0" borderId="207"/>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3" fontId="62" fillId="0" borderId="207"/>
    <xf numFmtId="174" fontId="62" fillId="0" borderId="207"/>
    <xf numFmtId="0" fontId="18" fillId="9" borderId="203" applyNumberFormat="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7" fontId="62" fillId="0" borderId="207"/>
    <xf numFmtId="172" fontId="62" fillId="0" borderId="207"/>
    <xf numFmtId="173" fontId="62" fillId="0" borderId="207"/>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172" fontId="62" fillId="0" borderId="207"/>
    <xf numFmtId="180" fontId="62" fillId="0" borderId="207"/>
    <xf numFmtId="175" fontId="62" fillId="0" borderId="207"/>
    <xf numFmtId="175" fontId="62" fillId="0" borderId="207"/>
    <xf numFmtId="180" fontId="62" fillId="0" borderId="207"/>
    <xf numFmtId="172"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65" fillId="50" borderId="201">
      <protection locked="0"/>
    </xf>
    <xf numFmtId="172" fontId="62" fillId="0" borderId="207"/>
    <xf numFmtId="182" fontId="62" fillId="0" borderId="207"/>
    <xf numFmtId="175" fontId="62" fillId="0" borderId="207"/>
    <xf numFmtId="177" fontId="62" fillId="0" borderId="207"/>
    <xf numFmtId="174" fontId="62" fillId="0" borderId="207"/>
    <xf numFmtId="173" fontId="62" fillId="0" borderId="207"/>
    <xf numFmtId="180"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180" fontId="62" fillId="0" borderId="207"/>
    <xf numFmtId="181"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65" fillId="50" borderId="201">
      <protection locked="0"/>
    </xf>
    <xf numFmtId="0" fontId="65" fillId="50" borderId="201">
      <protection locked="0"/>
    </xf>
    <xf numFmtId="0" fontId="11" fillId="22" borderId="203" applyNumberFormat="0" applyAlignment="0" applyProtection="0"/>
    <xf numFmtId="175" fontId="62" fillId="0" borderId="207"/>
    <xf numFmtId="172" fontId="62" fillId="0" borderId="207"/>
    <xf numFmtId="175" fontId="62" fillId="0" borderId="207"/>
    <xf numFmtId="175" fontId="62" fillId="0" borderId="207"/>
    <xf numFmtId="0" fontId="21" fillId="22" borderId="205" applyNumberFormat="0" applyAlignment="0" applyProtection="0"/>
    <xf numFmtId="180" fontId="62" fillId="0" borderId="207"/>
    <xf numFmtId="175" fontId="62" fillId="0" borderId="207"/>
    <xf numFmtId="0" fontId="65" fillId="50" borderId="201">
      <protection locked="0"/>
    </xf>
    <xf numFmtId="0" fontId="21" fillId="22" borderId="205" applyNumberFormat="0" applyAlignment="0" applyProtection="0"/>
    <xf numFmtId="0" fontId="8" fillId="25" borderId="204" applyNumberFormat="0" applyFont="0" applyAlignment="0" applyProtection="0"/>
    <xf numFmtId="172" fontId="62" fillId="0" borderId="207"/>
    <xf numFmtId="0" fontId="8" fillId="25" borderId="204" applyNumberFormat="0" applyFont="0" applyAlignment="0" applyProtection="0"/>
    <xf numFmtId="174" fontId="62" fillId="0" borderId="207"/>
    <xf numFmtId="0" fontId="23" fillId="0" borderId="206" applyNumberFormat="0" applyFill="0" applyAlignment="0" applyProtection="0"/>
    <xf numFmtId="176" fontId="62" fillId="0" borderId="207"/>
    <xf numFmtId="175" fontId="62" fillId="0" borderId="207"/>
    <xf numFmtId="0" fontId="23" fillId="0" borderId="206" applyNumberFormat="0" applyFill="0" applyAlignment="0" applyProtection="0"/>
    <xf numFmtId="182" fontId="62" fillId="0" borderId="207"/>
    <xf numFmtId="175" fontId="62" fillId="0" borderId="207"/>
    <xf numFmtId="175" fontId="62" fillId="0" borderId="207"/>
    <xf numFmtId="0" fontId="18" fillId="9" borderId="203" applyNumberFormat="0" applyAlignment="0" applyProtection="0"/>
    <xf numFmtId="0" fontId="21" fillId="22" borderId="205" applyNumberFormat="0" applyAlignment="0" applyProtection="0"/>
    <xf numFmtId="172" fontId="62" fillId="0" borderId="207"/>
    <xf numFmtId="0" fontId="8" fillId="25" borderId="204" applyNumberFormat="0" applyFont="0" applyAlignment="0" applyProtection="0"/>
    <xf numFmtId="173" fontId="62" fillId="0" borderId="207"/>
    <xf numFmtId="177" fontId="62" fillId="0" borderId="207"/>
    <xf numFmtId="0" fontId="23" fillId="0" borderId="206" applyNumberFormat="0" applyFill="0" applyAlignment="0" applyProtection="0"/>
    <xf numFmtId="0" fontId="8" fillId="25" borderId="204" applyNumberFormat="0" applyFont="0" applyAlignment="0" applyProtection="0"/>
    <xf numFmtId="176" fontId="62" fillId="0" borderId="207"/>
    <xf numFmtId="172" fontId="62" fillId="0" borderId="207"/>
    <xf numFmtId="180" fontId="62" fillId="0" borderId="207"/>
    <xf numFmtId="0" fontId="18" fillId="9" borderId="203" applyNumberFormat="0" applyAlignment="0" applyProtection="0"/>
    <xf numFmtId="172" fontId="62" fillId="0" borderId="207"/>
    <xf numFmtId="0" fontId="21" fillId="22" borderId="205" applyNumberFormat="0" applyAlignment="0" applyProtection="0"/>
    <xf numFmtId="180" fontId="62" fillId="0" borderId="207"/>
    <xf numFmtId="172" fontId="62" fillId="0" borderId="207"/>
    <xf numFmtId="180" fontId="62" fillId="0" borderId="207"/>
    <xf numFmtId="175" fontId="62" fillId="0" borderId="207"/>
    <xf numFmtId="173" fontId="62" fillId="0" borderId="207"/>
    <xf numFmtId="172" fontId="62" fillId="0" borderId="207"/>
    <xf numFmtId="175" fontId="62" fillId="0" borderId="207"/>
    <xf numFmtId="174" fontId="62" fillId="0" borderId="207"/>
    <xf numFmtId="181" fontId="62" fillId="0" borderId="207"/>
    <xf numFmtId="180" fontId="62" fillId="0" borderId="207"/>
    <xf numFmtId="175" fontId="62" fillId="0" borderId="207"/>
    <xf numFmtId="172" fontId="62" fillId="0" borderId="207"/>
    <xf numFmtId="180" fontId="62" fillId="0" borderId="207"/>
    <xf numFmtId="175" fontId="62" fillId="0" borderId="207"/>
    <xf numFmtId="172" fontId="62" fillId="0" borderId="207"/>
    <xf numFmtId="180" fontId="62" fillId="0" borderId="207"/>
    <xf numFmtId="180" fontId="62" fillId="0" borderId="207"/>
    <xf numFmtId="181" fontId="62" fillId="0" borderId="207"/>
    <xf numFmtId="177" fontId="62" fillId="0" borderId="207"/>
    <xf numFmtId="172" fontId="62" fillId="0" borderId="207"/>
    <xf numFmtId="0" fontId="23" fillId="0" borderId="206" applyNumberFormat="0" applyFill="0" applyAlignment="0" applyProtection="0"/>
    <xf numFmtId="0" fontId="11" fillId="22" borderId="203" applyNumberFormat="0" applyAlignment="0" applyProtection="0"/>
    <xf numFmtId="172" fontId="62" fillId="0" borderId="207"/>
    <xf numFmtId="174" fontId="62" fillId="0" borderId="207"/>
    <xf numFmtId="172" fontId="62" fillId="0" borderId="207"/>
    <xf numFmtId="175" fontId="62" fillId="0" borderId="207"/>
    <xf numFmtId="180" fontId="62" fillId="0" borderId="207"/>
    <xf numFmtId="172" fontId="62" fillId="0" borderId="207"/>
    <xf numFmtId="0" fontId="18" fillId="9" borderId="203" applyNumberFormat="0" applyAlignment="0" applyProtection="0"/>
    <xf numFmtId="174" fontId="62" fillId="0" borderId="207"/>
    <xf numFmtId="0" fontId="11" fillId="22" borderId="203" applyNumberFormat="0" applyAlignment="0" applyProtection="0"/>
    <xf numFmtId="182" fontId="62" fillId="0" borderId="207"/>
    <xf numFmtId="172" fontId="62" fillId="0" borderId="207"/>
    <xf numFmtId="173" fontId="62" fillId="0" borderId="207"/>
    <xf numFmtId="175" fontId="62" fillId="0" borderId="207"/>
    <xf numFmtId="176" fontId="62" fillId="0" borderId="207"/>
    <xf numFmtId="175" fontId="62" fillId="0" borderId="207"/>
    <xf numFmtId="175" fontId="62" fillId="0" borderId="207"/>
    <xf numFmtId="0" fontId="11" fillId="22" borderId="203" applyNumberFormat="0" applyAlignment="0" applyProtection="0"/>
    <xf numFmtId="172" fontId="62" fillId="0" borderId="207"/>
    <xf numFmtId="175" fontId="62" fillId="0" borderId="207"/>
    <xf numFmtId="182" fontId="62" fillId="0" borderId="207"/>
    <xf numFmtId="172"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172" fontId="62" fillId="0" borderId="207"/>
    <xf numFmtId="180" fontId="62" fillId="0" borderId="207"/>
    <xf numFmtId="180" fontId="62" fillId="0" borderId="207"/>
    <xf numFmtId="0" fontId="65" fillId="50" borderId="201">
      <protection locked="0"/>
    </xf>
    <xf numFmtId="0" fontId="8" fillId="25" borderId="204" applyNumberFormat="0" applyFont="0" applyAlignment="0" applyProtection="0"/>
    <xf numFmtId="180" fontId="62" fillId="0" borderId="207"/>
    <xf numFmtId="177"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0" fontId="21" fillId="22" borderId="205" applyNumberFormat="0" applyAlignment="0" applyProtection="0"/>
    <xf numFmtId="175" fontId="62" fillId="0" borderId="207"/>
    <xf numFmtId="175" fontId="62" fillId="0" borderId="207"/>
    <xf numFmtId="173" fontId="62" fillId="0" borderId="207"/>
    <xf numFmtId="175" fontId="62" fillId="0" borderId="207"/>
    <xf numFmtId="180" fontId="62" fillId="0" borderId="207"/>
    <xf numFmtId="180" fontId="62" fillId="0" borderId="207"/>
    <xf numFmtId="172" fontId="62" fillId="0" borderId="207"/>
    <xf numFmtId="175" fontId="62" fillId="0" borderId="207"/>
    <xf numFmtId="180" fontId="62" fillId="0" borderId="207"/>
    <xf numFmtId="172" fontId="62" fillId="0" borderId="207"/>
    <xf numFmtId="174" fontId="62" fillId="0" borderId="207"/>
    <xf numFmtId="180" fontId="62" fillId="0" borderId="207"/>
    <xf numFmtId="0" fontId="23" fillId="0" borderId="206" applyNumberFormat="0" applyFill="0" applyAlignment="0" applyProtection="0"/>
    <xf numFmtId="175" fontId="62" fillId="0" borderId="207"/>
    <xf numFmtId="175" fontId="62" fillId="0" borderId="207"/>
    <xf numFmtId="180" fontId="62" fillId="0" borderId="207"/>
    <xf numFmtId="172" fontId="62" fillId="0" borderId="207"/>
    <xf numFmtId="0" fontId="18" fillId="9" borderId="203" applyNumberFormat="0" applyAlignment="0" applyProtection="0"/>
    <xf numFmtId="177" fontId="62" fillId="0" borderId="207"/>
    <xf numFmtId="176" fontId="62" fillId="0" borderId="207"/>
    <xf numFmtId="181" fontId="62" fillId="0" borderId="207"/>
    <xf numFmtId="176" fontId="62" fillId="0" borderId="207"/>
    <xf numFmtId="181" fontId="62" fillId="0" borderId="207"/>
    <xf numFmtId="173" fontId="62" fillId="0" borderId="207"/>
    <xf numFmtId="0" fontId="65" fillId="50" borderId="201">
      <protection locked="0"/>
    </xf>
    <xf numFmtId="181" fontId="62" fillId="0" borderId="207"/>
    <xf numFmtId="182" fontId="62" fillId="0" borderId="207"/>
    <xf numFmtId="0" fontId="65" fillId="50" borderId="201">
      <protection locked="0"/>
    </xf>
    <xf numFmtId="175" fontId="62" fillId="0" borderId="207"/>
    <xf numFmtId="182" fontId="62" fillId="0" borderId="207"/>
    <xf numFmtId="177" fontId="62" fillId="0" borderId="207"/>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0" fontId="62" fillId="0" borderId="207"/>
    <xf numFmtId="172" fontId="62" fillId="0" borderId="207"/>
    <xf numFmtId="175" fontId="62" fillId="0" borderId="207"/>
    <xf numFmtId="180" fontId="62" fillId="0" borderId="207"/>
    <xf numFmtId="180" fontId="62" fillId="0" borderId="207"/>
    <xf numFmtId="180" fontId="62" fillId="0" borderId="207"/>
    <xf numFmtId="175" fontId="62" fillId="0" borderId="207"/>
    <xf numFmtId="180" fontId="62" fillId="0" borderId="207"/>
    <xf numFmtId="180" fontId="62" fillId="0" borderId="207"/>
    <xf numFmtId="175" fontId="62" fillId="0" borderId="207"/>
    <xf numFmtId="175" fontId="62" fillId="0" borderId="207"/>
    <xf numFmtId="0" fontId="21" fillId="22" borderId="205" applyNumberFormat="0" applyAlignment="0" applyProtection="0"/>
    <xf numFmtId="175" fontId="62" fillId="0" borderId="207"/>
    <xf numFmtId="0" fontId="23" fillId="0" borderId="206" applyNumberFormat="0" applyFill="0" applyAlignment="0" applyProtection="0"/>
    <xf numFmtId="172" fontId="62" fillId="0" borderId="207"/>
    <xf numFmtId="172" fontId="62" fillId="0" borderId="207"/>
    <xf numFmtId="175" fontId="62" fillId="0" borderId="207"/>
    <xf numFmtId="176" fontId="62" fillId="0" borderId="207"/>
    <xf numFmtId="0" fontId="18" fillId="9" borderId="203" applyNumberFormat="0" applyAlignment="0" applyProtection="0"/>
    <xf numFmtId="172" fontId="62" fillId="0" borderId="207"/>
    <xf numFmtId="0" fontId="21" fillId="22" borderId="205" applyNumberFormat="0" applyAlignment="0" applyProtection="0"/>
    <xf numFmtId="174" fontId="62" fillId="0" borderId="207"/>
    <xf numFmtId="172" fontId="62" fillId="0" borderId="207"/>
    <xf numFmtId="0" fontId="18" fillId="9" borderId="203" applyNumberFormat="0" applyAlignment="0" applyProtection="0"/>
    <xf numFmtId="177" fontId="62" fillId="0" borderId="207"/>
    <xf numFmtId="0" fontId="11" fillId="22" borderId="203" applyNumberFormat="0" applyAlignment="0" applyProtection="0"/>
    <xf numFmtId="172" fontId="62" fillId="0" borderId="207"/>
    <xf numFmtId="172" fontId="62" fillId="0" borderId="207"/>
    <xf numFmtId="180" fontId="62" fillId="0" borderId="207"/>
    <xf numFmtId="0" fontId="65" fillId="50" borderId="201">
      <protection locked="0"/>
    </xf>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6" fontId="62" fillId="0" borderId="207"/>
    <xf numFmtId="180" fontId="62" fillId="0" borderId="207"/>
    <xf numFmtId="172" fontId="62" fillId="0" borderId="207"/>
    <xf numFmtId="172" fontId="62" fillId="0" borderId="207"/>
    <xf numFmtId="0" fontId="23" fillId="0" borderId="206" applyNumberFormat="0" applyFill="0" applyAlignment="0" applyProtection="0"/>
    <xf numFmtId="180" fontId="62" fillId="0" borderId="207"/>
    <xf numFmtId="172" fontId="62" fillId="0" borderId="207"/>
    <xf numFmtId="172" fontId="62" fillId="0" borderId="207"/>
    <xf numFmtId="180" fontId="62" fillId="0" borderId="207"/>
    <xf numFmtId="175" fontId="62" fillId="0" borderId="207"/>
    <xf numFmtId="175" fontId="62" fillId="0" borderId="207"/>
    <xf numFmtId="180" fontId="62" fillId="0" borderId="207"/>
    <xf numFmtId="180" fontId="62" fillId="0" borderId="207"/>
    <xf numFmtId="180" fontId="62" fillId="0" borderId="207"/>
    <xf numFmtId="172" fontId="62" fillId="0" borderId="207"/>
    <xf numFmtId="174" fontId="62" fillId="0" borderId="207"/>
    <xf numFmtId="172" fontId="62" fillId="0" borderId="207"/>
    <xf numFmtId="180" fontId="62" fillId="0" borderId="207"/>
    <xf numFmtId="0" fontId="18" fillId="9" borderId="203" applyNumberFormat="0" applyAlignment="0" applyProtection="0"/>
    <xf numFmtId="180" fontId="62" fillId="0" borderId="207"/>
    <xf numFmtId="180" fontId="62" fillId="0" borderId="207"/>
    <xf numFmtId="0" fontId="23" fillId="0" borderId="206" applyNumberFormat="0" applyFill="0" applyAlignment="0" applyProtection="0"/>
    <xf numFmtId="172" fontId="62" fillId="0" borderId="207"/>
    <xf numFmtId="0" fontId="8" fillId="25" borderId="204" applyNumberFormat="0" applyFont="0" applyAlignment="0" applyProtection="0"/>
    <xf numFmtId="0" fontId="18" fillId="9" borderId="203" applyNumberFormat="0" applyAlignment="0" applyProtection="0"/>
    <xf numFmtId="172" fontId="62" fillId="0" borderId="207"/>
    <xf numFmtId="180" fontId="62" fillId="0" borderId="207"/>
    <xf numFmtId="0" fontId="8" fillId="25" borderId="204" applyNumberFormat="0" applyFont="0" applyAlignment="0" applyProtection="0"/>
    <xf numFmtId="0" fontId="11" fillId="22" borderId="203" applyNumberFormat="0" applyAlignment="0" applyProtection="0"/>
    <xf numFmtId="172"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2" fontId="62" fillId="0" borderId="207"/>
    <xf numFmtId="181" fontId="62" fillId="0" borderId="207"/>
    <xf numFmtId="175" fontId="62" fillId="0" borderId="207"/>
    <xf numFmtId="175" fontId="62" fillId="0" borderId="207"/>
    <xf numFmtId="174" fontId="62" fillId="0" borderId="207"/>
    <xf numFmtId="180" fontId="62" fillId="0" borderId="207"/>
    <xf numFmtId="173" fontId="62" fillId="0" borderId="207"/>
    <xf numFmtId="0" fontId="21" fillId="22" borderId="205" applyNumberFormat="0" applyAlignment="0" applyProtection="0"/>
    <xf numFmtId="172" fontId="62" fillId="0" borderId="207"/>
    <xf numFmtId="175" fontId="62" fillId="0" borderId="207"/>
    <xf numFmtId="180" fontId="62" fillId="0" borderId="207"/>
    <xf numFmtId="0" fontId="11" fillId="22" borderId="203" applyNumberFormat="0" applyAlignment="0" applyProtection="0"/>
    <xf numFmtId="175" fontId="62" fillId="0" borderId="207"/>
    <xf numFmtId="176" fontId="62" fillId="0" borderId="207"/>
    <xf numFmtId="175" fontId="62" fillId="0" borderId="207"/>
    <xf numFmtId="182" fontId="62" fillId="0" borderId="207"/>
    <xf numFmtId="177" fontId="62" fillId="0" borderId="207"/>
    <xf numFmtId="173"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5" fontId="62" fillId="0" borderId="207"/>
    <xf numFmtId="175" fontId="62" fillId="0" borderId="207"/>
    <xf numFmtId="175" fontId="62" fillId="0" borderId="207"/>
    <xf numFmtId="172" fontId="62" fillId="0" borderId="207"/>
    <xf numFmtId="0" fontId="18" fillId="9" borderId="203" applyNumberFormat="0" applyAlignment="0" applyProtection="0"/>
    <xf numFmtId="175" fontId="62" fillId="0" borderId="207"/>
    <xf numFmtId="172" fontId="62" fillId="0" borderId="207"/>
    <xf numFmtId="180" fontId="62" fillId="0" borderId="207"/>
    <xf numFmtId="174" fontId="62" fillId="0" borderId="207"/>
    <xf numFmtId="174" fontId="62" fillId="0" borderId="207"/>
    <xf numFmtId="172" fontId="62" fillId="0" borderId="207"/>
    <xf numFmtId="174" fontId="62" fillId="0" borderId="207"/>
    <xf numFmtId="175" fontId="62" fillId="0" borderId="207"/>
    <xf numFmtId="177" fontId="62" fillId="0" borderId="207"/>
    <xf numFmtId="172" fontId="62" fillId="0" borderId="207"/>
    <xf numFmtId="0" fontId="11" fillId="22" borderId="203" applyNumberFormat="0" applyAlignment="0" applyProtection="0"/>
    <xf numFmtId="180" fontId="62" fillId="0" borderId="207"/>
    <xf numFmtId="180" fontId="62" fillId="0" borderId="207"/>
    <xf numFmtId="180" fontId="62" fillId="0" borderId="207"/>
    <xf numFmtId="172" fontId="62" fillId="0" borderId="207"/>
    <xf numFmtId="0" fontId="8" fillId="25" borderId="204" applyNumberFormat="0" applyFont="0" applyAlignment="0" applyProtection="0"/>
    <xf numFmtId="172" fontId="62" fillId="0" borderId="207"/>
    <xf numFmtId="181" fontId="62" fillId="0" borderId="207"/>
    <xf numFmtId="175" fontId="62" fillId="0" borderId="207"/>
    <xf numFmtId="176" fontId="62" fillId="0" borderId="207"/>
    <xf numFmtId="0" fontId="18" fillId="9" borderId="203" applyNumberFormat="0" applyAlignment="0" applyProtection="0"/>
    <xf numFmtId="172" fontId="62" fillId="0" borderId="207"/>
    <xf numFmtId="180" fontId="62" fillId="0" borderId="207"/>
    <xf numFmtId="175" fontId="62" fillId="0" borderId="207"/>
    <xf numFmtId="180" fontId="62" fillId="0" borderId="207"/>
    <xf numFmtId="172" fontId="62" fillId="0" borderId="207"/>
    <xf numFmtId="180" fontId="62" fillId="0" borderId="207"/>
    <xf numFmtId="175" fontId="62" fillId="0" borderId="207"/>
    <xf numFmtId="175" fontId="62" fillId="0" borderId="207"/>
    <xf numFmtId="172" fontId="62" fillId="0" borderId="207"/>
    <xf numFmtId="175" fontId="62" fillId="0" borderId="207"/>
    <xf numFmtId="176" fontId="62" fillId="0" borderId="207"/>
    <xf numFmtId="175" fontId="62" fillId="0" borderId="207"/>
    <xf numFmtId="180" fontId="62" fillId="0" borderId="207"/>
    <xf numFmtId="180" fontId="62" fillId="0" borderId="207"/>
    <xf numFmtId="172" fontId="62" fillId="0" borderId="207"/>
    <xf numFmtId="0" fontId="21" fillId="22" borderId="205" applyNumberFormat="0" applyAlignment="0" applyProtection="0"/>
    <xf numFmtId="173" fontId="62" fillId="0" borderId="207"/>
    <xf numFmtId="0" fontId="23" fillId="0" borderId="206" applyNumberFormat="0" applyFill="0" applyAlignment="0" applyProtection="0"/>
    <xf numFmtId="0" fontId="8" fillId="25" borderId="204" applyNumberFormat="0" applyFont="0" applyAlignment="0" applyProtection="0"/>
    <xf numFmtId="175" fontId="62" fillId="0" borderId="207"/>
    <xf numFmtId="0" fontId="65" fillId="50" borderId="201">
      <protection locked="0"/>
    </xf>
    <xf numFmtId="176" fontId="62" fillId="0" borderId="207"/>
    <xf numFmtId="0" fontId="23" fillId="0" borderId="206" applyNumberFormat="0" applyFill="0" applyAlignment="0" applyProtection="0"/>
    <xf numFmtId="175" fontId="62" fillId="0" borderId="207"/>
    <xf numFmtId="0" fontId="21" fillId="22" borderId="205" applyNumberFormat="0" applyAlignment="0" applyProtection="0"/>
    <xf numFmtId="172" fontId="62" fillId="0" borderId="207"/>
    <xf numFmtId="182" fontId="62" fillId="0" borderId="207"/>
    <xf numFmtId="172" fontId="62" fillId="0" borderId="207"/>
    <xf numFmtId="180" fontId="62" fillId="0" borderId="207"/>
    <xf numFmtId="0" fontId="11" fillId="22" borderId="203" applyNumberFormat="0" applyAlignment="0" applyProtection="0"/>
    <xf numFmtId="175" fontId="62" fillId="0" borderId="207"/>
    <xf numFmtId="181" fontId="62" fillId="0" borderId="207"/>
    <xf numFmtId="175" fontId="62" fillId="0" borderId="207"/>
    <xf numFmtId="172" fontId="62" fillId="0" borderId="207"/>
    <xf numFmtId="175" fontId="62" fillId="0" borderId="207"/>
    <xf numFmtId="173" fontId="62" fillId="0" borderId="207"/>
    <xf numFmtId="180" fontId="62" fillId="0" borderId="207"/>
    <xf numFmtId="177" fontId="62" fillId="0" borderId="207"/>
    <xf numFmtId="175" fontId="62" fillId="0" borderId="207"/>
    <xf numFmtId="173" fontId="62" fillId="0" borderId="207"/>
    <xf numFmtId="172" fontId="62" fillId="0" borderId="207"/>
    <xf numFmtId="181" fontId="62" fillId="0" borderId="207"/>
    <xf numFmtId="182" fontId="62" fillId="0" borderId="207"/>
    <xf numFmtId="0" fontId="65" fillId="50" borderId="201">
      <protection locked="0"/>
    </xf>
    <xf numFmtId="180" fontId="62" fillId="0" borderId="207"/>
    <xf numFmtId="180" fontId="62" fillId="0" borderId="207"/>
    <xf numFmtId="180" fontId="62" fillId="0" borderId="207"/>
    <xf numFmtId="172" fontId="62" fillId="0" borderId="207"/>
    <xf numFmtId="180" fontId="62" fillId="0" borderId="207"/>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2" fontId="62" fillId="0" borderId="207"/>
    <xf numFmtId="172" fontId="62" fillId="0" borderId="207"/>
    <xf numFmtId="175" fontId="62" fillId="0" borderId="207"/>
    <xf numFmtId="180" fontId="62" fillId="0" borderId="207"/>
    <xf numFmtId="172" fontId="62" fillId="0" borderId="207"/>
    <xf numFmtId="0" fontId="8" fillId="25" borderId="204" applyNumberFormat="0" applyFont="0" applyAlignment="0" applyProtection="0"/>
    <xf numFmtId="175" fontId="62" fillId="0" borderId="207"/>
    <xf numFmtId="177" fontId="62" fillId="0" borderId="207"/>
    <xf numFmtId="180" fontId="62" fillId="0" borderId="207"/>
    <xf numFmtId="172" fontId="62" fillId="0" borderId="207"/>
    <xf numFmtId="175"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5" fontId="62" fillId="0" borderId="207"/>
    <xf numFmtId="180" fontId="62" fillId="0" borderId="207"/>
    <xf numFmtId="172" fontId="62" fillId="0" borderId="207"/>
    <xf numFmtId="180" fontId="62" fillId="0" borderId="207"/>
    <xf numFmtId="180" fontId="62" fillId="0" borderId="207"/>
    <xf numFmtId="175" fontId="62" fillId="0" borderId="207"/>
    <xf numFmtId="175" fontId="62" fillId="0" borderId="207"/>
    <xf numFmtId="172" fontId="62" fillId="0" borderId="207"/>
    <xf numFmtId="172" fontId="62" fillId="0" borderId="207"/>
    <xf numFmtId="17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5" fontId="62" fillId="0" borderId="207"/>
    <xf numFmtId="0" fontId="65" fillId="50" borderId="201">
      <protection locked="0"/>
    </xf>
    <xf numFmtId="0" fontId="8" fillId="25" borderId="204" applyNumberFormat="0" applyFont="0" applyAlignment="0" applyProtection="0"/>
    <xf numFmtId="182" fontId="62" fillId="0" borderId="207"/>
    <xf numFmtId="172" fontId="62" fillId="0" borderId="207"/>
    <xf numFmtId="0" fontId="11" fillId="22" borderId="203" applyNumberFormat="0" applyAlignment="0" applyProtection="0"/>
    <xf numFmtId="0" fontId="18" fillId="9" borderId="203" applyNumberFormat="0" applyAlignment="0" applyProtection="0"/>
    <xf numFmtId="182" fontId="62" fillId="0" borderId="207"/>
    <xf numFmtId="181" fontId="62" fillId="0" borderId="207"/>
    <xf numFmtId="180" fontId="62" fillId="0" borderId="207"/>
    <xf numFmtId="172" fontId="62" fillId="0" borderId="207"/>
    <xf numFmtId="176" fontId="62" fillId="0" borderId="207"/>
    <xf numFmtId="177" fontId="62" fillId="0" borderId="207"/>
    <xf numFmtId="176" fontId="62" fillId="0" borderId="207"/>
    <xf numFmtId="175" fontId="62" fillId="0" borderId="207"/>
    <xf numFmtId="177" fontId="62" fillId="0" borderId="207"/>
    <xf numFmtId="181" fontId="62" fillId="0" borderId="207"/>
    <xf numFmtId="174" fontId="62" fillId="0" borderId="207"/>
    <xf numFmtId="0" fontId="11" fillId="22" borderId="203" applyNumberFormat="0" applyAlignment="0" applyProtection="0"/>
    <xf numFmtId="173" fontId="62" fillId="0" borderId="207"/>
    <xf numFmtId="180" fontId="62" fillId="0" borderId="207"/>
    <xf numFmtId="177" fontId="62" fillId="0" borderId="207"/>
    <xf numFmtId="175" fontId="62" fillId="0" borderId="207"/>
    <xf numFmtId="172" fontId="62" fillId="0" borderId="207"/>
    <xf numFmtId="0" fontId="21" fillId="22" borderId="205" applyNumberFormat="0" applyAlignment="0" applyProtection="0"/>
    <xf numFmtId="0" fontId="23" fillId="0" borderId="206" applyNumberFormat="0" applyFill="0" applyAlignment="0" applyProtection="0"/>
    <xf numFmtId="181" fontId="62" fillId="0" borderId="207"/>
    <xf numFmtId="176" fontId="62" fillId="0" borderId="207"/>
    <xf numFmtId="174" fontId="62" fillId="0" borderId="207"/>
    <xf numFmtId="173" fontId="62" fillId="0" borderId="207"/>
    <xf numFmtId="172" fontId="62" fillId="0" borderId="207"/>
    <xf numFmtId="182"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11" fillId="22" borderId="203" applyNumberFormat="0" applyAlignment="0" applyProtection="0"/>
    <xf numFmtId="0" fontId="65" fillId="50" borderId="201">
      <protection locked="0"/>
    </xf>
    <xf numFmtId="0" fontId="11" fillId="22" borderId="203" applyNumberFormat="0" applyAlignment="0" applyProtection="0"/>
    <xf numFmtId="0" fontId="21" fillId="22" borderId="205" applyNumberFormat="0" applyAlignment="0" applyProtection="0"/>
    <xf numFmtId="0" fontId="65" fillId="50" borderId="201">
      <protection locked="0"/>
    </xf>
    <xf numFmtId="174" fontId="62" fillId="0" borderId="207"/>
    <xf numFmtId="173"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23" fillId="0" borderId="206" applyNumberFormat="0" applyFill="0" applyAlignment="0" applyProtection="0"/>
    <xf numFmtId="172" fontId="62" fillId="0" borderId="207"/>
    <xf numFmtId="173"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2" fontId="62" fillId="0" borderId="207"/>
    <xf numFmtId="180" fontId="62" fillId="0" borderId="207"/>
    <xf numFmtId="0" fontId="11" fillId="22" borderId="203" applyNumberFormat="0" applyAlignment="0" applyProtection="0"/>
    <xf numFmtId="0" fontId="65" fillId="50" borderId="201">
      <protection locked="0"/>
    </xf>
    <xf numFmtId="182" fontId="62" fillId="0" borderId="207"/>
    <xf numFmtId="172" fontId="62" fillId="0" borderId="207"/>
    <xf numFmtId="0" fontId="23" fillId="0" borderId="206" applyNumberFormat="0" applyFill="0" applyAlignment="0" applyProtection="0"/>
    <xf numFmtId="180" fontId="62" fillId="0" borderId="207"/>
    <xf numFmtId="0" fontId="65" fillId="50" borderId="201">
      <protection locked="0"/>
    </xf>
    <xf numFmtId="0" fontId="11" fillId="22" borderId="203" applyNumberFormat="0" applyAlignment="0" applyProtection="0"/>
    <xf numFmtId="172" fontId="62" fillId="0" borderId="207"/>
    <xf numFmtId="172" fontId="62" fillId="0" borderId="207"/>
    <xf numFmtId="0" fontId="18" fillId="9" borderId="203" applyNumberFormat="0" applyAlignment="0" applyProtection="0"/>
    <xf numFmtId="173" fontId="62" fillId="0" borderId="207"/>
    <xf numFmtId="172" fontId="62" fillId="0" borderId="207"/>
    <xf numFmtId="175" fontId="62" fillId="0" borderId="207"/>
    <xf numFmtId="172" fontId="62" fillId="0" borderId="207"/>
    <xf numFmtId="175" fontId="62" fillId="0" borderId="207"/>
    <xf numFmtId="176" fontId="62" fillId="0" borderId="207"/>
    <xf numFmtId="177" fontId="62" fillId="0" borderId="207"/>
    <xf numFmtId="0" fontId="8" fillId="25" borderId="204" applyNumberFormat="0" applyFont="0" applyAlignment="0" applyProtection="0"/>
    <xf numFmtId="175" fontId="62" fillId="0" borderId="207"/>
    <xf numFmtId="180" fontId="62" fillId="0" borderId="207"/>
    <xf numFmtId="172" fontId="62" fillId="0" borderId="207"/>
    <xf numFmtId="181" fontId="62" fillId="0" borderId="207"/>
    <xf numFmtId="182" fontId="62" fillId="0" borderId="207"/>
    <xf numFmtId="0" fontId="18" fillId="9" borderId="203" applyNumberFormat="0" applyAlignment="0" applyProtection="0"/>
    <xf numFmtId="180" fontId="62" fillId="0" borderId="207"/>
    <xf numFmtId="180" fontId="62" fillId="0" borderId="207"/>
    <xf numFmtId="175" fontId="62" fillId="0" borderId="207"/>
    <xf numFmtId="172" fontId="62" fillId="0" borderId="207"/>
    <xf numFmtId="176" fontId="62" fillId="0" borderId="207"/>
    <xf numFmtId="172" fontId="62" fillId="0" borderId="207"/>
    <xf numFmtId="172" fontId="62" fillId="0" borderId="207"/>
    <xf numFmtId="175" fontId="62" fillId="0" borderId="207"/>
    <xf numFmtId="175" fontId="62" fillId="0" borderId="207"/>
    <xf numFmtId="172" fontId="62" fillId="0" borderId="207"/>
    <xf numFmtId="0" fontId="18" fillId="9" borderId="203" applyNumberForma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8" fillId="25" borderId="204" applyNumberFormat="0" applyFont="0" applyAlignment="0" applyProtection="0"/>
    <xf numFmtId="174" fontId="62" fillId="0" borderId="207"/>
    <xf numFmtId="175" fontId="62" fillId="0" borderId="207"/>
    <xf numFmtId="180" fontId="62" fillId="0" borderId="207"/>
    <xf numFmtId="0" fontId="11" fillId="22" borderId="203" applyNumberFormat="0" applyAlignment="0" applyProtection="0"/>
    <xf numFmtId="174" fontId="62" fillId="0" borderId="207"/>
    <xf numFmtId="173" fontId="62" fillId="0" borderId="207"/>
    <xf numFmtId="0" fontId="21" fillId="22" borderId="205" applyNumberFormat="0" applyAlignment="0" applyProtection="0"/>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4" fontId="62" fillId="0" borderId="207"/>
    <xf numFmtId="176" fontId="62" fillId="0" borderId="207"/>
    <xf numFmtId="177"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1" fontId="62" fillId="0" borderId="207"/>
    <xf numFmtId="175" fontId="62" fillId="0" borderId="207"/>
    <xf numFmtId="180"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175" fontId="62" fillId="0" borderId="207"/>
    <xf numFmtId="180" fontId="62" fillId="0" borderId="207"/>
    <xf numFmtId="175" fontId="62" fillId="0" borderId="207"/>
    <xf numFmtId="172" fontId="62" fillId="0" borderId="207"/>
    <xf numFmtId="180" fontId="62" fillId="0" borderId="207"/>
    <xf numFmtId="175" fontId="62" fillId="0" borderId="207"/>
    <xf numFmtId="180" fontId="62" fillId="0" borderId="207"/>
    <xf numFmtId="172" fontId="62" fillId="0" borderId="207"/>
    <xf numFmtId="172" fontId="62" fillId="0" borderId="207"/>
    <xf numFmtId="180"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7" fontId="62" fillId="0" borderId="207"/>
    <xf numFmtId="0" fontId="11" fillId="22" borderId="203" applyNumberFormat="0" applyAlignment="0" applyProtection="0"/>
    <xf numFmtId="181" fontId="62" fillId="0" borderId="207"/>
    <xf numFmtId="180" fontId="62" fillId="0" borderId="207"/>
    <xf numFmtId="172" fontId="62" fillId="0" borderId="207"/>
    <xf numFmtId="172" fontId="62" fillId="0" borderId="207"/>
    <xf numFmtId="175" fontId="62" fillId="0" borderId="207"/>
    <xf numFmtId="175" fontId="62" fillId="0" borderId="207"/>
    <xf numFmtId="172" fontId="62" fillId="0" borderId="207"/>
    <xf numFmtId="0" fontId="23" fillId="0" borderId="206" applyNumberFormat="0" applyFill="0" applyAlignment="0" applyProtection="0"/>
    <xf numFmtId="175" fontId="62" fillId="0" borderId="207"/>
    <xf numFmtId="0" fontId="18" fillId="9" borderId="203" applyNumberFormat="0" applyAlignment="0" applyProtection="0"/>
    <xf numFmtId="0" fontId="21" fillId="22" borderId="205" applyNumberFormat="0" applyAlignment="0" applyProtection="0"/>
    <xf numFmtId="0" fontId="8" fillId="25" borderId="204" applyNumberFormat="0" applyFont="0" applyAlignment="0" applyProtection="0"/>
    <xf numFmtId="0" fontId="65" fillId="50" borderId="201">
      <protection locked="0"/>
    </xf>
    <xf numFmtId="180" fontId="62" fillId="0" borderId="207"/>
    <xf numFmtId="0" fontId="11" fillId="22" borderId="203" applyNumberFormat="0" applyAlignment="0" applyProtection="0"/>
    <xf numFmtId="0" fontId="18" fillId="9" borderId="203" applyNumberFormat="0" applyAlignment="0" applyProtection="0"/>
    <xf numFmtId="175" fontId="62" fillId="0" borderId="207"/>
    <xf numFmtId="172" fontId="62" fillId="0" borderId="207"/>
    <xf numFmtId="180" fontId="62" fillId="0" borderId="207"/>
    <xf numFmtId="175" fontId="62" fillId="0" borderId="207"/>
    <xf numFmtId="172" fontId="62" fillId="0" borderId="207"/>
    <xf numFmtId="173" fontId="62" fillId="0" borderId="207"/>
    <xf numFmtId="172" fontId="62" fillId="0" borderId="207"/>
    <xf numFmtId="175" fontId="62" fillId="0" borderId="207"/>
    <xf numFmtId="180" fontId="62" fillId="0" borderId="207"/>
    <xf numFmtId="172" fontId="62" fillId="0" borderId="207"/>
    <xf numFmtId="180" fontId="62" fillId="0" borderId="207"/>
    <xf numFmtId="0" fontId="11" fillId="22" borderId="203" applyNumberFormat="0" applyAlignment="0" applyProtection="0"/>
    <xf numFmtId="182" fontId="62" fillId="0" borderId="207"/>
    <xf numFmtId="176" fontId="62" fillId="0" borderId="207"/>
    <xf numFmtId="180"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23" fillId="0" borderId="206" applyNumberFormat="0" applyFill="0" applyAlignment="0" applyProtection="0"/>
    <xf numFmtId="180" fontId="62" fillId="0" borderId="207"/>
    <xf numFmtId="180" fontId="62" fillId="0" borderId="207"/>
    <xf numFmtId="175" fontId="62" fillId="0" borderId="207"/>
    <xf numFmtId="174" fontId="62" fillId="0" borderId="207"/>
    <xf numFmtId="0" fontId="8" fillId="25" borderId="204" applyNumberFormat="0" applyFont="0" applyAlignment="0" applyProtection="0"/>
    <xf numFmtId="175"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80" fontId="62" fillId="0" borderId="207"/>
    <xf numFmtId="175"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180" fontId="62" fillId="0" borderId="207"/>
    <xf numFmtId="173" fontId="62" fillId="0" borderId="207"/>
    <xf numFmtId="172" fontId="62" fillId="0" borderId="207"/>
    <xf numFmtId="0" fontId="21" fillId="22" borderId="205" applyNumberFormat="0" applyAlignment="0" applyProtection="0"/>
    <xf numFmtId="0" fontId="65" fillId="50" borderId="208">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5" fontId="62" fillId="0" borderId="207"/>
    <xf numFmtId="180" fontId="62" fillId="0" borderId="207"/>
    <xf numFmtId="0" fontId="11" fillId="22" borderId="203" applyNumberFormat="0" applyAlignment="0" applyProtection="0"/>
    <xf numFmtId="0" fontId="65" fillId="50" borderId="201">
      <protection locked="0"/>
    </xf>
    <xf numFmtId="0" fontId="18" fillId="9" borderId="203" applyNumberFormat="0" applyAlignment="0" applyProtection="0"/>
    <xf numFmtId="0" fontId="18" fillId="9" borderId="203" applyNumberFormat="0" applyAlignment="0" applyProtection="0"/>
    <xf numFmtId="0" fontId="65" fillId="50" borderId="208">
      <protection locked="0"/>
    </xf>
    <xf numFmtId="0" fontId="18" fillId="9" borderId="203"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21" fillId="22" borderId="205" applyNumberFormat="0" applyAlignment="0" applyProtection="0"/>
    <xf numFmtId="0" fontId="21" fillId="22" borderId="205" applyNumberFormat="0" applyAlignment="0" applyProtection="0"/>
    <xf numFmtId="0" fontId="21" fillId="22" borderId="205" applyNumberForma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3" fillId="0" borderId="206" applyNumberFormat="0" applyFill="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8">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8">
      <protection locked="0"/>
    </xf>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0" fontId="62" fillId="0" borderId="207"/>
    <xf numFmtId="180" fontId="62" fillId="0" borderId="207"/>
    <xf numFmtId="181" fontId="62" fillId="0" borderId="207"/>
    <xf numFmtId="172" fontId="62" fillId="0" borderId="207"/>
    <xf numFmtId="175" fontId="62" fillId="0" borderId="207"/>
    <xf numFmtId="175" fontId="62" fillId="0" borderId="207"/>
    <xf numFmtId="177" fontId="62" fillId="0" borderId="207"/>
    <xf numFmtId="172"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1" fillId="22" borderId="205" applyNumberFormat="0" applyAlignment="0" applyProtection="0"/>
    <xf numFmtId="0" fontId="18" fillId="9" borderId="203" applyNumberFormat="0" applyAlignment="0" applyProtection="0"/>
    <xf numFmtId="0" fontId="8" fillId="25" borderId="204" applyNumberFormat="0" applyFont="0" applyAlignment="0" applyProtection="0"/>
    <xf numFmtId="176" fontId="62" fillId="0" borderId="207"/>
    <xf numFmtId="180" fontId="62" fillId="0" borderId="207"/>
    <xf numFmtId="172" fontId="62" fillId="0" borderId="207"/>
    <xf numFmtId="173" fontId="62" fillId="0" borderId="207"/>
    <xf numFmtId="174" fontId="62" fillId="0" borderId="207"/>
    <xf numFmtId="0" fontId="8" fillId="25" borderId="204" applyNumberFormat="0" applyFont="0" applyAlignment="0" applyProtection="0"/>
    <xf numFmtId="175" fontId="62" fillId="0" borderId="207"/>
    <xf numFmtId="176" fontId="62" fillId="0" borderId="207"/>
    <xf numFmtId="177" fontId="62" fillId="0" borderId="207"/>
    <xf numFmtId="176" fontId="62" fillId="0" borderId="207"/>
    <xf numFmtId="180" fontId="62" fillId="0" borderId="207"/>
    <xf numFmtId="181" fontId="62" fillId="0" borderId="207"/>
    <xf numFmtId="182" fontId="62" fillId="0" borderId="207"/>
    <xf numFmtId="175" fontId="62" fillId="0" borderId="207"/>
    <xf numFmtId="0" fontId="21" fillId="22" borderId="205" applyNumberFormat="0" applyAlignment="0" applyProtection="0"/>
    <xf numFmtId="172" fontId="62" fillId="0" borderId="207"/>
    <xf numFmtId="0" fontId="65" fillId="50" borderId="201">
      <protection locked="0"/>
    </xf>
    <xf numFmtId="0" fontId="11" fillId="22" borderId="203" applyNumberFormat="0" applyAlignment="0" applyProtection="0"/>
    <xf numFmtId="0" fontId="8" fillId="25" borderId="204" applyNumberFormat="0" applyFont="0" applyAlignment="0" applyProtection="0"/>
    <xf numFmtId="0" fontId="11" fillId="22" borderId="203" applyNumberFormat="0" applyAlignment="0" applyProtection="0"/>
    <xf numFmtId="182" fontId="62" fillId="0" borderId="207"/>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174" fontId="62" fillId="0" borderId="207"/>
    <xf numFmtId="0" fontId="18" fillId="9" borderId="203" applyNumberFormat="0" applyAlignment="0" applyProtection="0"/>
    <xf numFmtId="0" fontId="11" fillId="22" borderId="203" applyNumberFormat="0" applyAlignment="0" applyProtection="0"/>
    <xf numFmtId="0" fontId="23" fillId="0" borderId="206" applyNumberFormat="0" applyFill="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3" fontId="62" fillId="0" borderId="207"/>
    <xf numFmtId="174" fontId="62" fillId="0" borderId="207"/>
    <xf numFmtId="0" fontId="18" fillId="9" borderId="203" applyNumberFormat="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7" fontId="62" fillId="0" borderId="207"/>
    <xf numFmtId="172" fontId="62" fillId="0" borderId="207"/>
    <xf numFmtId="173" fontId="62" fillId="0" borderId="207"/>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172" fontId="62" fillId="0" borderId="207"/>
    <xf numFmtId="180" fontId="62" fillId="0" borderId="207"/>
    <xf numFmtId="175" fontId="62" fillId="0" borderId="207"/>
    <xf numFmtId="175" fontId="62" fillId="0" borderId="207"/>
    <xf numFmtId="180" fontId="62" fillId="0" borderId="207"/>
    <xf numFmtId="172"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65" fillId="50" borderId="201">
      <protection locked="0"/>
    </xf>
    <xf numFmtId="172" fontId="62" fillId="0" borderId="207"/>
    <xf numFmtId="182" fontId="62" fillId="0" borderId="207"/>
    <xf numFmtId="175" fontId="62" fillId="0" borderId="207"/>
    <xf numFmtId="177" fontId="62" fillId="0" borderId="207"/>
    <xf numFmtId="174" fontId="62" fillId="0" borderId="207"/>
    <xf numFmtId="173" fontId="62" fillId="0" borderId="207"/>
    <xf numFmtId="180"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180" fontId="62" fillId="0" borderId="207"/>
    <xf numFmtId="181"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4" fontId="62" fillId="0" borderId="207"/>
    <xf numFmtId="172" fontId="62" fillId="0" borderId="207"/>
    <xf numFmtId="175" fontId="62" fillId="0" borderId="207"/>
    <xf numFmtId="180" fontId="62" fillId="0" borderId="207"/>
    <xf numFmtId="0" fontId="65" fillId="50" borderId="201">
      <protection locked="0"/>
    </xf>
    <xf numFmtId="0" fontId="65" fillId="50" borderId="201">
      <protection locked="0"/>
    </xf>
    <xf numFmtId="0" fontId="11" fillId="22" borderId="203" applyNumberFormat="0" applyAlignment="0" applyProtection="0"/>
    <xf numFmtId="175" fontId="62" fillId="0" borderId="207"/>
    <xf numFmtId="172" fontId="62" fillId="0" borderId="207"/>
    <xf numFmtId="175" fontId="62" fillId="0" borderId="207"/>
    <xf numFmtId="175" fontId="62" fillId="0" borderId="207"/>
    <xf numFmtId="0" fontId="21" fillId="22" borderId="205" applyNumberFormat="0" applyAlignment="0" applyProtection="0"/>
    <xf numFmtId="180" fontId="62" fillId="0" borderId="207"/>
    <xf numFmtId="175" fontId="62" fillId="0" borderId="207"/>
    <xf numFmtId="0" fontId="65" fillId="50" borderId="201">
      <protection locked="0"/>
    </xf>
    <xf numFmtId="0" fontId="21" fillId="22" borderId="205" applyNumberFormat="0" applyAlignment="0" applyProtection="0"/>
    <xf numFmtId="0" fontId="8" fillId="25" borderId="204" applyNumberFormat="0" applyFont="0" applyAlignment="0" applyProtection="0"/>
    <xf numFmtId="172" fontId="62" fillId="0" borderId="207"/>
    <xf numFmtId="0" fontId="8" fillId="25" borderId="204" applyNumberFormat="0" applyFont="0" applyAlignment="0" applyProtection="0"/>
    <xf numFmtId="174" fontId="62" fillId="0" borderId="207"/>
    <xf numFmtId="0" fontId="23" fillId="0" borderId="206" applyNumberFormat="0" applyFill="0" applyAlignment="0" applyProtection="0"/>
    <xf numFmtId="176" fontId="62" fillId="0" borderId="207"/>
    <xf numFmtId="175" fontId="62" fillId="0" borderId="207"/>
    <xf numFmtId="0" fontId="23" fillId="0" borderId="206" applyNumberFormat="0" applyFill="0" applyAlignment="0" applyProtection="0"/>
    <xf numFmtId="182" fontId="62" fillId="0" borderId="207"/>
    <xf numFmtId="175" fontId="62" fillId="0" borderId="207"/>
    <xf numFmtId="175" fontId="62" fillId="0" borderId="207"/>
    <xf numFmtId="0" fontId="18" fillId="9" borderId="203" applyNumberFormat="0" applyAlignment="0" applyProtection="0"/>
    <xf numFmtId="0" fontId="21" fillId="22" borderId="205" applyNumberFormat="0" applyAlignment="0" applyProtection="0"/>
    <xf numFmtId="172" fontId="62" fillId="0" borderId="207"/>
    <xf numFmtId="0" fontId="8" fillId="25" borderId="204" applyNumberFormat="0" applyFont="0" applyAlignment="0" applyProtection="0"/>
    <xf numFmtId="173" fontId="62" fillId="0" borderId="207"/>
    <xf numFmtId="177" fontId="62" fillId="0" borderId="207"/>
    <xf numFmtId="0" fontId="23" fillId="0" borderId="206" applyNumberFormat="0" applyFill="0" applyAlignment="0" applyProtection="0"/>
    <xf numFmtId="0" fontId="8" fillId="25" borderId="204" applyNumberFormat="0" applyFont="0" applyAlignment="0" applyProtection="0"/>
    <xf numFmtId="176" fontId="62" fillId="0" borderId="207"/>
    <xf numFmtId="172" fontId="62" fillId="0" borderId="207"/>
    <xf numFmtId="180" fontId="62" fillId="0" borderId="207"/>
    <xf numFmtId="0" fontId="18" fillId="9" borderId="203" applyNumberFormat="0" applyAlignment="0" applyProtection="0"/>
    <xf numFmtId="172" fontId="62" fillId="0" borderId="207"/>
    <xf numFmtId="0" fontId="21" fillId="22" borderId="205" applyNumberFormat="0" applyAlignment="0" applyProtection="0"/>
    <xf numFmtId="180" fontId="62" fillId="0" borderId="207"/>
    <xf numFmtId="172" fontId="62" fillId="0" borderId="207"/>
    <xf numFmtId="180" fontId="62" fillId="0" borderId="207"/>
    <xf numFmtId="175" fontId="62" fillId="0" borderId="207"/>
    <xf numFmtId="173" fontId="62" fillId="0" borderId="207"/>
    <xf numFmtId="172" fontId="62" fillId="0" borderId="207"/>
    <xf numFmtId="175" fontId="62" fillId="0" borderId="207"/>
    <xf numFmtId="174" fontId="62" fillId="0" borderId="207"/>
    <xf numFmtId="181" fontId="62" fillId="0" borderId="207"/>
    <xf numFmtId="180" fontId="62" fillId="0" borderId="207"/>
    <xf numFmtId="175" fontId="62" fillId="0" borderId="207"/>
    <xf numFmtId="172" fontId="62" fillId="0" borderId="207"/>
    <xf numFmtId="180" fontId="62" fillId="0" borderId="207"/>
    <xf numFmtId="175" fontId="62" fillId="0" borderId="207"/>
    <xf numFmtId="172" fontId="62" fillId="0" borderId="207"/>
    <xf numFmtId="180" fontId="62" fillId="0" borderId="207"/>
    <xf numFmtId="180" fontId="62" fillId="0" borderId="207"/>
    <xf numFmtId="181" fontId="62" fillId="0" borderId="207"/>
    <xf numFmtId="177" fontId="62" fillId="0" borderId="207"/>
    <xf numFmtId="172" fontId="62" fillId="0" borderId="207"/>
    <xf numFmtId="0" fontId="23" fillId="0" borderId="206" applyNumberFormat="0" applyFill="0" applyAlignment="0" applyProtection="0"/>
    <xf numFmtId="0" fontId="11" fillId="22" borderId="203" applyNumberFormat="0" applyAlignment="0" applyProtection="0"/>
    <xf numFmtId="172" fontId="62" fillId="0" borderId="207"/>
    <xf numFmtId="174" fontId="62" fillId="0" borderId="207"/>
    <xf numFmtId="172" fontId="62" fillId="0" borderId="207"/>
    <xf numFmtId="175" fontId="62" fillId="0" borderId="207"/>
    <xf numFmtId="180" fontId="62" fillId="0" borderId="207"/>
    <xf numFmtId="172" fontId="62" fillId="0" borderId="207"/>
    <xf numFmtId="0" fontId="18" fillId="9" borderId="203" applyNumberFormat="0" applyAlignment="0" applyProtection="0"/>
    <xf numFmtId="174" fontId="62" fillId="0" borderId="207"/>
    <xf numFmtId="0" fontId="11" fillId="22" borderId="203" applyNumberFormat="0" applyAlignment="0" applyProtection="0"/>
    <xf numFmtId="182" fontId="62" fillId="0" borderId="207"/>
    <xf numFmtId="172" fontId="62" fillId="0" borderId="207"/>
    <xf numFmtId="173" fontId="62" fillId="0" borderId="207"/>
    <xf numFmtId="175" fontId="62" fillId="0" borderId="207"/>
    <xf numFmtId="176" fontId="62" fillId="0" borderId="207"/>
    <xf numFmtId="175" fontId="62" fillId="0" borderId="207"/>
    <xf numFmtId="175" fontId="62" fillId="0" borderId="207"/>
    <xf numFmtId="0" fontId="11" fillId="22" borderId="203" applyNumberFormat="0" applyAlignment="0" applyProtection="0"/>
    <xf numFmtId="172" fontId="62" fillId="0" borderId="207"/>
    <xf numFmtId="175" fontId="62" fillId="0" borderId="207"/>
    <xf numFmtId="182" fontId="62" fillId="0" borderId="207"/>
    <xf numFmtId="172"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172" fontId="62" fillId="0" borderId="207"/>
    <xf numFmtId="180" fontId="62" fillId="0" borderId="207"/>
    <xf numFmtId="180" fontId="62" fillId="0" borderId="207"/>
    <xf numFmtId="0" fontId="65" fillId="50" borderId="201">
      <protection locked="0"/>
    </xf>
    <xf numFmtId="0" fontId="8" fillId="25" borderId="204" applyNumberFormat="0" applyFont="0" applyAlignment="0" applyProtection="0"/>
    <xf numFmtId="180" fontId="62" fillId="0" borderId="207"/>
    <xf numFmtId="177"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0" fontId="21" fillId="22" borderId="205" applyNumberFormat="0" applyAlignment="0" applyProtection="0"/>
    <xf numFmtId="175" fontId="62" fillId="0" borderId="207"/>
    <xf numFmtId="175" fontId="62" fillId="0" borderId="207"/>
    <xf numFmtId="173" fontId="62" fillId="0" borderId="207"/>
    <xf numFmtId="175" fontId="62" fillId="0" borderId="207"/>
    <xf numFmtId="180" fontId="62" fillId="0" borderId="207"/>
    <xf numFmtId="180" fontId="62" fillId="0" borderId="207"/>
    <xf numFmtId="172" fontId="62" fillId="0" borderId="207"/>
    <xf numFmtId="175" fontId="62" fillId="0" borderId="207"/>
    <xf numFmtId="180" fontId="62" fillId="0" borderId="207"/>
    <xf numFmtId="172" fontId="62" fillId="0" borderId="207"/>
    <xf numFmtId="174" fontId="62" fillId="0" borderId="207"/>
    <xf numFmtId="180" fontId="62" fillId="0" borderId="207"/>
    <xf numFmtId="0" fontId="23" fillId="0" borderId="206" applyNumberFormat="0" applyFill="0" applyAlignment="0" applyProtection="0"/>
    <xf numFmtId="175" fontId="62" fillId="0" borderId="207"/>
    <xf numFmtId="175" fontId="62" fillId="0" borderId="207"/>
    <xf numFmtId="180" fontId="62" fillId="0" borderId="207"/>
    <xf numFmtId="172" fontId="62" fillId="0" borderId="207"/>
    <xf numFmtId="0" fontId="18" fillId="9" borderId="203" applyNumberFormat="0" applyAlignment="0" applyProtection="0"/>
    <xf numFmtId="177" fontId="62" fillId="0" borderId="207"/>
    <xf numFmtId="176" fontId="62" fillId="0" borderId="207"/>
    <xf numFmtId="181" fontId="62" fillId="0" borderId="207"/>
    <xf numFmtId="176" fontId="62" fillId="0" borderId="207"/>
    <xf numFmtId="181" fontId="62" fillId="0" borderId="207"/>
    <xf numFmtId="173" fontId="62" fillId="0" borderId="207"/>
    <xf numFmtId="0" fontId="65" fillId="50" borderId="201">
      <protection locked="0"/>
    </xf>
    <xf numFmtId="181" fontId="62" fillId="0" borderId="207"/>
    <xf numFmtId="182" fontId="62" fillId="0" borderId="207"/>
    <xf numFmtId="0" fontId="65" fillId="50" borderId="201">
      <protection locked="0"/>
    </xf>
    <xf numFmtId="175" fontId="62" fillId="0" borderId="207"/>
    <xf numFmtId="182" fontId="62" fillId="0" borderId="207"/>
    <xf numFmtId="0" fontId="21" fillId="22" borderId="205" applyNumberFormat="0" applyAlignment="0" applyProtection="0"/>
    <xf numFmtId="177" fontId="62" fillId="0" borderId="207"/>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0" fontId="62" fillId="0" borderId="207"/>
    <xf numFmtId="172" fontId="62" fillId="0" borderId="207"/>
    <xf numFmtId="175" fontId="62" fillId="0" borderId="207"/>
    <xf numFmtId="180" fontId="62" fillId="0" borderId="207"/>
    <xf numFmtId="180" fontId="62" fillId="0" borderId="207"/>
    <xf numFmtId="180" fontId="62" fillId="0" borderId="207"/>
    <xf numFmtId="175" fontId="62" fillId="0" borderId="207"/>
    <xf numFmtId="180" fontId="62" fillId="0" borderId="207"/>
    <xf numFmtId="180" fontId="62" fillId="0" borderId="207"/>
    <xf numFmtId="175" fontId="62" fillId="0" borderId="207"/>
    <xf numFmtId="175" fontId="62" fillId="0" borderId="207"/>
    <xf numFmtId="0" fontId="21" fillId="22" borderId="205" applyNumberFormat="0" applyAlignment="0" applyProtection="0"/>
    <xf numFmtId="175" fontId="62" fillId="0" borderId="207"/>
    <xf numFmtId="0" fontId="23" fillId="0" borderId="206" applyNumberFormat="0" applyFill="0" applyAlignment="0" applyProtection="0"/>
    <xf numFmtId="172" fontId="62" fillId="0" borderId="207"/>
    <xf numFmtId="172" fontId="62" fillId="0" borderId="207"/>
    <xf numFmtId="175" fontId="62" fillId="0" borderId="207"/>
    <xf numFmtId="176" fontId="62" fillId="0" borderId="207"/>
    <xf numFmtId="0" fontId="18" fillId="9" borderId="203" applyNumberFormat="0" applyAlignment="0" applyProtection="0"/>
    <xf numFmtId="172" fontId="62" fillId="0" borderId="207"/>
    <xf numFmtId="0" fontId="21" fillId="22" borderId="205" applyNumberFormat="0" applyAlignment="0" applyProtection="0"/>
    <xf numFmtId="174" fontId="62" fillId="0" borderId="207"/>
    <xf numFmtId="172" fontId="62" fillId="0" borderId="207"/>
    <xf numFmtId="0" fontId="18" fillId="9" borderId="203" applyNumberFormat="0" applyAlignment="0" applyProtection="0"/>
    <xf numFmtId="177" fontId="62" fillId="0" borderId="207"/>
    <xf numFmtId="0" fontId="11" fillId="22" borderId="203" applyNumberFormat="0" applyAlignment="0" applyProtection="0"/>
    <xf numFmtId="172" fontId="62" fillId="0" borderId="207"/>
    <xf numFmtId="172" fontId="62" fillId="0" borderId="207"/>
    <xf numFmtId="180" fontId="62" fillId="0" borderId="207"/>
    <xf numFmtId="0" fontId="65" fillId="50" borderId="201">
      <protection locked="0"/>
    </xf>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6" fontId="62" fillId="0" borderId="207"/>
    <xf numFmtId="180" fontId="62" fillId="0" borderId="207"/>
    <xf numFmtId="172" fontId="62" fillId="0" borderId="207"/>
    <xf numFmtId="172" fontId="62" fillId="0" borderId="207"/>
    <xf numFmtId="0" fontId="23" fillId="0" borderId="206" applyNumberFormat="0" applyFill="0" applyAlignment="0" applyProtection="0"/>
    <xf numFmtId="180" fontId="62" fillId="0" borderId="207"/>
    <xf numFmtId="172" fontId="62" fillId="0" borderId="207"/>
    <xf numFmtId="172" fontId="62" fillId="0" borderId="207"/>
    <xf numFmtId="180" fontId="62" fillId="0" borderId="207"/>
    <xf numFmtId="175" fontId="62" fillId="0" borderId="207"/>
    <xf numFmtId="175" fontId="62" fillId="0" borderId="207"/>
    <xf numFmtId="180" fontId="62" fillId="0" borderId="207"/>
    <xf numFmtId="180" fontId="62" fillId="0" borderId="207"/>
    <xf numFmtId="180" fontId="62" fillId="0" borderId="207"/>
    <xf numFmtId="172" fontId="62" fillId="0" borderId="207"/>
    <xf numFmtId="174" fontId="62" fillId="0" borderId="207"/>
    <xf numFmtId="172" fontId="62" fillId="0" borderId="207"/>
    <xf numFmtId="180" fontId="62" fillId="0" borderId="207"/>
    <xf numFmtId="0" fontId="18" fillId="9" borderId="203" applyNumberFormat="0" applyAlignment="0" applyProtection="0"/>
    <xf numFmtId="180" fontId="62" fillId="0" borderId="207"/>
    <xf numFmtId="180" fontId="62" fillId="0" borderId="207"/>
    <xf numFmtId="0" fontId="23" fillId="0" borderId="206" applyNumberFormat="0" applyFill="0" applyAlignment="0" applyProtection="0"/>
    <xf numFmtId="172" fontId="62" fillId="0" borderId="207"/>
    <xf numFmtId="0" fontId="8" fillId="25" borderId="204" applyNumberFormat="0" applyFont="0" applyAlignment="0" applyProtection="0"/>
    <xf numFmtId="0" fontId="18" fillId="9" borderId="203" applyNumberFormat="0" applyAlignment="0" applyProtection="0"/>
    <xf numFmtId="172" fontId="62" fillId="0" borderId="207"/>
    <xf numFmtId="180" fontId="62" fillId="0" borderId="207"/>
    <xf numFmtId="0" fontId="8" fillId="25" borderId="204" applyNumberFormat="0" applyFont="0" applyAlignment="0" applyProtection="0"/>
    <xf numFmtId="0" fontId="11" fillId="22" borderId="203" applyNumberFormat="0" applyAlignment="0" applyProtection="0"/>
    <xf numFmtId="172"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2" fontId="62" fillId="0" borderId="207"/>
    <xf numFmtId="181" fontId="62" fillId="0" borderId="207"/>
    <xf numFmtId="175" fontId="62" fillId="0" borderId="207"/>
    <xf numFmtId="175" fontId="62" fillId="0" borderId="207"/>
    <xf numFmtId="174" fontId="62" fillId="0" borderId="207"/>
    <xf numFmtId="180" fontId="62" fillId="0" borderId="207"/>
    <xf numFmtId="173" fontId="62" fillId="0" borderId="207"/>
    <xf numFmtId="0" fontId="21" fillId="22" borderId="205" applyNumberFormat="0" applyAlignment="0" applyProtection="0"/>
    <xf numFmtId="172" fontId="62" fillId="0" borderId="207"/>
    <xf numFmtId="175" fontId="62" fillId="0" borderId="207"/>
    <xf numFmtId="180" fontId="62" fillId="0" borderId="207"/>
    <xf numFmtId="0" fontId="11" fillId="22" borderId="203" applyNumberFormat="0" applyAlignment="0" applyProtection="0"/>
    <xf numFmtId="175" fontId="62" fillId="0" borderId="207"/>
    <xf numFmtId="176" fontId="62" fillId="0" borderId="207"/>
    <xf numFmtId="175" fontId="62" fillId="0" borderId="207"/>
    <xf numFmtId="182" fontId="62" fillId="0" borderId="207"/>
    <xf numFmtId="0" fontId="23" fillId="0" borderId="206" applyNumberFormat="0" applyFill="0" applyAlignment="0" applyProtection="0"/>
    <xf numFmtId="177" fontId="62" fillId="0" borderId="207"/>
    <xf numFmtId="173" fontId="62" fillId="0" borderId="207"/>
    <xf numFmtId="180" fontId="62" fillId="0" borderId="207"/>
    <xf numFmtId="181" fontId="62" fillId="0" borderId="207"/>
    <xf numFmtId="182" fontId="62" fillId="0" borderId="207"/>
    <xf numFmtId="0" fontId="65" fillId="50" borderId="201">
      <protection locked="0"/>
    </xf>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5" fontId="62" fillId="0" borderId="207"/>
    <xf numFmtId="175" fontId="62" fillId="0" borderId="207"/>
    <xf numFmtId="175" fontId="62" fillId="0" borderId="207"/>
    <xf numFmtId="172" fontId="62" fillId="0" borderId="207"/>
    <xf numFmtId="0" fontId="18" fillId="9" borderId="203" applyNumberFormat="0" applyAlignment="0" applyProtection="0"/>
    <xf numFmtId="175" fontId="62" fillId="0" borderId="207"/>
    <xf numFmtId="172" fontId="62" fillId="0" borderId="207"/>
    <xf numFmtId="180" fontId="62" fillId="0" borderId="207"/>
    <xf numFmtId="174" fontId="62" fillId="0" borderId="207"/>
    <xf numFmtId="174" fontId="62" fillId="0" borderId="207"/>
    <xf numFmtId="172" fontId="62" fillId="0" borderId="207"/>
    <xf numFmtId="174" fontId="62" fillId="0" borderId="207"/>
    <xf numFmtId="175" fontId="62" fillId="0" borderId="207"/>
    <xf numFmtId="177" fontId="62" fillId="0" borderId="207"/>
    <xf numFmtId="172" fontId="62" fillId="0" borderId="207"/>
    <xf numFmtId="0" fontId="11" fillId="22" borderId="203" applyNumberFormat="0" applyAlignment="0" applyProtection="0"/>
    <xf numFmtId="180" fontId="62" fillId="0" borderId="207"/>
    <xf numFmtId="180" fontId="62" fillId="0" borderId="207"/>
    <xf numFmtId="180" fontId="62" fillId="0" borderId="207"/>
    <xf numFmtId="172" fontId="62" fillId="0" borderId="207"/>
    <xf numFmtId="0" fontId="8" fillId="25" borderId="204" applyNumberFormat="0" applyFont="0" applyAlignment="0" applyProtection="0"/>
    <xf numFmtId="172" fontId="62" fillId="0" borderId="207"/>
    <xf numFmtId="181" fontId="62" fillId="0" borderId="207"/>
    <xf numFmtId="175" fontId="62" fillId="0" borderId="207"/>
    <xf numFmtId="176" fontId="62" fillId="0" borderId="207"/>
    <xf numFmtId="0" fontId="18" fillId="9" borderId="203" applyNumberFormat="0" applyAlignment="0" applyProtection="0"/>
    <xf numFmtId="172" fontId="62" fillId="0" borderId="207"/>
    <xf numFmtId="180" fontId="62" fillId="0" borderId="207"/>
    <xf numFmtId="175" fontId="62" fillId="0" borderId="207"/>
    <xf numFmtId="180" fontId="62" fillId="0" borderId="207"/>
    <xf numFmtId="172" fontId="62" fillId="0" borderId="207"/>
    <xf numFmtId="180" fontId="62" fillId="0" borderId="207"/>
    <xf numFmtId="175" fontId="62" fillId="0" borderId="207"/>
    <xf numFmtId="175" fontId="62" fillId="0" borderId="207"/>
    <xf numFmtId="172" fontId="62" fillId="0" borderId="207"/>
    <xf numFmtId="175" fontId="62" fillId="0" borderId="207"/>
    <xf numFmtId="176" fontId="62" fillId="0" borderId="207"/>
    <xf numFmtId="175" fontId="62" fillId="0" borderId="207"/>
    <xf numFmtId="180" fontId="62" fillId="0" borderId="207"/>
    <xf numFmtId="180" fontId="62" fillId="0" borderId="207"/>
    <xf numFmtId="172" fontId="62" fillId="0" borderId="207"/>
    <xf numFmtId="0" fontId="21" fillId="22" borderId="205" applyNumberFormat="0" applyAlignment="0" applyProtection="0"/>
    <xf numFmtId="173" fontId="62" fillId="0" borderId="207"/>
    <xf numFmtId="0" fontId="23" fillId="0" borderId="206" applyNumberFormat="0" applyFill="0" applyAlignment="0" applyProtection="0"/>
    <xf numFmtId="0" fontId="8" fillId="25" borderId="204" applyNumberFormat="0" applyFont="0" applyAlignment="0" applyProtection="0"/>
    <xf numFmtId="173" fontId="62" fillId="0" borderId="207"/>
    <xf numFmtId="0" fontId="65" fillId="50" borderId="201">
      <protection locked="0"/>
    </xf>
    <xf numFmtId="176" fontId="62" fillId="0" borderId="207"/>
    <xf numFmtId="0" fontId="23" fillId="0" borderId="206" applyNumberFormat="0" applyFill="0" applyAlignment="0" applyProtection="0"/>
    <xf numFmtId="175" fontId="62" fillId="0" borderId="207"/>
    <xf numFmtId="0" fontId="21" fillId="22" borderId="205" applyNumberFormat="0" applyAlignment="0" applyProtection="0"/>
    <xf numFmtId="172" fontId="62" fillId="0" borderId="207"/>
    <xf numFmtId="182" fontId="62" fillId="0" borderId="207"/>
    <xf numFmtId="172" fontId="62" fillId="0" borderId="207"/>
    <xf numFmtId="180" fontId="62" fillId="0" borderId="207"/>
    <xf numFmtId="0" fontId="11" fillId="22" borderId="203" applyNumberFormat="0" applyAlignment="0" applyProtection="0"/>
    <xf numFmtId="175" fontId="62" fillId="0" borderId="207"/>
    <xf numFmtId="181" fontId="62" fillId="0" borderId="207"/>
    <xf numFmtId="175" fontId="62" fillId="0" borderId="207"/>
    <xf numFmtId="172" fontId="62" fillId="0" borderId="207"/>
    <xf numFmtId="175" fontId="62" fillId="0" borderId="207"/>
    <xf numFmtId="173" fontId="62" fillId="0" borderId="207"/>
    <xf numFmtId="180" fontId="62" fillId="0" borderId="207"/>
    <xf numFmtId="177" fontId="62" fillId="0" borderId="207"/>
    <xf numFmtId="175" fontId="62" fillId="0" borderId="207"/>
    <xf numFmtId="173" fontId="62" fillId="0" borderId="207"/>
    <xf numFmtId="172" fontId="62" fillId="0" borderId="207"/>
    <xf numFmtId="181" fontId="62" fillId="0" borderId="207"/>
    <xf numFmtId="182" fontId="62" fillId="0" borderId="207"/>
    <xf numFmtId="0" fontId="65" fillId="50" borderId="201">
      <protection locked="0"/>
    </xf>
    <xf numFmtId="180" fontId="62" fillId="0" borderId="207"/>
    <xf numFmtId="180" fontId="62" fillId="0" borderId="207"/>
    <xf numFmtId="180" fontId="62" fillId="0" borderId="207"/>
    <xf numFmtId="172" fontId="62" fillId="0" borderId="207"/>
    <xf numFmtId="180" fontId="62" fillId="0" borderId="207"/>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2" fontId="62" fillId="0" borderId="207"/>
    <xf numFmtId="172" fontId="62" fillId="0" borderId="207"/>
    <xf numFmtId="175" fontId="62" fillId="0" borderId="207"/>
    <xf numFmtId="180" fontId="62" fillId="0" borderId="207"/>
    <xf numFmtId="172" fontId="62" fillId="0" borderId="207"/>
    <xf numFmtId="0" fontId="8" fillId="25" borderId="204" applyNumberFormat="0" applyFont="0" applyAlignment="0" applyProtection="0"/>
    <xf numFmtId="175" fontId="62" fillId="0" borderId="207"/>
    <xf numFmtId="177" fontId="62" fillId="0" borderId="207"/>
    <xf numFmtId="180" fontId="62" fillId="0" borderId="207"/>
    <xf numFmtId="172" fontId="62" fillId="0" borderId="207"/>
    <xf numFmtId="175"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5" fontId="62" fillId="0" borderId="207"/>
    <xf numFmtId="180" fontId="62" fillId="0" borderId="207"/>
    <xf numFmtId="172" fontId="62" fillId="0" borderId="207"/>
    <xf numFmtId="180" fontId="62" fillId="0" borderId="207"/>
    <xf numFmtId="180" fontId="62" fillId="0" borderId="207"/>
    <xf numFmtId="175" fontId="62" fillId="0" borderId="207"/>
    <xf numFmtId="175" fontId="62" fillId="0" borderId="207"/>
    <xf numFmtId="172" fontId="62" fillId="0" borderId="207"/>
    <xf numFmtId="172" fontId="62" fillId="0" borderId="207"/>
    <xf numFmtId="172" fontId="62" fillId="0" borderId="207"/>
    <xf numFmtId="0" fontId="8" fillId="25" borderId="204" applyNumberFormat="0" applyFon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5" fontId="62" fillId="0" borderId="207"/>
    <xf numFmtId="0" fontId="23" fillId="0" borderId="206" applyNumberFormat="0" applyFill="0" applyAlignment="0" applyProtection="0"/>
    <xf numFmtId="0" fontId="18" fillId="9" borderId="203" applyNumberFormat="0" applyAlignment="0" applyProtection="0"/>
    <xf numFmtId="182" fontId="62" fillId="0" borderId="207"/>
    <xf numFmtId="172" fontId="62" fillId="0" borderId="207"/>
    <xf numFmtId="0" fontId="11" fillId="22" borderId="203" applyNumberFormat="0" applyAlignment="0" applyProtection="0"/>
    <xf numFmtId="0" fontId="18" fillId="9" borderId="203" applyNumberFormat="0" applyAlignment="0" applyProtection="0"/>
    <xf numFmtId="182" fontId="62" fillId="0" borderId="207"/>
    <xf numFmtId="181" fontId="62" fillId="0" borderId="207"/>
    <xf numFmtId="180" fontId="62" fillId="0" borderId="207"/>
    <xf numFmtId="172" fontId="62" fillId="0" borderId="207"/>
    <xf numFmtId="176" fontId="62" fillId="0" borderId="207"/>
    <xf numFmtId="177" fontId="62" fillId="0" borderId="207"/>
    <xf numFmtId="176" fontId="62" fillId="0" borderId="207"/>
    <xf numFmtId="175" fontId="62" fillId="0" borderId="207"/>
    <xf numFmtId="177" fontId="62" fillId="0" borderId="207"/>
    <xf numFmtId="181" fontId="62" fillId="0" borderId="207"/>
    <xf numFmtId="174" fontId="62" fillId="0" borderId="207"/>
    <xf numFmtId="0" fontId="11" fillId="22" borderId="203" applyNumberFormat="0" applyAlignment="0" applyProtection="0"/>
    <xf numFmtId="173" fontId="62" fillId="0" borderId="207"/>
    <xf numFmtId="180" fontId="62" fillId="0" borderId="207"/>
    <xf numFmtId="177" fontId="62" fillId="0" borderId="207"/>
    <xf numFmtId="175" fontId="62" fillId="0" borderId="207"/>
    <xf numFmtId="172" fontId="62" fillId="0" borderId="207"/>
    <xf numFmtId="0" fontId="21" fillId="22" borderId="205" applyNumberFormat="0" applyAlignment="0" applyProtection="0"/>
    <xf numFmtId="0" fontId="23" fillId="0" borderId="206" applyNumberFormat="0" applyFill="0" applyAlignment="0" applyProtection="0"/>
    <xf numFmtId="181" fontId="62" fillId="0" borderId="207"/>
    <xf numFmtId="176" fontId="62" fillId="0" borderId="207"/>
    <xf numFmtId="174" fontId="62" fillId="0" borderId="207"/>
    <xf numFmtId="173" fontId="62" fillId="0" borderId="207"/>
    <xf numFmtId="172" fontId="62" fillId="0" borderId="207"/>
    <xf numFmtId="182"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11" fillId="22" borderId="203" applyNumberFormat="0" applyAlignment="0" applyProtection="0"/>
    <xf numFmtId="0" fontId="21" fillId="22" borderId="205" applyNumberFormat="0" applyAlignment="0" applyProtection="0"/>
    <xf numFmtId="0" fontId="11" fillId="22" borderId="203" applyNumberFormat="0" applyAlignment="0" applyProtection="0"/>
    <xf numFmtId="0" fontId="21" fillId="22" borderId="205" applyNumberFormat="0" applyAlignment="0" applyProtection="0"/>
    <xf numFmtId="0" fontId="21" fillId="22" borderId="205" applyNumberFormat="0" applyAlignment="0" applyProtection="0"/>
    <xf numFmtId="174" fontId="62" fillId="0" borderId="207"/>
    <xf numFmtId="173"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0" fontId="23" fillId="0" borderId="206" applyNumberFormat="0" applyFill="0" applyAlignment="0" applyProtection="0"/>
    <xf numFmtId="172" fontId="62" fillId="0" borderId="207"/>
    <xf numFmtId="173" fontId="62" fillId="0" borderId="207"/>
    <xf numFmtId="0" fontId="21" fillId="22" borderId="205" applyNumberFormat="0" applyAlignment="0" applyProtection="0"/>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180" fontId="62" fillId="0" borderId="207"/>
    <xf numFmtId="0" fontId="8" fillId="25" borderId="204" applyNumberFormat="0" applyFont="0" applyAlignment="0" applyProtection="0"/>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21" fillId="22" borderId="205"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8" fillId="9" borderId="203" applyNumberFormat="0" applyAlignment="0" applyProtection="0"/>
    <xf numFmtId="175"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2" fontId="62" fillId="0" borderId="207"/>
    <xf numFmtId="180" fontId="62" fillId="0" borderId="207"/>
    <xf numFmtId="0" fontId="11" fillId="22" borderId="203" applyNumberFormat="0" applyAlignment="0" applyProtection="0"/>
    <xf numFmtId="176" fontId="62" fillId="0" borderId="207"/>
    <xf numFmtId="182" fontId="62" fillId="0" borderId="207"/>
    <xf numFmtId="172" fontId="62" fillId="0" borderId="207"/>
    <xf numFmtId="0" fontId="23" fillId="0" borderId="206" applyNumberFormat="0" applyFill="0" applyAlignment="0" applyProtection="0"/>
    <xf numFmtId="180" fontId="62" fillId="0" borderId="207"/>
    <xf numFmtId="175" fontId="62" fillId="0" borderId="207"/>
    <xf numFmtId="0" fontId="11" fillId="22" borderId="203" applyNumberFormat="0" applyAlignment="0" applyProtection="0"/>
    <xf numFmtId="172" fontId="62" fillId="0" borderId="207"/>
    <xf numFmtId="172" fontId="62" fillId="0" borderId="207"/>
    <xf numFmtId="0" fontId="18" fillId="9" borderId="203" applyNumberFormat="0" applyAlignment="0" applyProtection="0"/>
    <xf numFmtId="173" fontId="62" fillId="0" borderId="207"/>
    <xf numFmtId="172" fontId="62" fillId="0" borderId="207"/>
    <xf numFmtId="175" fontId="62" fillId="0" borderId="207"/>
    <xf numFmtId="172" fontId="62" fillId="0" borderId="207"/>
    <xf numFmtId="175" fontId="62" fillId="0" borderId="207"/>
    <xf numFmtId="176" fontId="62" fillId="0" borderId="207"/>
    <xf numFmtId="177" fontId="62" fillId="0" borderId="207"/>
    <xf numFmtId="0" fontId="8" fillId="25" borderId="204" applyNumberFormat="0" applyFont="0" applyAlignment="0" applyProtection="0"/>
    <xf numFmtId="175" fontId="62" fillId="0" borderId="207"/>
    <xf numFmtId="180" fontId="62" fillId="0" borderId="207"/>
    <xf numFmtId="172" fontId="62" fillId="0" borderId="207"/>
    <xf numFmtId="181" fontId="62" fillId="0" borderId="207"/>
    <xf numFmtId="182" fontId="62" fillId="0" borderId="207"/>
    <xf numFmtId="0" fontId="18" fillId="9" borderId="203" applyNumberFormat="0" applyAlignment="0" applyProtection="0"/>
    <xf numFmtId="180" fontId="62" fillId="0" borderId="207"/>
    <xf numFmtId="180" fontId="62" fillId="0" borderId="207"/>
    <xf numFmtId="175" fontId="62" fillId="0" borderId="207"/>
    <xf numFmtId="172" fontId="62" fillId="0" borderId="207"/>
    <xf numFmtId="176" fontId="62" fillId="0" borderId="207"/>
    <xf numFmtId="172" fontId="62" fillId="0" borderId="207"/>
    <xf numFmtId="172" fontId="62" fillId="0" borderId="207"/>
    <xf numFmtId="175" fontId="62" fillId="0" borderId="207"/>
    <xf numFmtId="175" fontId="62" fillId="0" borderId="207"/>
    <xf numFmtId="172" fontId="62" fillId="0" borderId="207"/>
    <xf numFmtId="0" fontId="18" fillId="9" borderId="203" applyNumberForma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8" fillId="25" borderId="204" applyNumberFormat="0" applyFont="0" applyAlignment="0" applyProtection="0"/>
    <xf numFmtId="174" fontId="62" fillId="0" borderId="207"/>
    <xf numFmtId="175" fontId="62" fillId="0" borderId="207"/>
    <xf numFmtId="180" fontId="62" fillId="0" borderId="207"/>
    <xf numFmtId="0" fontId="11" fillId="22" borderId="203" applyNumberFormat="0" applyAlignment="0" applyProtection="0"/>
    <xf numFmtId="174" fontId="62" fillId="0" borderId="207"/>
    <xf numFmtId="173" fontId="62" fillId="0" borderId="207"/>
    <xf numFmtId="0" fontId="21" fillId="22" borderId="205" applyNumberFormat="0" applyAlignment="0" applyProtection="0"/>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8" fillId="25" borderId="204" applyNumberFormat="0" applyFont="0" applyAlignment="0" applyProtection="0"/>
    <xf numFmtId="0" fontId="11" fillId="22" borderId="203" applyNumberFormat="0" applyAlignment="0" applyProtection="0"/>
    <xf numFmtId="174" fontId="62" fillId="0" borderId="207"/>
    <xf numFmtId="176" fontId="62" fillId="0" borderId="207"/>
    <xf numFmtId="177"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1" fontId="62" fillId="0" borderId="207"/>
    <xf numFmtId="175" fontId="62" fillId="0" borderId="207"/>
    <xf numFmtId="180" fontId="62" fillId="0" borderId="207"/>
    <xf numFmtId="175" fontId="62" fillId="0" borderId="207"/>
    <xf numFmtId="177" fontId="62" fillId="0" borderId="207"/>
    <xf numFmtId="173" fontId="62" fillId="0" borderId="207"/>
    <xf numFmtId="181" fontId="62" fillId="0" borderId="207"/>
    <xf numFmtId="182" fontId="62" fillId="0" borderId="207"/>
    <xf numFmtId="0" fontId="21" fillId="22" borderId="205"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175" fontId="62" fillId="0" borderId="207"/>
    <xf numFmtId="180" fontId="62" fillId="0" borderId="207"/>
    <xf numFmtId="175" fontId="62" fillId="0" borderId="207"/>
    <xf numFmtId="172" fontId="62" fillId="0" borderId="207"/>
    <xf numFmtId="180" fontId="62" fillId="0" borderId="207"/>
    <xf numFmtId="175" fontId="62" fillId="0" borderId="207"/>
    <xf numFmtId="180" fontId="62" fillId="0" borderId="207"/>
    <xf numFmtId="172" fontId="62" fillId="0" borderId="207"/>
    <xf numFmtId="172" fontId="62" fillId="0" borderId="207"/>
    <xf numFmtId="180"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7" fontId="62" fillId="0" borderId="207"/>
    <xf numFmtId="0" fontId="11" fillId="22" borderId="203" applyNumberFormat="0" applyAlignment="0" applyProtection="0"/>
    <xf numFmtId="181" fontId="62" fillId="0" borderId="207"/>
    <xf numFmtId="180" fontId="62" fillId="0" borderId="207"/>
    <xf numFmtId="172" fontId="62" fillId="0" borderId="207"/>
    <xf numFmtId="172" fontId="62" fillId="0" borderId="207"/>
    <xf numFmtId="175" fontId="62" fillId="0" borderId="207"/>
    <xf numFmtId="175" fontId="62" fillId="0" borderId="207"/>
    <xf numFmtId="172" fontId="62" fillId="0" borderId="207"/>
    <xf numFmtId="0" fontId="23" fillId="0" borderId="206" applyNumberFormat="0" applyFill="0" applyAlignment="0" applyProtection="0"/>
    <xf numFmtId="175" fontId="62" fillId="0" borderId="207"/>
    <xf numFmtId="0" fontId="18" fillId="9" borderId="203" applyNumberFormat="0" applyAlignment="0" applyProtection="0"/>
    <xf numFmtId="0" fontId="21" fillId="22" borderId="205" applyNumberFormat="0" applyAlignment="0" applyProtection="0"/>
    <xf numFmtId="0" fontId="8" fillId="25" borderId="204" applyNumberFormat="0" applyFont="0" applyAlignment="0" applyProtection="0"/>
    <xf numFmtId="177" fontId="62" fillId="0" borderId="207"/>
    <xf numFmtId="180" fontId="62" fillId="0" borderId="207"/>
    <xf numFmtId="0" fontId="11" fillId="22" borderId="203" applyNumberFormat="0" applyAlignment="0" applyProtection="0"/>
    <xf numFmtId="0" fontId="18" fillId="9" borderId="203" applyNumberFormat="0" applyAlignment="0" applyProtection="0"/>
    <xf numFmtId="175" fontId="62" fillId="0" borderId="207"/>
    <xf numFmtId="172" fontId="62" fillId="0" borderId="207"/>
    <xf numFmtId="180" fontId="62" fillId="0" borderId="207"/>
    <xf numFmtId="175" fontId="62" fillId="0" borderId="207"/>
    <xf numFmtId="172" fontId="62" fillId="0" borderId="207"/>
    <xf numFmtId="173" fontId="62" fillId="0" borderId="207"/>
    <xf numFmtId="172" fontId="62" fillId="0" borderId="207"/>
    <xf numFmtId="175" fontId="62" fillId="0" borderId="207"/>
    <xf numFmtId="180" fontId="62" fillId="0" borderId="207"/>
    <xf numFmtId="172" fontId="62" fillId="0" borderId="207"/>
    <xf numFmtId="180" fontId="62" fillId="0" borderId="207"/>
    <xf numFmtId="0" fontId="11" fillId="22" borderId="203" applyNumberFormat="0" applyAlignment="0" applyProtection="0"/>
    <xf numFmtId="182" fontId="62" fillId="0" borderId="207"/>
    <xf numFmtId="176" fontId="62" fillId="0" borderId="207"/>
    <xf numFmtId="180"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23" fillId="0" borderId="206" applyNumberFormat="0" applyFill="0" applyAlignment="0" applyProtection="0"/>
    <xf numFmtId="180" fontId="62" fillId="0" borderId="207"/>
    <xf numFmtId="180" fontId="62" fillId="0" borderId="207"/>
    <xf numFmtId="175" fontId="62" fillId="0" borderId="207"/>
    <xf numFmtId="174" fontId="62" fillId="0" borderId="207"/>
    <xf numFmtId="0" fontId="8" fillId="25" borderId="204" applyNumberFormat="0" applyFont="0" applyAlignment="0" applyProtection="0"/>
    <xf numFmtId="175"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180"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2"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80" fontId="62" fillId="0" borderId="207"/>
    <xf numFmtId="175" fontId="62" fillId="0" borderId="207"/>
    <xf numFmtId="173"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8">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8">
      <protection locked="0"/>
    </xf>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0" fontId="62" fillId="0" borderId="207"/>
    <xf numFmtId="180" fontId="62" fillId="0" borderId="207"/>
    <xf numFmtId="181" fontId="62" fillId="0" borderId="207"/>
    <xf numFmtId="172" fontId="62" fillId="0" borderId="207"/>
    <xf numFmtId="175" fontId="62" fillId="0" borderId="207"/>
    <xf numFmtId="175" fontId="62" fillId="0" borderId="207"/>
    <xf numFmtId="177" fontId="62" fillId="0" borderId="207"/>
    <xf numFmtId="172"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1" fillId="22" borderId="205" applyNumberFormat="0" applyAlignment="0" applyProtection="0"/>
    <xf numFmtId="0" fontId="18" fillId="9" borderId="203" applyNumberFormat="0" applyAlignment="0" applyProtection="0"/>
    <xf numFmtId="0" fontId="8" fillId="25" borderId="204" applyNumberFormat="0" applyFont="0" applyAlignment="0" applyProtection="0"/>
    <xf numFmtId="176" fontId="62" fillId="0" borderId="207"/>
    <xf numFmtId="180" fontId="62" fillId="0" borderId="207"/>
    <xf numFmtId="172" fontId="62" fillId="0" borderId="207"/>
    <xf numFmtId="173" fontId="62" fillId="0" borderId="207"/>
    <xf numFmtId="174" fontId="62" fillId="0" borderId="207"/>
    <xf numFmtId="0" fontId="8" fillId="25" borderId="204" applyNumberFormat="0" applyFont="0" applyAlignment="0" applyProtection="0"/>
    <xf numFmtId="175" fontId="62" fillId="0" borderId="207"/>
    <xf numFmtId="176" fontId="62" fillId="0" borderId="207"/>
    <xf numFmtId="177" fontId="62" fillId="0" borderId="207"/>
    <xf numFmtId="176" fontId="62" fillId="0" borderId="207"/>
    <xf numFmtId="180" fontId="62" fillId="0" borderId="207"/>
    <xf numFmtId="181" fontId="62" fillId="0" borderId="207"/>
    <xf numFmtId="182" fontId="62" fillId="0" borderId="207"/>
    <xf numFmtId="175" fontId="62" fillId="0" borderId="207"/>
    <xf numFmtId="175" fontId="62" fillId="0" borderId="207"/>
    <xf numFmtId="172" fontId="62" fillId="0" borderId="207"/>
    <xf numFmtId="0" fontId="65" fillId="50" borderId="201">
      <protection locked="0"/>
    </xf>
    <xf numFmtId="0" fontId="11" fillId="22" borderId="203" applyNumberFormat="0" applyAlignment="0" applyProtection="0"/>
    <xf numFmtId="0" fontId="8" fillId="25" borderId="204" applyNumberFormat="0" applyFont="0" applyAlignment="0" applyProtection="0"/>
    <xf numFmtId="0" fontId="11" fillId="22" borderId="203" applyNumberFormat="0" applyAlignment="0" applyProtection="0"/>
    <xf numFmtId="182" fontId="62" fillId="0" borderId="207"/>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174" fontId="62" fillId="0" borderId="207"/>
    <xf numFmtId="0" fontId="18" fillId="9" borderId="203" applyNumberFormat="0" applyAlignment="0" applyProtection="0"/>
    <xf numFmtId="0" fontId="11" fillId="22" borderId="203" applyNumberFormat="0" applyAlignment="0" applyProtection="0"/>
    <xf numFmtId="175"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3" fontId="62" fillId="0" borderId="207"/>
    <xf numFmtId="174" fontId="62" fillId="0" borderId="207"/>
    <xf numFmtId="0" fontId="18" fillId="9" borderId="203" applyNumberFormat="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7" fontId="62" fillId="0" borderId="207"/>
    <xf numFmtId="172" fontId="62" fillId="0" borderId="207"/>
    <xf numFmtId="173" fontId="62" fillId="0" borderId="207"/>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172" fontId="62" fillId="0" borderId="207"/>
    <xf numFmtId="180" fontId="62" fillId="0" borderId="207"/>
    <xf numFmtId="175" fontId="62" fillId="0" borderId="207"/>
    <xf numFmtId="175" fontId="62" fillId="0" borderId="207"/>
    <xf numFmtId="180" fontId="62" fillId="0" borderId="207"/>
    <xf numFmtId="172"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65" fillId="50" borderId="201">
      <protection locked="0"/>
    </xf>
    <xf numFmtId="172" fontId="62" fillId="0" borderId="207"/>
    <xf numFmtId="182" fontId="62" fillId="0" borderId="207"/>
    <xf numFmtId="175" fontId="62" fillId="0" borderId="207"/>
    <xf numFmtId="177" fontId="62" fillId="0" borderId="207"/>
    <xf numFmtId="174" fontId="62" fillId="0" borderId="207"/>
    <xf numFmtId="173" fontId="62" fillId="0" borderId="207"/>
    <xf numFmtId="180"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180" fontId="62" fillId="0" borderId="207"/>
    <xf numFmtId="181"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8">
      <protection locked="0"/>
    </xf>
    <xf numFmtId="172" fontId="62" fillId="0" borderId="207"/>
    <xf numFmtId="175" fontId="62" fillId="0" borderId="207"/>
    <xf numFmtId="180" fontId="62" fillId="0" borderId="207"/>
    <xf numFmtId="0" fontId="65" fillId="50" borderId="201">
      <protection locked="0"/>
    </xf>
    <xf numFmtId="0" fontId="65" fillId="50" borderId="201">
      <protection locked="0"/>
    </xf>
    <xf numFmtId="0" fontId="11" fillId="22" borderId="203" applyNumberFormat="0" applyAlignment="0" applyProtection="0"/>
    <xf numFmtId="175" fontId="62" fillId="0" borderId="207"/>
    <xf numFmtId="172" fontId="62" fillId="0" borderId="207"/>
    <xf numFmtId="175" fontId="62" fillId="0" borderId="207"/>
    <xf numFmtId="175" fontId="62" fillId="0" borderId="207"/>
    <xf numFmtId="0" fontId="21" fillId="22" borderId="205" applyNumberFormat="0" applyAlignment="0" applyProtection="0"/>
    <xf numFmtId="180" fontId="62" fillId="0" borderId="207"/>
    <xf numFmtId="175" fontId="62" fillId="0" borderId="207"/>
    <xf numFmtId="0" fontId="65" fillId="50" borderId="201">
      <protection locked="0"/>
    </xf>
    <xf numFmtId="0" fontId="21" fillId="22" borderId="205" applyNumberFormat="0" applyAlignment="0" applyProtection="0"/>
    <xf numFmtId="0" fontId="8" fillId="25" borderId="204" applyNumberFormat="0" applyFont="0" applyAlignment="0" applyProtection="0"/>
    <xf numFmtId="172" fontId="62" fillId="0" borderId="207"/>
    <xf numFmtId="0" fontId="8" fillId="25" borderId="204" applyNumberFormat="0" applyFont="0" applyAlignment="0" applyProtection="0"/>
    <xf numFmtId="174" fontId="62" fillId="0" borderId="207"/>
    <xf numFmtId="0" fontId="23" fillId="0" borderId="206" applyNumberFormat="0" applyFill="0" applyAlignment="0" applyProtection="0"/>
    <xf numFmtId="176" fontId="62" fillId="0" borderId="207"/>
    <xf numFmtId="175" fontId="62" fillId="0" borderId="207"/>
    <xf numFmtId="0" fontId="23" fillId="0" borderId="206" applyNumberFormat="0" applyFill="0" applyAlignment="0" applyProtection="0"/>
    <xf numFmtId="182" fontId="62" fillId="0" borderId="207"/>
    <xf numFmtId="175" fontId="62" fillId="0" borderId="207"/>
    <xf numFmtId="175" fontId="62" fillId="0" borderId="207"/>
    <xf numFmtId="0" fontId="18" fillId="9" borderId="203" applyNumberFormat="0" applyAlignment="0" applyProtection="0"/>
    <xf numFmtId="0" fontId="21" fillId="22" borderId="205" applyNumberFormat="0" applyAlignment="0" applyProtection="0"/>
    <xf numFmtId="172" fontId="62" fillId="0" borderId="207"/>
    <xf numFmtId="0" fontId="8" fillId="25" borderId="204" applyNumberFormat="0" applyFont="0" applyAlignment="0" applyProtection="0"/>
    <xf numFmtId="173" fontId="62" fillId="0" borderId="207"/>
    <xf numFmtId="177" fontId="62" fillId="0" borderId="207"/>
    <xf numFmtId="0" fontId="23" fillId="0" borderId="206" applyNumberFormat="0" applyFill="0" applyAlignment="0" applyProtection="0"/>
    <xf numFmtId="0" fontId="8" fillId="25" borderId="204" applyNumberFormat="0" applyFont="0" applyAlignment="0" applyProtection="0"/>
    <xf numFmtId="176" fontId="62" fillId="0" borderId="207"/>
    <xf numFmtId="172" fontId="62" fillId="0" borderId="207"/>
    <xf numFmtId="180" fontId="62" fillId="0" borderId="207"/>
    <xf numFmtId="0" fontId="18" fillId="9" borderId="203" applyNumberFormat="0" applyAlignment="0" applyProtection="0"/>
    <xf numFmtId="172" fontId="62" fillId="0" borderId="207"/>
    <xf numFmtId="0" fontId="21" fillId="22" borderId="205" applyNumberFormat="0" applyAlignment="0" applyProtection="0"/>
    <xf numFmtId="180" fontId="62" fillId="0" borderId="207"/>
    <xf numFmtId="172" fontId="62" fillId="0" borderId="207"/>
    <xf numFmtId="180" fontId="62" fillId="0" borderId="207"/>
    <xf numFmtId="175" fontId="62" fillId="0" borderId="207"/>
    <xf numFmtId="173" fontId="62" fillId="0" borderId="207"/>
    <xf numFmtId="172" fontId="62" fillId="0" borderId="207"/>
    <xf numFmtId="175" fontId="62" fillId="0" borderId="207"/>
    <xf numFmtId="174" fontId="62" fillId="0" borderId="207"/>
    <xf numFmtId="181" fontId="62" fillId="0" borderId="207"/>
    <xf numFmtId="180" fontId="62" fillId="0" borderId="207"/>
    <xf numFmtId="175" fontId="62" fillId="0" borderId="207"/>
    <xf numFmtId="172" fontId="62" fillId="0" borderId="207"/>
    <xf numFmtId="180" fontId="62" fillId="0" borderId="207"/>
    <xf numFmtId="175" fontId="62" fillId="0" borderId="207"/>
    <xf numFmtId="172" fontId="62" fillId="0" borderId="207"/>
    <xf numFmtId="180" fontId="62" fillId="0" borderId="207"/>
    <xf numFmtId="180" fontId="62" fillId="0" borderId="207"/>
    <xf numFmtId="181" fontId="62" fillId="0" borderId="207"/>
    <xf numFmtId="177" fontId="62" fillId="0" borderId="207"/>
    <xf numFmtId="172" fontId="62" fillId="0" borderId="207"/>
    <xf numFmtId="0" fontId="23" fillId="0" borderId="206" applyNumberFormat="0" applyFill="0" applyAlignment="0" applyProtection="0"/>
    <xf numFmtId="0" fontId="11" fillId="22" borderId="203" applyNumberFormat="0" applyAlignment="0" applyProtection="0"/>
    <xf numFmtId="172" fontId="62" fillId="0" borderId="207"/>
    <xf numFmtId="174" fontId="62" fillId="0" borderId="207"/>
    <xf numFmtId="172" fontId="62" fillId="0" borderId="207"/>
    <xf numFmtId="175" fontId="62" fillId="0" borderId="207"/>
    <xf numFmtId="180" fontId="62" fillId="0" borderId="207"/>
    <xf numFmtId="172" fontId="62" fillId="0" borderId="207"/>
    <xf numFmtId="0" fontId="18" fillId="9" borderId="203" applyNumberFormat="0" applyAlignment="0" applyProtection="0"/>
    <xf numFmtId="174" fontId="62" fillId="0" borderId="207"/>
    <xf numFmtId="0" fontId="11" fillId="22" borderId="203" applyNumberFormat="0" applyAlignment="0" applyProtection="0"/>
    <xf numFmtId="182" fontId="62" fillId="0" borderId="207"/>
    <xf numFmtId="172" fontId="62" fillId="0" borderId="207"/>
    <xf numFmtId="173" fontId="62" fillId="0" borderId="207"/>
    <xf numFmtId="175" fontId="62" fillId="0" borderId="207"/>
    <xf numFmtId="176" fontId="62" fillId="0" borderId="207"/>
    <xf numFmtId="175" fontId="62" fillId="0" borderId="207"/>
    <xf numFmtId="175" fontId="62" fillId="0" borderId="207"/>
    <xf numFmtId="0" fontId="11" fillId="22" borderId="203" applyNumberFormat="0" applyAlignment="0" applyProtection="0"/>
    <xf numFmtId="172" fontId="62" fillId="0" borderId="207"/>
    <xf numFmtId="175" fontId="62" fillId="0" borderId="207"/>
    <xf numFmtId="182" fontId="62" fillId="0" borderId="207"/>
    <xf numFmtId="172"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172" fontId="62" fillId="0" borderId="207"/>
    <xf numFmtId="180" fontId="62" fillId="0" borderId="207"/>
    <xf numFmtId="180" fontId="62" fillId="0" borderId="207"/>
    <xf numFmtId="0" fontId="65" fillId="50" borderId="201">
      <protection locked="0"/>
    </xf>
    <xf numFmtId="0" fontId="8" fillId="25" borderId="204" applyNumberFormat="0" applyFont="0" applyAlignment="0" applyProtection="0"/>
    <xf numFmtId="180" fontId="62" fillId="0" borderId="207"/>
    <xf numFmtId="177" fontId="62" fillId="0" borderId="207"/>
    <xf numFmtId="172" fontId="62" fillId="0" borderId="207"/>
    <xf numFmtId="0" fontId="11" fillId="22" borderId="203" applyNumberFormat="0" applyAlignment="0" applyProtection="0"/>
    <xf numFmtId="175"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0" fontId="21" fillId="22" borderId="205" applyNumberFormat="0" applyAlignment="0" applyProtection="0"/>
    <xf numFmtId="175" fontId="62" fillId="0" borderId="207"/>
    <xf numFmtId="175" fontId="62" fillId="0" borderId="207"/>
    <xf numFmtId="173" fontId="62" fillId="0" borderId="207"/>
    <xf numFmtId="175" fontId="62" fillId="0" borderId="207"/>
    <xf numFmtId="180" fontId="62" fillId="0" borderId="207"/>
    <xf numFmtId="180" fontId="62" fillId="0" borderId="207"/>
    <xf numFmtId="172" fontId="62" fillId="0" borderId="207"/>
    <xf numFmtId="175" fontId="62" fillId="0" borderId="207"/>
    <xf numFmtId="180" fontId="62" fillId="0" borderId="207"/>
    <xf numFmtId="172" fontId="62" fillId="0" borderId="207"/>
    <xf numFmtId="174" fontId="62" fillId="0" borderId="207"/>
    <xf numFmtId="180" fontId="62" fillId="0" borderId="207"/>
    <xf numFmtId="0" fontId="23" fillId="0" borderId="206" applyNumberFormat="0" applyFill="0" applyAlignment="0" applyProtection="0"/>
    <xf numFmtId="175" fontId="62" fillId="0" borderId="207"/>
    <xf numFmtId="175" fontId="62" fillId="0" borderId="207"/>
    <xf numFmtId="180" fontId="62" fillId="0" borderId="207"/>
    <xf numFmtId="172" fontId="62" fillId="0" borderId="207"/>
    <xf numFmtId="0" fontId="18" fillId="9" borderId="203" applyNumberFormat="0" applyAlignment="0" applyProtection="0"/>
    <xf numFmtId="177" fontId="62" fillId="0" borderId="207"/>
    <xf numFmtId="176" fontId="62" fillId="0" borderId="207"/>
    <xf numFmtId="181" fontId="62" fillId="0" borderId="207"/>
    <xf numFmtId="176" fontId="62" fillId="0" borderId="207"/>
    <xf numFmtId="181" fontId="62" fillId="0" borderId="207"/>
    <xf numFmtId="173" fontId="62" fillId="0" borderId="207"/>
    <xf numFmtId="0" fontId="65" fillId="50" borderId="201">
      <protection locked="0"/>
    </xf>
    <xf numFmtId="181" fontId="62" fillId="0" borderId="207"/>
    <xf numFmtId="182" fontId="62" fillId="0" borderId="207"/>
    <xf numFmtId="0" fontId="65" fillId="50" borderId="201">
      <protection locked="0"/>
    </xf>
    <xf numFmtId="175" fontId="62" fillId="0" borderId="207"/>
    <xf numFmtId="182" fontId="62" fillId="0" borderId="207"/>
    <xf numFmtId="176" fontId="62" fillId="0" borderId="207"/>
    <xf numFmtId="177" fontId="62" fillId="0" borderId="207"/>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0" fontId="62" fillId="0" borderId="207"/>
    <xf numFmtId="172" fontId="62" fillId="0" borderId="207"/>
    <xf numFmtId="175" fontId="62" fillId="0" borderId="207"/>
    <xf numFmtId="180" fontId="62" fillId="0" borderId="207"/>
    <xf numFmtId="180" fontId="62" fillId="0" borderId="207"/>
    <xf numFmtId="180" fontId="62" fillId="0" borderId="207"/>
    <xf numFmtId="175" fontId="62" fillId="0" borderId="207"/>
    <xf numFmtId="180" fontId="62" fillId="0" borderId="207"/>
    <xf numFmtId="180" fontId="62" fillId="0" borderId="207"/>
    <xf numFmtId="175" fontId="62" fillId="0" borderId="207"/>
    <xf numFmtId="175" fontId="62" fillId="0" borderId="207"/>
    <xf numFmtId="0" fontId="21" fillId="22" borderId="205" applyNumberFormat="0" applyAlignment="0" applyProtection="0"/>
    <xf numFmtId="175" fontId="62" fillId="0" borderId="207"/>
    <xf numFmtId="0" fontId="23" fillId="0" borderId="206" applyNumberFormat="0" applyFill="0" applyAlignment="0" applyProtection="0"/>
    <xf numFmtId="172" fontId="62" fillId="0" borderId="207"/>
    <xf numFmtId="172" fontId="62" fillId="0" borderId="207"/>
    <xf numFmtId="175" fontId="62" fillId="0" borderId="207"/>
    <xf numFmtId="176" fontId="62" fillId="0" borderId="207"/>
    <xf numFmtId="0" fontId="18" fillId="9" borderId="203" applyNumberFormat="0" applyAlignment="0" applyProtection="0"/>
    <xf numFmtId="172" fontId="62" fillId="0" borderId="207"/>
    <xf numFmtId="0" fontId="21" fillId="22" borderId="205" applyNumberFormat="0" applyAlignment="0" applyProtection="0"/>
    <xf numFmtId="174" fontId="62" fillId="0" borderId="207"/>
    <xf numFmtId="172" fontId="62" fillId="0" borderId="207"/>
    <xf numFmtId="0" fontId="18" fillId="9" borderId="203" applyNumberFormat="0" applyAlignment="0" applyProtection="0"/>
    <xf numFmtId="177" fontId="62" fillId="0" borderId="207"/>
    <xf numFmtId="0" fontId="11" fillId="22" borderId="203" applyNumberFormat="0" applyAlignment="0" applyProtection="0"/>
    <xf numFmtId="172" fontId="62" fillId="0" borderId="207"/>
    <xf numFmtId="172" fontId="62" fillId="0" borderId="207"/>
    <xf numFmtId="180" fontId="62" fillId="0" borderId="207"/>
    <xf numFmtId="0" fontId="65" fillId="50" borderId="201">
      <protection locked="0"/>
    </xf>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6" fontId="62" fillId="0" borderId="207"/>
    <xf numFmtId="180" fontId="62" fillId="0" borderId="207"/>
    <xf numFmtId="172" fontId="62" fillId="0" borderId="207"/>
    <xf numFmtId="172" fontId="62" fillId="0" borderId="207"/>
    <xf numFmtId="0" fontId="23" fillId="0" borderId="206" applyNumberFormat="0" applyFill="0" applyAlignment="0" applyProtection="0"/>
    <xf numFmtId="180" fontId="62" fillId="0" borderId="207"/>
    <xf numFmtId="172" fontId="62" fillId="0" borderId="207"/>
    <xf numFmtId="172" fontId="62" fillId="0" borderId="207"/>
    <xf numFmtId="180" fontId="62" fillId="0" borderId="207"/>
    <xf numFmtId="175" fontId="62" fillId="0" borderId="207"/>
    <xf numFmtId="175" fontId="62" fillId="0" borderId="207"/>
    <xf numFmtId="180" fontId="62" fillId="0" borderId="207"/>
    <xf numFmtId="180" fontId="62" fillId="0" borderId="207"/>
    <xf numFmtId="180" fontId="62" fillId="0" borderId="207"/>
    <xf numFmtId="172" fontId="62" fillId="0" borderId="207"/>
    <xf numFmtId="174" fontId="62" fillId="0" borderId="207"/>
    <xf numFmtId="172" fontId="62" fillId="0" borderId="207"/>
    <xf numFmtId="180" fontId="62" fillId="0" borderId="207"/>
    <xf numFmtId="0" fontId="18" fillId="9" borderId="203" applyNumberFormat="0" applyAlignment="0" applyProtection="0"/>
    <xf numFmtId="180" fontId="62" fillId="0" borderId="207"/>
    <xf numFmtId="180" fontId="62" fillId="0" borderId="207"/>
    <xf numFmtId="0" fontId="23" fillId="0" borderId="206" applyNumberFormat="0" applyFill="0" applyAlignment="0" applyProtection="0"/>
    <xf numFmtId="172" fontId="62" fillId="0" borderId="207"/>
    <xf numFmtId="0" fontId="8" fillId="25" borderId="204" applyNumberFormat="0" applyFont="0" applyAlignment="0" applyProtection="0"/>
    <xf numFmtId="0" fontId="18" fillId="9" borderId="203" applyNumberFormat="0" applyAlignment="0" applyProtection="0"/>
    <xf numFmtId="172" fontId="62" fillId="0" borderId="207"/>
    <xf numFmtId="180" fontId="62" fillId="0" borderId="207"/>
    <xf numFmtId="0" fontId="8" fillId="25" borderId="204" applyNumberFormat="0" applyFont="0" applyAlignment="0" applyProtection="0"/>
    <xf numFmtId="0" fontId="11" fillId="22" borderId="203" applyNumberFormat="0" applyAlignment="0" applyProtection="0"/>
    <xf numFmtId="172"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2" fontId="62" fillId="0" borderId="207"/>
    <xf numFmtId="181" fontId="62" fillId="0" borderId="207"/>
    <xf numFmtId="175" fontId="62" fillId="0" borderId="207"/>
    <xf numFmtId="175" fontId="62" fillId="0" borderId="207"/>
    <xf numFmtId="174" fontId="62" fillId="0" borderId="207"/>
    <xf numFmtId="180" fontId="62" fillId="0" borderId="207"/>
    <xf numFmtId="173" fontId="62" fillId="0" borderId="207"/>
    <xf numFmtId="0" fontId="21" fillId="22" borderId="205" applyNumberFormat="0" applyAlignment="0" applyProtection="0"/>
    <xf numFmtId="172" fontId="62" fillId="0" borderId="207"/>
    <xf numFmtId="175" fontId="62" fillId="0" borderId="207"/>
    <xf numFmtId="180" fontId="62" fillId="0" borderId="207"/>
    <xf numFmtId="0" fontId="11" fillId="22" borderId="203" applyNumberFormat="0" applyAlignment="0" applyProtection="0"/>
    <xf numFmtId="175" fontId="62" fillId="0" borderId="207"/>
    <xf numFmtId="176" fontId="62" fillId="0" borderId="207"/>
    <xf numFmtId="175" fontId="62" fillId="0" borderId="207"/>
    <xf numFmtId="182" fontId="62" fillId="0" borderId="207"/>
    <xf numFmtId="172" fontId="62" fillId="0" borderId="207"/>
    <xf numFmtId="177" fontId="62" fillId="0" borderId="207"/>
    <xf numFmtId="173" fontId="62" fillId="0" borderId="207"/>
    <xf numFmtId="180" fontId="62" fillId="0" borderId="207"/>
    <xf numFmtId="181" fontId="62" fillId="0" borderId="207"/>
    <xf numFmtId="182" fontId="62" fillId="0" borderId="207"/>
    <xf numFmtId="0" fontId="65" fillId="50" borderId="201">
      <protection locked="0"/>
    </xf>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5" fontId="62" fillId="0" borderId="207"/>
    <xf numFmtId="175" fontId="62" fillId="0" borderId="207"/>
    <xf numFmtId="175" fontId="62" fillId="0" borderId="207"/>
    <xf numFmtId="172" fontId="62" fillId="0" borderId="207"/>
    <xf numFmtId="0" fontId="18" fillId="9" borderId="203" applyNumberFormat="0" applyAlignment="0" applyProtection="0"/>
    <xf numFmtId="175" fontId="62" fillId="0" borderId="207"/>
    <xf numFmtId="172" fontId="62" fillId="0" borderId="207"/>
    <xf numFmtId="180" fontId="62" fillId="0" borderId="207"/>
    <xf numFmtId="174" fontId="62" fillId="0" borderId="207"/>
    <xf numFmtId="174" fontId="62" fillId="0" borderId="207"/>
    <xf numFmtId="172" fontId="62" fillId="0" borderId="207"/>
    <xf numFmtId="174" fontId="62" fillId="0" borderId="207"/>
    <xf numFmtId="175" fontId="62" fillId="0" borderId="207"/>
    <xf numFmtId="177" fontId="62" fillId="0" borderId="207"/>
    <xf numFmtId="172" fontId="62" fillId="0" borderId="207"/>
    <xf numFmtId="0" fontId="11" fillId="22" borderId="203" applyNumberFormat="0" applyAlignment="0" applyProtection="0"/>
    <xf numFmtId="180" fontId="62" fillId="0" borderId="207"/>
    <xf numFmtId="180" fontId="62" fillId="0" borderId="207"/>
    <xf numFmtId="180" fontId="62" fillId="0" borderId="207"/>
    <xf numFmtId="172" fontId="62" fillId="0" borderId="207"/>
    <xf numFmtId="0" fontId="8" fillId="25" borderId="204" applyNumberFormat="0" applyFont="0" applyAlignment="0" applyProtection="0"/>
    <xf numFmtId="172" fontId="62" fillId="0" borderId="207"/>
    <xf numFmtId="181" fontId="62" fillId="0" borderId="207"/>
    <xf numFmtId="175" fontId="62" fillId="0" borderId="207"/>
    <xf numFmtId="176" fontId="62" fillId="0" borderId="207"/>
    <xf numFmtId="0" fontId="18" fillId="9" borderId="203" applyNumberFormat="0" applyAlignment="0" applyProtection="0"/>
    <xf numFmtId="172" fontId="62" fillId="0" borderId="207"/>
    <xf numFmtId="180" fontId="62" fillId="0" borderId="207"/>
    <xf numFmtId="175" fontId="62" fillId="0" borderId="207"/>
    <xf numFmtId="180" fontId="62" fillId="0" borderId="207"/>
    <xf numFmtId="172" fontId="62" fillId="0" borderId="207"/>
    <xf numFmtId="180" fontId="62" fillId="0" borderId="207"/>
    <xf numFmtId="175" fontId="62" fillId="0" borderId="207"/>
    <xf numFmtId="175" fontId="62" fillId="0" borderId="207"/>
    <xf numFmtId="172" fontId="62" fillId="0" borderId="207"/>
    <xf numFmtId="175" fontId="62" fillId="0" borderId="207"/>
    <xf numFmtId="176" fontId="62" fillId="0" borderId="207"/>
    <xf numFmtId="175" fontId="62" fillId="0" borderId="207"/>
    <xf numFmtId="180" fontId="62" fillId="0" borderId="207"/>
    <xf numFmtId="180" fontId="62" fillId="0" borderId="207"/>
    <xf numFmtId="172" fontId="62" fillId="0" borderId="207"/>
    <xf numFmtId="0" fontId="21" fillId="22" borderId="205" applyNumberFormat="0" applyAlignment="0" applyProtection="0"/>
    <xf numFmtId="173" fontId="62" fillId="0" borderId="207"/>
    <xf numFmtId="0" fontId="23" fillId="0" borderId="206" applyNumberFormat="0" applyFill="0" applyAlignment="0" applyProtection="0"/>
    <xf numFmtId="0" fontId="8" fillId="25" borderId="204" applyNumberFormat="0" applyFont="0" applyAlignment="0" applyProtection="0"/>
    <xf numFmtId="0" fontId="11" fillId="22" borderId="203" applyNumberFormat="0" applyAlignment="0" applyProtection="0"/>
    <xf numFmtId="0" fontId="65" fillId="50" borderId="201">
      <protection locked="0"/>
    </xf>
    <xf numFmtId="176" fontId="62" fillId="0" borderId="207"/>
    <xf numFmtId="0" fontId="23" fillId="0" borderId="206" applyNumberFormat="0" applyFill="0" applyAlignment="0" applyProtection="0"/>
    <xf numFmtId="175" fontId="62" fillId="0" borderId="207"/>
    <xf numFmtId="0" fontId="21" fillId="22" borderId="205" applyNumberFormat="0" applyAlignment="0" applyProtection="0"/>
    <xf numFmtId="172" fontId="62" fillId="0" borderId="207"/>
    <xf numFmtId="182" fontId="62" fillId="0" borderId="207"/>
    <xf numFmtId="172" fontId="62" fillId="0" borderId="207"/>
    <xf numFmtId="180" fontId="62" fillId="0" borderId="207"/>
    <xf numFmtId="0" fontId="11" fillId="22" borderId="203" applyNumberFormat="0" applyAlignment="0" applyProtection="0"/>
    <xf numFmtId="175" fontId="62" fillId="0" borderId="207"/>
    <xf numFmtId="181" fontId="62" fillId="0" borderId="207"/>
    <xf numFmtId="175" fontId="62" fillId="0" borderId="207"/>
    <xf numFmtId="172" fontId="62" fillId="0" borderId="207"/>
    <xf numFmtId="175" fontId="62" fillId="0" borderId="207"/>
    <xf numFmtId="173" fontId="62" fillId="0" borderId="207"/>
    <xf numFmtId="180" fontId="62" fillId="0" borderId="207"/>
    <xf numFmtId="177" fontId="62" fillId="0" borderId="207"/>
    <xf numFmtId="175" fontId="62" fillId="0" borderId="207"/>
    <xf numFmtId="173" fontId="62" fillId="0" borderId="207"/>
    <xf numFmtId="172" fontId="62" fillId="0" borderId="207"/>
    <xf numFmtId="181" fontId="62" fillId="0" borderId="207"/>
    <xf numFmtId="182" fontId="62" fillId="0" borderId="207"/>
    <xf numFmtId="0" fontId="65" fillId="50" borderId="201">
      <protection locked="0"/>
    </xf>
    <xf numFmtId="180" fontId="62" fillId="0" borderId="207"/>
    <xf numFmtId="180" fontId="62" fillId="0" borderId="207"/>
    <xf numFmtId="180" fontId="62" fillId="0" borderId="207"/>
    <xf numFmtId="172" fontId="62" fillId="0" borderId="207"/>
    <xf numFmtId="180" fontId="62" fillId="0" borderId="207"/>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2" fontId="62" fillId="0" borderId="207"/>
    <xf numFmtId="172" fontId="62" fillId="0" borderId="207"/>
    <xf numFmtId="175" fontId="62" fillId="0" borderId="207"/>
    <xf numFmtId="180" fontId="62" fillId="0" borderId="207"/>
    <xf numFmtId="172" fontId="62" fillId="0" borderId="207"/>
    <xf numFmtId="0" fontId="8" fillId="25" borderId="204" applyNumberFormat="0" applyFont="0" applyAlignment="0" applyProtection="0"/>
    <xf numFmtId="175" fontId="62" fillId="0" borderId="207"/>
    <xf numFmtId="177" fontId="62" fillId="0" borderId="207"/>
    <xf numFmtId="180" fontId="62" fillId="0" borderId="207"/>
    <xf numFmtId="172" fontId="62" fillId="0" borderId="207"/>
    <xf numFmtId="175"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5" fontId="62" fillId="0" borderId="207"/>
    <xf numFmtId="180" fontId="62" fillId="0" borderId="207"/>
    <xf numFmtId="172" fontId="62" fillId="0" borderId="207"/>
    <xf numFmtId="180" fontId="62" fillId="0" borderId="207"/>
    <xf numFmtId="180" fontId="62" fillId="0" borderId="207"/>
    <xf numFmtId="175" fontId="62" fillId="0" borderId="207"/>
    <xf numFmtId="175" fontId="62" fillId="0" borderId="207"/>
    <xf numFmtId="172" fontId="62" fillId="0" borderId="207"/>
    <xf numFmtId="172" fontId="62" fillId="0" borderId="207"/>
    <xf numFmtId="172" fontId="62" fillId="0" borderId="207"/>
    <xf numFmtId="0" fontId="65" fillId="50" borderId="208">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5" fontId="62" fillId="0" borderId="207"/>
    <xf numFmtId="0" fontId="65" fillId="50" borderId="208">
      <protection locked="0"/>
    </xf>
    <xf numFmtId="177" fontId="62" fillId="0" borderId="207"/>
    <xf numFmtId="182" fontId="62" fillId="0" borderId="207"/>
    <xf numFmtId="172" fontId="62" fillId="0" borderId="207"/>
    <xf numFmtId="0" fontId="11" fillId="22" borderId="203" applyNumberFormat="0" applyAlignment="0" applyProtection="0"/>
    <xf numFmtId="0" fontId="18" fillId="9" borderId="203" applyNumberFormat="0" applyAlignment="0" applyProtection="0"/>
    <xf numFmtId="182" fontId="62" fillId="0" borderId="207"/>
    <xf numFmtId="181" fontId="62" fillId="0" borderId="207"/>
    <xf numFmtId="180" fontId="62" fillId="0" borderId="207"/>
    <xf numFmtId="172" fontId="62" fillId="0" borderId="207"/>
    <xf numFmtId="176" fontId="62" fillId="0" borderId="207"/>
    <xf numFmtId="177" fontId="62" fillId="0" borderId="207"/>
    <xf numFmtId="176" fontId="62" fillId="0" borderId="207"/>
    <xf numFmtId="175" fontId="62" fillId="0" borderId="207"/>
    <xf numFmtId="177" fontId="62" fillId="0" borderId="207"/>
    <xf numFmtId="181" fontId="62" fillId="0" borderId="207"/>
    <xf numFmtId="174" fontId="62" fillId="0" borderId="207"/>
    <xf numFmtId="0" fontId="11" fillId="22" borderId="203" applyNumberFormat="0" applyAlignment="0" applyProtection="0"/>
    <xf numFmtId="173" fontId="62" fillId="0" borderId="207"/>
    <xf numFmtId="180" fontId="62" fillId="0" borderId="207"/>
    <xf numFmtId="177" fontId="62" fillId="0" borderId="207"/>
    <xf numFmtId="175" fontId="62" fillId="0" borderId="207"/>
    <xf numFmtId="172" fontId="62" fillId="0" borderId="207"/>
    <xf numFmtId="0" fontId="21" fillId="22" borderId="205" applyNumberFormat="0" applyAlignment="0" applyProtection="0"/>
    <xf numFmtId="0" fontId="23" fillId="0" borderId="206" applyNumberFormat="0" applyFill="0" applyAlignment="0" applyProtection="0"/>
    <xf numFmtId="181" fontId="62" fillId="0" borderId="207"/>
    <xf numFmtId="176" fontId="62" fillId="0" borderId="207"/>
    <xf numFmtId="174" fontId="62" fillId="0" borderId="207"/>
    <xf numFmtId="173" fontId="62" fillId="0" borderId="207"/>
    <xf numFmtId="172" fontId="62" fillId="0" borderId="207"/>
    <xf numFmtId="182"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11" fillId="22" borderId="203" applyNumberFormat="0" applyAlignment="0" applyProtection="0"/>
    <xf numFmtId="0" fontId="65" fillId="50" borderId="201">
      <protection locked="0"/>
    </xf>
    <xf numFmtId="0" fontId="11" fillId="22" borderId="203" applyNumberFormat="0" applyAlignment="0" applyProtection="0"/>
    <xf numFmtId="0" fontId="21" fillId="22" borderId="205" applyNumberFormat="0" applyAlignment="0" applyProtection="0"/>
    <xf numFmtId="0" fontId="65" fillId="50" borderId="201">
      <protection locked="0"/>
    </xf>
    <xf numFmtId="174" fontId="62" fillId="0" borderId="207"/>
    <xf numFmtId="173"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23" fillId="0" borderId="206" applyNumberFormat="0" applyFill="0" applyAlignment="0" applyProtection="0"/>
    <xf numFmtId="172" fontId="62" fillId="0" borderId="207"/>
    <xf numFmtId="173"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2" fontId="62" fillId="0" borderId="207"/>
    <xf numFmtId="180" fontId="62" fillId="0" borderId="207"/>
    <xf numFmtId="0" fontId="11" fillId="22" borderId="203" applyNumberFormat="0" applyAlignment="0" applyProtection="0"/>
    <xf numFmtId="0" fontId="65" fillId="50" borderId="201">
      <protection locked="0"/>
    </xf>
    <xf numFmtId="182" fontId="62" fillId="0" borderId="207"/>
    <xf numFmtId="172" fontId="62" fillId="0" borderId="207"/>
    <xf numFmtId="0" fontId="23" fillId="0" borderId="206" applyNumberFormat="0" applyFill="0" applyAlignment="0" applyProtection="0"/>
    <xf numFmtId="180" fontId="62" fillId="0" borderId="207"/>
    <xf numFmtId="0" fontId="65" fillId="50" borderId="201">
      <protection locked="0"/>
    </xf>
    <xf numFmtId="0" fontId="11" fillId="22" borderId="203" applyNumberFormat="0" applyAlignment="0" applyProtection="0"/>
    <xf numFmtId="172" fontId="62" fillId="0" borderId="207"/>
    <xf numFmtId="172" fontId="62" fillId="0" borderId="207"/>
    <xf numFmtId="0" fontId="18" fillId="9" borderId="203" applyNumberFormat="0" applyAlignment="0" applyProtection="0"/>
    <xf numFmtId="173" fontId="62" fillId="0" borderId="207"/>
    <xf numFmtId="172" fontId="62" fillId="0" borderId="207"/>
    <xf numFmtId="175" fontId="62" fillId="0" borderId="207"/>
    <xf numFmtId="172" fontId="62" fillId="0" borderId="207"/>
    <xf numFmtId="175" fontId="62" fillId="0" borderId="207"/>
    <xf numFmtId="176" fontId="62" fillId="0" borderId="207"/>
    <xf numFmtId="177" fontId="62" fillId="0" borderId="207"/>
    <xf numFmtId="0" fontId="8" fillId="25" borderId="204" applyNumberFormat="0" applyFont="0" applyAlignment="0" applyProtection="0"/>
    <xf numFmtId="175" fontId="62" fillId="0" borderId="207"/>
    <xf numFmtId="180" fontId="62" fillId="0" borderId="207"/>
    <xf numFmtId="172" fontId="62" fillId="0" borderId="207"/>
    <xf numFmtId="181" fontId="62" fillId="0" borderId="207"/>
    <xf numFmtId="182" fontId="62" fillId="0" borderId="207"/>
    <xf numFmtId="0" fontId="18" fillId="9" borderId="203" applyNumberFormat="0" applyAlignment="0" applyProtection="0"/>
    <xf numFmtId="180" fontId="62" fillId="0" borderId="207"/>
    <xf numFmtId="180" fontId="62" fillId="0" borderId="207"/>
    <xf numFmtId="175" fontId="62" fillId="0" borderId="207"/>
    <xf numFmtId="172" fontId="62" fillId="0" borderId="207"/>
    <xf numFmtId="176" fontId="62" fillId="0" borderId="207"/>
    <xf numFmtId="172" fontId="62" fillId="0" borderId="207"/>
    <xf numFmtId="172" fontId="62" fillId="0" borderId="207"/>
    <xf numFmtId="175" fontId="62" fillId="0" borderId="207"/>
    <xf numFmtId="175" fontId="62" fillId="0" borderId="207"/>
    <xf numFmtId="172" fontId="62" fillId="0" borderId="207"/>
    <xf numFmtId="0" fontId="18" fillId="9" borderId="203" applyNumberForma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8" fillId="25" borderId="204" applyNumberFormat="0" applyFont="0" applyAlignment="0" applyProtection="0"/>
    <xf numFmtId="174" fontId="62" fillId="0" borderId="207"/>
    <xf numFmtId="175" fontId="62" fillId="0" borderId="207"/>
    <xf numFmtId="180" fontId="62" fillId="0" borderId="207"/>
    <xf numFmtId="0" fontId="11" fillId="22" borderId="203" applyNumberFormat="0" applyAlignment="0" applyProtection="0"/>
    <xf numFmtId="174" fontId="62" fillId="0" borderId="207"/>
    <xf numFmtId="173" fontId="62" fillId="0" borderId="207"/>
    <xf numFmtId="0" fontId="21" fillId="22" borderId="205" applyNumberFormat="0" applyAlignment="0" applyProtection="0"/>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4" fontId="62" fillId="0" borderId="207"/>
    <xf numFmtId="176" fontId="62" fillId="0" borderId="207"/>
    <xf numFmtId="177"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1" fontId="62" fillId="0" borderId="207"/>
    <xf numFmtId="175" fontId="62" fillId="0" borderId="207"/>
    <xf numFmtId="180"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175" fontId="62" fillId="0" borderId="207"/>
    <xf numFmtId="180" fontId="62" fillId="0" borderId="207"/>
    <xf numFmtId="175" fontId="62" fillId="0" borderId="207"/>
    <xf numFmtId="172" fontId="62" fillId="0" borderId="207"/>
    <xf numFmtId="180" fontId="62" fillId="0" borderId="207"/>
    <xf numFmtId="175" fontId="62" fillId="0" borderId="207"/>
    <xf numFmtId="180" fontId="62" fillId="0" borderId="207"/>
    <xf numFmtId="172" fontId="62" fillId="0" borderId="207"/>
    <xf numFmtId="172" fontId="62" fillId="0" borderId="207"/>
    <xf numFmtId="180"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7" fontId="62" fillId="0" borderId="207"/>
    <xf numFmtId="0" fontId="11" fillId="22" borderId="203" applyNumberFormat="0" applyAlignment="0" applyProtection="0"/>
    <xf numFmtId="181" fontId="62" fillId="0" borderId="207"/>
    <xf numFmtId="180" fontId="62" fillId="0" borderId="207"/>
    <xf numFmtId="172" fontId="62" fillId="0" borderId="207"/>
    <xf numFmtId="172" fontId="62" fillId="0" borderId="207"/>
    <xf numFmtId="175" fontId="62" fillId="0" borderId="207"/>
    <xf numFmtId="175" fontId="62" fillId="0" borderId="207"/>
    <xf numFmtId="172" fontId="62" fillId="0" borderId="207"/>
    <xf numFmtId="0" fontId="23" fillId="0" borderId="206" applyNumberFormat="0" applyFill="0" applyAlignment="0" applyProtection="0"/>
    <xf numFmtId="175" fontId="62" fillId="0" borderId="207"/>
    <xf numFmtId="0" fontId="18" fillId="9" borderId="203" applyNumberFormat="0" applyAlignment="0" applyProtection="0"/>
    <xf numFmtId="0" fontId="21" fillId="22" borderId="205" applyNumberFormat="0" applyAlignment="0" applyProtection="0"/>
    <xf numFmtId="0" fontId="8" fillId="25" borderId="204" applyNumberFormat="0" applyFont="0" applyAlignment="0" applyProtection="0"/>
    <xf numFmtId="0" fontId="65" fillId="50" borderId="201">
      <protection locked="0"/>
    </xf>
    <xf numFmtId="180" fontId="62" fillId="0" borderId="207"/>
    <xf numFmtId="0" fontId="11" fillId="22" borderId="203" applyNumberFormat="0" applyAlignment="0" applyProtection="0"/>
    <xf numFmtId="0" fontId="18" fillId="9" borderId="203" applyNumberFormat="0" applyAlignment="0" applyProtection="0"/>
    <xf numFmtId="175" fontId="62" fillId="0" borderId="207"/>
    <xf numFmtId="172" fontId="62" fillId="0" borderId="207"/>
    <xf numFmtId="180" fontId="62" fillId="0" borderId="207"/>
    <xf numFmtId="175" fontId="62" fillId="0" borderId="207"/>
    <xf numFmtId="172" fontId="62" fillId="0" borderId="207"/>
    <xf numFmtId="173" fontId="62" fillId="0" borderId="207"/>
    <xf numFmtId="172" fontId="62" fillId="0" borderId="207"/>
    <xf numFmtId="175" fontId="62" fillId="0" borderId="207"/>
    <xf numFmtId="180" fontId="62" fillId="0" borderId="207"/>
    <xf numFmtId="172" fontId="62" fillId="0" borderId="207"/>
    <xf numFmtId="180" fontId="62" fillId="0" borderId="207"/>
    <xf numFmtId="0" fontId="11" fillId="22" borderId="203" applyNumberFormat="0" applyAlignment="0" applyProtection="0"/>
    <xf numFmtId="182" fontId="62" fillId="0" borderId="207"/>
    <xf numFmtId="176" fontId="62" fillId="0" borderId="207"/>
    <xf numFmtId="180"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23" fillId="0" borderId="206" applyNumberFormat="0" applyFill="0" applyAlignment="0" applyProtection="0"/>
    <xf numFmtId="180" fontId="62" fillId="0" borderId="207"/>
    <xf numFmtId="180" fontId="62" fillId="0" borderId="207"/>
    <xf numFmtId="175" fontId="62" fillId="0" borderId="207"/>
    <xf numFmtId="174" fontId="62" fillId="0" borderId="207"/>
    <xf numFmtId="0" fontId="8" fillId="25" borderId="204" applyNumberFormat="0" applyFont="0" applyAlignment="0" applyProtection="0"/>
    <xf numFmtId="175"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80" fontId="62" fillId="0" borderId="207"/>
    <xf numFmtId="175"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175" fontId="62" fillId="0" borderId="207"/>
    <xf numFmtId="0" fontId="18" fillId="9" borderId="203" applyNumberFormat="0" applyAlignment="0" applyProtection="0"/>
    <xf numFmtId="0" fontId="8" fillId="25" borderId="204" applyNumberFormat="0" applyFont="0" applyAlignment="0" applyProtection="0"/>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65" fillId="50" borderId="201">
      <protection locked="0"/>
    </xf>
    <xf numFmtId="0" fontId="23" fillId="0" borderId="206" applyNumberFormat="0" applyFill="0" applyAlignment="0" applyProtection="0"/>
    <xf numFmtId="0" fontId="21" fillId="22" borderId="205" applyNumberFormat="0" applyAlignment="0" applyProtection="0"/>
    <xf numFmtId="0" fontId="18" fillId="9" borderId="203" applyNumberFormat="0" applyAlignment="0" applyProtection="0"/>
    <xf numFmtId="182"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0" fontId="62" fillId="0" borderId="207"/>
    <xf numFmtId="180" fontId="62" fillId="0" borderId="207"/>
    <xf numFmtId="181" fontId="62" fillId="0" borderId="207"/>
    <xf numFmtId="172" fontId="62" fillId="0" borderId="207"/>
    <xf numFmtId="175" fontId="62" fillId="0" borderId="207"/>
    <xf numFmtId="175" fontId="62" fillId="0" borderId="207"/>
    <xf numFmtId="177" fontId="62" fillId="0" borderId="207"/>
    <xf numFmtId="172"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1" fillId="22" borderId="205" applyNumberFormat="0" applyAlignment="0" applyProtection="0"/>
    <xf numFmtId="0" fontId="18" fillId="9" borderId="203" applyNumberFormat="0" applyAlignment="0" applyProtection="0"/>
    <xf numFmtId="0" fontId="8" fillId="25" borderId="204" applyNumberFormat="0" applyFont="0" applyAlignment="0" applyProtection="0"/>
    <xf numFmtId="176" fontId="62" fillId="0" borderId="207"/>
    <xf numFmtId="180" fontId="62" fillId="0" borderId="207"/>
    <xf numFmtId="172" fontId="62" fillId="0" borderId="207"/>
    <xf numFmtId="173" fontId="62" fillId="0" borderId="207"/>
    <xf numFmtId="174" fontId="62" fillId="0" borderId="207"/>
    <xf numFmtId="0" fontId="8" fillId="25" borderId="204" applyNumberFormat="0" applyFont="0" applyAlignment="0" applyProtection="0"/>
    <xf numFmtId="175" fontId="62" fillId="0" borderId="207"/>
    <xf numFmtId="176" fontId="62" fillId="0" borderId="207"/>
    <xf numFmtId="177" fontId="62" fillId="0" borderId="207"/>
    <xf numFmtId="176" fontId="62" fillId="0" borderId="207"/>
    <xf numFmtId="180" fontId="62" fillId="0" borderId="207"/>
    <xf numFmtId="181" fontId="62" fillId="0" borderId="207"/>
    <xf numFmtId="182" fontId="62" fillId="0" borderId="207"/>
    <xf numFmtId="175" fontId="62" fillId="0" borderId="207"/>
    <xf numFmtId="172" fontId="62" fillId="0" borderId="207"/>
    <xf numFmtId="0" fontId="65" fillId="50" borderId="201">
      <protection locked="0"/>
    </xf>
    <xf numFmtId="0" fontId="11" fillId="22" borderId="203" applyNumberFormat="0" applyAlignment="0" applyProtection="0"/>
    <xf numFmtId="0" fontId="8" fillId="25" borderId="204" applyNumberFormat="0" applyFont="0" applyAlignment="0" applyProtection="0"/>
    <xf numFmtId="0" fontId="11" fillId="22" borderId="203" applyNumberFormat="0" applyAlignment="0" applyProtection="0"/>
    <xf numFmtId="182" fontId="62" fillId="0" borderId="207"/>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174" fontId="62" fillId="0" borderId="207"/>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3" fontId="62" fillId="0" borderId="207"/>
    <xf numFmtId="174" fontId="62" fillId="0" borderId="207"/>
    <xf numFmtId="0" fontId="18" fillId="9" borderId="203" applyNumberFormat="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7" fontId="62" fillId="0" borderId="207"/>
    <xf numFmtId="172" fontId="62" fillId="0" borderId="207"/>
    <xf numFmtId="173" fontId="62" fillId="0" borderId="207"/>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172" fontId="62" fillId="0" borderId="207"/>
    <xf numFmtId="180" fontId="62" fillId="0" borderId="207"/>
    <xf numFmtId="175" fontId="62" fillId="0" borderId="207"/>
    <xf numFmtId="175" fontId="62" fillId="0" borderId="207"/>
    <xf numFmtId="180" fontId="62" fillId="0" borderId="207"/>
    <xf numFmtId="172"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65" fillId="50" borderId="201">
      <protection locked="0"/>
    </xf>
    <xf numFmtId="172" fontId="62" fillId="0" borderId="207"/>
    <xf numFmtId="182" fontId="62" fillId="0" borderId="207"/>
    <xf numFmtId="175" fontId="62" fillId="0" borderId="207"/>
    <xf numFmtId="177" fontId="62" fillId="0" borderId="207"/>
    <xf numFmtId="174" fontId="62" fillId="0" borderId="207"/>
    <xf numFmtId="173" fontId="62" fillId="0" borderId="207"/>
    <xf numFmtId="180"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180" fontId="62" fillId="0" borderId="207"/>
    <xf numFmtId="181"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65" fillId="50" borderId="201">
      <protection locked="0"/>
    </xf>
    <xf numFmtId="0" fontId="65" fillId="50" borderId="201">
      <protection locked="0"/>
    </xf>
    <xf numFmtId="0" fontId="11" fillId="22" borderId="203" applyNumberFormat="0" applyAlignment="0" applyProtection="0"/>
    <xf numFmtId="175" fontId="62" fillId="0" borderId="207"/>
    <xf numFmtId="172" fontId="62" fillId="0" borderId="207"/>
    <xf numFmtId="175" fontId="62" fillId="0" borderId="207"/>
    <xf numFmtId="175" fontId="62" fillId="0" borderId="207"/>
    <xf numFmtId="0" fontId="21" fillId="22" borderId="205" applyNumberFormat="0" applyAlignment="0" applyProtection="0"/>
    <xf numFmtId="180" fontId="62" fillId="0" borderId="207"/>
    <xf numFmtId="175" fontId="62" fillId="0" borderId="207"/>
    <xf numFmtId="0" fontId="65" fillId="50" borderId="201">
      <protection locked="0"/>
    </xf>
    <xf numFmtId="0" fontId="21" fillId="22" borderId="205" applyNumberFormat="0" applyAlignment="0" applyProtection="0"/>
    <xf numFmtId="0" fontId="8" fillId="25" borderId="204" applyNumberFormat="0" applyFont="0" applyAlignment="0" applyProtection="0"/>
    <xf numFmtId="172" fontId="62" fillId="0" borderId="207"/>
    <xf numFmtId="0" fontId="8" fillId="25" borderId="204" applyNumberFormat="0" applyFont="0" applyAlignment="0" applyProtection="0"/>
    <xf numFmtId="174" fontId="62" fillId="0" borderId="207"/>
    <xf numFmtId="0" fontId="23" fillId="0" borderId="206" applyNumberFormat="0" applyFill="0" applyAlignment="0" applyProtection="0"/>
    <xf numFmtId="176" fontId="62" fillId="0" borderId="207"/>
    <xf numFmtId="175" fontId="62" fillId="0" borderId="207"/>
    <xf numFmtId="0" fontId="23" fillId="0" borderId="206" applyNumberFormat="0" applyFill="0" applyAlignment="0" applyProtection="0"/>
    <xf numFmtId="182" fontId="62" fillId="0" borderId="207"/>
    <xf numFmtId="175" fontId="62" fillId="0" borderId="207"/>
    <xf numFmtId="175" fontId="62" fillId="0" borderId="207"/>
    <xf numFmtId="0" fontId="18" fillId="9" borderId="203" applyNumberFormat="0" applyAlignment="0" applyProtection="0"/>
    <xf numFmtId="0" fontId="21" fillId="22" borderId="205" applyNumberFormat="0" applyAlignment="0" applyProtection="0"/>
    <xf numFmtId="172" fontId="62" fillId="0" borderId="207"/>
    <xf numFmtId="0" fontId="8" fillId="25" borderId="204" applyNumberFormat="0" applyFont="0" applyAlignment="0" applyProtection="0"/>
    <xf numFmtId="173" fontId="62" fillId="0" borderId="207"/>
    <xf numFmtId="177" fontId="62" fillId="0" borderId="207"/>
    <xf numFmtId="0" fontId="23" fillId="0" borderId="206" applyNumberFormat="0" applyFill="0" applyAlignment="0" applyProtection="0"/>
    <xf numFmtId="0" fontId="8" fillId="25" borderId="204" applyNumberFormat="0" applyFont="0" applyAlignment="0" applyProtection="0"/>
    <xf numFmtId="176" fontId="62" fillId="0" borderId="207"/>
    <xf numFmtId="172" fontId="62" fillId="0" borderId="207"/>
    <xf numFmtId="180" fontId="62" fillId="0" borderId="207"/>
    <xf numFmtId="0" fontId="18" fillId="9" borderId="203" applyNumberFormat="0" applyAlignment="0" applyProtection="0"/>
    <xf numFmtId="172" fontId="62" fillId="0" borderId="207"/>
    <xf numFmtId="0" fontId="21" fillId="22" borderId="205" applyNumberFormat="0" applyAlignment="0" applyProtection="0"/>
    <xf numFmtId="180" fontId="62" fillId="0" borderId="207"/>
    <xf numFmtId="172" fontId="62" fillId="0" borderId="207"/>
    <xf numFmtId="180" fontId="62" fillId="0" borderId="207"/>
    <xf numFmtId="175" fontId="62" fillId="0" borderId="207"/>
    <xf numFmtId="173" fontId="62" fillId="0" borderId="207"/>
    <xf numFmtId="172" fontId="62" fillId="0" borderId="207"/>
    <xf numFmtId="175" fontId="62" fillId="0" borderId="207"/>
    <xf numFmtId="174" fontId="62" fillId="0" borderId="207"/>
    <xf numFmtId="181" fontId="62" fillId="0" borderId="207"/>
    <xf numFmtId="180" fontId="62" fillId="0" borderId="207"/>
    <xf numFmtId="175" fontId="62" fillId="0" borderId="207"/>
    <xf numFmtId="172" fontId="62" fillId="0" borderId="207"/>
    <xf numFmtId="180" fontId="62" fillId="0" borderId="207"/>
    <xf numFmtId="175" fontId="62" fillId="0" borderId="207"/>
    <xf numFmtId="172" fontId="62" fillId="0" borderId="207"/>
    <xf numFmtId="180" fontId="62" fillId="0" borderId="207"/>
    <xf numFmtId="180" fontId="62" fillId="0" borderId="207"/>
    <xf numFmtId="181" fontId="62" fillId="0" borderId="207"/>
    <xf numFmtId="177" fontId="62" fillId="0" borderId="207"/>
    <xf numFmtId="172" fontId="62" fillId="0" borderId="207"/>
    <xf numFmtId="0" fontId="23" fillId="0" borderId="206" applyNumberFormat="0" applyFill="0" applyAlignment="0" applyProtection="0"/>
    <xf numFmtId="0" fontId="11" fillId="22" borderId="203" applyNumberFormat="0" applyAlignment="0" applyProtection="0"/>
    <xf numFmtId="172" fontId="62" fillId="0" borderId="207"/>
    <xf numFmtId="174" fontId="62" fillId="0" borderId="207"/>
    <xf numFmtId="172" fontId="62" fillId="0" borderId="207"/>
    <xf numFmtId="175" fontId="62" fillId="0" borderId="207"/>
    <xf numFmtId="180" fontId="62" fillId="0" borderId="207"/>
    <xf numFmtId="172" fontId="62" fillId="0" borderId="207"/>
    <xf numFmtId="0" fontId="18" fillId="9" borderId="203" applyNumberFormat="0" applyAlignment="0" applyProtection="0"/>
    <xf numFmtId="174" fontId="62" fillId="0" borderId="207"/>
    <xf numFmtId="0" fontId="11" fillId="22" borderId="203" applyNumberFormat="0" applyAlignment="0" applyProtection="0"/>
    <xf numFmtId="182" fontId="62" fillId="0" borderId="207"/>
    <xf numFmtId="172" fontId="62" fillId="0" borderId="207"/>
    <xf numFmtId="173" fontId="62" fillId="0" borderId="207"/>
    <xf numFmtId="175" fontId="62" fillId="0" borderId="207"/>
    <xf numFmtId="176" fontId="62" fillId="0" borderId="207"/>
    <xf numFmtId="175" fontId="62" fillId="0" borderId="207"/>
    <xf numFmtId="175" fontId="62" fillId="0" borderId="207"/>
    <xf numFmtId="0" fontId="11" fillId="22" borderId="203" applyNumberFormat="0" applyAlignment="0" applyProtection="0"/>
    <xf numFmtId="172" fontId="62" fillId="0" borderId="207"/>
    <xf numFmtId="175" fontId="62" fillId="0" borderId="207"/>
    <xf numFmtId="182" fontId="62" fillId="0" borderId="207"/>
    <xf numFmtId="172"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172" fontId="62" fillId="0" borderId="207"/>
    <xf numFmtId="180" fontId="62" fillId="0" borderId="207"/>
    <xf numFmtId="180" fontId="62" fillId="0" borderId="207"/>
    <xf numFmtId="0" fontId="65" fillId="50" borderId="201">
      <protection locked="0"/>
    </xf>
    <xf numFmtId="0" fontId="8" fillId="25" borderId="204" applyNumberFormat="0" applyFont="0" applyAlignment="0" applyProtection="0"/>
    <xf numFmtId="180" fontId="62" fillId="0" borderId="207"/>
    <xf numFmtId="177"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0" fontId="21" fillId="22" borderId="205" applyNumberFormat="0" applyAlignment="0" applyProtection="0"/>
    <xf numFmtId="175" fontId="62" fillId="0" borderId="207"/>
    <xf numFmtId="175" fontId="62" fillId="0" borderId="207"/>
    <xf numFmtId="173" fontId="62" fillId="0" borderId="207"/>
    <xf numFmtId="175" fontId="62" fillId="0" borderId="207"/>
    <xf numFmtId="180" fontId="62" fillId="0" borderId="207"/>
    <xf numFmtId="180" fontId="62" fillId="0" borderId="207"/>
    <xf numFmtId="172" fontId="62" fillId="0" borderId="207"/>
    <xf numFmtId="175" fontId="62" fillId="0" borderId="207"/>
    <xf numFmtId="180" fontId="62" fillId="0" borderId="207"/>
    <xf numFmtId="172" fontId="62" fillId="0" borderId="207"/>
    <xf numFmtId="174" fontId="62" fillId="0" borderId="207"/>
    <xf numFmtId="180" fontId="62" fillId="0" borderId="207"/>
    <xf numFmtId="0" fontId="23" fillId="0" borderId="206" applyNumberFormat="0" applyFill="0" applyAlignment="0" applyProtection="0"/>
    <xf numFmtId="175" fontId="62" fillId="0" borderId="207"/>
    <xf numFmtId="175" fontId="62" fillId="0" borderId="207"/>
    <xf numFmtId="180" fontId="62" fillId="0" borderId="207"/>
    <xf numFmtId="172" fontId="62" fillId="0" borderId="207"/>
    <xf numFmtId="0" fontId="18" fillId="9" borderId="203" applyNumberFormat="0" applyAlignment="0" applyProtection="0"/>
    <xf numFmtId="177" fontId="62" fillId="0" borderId="207"/>
    <xf numFmtId="176" fontId="62" fillId="0" borderId="207"/>
    <xf numFmtId="181" fontId="62" fillId="0" borderId="207"/>
    <xf numFmtId="176" fontId="62" fillId="0" borderId="207"/>
    <xf numFmtId="181" fontId="62" fillId="0" borderId="207"/>
    <xf numFmtId="173" fontId="62" fillId="0" borderId="207"/>
    <xf numFmtId="0" fontId="65" fillId="50" borderId="201">
      <protection locked="0"/>
    </xf>
    <xf numFmtId="181" fontId="62" fillId="0" borderId="207"/>
    <xf numFmtId="182" fontId="62" fillId="0" borderId="207"/>
    <xf numFmtId="0" fontId="65" fillId="50" borderId="201">
      <protection locked="0"/>
    </xf>
    <xf numFmtId="175" fontId="62" fillId="0" borderId="207"/>
    <xf numFmtId="182" fontId="62" fillId="0" borderId="207"/>
    <xf numFmtId="177" fontId="62" fillId="0" borderId="207"/>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0" fontId="62" fillId="0" borderId="207"/>
    <xf numFmtId="172" fontId="62" fillId="0" borderId="207"/>
    <xf numFmtId="175" fontId="62" fillId="0" borderId="207"/>
    <xf numFmtId="180" fontId="62" fillId="0" borderId="207"/>
    <xf numFmtId="180" fontId="62" fillId="0" borderId="207"/>
    <xf numFmtId="180" fontId="62" fillId="0" borderId="207"/>
    <xf numFmtId="175" fontId="62" fillId="0" borderId="207"/>
    <xf numFmtId="180" fontId="62" fillId="0" borderId="207"/>
    <xf numFmtId="180" fontId="62" fillId="0" borderId="207"/>
    <xf numFmtId="175" fontId="62" fillId="0" borderId="207"/>
    <xf numFmtId="175" fontId="62" fillId="0" borderId="207"/>
    <xf numFmtId="0" fontId="21" fillId="22" borderId="205" applyNumberFormat="0" applyAlignment="0" applyProtection="0"/>
    <xf numFmtId="175" fontId="62" fillId="0" borderId="207"/>
    <xf numFmtId="0" fontId="23" fillId="0" borderId="206" applyNumberFormat="0" applyFill="0" applyAlignment="0" applyProtection="0"/>
    <xf numFmtId="172" fontId="62" fillId="0" borderId="207"/>
    <xf numFmtId="172" fontId="62" fillId="0" borderId="207"/>
    <xf numFmtId="175" fontId="62" fillId="0" borderId="207"/>
    <xf numFmtId="176" fontId="62" fillId="0" borderId="207"/>
    <xf numFmtId="0" fontId="18" fillId="9" borderId="203" applyNumberFormat="0" applyAlignment="0" applyProtection="0"/>
    <xf numFmtId="172" fontId="62" fillId="0" borderId="207"/>
    <xf numFmtId="0" fontId="21" fillId="22" borderId="205" applyNumberFormat="0" applyAlignment="0" applyProtection="0"/>
    <xf numFmtId="174" fontId="62" fillId="0" borderId="207"/>
    <xf numFmtId="172" fontId="62" fillId="0" borderId="207"/>
    <xf numFmtId="0" fontId="18" fillId="9" borderId="203" applyNumberFormat="0" applyAlignment="0" applyProtection="0"/>
    <xf numFmtId="177" fontId="62" fillId="0" borderId="207"/>
    <xf numFmtId="0" fontId="11" fillId="22" borderId="203" applyNumberFormat="0" applyAlignment="0" applyProtection="0"/>
    <xf numFmtId="172" fontId="62" fillId="0" borderId="207"/>
    <xf numFmtId="172" fontId="62" fillId="0" borderId="207"/>
    <xf numFmtId="180" fontId="62" fillId="0" borderId="207"/>
    <xf numFmtId="0" fontId="65" fillId="50" borderId="201">
      <protection locked="0"/>
    </xf>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6" fontId="62" fillId="0" borderId="207"/>
    <xf numFmtId="180" fontId="62" fillId="0" borderId="207"/>
    <xf numFmtId="172" fontId="62" fillId="0" borderId="207"/>
    <xf numFmtId="172" fontId="62" fillId="0" borderId="207"/>
    <xf numFmtId="0" fontId="23" fillId="0" borderId="206" applyNumberFormat="0" applyFill="0" applyAlignment="0" applyProtection="0"/>
    <xf numFmtId="180" fontId="62" fillId="0" borderId="207"/>
    <xf numFmtId="172" fontId="62" fillId="0" borderId="207"/>
    <xf numFmtId="172" fontId="62" fillId="0" borderId="207"/>
    <xf numFmtId="180" fontId="62" fillId="0" borderId="207"/>
    <xf numFmtId="175" fontId="62" fillId="0" borderId="207"/>
    <xf numFmtId="175" fontId="62" fillId="0" borderId="207"/>
    <xf numFmtId="180" fontId="62" fillId="0" borderId="207"/>
    <xf numFmtId="180" fontId="62" fillId="0" borderId="207"/>
    <xf numFmtId="180" fontId="62" fillId="0" borderId="207"/>
    <xf numFmtId="172" fontId="62" fillId="0" borderId="207"/>
    <xf numFmtId="174" fontId="62" fillId="0" borderId="207"/>
    <xf numFmtId="172" fontId="62" fillId="0" borderId="207"/>
    <xf numFmtId="180" fontId="62" fillId="0" borderId="207"/>
    <xf numFmtId="0" fontId="18" fillId="9" borderId="203" applyNumberFormat="0" applyAlignment="0" applyProtection="0"/>
    <xf numFmtId="180" fontId="62" fillId="0" borderId="207"/>
    <xf numFmtId="180" fontId="62" fillId="0" borderId="207"/>
    <xf numFmtId="0" fontId="23" fillId="0" borderId="206" applyNumberFormat="0" applyFill="0" applyAlignment="0" applyProtection="0"/>
    <xf numFmtId="172" fontId="62" fillId="0" borderId="207"/>
    <xf numFmtId="0" fontId="8" fillId="25" borderId="204" applyNumberFormat="0" applyFont="0" applyAlignment="0" applyProtection="0"/>
    <xf numFmtId="0" fontId="18" fillId="9" borderId="203" applyNumberFormat="0" applyAlignment="0" applyProtection="0"/>
    <xf numFmtId="172" fontId="62" fillId="0" borderId="207"/>
    <xf numFmtId="180" fontId="62" fillId="0" borderId="207"/>
    <xf numFmtId="0" fontId="8" fillId="25" borderId="204" applyNumberFormat="0" applyFont="0" applyAlignment="0" applyProtection="0"/>
    <xf numFmtId="0" fontId="11" fillId="22" borderId="203" applyNumberFormat="0" applyAlignment="0" applyProtection="0"/>
    <xf numFmtId="172"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2" fontId="62" fillId="0" borderId="207"/>
    <xf numFmtId="181" fontId="62" fillId="0" borderId="207"/>
    <xf numFmtId="175" fontId="62" fillId="0" borderId="207"/>
    <xf numFmtId="175" fontId="62" fillId="0" borderId="207"/>
    <xf numFmtId="174" fontId="62" fillId="0" borderId="207"/>
    <xf numFmtId="180" fontId="62" fillId="0" borderId="207"/>
    <xf numFmtId="173" fontId="62" fillId="0" borderId="207"/>
    <xf numFmtId="0" fontId="21" fillId="22" borderId="205" applyNumberFormat="0" applyAlignment="0" applyProtection="0"/>
    <xf numFmtId="172" fontId="62" fillId="0" borderId="207"/>
    <xf numFmtId="175" fontId="62" fillId="0" borderId="207"/>
    <xf numFmtId="180" fontId="62" fillId="0" borderId="207"/>
    <xf numFmtId="0" fontId="11" fillId="22" borderId="203" applyNumberFormat="0" applyAlignment="0" applyProtection="0"/>
    <xf numFmtId="175" fontId="62" fillId="0" borderId="207"/>
    <xf numFmtId="176" fontId="62" fillId="0" borderId="207"/>
    <xf numFmtId="175" fontId="62" fillId="0" borderId="207"/>
    <xf numFmtId="182" fontId="62" fillId="0" borderId="207"/>
    <xf numFmtId="177" fontId="62" fillId="0" borderId="207"/>
    <xf numFmtId="173"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5" fontId="62" fillId="0" borderId="207"/>
    <xf numFmtId="175" fontId="62" fillId="0" borderId="207"/>
    <xf numFmtId="175" fontId="62" fillId="0" borderId="207"/>
    <xf numFmtId="172" fontId="62" fillId="0" borderId="207"/>
    <xf numFmtId="0" fontId="18" fillId="9" borderId="203" applyNumberFormat="0" applyAlignment="0" applyProtection="0"/>
    <xf numFmtId="175" fontId="62" fillId="0" borderId="207"/>
    <xf numFmtId="172" fontId="62" fillId="0" borderId="207"/>
    <xf numFmtId="180" fontId="62" fillId="0" borderId="207"/>
    <xf numFmtId="174" fontId="62" fillId="0" borderId="207"/>
    <xf numFmtId="174" fontId="62" fillId="0" borderId="207"/>
    <xf numFmtId="172" fontId="62" fillId="0" borderId="207"/>
    <xf numFmtId="174" fontId="62" fillId="0" borderId="207"/>
    <xf numFmtId="175" fontId="62" fillId="0" borderId="207"/>
    <xf numFmtId="177" fontId="62" fillId="0" borderId="207"/>
    <xf numFmtId="172" fontId="62" fillId="0" borderId="207"/>
    <xf numFmtId="0" fontId="11" fillId="22" borderId="203" applyNumberFormat="0" applyAlignment="0" applyProtection="0"/>
    <xf numFmtId="180" fontId="62" fillId="0" borderId="207"/>
    <xf numFmtId="180" fontId="62" fillId="0" borderId="207"/>
    <xf numFmtId="180" fontId="62" fillId="0" borderId="207"/>
    <xf numFmtId="172" fontId="62" fillId="0" borderId="207"/>
    <xf numFmtId="0" fontId="8" fillId="25" borderId="204" applyNumberFormat="0" applyFont="0" applyAlignment="0" applyProtection="0"/>
    <xf numFmtId="172" fontId="62" fillId="0" borderId="207"/>
    <xf numFmtId="181" fontId="62" fillId="0" borderId="207"/>
    <xf numFmtId="175" fontId="62" fillId="0" borderId="207"/>
    <xf numFmtId="176" fontId="62" fillId="0" borderId="207"/>
    <xf numFmtId="0" fontId="18" fillId="9" borderId="203" applyNumberFormat="0" applyAlignment="0" applyProtection="0"/>
    <xf numFmtId="172" fontId="62" fillId="0" borderId="207"/>
    <xf numFmtId="180" fontId="62" fillId="0" borderId="207"/>
    <xf numFmtId="175" fontId="62" fillId="0" borderId="207"/>
    <xf numFmtId="180" fontId="62" fillId="0" borderId="207"/>
    <xf numFmtId="172" fontId="62" fillId="0" borderId="207"/>
    <xf numFmtId="180" fontId="62" fillId="0" borderId="207"/>
    <xf numFmtId="175" fontId="62" fillId="0" borderId="207"/>
    <xf numFmtId="175" fontId="62" fillId="0" borderId="207"/>
    <xf numFmtId="172" fontId="62" fillId="0" borderId="207"/>
    <xf numFmtId="175" fontId="62" fillId="0" borderId="207"/>
    <xf numFmtId="176" fontId="62" fillId="0" borderId="207"/>
    <xf numFmtId="175" fontId="62" fillId="0" borderId="207"/>
    <xf numFmtId="180" fontId="62" fillId="0" borderId="207"/>
    <xf numFmtId="180" fontId="62" fillId="0" borderId="207"/>
    <xf numFmtId="172" fontId="62" fillId="0" borderId="207"/>
    <xf numFmtId="0" fontId="21" fillId="22" borderId="205" applyNumberFormat="0" applyAlignment="0" applyProtection="0"/>
    <xf numFmtId="173" fontId="62" fillId="0" borderId="207"/>
    <xf numFmtId="0" fontId="23" fillId="0" borderId="206" applyNumberFormat="0" applyFill="0" applyAlignment="0" applyProtection="0"/>
    <xf numFmtId="0" fontId="8" fillId="25" borderId="204" applyNumberFormat="0" applyFont="0" applyAlignment="0" applyProtection="0"/>
    <xf numFmtId="0" fontId="65" fillId="50" borderId="201">
      <protection locked="0"/>
    </xf>
    <xf numFmtId="176" fontId="62" fillId="0" borderId="207"/>
    <xf numFmtId="0" fontId="23" fillId="0" borderId="206" applyNumberFormat="0" applyFill="0" applyAlignment="0" applyProtection="0"/>
    <xf numFmtId="175" fontId="62" fillId="0" borderId="207"/>
    <xf numFmtId="0" fontId="21" fillId="22" borderId="205" applyNumberFormat="0" applyAlignment="0" applyProtection="0"/>
    <xf numFmtId="172" fontId="62" fillId="0" borderId="207"/>
    <xf numFmtId="182" fontId="62" fillId="0" borderId="207"/>
    <xf numFmtId="172" fontId="62" fillId="0" borderId="207"/>
    <xf numFmtId="180" fontId="62" fillId="0" borderId="207"/>
    <xf numFmtId="0" fontId="11" fillId="22" borderId="203" applyNumberFormat="0" applyAlignment="0" applyProtection="0"/>
    <xf numFmtId="175" fontId="62" fillId="0" borderId="207"/>
    <xf numFmtId="181" fontId="62" fillId="0" borderId="207"/>
    <xf numFmtId="175" fontId="62" fillId="0" borderId="207"/>
    <xf numFmtId="172" fontId="62" fillId="0" borderId="207"/>
    <xf numFmtId="175" fontId="62" fillId="0" borderId="207"/>
    <xf numFmtId="173" fontId="62" fillId="0" borderId="207"/>
    <xf numFmtId="180" fontId="62" fillId="0" borderId="207"/>
    <xf numFmtId="177" fontId="62" fillId="0" borderId="207"/>
    <xf numFmtId="175" fontId="62" fillId="0" borderId="207"/>
    <xf numFmtId="173" fontId="62" fillId="0" borderId="207"/>
    <xf numFmtId="172" fontId="62" fillId="0" borderId="207"/>
    <xf numFmtId="181" fontId="62" fillId="0" borderId="207"/>
    <xf numFmtId="182" fontId="62" fillId="0" borderId="207"/>
    <xf numFmtId="0" fontId="65" fillId="50" borderId="201">
      <protection locked="0"/>
    </xf>
    <xf numFmtId="180" fontId="62" fillId="0" borderId="207"/>
    <xf numFmtId="180" fontId="62" fillId="0" borderId="207"/>
    <xf numFmtId="180" fontId="62" fillId="0" borderId="207"/>
    <xf numFmtId="172" fontId="62" fillId="0" borderId="207"/>
    <xf numFmtId="180" fontId="62" fillId="0" borderId="207"/>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2" fontId="62" fillId="0" borderId="207"/>
    <xf numFmtId="172" fontId="62" fillId="0" borderId="207"/>
    <xf numFmtId="175" fontId="62" fillId="0" borderId="207"/>
    <xf numFmtId="180" fontId="62" fillId="0" borderId="207"/>
    <xf numFmtId="172" fontId="62" fillId="0" borderId="207"/>
    <xf numFmtId="0" fontId="8" fillId="25" borderId="204" applyNumberFormat="0" applyFont="0" applyAlignment="0" applyProtection="0"/>
    <xf numFmtId="175" fontId="62" fillId="0" borderId="207"/>
    <xf numFmtId="177" fontId="62" fillId="0" borderId="207"/>
    <xf numFmtId="180" fontId="62" fillId="0" borderId="207"/>
    <xf numFmtId="172" fontId="62" fillId="0" borderId="207"/>
    <xf numFmtId="175"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5" fontId="62" fillId="0" borderId="207"/>
    <xf numFmtId="180" fontId="62" fillId="0" borderId="207"/>
    <xf numFmtId="172" fontId="62" fillId="0" borderId="207"/>
    <xf numFmtId="180" fontId="62" fillId="0" borderId="207"/>
    <xf numFmtId="180" fontId="62" fillId="0" borderId="207"/>
    <xf numFmtId="175" fontId="62" fillId="0" borderId="207"/>
    <xf numFmtId="175" fontId="62" fillId="0" borderId="207"/>
    <xf numFmtId="172" fontId="62" fillId="0" borderId="207"/>
    <xf numFmtId="172" fontId="62" fillId="0" borderId="207"/>
    <xf numFmtId="172" fontId="62" fillId="0" borderId="207"/>
    <xf numFmtId="0" fontId="65" fillId="50" borderId="201">
      <protection locked="0"/>
    </xf>
    <xf numFmtId="180" fontId="62" fillId="0" borderId="207"/>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5" fontId="62" fillId="0" borderId="207"/>
    <xf numFmtId="0" fontId="65" fillId="50" borderId="201">
      <protection locked="0"/>
    </xf>
    <xf numFmtId="181" fontId="62" fillId="0" borderId="207"/>
    <xf numFmtId="0" fontId="8" fillId="25" borderId="204" applyNumberFormat="0" applyFont="0" applyAlignment="0" applyProtection="0"/>
    <xf numFmtId="0" fontId="18" fillId="9" borderId="203" applyNumberFormat="0" applyAlignment="0" applyProtection="0"/>
    <xf numFmtId="0" fontId="18" fillId="9" borderId="203" applyNumberFormat="0" applyAlignment="0" applyProtection="0"/>
    <xf numFmtId="182" fontId="62" fillId="0" borderId="207"/>
    <xf numFmtId="0" fontId="8" fillId="25" borderId="204" applyNumberFormat="0" applyFont="0" applyAlignment="0" applyProtection="0"/>
    <xf numFmtId="0" fontId="65" fillId="50" borderId="201">
      <protection locked="0"/>
    </xf>
    <xf numFmtId="0" fontId="65" fillId="50" borderId="201">
      <protection locked="0"/>
    </xf>
    <xf numFmtId="177" fontId="62" fillId="0" borderId="207"/>
    <xf numFmtId="176" fontId="62" fillId="0" borderId="207"/>
    <xf numFmtId="0" fontId="23" fillId="0" borderId="206" applyNumberFormat="0" applyFill="0" applyAlignment="0" applyProtection="0"/>
    <xf numFmtId="180" fontId="62" fillId="0" borderId="207"/>
    <xf numFmtId="0" fontId="23" fillId="0" borderId="206" applyNumberFormat="0" applyFill="0" applyAlignment="0" applyProtection="0"/>
    <xf numFmtId="0" fontId="11" fillId="22" borderId="203" applyNumberFormat="0" applyAlignment="0" applyProtection="0"/>
    <xf numFmtId="182" fontId="62" fillId="0" borderId="207"/>
    <xf numFmtId="0" fontId="11" fillId="22" borderId="203" applyNumberFormat="0" applyAlignment="0" applyProtection="0"/>
    <xf numFmtId="0" fontId="21" fillId="22" borderId="205" applyNumberFormat="0" applyAlignment="0" applyProtection="0"/>
    <xf numFmtId="175" fontId="62" fillId="0" borderId="207"/>
    <xf numFmtId="0" fontId="8" fillId="25" borderId="204" applyNumberFormat="0" applyFont="0" applyAlignment="0" applyProtection="0"/>
    <xf numFmtId="0" fontId="18" fillId="9" borderId="203" applyNumberFormat="0" applyAlignment="0" applyProtection="0"/>
    <xf numFmtId="180" fontId="62" fillId="0" borderId="207"/>
    <xf numFmtId="0" fontId="11" fillId="22" borderId="203" applyNumberFormat="0" applyAlignment="0" applyProtection="0"/>
    <xf numFmtId="0" fontId="18" fillId="9" borderId="203" applyNumberFormat="0" applyAlignment="0" applyProtection="0"/>
    <xf numFmtId="172" fontId="62" fillId="0" borderId="207"/>
    <xf numFmtId="0" fontId="65" fillId="50" borderId="201">
      <protection locked="0"/>
    </xf>
    <xf numFmtId="0" fontId="23" fillId="0" borderId="206" applyNumberFormat="0" applyFill="0" applyAlignment="0" applyProtection="0"/>
    <xf numFmtId="172" fontId="62" fillId="0" borderId="207"/>
    <xf numFmtId="180" fontId="62" fillId="0" borderId="207"/>
    <xf numFmtId="180" fontId="62" fillId="0" borderId="207"/>
    <xf numFmtId="172" fontId="62" fillId="0" borderId="207"/>
    <xf numFmtId="0" fontId="65" fillId="50" borderId="201">
      <protection locked="0"/>
    </xf>
    <xf numFmtId="181" fontId="62" fillId="0" borderId="207"/>
    <xf numFmtId="0" fontId="11" fillId="22" borderId="203" applyNumberFormat="0" applyAlignment="0" applyProtection="0"/>
    <xf numFmtId="172" fontId="62" fillId="0" borderId="207"/>
    <xf numFmtId="0" fontId="11" fillId="22" borderId="203" applyNumberFormat="0" applyAlignment="0" applyProtection="0"/>
    <xf numFmtId="172" fontId="62" fillId="0" borderId="207"/>
    <xf numFmtId="0" fontId="65" fillId="50" borderId="201">
      <protection locked="0"/>
    </xf>
    <xf numFmtId="0" fontId="8" fillId="25" borderId="204" applyNumberFormat="0" applyFont="0" applyAlignment="0" applyProtection="0"/>
    <xf numFmtId="175" fontId="62" fillId="0" borderId="207"/>
    <xf numFmtId="181" fontId="62" fillId="0" borderId="207"/>
    <xf numFmtId="175" fontId="62" fillId="0" borderId="207"/>
    <xf numFmtId="172" fontId="62" fillId="0" borderId="207"/>
    <xf numFmtId="0" fontId="8" fillId="25" borderId="204" applyNumberFormat="0" applyFont="0" applyAlignment="0" applyProtection="0"/>
    <xf numFmtId="175" fontId="62" fillId="0" borderId="207"/>
    <xf numFmtId="180" fontId="62" fillId="0" borderId="207"/>
    <xf numFmtId="176" fontId="62" fillId="0" borderId="207"/>
    <xf numFmtId="175" fontId="62" fillId="0" borderId="207"/>
    <xf numFmtId="180" fontId="62" fillId="0" borderId="207"/>
    <xf numFmtId="0" fontId="8" fillId="25" borderId="204" applyNumberFormat="0" applyFont="0" applyAlignment="0" applyProtection="0"/>
    <xf numFmtId="176" fontId="62" fillId="0" borderId="207"/>
    <xf numFmtId="172" fontId="62" fillId="0" borderId="207"/>
    <xf numFmtId="175" fontId="62" fillId="0" borderId="207"/>
    <xf numFmtId="180" fontId="62" fillId="0" borderId="207"/>
    <xf numFmtId="175" fontId="62" fillId="0" borderId="207"/>
    <xf numFmtId="177" fontId="62" fillId="0" borderId="207"/>
    <xf numFmtId="0" fontId="18" fillId="9" borderId="203" applyNumberFormat="0" applyAlignment="0" applyProtection="0"/>
    <xf numFmtId="0" fontId="21" fillId="22" borderId="205" applyNumberFormat="0" applyAlignment="0" applyProtection="0"/>
    <xf numFmtId="180" fontId="62" fillId="0" borderId="207"/>
    <xf numFmtId="181" fontId="62" fillId="0" borderId="207"/>
    <xf numFmtId="172" fontId="62" fillId="0" borderId="207"/>
    <xf numFmtId="172" fontId="62" fillId="0" borderId="207"/>
    <xf numFmtId="172" fontId="62" fillId="0" borderId="207"/>
    <xf numFmtId="175" fontId="62" fillId="0" borderId="207"/>
    <xf numFmtId="0" fontId="65" fillId="50" borderId="201">
      <protection locked="0"/>
    </xf>
    <xf numFmtId="174" fontId="62" fillId="0" borderId="207"/>
    <xf numFmtId="172" fontId="62" fillId="0" borderId="207"/>
    <xf numFmtId="0" fontId="8" fillId="25" borderId="204" applyNumberFormat="0" applyFont="0" applyAlignment="0" applyProtection="0"/>
    <xf numFmtId="0" fontId="11" fillId="22" borderId="203" applyNumberFormat="0" applyAlignment="0" applyProtection="0"/>
    <xf numFmtId="175" fontId="62" fillId="0" borderId="207"/>
    <xf numFmtId="0" fontId="11" fillId="22" borderId="203" applyNumberFormat="0" applyAlignment="0" applyProtection="0"/>
    <xf numFmtId="176" fontId="62" fillId="0" borderId="207"/>
    <xf numFmtId="175" fontId="62" fillId="0" borderId="207"/>
    <xf numFmtId="175" fontId="62" fillId="0" borderId="207"/>
    <xf numFmtId="0" fontId="21" fillId="22" borderId="205" applyNumberFormat="0" applyAlignment="0" applyProtection="0"/>
    <xf numFmtId="174" fontId="62" fillId="0" borderId="207"/>
    <xf numFmtId="182" fontId="62" fillId="0" borderId="207"/>
    <xf numFmtId="173" fontId="62" fillId="0" borderId="207"/>
    <xf numFmtId="0" fontId="11" fillId="22" borderId="203" applyNumberFormat="0" applyAlignment="0" applyProtection="0"/>
    <xf numFmtId="172" fontId="62" fillId="0" borderId="207"/>
    <xf numFmtId="0" fontId="11" fillId="22" borderId="203" applyNumberFormat="0" applyAlignment="0" applyProtection="0"/>
    <xf numFmtId="172" fontId="62" fillId="0" borderId="207"/>
    <xf numFmtId="180" fontId="62" fillId="0" borderId="207"/>
    <xf numFmtId="177" fontId="62" fillId="0" borderId="207"/>
    <xf numFmtId="0" fontId="11" fillId="22" borderId="203" applyNumberFormat="0" applyAlignment="0" applyProtection="0"/>
    <xf numFmtId="180" fontId="62" fillId="0" borderId="207"/>
    <xf numFmtId="0" fontId="18" fillId="9" borderId="203" applyNumberFormat="0" applyAlignment="0" applyProtection="0"/>
    <xf numFmtId="173" fontId="62" fillId="0" borderId="207"/>
    <xf numFmtId="181" fontId="62" fillId="0" borderId="207"/>
    <xf numFmtId="172" fontId="62" fillId="0" borderId="207"/>
    <xf numFmtId="0" fontId="21" fillId="22" borderId="205" applyNumberFormat="0" applyAlignment="0" applyProtection="0"/>
    <xf numFmtId="173" fontId="62" fillId="0" borderId="207"/>
    <xf numFmtId="0" fontId="18" fillId="9" borderId="203" applyNumberFormat="0" applyAlignment="0" applyProtection="0"/>
    <xf numFmtId="181" fontId="62" fillId="0" borderId="207"/>
    <xf numFmtId="175" fontId="62" fillId="0" borderId="207"/>
    <xf numFmtId="173" fontId="62" fillId="0" borderId="207"/>
    <xf numFmtId="0" fontId="8" fillId="25" borderId="204" applyNumberFormat="0" applyFont="0" applyAlignment="0" applyProtection="0"/>
    <xf numFmtId="0" fontId="11" fillId="22" borderId="203" applyNumberFormat="0" applyAlignment="0" applyProtection="0"/>
    <xf numFmtId="0" fontId="65" fillId="50" borderId="201">
      <protection locked="0"/>
    </xf>
    <xf numFmtId="0" fontId="8" fillId="25" borderId="204" applyNumberFormat="0" applyFont="0" applyAlignment="0" applyProtection="0"/>
    <xf numFmtId="176" fontId="62" fillId="0" borderId="207"/>
    <xf numFmtId="180" fontId="62" fillId="0" borderId="207"/>
    <xf numFmtId="175" fontId="62" fillId="0" borderId="207"/>
    <xf numFmtId="182" fontId="62" fillId="0" borderId="207"/>
    <xf numFmtId="0" fontId="11" fillId="22" borderId="203" applyNumberFormat="0" applyAlignment="0" applyProtection="0"/>
    <xf numFmtId="175" fontId="62" fillId="0" borderId="207"/>
    <xf numFmtId="0" fontId="18" fillId="9" borderId="203" applyNumberFormat="0" applyAlignment="0" applyProtection="0"/>
    <xf numFmtId="0" fontId="21" fillId="22" borderId="205" applyNumberFormat="0" applyAlignment="0" applyProtection="0"/>
    <xf numFmtId="182" fontId="62" fillId="0" borderId="207"/>
    <xf numFmtId="0" fontId="8" fillId="25" borderId="204" applyNumberFormat="0" applyFont="0" applyAlignment="0" applyProtection="0"/>
    <xf numFmtId="181" fontId="62" fillId="0" borderId="207"/>
    <xf numFmtId="177" fontId="62" fillId="0" borderId="207"/>
    <xf numFmtId="0" fontId="18" fillId="9" borderId="203" applyNumberFormat="0" applyAlignment="0" applyProtection="0"/>
    <xf numFmtId="180" fontId="62" fillId="0" borderId="207"/>
    <xf numFmtId="181" fontId="62" fillId="0" borderId="207"/>
    <xf numFmtId="180" fontId="62" fillId="0" borderId="207"/>
    <xf numFmtId="177" fontId="62" fillId="0" borderId="207"/>
    <xf numFmtId="173" fontId="62" fillId="0" borderId="207"/>
    <xf numFmtId="182" fontId="62" fillId="0" borderId="207"/>
    <xf numFmtId="180" fontId="62" fillId="0" borderId="207"/>
    <xf numFmtId="175" fontId="62" fillId="0" borderId="207"/>
    <xf numFmtId="0" fontId="21" fillId="22" borderId="205" applyNumberFormat="0" applyAlignment="0" applyProtection="0"/>
    <xf numFmtId="177" fontId="62" fillId="0" borderId="207"/>
    <xf numFmtId="172" fontId="62" fillId="0" borderId="207"/>
    <xf numFmtId="174" fontId="62" fillId="0" borderId="207"/>
    <xf numFmtId="0" fontId="65" fillId="50" borderId="201">
      <protection locked="0"/>
    </xf>
    <xf numFmtId="176" fontId="62" fillId="0" borderId="207"/>
    <xf numFmtId="181" fontId="62" fillId="0" borderId="207"/>
    <xf numFmtId="0" fontId="21" fillId="22" borderId="205" applyNumberFormat="0" applyAlignment="0" applyProtection="0"/>
    <xf numFmtId="0" fontId="21" fillId="22" borderId="205" applyNumberFormat="0" applyAlignment="0" applyProtection="0"/>
    <xf numFmtId="180" fontId="62" fillId="0" borderId="207"/>
    <xf numFmtId="172" fontId="62" fillId="0" borderId="207"/>
    <xf numFmtId="0" fontId="65" fillId="50" borderId="201">
      <protection locked="0"/>
    </xf>
    <xf numFmtId="175" fontId="62" fillId="0" borderId="207"/>
    <xf numFmtId="175" fontId="62" fillId="0" borderId="207"/>
    <xf numFmtId="0" fontId="23" fillId="0" borderId="206" applyNumberFormat="0" applyFill="0" applyAlignment="0" applyProtection="0"/>
    <xf numFmtId="177" fontId="62" fillId="0" borderId="207"/>
    <xf numFmtId="174" fontId="62" fillId="0" borderId="207"/>
    <xf numFmtId="180" fontId="62" fillId="0" borderId="207"/>
    <xf numFmtId="0" fontId="23" fillId="0" borderId="206" applyNumberFormat="0" applyFill="0" applyAlignment="0" applyProtection="0"/>
    <xf numFmtId="175" fontId="62" fillId="0" borderId="207"/>
    <xf numFmtId="0" fontId="8" fillId="25" borderId="204" applyNumberFormat="0" applyFont="0" applyAlignment="0" applyProtection="0"/>
    <xf numFmtId="173" fontId="62" fillId="0" borderId="207"/>
    <xf numFmtId="172" fontId="62" fillId="0" borderId="207"/>
    <xf numFmtId="175" fontId="62" fillId="0" borderId="207"/>
    <xf numFmtId="180" fontId="62" fillId="0" borderId="207"/>
    <xf numFmtId="180" fontId="62" fillId="0" borderId="207"/>
    <xf numFmtId="180" fontId="62" fillId="0" borderId="207"/>
    <xf numFmtId="182" fontId="62" fillId="0" borderId="207"/>
    <xf numFmtId="0" fontId="21" fillId="22" borderId="205" applyNumberFormat="0" applyAlignment="0" applyProtection="0"/>
    <xf numFmtId="176" fontId="62" fillId="0" borderId="207"/>
    <xf numFmtId="173" fontId="62" fillId="0" borderId="207"/>
    <xf numFmtId="0" fontId="21" fillId="22" borderId="205" applyNumberFormat="0" applyAlignment="0" applyProtection="0"/>
    <xf numFmtId="182" fontId="62" fillId="0" borderId="207"/>
    <xf numFmtId="175" fontId="62" fillId="0" borderId="207"/>
    <xf numFmtId="181" fontId="62" fillId="0" borderId="207"/>
    <xf numFmtId="0" fontId="23" fillId="0" borderId="206" applyNumberFormat="0" applyFill="0" applyAlignment="0" applyProtection="0"/>
    <xf numFmtId="180" fontId="62" fillId="0" borderId="207"/>
    <xf numFmtId="0" fontId="23" fillId="0" borderId="206" applyNumberFormat="0" applyFill="0" applyAlignment="0" applyProtection="0"/>
    <xf numFmtId="177" fontId="62" fillId="0" borderId="207"/>
    <xf numFmtId="0" fontId="21" fillId="22" borderId="205" applyNumberFormat="0" applyAlignment="0" applyProtection="0"/>
    <xf numFmtId="172" fontId="62" fillId="0" borderId="207"/>
    <xf numFmtId="176" fontId="62" fillId="0" borderId="207"/>
    <xf numFmtId="175" fontId="62" fillId="0" borderId="207"/>
    <xf numFmtId="0" fontId="65" fillId="50" borderId="201">
      <protection locked="0"/>
    </xf>
    <xf numFmtId="177" fontId="62" fillId="0" borderId="207"/>
    <xf numFmtId="175" fontId="62" fillId="0" borderId="207"/>
    <xf numFmtId="0" fontId="23" fillId="0" borderId="206" applyNumberFormat="0" applyFill="0" applyAlignment="0" applyProtection="0"/>
    <xf numFmtId="0" fontId="8" fillId="25" borderId="204" applyNumberFormat="0" applyFont="0" applyAlignment="0" applyProtection="0"/>
    <xf numFmtId="0" fontId="23" fillId="0" borderId="206" applyNumberFormat="0" applyFill="0" applyAlignment="0" applyProtection="0"/>
    <xf numFmtId="172" fontId="62" fillId="0" borderId="207"/>
    <xf numFmtId="0" fontId="8" fillId="25" borderId="204" applyNumberFormat="0" applyFont="0" applyAlignment="0" applyProtection="0"/>
    <xf numFmtId="182" fontId="62" fillId="0" borderId="207"/>
    <xf numFmtId="172" fontId="62" fillId="0" borderId="207"/>
    <xf numFmtId="172" fontId="62" fillId="0" borderId="207"/>
    <xf numFmtId="0" fontId="11" fillId="22" borderId="203" applyNumberFormat="0" applyAlignment="0" applyProtection="0"/>
    <xf numFmtId="174" fontId="62" fillId="0" borderId="207"/>
    <xf numFmtId="177" fontId="62" fillId="0" borderId="207"/>
    <xf numFmtId="180" fontId="62" fillId="0" borderId="207"/>
    <xf numFmtId="175" fontId="62" fillId="0" borderId="207"/>
    <xf numFmtId="175" fontId="62" fillId="0" borderId="207"/>
    <xf numFmtId="176" fontId="62" fillId="0" borderId="207"/>
    <xf numFmtId="174" fontId="62" fillId="0" borderId="207"/>
    <xf numFmtId="172" fontId="62" fillId="0" borderId="207"/>
    <xf numFmtId="175" fontId="62" fillId="0" borderId="207"/>
    <xf numFmtId="180" fontId="62" fillId="0" borderId="207"/>
    <xf numFmtId="175" fontId="62" fillId="0" borderId="207"/>
    <xf numFmtId="0" fontId="65" fillId="50" borderId="201">
      <protection locked="0"/>
    </xf>
    <xf numFmtId="0" fontId="8" fillId="25" borderId="204" applyNumberFormat="0" applyFon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172" fontId="62" fillId="0" borderId="207"/>
    <xf numFmtId="0" fontId="23" fillId="0" borderId="206" applyNumberFormat="0" applyFill="0" applyAlignment="0" applyProtection="0"/>
    <xf numFmtId="172" fontId="62" fillId="0" borderId="207"/>
    <xf numFmtId="0" fontId="21" fillId="22" borderId="205" applyNumberFormat="0" applyAlignment="0" applyProtection="0"/>
    <xf numFmtId="0" fontId="11" fillId="22" borderId="203" applyNumberFormat="0" applyAlignment="0" applyProtection="0"/>
    <xf numFmtId="181" fontId="62" fillId="0" borderId="207"/>
    <xf numFmtId="0" fontId="11" fillId="22" borderId="203" applyNumberFormat="0" applyAlignment="0" applyProtection="0"/>
    <xf numFmtId="174" fontId="62" fillId="0" borderId="207"/>
    <xf numFmtId="175" fontId="62" fillId="0" borderId="207"/>
    <xf numFmtId="0" fontId="23" fillId="0" borderId="206" applyNumberFormat="0" applyFill="0" applyAlignment="0" applyProtection="0"/>
    <xf numFmtId="0" fontId="11" fillId="22" borderId="203" applyNumberFormat="0" applyAlignment="0" applyProtection="0"/>
    <xf numFmtId="172" fontId="62" fillId="0" borderId="207"/>
    <xf numFmtId="182" fontId="62" fillId="0" borderId="207"/>
    <xf numFmtId="0" fontId="8" fillId="25" borderId="204" applyNumberFormat="0" applyFont="0" applyAlignment="0" applyProtection="0"/>
    <xf numFmtId="0" fontId="8" fillId="25" borderId="204" applyNumberFormat="0" applyFont="0" applyAlignment="0" applyProtection="0"/>
    <xf numFmtId="173" fontId="62" fillId="0" borderId="207"/>
    <xf numFmtId="0" fontId="23" fillId="0" borderId="206" applyNumberFormat="0" applyFill="0" applyAlignment="0" applyProtection="0"/>
    <xf numFmtId="182" fontId="62" fillId="0" borderId="207"/>
    <xf numFmtId="172" fontId="62" fillId="0" borderId="207"/>
    <xf numFmtId="0" fontId="21" fillId="22" borderId="205" applyNumberFormat="0" applyAlignment="0" applyProtection="0"/>
    <xf numFmtId="174" fontId="62" fillId="0" borderId="207"/>
    <xf numFmtId="0" fontId="21" fillId="22" borderId="205" applyNumberFormat="0" applyAlignment="0" applyProtection="0"/>
    <xf numFmtId="0" fontId="8" fillId="25" borderId="204" applyNumberFormat="0" applyFont="0" applyAlignment="0" applyProtection="0"/>
    <xf numFmtId="0" fontId="21" fillId="22" borderId="205" applyNumberFormat="0" applyAlignment="0" applyProtection="0"/>
    <xf numFmtId="0" fontId="18" fillId="9" borderId="203" applyNumberFormat="0" applyAlignment="0" applyProtection="0"/>
    <xf numFmtId="0" fontId="18" fillId="9" borderId="203" applyNumberFormat="0" applyAlignment="0" applyProtection="0"/>
    <xf numFmtId="180" fontId="62" fillId="0" borderId="207"/>
    <xf numFmtId="173" fontId="62" fillId="0" borderId="207"/>
    <xf numFmtId="175" fontId="62" fillId="0" borderId="207"/>
    <xf numFmtId="0" fontId="18" fillId="9" borderId="203" applyNumberFormat="0" applyAlignment="0" applyProtection="0"/>
    <xf numFmtId="174" fontId="62" fillId="0" borderId="207"/>
    <xf numFmtId="0" fontId="21" fillId="22" borderId="205" applyNumberFormat="0" applyAlignment="0" applyProtection="0"/>
    <xf numFmtId="0" fontId="65" fillId="50" borderId="208">
      <protection locked="0"/>
    </xf>
    <xf numFmtId="0" fontId="11" fillId="22" borderId="203" applyNumberFormat="0" applyAlignment="0" applyProtection="0"/>
    <xf numFmtId="180" fontId="62" fillId="0" borderId="207"/>
    <xf numFmtId="0" fontId="23" fillId="0" borderId="206" applyNumberFormat="0" applyFill="0" applyAlignment="0" applyProtection="0"/>
    <xf numFmtId="175" fontId="62" fillId="0" borderId="207"/>
    <xf numFmtId="176" fontId="62" fillId="0" borderId="207"/>
    <xf numFmtId="0" fontId="11" fillId="22" borderId="203" applyNumberFormat="0" applyAlignment="0" applyProtection="0"/>
    <xf numFmtId="173" fontId="62" fillId="0" borderId="207"/>
    <xf numFmtId="0" fontId="8" fillId="25" borderId="204" applyNumberFormat="0" applyFont="0" applyAlignment="0" applyProtection="0"/>
    <xf numFmtId="0" fontId="8" fillId="25" borderId="204" applyNumberFormat="0" applyFont="0" applyAlignment="0" applyProtection="0"/>
    <xf numFmtId="172" fontId="62" fillId="0" borderId="207"/>
    <xf numFmtId="0" fontId="23" fillId="0" borderId="206" applyNumberFormat="0" applyFill="0" applyAlignment="0" applyProtection="0"/>
    <xf numFmtId="180" fontId="62" fillId="0" borderId="207"/>
    <xf numFmtId="182" fontId="62" fillId="0" borderId="207"/>
    <xf numFmtId="172" fontId="62" fillId="0" borderId="207"/>
    <xf numFmtId="0" fontId="23" fillId="0" borderId="206" applyNumberFormat="0" applyFill="0" applyAlignment="0" applyProtection="0"/>
    <xf numFmtId="0" fontId="23" fillId="0" borderId="206" applyNumberFormat="0" applyFill="0" applyAlignment="0" applyProtection="0"/>
    <xf numFmtId="172" fontId="62" fillId="0" borderId="207"/>
    <xf numFmtId="0" fontId="18" fillId="9" borderId="203" applyNumberFormat="0" applyAlignment="0" applyProtection="0"/>
    <xf numFmtId="180" fontId="62" fillId="0" borderId="207"/>
    <xf numFmtId="0" fontId="18" fillId="9" borderId="203" applyNumberFormat="0" applyAlignment="0" applyProtection="0"/>
    <xf numFmtId="0" fontId="21" fillId="22" borderId="205" applyNumberFormat="0" applyAlignment="0" applyProtection="0"/>
    <xf numFmtId="0" fontId="65" fillId="50" borderId="201">
      <protection locked="0"/>
    </xf>
    <xf numFmtId="177" fontId="62" fillId="0" borderId="207"/>
    <xf numFmtId="0" fontId="21" fillId="22" borderId="205" applyNumberFormat="0" applyAlignment="0" applyProtection="0"/>
    <xf numFmtId="174" fontId="62" fillId="0" borderId="207"/>
    <xf numFmtId="181" fontId="62" fillId="0" borderId="207"/>
    <xf numFmtId="173" fontId="62" fillId="0" borderId="207"/>
    <xf numFmtId="174" fontId="62" fillId="0" borderId="207"/>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1" fillId="22" borderId="205" applyNumberFormat="0" applyAlignment="0" applyProtection="0"/>
    <xf numFmtId="180" fontId="62" fillId="0" borderId="207"/>
    <xf numFmtId="0" fontId="8" fillId="25" borderId="204" applyNumberFormat="0" applyFont="0" applyAlignment="0" applyProtection="0"/>
    <xf numFmtId="172" fontId="62" fillId="0" borderId="207"/>
    <xf numFmtId="180" fontId="62" fillId="0" borderId="207"/>
    <xf numFmtId="175" fontId="62" fillId="0" borderId="207"/>
    <xf numFmtId="0" fontId="8" fillId="25" borderId="204" applyNumberFormat="0" applyFont="0" applyAlignment="0" applyProtection="0"/>
    <xf numFmtId="0" fontId="65" fillId="50" borderId="201">
      <protection locked="0"/>
    </xf>
    <xf numFmtId="173" fontId="62" fillId="0" borderId="207"/>
    <xf numFmtId="0" fontId="11" fillId="22" borderId="203" applyNumberFormat="0" applyAlignment="0" applyProtection="0"/>
    <xf numFmtId="0" fontId="23" fillId="0" borderId="206" applyNumberFormat="0" applyFill="0" applyAlignment="0" applyProtection="0"/>
    <xf numFmtId="0" fontId="8" fillId="25" borderId="204" applyNumberFormat="0" applyFont="0" applyAlignment="0" applyProtection="0"/>
    <xf numFmtId="0" fontId="18" fillId="9" borderId="203" applyNumberFormat="0" applyAlignment="0" applyProtection="0"/>
    <xf numFmtId="180" fontId="62" fillId="0" borderId="207"/>
    <xf numFmtId="177" fontId="62" fillId="0" borderId="207"/>
    <xf numFmtId="180" fontId="62" fillId="0" borderId="207"/>
    <xf numFmtId="172" fontId="62" fillId="0" borderId="207"/>
    <xf numFmtId="182" fontId="62" fillId="0" borderId="207"/>
    <xf numFmtId="172" fontId="62" fillId="0" borderId="207"/>
    <xf numFmtId="0" fontId="18" fillId="9" borderId="203" applyNumberFormat="0" applyAlignment="0" applyProtection="0"/>
    <xf numFmtId="0" fontId="18" fillId="9" borderId="203" applyNumberFormat="0" applyAlignment="0" applyProtection="0"/>
    <xf numFmtId="175" fontId="62" fillId="0" borderId="207"/>
    <xf numFmtId="0" fontId="8" fillId="25" borderId="204" applyNumberFormat="0" applyFont="0" applyAlignment="0" applyProtection="0"/>
    <xf numFmtId="182" fontId="62" fillId="0" borderId="207"/>
    <xf numFmtId="175" fontId="62" fillId="0" borderId="207"/>
    <xf numFmtId="0" fontId="21" fillId="22" borderId="205" applyNumberFormat="0" applyAlignment="0" applyProtection="0"/>
    <xf numFmtId="0" fontId="18" fillId="9" borderId="203" applyNumberFormat="0" applyAlignment="0" applyProtection="0"/>
    <xf numFmtId="180" fontId="62" fillId="0" borderId="207"/>
    <xf numFmtId="180" fontId="62" fillId="0" borderId="207"/>
    <xf numFmtId="0" fontId="18" fillId="9" borderId="203" applyNumberFormat="0" applyAlignment="0" applyProtection="0"/>
    <xf numFmtId="181" fontId="62" fillId="0" borderId="207"/>
    <xf numFmtId="0" fontId="8" fillId="25" borderId="204" applyNumberFormat="0" applyFont="0" applyAlignment="0" applyProtection="0"/>
    <xf numFmtId="0" fontId="65" fillId="50" borderId="201">
      <protection locked="0"/>
    </xf>
    <xf numFmtId="0" fontId="11" fillId="22" borderId="203" applyNumberFormat="0" applyAlignment="0" applyProtection="0"/>
    <xf numFmtId="175" fontId="62" fillId="0" borderId="207"/>
    <xf numFmtId="176" fontId="62" fillId="0" borderId="207"/>
    <xf numFmtId="172" fontId="62" fillId="0" borderId="207"/>
    <xf numFmtId="0" fontId="8" fillId="25" borderId="204" applyNumberFormat="0" applyFont="0" applyAlignment="0" applyProtection="0"/>
    <xf numFmtId="0" fontId="11" fillId="22" borderId="203" applyNumberFormat="0" applyAlignment="0" applyProtection="0"/>
    <xf numFmtId="177" fontId="62" fillId="0" borderId="207"/>
    <xf numFmtId="174"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6" fontId="62" fillId="0" borderId="207"/>
    <xf numFmtId="180" fontId="62" fillId="0" borderId="207"/>
    <xf numFmtId="172" fontId="62" fillId="0" borderId="207"/>
    <xf numFmtId="172" fontId="62" fillId="0" borderId="207"/>
    <xf numFmtId="0" fontId="23" fillId="0" borderId="206" applyNumberFormat="0" applyFill="0" applyAlignment="0" applyProtection="0"/>
    <xf numFmtId="180" fontId="62" fillId="0" borderId="207"/>
    <xf numFmtId="172" fontId="62" fillId="0" borderId="207"/>
    <xf numFmtId="172" fontId="62" fillId="0" borderId="207"/>
    <xf numFmtId="180" fontId="62" fillId="0" borderId="207"/>
    <xf numFmtId="175" fontId="62" fillId="0" borderId="207"/>
    <xf numFmtId="175" fontId="62" fillId="0" borderId="207"/>
    <xf numFmtId="180" fontId="62" fillId="0" borderId="207"/>
    <xf numFmtId="180" fontId="62" fillId="0" borderId="207"/>
    <xf numFmtId="180" fontId="62" fillId="0" borderId="207"/>
    <xf numFmtId="172" fontId="62" fillId="0" borderId="207"/>
    <xf numFmtId="174" fontId="62" fillId="0" borderId="207"/>
    <xf numFmtId="172" fontId="62" fillId="0" borderId="207"/>
    <xf numFmtId="180" fontId="62" fillId="0" borderId="207"/>
    <xf numFmtId="0" fontId="18" fillId="9" borderId="203" applyNumberFormat="0" applyAlignment="0" applyProtection="0"/>
    <xf numFmtId="180" fontId="62" fillId="0" borderId="207"/>
    <xf numFmtId="180" fontId="62" fillId="0" borderId="207"/>
    <xf numFmtId="0" fontId="23" fillId="0" borderId="206" applyNumberFormat="0" applyFill="0" applyAlignment="0" applyProtection="0"/>
    <xf numFmtId="172" fontId="62" fillId="0" borderId="207"/>
    <xf numFmtId="0" fontId="8" fillId="25" borderId="204" applyNumberFormat="0" applyFont="0" applyAlignment="0" applyProtection="0"/>
    <xf numFmtId="0" fontId="18" fillId="9" borderId="203" applyNumberFormat="0" applyAlignment="0" applyProtection="0"/>
    <xf numFmtId="172" fontId="62" fillId="0" borderId="207"/>
    <xf numFmtId="180" fontId="62" fillId="0" borderId="207"/>
    <xf numFmtId="0" fontId="8" fillId="25" borderId="204" applyNumberFormat="0" applyFont="0" applyAlignment="0" applyProtection="0"/>
    <xf numFmtId="0" fontId="11" fillId="22" borderId="203" applyNumberFormat="0" applyAlignment="0" applyProtection="0"/>
    <xf numFmtId="172"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2" fontId="62" fillId="0" borderId="207"/>
    <xf numFmtId="181" fontId="62" fillId="0" borderId="207"/>
    <xf numFmtId="175" fontId="62" fillId="0" borderId="207"/>
    <xf numFmtId="175" fontId="62" fillId="0" borderId="207"/>
    <xf numFmtId="174" fontId="62" fillId="0" borderId="207"/>
    <xf numFmtId="180" fontId="62" fillId="0" borderId="207"/>
    <xf numFmtId="173" fontId="62" fillId="0" borderId="207"/>
    <xf numFmtId="0" fontId="21" fillId="22" borderId="205" applyNumberFormat="0" applyAlignment="0" applyProtection="0"/>
    <xf numFmtId="172" fontId="62" fillId="0" borderId="207"/>
    <xf numFmtId="175" fontId="62" fillId="0" borderId="207"/>
    <xf numFmtId="180" fontId="62" fillId="0" borderId="207"/>
    <xf numFmtId="0" fontId="11" fillId="22" borderId="203" applyNumberFormat="0" applyAlignment="0" applyProtection="0"/>
    <xf numFmtId="175" fontId="62" fillId="0" borderId="207"/>
    <xf numFmtId="176" fontId="62" fillId="0" borderId="207"/>
    <xf numFmtId="175" fontId="62" fillId="0" borderId="207"/>
    <xf numFmtId="182" fontId="62" fillId="0" borderId="207"/>
    <xf numFmtId="177" fontId="62" fillId="0" borderId="207"/>
    <xf numFmtId="173"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5" fontId="62" fillId="0" borderId="207"/>
    <xf numFmtId="175" fontId="62" fillId="0" borderId="207"/>
    <xf numFmtId="175" fontId="62" fillId="0" borderId="207"/>
    <xf numFmtId="172" fontId="62" fillId="0" borderId="207"/>
    <xf numFmtId="0" fontId="18" fillId="9" borderId="203" applyNumberFormat="0" applyAlignment="0" applyProtection="0"/>
    <xf numFmtId="175" fontId="62" fillId="0" borderId="207"/>
    <xf numFmtId="172" fontId="62" fillId="0" borderId="207"/>
    <xf numFmtId="180" fontId="62" fillId="0" borderId="207"/>
    <xf numFmtId="174" fontId="62" fillId="0" borderId="207"/>
    <xf numFmtId="174" fontId="62" fillId="0" borderId="207"/>
    <xf numFmtId="172" fontId="62" fillId="0" borderId="207"/>
    <xf numFmtId="174" fontId="62" fillId="0" borderId="207"/>
    <xf numFmtId="175" fontId="62" fillId="0" borderId="207"/>
    <xf numFmtId="177" fontId="62" fillId="0" borderId="207"/>
    <xf numFmtId="172" fontId="62" fillId="0" borderId="207"/>
    <xf numFmtId="0" fontId="11" fillId="22" borderId="203" applyNumberFormat="0" applyAlignment="0" applyProtection="0"/>
    <xf numFmtId="180" fontId="62" fillId="0" borderId="207"/>
    <xf numFmtId="180" fontId="62" fillId="0" borderId="207"/>
    <xf numFmtId="180" fontId="62" fillId="0" borderId="207"/>
    <xf numFmtId="172" fontId="62" fillId="0" borderId="207"/>
    <xf numFmtId="0" fontId="8" fillId="25" borderId="204" applyNumberFormat="0" applyFont="0" applyAlignment="0" applyProtection="0"/>
    <xf numFmtId="172" fontId="62" fillId="0" borderId="207"/>
    <xf numFmtId="181" fontId="62" fillId="0" borderId="207"/>
    <xf numFmtId="175" fontId="62" fillId="0" borderId="207"/>
    <xf numFmtId="176" fontId="62" fillId="0" borderId="207"/>
    <xf numFmtId="0" fontId="18" fillId="9" borderId="203" applyNumberFormat="0" applyAlignment="0" applyProtection="0"/>
    <xf numFmtId="172" fontId="62" fillId="0" borderId="207"/>
    <xf numFmtId="180" fontId="62" fillId="0" borderId="207"/>
    <xf numFmtId="175" fontId="62" fillId="0" borderId="207"/>
    <xf numFmtId="180" fontId="62" fillId="0" borderId="207"/>
    <xf numFmtId="172" fontId="62" fillId="0" borderId="207"/>
    <xf numFmtId="180" fontId="62" fillId="0" borderId="207"/>
    <xf numFmtId="175" fontId="62" fillId="0" borderId="207"/>
    <xf numFmtId="175" fontId="62" fillId="0" borderId="207"/>
    <xf numFmtId="172" fontId="62" fillId="0" borderId="207"/>
    <xf numFmtId="175" fontId="62" fillId="0" borderId="207"/>
    <xf numFmtId="176" fontId="62" fillId="0" borderId="207"/>
    <xf numFmtId="175" fontId="62" fillId="0" borderId="207"/>
    <xf numFmtId="180" fontId="62" fillId="0" borderId="207"/>
    <xf numFmtId="180" fontId="62" fillId="0" borderId="207"/>
    <xf numFmtId="172" fontId="62" fillId="0" borderId="207"/>
    <xf numFmtId="0" fontId="21" fillId="22" borderId="205" applyNumberFormat="0" applyAlignment="0" applyProtection="0"/>
    <xf numFmtId="173" fontId="62" fillId="0" borderId="207"/>
    <xf numFmtId="0" fontId="23" fillId="0" borderId="206" applyNumberFormat="0" applyFill="0" applyAlignment="0" applyProtection="0"/>
    <xf numFmtId="0" fontId="8" fillId="25" borderId="204" applyNumberFormat="0" applyFont="0" applyAlignment="0" applyProtection="0"/>
    <xf numFmtId="0" fontId="65" fillId="50" borderId="201">
      <protection locked="0"/>
    </xf>
    <xf numFmtId="176" fontId="62" fillId="0" borderId="207"/>
    <xf numFmtId="0" fontId="23" fillId="0" borderId="206" applyNumberFormat="0" applyFill="0" applyAlignment="0" applyProtection="0"/>
    <xf numFmtId="175" fontId="62" fillId="0" borderId="207"/>
    <xf numFmtId="0" fontId="21" fillId="22" borderId="205" applyNumberFormat="0" applyAlignment="0" applyProtection="0"/>
    <xf numFmtId="172" fontId="62" fillId="0" borderId="207"/>
    <xf numFmtId="182" fontId="62" fillId="0" borderId="207"/>
    <xf numFmtId="172" fontId="62" fillId="0" borderId="207"/>
    <xf numFmtId="180" fontId="62" fillId="0" borderId="207"/>
    <xf numFmtId="0" fontId="11" fillId="22" borderId="203" applyNumberFormat="0" applyAlignment="0" applyProtection="0"/>
    <xf numFmtId="175" fontId="62" fillId="0" borderId="207"/>
    <xf numFmtId="181" fontId="62" fillId="0" borderId="207"/>
    <xf numFmtId="175" fontId="62" fillId="0" borderId="207"/>
    <xf numFmtId="172" fontId="62" fillId="0" borderId="207"/>
    <xf numFmtId="175" fontId="62" fillId="0" borderId="207"/>
    <xf numFmtId="173" fontId="62" fillId="0" borderId="207"/>
    <xf numFmtId="180" fontId="62" fillId="0" borderId="207"/>
    <xf numFmtId="177" fontId="62" fillId="0" borderId="207"/>
    <xf numFmtId="175" fontId="62" fillId="0" borderId="207"/>
    <xf numFmtId="173" fontId="62" fillId="0" borderId="207"/>
    <xf numFmtId="172" fontId="62" fillId="0" borderId="207"/>
    <xf numFmtId="181" fontId="62" fillId="0" borderId="207"/>
    <xf numFmtId="182" fontId="62" fillId="0" borderId="207"/>
    <xf numFmtId="0" fontId="65" fillId="50" borderId="201">
      <protection locked="0"/>
    </xf>
    <xf numFmtId="180" fontId="62" fillId="0" borderId="207"/>
    <xf numFmtId="180" fontId="62" fillId="0" borderId="207"/>
    <xf numFmtId="180" fontId="62" fillId="0" borderId="207"/>
    <xf numFmtId="172" fontId="62" fillId="0" borderId="207"/>
    <xf numFmtId="180" fontId="62" fillId="0" borderId="207"/>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2" fontId="62" fillId="0" borderId="207"/>
    <xf numFmtId="172" fontId="62" fillId="0" borderId="207"/>
    <xf numFmtId="175" fontId="62" fillId="0" borderId="207"/>
    <xf numFmtId="180" fontId="62" fillId="0" borderId="207"/>
    <xf numFmtId="172" fontId="62" fillId="0" borderId="207"/>
    <xf numFmtId="0" fontId="8" fillId="25" borderId="204" applyNumberFormat="0" applyFont="0" applyAlignment="0" applyProtection="0"/>
    <xf numFmtId="175" fontId="62" fillId="0" borderId="207"/>
    <xf numFmtId="177" fontId="62" fillId="0" borderId="207"/>
    <xf numFmtId="180" fontId="62" fillId="0" borderId="207"/>
    <xf numFmtId="172" fontId="62" fillId="0" borderId="207"/>
    <xf numFmtId="175"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5" fontId="62" fillId="0" borderId="207"/>
    <xf numFmtId="180" fontId="62" fillId="0" borderId="207"/>
    <xf numFmtId="172" fontId="62" fillId="0" borderId="207"/>
    <xf numFmtId="180" fontId="62" fillId="0" borderId="207"/>
    <xf numFmtId="180" fontId="62" fillId="0" borderId="207"/>
    <xf numFmtId="175" fontId="62" fillId="0" borderId="207"/>
    <xf numFmtId="175" fontId="62" fillId="0" borderId="207"/>
    <xf numFmtId="172" fontId="62" fillId="0" borderId="207"/>
    <xf numFmtId="172"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5" fontId="62" fillId="0" borderId="207"/>
    <xf numFmtId="182" fontId="62" fillId="0" borderId="207"/>
    <xf numFmtId="172" fontId="62" fillId="0" borderId="207"/>
    <xf numFmtId="0" fontId="11" fillId="22" borderId="203" applyNumberFormat="0" applyAlignment="0" applyProtection="0"/>
    <xf numFmtId="0" fontId="18" fillId="9" borderId="203" applyNumberFormat="0" applyAlignment="0" applyProtection="0"/>
    <xf numFmtId="182" fontId="62" fillId="0" borderId="207"/>
    <xf numFmtId="181" fontId="62" fillId="0" borderId="207"/>
    <xf numFmtId="180" fontId="62" fillId="0" borderId="207"/>
    <xf numFmtId="172" fontId="62" fillId="0" borderId="207"/>
    <xf numFmtId="176" fontId="62" fillId="0" borderId="207"/>
    <xf numFmtId="177" fontId="62" fillId="0" borderId="207"/>
    <xf numFmtId="176" fontId="62" fillId="0" borderId="207"/>
    <xf numFmtId="175" fontId="62" fillId="0" borderId="207"/>
    <xf numFmtId="177" fontId="62" fillId="0" borderId="207"/>
    <xf numFmtId="181" fontId="62" fillId="0" borderId="207"/>
    <xf numFmtId="174" fontId="62" fillId="0" borderId="207"/>
    <xf numFmtId="0" fontId="11" fillId="22" borderId="203" applyNumberFormat="0" applyAlignment="0" applyProtection="0"/>
    <xf numFmtId="173" fontId="62" fillId="0" borderId="207"/>
    <xf numFmtId="180" fontId="62" fillId="0" borderId="207"/>
    <xf numFmtId="177" fontId="62" fillId="0" borderId="207"/>
    <xf numFmtId="175" fontId="62" fillId="0" borderId="207"/>
    <xf numFmtId="172" fontId="62" fillId="0" borderId="207"/>
    <xf numFmtId="0" fontId="21" fillId="22" borderId="205" applyNumberFormat="0" applyAlignment="0" applyProtection="0"/>
    <xf numFmtId="0" fontId="23" fillId="0" borderId="206" applyNumberFormat="0" applyFill="0" applyAlignment="0" applyProtection="0"/>
    <xf numFmtId="181" fontId="62" fillId="0" borderId="207"/>
    <xf numFmtId="176" fontId="62" fillId="0" borderId="207"/>
    <xf numFmtId="174" fontId="62" fillId="0" borderId="207"/>
    <xf numFmtId="173" fontId="62" fillId="0" borderId="207"/>
    <xf numFmtId="172" fontId="62" fillId="0" borderId="207"/>
    <xf numFmtId="182"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11" fillId="22" borderId="203" applyNumberFormat="0" applyAlignment="0" applyProtection="0"/>
    <xf numFmtId="0" fontId="65" fillId="50" borderId="201">
      <protection locked="0"/>
    </xf>
    <xf numFmtId="0" fontId="11" fillId="22" borderId="203" applyNumberFormat="0" applyAlignment="0" applyProtection="0"/>
    <xf numFmtId="0" fontId="21" fillId="22" borderId="205" applyNumberFormat="0" applyAlignment="0" applyProtection="0"/>
    <xf numFmtId="0" fontId="65" fillId="50" borderId="201">
      <protection locked="0"/>
    </xf>
    <xf numFmtId="174" fontId="62" fillId="0" borderId="207"/>
    <xf numFmtId="173"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23" fillId="0" borderId="206" applyNumberFormat="0" applyFill="0" applyAlignment="0" applyProtection="0"/>
    <xf numFmtId="172" fontId="62" fillId="0" borderId="207"/>
    <xf numFmtId="173"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2" fontId="62" fillId="0" borderId="207"/>
    <xf numFmtId="180" fontId="62" fillId="0" borderId="207"/>
    <xf numFmtId="0" fontId="11" fillId="22" borderId="203" applyNumberFormat="0" applyAlignment="0" applyProtection="0"/>
    <xf numFmtId="0" fontId="65" fillId="50" borderId="201">
      <protection locked="0"/>
    </xf>
    <xf numFmtId="182" fontId="62" fillId="0" borderId="207"/>
    <xf numFmtId="172" fontId="62" fillId="0" borderId="207"/>
    <xf numFmtId="0" fontId="23" fillId="0" borderId="206" applyNumberFormat="0" applyFill="0" applyAlignment="0" applyProtection="0"/>
    <xf numFmtId="180" fontId="62" fillId="0" borderId="207"/>
    <xf numFmtId="0" fontId="65" fillId="50" borderId="201">
      <protection locked="0"/>
    </xf>
    <xf numFmtId="0" fontId="11" fillId="22" borderId="203" applyNumberFormat="0" applyAlignment="0" applyProtection="0"/>
    <xf numFmtId="172" fontId="62" fillId="0" borderId="207"/>
    <xf numFmtId="172" fontId="62" fillId="0" borderId="207"/>
    <xf numFmtId="0" fontId="18" fillId="9" borderId="203" applyNumberFormat="0" applyAlignment="0" applyProtection="0"/>
    <xf numFmtId="173" fontId="62" fillId="0" borderId="207"/>
    <xf numFmtId="172" fontId="62" fillId="0" borderId="207"/>
    <xf numFmtId="175" fontId="62" fillId="0" borderId="207"/>
    <xf numFmtId="172" fontId="62" fillId="0" borderId="207"/>
    <xf numFmtId="175" fontId="62" fillId="0" borderId="207"/>
    <xf numFmtId="176" fontId="62" fillId="0" borderId="207"/>
    <xf numFmtId="177" fontId="62" fillId="0" borderId="207"/>
    <xf numFmtId="0" fontId="8" fillId="25" borderId="204" applyNumberFormat="0" applyFont="0" applyAlignment="0" applyProtection="0"/>
    <xf numFmtId="175" fontId="62" fillId="0" borderId="207"/>
    <xf numFmtId="180" fontId="62" fillId="0" borderId="207"/>
    <xf numFmtId="172" fontId="62" fillId="0" borderId="207"/>
    <xf numFmtId="181" fontId="62" fillId="0" borderId="207"/>
    <xf numFmtId="182" fontId="62" fillId="0" borderId="207"/>
    <xf numFmtId="0" fontId="18" fillId="9" borderId="203" applyNumberFormat="0" applyAlignment="0" applyProtection="0"/>
    <xf numFmtId="180" fontId="62" fillId="0" borderId="207"/>
    <xf numFmtId="180" fontId="62" fillId="0" borderId="207"/>
    <xf numFmtId="175" fontId="62" fillId="0" borderId="207"/>
    <xf numFmtId="172" fontId="62" fillId="0" borderId="207"/>
    <xf numFmtId="176" fontId="62" fillId="0" borderId="207"/>
    <xf numFmtId="172" fontId="62" fillId="0" borderId="207"/>
    <xf numFmtId="172" fontId="62" fillId="0" borderId="207"/>
    <xf numFmtId="175" fontId="62" fillId="0" borderId="207"/>
    <xf numFmtId="175" fontId="62" fillId="0" borderId="207"/>
    <xf numFmtId="172" fontId="62" fillId="0" borderId="207"/>
    <xf numFmtId="0" fontId="18" fillId="9" borderId="203" applyNumberForma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8" fillId="25" borderId="204" applyNumberFormat="0" applyFont="0" applyAlignment="0" applyProtection="0"/>
    <xf numFmtId="174" fontId="62" fillId="0" borderId="207"/>
    <xf numFmtId="175" fontId="62" fillId="0" borderId="207"/>
    <xf numFmtId="180" fontId="62" fillId="0" borderId="207"/>
    <xf numFmtId="0" fontId="11" fillId="22" borderId="203" applyNumberFormat="0" applyAlignment="0" applyProtection="0"/>
    <xf numFmtId="174" fontId="62" fillId="0" borderId="207"/>
    <xf numFmtId="173" fontId="62" fillId="0" borderId="207"/>
    <xf numFmtId="0" fontId="21" fillId="22" borderId="205" applyNumberFormat="0" applyAlignment="0" applyProtection="0"/>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4" fontId="62" fillId="0" borderId="207"/>
    <xf numFmtId="176" fontId="62" fillId="0" borderId="207"/>
    <xf numFmtId="177"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1" fontId="62" fillId="0" borderId="207"/>
    <xf numFmtId="175" fontId="62" fillId="0" borderId="207"/>
    <xf numFmtId="180"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175" fontId="62" fillId="0" borderId="207"/>
    <xf numFmtId="180" fontId="62" fillId="0" borderId="207"/>
    <xf numFmtId="175" fontId="62" fillId="0" borderId="207"/>
    <xf numFmtId="172" fontId="62" fillId="0" borderId="207"/>
    <xf numFmtId="180" fontId="62" fillId="0" borderId="207"/>
    <xf numFmtId="175" fontId="62" fillId="0" borderId="207"/>
    <xf numFmtId="180" fontId="62" fillId="0" borderId="207"/>
    <xf numFmtId="172" fontId="62" fillId="0" borderId="207"/>
    <xf numFmtId="172" fontId="62" fillId="0" borderId="207"/>
    <xf numFmtId="180"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7" fontId="62" fillId="0" borderId="207"/>
    <xf numFmtId="0" fontId="11" fillId="22" borderId="203" applyNumberFormat="0" applyAlignment="0" applyProtection="0"/>
    <xf numFmtId="181" fontId="62" fillId="0" borderId="207"/>
    <xf numFmtId="180" fontId="62" fillId="0" borderId="207"/>
    <xf numFmtId="172" fontId="62" fillId="0" borderId="207"/>
    <xf numFmtId="172" fontId="62" fillId="0" borderId="207"/>
    <xf numFmtId="175" fontId="62" fillId="0" borderId="207"/>
    <xf numFmtId="175" fontId="62" fillId="0" borderId="207"/>
    <xf numFmtId="172" fontId="62" fillId="0" borderId="207"/>
    <xf numFmtId="0" fontId="23" fillId="0" borderId="206" applyNumberFormat="0" applyFill="0" applyAlignment="0" applyProtection="0"/>
    <xf numFmtId="175" fontId="62" fillId="0" borderId="207"/>
    <xf numFmtId="0" fontId="18" fillId="9" borderId="203" applyNumberFormat="0" applyAlignment="0" applyProtection="0"/>
    <xf numFmtId="0" fontId="21" fillId="22" borderId="205" applyNumberFormat="0" applyAlignment="0" applyProtection="0"/>
    <xf numFmtId="0" fontId="8" fillId="25" borderId="204" applyNumberFormat="0" applyFont="0" applyAlignment="0" applyProtection="0"/>
    <xf numFmtId="0" fontId="65" fillId="50" borderId="201">
      <protection locked="0"/>
    </xf>
    <xf numFmtId="180" fontId="62" fillId="0" borderId="207"/>
    <xf numFmtId="0" fontId="11" fillId="22" borderId="203" applyNumberFormat="0" applyAlignment="0" applyProtection="0"/>
    <xf numFmtId="0" fontId="18" fillId="9" borderId="203" applyNumberFormat="0" applyAlignment="0" applyProtection="0"/>
    <xf numFmtId="175" fontId="62" fillId="0" borderId="207"/>
    <xf numFmtId="172" fontId="62" fillId="0" borderId="207"/>
    <xf numFmtId="180" fontId="62" fillId="0" borderId="207"/>
    <xf numFmtId="175" fontId="62" fillId="0" borderId="207"/>
    <xf numFmtId="172" fontId="62" fillId="0" borderId="207"/>
    <xf numFmtId="173" fontId="62" fillId="0" borderId="207"/>
    <xf numFmtId="172" fontId="62" fillId="0" borderId="207"/>
    <xf numFmtId="175" fontId="62" fillId="0" borderId="207"/>
    <xf numFmtId="180" fontId="62" fillId="0" borderId="207"/>
    <xf numFmtId="172" fontId="62" fillId="0" borderId="207"/>
    <xf numFmtId="180" fontId="62" fillId="0" borderId="207"/>
    <xf numFmtId="0" fontId="11" fillId="22" borderId="203" applyNumberFormat="0" applyAlignment="0" applyProtection="0"/>
    <xf numFmtId="182" fontId="62" fillId="0" borderId="207"/>
    <xf numFmtId="176" fontId="62" fillId="0" borderId="207"/>
    <xf numFmtId="180"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23" fillId="0" borderId="206" applyNumberFormat="0" applyFill="0" applyAlignment="0" applyProtection="0"/>
    <xf numFmtId="180" fontId="62" fillId="0" borderId="207"/>
    <xf numFmtId="180" fontId="62" fillId="0" borderId="207"/>
    <xf numFmtId="175" fontId="62" fillId="0" borderId="207"/>
    <xf numFmtId="174" fontId="62" fillId="0" borderId="207"/>
    <xf numFmtId="0" fontId="8" fillId="25" borderId="204" applyNumberFormat="0" applyFont="0" applyAlignment="0" applyProtection="0"/>
    <xf numFmtId="175"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80" fontId="62" fillId="0" borderId="207"/>
    <xf numFmtId="175"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23" fillId="0" borderId="206" applyNumberFormat="0" applyFill="0" applyAlignment="0" applyProtection="0"/>
    <xf numFmtId="0" fontId="18" fillId="9" borderId="203" applyNumberFormat="0" applyAlignment="0" applyProtection="0"/>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1" fillId="22" borderId="205" applyNumberForma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0" fontId="62" fillId="0" borderId="207"/>
    <xf numFmtId="181" fontId="62" fillId="0" borderId="207"/>
    <xf numFmtId="172" fontId="62" fillId="0" borderId="207"/>
    <xf numFmtId="175" fontId="62" fillId="0" borderId="207"/>
    <xf numFmtId="175" fontId="62" fillId="0" borderId="207"/>
    <xf numFmtId="177" fontId="62" fillId="0" borderId="207"/>
    <xf numFmtId="172"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11" fillId="22"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1" fillId="22" borderId="205" applyNumberFormat="0" applyAlignment="0" applyProtection="0"/>
    <xf numFmtId="0" fontId="18" fillId="9" borderId="203" applyNumberFormat="0" applyAlignment="0" applyProtection="0"/>
    <xf numFmtId="0" fontId="8" fillId="25" borderId="204" applyNumberFormat="0" applyFont="0" applyAlignment="0" applyProtection="0"/>
    <xf numFmtId="176" fontId="62" fillId="0" borderId="207"/>
    <xf numFmtId="180" fontId="62" fillId="0" borderId="207"/>
    <xf numFmtId="172" fontId="62" fillId="0" borderId="207"/>
    <xf numFmtId="173" fontId="62" fillId="0" borderId="207"/>
    <xf numFmtId="174" fontId="62" fillId="0" borderId="207"/>
    <xf numFmtId="0" fontId="8" fillId="25" borderId="204" applyNumberFormat="0" applyFont="0" applyAlignment="0" applyProtection="0"/>
    <xf numFmtId="175" fontId="62" fillId="0" borderId="207"/>
    <xf numFmtId="176" fontId="62" fillId="0" borderId="207"/>
    <xf numFmtId="177" fontId="62" fillId="0" borderId="207"/>
    <xf numFmtId="176" fontId="62" fillId="0" borderId="207"/>
    <xf numFmtId="180" fontId="62" fillId="0" borderId="207"/>
    <xf numFmtId="181" fontId="62" fillId="0" borderId="207"/>
    <xf numFmtId="182" fontId="62" fillId="0" borderId="207"/>
    <xf numFmtId="175" fontId="62" fillId="0" borderId="207"/>
    <xf numFmtId="172" fontId="62" fillId="0" borderId="207"/>
    <xf numFmtId="0" fontId="65" fillId="50" borderId="201">
      <protection locked="0"/>
    </xf>
    <xf numFmtId="0" fontId="11" fillId="22" borderId="203" applyNumberFormat="0" applyAlignment="0" applyProtection="0"/>
    <xf numFmtId="0" fontId="8" fillId="25" borderId="204" applyNumberFormat="0" applyFont="0" applyAlignment="0" applyProtection="0"/>
    <xf numFmtId="0" fontId="11" fillId="22" borderId="203" applyNumberFormat="0" applyAlignment="0" applyProtection="0"/>
    <xf numFmtId="182" fontId="62" fillId="0" borderId="207"/>
    <xf numFmtId="0" fontId="65" fillId="50" borderId="201">
      <protection locked="0"/>
    </xf>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174" fontId="62" fillId="0" borderId="207"/>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3" fontId="62" fillId="0" borderId="207"/>
    <xf numFmtId="174" fontId="62" fillId="0" borderId="207"/>
    <xf numFmtId="0" fontId="18" fillId="9" borderId="203" applyNumberFormat="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7" fontId="62" fillId="0" borderId="207"/>
    <xf numFmtId="172" fontId="62" fillId="0" borderId="207"/>
    <xf numFmtId="173" fontId="62" fillId="0" borderId="207"/>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175" fontId="62" fillId="0" borderId="207"/>
    <xf numFmtId="180"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172" fontId="62" fillId="0" borderId="207"/>
    <xf numFmtId="180" fontId="62" fillId="0" borderId="207"/>
    <xf numFmtId="175" fontId="62" fillId="0" borderId="207"/>
    <xf numFmtId="175" fontId="62" fillId="0" borderId="207"/>
    <xf numFmtId="180" fontId="62" fillId="0" borderId="207"/>
    <xf numFmtId="172"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65" fillId="50" borderId="201">
      <protection locked="0"/>
    </xf>
    <xf numFmtId="172" fontId="62" fillId="0" borderId="207"/>
    <xf numFmtId="182" fontId="62" fillId="0" borderId="207"/>
    <xf numFmtId="175" fontId="62" fillId="0" borderId="207"/>
    <xf numFmtId="177" fontId="62" fillId="0" borderId="207"/>
    <xf numFmtId="174" fontId="62" fillId="0" borderId="207"/>
    <xf numFmtId="173" fontId="62" fillId="0" borderId="207"/>
    <xf numFmtId="180"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180" fontId="62" fillId="0" borderId="207"/>
    <xf numFmtId="181"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2" fontId="62" fillId="0" borderId="207"/>
    <xf numFmtId="175" fontId="62" fillId="0" borderId="207"/>
    <xf numFmtId="180" fontId="62" fillId="0" borderId="207"/>
    <xf numFmtId="0" fontId="65" fillId="50" borderId="201">
      <protection locked="0"/>
    </xf>
    <xf numFmtId="0" fontId="65" fillId="50" borderId="201">
      <protection locked="0"/>
    </xf>
    <xf numFmtId="0" fontId="11" fillId="22" borderId="203" applyNumberFormat="0" applyAlignment="0" applyProtection="0"/>
    <xf numFmtId="175" fontId="62" fillId="0" borderId="207"/>
    <xf numFmtId="172" fontId="62" fillId="0" borderId="207"/>
    <xf numFmtId="175" fontId="62" fillId="0" borderId="207"/>
    <xf numFmtId="175" fontId="62" fillId="0" borderId="207"/>
    <xf numFmtId="0" fontId="21" fillId="22" borderId="205" applyNumberFormat="0" applyAlignment="0" applyProtection="0"/>
    <xf numFmtId="180" fontId="62" fillId="0" borderId="207"/>
    <xf numFmtId="175" fontId="62" fillId="0" borderId="207"/>
    <xf numFmtId="0" fontId="65" fillId="50" borderId="201">
      <protection locked="0"/>
    </xf>
    <xf numFmtId="0" fontId="21" fillId="22" borderId="205" applyNumberFormat="0" applyAlignment="0" applyProtection="0"/>
    <xf numFmtId="0" fontId="8" fillId="25" borderId="204" applyNumberFormat="0" applyFont="0" applyAlignment="0" applyProtection="0"/>
    <xf numFmtId="172" fontId="62" fillId="0" borderId="207"/>
    <xf numFmtId="0" fontId="8" fillId="25" borderId="204" applyNumberFormat="0" applyFont="0" applyAlignment="0" applyProtection="0"/>
    <xf numFmtId="174" fontId="62" fillId="0" borderId="207"/>
    <xf numFmtId="0" fontId="23" fillId="0" borderId="206" applyNumberFormat="0" applyFill="0" applyAlignment="0" applyProtection="0"/>
    <xf numFmtId="176" fontId="62" fillId="0" borderId="207"/>
    <xf numFmtId="175" fontId="62" fillId="0" borderId="207"/>
    <xf numFmtId="0" fontId="23" fillId="0" borderId="206" applyNumberFormat="0" applyFill="0" applyAlignment="0" applyProtection="0"/>
    <xf numFmtId="182" fontId="62" fillId="0" borderId="207"/>
    <xf numFmtId="175" fontId="62" fillId="0" borderId="207"/>
    <xf numFmtId="175" fontId="62" fillId="0" borderId="207"/>
    <xf numFmtId="0" fontId="18" fillId="9" borderId="203" applyNumberFormat="0" applyAlignment="0" applyProtection="0"/>
    <xf numFmtId="0" fontId="21" fillId="22" borderId="205" applyNumberFormat="0" applyAlignment="0" applyProtection="0"/>
    <xf numFmtId="172" fontId="62" fillId="0" borderId="207"/>
    <xf numFmtId="0" fontId="8" fillId="25" borderId="204" applyNumberFormat="0" applyFont="0" applyAlignment="0" applyProtection="0"/>
    <xf numFmtId="173" fontId="62" fillId="0" borderId="207"/>
    <xf numFmtId="177" fontId="62" fillId="0" borderId="207"/>
    <xf numFmtId="0" fontId="23" fillId="0" borderId="206" applyNumberFormat="0" applyFill="0" applyAlignment="0" applyProtection="0"/>
    <xf numFmtId="0" fontId="8" fillId="25" borderId="204" applyNumberFormat="0" applyFont="0" applyAlignment="0" applyProtection="0"/>
    <xf numFmtId="176" fontId="62" fillId="0" borderId="207"/>
    <xf numFmtId="172" fontId="62" fillId="0" borderId="207"/>
    <xf numFmtId="180" fontId="62" fillId="0" borderId="207"/>
    <xf numFmtId="0" fontId="18" fillId="9" borderId="203" applyNumberFormat="0" applyAlignment="0" applyProtection="0"/>
    <xf numFmtId="172" fontId="62" fillId="0" borderId="207"/>
    <xf numFmtId="0" fontId="21" fillId="22" borderId="205" applyNumberFormat="0" applyAlignment="0" applyProtection="0"/>
    <xf numFmtId="180" fontId="62" fillId="0" borderId="207"/>
    <xf numFmtId="172" fontId="62" fillId="0" borderId="207"/>
    <xf numFmtId="180" fontId="62" fillId="0" borderId="207"/>
    <xf numFmtId="175" fontId="62" fillId="0" borderId="207"/>
    <xf numFmtId="173" fontId="62" fillId="0" borderId="207"/>
    <xf numFmtId="172" fontId="62" fillId="0" borderId="207"/>
    <xf numFmtId="175" fontId="62" fillId="0" borderId="207"/>
    <xf numFmtId="174" fontId="62" fillId="0" borderId="207"/>
    <xf numFmtId="181" fontId="62" fillId="0" borderId="207"/>
    <xf numFmtId="180" fontId="62" fillId="0" borderId="207"/>
    <xf numFmtId="175" fontId="62" fillId="0" borderId="207"/>
    <xf numFmtId="172" fontId="62" fillId="0" borderId="207"/>
    <xf numFmtId="180" fontId="62" fillId="0" borderId="207"/>
    <xf numFmtId="175" fontId="62" fillId="0" borderId="207"/>
    <xf numFmtId="172" fontId="62" fillId="0" borderId="207"/>
    <xf numFmtId="180" fontId="62" fillId="0" borderId="207"/>
    <xf numFmtId="180" fontId="62" fillId="0" borderId="207"/>
    <xf numFmtId="181" fontId="62" fillId="0" borderId="207"/>
    <xf numFmtId="177" fontId="62" fillId="0" borderId="207"/>
    <xf numFmtId="172" fontId="62" fillId="0" borderId="207"/>
    <xf numFmtId="0" fontId="23" fillId="0" borderId="206" applyNumberFormat="0" applyFill="0" applyAlignment="0" applyProtection="0"/>
    <xf numFmtId="0" fontId="11" fillId="22" borderId="203" applyNumberFormat="0" applyAlignment="0" applyProtection="0"/>
    <xf numFmtId="172" fontId="62" fillId="0" borderId="207"/>
    <xf numFmtId="174" fontId="62" fillId="0" borderId="207"/>
    <xf numFmtId="172" fontId="62" fillId="0" borderId="207"/>
    <xf numFmtId="175" fontId="62" fillId="0" borderId="207"/>
    <xf numFmtId="180" fontId="62" fillId="0" borderId="207"/>
    <xf numFmtId="172" fontId="62" fillId="0" borderId="207"/>
    <xf numFmtId="0" fontId="18" fillId="9" borderId="203" applyNumberFormat="0" applyAlignment="0" applyProtection="0"/>
    <xf numFmtId="174" fontId="62" fillId="0" borderId="207"/>
    <xf numFmtId="0" fontId="11" fillId="22" borderId="203" applyNumberFormat="0" applyAlignment="0" applyProtection="0"/>
    <xf numFmtId="182" fontId="62" fillId="0" borderId="207"/>
    <xf numFmtId="172" fontId="62" fillId="0" borderId="207"/>
    <xf numFmtId="173" fontId="62" fillId="0" borderId="207"/>
    <xf numFmtId="175" fontId="62" fillId="0" borderId="207"/>
    <xf numFmtId="176" fontId="62" fillId="0" borderId="207"/>
    <xf numFmtId="175" fontId="62" fillId="0" borderId="207"/>
    <xf numFmtId="175" fontId="62" fillId="0" borderId="207"/>
    <xf numFmtId="0" fontId="11" fillId="22" borderId="203" applyNumberFormat="0" applyAlignment="0" applyProtection="0"/>
    <xf numFmtId="172" fontId="62" fillId="0" borderId="207"/>
    <xf numFmtId="175" fontId="62" fillId="0" borderId="207"/>
    <xf numFmtId="182" fontId="62" fillId="0" borderId="207"/>
    <xf numFmtId="172"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172" fontId="62" fillId="0" borderId="207"/>
    <xf numFmtId="180" fontId="62" fillId="0" borderId="207"/>
    <xf numFmtId="180" fontId="62" fillId="0" borderId="207"/>
    <xf numFmtId="0" fontId="65" fillId="50" borderId="201">
      <protection locked="0"/>
    </xf>
    <xf numFmtId="0" fontId="8" fillId="25" borderId="204" applyNumberFormat="0" applyFont="0" applyAlignment="0" applyProtection="0"/>
    <xf numFmtId="180" fontId="62" fillId="0" borderId="207"/>
    <xf numFmtId="177" fontId="62" fillId="0" borderId="207"/>
    <xf numFmtId="172" fontId="62" fillId="0" borderId="207"/>
    <xf numFmtId="0" fontId="11" fillId="22" borderId="203" applyNumberFormat="0" applyAlignment="0" applyProtection="0"/>
    <xf numFmtId="180" fontId="62" fillId="0" borderId="196"/>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0" fontId="21" fillId="22" borderId="205" applyNumberFormat="0" applyAlignment="0" applyProtection="0"/>
    <xf numFmtId="175" fontId="62" fillId="0" borderId="207"/>
    <xf numFmtId="175" fontId="62" fillId="0" borderId="207"/>
    <xf numFmtId="173" fontId="62" fillId="0" borderId="207"/>
    <xf numFmtId="175" fontId="62" fillId="0" borderId="207"/>
    <xf numFmtId="180" fontId="62" fillId="0" borderId="207"/>
    <xf numFmtId="180" fontId="62" fillId="0" borderId="207"/>
    <xf numFmtId="172" fontId="62" fillId="0" borderId="207"/>
    <xf numFmtId="175" fontId="62" fillId="0" borderId="207"/>
    <xf numFmtId="180" fontId="62" fillId="0" borderId="207"/>
    <xf numFmtId="172" fontId="62" fillId="0" borderId="207"/>
    <xf numFmtId="174" fontId="62" fillId="0" borderId="207"/>
    <xf numFmtId="180" fontId="62" fillId="0" borderId="207"/>
    <xf numFmtId="0" fontId="23" fillId="0" borderId="206" applyNumberFormat="0" applyFill="0" applyAlignment="0" applyProtection="0"/>
    <xf numFmtId="175" fontId="62" fillId="0" borderId="207"/>
    <xf numFmtId="175" fontId="62" fillId="0" borderId="207"/>
    <xf numFmtId="180" fontId="62" fillId="0" borderId="207"/>
    <xf numFmtId="172" fontId="62" fillId="0" borderId="207"/>
    <xf numFmtId="0" fontId="18" fillId="9" borderId="203" applyNumberFormat="0" applyAlignment="0" applyProtection="0"/>
    <xf numFmtId="177" fontId="62" fillId="0" borderId="207"/>
    <xf numFmtId="176" fontId="62" fillId="0" borderId="207"/>
    <xf numFmtId="181" fontId="62" fillId="0" borderId="207"/>
    <xf numFmtId="176" fontId="62" fillId="0" borderId="207"/>
    <xf numFmtId="181" fontId="62" fillId="0" borderId="207"/>
    <xf numFmtId="173" fontId="62" fillId="0" borderId="207"/>
    <xf numFmtId="0" fontId="65" fillId="50" borderId="201">
      <protection locked="0"/>
    </xf>
    <xf numFmtId="181" fontId="62" fillId="0" borderId="207"/>
    <xf numFmtId="182" fontId="62" fillId="0" borderId="207"/>
    <xf numFmtId="0" fontId="65" fillId="50" borderId="201">
      <protection locked="0"/>
    </xf>
    <xf numFmtId="175" fontId="62" fillId="0" borderId="207"/>
    <xf numFmtId="182" fontId="62" fillId="0" borderId="207"/>
    <xf numFmtId="177" fontId="62" fillId="0" borderId="207"/>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0" fontId="62" fillId="0" borderId="207"/>
    <xf numFmtId="172" fontId="62" fillId="0" borderId="207"/>
    <xf numFmtId="175" fontId="62" fillId="0" borderId="207"/>
    <xf numFmtId="180" fontId="62" fillId="0" borderId="207"/>
    <xf numFmtId="180" fontId="62" fillId="0" borderId="207"/>
    <xf numFmtId="180" fontId="62" fillId="0" borderId="207"/>
    <xf numFmtId="175" fontId="62" fillId="0" borderId="207"/>
    <xf numFmtId="180" fontId="62" fillId="0" borderId="207"/>
    <xf numFmtId="180" fontId="62" fillId="0" borderId="207"/>
    <xf numFmtId="175" fontId="62" fillId="0" borderId="207"/>
    <xf numFmtId="175" fontId="62" fillId="0" borderId="207"/>
    <xf numFmtId="0" fontId="21" fillId="22" borderId="205" applyNumberFormat="0" applyAlignment="0" applyProtection="0"/>
    <xf numFmtId="175" fontId="62" fillId="0" borderId="207"/>
    <xf numFmtId="0" fontId="23" fillId="0" borderId="206" applyNumberFormat="0" applyFill="0" applyAlignment="0" applyProtection="0"/>
    <xf numFmtId="172" fontId="62" fillId="0" borderId="207"/>
    <xf numFmtId="172" fontId="62" fillId="0" borderId="207"/>
    <xf numFmtId="175" fontId="62" fillId="0" borderId="207"/>
    <xf numFmtId="176" fontId="62" fillId="0" borderId="207"/>
    <xf numFmtId="0" fontId="18" fillId="9" borderId="203" applyNumberFormat="0" applyAlignment="0" applyProtection="0"/>
    <xf numFmtId="172" fontId="62" fillId="0" borderId="207"/>
    <xf numFmtId="0" fontId="21" fillId="22" borderId="205" applyNumberFormat="0" applyAlignment="0" applyProtection="0"/>
    <xf numFmtId="174" fontId="62" fillId="0" borderId="207"/>
    <xf numFmtId="172" fontId="62" fillId="0" borderId="207"/>
    <xf numFmtId="0" fontId="18" fillId="9" borderId="203" applyNumberFormat="0" applyAlignment="0" applyProtection="0"/>
    <xf numFmtId="177" fontId="62" fillId="0" borderId="207"/>
    <xf numFmtId="0" fontId="11" fillId="22" borderId="203" applyNumberFormat="0" applyAlignment="0" applyProtection="0"/>
    <xf numFmtId="172" fontId="62" fillId="0" borderId="207"/>
    <xf numFmtId="172" fontId="62" fillId="0" borderId="207"/>
    <xf numFmtId="180" fontId="62" fillId="0" borderId="207"/>
    <xf numFmtId="0" fontId="65" fillId="50" borderId="201">
      <protection locked="0"/>
    </xf>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6" fontId="62" fillId="0" borderId="207"/>
    <xf numFmtId="180" fontId="62" fillId="0" borderId="207"/>
    <xf numFmtId="172" fontId="62" fillId="0" borderId="207"/>
    <xf numFmtId="172" fontId="62" fillId="0" borderId="207"/>
    <xf numFmtId="0" fontId="23" fillId="0" borderId="206" applyNumberFormat="0" applyFill="0" applyAlignment="0" applyProtection="0"/>
    <xf numFmtId="180" fontId="62" fillId="0" borderId="207"/>
    <xf numFmtId="172" fontId="62" fillId="0" borderId="207"/>
    <xf numFmtId="172" fontId="62" fillId="0" borderId="207"/>
    <xf numFmtId="180" fontId="62" fillId="0" borderId="207"/>
    <xf numFmtId="175" fontId="62" fillId="0" borderId="207"/>
    <xf numFmtId="175" fontId="62" fillId="0" borderId="207"/>
    <xf numFmtId="180" fontId="62" fillId="0" borderId="207"/>
    <xf numFmtId="180" fontId="62" fillId="0" borderId="207"/>
    <xf numFmtId="180" fontId="62" fillId="0" borderId="207"/>
    <xf numFmtId="172" fontId="62" fillId="0" borderId="207"/>
    <xf numFmtId="174" fontId="62" fillId="0" borderId="207"/>
    <xf numFmtId="172" fontId="62" fillId="0" borderId="207"/>
    <xf numFmtId="180" fontId="62" fillId="0" borderId="207"/>
    <xf numFmtId="0" fontId="18" fillId="9" borderId="203" applyNumberFormat="0" applyAlignment="0" applyProtection="0"/>
    <xf numFmtId="180" fontId="62" fillId="0" borderId="207"/>
    <xf numFmtId="180" fontId="62" fillId="0" borderId="207"/>
    <xf numFmtId="0" fontId="23" fillId="0" borderId="206" applyNumberFormat="0" applyFill="0" applyAlignment="0" applyProtection="0"/>
    <xf numFmtId="172" fontId="62" fillId="0" borderId="207"/>
    <xf numFmtId="0" fontId="8" fillId="25" borderId="204" applyNumberFormat="0" applyFont="0" applyAlignment="0" applyProtection="0"/>
    <xf numFmtId="0" fontId="18" fillId="9" borderId="203" applyNumberFormat="0" applyAlignment="0" applyProtection="0"/>
    <xf numFmtId="172" fontId="62" fillId="0" borderId="207"/>
    <xf numFmtId="180" fontId="62" fillId="0" borderId="207"/>
    <xf numFmtId="0" fontId="8" fillId="25" borderId="204" applyNumberFormat="0" applyFont="0" applyAlignment="0" applyProtection="0"/>
    <xf numFmtId="0" fontId="11" fillId="22" borderId="203" applyNumberFormat="0" applyAlignment="0" applyProtection="0"/>
    <xf numFmtId="172" fontId="62" fillId="0" borderId="207"/>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2" fontId="62" fillId="0" borderId="207"/>
    <xf numFmtId="181" fontId="62" fillId="0" borderId="207"/>
    <xf numFmtId="175" fontId="62" fillId="0" borderId="207"/>
    <xf numFmtId="175" fontId="62" fillId="0" borderId="207"/>
    <xf numFmtId="174" fontId="62" fillId="0" borderId="207"/>
    <xf numFmtId="180" fontId="62" fillId="0" borderId="207"/>
    <xf numFmtId="173" fontId="62" fillId="0" borderId="207"/>
    <xf numFmtId="0" fontId="21" fillId="22" borderId="205" applyNumberFormat="0" applyAlignment="0" applyProtection="0"/>
    <xf numFmtId="172" fontId="62" fillId="0" borderId="207"/>
    <xf numFmtId="175" fontId="62" fillId="0" borderId="207"/>
    <xf numFmtId="180" fontId="62" fillId="0" borderId="207"/>
    <xf numFmtId="0" fontId="11" fillId="22" borderId="203" applyNumberFormat="0" applyAlignment="0" applyProtection="0"/>
    <xf numFmtId="175" fontId="62" fillId="0" borderId="207"/>
    <xf numFmtId="176" fontId="62" fillId="0" borderId="207"/>
    <xf numFmtId="175" fontId="62" fillId="0" borderId="207"/>
    <xf numFmtId="182" fontId="62" fillId="0" borderId="207"/>
    <xf numFmtId="177" fontId="62" fillId="0" borderId="207"/>
    <xf numFmtId="173"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5" fontId="62" fillId="0" borderId="207"/>
    <xf numFmtId="175" fontId="62" fillId="0" borderId="207"/>
    <xf numFmtId="175" fontId="62" fillId="0" borderId="207"/>
    <xf numFmtId="172" fontId="62" fillId="0" borderId="207"/>
    <xf numFmtId="0" fontId="18" fillId="9" borderId="203" applyNumberFormat="0" applyAlignment="0" applyProtection="0"/>
    <xf numFmtId="175" fontId="62" fillId="0" borderId="207"/>
    <xf numFmtId="172" fontId="62" fillId="0" borderId="207"/>
    <xf numFmtId="180" fontId="62" fillId="0" borderId="207"/>
    <xf numFmtId="174" fontId="62" fillId="0" borderId="207"/>
    <xf numFmtId="174" fontId="62" fillId="0" borderId="207"/>
    <xf numFmtId="172" fontId="62" fillId="0" borderId="207"/>
    <xf numFmtId="174" fontId="62" fillId="0" borderId="207"/>
    <xf numFmtId="175" fontId="62" fillId="0" borderId="207"/>
    <xf numFmtId="177" fontId="62" fillId="0" borderId="207"/>
    <xf numFmtId="172" fontId="62" fillId="0" borderId="207"/>
    <xf numFmtId="0" fontId="11" fillId="22" borderId="203" applyNumberFormat="0" applyAlignment="0" applyProtection="0"/>
    <xf numFmtId="180" fontId="62" fillId="0" borderId="207"/>
    <xf numFmtId="180" fontId="62" fillId="0" borderId="207"/>
    <xf numFmtId="180" fontId="62" fillId="0" borderId="207"/>
    <xf numFmtId="172" fontId="62" fillId="0" borderId="207"/>
    <xf numFmtId="0" fontId="8" fillId="25" borderId="204" applyNumberFormat="0" applyFont="0" applyAlignment="0" applyProtection="0"/>
    <xf numFmtId="172" fontId="62" fillId="0" borderId="207"/>
    <xf numFmtId="181" fontId="62" fillId="0" borderId="207"/>
    <xf numFmtId="175" fontId="62" fillId="0" borderId="207"/>
    <xf numFmtId="176" fontId="62" fillId="0" borderId="207"/>
    <xf numFmtId="0" fontId="18" fillId="9" borderId="203" applyNumberFormat="0" applyAlignment="0" applyProtection="0"/>
    <xf numFmtId="172" fontId="62" fillId="0" borderId="207"/>
    <xf numFmtId="180" fontId="62" fillId="0" borderId="207"/>
    <xf numFmtId="175" fontId="62" fillId="0" borderId="207"/>
    <xf numFmtId="180" fontId="62" fillId="0" borderId="207"/>
    <xf numFmtId="172" fontId="62" fillId="0" borderId="207"/>
    <xf numFmtId="180" fontId="62" fillId="0" borderId="207"/>
    <xf numFmtId="175" fontId="62" fillId="0" borderId="207"/>
    <xf numFmtId="175" fontId="62" fillId="0" borderId="207"/>
    <xf numFmtId="172" fontId="62" fillId="0" borderId="207"/>
    <xf numFmtId="175" fontId="62" fillId="0" borderId="207"/>
    <xf numFmtId="176" fontId="62" fillId="0" borderId="207"/>
    <xf numFmtId="175" fontId="62" fillId="0" borderId="207"/>
    <xf numFmtId="180" fontId="62" fillId="0" borderId="207"/>
    <xf numFmtId="180" fontId="62" fillId="0" borderId="207"/>
    <xf numFmtId="172" fontId="62" fillId="0" borderId="207"/>
    <xf numFmtId="0" fontId="21" fillId="22" borderId="205" applyNumberFormat="0" applyAlignment="0" applyProtection="0"/>
    <xf numFmtId="173" fontId="62" fillId="0" borderId="207"/>
    <xf numFmtId="0" fontId="23" fillId="0" borderId="206" applyNumberFormat="0" applyFill="0" applyAlignment="0" applyProtection="0"/>
    <xf numFmtId="0" fontId="8" fillId="25" borderId="204" applyNumberFormat="0" applyFont="0" applyAlignment="0" applyProtection="0"/>
    <xf numFmtId="0" fontId="65" fillId="50" borderId="201">
      <protection locked="0"/>
    </xf>
    <xf numFmtId="176" fontId="62" fillId="0" borderId="207"/>
    <xf numFmtId="0" fontId="23" fillId="0" borderId="206" applyNumberFormat="0" applyFill="0" applyAlignment="0" applyProtection="0"/>
    <xf numFmtId="175" fontId="62" fillId="0" borderId="207"/>
    <xf numFmtId="0" fontId="21" fillId="22" borderId="205" applyNumberFormat="0" applyAlignment="0" applyProtection="0"/>
    <xf numFmtId="172" fontId="62" fillId="0" borderId="207"/>
    <xf numFmtId="182" fontId="62" fillId="0" borderId="207"/>
    <xf numFmtId="172" fontId="62" fillId="0" borderId="207"/>
    <xf numFmtId="180" fontId="62" fillId="0" borderId="207"/>
    <xf numFmtId="0" fontId="11" fillId="22" borderId="203" applyNumberFormat="0" applyAlignment="0" applyProtection="0"/>
    <xf numFmtId="175" fontId="62" fillId="0" borderId="207"/>
    <xf numFmtId="181" fontId="62" fillId="0" borderId="207"/>
    <xf numFmtId="175" fontId="62" fillId="0" borderId="207"/>
    <xf numFmtId="172" fontId="62" fillId="0" borderId="207"/>
    <xf numFmtId="175" fontId="62" fillId="0" borderId="207"/>
    <xf numFmtId="173" fontId="62" fillId="0" borderId="207"/>
    <xf numFmtId="180" fontId="62" fillId="0" borderId="207"/>
    <xf numFmtId="177" fontId="62" fillId="0" borderId="207"/>
    <xf numFmtId="175" fontId="62" fillId="0" borderId="207"/>
    <xf numFmtId="173" fontId="62" fillId="0" borderId="207"/>
    <xf numFmtId="172" fontId="62" fillId="0" borderId="207"/>
    <xf numFmtId="181" fontId="62" fillId="0" borderId="207"/>
    <xf numFmtId="182" fontId="62" fillId="0" borderId="207"/>
    <xf numFmtId="0" fontId="65" fillId="50" borderId="201">
      <protection locked="0"/>
    </xf>
    <xf numFmtId="180" fontId="62" fillId="0" borderId="207"/>
    <xf numFmtId="180" fontId="62" fillId="0" borderId="207"/>
    <xf numFmtId="180" fontId="62" fillId="0" borderId="207"/>
    <xf numFmtId="172" fontId="62" fillId="0" borderId="207"/>
    <xf numFmtId="180" fontId="62" fillId="0" borderId="207"/>
    <xf numFmtId="0" fontId="21" fillId="22" borderId="205" applyNumberFormat="0" applyAlignment="0" applyProtection="0"/>
    <xf numFmtId="0" fontId="23" fillId="0" borderId="206" applyNumberFormat="0" applyFill="0" applyAlignment="0" applyProtection="0"/>
    <xf numFmtId="0" fontId="8" fillId="25" borderId="204" applyNumberFormat="0" applyFont="0" applyAlignment="0" applyProtection="0"/>
    <xf numFmtId="182" fontId="62" fillId="0" borderId="207"/>
    <xf numFmtId="172" fontId="62" fillId="0" borderId="207"/>
    <xf numFmtId="175" fontId="62" fillId="0" borderId="207"/>
    <xf numFmtId="180" fontId="62" fillId="0" borderId="207"/>
    <xf numFmtId="172" fontId="62" fillId="0" borderId="207"/>
    <xf numFmtId="0" fontId="8" fillId="25" borderId="204" applyNumberFormat="0" applyFont="0" applyAlignment="0" applyProtection="0"/>
    <xf numFmtId="175" fontId="62" fillId="0" borderId="207"/>
    <xf numFmtId="177" fontId="62" fillId="0" borderId="207"/>
    <xf numFmtId="180" fontId="62" fillId="0" borderId="207"/>
    <xf numFmtId="172" fontId="62" fillId="0" borderId="207"/>
    <xf numFmtId="175"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75" fontId="62" fillId="0" borderId="207"/>
    <xf numFmtId="180" fontId="62" fillId="0" borderId="207"/>
    <xf numFmtId="172" fontId="62" fillId="0" borderId="207"/>
    <xf numFmtId="180" fontId="62" fillId="0" borderId="207"/>
    <xf numFmtId="180" fontId="62" fillId="0" borderId="207"/>
    <xf numFmtId="175" fontId="62" fillId="0" borderId="207"/>
    <xf numFmtId="175" fontId="62" fillId="0" borderId="207"/>
    <xf numFmtId="172" fontId="62" fillId="0" borderId="207"/>
    <xf numFmtId="172"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5" fontId="62" fillId="0" borderId="207"/>
    <xf numFmtId="182" fontId="62" fillId="0" borderId="207"/>
    <xf numFmtId="172" fontId="62" fillId="0" borderId="207"/>
    <xf numFmtId="0" fontId="11" fillId="22" borderId="203" applyNumberFormat="0" applyAlignment="0" applyProtection="0"/>
    <xf numFmtId="0" fontId="18" fillId="9" borderId="203" applyNumberFormat="0" applyAlignment="0" applyProtection="0"/>
    <xf numFmtId="182" fontId="62" fillId="0" borderId="207"/>
    <xf numFmtId="181" fontId="62" fillId="0" borderId="207"/>
    <xf numFmtId="180" fontId="62" fillId="0" borderId="207"/>
    <xf numFmtId="172" fontId="62" fillId="0" borderId="207"/>
    <xf numFmtId="176" fontId="62" fillId="0" borderId="207"/>
    <xf numFmtId="177" fontId="62" fillId="0" borderId="207"/>
    <xf numFmtId="176" fontId="62" fillId="0" borderId="207"/>
    <xf numFmtId="175" fontId="62" fillId="0" borderId="207"/>
    <xf numFmtId="177" fontId="62" fillId="0" borderId="207"/>
    <xf numFmtId="181" fontId="62" fillId="0" borderId="207"/>
    <xf numFmtId="174" fontId="62" fillId="0" borderId="207"/>
    <xf numFmtId="0" fontId="11" fillId="22" borderId="203" applyNumberFormat="0" applyAlignment="0" applyProtection="0"/>
    <xf numFmtId="173" fontId="62" fillId="0" borderId="207"/>
    <xf numFmtId="180" fontId="62" fillId="0" borderId="207"/>
    <xf numFmtId="177" fontId="62" fillId="0" borderId="207"/>
    <xf numFmtId="175" fontId="62" fillId="0" borderId="207"/>
    <xf numFmtId="172" fontId="62" fillId="0" borderId="207"/>
    <xf numFmtId="0" fontId="21" fillId="22" borderId="205" applyNumberFormat="0" applyAlignment="0" applyProtection="0"/>
    <xf numFmtId="0" fontId="23" fillId="0" borderId="206" applyNumberFormat="0" applyFill="0" applyAlignment="0" applyProtection="0"/>
    <xf numFmtId="181" fontId="62" fillId="0" borderId="207"/>
    <xf numFmtId="176" fontId="62" fillId="0" borderId="207"/>
    <xf numFmtId="174" fontId="62" fillId="0" borderId="207"/>
    <xf numFmtId="173" fontId="62" fillId="0" borderId="207"/>
    <xf numFmtId="172" fontId="62" fillId="0" borderId="207"/>
    <xf numFmtId="182" fontId="62" fillId="0" borderId="207"/>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11" fillId="22" borderId="203" applyNumberFormat="0" applyAlignment="0" applyProtection="0"/>
    <xf numFmtId="0" fontId="65" fillId="50" borderId="201">
      <protection locked="0"/>
    </xf>
    <xf numFmtId="0" fontId="11" fillId="22" borderId="203" applyNumberFormat="0" applyAlignment="0" applyProtection="0"/>
    <xf numFmtId="0" fontId="21" fillId="22" borderId="205" applyNumberFormat="0" applyAlignment="0" applyProtection="0"/>
    <xf numFmtId="0" fontId="65" fillId="50" borderId="201">
      <protection locked="0"/>
    </xf>
    <xf numFmtId="174" fontId="62" fillId="0" borderId="207"/>
    <xf numFmtId="173"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23" fillId="0" borderId="206" applyNumberFormat="0" applyFill="0" applyAlignment="0" applyProtection="0"/>
    <xf numFmtId="172" fontId="62" fillId="0" borderId="207"/>
    <xf numFmtId="173"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80" fontId="62" fillId="0" borderId="207"/>
    <xf numFmtId="0" fontId="8" fillId="25" borderId="204" applyNumberFormat="0" applyFont="0" applyAlignment="0" applyProtection="0"/>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5"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5"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75" fontId="62" fillId="0" borderId="207"/>
    <xf numFmtId="172" fontId="62" fillId="0" borderId="207"/>
    <xf numFmtId="180" fontId="62" fillId="0" borderId="207"/>
    <xf numFmtId="0" fontId="11" fillId="22" borderId="203" applyNumberFormat="0" applyAlignment="0" applyProtection="0"/>
    <xf numFmtId="0" fontId="65" fillId="50" borderId="201">
      <protection locked="0"/>
    </xf>
    <xf numFmtId="182" fontId="62" fillId="0" borderId="207"/>
    <xf numFmtId="172" fontId="62" fillId="0" borderId="207"/>
    <xf numFmtId="0" fontId="23" fillId="0" borderId="206" applyNumberFormat="0" applyFill="0" applyAlignment="0" applyProtection="0"/>
    <xf numFmtId="180" fontId="62" fillId="0" borderId="207"/>
    <xf numFmtId="0" fontId="65" fillId="50" borderId="201">
      <protection locked="0"/>
    </xf>
    <xf numFmtId="0" fontId="11" fillId="22" borderId="203" applyNumberFormat="0" applyAlignment="0" applyProtection="0"/>
    <xf numFmtId="172" fontId="62" fillId="0" borderId="207"/>
    <xf numFmtId="172" fontId="62" fillId="0" borderId="207"/>
    <xf numFmtId="0" fontId="18" fillId="9" borderId="203" applyNumberFormat="0" applyAlignment="0" applyProtection="0"/>
    <xf numFmtId="173" fontId="62" fillId="0" borderId="207"/>
    <xf numFmtId="172" fontId="62" fillId="0" borderId="207"/>
    <xf numFmtId="175" fontId="62" fillId="0" borderId="207"/>
    <xf numFmtId="172" fontId="62" fillId="0" borderId="207"/>
    <xf numFmtId="175" fontId="62" fillId="0" borderId="207"/>
    <xf numFmtId="176" fontId="62" fillId="0" borderId="207"/>
    <xf numFmtId="177" fontId="62" fillId="0" borderId="207"/>
    <xf numFmtId="0" fontId="8" fillId="25" borderId="204" applyNumberFormat="0" applyFont="0" applyAlignment="0" applyProtection="0"/>
    <xf numFmtId="175" fontId="62" fillId="0" borderId="207"/>
    <xf numFmtId="180" fontId="62" fillId="0" borderId="207"/>
    <xf numFmtId="172" fontId="62" fillId="0" borderId="207"/>
    <xf numFmtId="181" fontId="62" fillId="0" borderId="207"/>
    <xf numFmtId="182" fontId="62" fillId="0" borderId="207"/>
    <xf numFmtId="0" fontId="18" fillId="9" borderId="203" applyNumberFormat="0" applyAlignment="0" applyProtection="0"/>
    <xf numFmtId="180" fontId="62" fillId="0" borderId="207"/>
    <xf numFmtId="180" fontId="62" fillId="0" borderId="207"/>
    <xf numFmtId="175" fontId="62" fillId="0" borderId="207"/>
    <xf numFmtId="172" fontId="62" fillId="0" borderId="207"/>
    <xf numFmtId="176" fontId="62" fillId="0" borderId="207"/>
    <xf numFmtId="172" fontId="62" fillId="0" borderId="207"/>
    <xf numFmtId="172" fontId="62" fillId="0" borderId="207"/>
    <xf numFmtId="175" fontId="62" fillId="0" borderId="207"/>
    <xf numFmtId="175" fontId="62" fillId="0" borderId="207"/>
    <xf numFmtId="172" fontId="62" fillId="0" borderId="207"/>
    <xf numFmtId="0" fontId="18" fillId="9" borderId="203" applyNumberForma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8" fillId="25" borderId="204" applyNumberFormat="0" applyFont="0" applyAlignment="0" applyProtection="0"/>
    <xf numFmtId="174" fontId="62" fillId="0" borderId="207"/>
    <xf numFmtId="175" fontId="62" fillId="0" borderId="207"/>
    <xf numFmtId="180" fontId="62" fillId="0" borderId="207"/>
    <xf numFmtId="0" fontId="11" fillId="22" borderId="203" applyNumberFormat="0" applyAlignment="0" applyProtection="0"/>
    <xf numFmtId="174" fontId="62" fillId="0" borderId="207"/>
    <xf numFmtId="173" fontId="62" fillId="0" borderId="207"/>
    <xf numFmtId="0" fontId="21" fillId="22" borderId="205" applyNumberFormat="0" applyAlignment="0" applyProtection="0"/>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174" fontId="62" fillId="0" borderId="207"/>
    <xf numFmtId="176" fontId="62" fillId="0" borderId="207"/>
    <xf numFmtId="177"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80" fontId="62" fillId="0" borderId="207"/>
    <xf numFmtId="181" fontId="62" fillId="0" borderId="207"/>
    <xf numFmtId="175" fontId="62" fillId="0" borderId="207"/>
    <xf numFmtId="180" fontId="62" fillId="0" borderId="207"/>
    <xf numFmtId="175" fontId="62" fillId="0" borderId="207"/>
    <xf numFmtId="177" fontId="62" fillId="0" borderId="207"/>
    <xf numFmtId="173" fontId="62" fillId="0" borderId="207"/>
    <xf numFmtId="181" fontId="62" fillId="0" borderId="207"/>
    <xf numFmtId="182"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80" fontId="62" fillId="0" borderId="207"/>
    <xf numFmtId="175" fontId="62" fillId="0" borderId="207"/>
    <xf numFmtId="180" fontId="62" fillId="0" borderId="207"/>
    <xf numFmtId="175" fontId="62" fillId="0" borderId="207"/>
    <xf numFmtId="172" fontId="62" fillId="0" borderId="207"/>
    <xf numFmtId="180" fontId="62" fillId="0" borderId="207"/>
    <xf numFmtId="175" fontId="62" fillId="0" borderId="207"/>
    <xf numFmtId="180" fontId="62" fillId="0" borderId="207"/>
    <xf numFmtId="172" fontId="62" fillId="0" borderId="207"/>
    <xf numFmtId="172" fontId="62" fillId="0" borderId="207"/>
    <xf numFmtId="180" fontId="62" fillId="0" borderId="207"/>
    <xf numFmtId="176" fontId="62" fillId="0" borderId="207"/>
    <xf numFmtId="175" fontId="62" fillId="0" borderId="207"/>
    <xf numFmtId="174" fontId="62" fillId="0" borderId="207"/>
    <xf numFmtId="173" fontId="62" fillId="0" borderId="207"/>
    <xf numFmtId="172" fontId="62" fillId="0" borderId="207"/>
    <xf numFmtId="0" fontId="23" fillId="0" borderId="206" applyNumberFormat="0" applyFill="0" applyAlignment="0" applyProtection="0"/>
    <xf numFmtId="0" fontId="21" fillId="22" borderId="205" applyNumberFormat="0" applyAlignment="0" applyProtection="0"/>
    <xf numFmtId="0" fontId="8" fillId="25" borderId="204" applyNumberFormat="0" applyFont="0" applyAlignment="0" applyProtection="0"/>
    <xf numFmtId="0" fontId="18" fillId="9" borderId="203" applyNumberFormat="0" applyAlignment="0" applyProtection="0"/>
    <xf numFmtId="177" fontId="62" fillId="0" borderId="207"/>
    <xf numFmtId="0" fontId="11" fillId="22" borderId="203" applyNumberFormat="0" applyAlignment="0" applyProtection="0"/>
    <xf numFmtId="181" fontId="62" fillId="0" borderId="207"/>
    <xf numFmtId="180" fontId="62" fillId="0" borderId="207"/>
    <xf numFmtId="172" fontId="62" fillId="0" borderId="207"/>
    <xf numFmtId="172" fontId="62" fillId="0" borderId="207"/>
    <xf numFmtId="175" fontId="62" fillId="0" borderId="207"/>
    <xf numFmtId="175" fontId="62" fillId="0" borderId="207"/>
    <xf numFmtId="172" fontId="62" fillId="0" borderId="207"/>
    <xf numFmtId="0" fontId="23" fillId="0" borderId="206" applyNumberFormat="0" applyFill="0" applyAlignment="0" applyProtection="0"/>
    <xf numFmtId="175" fontId="62" fillId="0" borderId="207"/>
    <xf numFmtId="0" fontId="18" fillId="9" borderId="203" applyNumberFormat="0" applyAlignment="0" applyProtection="0"/>
    <xf numFmtId="0" fontId="21" fillId="22" borderId="205" applyNumberFormat="0" applyAlignment="0" applyProtection="0"/>
    <xf numFmtId="0" fontId="8" fillId="25" borderId="204" applyNumberFormat="0" applyFont="0" applyAlignment="0" applyProtection="0"/>
    <xf numFmtId="0" fontId="65" fillId="50" borderId="201">
      <protection locked="0"/>
    </xf>
    <xf numFmtId="180" fontId="62" fillId="0" borderId="207"/>
    <xf numFmtId="0" fontId="11" fillId="22" borderId="203" applyNumberFormat="0" applyAlignment="0" applyProtection="0"/>
    <xf numFmtId="0" fontId="18" fillId="9" borderId="203" applyNumberFormat="0" applyAlignment="0" applyProtection="0"/>
    <xf numFmtId="175" fontId="62" fillId="0" borderId="207"/>
    <xf numFmtId="172" fontId="62" fillId="0" borderId="207"/>
    <xf numFmtId="180" fontId="62" fillId="0" borderId="207"/>
    <xf numFmtId="175" fontId="62" fillId="0" borderId="207"/>
    <xf numFmtId="172" fontId="62" fillId="0" borderId="207"/>
    <xf numFmtId="173" fontId="62" fillId="0" borderId="207"/>
    <xf numFmtId="172" fontId="62" fillId="0" borderId="207"/>
    <xf numFmtId="175" fontId="62" fillId="0" borderId="207"/>
    <xf numFmtId="180" fontId="62" fillId="0" borderId="207"/>
    <xf numFmtId="172" fontId="62" fillId="0" borderId="207"/>
    <xf numFmtId="180" fontId="62" fillId="0" borderId="207"/>
    <xf numFmtId="0" fontId="11" fillId="22" borderId="203" applyNumberFormat="0" applyAlignment="0" applyProtection="0"/>
    <xf numFmtId="182" fontId="62" fillId="0" borderId="207"/>
    <xf numFmtId="176" fontId="62" fillId="0" borderId="207"/>
    <xf numFmtId="180" fontId="62" fillId="0" borderId="207"/>
    <xf numFmtId="172" fontId="62" fillId="0" borderId="207"/>
    <xf numFmtId="0" fontId="11" fillId="22" borderId="203" applyNumberFormat="0" applyAlignment="0" applyProtection="0"/>
    <xf numFmtId="0" fontId="18" fillId="9" borderId="203" applyNumberFormat="0" applyAlignment="0" applyProtection="0"/>
    <xf numFmtId="0" fontId="23" fillId="0" borderId="206" applyNumberFormat="0" applyFill="0" applyAlignment="0" applyProtection="0"/>
    <xf numFmtId="180" fontId="62" fillId="0" borderId="207"/>
    <xf numFmtId="180" fontId="62" fillId="0" borderId="207"/>
    <xf numFmtId="175" fontId="62" fillId="0" borderId="207"/>
    <xf numFmtId="174" fontId="62" fillId="0" borderId="207"/>
    <xf numFmtId="0" fontId="8" fillId="25" borderId="204" applyNumberFormat="0" applyFont="0" applyAlignment="0" applyProtection="0"/>
    <xf numFmtId="175"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65" fillId="50" borderId="201">
      <protection locked="0"/>
    </xf>
    <xf numFmtId="17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172" fontId="62" fillId="0" borderId="207"/>
    <xf numFmtId="173" fontId="62" fillId="0" borderId="207"/>
    <xf numFmtId="174" fontId="62" fillId="0" borderId="207"/>
    <xf numFmtId="175" fontId="62" fillId="0" borderId="207"/>
    <xf numFmtId="176" fontId="62" fillId="0" borderId="207"/>
    <xf numFmtId="177" fontId="62" fillId="0" borderId="207"/>
    <xf numFmtId="180" fontId="62" fillId="0" borderId="207"/>
    <xf numFmtId="181" fontId="62" fillId="0" borderId="207"/>
    <xf numFmtId="182" fontId="62" fillId="0" borderId="207"/>
    <xf numFmtId="180" fontId="62" fillId="0" borderId="207"/>
    <xf numFmtId="175" fontId="62" fillId="0" borderId="207"/>
    <xf numFmtId="0" fontId="65" fillId="50" borderId="201">
      <protection locked="0"/>
    </xf>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05" applyNumberFormat="0" applyAlignment="0" applyProtection="0"/>
    <xf numFmtId="0" fontId="23" fillId="0" borderId="206" applyNumberFormat="0" applyFill="0" applyAlignment="0" applyProtection="0"/>
    <xf numFmtId="0" fontId="21" fillId="22" borderId="211" applyNumberFormat="0" applyAlignment="0" applyProtection="0"/>
    <xf numFmtId="0" fontId="11" fillId="22" borderId="209" applyNumberFormat="0" applyAlignment="0" applyProtection="0"/>
    <xf numFmtId="180" fontId="62" fillId="0" borderId="213"/>
    <xf numFmtId="0" fontId="23" fillId="0" borderId="212" applyNumberFormat="0" applyFill="0" applyAlignment="0" applyProtection="0"/>
    <xf numFmtId="174" fontId="62" fillId="0" borderId="213"/>
    <xf numFmtId="176" fontId="62" fillId="0" borderId="213"/>
    <xf numFmtId="0" fontId="21" fillId="22" borderId="211" applyNumberFormat="0" applyAlignment="0" applyProtection="0"/>
    <xf numFmtId="180" fontId="62" fillId="0" borderId="213"/>
    <xf numFmtId="175" fontId="62" fillId="0" borderId="213"/>
    <xf numFmtId="174" fontId="62" fillId="0" borderId="213"/>
    <xf numFmtId="0" fontId="23" fillId="0" borderId="212" applyNumberFormat="0" applyFill="0" applyAlignment="0" applyProtection="0"/>
    <xf numFmtId="0" fontId="8" fillId="25" borderId="210" applyNumberFormat="0" applyFont="0" applyAlignment="0" applyProtection="0"/>
    <xf numFmtId="0" fontId="11" fillId="22" borderId="209" applyNumberFormat="0" applyAlignment="0" applyProtection="0"/>
    <xf numFmtId="0" fontId="8" fillId="25" borderId="210" applyNumberFormat="0" applyFont="0" applyAlignment="0" applyProtection="0"/>
    <xf numFmtId="0" fontId="11" fillId="22" borderId="209" applyNumberFormat="0" applyAlignment="0" applyProtection="0"/>
    <xf numFmtId="176" fontId="62" fillId="0" borderId="213"/>
    <xf numFmtId="175" fontId="62" fillId="0" borderId="213"/>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0" fontId="21" fillId="22" borderId="211" applyNumberFormat="0" applyAlignment="0" applyProtection="0"/>
    <xf numFmtId="0" fontId="8" fillId="25" borderId="210" applyNumberFormat="0" applyFont="0" applyAlignment="0" applyProtection="0"/>
    <xf numFmtId="0" fontId="8" fillId="25" borderId="210" applyNumberFormat="0" applyFont="0" applyAlignment="0" applyProtection="0"/>
    <xf numFmtId="0" fontId="18" fillId="9" borderId="209" applyNumberFormat="0" applyAlignment="0" applyProtection="0"/>
    <xf numFmtId="0" fontId="21" fillId="22" borderId="211" applyNumberFormat="0" applyAlignment="0" applyProtection="0"/>
    <xf numFmtId="0" fontId="23" fillId="0" borderId="212" applyNumberFormat="0" applyFill="0" applyAlignment="0" applyProtection="0"/>
    <xf numFmtId="0" fontId="21" fillId="22" borderId="211" applyNumberFormat="0" applyAlignment="0" applyProtection="0"/>
    <xf numFmtId="176" fontId="62" fillId="0" borderId="213"/>
    <xf numFmtId="0" fontId="23" fillId="0" borderId="212" applyNumberFormat="0" applyFill="0" applyAlignment="0" applyProtection="0"/>
    <xf numFmtId="0" fontId="23" fillId="0" borderId="212" applyNumberFormat="0" applyFill="0" applyAlignment="0" applyProtection="0"/>
    <xf numFmtId="0" fontId="18" fillId="9" borderId="209" applyNumberFormat="0" applyAlignment="0" applyProtection="0"/>
    <xf numFmtId="172" fontId="62" fillId="0" borderId="213"/>
    <xf numFmtId="181" fontId="62" fillId="0" borderId="213"/>
    <xf numFmtId="172" fontId="62" fillId="0" borderId="213"/>
    <xf numFmtId="0" fontId="21" fillId="22" borderId="211" applyNumberFormat="0" applyAlignment="0" applyProtection="0"/>
    <xf numFmtId="0" fontId="23" fillId="0" borderId="212" applyNumberFormat="0" applyFill="0" applyAlignment="0" applyProtection="0"/>
    <xf numFmtId="0" fontId="21" fillId="22" borderId="211" applyNumberFormat="0" applyAlignment="0" applyProtection="0"/>
    <xf numFmtId="175" fontId="62" fillId="0" borderId="213"/>
    <xf numFmtId="0" fontId="18" fillId="9" borderId="209" applyNumberFormat="0" applyAlignment="0" applyProtection="0"/>
    <xf numFmtId="0" fontId="23" fillId="0" borderId="212" applyNumberFormat="0" applyFill="0" applyAlignment="0" applyProtection="0"/>
    <xf numFmtId="180" fontId="62" fillId="0" borderId="213"/>
    <xf numFmtId="0" fontId="23" fillId="0" borderId="212" applyNumberFormat="0" applyFill="0" applyAlignment="0" applyProtection="0"/>
    <xf numFmtId="177" fontId="62" fillId="0" borderId="213"/>
    <xf numFmtId="175" fontId="62" fillId="0" borderId="213"/>
    <xf numFmtId="180" fontId="62" fillId="0" borderId="213"/>
    <xf numFmtId="172" fontId="62" fillId="0" borderId="213"/>
    <xf numFmtId="174" fontId="62" fillId="0" borderId="213"/>
    <xf numFmtId="175" fontId="62" fillId="0" borderId="213"/>
    <xf numFmtId="180" fontId="62" fillId="0" borderId="213"/>
    <xf numFmtId="0" fontId="11" fillId="22" borderId="209" applyNumberFormat="0" applyAlignment="0" applyProtection="0"/>
    <xf numFmtId="0" fontId="11" fillId="22" borderId="209" applyNumberFormat="0" applyAlignment="0" applyProtection="0"/>
    <xf numFmtId="172" fontId="62" fillId="0" borderId="213"/>
    <xf numFmtId="0" fontId="18" fillId="9" borderId="209" applyNumberFormat="0" applyAlignment="0" applyProtection="0"/>
    <xf numFmtId="0" fontId="23" fillId="0" borderId="212" applyNumberFormat="0" applyFill="0" applyAlignment="0" applyProtection="0"/>
    <xf numFmtId="0" fontId="8" fillId="25" borderId="210" applyNumberFormat="0" applyFont="0" applyAlignment="0" applyProtection="0"/>
    <xf numFmtId="0" fontId="65" fillId="50" borderId="214">
      <protection locked="0"/>
    </xf>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172"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0" fontId="62" fillId="0" borderId="213"/>
    <xf numFmtId="180" fontId="62" fillId="0" borderId="213"/>
    <xf numFmtId="181" fontId="62" fillId="0" borderId="213"/>
    <xf numFmtId="172" fontId="62" fillId="0" borderId="213"/>
    <xf numFmtId="175" fontId="62" fillId="0" borderId="213"/>
    <xf numFmtId="175" fontId="62" fillId="0" borderId="213"/>
    <xf numFmtId="177" fontId="62" fillId="0" borderId="213"/>
    <xf numFmtId="172"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0" fontId="18" fillId="9" borderId="209" applyNumberFormat="0" applyAlignment="0" applyProtection="0"/>
    <xf numFmtId="0" fontId="8" fillId="25" borderId="210" applyNumberFormat="0" applyFont="0" applyAlignment="0" applyProtection="0"/>
    <xf numFmtId="176" fontId="62" fillId="0" borderId="213"/>
    <xf numFmtId="180" fontId="62" fillId="0" borderId="213"/>
    <xf numFmtId="172" fontId="62" fillId="0" borderId="213"/>
    <xf numFmtId="173" fontId="62" fillId="0" borderId="213"/>
    <xf numFmtId="174" fontId="62" fillId="0" borderId="213"/>
    <xf numFmtId="0" fontId="8" fillId="25" borderId="210" applyNumberFormat="0" applyFont="0" applyAlignment="0" applyProtection="0"/>
    <xf numFmtId="175" fontId="62" fillId="0" borderId="213"/>
    <xf numFmtId="176" fontId="62" fillId="0" borderId="213"/>
    <xf numFmtId="177" fontId="62" fillId="0" borderId="213"/>
    <xf numFmtId="176" fontId="62" fillId="0" borderId="213"/>
    <xf numFmtId="180" fontId="62" fillId="0" borderId="213"/>
    <xf numFmtId="181" fontId="62" fillId="0" borderId="213"/>
    <xf numFmtId="182" fontId="62" fillId="0" borderId="213"/>
    <xf numFmtId="175" fontId="62" fillId="0" borderId="213"/>
    <xf numFmtId="172" fontId="62" fillId="0" borderId="213"/>
    <xf numFmtId="0" fontId="11" fillId="22" borderId="209" applyNumberFormat="0" applyAlignment="0" applyProtection="0"/>
    <xf numFmtId="0" fontId="8" fillId="25" borderId="210" applyNumberFormat="0" applyFont="0" applyAlignment="0" applyProtection="0"/>
    <xf numFmtId="0" fontId="11" fillId="22" borderId="209" applyNumberFormat="0" applyAlignment="0" applyProtection="0"/>
    <xf numFmtId="182" fontId="62" fillId="0" borderId="213"/>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74" fontId="62" fillId="0" borderId="213"/>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3" fontId="62" fillId="0" borderId="213"/>
    <xf numFmtId="174" fontId="62" fillId="0" borderId="213"/>
    <xf numFmtId="0" fontId="18" fillId="9" borderId="209" applyNumberFormat="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7" fontId="62" fillId="0" borderId="213"/>
    <xf numFmtId="172" fontId="62" fillId="0" borderId="213"/>
    <xf numFmtId="173" fontId="62" fillId="0" borderId="213"/>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172" fontId="62" fillId="0" borderId="213"/>
    <xf numFmtId="180" fontId="62" fillId="0" borderId="213"/>
    <xf numFmtId="175" fontId="62" fillId="0" borderId="213"/>
    <xf numFmtId="175" fontId="62" fillId="0" borderId="213"/>
    <xf numFmtId="180" fontId="62" fillId="0" borderId="213"/>
    <xf numFmtId="172"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172" fontId="62" fillId="0" borderId="213"/>
    <xf numFmtId="182" fontId="62" fillId="0" borderId="213"/>
    <xf numFmtId="175" fontId="62" fillId="0" borderId="213"/>
    <xf numFmtId="177" fontId="62" fillId="0" borderId="213"/>
    <xf numFmtId="174" fontId="62" fillId="0" borderId="213"/>
    <xf numFmtId="173" fontId="62" fillId="0" borderId="213"/>
    <xf numFmtId="180"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180" fontId="62" fillId="0" borderId="213"/>
    <xf numFmtId="181"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2" fontId="62" fillId="0" borderId="213"/>
    <xf numFmtId="175" fontId="62" fillId="0" borderId="213"/>
    <xf numFmtId="175" fontId="62" fillId="0" borderId="213"/>
    <xf numFmtId="0" fontId="21" fillId="22" borderId="211" applyNumberFormat="0" applyAlignment="0" applyProtection="0"/>
    <xf numFmtId="180" fontId="62" fillId="0" borderId="213"/>
    <xf numFmtId="175" fontId="62" fillId="0" borderId="213"/>
    <xf numFmtId="0" fontId="21" fillId="22" borderId="211" applyNumberFormat="0" applyAlignment="0" applyProtection="0"/>
    <xf numFmtId="0" fontId="8" fillId="25" borderId="210" applyNumberFormat="0" applyFont="0" applyAlignment="0" applyProtection="0"/>
    <xf numFmtId="172" fontId="62" fillId="0" borderId="213"/>
    <xf numFmtId="0" fontId="8" fillId="25" borderId="210" applyNumberFormat="0" applyFont="0" applyAlignment="0" applyProtection="0"/>
    <xf numFmtId="174" fontId="62" fillId="0" borderId="213"/>
    <xf numFmtId="0" fontId="23" fillId="0" borderId="212" applyNumberFormat="0" applyFill="0" applyAlignment="0" applyProtection="0"/>
    <xf numFmtId="176" fontId="62" fillId="0" borderId="213"/>
    <xf numFmtId="175" fontId="62" fillId="0" borderId="213"/>
    <xf numFmtId="0" fontId="23" fillId="0" borderId="212" applyNumberFormat="0" applyFill="0" applyAlignment="0" applyProtection="0"/>
    <xf numFmtId="182" fontId="62" fillId="0" borderId="213"/>
    <xf numFmtId="175" fontId="62" fillId="0" borderId="213"/>
    <xf numFmtId="175" fontId="62" fillId="0" borderId="213"/>
    <xf numFmtId="0" fontId="18" fillId="9" borderId="209" applyNumberFormat="0" applyAlignment="0" applyProtection="0"/>
    <xf numFmtId="0" fontId="21" fillId="22" borderId="211" applyNumberFormat="0" applyAlignment="0" applyProtection="0"/>
    <xf numFmtId="172" fontId="62" fillId="0" borderId="213"/>
    <xf numFmtId="0" fontId="8" fillId="25" borderId="210" applyNumberFormat="0" applyFont="0" applyAlignment="0" applyProtection="0"/>
    <xf numFmtId="173" fontId="62" fillId="0" borderId="213"/>
    <xf numFmtId="177"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172" fontId="62" fillId="0" borderId="213"/>
    <xf numFmtId="180" fontId="62" fillId="0" borderId="213"/>
    <xf numFmtId="0" fontId="18" fillId="9" borderId="209" applyNumberFormat="0" applyAlignment="0" applyProtection="0"/>
    <xf numFmtId="172" fontId="62" fillId="0" borderId="213"/>
    <xf numFmtId="0" fontId="21" fillId="22" borderId="211" applyNumberFormat="0" applyAlignment="0" applyProtection="0"/>
    <xf numFmtId="180" fontId="62" fillId="0" borderId="213"/>
    <xf numFmtId="172" fontId="62" fillId="0" borderId="213"/>
    <xf numFmtId="180" fontId="62" fillId="0" borderId="213"/>
    <xf numFmtId="175" fontId="62" fillId="0" borderId="213"/>
    <xf numFmtId="173" fontId="62" fillId="0" borderId="213"/>
    <xf numFmtId="172" fontId="62" fillId="0" borderId="213"/>
    <xf numFmtId="175" fontId="62" fillId="0" borderId="213"/>
    <xf numFmtId="174" fontId="62" fillId="0" borderId="213"/>
    <xf numFmtId="181" fontId="62" fillId="0" borderId="213"/>
    <xf numFmtId="180" fontId="62" fillId="0" borderId="213"/>
    <xf numFmtId="175" fontId="62" fillId="0" borderId="213"/>
    <xf numFmtId="172" fontId="62" fillId="0" borderId="213"/>
    <xf numFmtId="180" fontId="62" fillId="0" borderId="213"/>
    <xf numFmtId="175" fontId="62" fillId="0" borderId="213"/>
    <xf numFmtId="172" fontId="62" fillId="0" borderId="213"/>
    <xf numFmtId="180" fontId="62" fillId="0" borderId="213"/>
    <xf numFmtId="180" fontId="62" fillId="0" borderId="213"/>
    <xf numFmtId="181" fontId="62" fillId="0" borderId="213"/>
    <xf numFmtId="177" fontId="62" fillId="0" borderId="213"/>
    <xf numFmtId="172" fontId="62" fillId="0" borderId="213"/>
    <xf numFmtId="0" fontId="23" fillId="0" borderId="212" applyNumberFormat="0" applyFill="0" applyAlignment="0" applyProtection="0"/>
    <xf numFmtId="0" fontId="11" fillId="22" borderId="209" applyNumberFormat="0" applyAlignment="0" applyProtection="0"/>
    <xf numFmtId="172" fontId="62" fillId="0" borderId="213"/>
    <xf numFmtId="174" fontId="62" fillId="0" borderId="213"/>
    <xf numFmtId="172" fontId="62" fillId="0" borderId="213"/>
    <xf numFmtId="175" fontId="62" fillId="0" borderId="213"/>
    <xf numFmtId="180" fontId="62" fillId="0" borderId="213"/>
    <xf numFmtId="172" fontId="62" fillId="0" borderId="213"/>
    <xf numFmtId="0" fontId="18" fillId="9" borderId="209" applyNumberFormat="0" applyAlignment="0" applyProtection="0"/>
    <xf numFmtId="174" fontId="62" fillId="0" borderId="213"/>
    <xf numFmtId="0" fontId="11" fillId="22" borderId="209" applyNumberFormat="0" applyAlignment="0" applyProtection="0"/>
    <xf numFmtId="182" fontId="62" fillId="0" borderId="213"/>
    <xf numFmtId="172" fontId="62" fillId="0" borderId="213"/>
    <xf numFmtId="173" fontId="62" fillId="0" borderId="213"/>
    <xf numFmtId="175" fontId="62" fillId="0" borderId="213"/>
    <xf numFmtId="176" fontId="62" fillId="0" borderId="213"/>
    <xf numFmtId="175" fontId="62" fillId="0" borderId="213"/>
    <xf numFmtId="175" fontId="62" fillId="0" borderId="213"/>
    <xf numFmtId="0" fontId="11" fillId="22" borderId="209" applyNumberFormat="0" applyAlignment="0" applyProtection="0"/>
    <xf numFmtId="172" fontId="62" fillId="0" borderId="213"/>
    <xf numFmtId="175" fontId="62" fillId="0" borderId="213"/>
    <xf numFmtId="182" fontId="62" fillId="0" borderId="213"/>
    <xf numFmtId="172" fontId="62" fillId="0" borderId="213"/>
    <xf numFmtId="175" fontId="62" fillId="0" borderId="213"/>
    <xf numFmtId="177" fontId="62" fillId="0" borderId="213"/>
    <xf numFmtId="173" fontId="62" fillId="0" borderId="213"/>
    <xf numFmtId="181" fontId="62" fillId="0" borderId="213"/>
    <xf numFmtId="182" fontId="62" fillId="0" borderId="213"/>
    <xf numFmtId="180" fontId="62" fillId="0" borderId="213"/>
    <xf numFmtId="0" fontId="8" fillId="25" borderId="210" applyNumberFormat="0" applyFont="0" applyAlignment="0" applyProtection="0"/>
    <xf numFmtId="172" fontId="62" fillId="0" borderId="213"/>
    <xf numFmtId="180" fontId="62" fillId="0" borderId="213"/>
    <xf numFmtId="180" fontId="62" fillId="0" borderId="213"/>
    <xf numFmtId="0" fontId="8" fillId="25" borderId="210" applyNumberFormat="0" applyFont="0" applyAlignment="0" applyProtection="0"/>
    <xf numFmtId="180" fontId="62" fillId="0" borderId="213"/>
    <xf numFmtId="177"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0" fontId="21" fillId="22" borderId="211" applyNumberFormat="0" applyAlignment="0" applyProtection="0"/>
    <xf numFmtId="175" fontId="62" fillId="0" borderId="213"/>
    <xf numFmtId="175" fontId="62" fillId="0" borderId="213"/>
    <xf numFmtId="173" fontId="62" fillId="0" borderId="213"/>
    <xf numFmtId="175" fontId="62" fillId="0" borderId="213"/>
    <xf numFmtId="180" fontId="62" fillId="0" borderId="213"/>
    <xf numFmtId="180" fontId="62" fillId="0" borderId="213"/>
    <xf numFmtId="172" fontId="62" fillId="0" borderId="213"/>
    <xf numFmtId="175" fontId="62" fillId="0" borderId="213"/>
    <xf numFmtId="180" fontId="62" fillId="0" borderId="213"/>
    <xf numFmtId="172" fontId="62" fillId="0" borderId="213"/>
    <xf numFmtId="174" fontId="62" fillId="0" borderId="213"/>
    <xf numFmtId="180" fontId="62" fillId="0" borderId="213"/>
    <xf numFmtId="0" fontId="23" fillId="0" borderId="212" applyNumberFormat="0" applyFill="0" applyAlignment="0" applyProtection="0"/>
    <xf numFmtId="175" fontId="62" fillId="0" borderId="213"/>
    <xf numFmtId="175" fontId="62" fillId="0" borderId="213"/>
    <xf numFmtId="180" fontId="62" fillId="0" borderId="213"/>
    <xf numFmtId="172" fontId="62" fillId="0" borderId="213"/>
    <xf numFmtId="0" fontId="18" fillId="9" borderId="209" applyNumberFormat="0" applyAlignment="0" applyProtection="0"/>
    <xf numFmtId="177" fontId="62" fillId="0" borderId="213"/>
    <xf numFmtId="176" fontId="62" fillId="0" borderId="213"/>
    <xf numFmtId="181" fontId="62" fillId="0" borderId="213"/>
    <xf numFmtId="176" fontId="62" fillId="0" borderId="213"/>
    <xf numFmtId="181" fontId="62" fillId="0" borderId="213"/>
    <xf numFmtId="173" fontId="62" fillId="0" borderId="213"/>
    <xf numFmtId="181" fontId="62" fillId="0" borderId="213"/>
    <xf numFmtId="182" fontId="62" fillId="0" borderId="213"/>
    <xf numFmtId="175" fontId="62" fillId="0" borderId="213"/>
    <xf numFmtId="182" fontId="62" fillId="0" borderId="213"/>
    <xf numFmtId="177" fontId="62" fillId="0" borderId="213"/>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0" fontId="62" fillId="0" borderId="213"/>
    <xf numFmtId="172" fontId="62" fillId="0" borderId="213"/>
    <xf numFmtId="175" fontId="62" fillId="0" borderId="213"/>
    <xf numFmtId="180" fontId="62" fillId="0" borderId="213"/>
    <xf numFmtId="180" fontId="62" fillId="0" borderId="213"/>
    <xf numFmtId="180" fontId="62" fillId="0" borderId="213"/>
    <xf numFmtId="175" fontId="62" fillId="0" borderId="213"/>
    <xf numFmtId="180" fontId="62" fillId="0" borderId="213"/>
    <xf numFmtId="180" fontId="62" fillId="0" borderId="213"/>
    <xf numFmtId="175" fontId="62" fillId="0" borderId="213"/>
    <xf numFmtId="175" fontId="62" fillId="0" borderId="213"/>
    <xf numFmtId="0" fontId="21" fillId="22" borderId="211" applyNumberFormat="0" applyAlignment="0" applyProtection="0"/>
    <xf numFmtId="175" fontId="62" fillId="0" borderId="213"/>
    <xf numFmtId="0" fontId="23" fillId="0" borderId="212" applyNumberFormat="0" applyFill="0" applyAlignment="0" applyProtection="0"/>
    <xf numFmtId="172" fontId="62" fillId="0" borderId="213"/>
    <xf numFmtId="172" fontId="62" fillId="0" borderId="213"/>
    <xf numFmtId="175" fontId="62" fillId="0" borderId="213"/>
    <xf numFmtId="176" fontId="62" fillId="0" borderId="213"/>
    <xf numFmtId="0" fontId="18" fillId="9" borderId="209" applyNumberFormat="0" applyAlignment="0" applyProtection="0"/>
    <xf numFmtId="172" fontId="62" fillId="0" borderId="213"/>
    <xf numFmtId="0" fontId="21" fillId="22" borderId="211" applyNumberFormat="0" applyAlignment="0" applyProtection="0"/>
    <xf numFmtId="174" fontId="62" fillId="0" borderId="213"/>
    <xf numFmtId="172" fontId="62" fillId="0" borderId="213"/>
    <xf numFmtId="0" fontId="18" fillId="9" borderId="209" applyNumberFormat="0" applyAlignment="0" applyProtection="0"/>
    <xf numFmtId="177" fontId="62" fillId="0" borderId="213"/>
    <xf numFmtId="0" fontId="11" fillId="22" borderId="209" applyNumberFormat="0" applyAlignment="0" applyProtection="0"/>
    <xf numFmtId="172" fontId="62" fillId="0" borderId="213"/>
    <xf numFmtId="17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6" fontId="62" fillId="0" borderId="213"/>
    <xf numFmtId="180" fontId="62" fillId="0" borderId="213"/>
    <xf numFmtId="172" fontId="62" fillId="0" borderId="213"/>
    <xf numFmtId="172" fontId="62" fillId="0" borderId="213"/>
    <xf numFmtId="0" fontId="23" fillId="0" borderId="212" applyNumberFormat="0" applyFill="0" applyAlignment="0" applyProtection="0"/>
    <xf numFmtId="180" fontId="62" fillId="0" borderId="213"/>
    <xf numFmtId="172" fontId="62" fillId="0" borderId="213"/>
    <xf numFmtId="172" fontId="62" fillId="0" borderId="213"/>
    <xf numFmtId="180" fontId="62" fillId="0" borderId="213"/>
    <xf numFmtId="175" fontId="62" fillId="0" borderId="213"/>
    <xf numFmtId="175" fontId="62" fillId="0" borderId="213"/>
    <xf numFmtId="180" fontId="62" fillId="0" borderId="213"/>
    <xf numFmtId="180" fontId="62" fillId="0" borderId="213"/>
    <xf numFmtId="180" fontId="62" fillId="0" borderId="213"/>
    <xf numFmtId="172" fontId="62" fillId="0" borderId="213"/>
    <xf numFmtId="174" fontId="62" fillId="0" borderId="213"/>
    <xf numFmtId="172" fontId="62" fillId="0" borderId="213"/>
    <xf numFmtId="180" fontId="62" fillId="0" borderId="213"/>
    <xf numFmtId="0" fontId="18" fillId="9" borderId="209" applyNumberFormat="0" applyAlignment="0" applyProtection="0"/>
    <xf numFmtId="180" fontId="62" fillId="0" borderId="213"/>
    <xf numFmtId="180" fontId="62" fillId="0" borderId="213"/>
    <xf numFmtId="0" fontId="23" fillId="0" borderId="212" applyNumberFormat="0" applyFill="0" applyAlignment="0" applyProtection="0"/>
    <xf numFmtId="172" fontId="62" fillId="0" borderId="213"/>
    <xf numFmtId="0" fontId="8" fillId="25" borderId="210" applyNumberFormat="0" applyFont="0" applyAlignment="0" applyProtection="0"/>
    <xf numFmtId="0" fontId="18" fillId="9" borderId="209" applyNumberFormat="0" applyAlignment="0" applyProtection="0"/>
    <xf numFmtId="172" fontId="62" fillId="0" borderId="213"/>
    <xf numFmtId="180" fontId="62" fillId="0" borderId="213"/>
    <xf numFmtId="0" fontId="8" fillId="25" borderId="210" applyNumberFormat="0" applyFont="0" applyAlignment="0" applyProtection="0"/>
    <xf numFmtId="0" fontId="11" fillId="22" borderId="209" applyNumberFormat="0" applyAlignment="0" applyProtection="0"/>
    <xf numFmtId="172"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2" fontId="62" fillId="0" borderId="213"/>
    <xf numFmtId="181" fontId="62" fillId="0" borderId="213"/>
    <xf numFmtId="175" fontId="62" fillId="0" borderId="213"/>
    <xf numFmtId="175" fontId="62" fillId="0" borderId="213"/>
    <xf numFmtId="174" fontId="62" fillId="0" borderId="213"/>
    <xf numFmtId="180" fontId="62" fillId="0" borderId="213"/>
    <xf numFmtId="173" fontId="62" fillId="0" borderId="213"/>
    <xf numFmtId="0" fontId="21" fillId="22" borderId="211" applyNumberFormat="0" applyAlignment="0" applyProtection="0"/>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6" fontId="62" fillId="0" borderId="213"/>
    <xf numFmtId="175" fontId="62" fillId="0" borderId="213"/>
    <xf numFmtId="182" fontId="62" fillId="0" borderId="213"/>
    <xf numFmtId="177" fontId="62" fillId="0" borderId="213"/>
    <xf numFmtId="173"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5" fontId="62" fillId="0" borderId="213"/>
    <xf numFmtId="175" fontId="62" fillId="0" borderId="213"/>
    <xf numFmtId="175" fontId="62" fillId="0" borderId="213"/>
    <xf numFmtId="172" fontId="62" fillId="0" borderId="213"/>
    <xf numFmtId="0" fontId="18" fillId="9" borderId="209" applyNumberFormat="0" applyAlignment="0" applyProtection="0"/>
    <xf numFmtId="175" fontId="62" fillId="0" borderId="213"/>
    <xf numFmtId="172" fontId="62" fillId="0" borderId="213"/>
    <xf numFmtId="180" fontId="62" fillId="0" borderId="213"/>
    <xf numFmtId="174" fontId="62" fillId="0" borderId="213"/>
    <xf numFmtId="174" fontId="62" fillId="0" borderId="213"/>
    <xf numFmtId="172" fontId="62" fillId="0" borderId="213"/>
    <xf numFmtId="174" fontId="62" fillId="0" borderId="213"/>
    <xf numFmtId="175" fontId="62" fillId="0" borderId="213"/>
    <xf numFmtId="177" fontId="62" fillId="0" borderId="213"/>
    <xf numFmtId="172" fontId="62" fillId="0" borderId="213"/>
    <xf numFmtId="0" fontId="11" fillId="22" borderId="209" applyNumberFormat="0" applyAlignment="0" applyProtection="0"/>
    <xf numFmtId="180" fontId="62" fillId="0" borderId="213"/>
    <xf numFmtId="180" fontId="62" fillId="0" borderId="213"/>
    <xf numFmtId="180" fontId="62" fillId="0" borderId="213"/>
    <xf numFmtId="172" fontId="62" fillId="0" borderId="213"/>
    <xf numFmtId="0" fontId="8" fillId="25" borderId="210" applyNumberFormat="0" applyFont="0" applyAlignment="0" applyProtection="0"/>
    <xf numFmtId="172" fontId="62" fillId="0" borderId="213"/>
    <xf numFmtId="181" fontId="62" fillId="0" borderId="213"/>
    <xf numFmtId="175" fontId="62" fillId="0" borderId="213"/>
    <xf numFmtId="176" fontId="62" fillId="0" borderId="213"/>
    <xf numFmtId="0" fontId="18" fillId="9" borderId="209" applyNumberFormat="0" applyAlignment="0" applyProtection="0"/>
    <xf numFmtId="172" fontId="62" fillId="0" borderId="213"/>
    <xf numFmtId="180" fontId="62" fillId="0" borderId="213"/>
    <xf numFmtId="175" fontId="62" fillId="0" borderId="213"/>
    <xf numFmtId="180" fontId="62" fillId="0" borderId="213"/>
    <xf numFmtId="172" fontId="62" fillId="0" borderId="213"/>
    <xf numFmtId="180" fontId="62" fillId="0" borderId="213"/>
    <xf numFmtId="175" fontId="62" fillId="0" borderId="213"/>
    <xf numFmtId="175" fontId="62" fillId="0" borderId="213"/>
    <xf numFmtId="172" fontId="62" fillId="0" borderId="213"/>
    <xf numFmtId="175" fontId="62" fillId="0" borderId="213"/>
    <xf numFmtId="176" fontId="62" fillId="0" borderId="213"/>
    <xf numFmtId="175" fontId="62" fillId="0" borderId="213"/>
    <xf numFmtId="180" fontId="62" fillId="0" borderId="213"/>
    <xf numFmtId="180" fontId="62" fillId="0" borderId="213"/>
    <xf numFmtId="172" fontId="62" fillId="0" borderId="213"/>
    <xf numFmtId="0" fontId="21" fillId="22" borderId="211" applyNumberFormat="0" applyAlignment="0" applyProtection="0"/>
    <xf numFmtId="173"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0" fontId="23" fillId="0" borderId="212" applyNumberFormat="0" applyFill="0" applyAlignment="0" applyProtection="0"/>
    <xf numFmtId="175" fontId="62" fillId="0" borderId="213"/>
    <xf numFmtId="0" fontId="21" fillId="22" borderId="211" applyNumberFormat="0" applyAlignment="0" applyProtection="0"/>
    <xf numFmtId="172" fontId="62" fillId="0" borderId="213"/>
    <xf numFmtId="182" fontId="62" fillId="0" borderId="213"/>
    <xf numFmtId="172" fontId="62" fillId="0" borderId="213"/>
    <xf numFmtId="180" fontId="62" fillId="0" borderId="213"/>
    <xf numFmtId="0" fontId="11" fillId="22" borderId="209" applyNumberFormat="0" applyAlignment="0" applyProtection="0"/>
    <xf numFmtId="175" fontId="62" fillId="0" borderId="213"/>
    <xf numFmtId="181" fontId="62" fillId="0" borderId="213"/>
    <xf numFmtId="175" fontId="62" fillId="0" borderId="213"/>
    <xf numFmtId="172" fontId="62" fillId="0" borderId="213"/>
    <xf numFmtId="175" fontId="62" fillId="0" borderId="213"/>
    <xf numFmtId="173" fontId="62" fillId="0" borderId="213"/>
    <xf numFmtId="180" fontId="62" fillId="0" borderId="213"/>
    <xf numFmtId="177" fontId="62" fillId="0" borderId="213"/>
    <xf numFmtId="175" fontId="62" fillId="0" borderId="213"/>
    <xf numFmtId="173" fontId="62" fillId="0" borderId="213"/>
    <xf numFmtId="172" fontId="62" fillId="0" borderId="213"/>
    <xf numFmtId="181" fontId="62" fillId="0" borderId="213"/>
    <xf numFmtId="182" fontId="62" fillId="0" borderId="213"/>
    <xf numFmtId="180" fontId="62" fillId="0" borderId="213"/>
    <xf numFmtId="180" fontId="62" fillId="0" borderId="213"/>
    <xf numFmtId="180" fontId="62" fillId="0" borderId="213"/>
    <xf numFmtId="172" fontId="62" fillId="0" borderId="213"/>
    <xf numFmtId="180"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2" fontId="62" fillId="0" borderId="213"/>
    <xf numFmtId="172" fontId="62" fillId="0" borderId="213"/>
    <xf numFmtId="175" fontId="62" fillId="0" borderId="213"/>
    <xf numFmtId="180" fontId="62" fillId="0" borderId="213"/>
    <xf numFmtId="172" fontId="62" fillId="0" borderId="213"/>
    <xf numFmtId="0" fontId="8" fillId="25" borderId="210" applyNumberFormat="0" applyFont="0" applyAlignment="0" applyProtection="0"/>
    <xf numFmtId="175" fontId="62" fillId="0" borderId="213"/>
    <xf numFmtId="177" fontId="62" fillId="0" borderId="213"/>
    <xf numFmtId="180" fontId="62" fillId="0" borderId="213"/>
    <xf numFmtId="172" fontId="62" fillId="0" borderId="213"/>
    <xf numFmtId="175"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80" fontId="62" fillId="0" borderId="213"/>
    <xf numFmtId="172" fontId="62" fillId="0" borderId="213"/>
    <xf numFmtId="180" fontId="62" fillId="0" borderId="213"/>
    <xf numFmtId="180" fontId="62" fillId="0" borderId="213"/>
    <xf numFmtId="175" fontId="62" fillId="0" borderId="213"/>
    <xf numFmtId="175" fontId="62" fillId="0" borderId="213"/>
    <xf numFmtId="172" fontId="62" fillId="0" borderId="213"/>
    <xf numFmtId="17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5" fontId="62" fillId="0" borderId="213"/>
    <xf numFmtId="0" fontId="18" fillId="9" borderId="209" applyNumberFormat="0" applyAlignment="0" applyProtection="0"/>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182" fontId="62" fillId="0" borderId="213"/>
    <xf numFmtId="181" fontId="62" fillId="0" borderId="213"/>
    <xf numFmtId="180" fontId="62" fillId="0" borderId="213"/>
    <xf numFmtId="172" fontId="62" fillId="0" borderId="213"/>
    <xf numFmtId="176" fontId="62" fillId="0" borderId="213"/>
    <xf numFmtId="177" fontId="62" fillId="0" borderId="213"/>
    <xf numFmtId="176" fontId="62" fillId="0" borderId="213"/>
    <xf numFmtId="175" fontId="62" fillId="0" borderId="213"/>
    <xf numFmtId="177" fontId="62" fillId="0" borderId="213"/>
    <xf numFmtId="181" fontId="62" fillId="0" borderId="213"/>
    <xf numFmtId="174" fontId="62" fillId="0" borderId="213"/>
    <xf numFmtId="0" fontId="11" fillId="22" borderId="209" applyNumberFormat="0" applyAlignment="0" applyProtection="0"/>
    <xf numFmtId="173" fontId="62" fillId="0" borderId="213"/>
    <xf numFmtId="180" fontId="62" fillId="0" borderId="213"/>
    <xf numFmtId="177" fontId="62" fillId="0" borderId="213"/>
    <xf numFmtId="175" fontId="62" fillId="0" borderId="213"/>
    <xf numFmtId="172" fontId="62" fillId="0" borderId="213"/>
    <xf numFmtId="0" fontId="21" fillId="22" borderId="211" applyNumberFormat="0" applyAlignment="0" applyProtection="0"/>
    <xf numFmtId="0" fontId="23" fillId="0" borderId="212" applyNumberFormat="0" applyFill="0" applyAlignment="0" applyProtection="0"/>
    <xf numFmtId="181" fontId="62" fillId="0" borderId="213"/>
    <xf numFmtId="176" fontId="62" fillId="0" borderId="213"/>
    <xf numFmtId="174" fontId="62" fillId="0" borderId="213"/>
    <xf numFmtId="173" fontId="62" fillId="0" borderId="213"/>
    <xf numFmtId="172" fontId="62" fillId="0" borderId="213"/>
    <xf numFmtId="182"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11" fillId="22" borderId="209" applyNumberFormat="0" applyAlignment="0" applyProtection="0"/>
    <xf numFmtId="0" fontId="11" fillId="22" borderId="209" applyNumberFormat="0" applyAlignment="0" applyProtection="0"/>
    <xf numFmtId="0" fontId="21" fillId="22" borderId="211" applyNumberFormat="0" applyAlignment="0" applyProtection="0"/>
    <xf numFmtId="174"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172"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0" fontId="8" fillId="25" borderId="210" applyNumberFormat="0" applyFont="0" applyAlignment="0" applyProtection="0"/>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2" fontId="62" fillId="0" borderId="213"/>
    <xf numFmtId="180" fontId="62" fillId="0" borderId="213"/>
    <xf numFmtId="0" fontId="11" fillId="22" borderId="209" applyNumberFormat="0" applyAlignment="0" applyProtection="0"/>
    <xf numFmtId="182" fontId="62" fillId="0" borderId="213"/>
    <xf numFmtId="172" fontId="62" fillId="0" borderId="213"/>
    <xf numFmtId="0" fontId="23" fillId="0" borderId="212" applyNumberFormat="0" applyFill="0" applyAlignment="0" applyProtection="0"/>
    <xf numFmtId="180" fontId="62" fillId="0" borderId="213"/>
    <xf numFmtId="0" fontId="11" fillId="22" borderId="209" applyNumberFormat="0" applyAlignment="0" applyProtection="0"/>
    <xf numFmtId="172" fontId="62" fillId="0" borderId="213"/>
    <xf numFmtId="172" fontId="62" fillId="0" borderId="213"/>
    <xf numFmtId="0" fontId="18" fillId="9" borderId="209" applyNumberFormat="0" applyAlignment="0" applyProtection="0"/>
    <xf numFmtId="173" fontId="62" fillId="0" borderId="213"/>
    <xf numFmtId="172" fontId="62" fillId="0" borderId="213"/>
    <xf numFmtId="175" fontId="62" fillId="0" borderId="213"/>
    <xf numFmtId="172" fontId="62" fillId="0" borderId="213"/>
    <xf numFmtId="175" fontId="62" fillId="0" borderId="213"/>
    <xf numFmtId="176" fontId="62" fillId="0" borderId="213"/>
    <xf numFmtId="177" fontId="62" fillId="0" borderId="213"/>
    <xf numFmtId="0" fontId="8" fillId="25" borderId="210" applyNumberFormat="0" applyFont="0" applyAlignment="0" applyProtection="0"/>
    <xf numFmtId="175" fontId="62" fillId="0" borderId="213"/>
    <xf numFmtId="180" fontId="62" fillId="0" borderId="213"/>
    <xf numFmtId="172" fontId="62" fillId="0" borderId="213"/>
    <xf numFmtId="181" fontId="62" fillId="0" borderId="213"/>
    <xf numFmtId="182" fontId="62" fillId="0" borderId="213"/>
    <xf numFmtId="0" fontId="18" fillId="9" borderId="209" applyNumberFormat="0" applyAlignment="0" applyProtection="0"/>
    <xf numFmtId="180" fontId="62" fillId="0" borderId="213"/>
    <xf numFmtId="180" fontId="62" fillId="0" borderId="213"/>
    <xf numFmtId="175" fontId="62" fillId="0" borderId="213"/>
    <xf numFmtId="172" fontId="62" fillId="0" borderId="213"/>
    <xf numFmtId="176" fontId="62" fillId="0" borderId="213"/>
    <xf numFmtId="172" fontId="62" fillId="0" borderId="213"/>
    <xf numFmtId="172" fontId="62" fillId="0" borderId="213"/>
    <xf numFmtId="175" fontId="62" fillId="0" borderId="213"/>
    <xf numFmtId="175" fontId="62" fillId="0" borderId="213"/>
    <xf numFmtId="172" fontId="62" fillId="0" borderId="213"/>
    <xf numFmtId="0" fontId="18" fillId="9" borderId="209" applyNumberForma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8" fillId="25" borderId="210" applyNumberFormat="0" applyFont="0" applyAlignment="0" applyProtection="0"/>
    <xf numFmtId="174" fontId="62" fillId="0" borderId="213"/>
    <xf numFmtId="175" fontId="62" fillId="0" borderId="213"/>
    <xf numFmtId="180" fontId="62" fillId="0" borderId="213"/>
    <xf numFmtId="0" fontId="11" fillId="22" borderId="209" applyNumberFormat="0" applyAlignment="0" applyProtection="0"/>
    <xf numFmtId="174" fontId="62" fillId="0" borderId="213"/>
    <xf numFmtId="173" fontId="62" fillId="0" borderId="213"/>
    <xf numFmtId="0" fontId="21" fillId="22" borderId="211" applyNumberFormat="0" applyAlignment="0" applyProtection="0"/>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4" fontId="62" fillId="0" borderId="213"/>
    <xf numFmtId="176" fontId="62" fillId="0" borderId="213"/>
    <xf numFmtId="177"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1" fontId="62" fillId="0" borderId="213"/>
    <xf numFmtId="175" fontId="62" fillId="0" borderId="213"/>
    <xf numFmtId="180" fontId="62" fillId="0" borderId="213"/>
    <xf numFmtId="175" fontId="62" fillId="0" borderId="213"/>
    <xf numFmtId="177" fontId="62" fillId="0" borderId="213"/>
    <xf numFmtId="173"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175" fontId="62" fillId="0" borderId="213"/>
    <xf numFmtId="180" fontId="62" fillId="0" borderId="213"/>
    <xf numFmtId="175" fontId="62" fillId="0" borderId="213"/>
    <xf numFmtId="172" fontId="62" fillId="0" borderId="213"/>
    <xf numFmtId="180" fontId="62" fillId="0" borderId="213"/>
    <xf numFmtId="175" fontId="62" fillId="0" borderId="213"/>
    <xf numFmtId="180" fontId="62" fillId="0" borderId="213"/>
    <xf numFmtId="172" fontId="62" fillId="0" borderId="213"/>
    <xf numFmtId="172" fontId="62" fillId="0" borderId="213"/>
    <xf numFmtId="180"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7" fontId="62" fillId="0" borderId="213"/>
    <xf numFmtId="0" fontId="11" fillId="22" borderId="209" applyNumberFormat="0" applyAlignment="0" applyProtection="0"/>
    <xf numFmtId="181" fontId="62" fillId="0" borderId="213"/>
    <xf numFmtId="180" fontId="62" fillId="0" borderId="213"/>
    <xf numFmtId="172" fontId="62" fillId="0" borderId="213"/>
    <xf numFmtId="172" fontId="62" fillId="0" borderId="213"/>
    <xf numFmtId="175" fontId="62" fillId="0" borderId="213"/>
    <xf numFmtId="175" fontId="62" fillId="0" borderId="213"/>
    <xf numFmtId="172" fontId="62" fillId="0" borderId="213"/>
    <xf numFmtId="0" fontId="23" fillId="0" borderId="212" applyNumberFormat="0" applyFill="0" applyAlignment="0" applyProtection="0"/>
    <xf numFmtId="175" fontId="62" fillId="0" borderId="213"/>
    <xf numFmtId="0" fontId="18" fillId="9" borderId="209" applyNumberFormat="0" applyAlignment="0" applyProtection="0"/>
    <xf numFmtId="0" fontId="21" fillId="22" borderId="211" applyNumberFormat="0" applyAlignment="0" applyProtection="0"/>
    <xf numFmtId="0" fontId="8" fillId="25" borderId="210" applyNumberFormat="0" applyFont="0" applyAlignment="0" applyProtection="0"/>
    <xf numFmtId="180" fontId="62" fillId="0" borderId="213"/>
    <xf numFmtId="0" fontId="11" fillId="22" borderId="209" applyNumberFormat="0" applyAlignment="0" applyProtection="0"/>
    <xf numFmtId="0" fontId="18" fillId="9" borderId="209" applyNumberFormat="0" applyAlignment="0" applyProtection="0"/>
    <xf numFmtId="175" fontId="62" fillId="0" borderId="213"/>
    <xf numFmtId="172" fontId="62" fillId="0" borderId="213"/>
    <xf numFmtId="180" fontId="62" fillId="0" borderId="213"/>
    <xf numFmtId="175" fontId="62" fillId="0" borderId="213"/>
    <xf numFmtId="172" fontId="62" fillId="0" borderId="213"/>
    <xf numFmtId="173" fontId="62" fillId="0" borderId="213"/>
    <xf numFmtId="172" fontId="62" fillId="0" borderId="213"/>
    <xf numFmtId="175" fontId="62" fillId="0" borderId="213"/>
    <xf numFmtId="180" fontId="62" fillId="0" borderId="213"/>
    <xf numFmtId="172" fontId="62" fillId="0" borderId="213"/>
    <xf numFmtId="180" fontId="62" fillId="0" borderId="213"/>
    <xf numFmtId="0" fontId="11" fillId="22" borderId="209" applyNumberFormat="0" applyAlignment="0" applyProtection="0"/>
    <xf numFmtId="182" fontId="62" fillId="0" borderId="213"/>
    <xf numFmtId="176" fontId="62" fillId="0" borderId="213"/>
    <xf numFmtId="180"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23" fillId="0" borderId="212" applyNumberFormat="0" applyFill="0" applyAlignment="0" applyProtection="0"/>
    <xf numFmtId="180" fontId="62" fillId="0" borderId="213"/>
    <xf numFmtId="180" fontId="62" fillId="0" borderId="213"/>
    <xf numFmtId="175" fontId="62" fillId="0" borderId="213"/>
    <xf numFmtId="174" fontId="62" fillId="0" borderId="213"/>
    <xf numFmtId="0" fontId="8" fillId="25" borderId="210" applyNumberFormat="0" applyFont="0" applyAlignment="0" applyProtection="0"/>
    <xf numFmtId="175"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1" fillId="22" borderId="209" applyNumberFormat="0" applyAlignment="0" applyProtection="0"/>
    <xf numFmtId="0" fontId="11" fillId="22" borderId="209" applyNumberFormat="0" applyAlignment="0" applyProtection="0"/>
    <xf numFmtId="0" fontId="21" fillId="22" borderId="211"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18" fillId="9" borderId="209" applyNumberFormat="0" applyAlignment="0" applyProtection="0"/>
    <xf numFmtId="0" fontId="11" fillId="22" borderId="209" applyNumberFormat="0" applyAlignment="0" applyProtection="0"/>
    <xf numFmtId="177" fontId="62" fillId="0" borderId="213"/>
    <xf numFmtId="0" fontId="8" fillId="25" borderId="210" applyNumberFormat="0" applyFont="0" applyAlignment="0" applyProtection="0"/>
    <xf numFmtId="0" fontId="11" fillId="22" borderId="209" applyNumberFormat="0" applyAlignment="0" applyProtection="0"/>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8" fillId="25" borderId="210" applyNumberFormat="0" applyFont="0" applyAlignment="0" applyProtection="0"/>
    <xf numFmtId="0" fontId="21" fillId="22" borderId="211" applyNumberFormat="0" applyAlignment="0" applyProtection="0"/>
    <xf numFmtId="0" fontId="21" fillId="22" borderId="211" applyNumberFormat="0" applyAlignment="0" applyProtection="0"/>
    <xf numFmtId="0" fontId="21" fillId="22" borderId="211" applyNumberForma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3" fillId="0" borderId="212" applyNumberFormat="0" applyFill="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0" fontId="62" fillId="0" borderId="213"/>
    <xf numFmtId="180" fontId="62" fillId="0" borderId="213"/>
    <xf numFmtId="181" fontId="62" fillId="0" borderId="213"/>
    <xf numFmtId="172" fontId="62" fillId="0" borderId="213"/>
    <xf numFmtId="175" fontId="62" fillId="0" borderId="213"/>
    <xf numFmtId="175" fontId="62" fillId="0" borderId="213"/>
    <xf numFmtId="177" fontId="62" fillId="0" borderId="213"/>
    <xf numFmtId="172"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0" fontId="18" fillId="9" borderId="209" applyNumberFormat="0" applyAlignment="0" applyProtection="0"/>
    <xf numFmtId="0" fontId="8" fillId="25" borderId="210" applyNumberFormat="0" applyFont="0" applyAlignment="0" applyProtection="0"/>
    <xf numFmtId="176" fontId="62" fillId="0" borderId="213"/>
    <xf numFmtId="180" fontId="62" fillId="0" borderId="213"/>
    <xf numFmtId="172" fontId="62" fillId="0" borderId="213"/>
    <xf numFmtId="173" fontId="62" fillId="0" borderId="213"/>
    <xf numFmtId="174" fontId="62" fillId="0" borderId="213"/>
    <xf numFmtId="0" fontId="8" fillId="25" borderId="210" applyNumberFormat="0" applyFont="0" applyAlignment="0" applyProtection="0"/>
    <xf numFmtId="175" fontId="62" fillId="0" borderId="213"/>
    <xf numFmtId="176" fontId="62" fillId="0" borderId="213"/>
    <xf numFmtId="177" fontId="62" fillId="0" borderId="213"/>
    <xf numFmtId="176" fontId="62" fillId="0" borderId="213"/>
    <xf numFmtId="180" fontId="62" fillId="0" borderId="213"/>
    <xf numFmtId="181" fontId="62" fillId="0" borderId="213"/>
    <xf numFmtId="182" fontId="62" fillId="0" borderId="213"/>
    <xf numFmtId="175" fontId="62" fillId="0" borderId="213"/>
    <xf numFmtId="172" fontId="62" fillId="0" borderId="213"/>
    <xf numFmtId="0" fontId="11" fillId="22" borderId="209" applyNumberFormat="0" applyAlignment="0" applyProtection="0"/>
    <xf numFmtId="0" fontId="8" fillId="25" borderId="210" applyNumberFormat="0" applyFont="0" applyAlignment="0" applyProtection="0"/>
    <xf numFmtId="0" fontId="11" fillId="22" borderId="209" applyNumberFormat="0" applyAlignment="0" applyProtection="0"/>
    <xf numFmtId="182" fontId="62" fillId="0" borderId="213"/>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74" fontId="62" fillId="0" borderId="213"/>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3" fontId="62" fillId="0" borderId="213"/>
    <xf numFmtId="174" fontId="62" fillId="0" borderId="213"/>
    <xf numFmtId="0" fontId="18" fillId="9" borderId="209" applyNumberFormat="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7" fontId="62" fillId="0" borderId="213"/>
    <xf numFmtId="172" fontId="62" fillId="0" borderId="213"/>
    <xf numFmtId="173" fontId="62" fillId="0" borderId="213"/>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172" fontId="62" fillId="0" borderId="213"/>
    <xf numFmtId="180" fontId="62" fillId="0" borderId="213"/>
    <xf numFmtId="175" fontId="62" fillId="0" borderId="213"/>
    <xf numFmtId="175" fontId="62" fillId="0" borderId="213"/>
    <xf numFmtId="180" fontId="62" fillId="0" borderId="213"/>
    <xf numFmtId="172"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172" fontId="62" fillId="0" borderId="213"/>
    <xf numFmtId="182" fontId="62" fillId="0" borderId="213"/>
    <xf numFmtId="175" fontId="62" fillId="0" borderId="213"/>
    <xf numFmtId="177" fontId="62" fillId="0" borderId="213"/>
    <xf numFmtId="174" fontId="62" fillId="0" borderId="213"/>
    <xf numFmtId="173" fontId="62" fillId="0" borderId="213"/>
    <xf numFmtId="180"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180" fontId="62" fillId="0" borderId="213"/>
    <xf numFmtId="181"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2" fontId="62" fillId="0" borderId="213"/>
    <xf numFmtId="175" fontId="62" fillId="0" borderId="213"/>
    <xf numFmtId="175" fontId="62" fillId="0" borderId="213"/>
    <xf numFmtId="0" fontId="21" fillId="22" borderId="211" applyNumberFormat="0" applyAlignment="0" applyProtection="0"/>
    <xf numFmtId="180" fontId="62" fillId="0" borderId="213"/>
    <xf numFmtId="175" fontId="62" fillId="0" borderId="213"/>
    <xf numFmtId="0" fontId="21" fillId="22" borderId="211" applyNumberFormat="0" applyAlignment="0" applyProtection="0"/>
    <xf numFmtId="0" fontId="8" fillId="25" borderId="210" applyNumberFormat="0" applyFont="0" applyAlignment="0" applyProtection="0"/>
    <xf numFmtId="172" fontId="62" fillId="0" borderId="213"/>
    <xf numFmtId="0" fontId="8" fillId="25" borderId="210" applyNumberFormat="0" applyFont="0" applyAlignment="0" applyProtection="0"/>
    <xf numFmtId="174" fontId="62" fillId="0" borderId="213"/>
    <xf numFmtId="0" fontId="23" fillId="0" borderId="212" applyNumberFormat="0" applyFill="0" applyAlignment="0" applyProtection="0"/>
    <xf numFmtId="176" fontId="62" fillId="0" borderId="213"/>
    <xf numFmtId="175" fontId="62" fillId="0" borderId="213"/>
    <xf numFmtId="0" fontId="23" fillId="0" borderId="212" applyNumberFormat="0" applyFill="0" applyAlignment="0" applyProtection="0"/>
    <xf numFmtId="182" fontId="62" fillId="0" borderId="213"/>
    <xf numFmtId="175" fontId="62" fillId="0" borderId="213"/>
    <xf numFmtId="175" fontId="62" fillId="0" borderId="213"/>
    <xf numFmtId="0" fontId="18" fillId="9" borderId="209" applyNumberFormat="0" applyAlignment="0" applyProtection="0"/>
    <xf numFmtId="0" fontId="21" fillId="22" borderId="211" applyNumberFormat="0" applyAlignment="0" applyProtection="0"/>
    <xf numFmtId="172" fontId="62" fillId="0" borderId="213"/>
    <xf numFmtId="0" fontId="8" fillId="25" borderId="210" applyNumberFormat="0" applyFont="0" applyAlignment="0" applyProtection="0"/>
    <xf numFmtId="173" fontId="62" fillId="0" borderId="213"/>
    <xf numFmtId="177"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172" fontId="62" fillId="0" borderId="213"/>
    <xf numFmtId="180" fontId="62" fillId="0" borderId="213"/>
    <xf numFmtId="0" fontId="18" fillId="9" borderId="209" applyNumberFormat="0" applyAlignment="0" applyProtection="0"/>
    <xf numFmtId="172" fontId="62" fillId="0" borderId="213"/>
    <xf numFmtId="0" fontId="21" fillId="22" borderId="211" applyNumberFormat="0" applyAlignment="0" applyProtection="0"/>
    <xf numFmtId="180" fontId="62" fillId="0" borderId="213"/>
    <xf numFmtId="172" fontId="62" fillId="0" borderId="213"/>
    <xf numFmtId="180" fontId="62" fillId="0" borderId="213"/>
    <xf numFmtId="175" fontId="62" fillId="0" borderId="213"/>
    <xf numFmtId="173" fontId="62" fillId="0" borderId="213"/>
    <xf numFmtId="172" fontId="62" fillId="0" borderId="213"/>
    <xf numFmtId="175" fontId="62" fillId="0" borderId="213"/>
    <xf numFmtId="174" fontId="62" fillId="0" borderId="213"/>
    <xf numFmtId="181" fontId="62" fillId="0" borderId="213"/>
    <xf numFmtId="180" fontId="62" fillId="0" borderId="213"/>
    <xf numFmtId="175" fontId="62" fillId="0" borderId="213"/>
    <xf numFmtId="172" fontId="62" fillId="0" borderId="213"/>
    <xf numFmtId="180" fontId="62" fillId="0" borderId="213"/>
    <xf numFmtId="175" fontId="62" fillId="0" borderId="213"/>
    <xf numFmtId="172" fontId="62" fillId="0" borderId="213"/>
    <xf numFmtId="180" fontId="62" fillId="0" borderId="213"/>
    <xf numFmtId="180" fontId="62" fillId="0" borderId="213"/>
    <xf numFmtId="181" fontId="62" fillId="0" borderId="213"/>
    <xf numFmtId="177" fontId="62" fillId="0" borderId="213"/>
    <xf numFmtId="172" fontId="62" fillId="0" borderId="213"/>
    <xf numFmtId="0" fontId="23" fillId="0" borderId="212" applyNumberFormat="0" applyFill="0" applyAlignment="0" applyProtection="0"/>
    <xf numFmtId="0" fontId="11" fillId="22" borderId="209" applyNumberFormat="0" applyAlignment="0" applyProtection="0"/>
    <xf numFmtId="172" fontId="62" fillId="0" borderId="213"/>
    <xf numFmtId="174" fontId="62" fillId="0" borderId="213"/>
    <xf numFmtId="172" fontId="62" fillId="0" borderId="213"/>
    <xf numFmtId="175" fontId="62" fillId="0" borderId="213"/>
    <xf numFmtId="180" fontId="62" fillId="0" borderId="213"/>
    <xf numFmtId="172" fontId="62" fillId="0" borderId="213"/>
    <xf numFmtId="0" fontId="18" fillId="9" borderId="209" applyNumberFormat="0" applyAlignment="0" applyProtection="0"/>
    <xf numFmtId="174" fontId="62" fillId="0" borderId="213"/>
    <xf numFmtId="0" fontId="11" fillId="22" borderId="209" applyNumberFormat="0" applyAlignment="0" applyProtection="0"/>
    <xf numFmtId="182" fontId="62" fillId="0" borderId="213"/>
    <xf numFmtId="172" fontId="62" fillId="0" borderId="213"/>
    <xf numFmtId="173" fontId="62" fillId="0" borderId="213"/>
    <xf numFmtId="175" fontId="62" fillId="0" borderId="213"/>
    <xf numFmtId="176" fontId="62" fillId="0" borderId="213"/>
    <xf numFmtId="175" fontId="62" fillId="0" borderId="213"/>
    <xf numFmtId="175" fontId="62" fillId="0" borderId="213"/>
    <xf numFmtId="0" fontId="11" fillId="22" borderId="209" applyNumberFormat="0" applyAlignment="0" applyProtection="0"/>
    <xf numFmtId="172" fontId="62" fillId="0" borderId="213"/>
    <xf numFmtId="175" fontId="62" fillId="0" borderId="213"/>
    <xf numFmtId="182" fontId="62" fillId="0" borderId="213"/>
    <xf numFmtId="172" fontId="62" fillId="0" borderId="213"/>
    <xf numFmtId="175" fontId="62" fillId="0" borderId="213"/>
    <xf numFmtId="177" fontId="62" fillId="0" borderId="213"/>
    <xf numFmtId="173" fontId="62" fillId="0" borderId="213"/>
    <xf numFmtId="181" fontId="62" fillId="0" borderId="213"/>
    <xf numFmtId="182" fontId="62" fillId="0" borderId="213"/>
    <xf numFmtId="180" fontId="62" fillId="0" borderId="213"/>
    <xf numFmtId="0" fontId="8" fillId="25" borderId="210" applyNumberFormat="0" applyFont="0" applyAlignment="0" applyProtection="0"/>
    <xf numFmtId="172" fontId="62" fillId="0" borderId="213"/>
    <xf numFmtId="180" fontId="62" fillId="0" borderId="213"/>
    <xf numFmtId="180" fontId="62" fillId="0" borderId="213"/>
    <xf numFmtId="0" fontId="8" fillId="25" borderId="210" applyNumberFormat="0" applyFont="0" applyAlignment="0" applyProtection="0"/>
    <xf numFmtId="180" fontId="62" fillId="0" borderId="213"/>
    <xf numFmtId="177"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0" fontId="21" fillId="22" borderId="211" applyNumberFormat="0" applyAlignment="0" applyProtection="0"/>
    <xf numFmtId="175" fontId="62" fillId="0" borderId="213"/>
    <xf numFmtId="175" fontId="62" fillId="0" borderId="213"/>
    <xf numFmtId="173" fontId="62" fillId="0" borderId="213"/>
    <xf numFmtId="175" fontId="62" fillId="0" borderId="213"/>
    <xf numFmtId="180" fontId="62" fillId="0" borderId="213"/>
    <xf numFmtId="180" fontId="62" fillId="0" borderId="213"/>
    <xf numFmtId="172" fontId="62" fillId="0" borderId="213"/>
    <xf numFmtId="175" fontId="62" fillId="0" borderId="213"/>
    <xf numFmtId="180" fontId="62" fillId="0" borderId="213"/>
    <xf numFmtId="172" fontId="62" fillId="0" borderId="213"/>
    <xf numFmtId="174" fontId="62" fillId="0" borderId="213"/>
    <xf numFmtId="180" fontId="62" fillId="0" borderId="213"/>
    <xf numFmtId="0" fontId="23" fillId="0" borderId="212" applyNumberFormat="0" applyFill="0" applyAlignment="0" applyProtection="0"/>
    <xf numFmtId="175" fontId="62" fillId="0" borderId="213"/>
    <xf numFmtId="175" fontId="62" fillId="0" borderId="213"/>
    <xf numFmtId="180" fontId="62" fillId="0" borderId="213"/>
    <xf numFmtId="172" fontId="62" fillId="0" borderId="213"/>
    <xf numFmtId="0" fontId="18" fillId="9" borderId="209" applyNumberFormat="0" applyAlignment="0" applyProtection="0"/>
    <xf numFmtId="177" fontId="62" fillId="0" borderId="213"/>
    <xf numFmtId="176" fontId="62" fillId="0" borderId="213"/>
    <xf numFmtId="181" fontId="62" fillId="0" borderId="213"/>
    <xf numFmtId="176" fontId="62" fillId="0" borderId="213"/>
    <xf numFmtId="181" fontId="62" fillId="0" borderId="213"/>
    <xf numFmtId="173" fontId="62" fillId="0" borderId="213"/>
    <xf numFmtId="181" fontId="62" fillId="0" borderId="213"/>
    <xf numFmtId="182" fontId="62" fillId="0" borderId="213"/>
    <xf numFmtId="175" fontId="62" fillId="0" borderId="213"/>
    <xf numFmtId="182" fontId="62" fillId="0" borderId="213"/>
    <xf numFmtId="177" fontId="62" fillId="0" borderId="213"/>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0" fontId="62" fillId="0" borderId="213"/>
    <xf numFmtId="172" fontId="62" fillId="0" borderId="213"/>
    <xf numFmtId="175" fontId="62" fillId="0" borderId="213"/>
    <xf numFmtId="180" fontId="62" fillId="0" borderId="213"/>
    <xf numFmtId="180" fontId="62" fillId="0" borderId="213"/>
    <xf numFmtId="180" fontId="62" fillId="0" borderId="213"/>
    <xf numFmtId="175" fontId="62" fillId="0" borderId="213"/>
    <xf numFmtId="180" fontId="62" fillId="0" borderId="213"/>
    <xf numFmtId="180" fontId="62" fillId="0" borderId="213"/>
    <xf numFmtId="175" fontId="62" fillId="0" borderId="213"/>
    <xf numFmtId="175" fontId="62" fillId="0" borderId="213"/>
    <xf numFmtId="0" fontId="21" fillId="22" borderId="211" applyNumberFormat="0" applyAlignment="0" applyProtection="0"/>
    <xf numFmtId="175" fontId="62" fillId="0" borderId="213"/>
    <xf numFmtId="0" fontId="23" fillId="0" borderId="212" applyNumberFormat="0" applyFill="0" applyAlignment="0" applyProtection="0"/>
    <xf numFmtId="172" fontId="62" fillId="0" borderId="213"/>
    <xf numFmtId="172" fontId="62" fillId="0" borderId="213"/>
    <xf numFmtId="175" fontId="62" fillId="0" borderId="213"/>
    <xf numFmtId="176" fontId="62" fillId="0" borderId="213"/>
    <xf numFmtId="0" fontId="18" fillId="9" borderId="209" applyNumberFormat="0" applyAlignment="0" applyProtection="0"/>
    <xf numFmtId="172" fontId="62" fillId="0" borderId="213"/>
    <xf numFmtId="0" fontId="21" fillId="22" borderId="211" applyNumberFormat="0" applyAlignment="0" applyProtection="0"/>
    <xf numFmtId="174" fontId="62" fillId="0" borderId="213"/>
    <xf numFmtId="172" fontId="62" fillId="0" borderId="213"/>
    <xf numFmtId="0" fontId="18" fillId="9" borderId="209" applyNumberFormat="0" applyAlignment="0" applyProtection="0"/>
    <xf numFmtId="177" fontId="62" fillId="0" borderId="213"/>
    <xf numFmtId="0" fontId="11" fillId="22" borderId="209" applyNumberFormat="0" applyAlignment="0" applyProtection="0"/>
    <xf numFmtId="172" fontId="62" fillId="0" borderId="213"/>
    <xf numFmtId="17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6" fontId="62" fillId="0" borderId="213"/>
    <xf numFmtId="180" fontId="62" fillId="0" borderId="213"/>
    <xf numFmtId="172" fontId="62" fillId="0" borderId="213"/>
    <xf numFmtId="172" fontId="62" fillId="0" borderId="213"/>
    <xf numFmtId="0" fontId="23" fillId="0" borderId="212" applyNumberFormat="0" applyFill="0" applyAlignment="0" applyProtection="0"/>
    <xf numFmtId="180" fontId="62" fillId="0" borderId="213"/>
    <xf numFmtId="172" fontId="62" fillId="0" borderId="213"/>
    <xf numFmtId="172" fontId="62" fillId="0" borderId="213"/>
    <xf numFmtId="180" fontId="62" fillId="0" borderId="213"/>
    <xf numFmtId="175" fontId="62" fillId="0" borderId="213"/>
    <xf numFmtId="175" fontId="62" fillId="0" borderId="213"/>
    <xf numFmtId="180" fontId="62" fillId="0" borderId="213"/>
    <xf numFmtId="180" fontId="62" fillId="0" borderId="213"/>
    <xf numFmtId="180" fontId="62" fillId="0" borderId="213"/>
    <xf numFmtId="172" fontId="62" fillId="0" borderId="213"/>
    <xf numFmtId="174" fontId="62" fillId="0" borderId="213"/>
    <xf numFmtId="172" fontId="62" fillId="0" borderId="213"/>
    <xf numFmtId="180" fontId="62" fillId="0" borderId="213"/>
    <xf numFmtId="0" fontId="18" fillId="9" borderId="209" applyNumberFormat="0" applyAlignment="0" applyProtection="0"/>
    <xf numFmtId="180" fontId="62" fillId="0" borderId="213"/>
    <xf numFmtId="180" fontId="62" fillId="0" borderId="213"/>
    <xf numFmtId="0" fontId="23" fillId="0" borderId="212" applyNumberFormat="0" applyFill="0" applyAlignment="0" applyProtection="0"/>
    <xf numFmtId="172" fontId="62" fillId="0" borderId="213"/>
    <xf numFmtId="0" fontId="8" fillId="25" borderId="210" applyNumberFormat="0" applyFont="0" applyAlignment="0" applyProtection="0"/>
    <xf numFmtId="0" fontId="18" fillId="9" borderId="209" applyNumberFormat="0" applyAlignment="0" applyProtection="0"/>
    <xf numFmtId="172" fontId="62" fillId="0" borderId="213"/>
    <xf numFmtId="180" fontId="62" fillId="0" borderId="213"/>
    <xf numFmtId="0" fontId="8" fillId="25" borderId="210" applyNumberFormat="0" applyFont="0" applyAlignment="0" applyProtection="0"/>
    <xf numFmtId="0" fontId="11" fillId="22" borderId="209" applyNumberFormat="0" applyAlignment="0" applyProtection="0"/>
    <xf numFmtId="172"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2" fontId="62" fillId="0" borderId="213"/>
    <xf numFmtId="181" fontId="62" fillId="0" borderId="213"/>
    <xf numFmtId="175" fontId="62" fillId="0" borderId="213"/>
    <xf numFmtId="175" fontId="62" fillId="0" borderId="213"/>
    <xf numFmtId="174" fontId="62" fillId="0" borderId="213"/>
    <xf numFmtId="180" fontId="62" fillId="0" borderId="213"/>
    <xf numFmtId="173" fontId="62" fillId="0" borderId="213"/>
    <xf numFmtId="0" fontId="21" fillId="22" borderId="211" applyNumberFormat="0" applyAlignment="0" applyProtection="0"/>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6" fontId="62" fillId="0" borderId="213"/>
    <xf numFmtId="175" fontId="62" fillId="0" borderId="213"/>
    <xf numFmtId="182" fontId="62" fillId="0" borderId="213"/>
    <xf numFmtId="177" fontId="62" fillId="0" borderId="213"/>
    <xf numFmtId="173"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5" fontId="62" fillId="0" borderId="213"/>
    <xf numFmtId="175" fontId="62" fillId="0" borderId="213"/>
    <xf numFmtId="175" fontId="62" fillId="0" borderId="213"/>
    <xf numFmtId="172" fontId="62" fillId="0" borderId="213"/>
    <xf numFmtId="0" fontId="18" fillId="9" borderId="209" applyNumberFormat="0" applyAlignment="0" applyProtection="0"/>
    <xf numFmtId="175" fontId="62" fillId="0" borderId="213"/>
    <xf numFmtId="172" fontId="62" fillId="0" borderId="213"/>
    <xf numFmtId="180" fontId="62" fillId="0" borderId="213"/>
    <xf numFmtId="174" fontId="62" fillId="0" borderId="213"/>
    <xf numFmtId="174" fontId="62" fillId="0" borderId="213"/>
    <xf numFmtId="172" fontId="62" fillId="0" borderId="213"/>
    <xf numFmtId="174" fontId="62" fillId="0" borderId="213"/>
    <xf numFmtId="175" fontId="62" fillId="0" borderId="213"/>
    <xf numFmtId="177" fontId="62" fillId="0" borderId="213"/>
    <xf numFmtId="172" fontId="62" fillId="0" borderId="213"/>
    <xf numFmtId="0" fontId="11" fillId="22" borderId="209" applyNumberFormat="0" applyAlignment="0" applyProtection="0"/>
    <xf numFmtId="180" fontId="62" fillId="0" borderId="213"/>
    <xf numFmtId="180" fontId="62" fillId="0" borderId="213"/>
    <xf numFmtId="180" fontId="62" fillId="0" borderId="213"/>
    <xf numFmtId="172" fontId="62" fillId="0" borderId="213"/>
    <xf numFmtId="0" fontId="8" fillId="25" borderId="210" applyNumberFormat="0" applyFont="0" applyAlignment="0" applyProtection="0"/>
    <xf numFmtId="172" fontId="62" fillId="0" borderId="213"/>
    <xf numFmtId="181" fontId="62" fillId="0" borderId="213"/>
    <xf numFmtId="175" fontId="62" fillId="0" borderId="213"/>
    <xf numFmtId="176" fontId="62" fillId="0" borderId="213"/>
    <xf numFmtId="0" fontId="18" fillId="9" borderId="209" applyNumberFormat="0" applyAlignment="0" applyProtection="0"/>
    <xf numFmtId="172" fontId="62" fillId="0" borderId="213"/>
    <xf numFmtId="180" fontId="62" fillId="0" borderId="213"/>
    <xf numFmtId="175" fontId="62" fillId="0" borderId="213"/>
    <xf numFmtId="180" fontId="62" fillId="0" borderId="213"/>
    <xf numFmtId="172" fontId="62" fillId="0" borderId="213"/>
    <xf numFmtId="180" fontId="62" fillId="0" borderId="213"/>
    <xf numFmtId="175" fontId="62" fillId="0" borderId="213"/>
    <xf numFmtId="175" fontId="62" fillId="0" borderId="213"/>
    <xf numFmtId="172" fontId="62" fillId="0" borderId="213"/>
    <xf numFmtId="175" fontId="62" fillId="0" borderId="213"/>
    <xf numFmtId="176" fontId="62" fillId="0" borderId="213"/>
    <xf numFmtId="175" fontId="62" fillId="0" borderId="213"/>
    <xf numFmtId="180" fontId="62" fillId="0" borderId="213"/>
    <xf numFmtId="180" fontId="62" fillId="0" borderId="213"/>
    <xf numFmtId="172" fontId="62" fillId="0" borderId="213"/>
    <xf numFmtId="0" fontId="21" fillId="22" borderId="211" applyNumberFormat="0" applyAlignment="0" applyProtection="0"/>
    <xf numFmtId="173" fontId="62" fillId="0" borderId="213"/>
    <xf numFmtId="0" fontId="23" fillId="0" borderId="212" applyNumberFormat="0" applyFill="0" applyAlignment="0" applyProtection="0"/>
    <xf numFmtId="0" fontId="8" fillId="25" borderId="210" applyNumberFormat="0" applyFont="0" applyAlignment="0" applyProtection="0"/>
    <xf numFmtId="175" fontId="62" fillId="0" borderId="213"/>
    <xf numFmtId="176" fontId="62" fillId="0" borderId="213"/>
    <xf numFmtId="0" fontId="23" fillId="0" borderId="212" applyNumberFormat="0" applyFill="0" applyAlignment="0" applyProtection="0"/>
    <xf numFmtId="175" fontId="62" fillId="0" borderId="213"/>
    <xf numFmtId="0" fontId="21" fillId="22" borderId="211" applyNumberFormat="0" applyAlignment="0" applyProtection="0"/>
    <xf numFmtId="172" fontId="62" fillId="0" borderId="213"/>
    <xf numFmtId="182" fontId="62" fillId="0" borderId="213"/>
    <xf numFmtId="172" fontId="62" fillId="0" borderId="213"/>
    <xf numFmtId="180" fontId="62" fillId="0" borderId="213"/>
    <xf numFmtId="0" fontId="11" fillId="22" borderId="209" applyNumberFormat="0" applyAlignment="0" applyProtection="0"/>
    <xf numFmtId="175" fontId="62" fillId="0" borderId="213"/>
    <xf numFmtId="181" fontId="62" fillId="0" borderId="213"/>
    <xf numFmtId="175" fontId="62" fillId="0" borderId="213"/>
    <xf numFmtId="172" fontId="62" fillId="0" borderId="213"/>
    <xf numFmtId="175" fontId="62" fillId="0" borderId="213"/>
    <xf numFmtId="173" fontId="62" fillId="0" borderId="213"/>
    <xf numFmtId="180" fontId="62" fillId="0" borderId="213"/>
    <xf numFmtId="177" fontId="62" fillId="0" borderId="213"/>
    <xf numFmtId="175" fontId="62" fillId="0" borderId="213"/>
    <xf numFmtId="173" fontId="62" fillId="0" borderId="213"/>
    <xf numFmtId="172" fontId="62" fillId="0" borderId="213"/>
    <xf numFmtId="181" fontId="62" fillId="0" borderId="213"/>
    <xf numFmtId="182" fontId="62" fillId="0" borderId="213"/>
    <xf numFmtId="180" fontId="62" fillId="0" borderId="213"/>
    <xf numFmtId="180" fontId="62" fillId="0" borderId="213"/>
    <xf numFmtId="180" fontId="62" fillId="0" borderId="213"/>
    <xf numFmtId="172" fontId="62" fillId="0" borderId="213"/>
    <xf numFmtId="180"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2" fontId="62" fillId="0" borderId="213"/>
    <xf numFmtId="172" fontId="62" fillId="0" borderId="213"/>
    <xf numFmtId="175" fontId="62" fillId="0" borderId="213"/>
    <xf numFmtId="180" fontId="62" fillId="0" borderId="213"/>
    <xf numFmtId="172" fontId="62" fillId="0" borderId="213"/>
    <xf numFmtId="0" fontId="8" fillId="25" borderId="210" applyNumberFormat="0" applyFont="0" applyAlignment="0" applyProtection="0"/>
    <xf numFmtId="175" fontId="62" fillId="0" borderId="213"/>
    <xf numFmtId="177" fontId="62" fillId="0" borderId="213"/>
    <xf numFmtId="180" fontId="62" fillId="0" borderId="213"/>
    <xf numFmtId="172" fontId="62" fillId="0" borderId="213"/>
    <xf numFmtId="175"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80" fontId="62" fillId="0" borderId="213"/>
    <xf numFmtId="172" fontId="62" fillId="0" borderId="213"/>
    <xf numFmtId="180" fontId="62" fillId="0" borderId="213"/>
    <xf numFmtId="180" fontId="62" fillId="0" borderId="213"/>
    <xf numFmtId="175" fontId="62" fillId="0" borderId="213"/>
    <xf numFmtId="175" fontId="62" fillId="0" borderId="213"/>
    <xf numFmtId="172" fontId="62" fillId="0" borderId="213"/>
    <xf numFmtId="17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5"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182" fontId="62" fillId="0" borderId="213"/>
    <xf numFmtId="181" fontId="62" fillId="0" borderId="213"/>
    <xf numFmtId="180" fontId="62" fillId="0" borderId="213"/>
    <xf numFmtId="172" fontId="62" fillId="0" borderId="213"/>
    <xf numFmtId="176" fontId="62" fillId="0" borderId="213"/>
    <xf numFmtId="177" fontId="62" fillId="0" borderId="213"/>
    <xf numFmtId="176" fontId="62" fillId="0" borderId="213"/>
    <xf numFmtId="175" fontId="62" fillId="0" borderId="213"/>
    <xf numFmtId="177" fontId="62" fillId="0" borderId="213"/>
    <xf numFmtId="181" fontId="62" fillId="0" borderId="213"/>
    <xf numFmtId="174" fontId="62" fillId="0" borderId="213"/>
    <xf numFmtId="0" fontId="11" fillId="22" borderId="209" applyNumberFormat="0" applyAlignment="0" applyProtection="0"/>
    <xf numFmtId="173" fontId="62" fillId="0" borderId="213"/>
    <xf numFmtId="180" fontId="62" fillId="0" borderId="213"/>
    <xf numFmtId="177" fontId="62" fillId="0" borderId="213"/>
    <xf numFmtId="175" fontId="62" fillId="0" borderId="213"/>
    <xf numFmtId="172" fontId="62" fillId="0" borderId="213"/>
    <xf numFmtId="0" fontId="21" fillId="22" borderId="211" applyNumberFormat="0" applyAlignment="0" applyProtection="0"/>
    <xf numFmtId="0" fontId="23" fillId="0" borderId="212" applyNumberFormat="0" applyFill="0" applyAlignment="0" applyProtection="0"/>
    <xf numFmtId="181" fontId="62" fillId="0" borderId="213"/>
    <xf numFmtId="176" fontId="62" fillId="0" borderId="213"/>
    <xf numFmtId="174" fontId="62" fillId="0" borderId="213"/>
    <xf numFmtId="173" fontId="62" fillId="0" borderId="213"/>
    <xf numFmtId="172" fontId="62" fillId="0" borderId="213"/>
    <xf numFmtId="182"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11" fillId="22" borderId="209" applyNumberFormat="0" applyAlignment="0" applyProtection="0"/>
    <xf numFmtId="0" fontId="11" fillId="22" borderId="209" applyNumberFormat="0" applyAlignment="0" applyProtection="0"/>
    <xf numFmtId="0" fontId="21" fillId="22" borderId="211" applyNumberFormat="0" applyAlignment="0" applyProtection="0"/>
    <xf numFmtId="174"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172"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0" fontId="8" fillId="25" borderId="210" applyNumberFormat="0" applyFont="0" applyAlignment="0" applyProtection="0"/>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2" fontId="62" fillId="0" borderId="213"/>
    <xf numFmtId="180" fontId="62" fillId="0" borderId="213"/>
    <xf numFmtId="0" fontId="11" fillId="22" borderId="209" applyNumberFormat="0" applyAlignment="0" applyProtection="0"/>
    <xf numFmtId="182" fontId="62" fillId="0" borderId="213"/>
    <xf numFmtId="172" fontId="62" fillId="0" borderId="213"/>
    <xf numFmtId="0" fontId="23" fillId="0" borderId="212" applyNumberFormat="0" applyFill="0" applyAlignment="0" applyProtection="0"/>
    <xf numFmtId="180" fontId="62" fillId="0" borderId="213"/>
    <xf numFmtId="0" fontId="11" fillId="22" borderId="209" applyNumberFormat="0" applyAlignment="0" applyProtection="0"/>
    <xf numFmtId="172" fontId="62" fillId="0" borderId="213"/>
    <xf numFmtId="172" fontId="62" fillId="0" borderId="213"/>
    <xf numFmtId="0" fontId="18" fillId="9" borderId="209" applyNumberFormat="0" applyAlignment="0" applyProtection="0"/>
    <xf numFmtId="173" fontId="62" fillId="0" borderId="213"/>
    <xf numFmtId="172" fontId="62" fillId="0" borderId="213"/>
    <xf numFmtId="175" fontId="62" fillId="0" borderId="213"/>
    <xf numFmtId="172" fontId="62" fillId="0" borderId="213"/>
    <xf numFmtId="175" fontId="62" fillId="0" borderId="213"/>
    <xf numFmtId="176" fontId="62" fillId="0" borderId="213"/>
    <xf numFmtId="177" fontId="62" fillId="0" borderId="213"/>
    <xf numFmtId="0" fontId="8" fillId="25" borderId="210" applyNumberFormat="0" applyFont="0" applyAlignment="0" applyProtection="0"/>
    <xf numFmtId="175" fontId="62" fillId="0" borderId="213"/>
    <xf numFmtId="180" fontId="62" fillId="0" borderId="213"/>
    <xf numFmtId="172" fontId="62" fillId="0" borderId="213"/>
    <xf numFmtId="181" fontId="62" fillId="0" borderId="213"/>
    <xf numFmtId="182" fontId="62" fillId="0" borderId="213"/>
    <xf numFmtId="0" fontId="18" fillId="9" borderId="209" applyNumberFormat="0" applyAlignment="0" applyProtection="0"/>
    <xf numFmtId="180" fontId="62" fillId="0" borderId="213"/>
    <xf numFmtId="180" fontId="62" fillId="0" borderId="213"/>
    <xf numFmtId="175" fontId="62" fillId="0" borderId="213"/>
    <xf numFmtId="172" fontId="62" fillId="0" borderId="213"/>
    <xf numFmtId="176" fontId="62" fillId="0" borderId="213"/>
    <xf numFmtId="172" fontId="62" fillId="0" borderId="213"/>
    <xf numFmtId="172" fontId="62" fillId="0" borderId="213"/>
    <xf numFmtId="175" fontId="62" fillId="0" borderId="213"/>
    <xf numFmtId="175" fontId="62" fillId="0" borderId="213"/>
    <xf numFmtId="172" fontId="62" fillId="0" borderId="213"/>
    <xf numFmtId="0" fontId="18" fillId="9" borderId="209" applyNumberForma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8" fillId="25" borderId="210" applyNumberFormat="0" applyFont="0" applyAlignment="0" applyProtection="0"/>
    <xf numFmtId="174" fontId="62" fillId="0" borderId="213"/>
    <xf numFmtId="175" fontId="62" fillId="0" borderId="213"/>
    <xf numFmtId="180" fontId="62" fillId="0" borderId="213"/>
    <xf numFmtId="0" fontId="11" fillId="22" borderId="209" applyNumberFormat="0" applyAlignment="0" applyProtection="0"/>
    <xf numFmtId="174" fontId="62" fillId="0" borderId="213"/>
    <xf numFmtId="173" fontId="62" fillId="0" borderId="213"/>
    <xf numFmtId="0" fontId="21" fillId="22" borderId="211" applyNumberFormat="0" applyAlignment="0" applyProtection="0"/>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4" fontId="62" fillId="0" borderId="213"/>
    <xf numFmtId="176" fontId="62" fillId="0" borderId="213"/>
    <xf numFmtId="177"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1" fontId="62" fillId="0" borderId="213"/>
    <xf numFmtId="175" fontId="62" fillId="0" borderId="213"/>
    <xf numFmtId="180" fontId="62" fillId="0" borderId="213"/>
    <xf numFmtId="175" fontId="62" fillId="0" borderId="213"/>
    <xf numFmtId="177" fontId="62" fillId="0" borderId="213"/>
    <xf numFmtId="173"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175" fontId="62" fillId="0" borderId="213"/>
    <xf numFmtId="180" fontId="62" fillId="0" borderId="213"/>
    <xf numFmtId="175" fontId="62" fillId="0" borderId="213"/>
    <xf numFmtId="172" fontId="62" fillId="0" borderId="213"/>
    <xf numFmtId="180" fontId="62" fillId="0" borderId="213"/>
    <xf numFmtId="175" fontId="62" fillId="0" borderId="213"/>
    <xf numFmtId="180" fontId="62" fillId="0" borderId="213"/>
    <xf numFmtId="172" fontId="62" fillId="0" borderId="213"/>
    <xf numFmtId="172" fontId="62" fillId="0" borderId="213"/>
    <xf numFmtId="180"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7" fontId="62" fillId="0" borderId="213"/>
    <xf numFmtId="0" fontId="11" fillId="22" borderId="209" applyNumberFormat="0" applyAlignment="0" applyProtection="0"/>
    <xf numFmtId="181" fontId="62" fillId="0" borderId="213"/>
    <xf numFmtId="180" fontId="62" fillId="0" borderId="213"/>
    <xf numFmtId="172" fontId="62" fillId="0" borderId="213"/>
    <xf numFmtId="172" fontId="62" fillId="0" borderId="213"/>
    <xf numFmtId="175" fontId="62" fillId="0" borderId="213"/>
    <xf numFmtId="175" fontId="62" fillId="0" borderId="213"/>
    <xf numFmtId="172" fontId="62" fillId="0" borderId="213"/>
    <xf numFmtId="0" fontId="23" fillId="0" borderId="212" applyNumberFormat="0" applyFill="0" applyAlignment="0" applyProtection="0"/>
    <xf numFmtId="175" fontId="62" fillId="0" borderId="213"/>
    <xf numFmtId="0" fontId="18" fillId="9" borderId="209" applyNumberFormat="0" applyAlignment="0" applyProtection="0"/>
    <xf numFmtId="0" fontId="21" fillId="22" borderId="211" applyNumberFormat="0" applyAlignment="0" applyProtection="0"/>
    <xf numFmtId="0" fontId="8" fillId="25" borderId="210" applyNumberFormat="0" applyFont="0" applyAlignment="0" applyProtection="0"/>
    <xf numFmtId="180" fontId="62" fillId="0" borderId="213"/>
    <xf numFmtId="0" fontId="11" fillId="22" borderId="209" applyNumberFormat="0" applyAlignment="0" applyProtection="0"/>
    <xf numFmtId="0" fontId="18" fillId="9" borderId="209" applyNumberFormat="0" applyAlignment="0" applyProtection="0"/>
    <xf numFmtId="175" fontId="62" fillId="0" borderId="213"/>
    <xf numFmtId="172" fontId="62" fillId="0" borderId="213"/>
    <xf numFmtId="180" fontId="62" fillId="0" borderId="213"/>
    <xf numFmtId="175" fontId="62" fillId="0" borderId="213"/>
    <xf numFmtId="172" fontId="62" fillId="0" borderId="213"/>
    <xf numFmtId="173" fontId="62" fillId="0" borderId="213"/>
    <xf numFmtId="172" fontId="62" fillId="0" borderId="213"/>
    <xf numFmtId="175" fontId="62" fillId="0" borderId="213"/>
    <xf numFmtId="180" fontId="62" fillId="0" borderId="213"/>
    <xf numFmtId="172" fontId="62" fillId="0" borderId="213"/>
    <xf numFmtId="180" fontId="62" fillId="0" borderId="213"/>
    <xf numFmtId="0" fontId="11" fillId="22" borderId="209" applyNumberFormat="0" applyAlignment="0" applyProtection="0"/>
    <xf numFmtId="182" fontId="62" fillId="0" borderId="213"/>
    <xf numFmtId="176" fontId="62" fillId="0" borderId="213"/>
    <xf numFmtId="180"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23" fillId="0" borderId="212" applyNumberFormat="0" applyFill="0" applyAlignment="0" applyProtection="0"/>
    <xf numFmtId="180" fontId="62" fillId="0" borderId="213"/>
    <xf numFmtId="180" fontId="62" fillId="0" borderId="213"/>
    <xf numFmtId="175" fontId="62" fillId="0" borderId="213"/>
    <xf numFmtId="174" fontId="62" fillId="0" borderId="213"/>
    <xf numFmtId="0" fontId="8" fillId="25" borderId="210" applyNumberFormat="0" applyFont="0" applyAlignment="0" applyProtection="0"/>
    <xf numFmtId="175"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1" fillId="22" borderId="211" applyNumberFormat="0" applyAlignment="0" applyProtection="0"/>
    <xf numFmtId="0" fontId="21" fillId="22" borderId="211" applyNumberFormat="0" applyAlignment="0" applyProtection="0"/>
    <xf numFmtId="0" fontId="21" fillId="22" borderId="211" applyNumberFormat="0" applyAlignment="0" applyProtection="0"/>
    <xf numFmtId="0" fontId="18" fillId="9" borderId="209" applyNumberFormat="0" applyAlignment="0" applyProtection="0"/>
    <xf numFmtId="0" fontId="18" fillId="9" borderId="209"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172" fontId="62" fillId="0" borderId="213"/>
    <xf numFmtId="173" fontId="62" fillId="0" borderId="213"/>
    <xf numFmtId="174" fontId="62" fillId="0" borderId="213"/>
    <xf numFmtId="175" fontId="62" fillId="0" borderId="213"/>
    <xf numFmtId="0" fontId="8" fillId="25" borderId="210" applyNumberFormat="0" applyFont="0" applyAlignment="0" applyProtection="0"/>
    <xf numFmtId="0" fontId="8" fillId="25" borderId="210" applyNumberFormat="0" applyFont="0" applyAlignment="0" applyProtection="0"/>
    <xf numFmtId="0" fontId="21" fillId="22" borderId="211" applyNumberFormat="0" applyAlignment="0" applyProtection="0"/>
    <xf numFmtId="0" fontId="21" fillId="22" borderId="211" applyNumberFormat="0" applyAlignment="0" applyProtection="0"/>
    <xf numFmtId="180" fontId="62" fillId="0" borderId="213"/>
    <xf numFmtId="0" fontId="11" fillId="22" borderId="209" applyNumberFormat="0" applyAlignment="0" applyProtection="0"/>
    <xf numFmtId="180" fontId="62" fillId="0" borderId="213"/>
    <xf numFmtId="0" fontId="23" fillId="0" borderId="212" applyNumberFormat="0" applyFill="0" applyAlignment="0" applyProtection="0"/>
    <xf numFmtId="0" fontId="23" fillId="0" borderId="212" applyNumberFormat="0" applyFill="0" applyAlignment="0" applyProtection="0"/>
    <xf numFmtId="172" fontId="62" fillId="0" borderId="213"/>
    <xf numFmtId="172" fontId="62" fillId="0" borderId="213"/>
    <xf numFmtId="0" fontId="18" fillId="9" borderId="209" applyNumberFormat="0" applyAlignment="0" applyProtection="0"/>
    <xf numFmtId="180" fontId="62" fillId="0" borderId="213"/>
    <xf numFmtId="176" fontId="62" fillId="0" borderId="213"/>
    <xf numFmtId="175" fontId="62" fillId="0" borderId="213"/>
    <xf numFmtId="175" fontId="62" fillId="0" borderId="213"/>
    <xf numFmtId="172" fontId="62" fillId="0" borderId="213"/>
    <xf numFmtId="172" fontId="62" fillId="0" borderId="213"/>
    <xf numFmtId="172" fontId="62" fillId="0" borderId="213"/>
    <xf numFmtId="0" fontId="11" fillId="22" borderId="209" applyNumberFormat="0" applyAlignment="0" applyProtection="0"/>
    <xf numFmtId="0" fontId="8" fillId="25" borderId="210" applyNumberFormat="0" applyFont="0" applyAlignment="0" applyProtection="0"/>
    <xf numFmtId="181" fontId="62" fillId="0" borderId="213"/>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8" fillId="25" borderId="210" applyNumberFormat="0" applyFont="0" applyAlignment="0" applyProtection="0"/>
    <xf numFmtId="0" fontId="21" fillId="22" borderId="211" applyNumberFormat="0" applyAlignment="0" applyProtection="0"/>
    <xf numFmtId="0" fontId="21" fillId="22" borderId="211" applyNumberFormat="0" applyAlignment="0" applyProtection="0"/>
    <xf numFmtId="0" fontId="21" fillId="22" borderId="211" applyNumberForma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3" fillId="0" borderId="212" applyNumberFormat="0" applyFill="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0" fontId="62" fillId="0" borderId="213"/>
    <xf numFmtId="180" fontId="62" fillId="0" borderId="213"/>
    <xf numFmtId="181" fontId="62" fillId="0" borderId="213"/>
    <xf numFmtId="172" fontId="62" fillId="0" borderId="213"/>
    <xf numFmtId="175" fontId="62" fillId="0" borderId="213"/>
    <xf numFmtId="175" fontId="62" fillId="0" borderId="213"/>
    <xf numFmtId="177" fontId="62" fillId="0" borderId="213"/>
    <xf numFmtId="172"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0" fontId="18" fillId="9" borderId="209" applyNumberFormat="0" applyAlignment="0" applyProtection="0"/>
    <xf numFmtId="0" fontId="8" fillId="25" borderId="210" applyNumberFormat="0" applyFont="0" applyAlignment="0" applyProtection="0"/>
    <xf numFmtId="176" fontId="62" fillId="0" borderId="213"/>
    <xf numFmtId="180" fontId="62" fillId="0" borderId="213"/>
    <xf numFmtId="172" fontId="62" fillId="0" borderId="213"/>
    <xf numFmtId="173" fontId="62" fillId="0" borderId="213"/>
    <xf numFmtId="174" fontId="62" fillId="0" borderId="213"/>
    <xf numFmtId="0" fontId="8" fillId="25" borderId="210" applyNumberFormat="0" applyFont="0" applyAlignment="0" applyProtection="0"/>
    <xf numFmtId="175" fontId="62" fillId="0" borderId="213"/>
    <xf numFmtId="176" fontId="62" fillId="0" borderId="213"/>
    <xf numFmtId="177" fontId="62" fillId="0" borderId="213"/>
    <xf numFmtId="176" fontId="62" fillId="0" borderId="213"/>
    <xf numFmtId="180" fontId="62" fillId="0" borderId="213"/>
    <xf numFmtId="181" fontId="62" fillId="0" borderId="213"/>
    <xf numFmtId="182" fontId="62" fillId="0" borderId="213"/>
    <xf numFmtId="175" fontId="62" fillId="0" borderId="213"/>
    <xf numFmtId="172" fontId="62" fillId="0" borderId="213"/>
    <xf numFmtId="0" fontId="11" fillId="22" borderId="209" applyNumberFormat="0" applyAlignment="0" applyProtection="0"/>
    <xf numFmtId="0" fontId="8" fillId="25" borderId="210" applyNumberFormat="0" applyFont="0" applyAlignment="0" applyProtection="0"/>
    <xf numFmtId="0" fontId="11" fillId="22" borderId="209" applyNumberFormat="0" applyAlignment="0" applyProtection="0"/>
    <xf numFmtId="182" fontId="62" fillId="0" borderId="213"/>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74" fontId="62" fillId="0" borderId="213"/>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3" fontId="62" fillId="0" borderId="213"/>
    <xf numFmtId="174" fontId="62" fillId="0" borderId="213"/>
    <xf numFmtId="0" fontId="18" fillId="9" borderId="209" applyNumberFormat="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7" fontId="62" fillId="0" borderId="213"/>
    <xf numFmtId="172" fontId="62" fillId="0" borderId="213"/>
    <xf numFmtId="173" fontId="62" fillId="0" borderId="213"/>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172" fontId="62" fillId="0" borderId="213"/>
    <xf numFmtId="180" fontId="62" fillId="0" borderId="213"/>
    <xf numFmtId="175" fontId="62" fillId="0" borderId="213"/>
    <xf numFmtId="175" fontId="62" fillId="0" borderId="213"/>
    <xf numFmtId="180" fontId="62" fillId="0" borderId="213"/>
    <xf numFmtId="172"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172" fontId="62" fillId="0" borderId="213"/>
    <xf numFmtId="182" fontId="62" fillId="0" borderId="213"/>
    <xf numFmtId="175" fontId="62" fillId="0" borderId="213"/>
    <xf numFmtId="177" fontId="62" fillId="0" borderId="213"/>
    <xf numFmtId="174" fontId="62" fillId="0" borderId="213"/>
    <xf numFmtId="173" fontId="62" fillId="0" borderId="213"/>
    <xf numFmtId="180"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180" fontId="62" fillId="0" borderId="213"/>
    <xf numFmtId="181"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2" fontId="62" fillId="0" borderId="213"/>
    <xf numFmtId="175" fontId="62" fillId="0" borderId="213"/>
    <xf numFmtId="175" fontId="62" fillId="0" borderId="213"/>
    <xf numFmtId="0" fontId="21" fillId="22" borderId="211" applyNumberFormat="0" applyAlignment="0" applyProtection="0"/>
    <xf numFmtId="180" fontId="62" fillId="0" borderId="213"/>
    <xf numFmtId="175" fontId="62" fillId="0" borderId="213"/>
    <xf numFmtId="0" fontId="21" fillId="22" borderId="211" applyNumberFormat="0" applyAlignment="0" applyProtection="0"/>
    <xf numFmtId="0" fontId="8" fillId="25" borderId="210" applyNumberFormat="0" applyFont="0" applyAlignment="0" applyProtection="0"/>
    <xf numFmtId="172" fontId="62" fillId="0" borderId="213"/>
    <xf numFmtId="0" fontId="8" fillId="25" borderId="210" applyNumberFormat="0" applyFont="0" applyAlignment="0" applyProtection="0"/>
    <xf numFmtId="174" fontId="62" fillId="0" borderId="213"/>
    <xf numFmtId="0" fontId="23" fillId="0" borderId="212" applyNumberFormat="0" applyFill="0" applyAlignment="0" applyProtection="0"/>
    <xf numFmtId="176" fontId="62" fillId="0" borderId="213"/>
    <xf numFmtId="175" fontId="62" fillId="0" borderId="213"/>
    <xf numFmtId="0" fontId="23" fillId="0" borderId="212" applyNumberFormat="0" applyFill="0" applyAlignment="0" applyProtection="0"/>
    <xf numFmtId="182" fontId="62" fillId="0" borderId="213"/>
    <xf numFmtId="175" fontId="62" fillId="0" borderId="213"/>
    <xf numFmtId="175" fontId="62" fillId="0" borderId="213"/>
    <xf numFmtId="0" fontId="18" fillId="9" borderId="209" applyNumberFormat="0" applyAlignment="0" applyProtection="0"/>
    <xf numFmtId="0" fontId="21" fillId="22" borderId="211" applyNumberFormat="0" applyAlignment="0" applyProtection="0"/>
    <xf numFmtId="172" fontId="62" fillId="0" borderId="213"/>
    <xf numFmtId="0" fontId="8" fillId="25" borderId="210" applyNumberFormat="0" applyFont="0" applyAlignment="0" applyProtection="0"/>
    <xf numFmtId="173" fontId="62" fillId="0" borderId="213"/>
    <xf numFmtId="177"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172" fontId="62" fillId="0" borderId="213"/>
    <xf numFmtId="180" fontId="62" fillId="0" borderId="213"/>
    <xf numFmtId="0" fontId="18" fillId="9" borderId="209" applyNumberFormat="0" applyAlignment="0" applyProtection="0"/>
    <xf numFmtId="172" fontId="62" fillId="0" borderId="213"/>
    <xf numFmtId="0" fontId="21" fillId="22" borderId="211" applyNumberFormat="0" applyAlignment="0" applyProtection="0"/>
    <xf numFmtId="180" fontId="62" fillId="0" borderId="213"/>
    <xf numFmtId="172" fontId="62" fillId="0" borderId="213"/>
    <xf numFmtId="180" fontId="62" fillId="0" borderId="213"/>
    <xf numFmtId="175" fontId="62" fillId="0" borderId="213"/>
    <xf numFmtId="173" fontId="62" fillId="0" borderId="213"/>
    <xf numFmtId="172" fontId="62" fillId="0" borderId="213"/>
    <xf numFmtId="175" fontId="62" fillId="0" borderId="213"/>
    <xf numFmtId="174" fontId="62" fillId="0" borderId="213"/>
    <xf numFmtId="181" fontId="62" fillId="0" borderId="213"/>
    <xf numFmtId="180" fontId="62" fillId="0" borderId="213"/>
    <xf numFmtId="175" fontId="62" fillId="0" borderId="213"/>
    <xf numFmtId="172" fontId="62" fillId="0" borderId="213"/>
    <xf numFmtId="180" fontId="62" fillId="0" borderId="213"/>
    <xf numFmtId="175" fontId="62" fillId="0" borderId="213"/>
    <xf numFmtId="172" fontId="62" fillId="0" borderId="213"/>
    <xf numFmtId="180" fontId="62" fillId="0" borderId="213"/>
    <xf numFmtId="180" fontId="62" fillId="0" borderId="213"/>
    <xf numFmtId="181" fontId="62" fillId="0" borderId="213"/>
    <xf numFmtId="177" fontId="62" fillId="0" borderId="213"/>
    <xf numFmtId="172" fontId="62" fillId="0" borderId="213"/>
    <xf numFmtId="0" fontId="23" fillId="0" borderId="212" applyNumberFormat="0" applyFill="0" applyAlignment="0" applyProtection="0"/>
    <xf numFmtId="0" fontId="11" fillId="22" borderId="209" applyNumberFormat="0" applyAlignment="0" applyProtection="0"/>
    <xf numFmtId="172" fontId="62" fillId="0" borderId="213"/>
    <xf numFmtId="174" fontId="62" fillId="0" borderId="213"/>
    <xf numFmtId="172" fontId="62" fillId="0" borderId="213"/>
    <xf numFmtId="175" fontId="62" fillId="0" borderId="213"/>
    <xf numFmtId="180" fontId="62" fillId="0" borderId="213"/>
    <xf numFmtId="172" fontId="62" fillId="0" borderId="213"/>
    <xf numFmtId="0" fontId="18" fillId="9" borderId="209" applyNumberFormat="0" applyAlignment="0" applyProtection="0"/>
    <xf numFmtId="174" fontId="62" fillId="0" borderId="213"/>
    <xf numFmtId="0" fontId="11" fillId="22" borderId="209" applyNumberFormat="0" applyAlignment="0" applyProtection="0"/>
    <xf numFmtId="182" fontId="62" fillId="0" borderId="213"/>
    <xf numFmtId="172" fontId="62" fillId="0" borderId="213"/>
    <xf numFmtId="173" fontId="62" fillId="0" borderId="213"/>
    <xf numFmtId="175" fontId="62" fillId="0" borderId="213"/>
    <xf numFmtId="176" fontId="62" fillId="0" borderId="213"/>
    <xf numFmtId="175" fontId="62" fillId="0" borderId="213"/>
    <xf numFmtId="175" fontId="62" fillId="0" borderId="213"/>
    <xf numFmtId="0" fontId="11" fillId="22" borderId="209" applyNumberFormat="0" applyAlignment="0" applyProtection="0"/>
    <xf numFmtId="172" fontId="62" fillId="0" borderId="213"/>
    <xf numFmtId="175" fontId="62" fillId="0" borderId="213"/>
    <xf numFmtId="182" fontId="62" fillId="0" borderId="213"/>
    <xf numFmtId="172" fontId="62" fillId="0" borderId="213"/>
    <xf numFmtId="175" fontId="62" fillId="0" borderId="213"/>
    <xf numFmtId="177" fontId="62" fillId="0" borderId="213"/>
    <xf numFmtId="173" fontId="62" fillId="0" borderId="213"/>
    <xf numFmtId="181" fontId="62" fillId="0" borderId="213"/>
    <xf numFmtId="182" fontId="62" fillId="0" borderId="213"/>
    <xf numFmtId="180" fontId="62" fillId="0" borderId="213"/>
    <xf numFmtId="0" fontId="8" fillId="25" borderId="210" applyNumberFormat="0" applyFont="0" applyAlignment="0" applyProtection="0"/>
    <xf numFmtId="172" fontId="62" fillId="0" borderId="213"/>
    <xf numFmtId="180" fontId="62" fillId="0" borderId="213"/>
    <xf numFmtId="180" fontId="62" fillId="0" borderId="213"/>
    <xf numFmtId="0" fontId="8" fillId="25" borderId="210" applyNumberFormat="0" applyFont="0" applyAlignment="0" applyProtection="0"/>
    <xf numFmtId="180" fontId="62" fillId="0" borderId="213"/>
    <xf numFmtId="177"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0" fontId="21" fillId="22" borderId="211" applyNumberFormat="0" applyAlignment="0" applyProtection="0"/>
    <xf numFmtId="175" fontId="62" fillId="0" borderId="213"/>
    <xf numFmtId="175" fontId="62" fillId="0" borderId="213"/>
    <xf numFmtId="173" fontId="62" fillId="0" borderId="213"/>
    <xf numFmtId="175" fontId="62" fillId="0" borderId="213"/>
    <xf numFmtId="180" fontId="62" fillId="0" borderId="213"/>
    <xf numFmtId="180" fontId="62" fillId="0" borderId="213"/>
    <xf numFmtId="172" fontId="62" fillId="0" borderId="213"/>
    <xf numFmtId="175" fontId="62" fillId="0" borderId="213"/>
    <xf numFmtId="180" fontId="62" fillId="0" borderId="213"/>
    <xf numFmtId="172" fontId="62" fillId="0" borderId="213"/>
    <xf numFmtId="174" fontId="62" fillId="0" borderId="213"/>
    <xf numFmtId="180" fontId="62" fillId="0" borderId="213"/>
    <xf numFmtId="0" fontId="23" fillId="0" borderId="212" applyNumberFormat="0" applyFill="0" applyAlignment="0" applyProtection="0"/>
    <xf numFmtId="175" fontId="62" fillId="0" borderId="213"/>
    <xf numFmtId="175" fontId="62" fillId="0" borderId="213"/>
    <xf numFmtId="180" fontId="62" fillId="0" borderId="213"/>
    <xf numFmtId="172" fontId="62" fillId="0" borderId="213"/>
    <xf numFmtId="0" fontId="18" fillId="9" borderId="209" applyNumberFormat="0" applyAlignment="0" applyProtection="0"/>
    <xf numFmtId="177" fontId="62" fillId="0" borderId="213"/>
    <xf numFmtId="176" fontId="62" fillId="0" borderId="213"/>
    <xf numFmtId="181" fontId="62" fillId="0" borderId="213"/>
    <xf numFmtId="176" fontId="62" fillId="0" borderId="213"/>
    <xf numFmtId="181" fontId="62" fillId="0" borderId="213"/>
    <xf numFmtId="173" fontId="62" fillId="0" borderId="213"/>
    <xf numFmtId="181" fontId="62" fillId="0" borderId="213"/>
    <xf numFmtId="182" fontId="62" fillId="0" borderId="213"/>
    <xf numFmtId="175" fontId="62" fillId="0" borderId="213"/>
    <xf numFmtId="182" fontId="62" fillId="0" borderId="213"/>
    <xf numFmtId="177" fontId="62" fillId="0" borderId="213"/>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0" fontId="62" fillId="0" borderId="213"/>
    <xf numFmtId="172" fontId="62" fillId="0" borderId="213"/>
    <xf numFmtId="175" fontId="62" fillId="0" borderId="213"/>
    <xf numFmtId="180" fontId="62" fillId="0" borderId="213"/>
    <xf numFmtId="180" fontId="62" fillId="0" borderId="213"/>
    <xf numFmtId="180" fontId="62" fillId="0" borderId="213"/>
    <xf numFmtId="175" fontId="62" fillId="0" borderId="213"/>
    <xf numFmtId="180" fontId="62" fillId="0" borderId="213"/>
    <xf numFmtId="180" fontId="62" fillId="0" borderId="213"/>
    <xf numFmtId="175" fontId="62" fillId="0" borderId="213"/>
    <xf numFmtId="175" fontId="62" fillId="0" borderId="213"/>
    <xf numFmtId="0" fontId="21" fillId="22" borderId="211" applyNumberFormat="0" applyAlignment="0" applyProtection="0"/>
    <xf numFmtId="175" fontId="62" fillId="0" borderId="213"/>
    <xf numFmtId="0" fontId="23" fillId="0" borderId="212" applyNumberFormat="0" applyFill="0" applyAlignment="0" applyProtection="0"/>
    <xf numFmtId="172" fontId="62" fillId="0" borderId="213"/>
    <xf numFmtId="172" fontId="62" fillId="0" borderId="213"/>
    <xf numFmtId="175" fontId="62" fillId="0" borderId="213"/>
    <xf numFmtId="176" fontId="62" fillId="0" borderId="213"/>
    <xf numFmtId="0" fontId="18" fillId="9" borderId="209" applyNumberFormat="0" applyAlignment="0" applyProtection="0"/>
    <xf numFmtId="172" fontId="62" fillId="0" borderId="213"/>
    <xf numFmtId="0" fontId="21" fillId="22" borderId="211" applyNumberFormat="0" applyAlignment="0" applyProtection="0"/>
    <xf numFmtId="174" fontId="62" fillId="0" borderId="213"/>
    <xf numFmtId="172" fontId="62" fillId="0" borderId="213"/>
    <xf numFmtId="0" fontId="18" fillId="9" borderId="209" applyNumberFormat="0" applyAlignment="0" applyProtection="0"/>
    <xf numFmtId="177" fontId="62" fillId="0" borderId="213"/>
    <xf numFmtId="0" fontId="11" fillId="22" borderId="209" applyNumberFormat="0" applyAlignment="0" applyProtection="0"/>
    <xf numFmtId="172" fontId="62" fillId="0" borderId="213"/>
    <xf numFmtId="17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6" fontId="62" fillId="0" borderId="213"/>
    <xf numFmtId="180" fontId="62" fillId="0" borderId="213"/>
    <xf numFmtId="172" fontId="62" fillId="0" borderId="213"/>
    <xf numFmtId="172" fontId="62" fillId="0" borderId="213"/>
    <xf numFmtId="0" fontId="23" fillId="0" borderId="212" applyNumberFormat="0" applyFill="0" applyAlignment="0" applyProtection="0"/>
    <xf numFmtId="180" fontId="62" fillId="0" borderId="213"/>
    <xf numFmtId="172" fontId="62" fillId="0" borderId="213"/>
    <xf numFmtId="172" fontId="62" fillId="0" borderId="213"/>
    <xf numFmtId="180" fontId="62" fillId="0" borderId="213"/>
    <xf numFmtId="175" fontId="62" fillId="0" borderId="213"/>
    <xf numFmtId="175" fontId="62" fillId="0" borderId="213"/>
    <xf numFmtId="180" fontId="62" fillId="0" borderId="213"/>
    <xf numFmtId="180" fontId="62" fillId="0" borderId="213"/>
    <xf numFmtId="180" fontId="62" fillId="0" borderId="213"/>
    <xf numFmtId="172" fontId="62" fillId="0" borderId="213"/>
    <xf numFmtId="174" fontId="62" fillId="0" borderId="213"/>
    <xf numFmtId="172" fontId="62" fillId="0" borderId="213"/>
    <xf numFmtId="180" fontId="62" fillId="0" borderId="213"/>
    <xf numFmtId="0" fontId="18" fillId="9" borderId="209" applyNumberFormat="0" applyAlignment="0" applyProtection="0"/>
    <xf numFmtId="180" fontId="62" fillId="0" borderId="213"/>
    <xf numFmtId="180" fontId="62" fillId="0" borderId="213"/>
    <xf numFmtId="0" fontId="23" fillId="0" borderId="212" applyNumberFormat="0" applyFill="0" applyAlignment="0" applyProtection="0"/>
    <xf numFmtId="172" fontId="62" fillId="0" borderId="213"/>
    <xf numFmtId="0" fontId="8" fillId="25" borderId="210" applyNumberFormat="0" applyFont="0" applyAlignment="0" applyProtection="0"/>
    <xf numFmtId="0" fontId="18" fillId="9" borderId="209" applyNumberFormat="0" applyAlignment="0" applyProtection="0"/>
    <xf numFmtId="172" fontId="62" fillId="0" borderId="213"/>
    <xf numFmtId="180" fontId="62" fillId="0" borderId="213"/>
    <xf numFmtId="0" fontId="8" fillId="25" borderId="210" applyNumberFormat="0" applyFont="0" applyAlignment="0" applyProtection="0"/>
    <xf numFmtId="0" fontId="11" fillId="22" borderId="209" applyNumberFormat="0" applyAlignment="0" applyProtection="0"/>
    <xf numFmtId="172"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2" fontId="62" fillId="0" borderId="213"/>
    <xf numFmtId="181" fontId="62" fillId="0" borderId="213"/>
    <xf numFmtId="175" fontId="62" fillId="0" borderId="213"/>
    <xf numFmtId="175" fontId="62" fillId="0" borderId="213"/>
    <xf numFmtId="174" fontId="62" fillId="0" borderId="213"/>
    <xf numFmtId="180" fontId="62" fillId="0" borderId="213"/>
    <xf numFmtId="173" fontId="62" fillId="0" borderId="213"/>
    <xf numFmtId="0" fontId="21" fillId="22" borderId="211" applyNumberFormat="0" applyAlignment="0" applyProtection="0"/>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6" fontId="62" fillId="0" borderId="213"/>
    <xf numFmtId="175" fontId="62" fillId="0" borderId="213"/>
    <xf numFmtId="182" fontId="62" fillId="0" borderId="213"/>
    <xf numFmtId="177" fontId="62" fillId="0" borderId="213"/>
    <xf numFmtId="173"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5" fontId="62" fillId="0" borderId="213"/>
    <xf numFmtId="175" fontId="62" fillId="0" borderId="213"/>
    <xf numFmtId="175" fontId="62" fillId="0" borderId="213"/>
    <xf numFmtId="172" fontId="62" fillId="0" borderId="213"/>
    <xf numFmtId="0" fontId="18" fillId="9" borderId="209" applyNumberFormat="0" applyAlignment="0" applyProtection="0"/>
    <xf numFmtId="175" fontId="62" fillId="0" borderId="213"/>
    <xf numFmtId="172" fontId="62" fillId="0" borderId="213"/>
    <xf numFmtId="180" fontId="62" fillId="0" borderId="213"/>
    <xf numFmtId="174" fontId="62" fillId="0" borderId="213"/>
    <xf numFmtId="174" fontId="62" fillId="0" borderId="213"/>
    <xf numFmtId="172" fontId="62" fillId="0" borderId="213"/>
    <xf numFmtId="174" fontId="62" fillId="0" borderId="213"/>
    <xf numFmtId="175" fontId="62" fillId="0" borderId="213"/>
    <xf numFmtId="177" fontId="62" fillId="0" borderId="213"/>
    <xf numFmtId="172" fontId="62" fillId="0" borderId="213"/>
    <xf numFmtId="0" fontId="11" fillId="22" borderId="209" applyNumberFormat="0" applyAlignment="0" applyProtection="0"/>
    <xf numFmtId="180" fontId="62" fillId="0" borderId="213"/>
    <xf numFmtId="180" fontId="62" fillId="0" borderId="213"/>
    <xf numFmtId="180" fontId="62" fillId="0" borderId="213"/>
    <xf numFmtId="172" fontId="62" fillId="0" borderId="213"/>
    <xf numFmtId="0" fontId="8" fillId="25" borderId="210" applyNumberFormat="0" applyFont="0" applyAlignment="0" applyProtection="0"/>
    <xf numFmtId="172" fontId="62" fillId="0" borderId="213"/>
    <xf numFmtId="181" fontId="62" fillId="0" borderId="213"/>
    <xf numFmtId="175" fontId="62" fillId="0" borderId="213"/>
    <xf numFmtId="176" fontId="62" fillId="0" borderId="213"/>
    <xf numFmtId="0" fontId="18" fillId="9" borderId="209" applyNumberFormat="0" applyAlignment="0" applyProtection="0"/>
    <xf numFmtId="172" fontId="62" fillId="0" borderId="213"/>
    <xf numFmtId="180" fontId="62" fillId="0" borderId="213"/>
    <xf numFmtId="175" fontId="62" fillId="0" borderId="213"/>
    <xf numFmtId="180" fontId="62" fillId="0" borderId="213"/>
    <xf numFmtId="172" fontId="62" fillId="0" borderId="213"/>
    <xf numFmtId="180" fontId="62" fillId="0" borderId="213"/>
    <xf numFmtId="175" fontId="62" fillId="0" borderId="213"/>
    <xf numFmtId="175" fontId="62" fillId="0" borderId="213"/>
    <xf numFmtId="172" fontId="62" fillId="0" borderId="213"/>
    <xf numFmtId="175" fontId="62" fillId="0" borderId="213"/>
    <xf numFmtId="176" fontId="62" fillId="0" borderId="213"/>
    <xf numFmtId="175" fontId="62" fillId="0" borderId="213"/>
    <xf numFmtId="180" fontId="62" fillId="0" borderId="213"/>
    <xf numFmtId="180" fontId="62" fillId="0" borderId="213"/>
    <xf numFmtId="172" fontId="62" fillId="0" borderId="213"/>
    <xf numFmtId="0" fontId="21" fillId="22" borderId="211" applyNumberFormat="0" applyAlignment="0" applyProtection="0"/>
    <xf numFmtId="173" fontId="62" fillId="0" borderId="213"/>
    <xf numFmtId="0" fontId="23" fillId="0" borderId="212" applyNumberFormat="0" applyFill="0" applyAlignment="0" applyProtection="0"/>
    <xf numFmtId="0" fontId="8" fillId="25" borderId="210" applyNumberFormat="0" applyFont="0" applyAlignment="0" applyProtection="0"/>
    <xf numFmtId="175" fontId="62" fillId="0" borderId="213"/>
    <xf numFmtId="176" fontId="62" fillId="0" borderId="213"/>
    <xf numFmtId="0" fontId="23" fillId="0" borderId="212" applyNumberFormat="0" applyFill="0" applyAlignment="0" applyProtection="0"/>
    <xf numFmtId="175" fontId="62" fillId="0" borderId="213"/>
    <xf numFmtId="0" fontId="21" fillId="22" borderId="211" applyNumberFormat="0" applyAlignment="0" applyProtection="0"/>
    <xf numFmtId="172" fontId="62" fillId="0" borderId="213"/>
    <xf numFmtId="182" fontId="62" fillId="0" borderId="213"/>
    <xf numFmtId="172" fontId="62" fillId="0" borderId="213"/>
    <xf numFmtId="180" fontId="62" fillId="0" borderId="213"/>
    <xf numFmtId="0" fontId="11" fillId="22" borderId="209" applyNumberFormat="0" applyAlignment="0" applyProtection="0"/>
    <xf numFmtId="175" fontId="62" fillId="0" borderId="213"/>
    <xf numFmtId="181" fontId="62" fillId="0" borderId="213"/>
    <xf numFmtId="175" fontId="62" fillId="0" borderId="213"/>
    <xf numFmtId="172" fontId="62" fillId="0" borderId="213"/>
    <xf numFmtId="175" fontId="62" fillId="0" borderId="213"/>
    <xf numFmtId="173" fontId="62" fillId="0" borderId="213"/>
    <xf numFmtId="180" fontId="62" fillId="0" borderId="213"/>
    <xf numFmtId="177" fontId="62" fillId="0" borderId="213"/>
    <xf numFmtId="175" fontId="62" fillId="0" borderId="213"/>
    <xf numFmtId="173" fontId="62" fillId="0" borderId="213"/>
    <xf numFmtId="172" fontId="62" fillId="0" borderId="213"/>
    <xf numFmtId="181" fontId="62" fillId="0" borderId="213"/>
    <xf numFmtId="182" fontId="62" fillId="0" borderId="213"/>
    <xf numFmtId="180" fontId="62" fillId="0" borderId="213"/>
    <xf numFmtId="180" fontId="62" fillId="0" borderId="213"/>
    <xf numFmtId="180" fontId="62" fillId="0" borderId="213"/>
    <xf numFmtId="172" fontId="62" fillId="0" borderId="213"/>
    <xf numFmtId="180"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2" fontId="62" fillId="0" borderId="213"/>
    <xf numFmtId="172" fontId="62" fillId="0" borderId="213"/>
    <xf numFmtId="175" fontId="62" fillId="0" borderId="213"/>
    <xf numFmtId="180" fontId="62" fillId="0" borderId="213"/>
    <xf numFmtId="172" fontId="62" fillId="0" borderId="213"/>
    <xf numFmtId="0" fontId="8" fillId="25" borderId="210" applyNumberFormat="0" applyFont="0" applyAlignment="0" applyProtection="0"/>
    <xf numFmtId="175" fontId="62" fillId="0" borderId="213"/>
    <xf numFmtId="177" fontId="62" fillId="0" borderId="213"/>
    <xf numFmtId="180" fontId="62" fillId="0" borderId="213"/>
    <xf numFmtId="172" fontId="62" fillId="0" borderId="213"/>
    <xf numFmtId="175"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80" fontId="62" fillId="0" borderId="213"/>
    <xf numFmtId="172" fontId="62" fillId="0" borderId="213"/>
    <xf numFmtId="180" fontId="62" fillId="0" borderId="213"/>
    <xf numFmtId="180" fontId="62" fillId="0" borderId="213"/>
    <xf numFmtId="175" fontId="62" fillId="0" borderId="213"/>
    <xf numFmtId="175" fontId="62" fillId="0" borderId="213"/>
    <xf numFmtId="172" fontId="62" fillId="0" borderId="213"/>
    <xf numFmtId="17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5" fontId="62" fillId="0" borderId="213"/>
    <xf numFmtId="0" fontId="8" fillId="25" borderId="210" applyNumberFormat="0" applyFont="0" applyAlignment="0" applyProtection="0"/>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182" fontId="62" fillId="0" borderId="213"/>
    <xf numFmtId="181" fontId="62" fillId="0" borderId="213"/>
    <xf numFmtId="180" fontId="62" fillId="0" borderId="213"/>
    <xf numFmtId="172" fontId="62" fillId="0" borderId="213"/>
    <xf numFmtId="176" fontId="62" fillId="0" borderId="213"/>
    <xf numFmtId="177" fontId="62" fillId="0" borderId="213"/>
    <xf numFmtId="176" fontId="62" fillId="0" borderId="213"/>
    <xf numFmtId="175" fontId="62" fillId="0" borderId="213"/>
    <xf numFmtId="177" fontId="62" fillId="0" borderId="213"/>
    <xf numFmtId="181" fontId="62" fillId="0" borderId="213"/>
    <xf numFmtId="174" fontId="62" fillId="0" borderId="213"/>
    <xf numFmtId="0" fontId="11" fillId="22" borderId="209" applyNumberFormat="0" applyAlignment="0" applyProtection="0"/>
    <xf numFmtId="173" fontId="62" fillId="0" borderId="213"/>
    <xf numFmtId="180" fontId="62" fillId="0" borderId="213"/>
    <xf numFmtId="177" fontId="62" fillId="0" borderId="213"/>
    <xf numFmtId="175" fontId="62" fillId="0" borderId="213"/>
    <xf numFmtId="172" fontId="62" fillId="0" borderId="213"/>
    <xf numFmtId="0" fontId="21" fillId="22" borderId="211" applyNumberFormat="0" applyAlignment="0" applyProtection="0"/>
    <xf numFmtId="0" fontId="23" fillId="0" borderId="212" applyNumberFormat="0" applyFill="0" applyAlignment="0" applyProtection="0"/>
    <xf numFmtId="181" fontId="62" fillId="0" borderId="213"/>
    <xf numFmtId="176" fontId="62" fillId="0" borderId="213"/>
    <xf numFmtId="174" fontId="62" fillId="0" borderId="213"/>
    <xf numFmtId="173" fontId="62" fillId="0" borderId="213"/>
    <xf numFmtId="172" fontId="62" fillId="0" borderId="213"/>
    <xf numFmtId="182"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11" fillId="22" borderId="209" applyNumberFormat="0" applyAlignment="0" applyProtection="0"/>
    <xf numFmtId="0" fontId="11" fillId="22" borderId="209" applyNumberFormat="0" applyAlignment="0" applyProtection="0"/>
    <xf numFmtId="0" fontId="21" fillId="22" borderId="211" applyNumberFormat="0" applyAlignment="0" applyProtection="0"/>
    <xf numFmtId="174"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172"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0" fontId="8" fillId="25" borderId="210" applyNumberFormat="0" applyFont="0" applyAlignment="0" applyProtection="0"/>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2" fontId="62" fillId="0" borderId="213"/>
    <xf numFmtId="180" fontId="62" fillId="0" borderId="213"/>
    <xf numFmtId="0" fontId="11" fillId="22" borderId="209" applyNumberFormat="0" applyAlignment="0" applyProtection="0"/>
    <xf numFmtId="182" fontId="62" fillId="0" borderId="213"/>
    <xf numFmtId="172" fontId="62" fillId="0" borderId="213"/>
    <xf numFmtId="0" fontId="23" fillId="0" borderId="212" applyNumberFormat="0" applyFill="0" applyAlignment="0" applyProtection="0"/>
    <xf numFmtId="180" fontId="62" fillId="0" borderId="213"/>
    <xf numFmtId="0" fontId="11" fillId="22" borderId="209" applyNumberFormat="0" applyAlignment="0" applyProtection="0"/>
    <xf numFmtId="172" fontId="62" fillId="0" borderId="213"/>
    <xf numFmtId="172" fontId="62" fillId="0" borderId="213"/>
    <xf numFmtId="0" fontId="18" fillId="9" borderId="209" applyNumberFormat="0" applyAlignment="0" applyProtection="0"/>
    <xf numFmtId="173" fontId="62" fillId="0" borderId="213"/>
    <xf numFmtId="172" fontId="62" fillId="0" borderId="213"/>
    <xf numFmtId="175" fontId="62" fillId="0" borderId="213"/>
    <xf numFmtId="172" fontId="62" fillId="0" borderId="213"/>
    <xf numFmtId="175" fontId="62" fillId="0" borderId="213"/>
    <xf numFmtId="176" fontId="62" fillId="0" borderId="213"/>
    <xf numFmtId="177" fontId="62" fillId="0" borderId="213"/>
    <xf numFmtId="0" fontId="8" fillId="25" borderId="210" applyNumberFormat="0" applyFont="0" applyAlignment="0" applyProtection="0"/>
    <xf numFmtId="175" fontId="62" fillId="0" borderId="213"/>
    <xf numFmtId="180" fontId="62" fillId="0" borderId="213"/>
    <xf numFmtId="172" fontId="62" fillId="0" borderId="213"/>
    <xf numFmtId="181" fontId="62" fillId="0" borderId="213"/>
    <xf numFmtId="182" fontId="62" fillId="0" borderId="213"/>
    <xf numFmtId="0" fontId="18" fillId="9" borderId="209" applyNumberFormat="0" applyAlignment="0" applyProtection="0"/>
    <xf numFmtId="180" fontId="62" fillId="0" borderId="213"/>
    <xf numFmtId="180" fontId="62" fillId="0" borderId="213"/>
    <xf numFmtId="175" fontId="62" fillId="0" borderId="213"/>
    <xf numFmtId="172" fontId="62" fillId="0" borderId="213"/>
    <xf numFmtId="176" fontId="62" fillId="0" borderId="213"/>
    <xf numFmtId="172" fontId="62" fillId="0" borderId="213"/>
    <xf numFmtId="172" fontId="62" fillId="0" borderId="213"/>
    <xf numFmtId="175" fontId="62" fillId="0" borderId="213"/>
    <xf numFmtId="175" fontId="62" fillId="0" borderId="213"/>
    <xf numFmtId="172" fontId="62" fillId="0" borderId="213"/>
    <xf numFmtId="0" fontId="18" fillId="9" borderId="209" applyNumberForma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8" fillId="25" borderId="210" applyNumberFormat="0" applyFont="0" applyAlignment="0" applyProtection="0"/>
    <xf numFmtId="174" fontId="62" fillId="0" borderId="213"/>
    <xf numFmtId="175" fontId="62" fillId="0" borderId="213"/>
    <xf numFmtId="180" fontId="62" fillId="0" borderId="213"/>
    <xf numFmtId="0" fontId="11" fillId="22" borderId="209" applyNumberFormat="0" applyAlignment="0" applyProtection="0"/>
    <xf numFmtId="174" fontId="62" fillId="0" borderId="213"/>
    <xf numFmtId="173" fontId="62" fillId="0" borderId="213"/>
    <xf numFmtId="0" fontId="21" fillId="22" borderId="211" applyNumberFormat="0" applyAlignment="0" applyProtection="0"/>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4" fontId="62" fillId="0" borderId="213"/>
    <xf numFmtId="176" fontId="62" fillId="0" borderId="213"/>
    <xf numFmtId="177"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1" fontId="62" fillId="0" borderId="213"/>
    <xf numFmtId="175" fontId="62" fillId="0" borderId="213"/>
    <xf numFmtId="180" fontId="62" fillId="0" borderId="213"/>
    <xf numFmtId="175" fontId="62" fillId="0" borderId="213"/>
    <xf numFmtId="177" fontId="62" fillId="0" borderId="213"/>
    <xf numFmtId="173"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175" fontId="62" fillId="0" borderId="213"/>
    <xf numFmtId="180" fontId="62" fillId="0" borderId="213"/>
    <xf numFmtId="175" fontId="62" fillId="0" borderId="213"/>
    <xf numFmtId="172" fontId="62" fillId="0" borderId="213"/>
    <xf numFmtId="180" fontId="62" fillId="0" borderId="213"/>
    <xf numFmtId="175" fontId="62" fillId="0" borderId="213"/>
    <xf numFmtId="180" fontId="62" fillId="0" borderId="213"/>
    <xf numFmtId="172" fontId="62" fillId="0" borderId="213"/>
    <xf numFmtId="172" fontId="62" fillId="0" borderId="213"/>
    <xf numFmtId="180"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7" fontId="62" fillId="0" borderId="213"/>
    <xf numFmtId="0" fontId="11" fillId="22" borderId="209" applyNumberFormat="0" applyAlignment="0" applyProtection="0"/>
    <xf numFmtId="181" fontId="62" fillId="0" borderId="213"/>
    <xf numFmtId="180" fontId="62" fillId="0" borderId="213"/>
    <xf numFmtId="172" fontId="62" fillId="0" borderId="213"/>
    <xf numFmtId="172" fontId="62" fillId="0" borderId="213"/>
    <xf numFmtId="175" fontId="62" fillId="0" borderId="213"/>
    <xf numFmtId="175" fontId="62" fillId="0" borderId="213"/>
    <xf numFmtId="172" fontId="62" fillId="0" borderId="213"/>
    <xf numFmtId="0" fontId="23" fillId="0" borderId="212" applyNumberFormat="0" applyFill="0" applyAlignment="0" applyProtection="0"/>
    <xf numFmtId="175" fontId="62" fillId="0" borderId="213"/>
    <xf numFmtId="0" fontId="18" fillId="9" borderId="209" applyNumberFormat="0" applyAlignment="0" applyProtection="0"/>
    <xf numFmtId="0" fontId="21" fillId="22" borderId="211" applyNumberFormat="0" applyAlignment="0" applyProtection="0"/>
    <xf numFmtId="0" fontId="8" fillId="25" borderId="210" applyNumberFormat="0" applyFont="0" applyAlignment="0" applyProtection="0"/>
    <xf numFmtId="180" fontId="62" fillId="0" borderId="213"/>
    <xf numFmtId="0" fontId="11" fillId="22" borderId="209" applyNumberFormat="0" applyAlignment="0" applyProtection="0"/>
    <xf numFmtId="0" fontId="18" fillId="9" borderId="209" applyNumberFormat="0" applyAlignment="0" applyProtection="0"/>
    <xf numFmtId="175" fontId="62" fillId="0" borderId="213"/>
    <xf numFmtId="172" fontId="62" fillId="0" borderId="213"/>
    <xf numFmtId="180" fontId="62" fillId="0" borderId="213"/>
    <xf numFmtId="175" fontId="62" fillId="0" borderId="213"/>
    <xf numFmtId="172" fontId="62" fillId="0" borderId="213"/>
    <xf numFmtId="173" fontId="62" fillId="0" borderId="213"/>
    <xf numFmtId="172" fontId="62" fillId="0" borderId="213"/>
    <xf numFmtId="175" fontId="62" fillId="0" borderId="213"/>
    <xf numFmtId="180" fontId="62" fillId="0" borderId="213"/>
    <xf numFmtId="172" fontId="62" fillId="0" borderId="213"/>
    <xf numFmtId="180" fontId="62" fillId="0" borderId="213"/>
    <xf numFmtId="0" fontId="11" fillId="22" borderId="209" applyNumberFormat="0" applyAlignment="0" applyProtection="0"/>
    <xf numFmtId="182" fontId="62" fillId="0" borderId="213"/>
    <xf numFmtId="176" fontId="62" fillId="0" borderId="213"/>
    <xf numFmtId="180"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23" fillId="0" borderId="212" applyNumberFormat="0" applyFill="0" applyAlignment="0" applyProtection="0"/>
    <xf numFmtId="180" fontId="62" fillId="0" borderId="213"/>
    <xf numFmtId="180" fontId="62" fillId="0" borderId="213"/>
    <xf numFmtId="175" fontId="62" fillId="0" borderId="213"/>
    <xf numFmtId="174" fontId="62" fillId="0" borderId="213"/>
    <xf numFmtId="0" fontId="8" fillId="25" borderId="210" applyNumberFormat="0" applyFont="0" applyAlignment="0" applyProtection="0"/>
    <xf numFmtId="175"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180" fontId="62" fillId="0" borderId="213"/>
    <xf numFmtId="173" fontId="62" fillId="0" borderId="213"/>
    <xf numFmtId="172" fontId="62" fillId="0" borderId="213"/>
    <xf numFmtId="0" fontId="21" fillId="22" borderId="211" applyNumberFormat="0" applyAlignment="0" applyProtection="0"/>
    <xf numFmtId="0" fontId="65" fillId="50" borderId="214">
      <protection locked="0"/>
    </xf>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5" fontId="62" fillId="0" borderId="213"/>
    <xf numFmtId="180" fontId="62" fillId="0" borderId="213"/>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65" fillId="50" borderId="214">
      <protection locked="0"/>
    </xf>
    <xf numFmtId="0" fontId="18" fillId="9" borderId="209" applyNumberFormat="0" applyAlignment="0" applyProtection="0"/>
    <xf numFmtId="0" fontId="8" fillId="25" borderId="210" applyNumberFormat="0" applyFont="0" applyAlignment="0" applyProtection="0"/>
    <xf numFmtId="0" fontId="8" fillId="25" borderId="210" applyNumberFormat="0" applyFont="0" applyAlignment="0" applyProtection="0"/>
    <xf numFmtId="0" fontId="21" fillId="22" borderId="211" applyNumberFormat="0" applyAlignment="0" applyProtection="0"/>
    <xf numFmtId="0" fontId="21" fillId="22" borderId="211" applyNumberFormat="0" applyAlignment="0" applyProtection="0"/>
    <xf numFmtId="0" fontId="21" fillId="22" borderId="211" applyNumberForma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3" fillId="0" borderId="212" applyNumberFormat="0" applyFill="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65" fillId="50" borderId="214">
      <protection locked="0"/>
    </xf>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65" fillId="50" borderId="214">
      <protection locked="0"/>
    </xf>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0" fontId="62" fillId="0" borderId="213"/>
    <xf numFmtId="180" fontId="62" fillId="0" borderId="213"/>
    <xf numFmtId="181" fontId="62" fillId="0" borderId="213"/>
    <xf numFmtId="172" fontId="62" fillId="0" borderId="213"/>
    <xf numFmtId="175" fontId="62" fillId="0" borderId="213"/>
    <xf numFmtId="175" fontId="62" fillId="0" borderId="213"/>
    <xf numFmtId="177" fontId="62" fillId="0" borderId="213"/>
    <xf numFmtId="172"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0" fontId="18" fillId="9" borderId="209" applyNumberFormat="0" applyAlignment="0" applyProtection="0"/>
    <xf numFmtId="0" fontId="8" fillId="25" borderId="210" applyNumberFormat="0" applyFont="0" applyAlignment="0" applyProtection="0"/>
    <xf numFmtId="176" fontId="62" fillId="0" borderId="213"/>
    <xf numFmtId="180" fontId="62" fillId="0" borderId="213"/>
    <xf numFmtId="172" fontId="62" fillId="0" borderId="213"/>
    <xf numFmtId="173" fontId="62" fillId="0" borderId="213"/>
    <xf numFmtId="174" fontId="62" fillId="0" borderId="213"/>
    <xf numFmtId="0" fontId="8" fillId="25" borderId="210" applyNumberFormat="0" applyFont="0" applyAlignment="0" applyProtection="0"/>
    <xf numFmtId="175" fontId="62" fillId="0" borderId="213"/>
    <xf numFmtId="176" fontId="62" fillId="0" borderId="213"/>
    <xf numFmtId="177" fontId="62" fillId="0" borderId="213"/>
    <xf numFmtId="176" fontId="62" fillId="0" borderId="213"/>
    <xf numFmtId="180" fontId="62" fillId="0" borderId="213"/>
    <xf numFmtId="181" fontId="62" fillId="0" borderId="213"/>
    <xf numFmtId="182" fontId="62" fillId="0" borderId="213"/>
    <xf numFmtId="175" fontId="62" fillId="0" borderId="213"/>
    <xf numFmtId="0" fontId="21" fillId="22" borderId="211" applyNumberFormat="0" applyAlignment="0" applyProtection="0"/>
    <xf numFmtId="172" fontId="62" fillId="0" borderId="213"/>
    <xf numFmtId="0" fontId="11" fillId="22" borderId="209" applyNumberFormat="0" applyAlignment="0" applyProtection="0"/>
    <xf numFmtId="0" fontId="8" fillId="25" borderId="210" applyNumberFormat="0" applyFont="0" applyAlignment="0" applyProtection="0"/>
    <xf numFmtId="0" fontId="11" fillId="22" borderId="209" applyNumberFormat="0" applyAlignment="0" applyProtection="0"/>
    <xf numFmtId="182" fontId="62" fillId="0" borderId="213"/>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74" fontId="62" fillId="0" borderId="213"/>
    <xf numFmtId="0" fontId="18" fillId="9" borderId="209" applyNumberFormat="0" applyAlignment="0" applyProtection="0"/>
    <xf numFmtId="0" fontId="11" fillId="22" borderId="209" applyNumberFormat="0" applyAlignment="0" applyProtection="0"/>
    <xf numFmtId="0" fontId="23" fillId="0" borderId="212" applyNumberFormat="0" applyFill="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3" fontId="62" fillId="0" borderId="213"/>
    <xf numFmtId="174" fontId="62" fillId="0" borderId="213"/>
    <xf numFmtId="0" fontId="18" fillId="9" borderId="209" applyNumberFormat="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7" fontId="62" fillId="0" borderId="213"/>
    <xf numFmtId="172" fontId="62" fillId="0" borderId="213"/>
    <xf numFmtId="173" fontId="62" fillId="0" borderId="213"/>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172" fontId="62" fillId="0" borderId="213"/>
    <xf numFmtId="180" fontId="62" fillId="0" borderId="213"/>
    <xf numFmtId="175" fontId="62" fillId="0" borderId="213"/>
    <xf numFmtId="175" fontId="62" fillId="0" borderId="213"/>
    <xf numFmtId="180" fontId="62" fillId="0" borderId="213"/>
    <xf numFmtId="172"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172" fontId="62" fillId="0" borderId="213"/>
    <xf numFmtId="182" fontId="62" fillId="0" borderId="213"/>
    <xf numFmtId="175" fontId="62" fillId="0" borderId="213"/>
    <xf numFmtId="177" fontId="62" fillId="0" borderId="213"/>
    <xf numFmtId="174" fontId="62" fillId="0" borderId="213"/>
    <xf numFmtId="173" fontId="62" fillId="0" borderId="213"/>
    <xf numFmtId="180"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180" fontId="62" fillId="0" borderId="213"/>
    <xf numFmtId="181"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4" fontId="62" fillId="0" borderId="213"/>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2" fontId="62" fillId="0" borderId="213"/>
    <xf numFmtId="175" fontId="62" fillId="0" borderId="213"/>
    <xf numFmtId="175" fontId="62" fillId="0" borderId="213"/>
    <xf numFmtId="0" fontId="21" fillId="22" borderId="211" applyNumberFormat="0" applyAlignment="0" applyProtection="0"/>
    <xf numFmtId="180" fontId="62" fillId="0" borderId="213"/>
    <xf numFmtId="175" fontId="62" fillId="0" borderId="213"/>
    <xf numFmtId="0" fontId="21" fillId="22" borderId="211" applyNumberFormat="0" applyAlignment="0" applyProtection="0"/>
    <xf numFmtId="0" fontId="8" fillId="25" borderId="210" applyNumberFormat="0" applyFont="0" applyAlignment="0" applyProtection="0"/>
    <xf numFmtId="172" fontId="62" fillId="0" borderId="213"/>
    <xf numFmtId="0" fontId="8" fillId="25" borderId="210" applyNumberFormat="0" applyFont="0" applyAlignment="0" applyProtection="0"/>
    <xf numFmtId="174" fontId="62" fillId="0" borderId="213"/>
    <xf numFmtId="0" fontId="23" fillId="0" borderId="212" applyNumberFormat="0" applyFill="0" applyAlignment="0" applyProtection="0"/>
    <xf numFmtId="176" fontId="62" fillId="0" borderId="213"/>
    <xf numFmtId="175" fontId="62" fillId="0" borderId="213"/>
    <xf numFmtId="0" fontId="23" fillId="0" borderId="212" applyNumberFormat="0" applyFill="0" applyAlignment="0" applyProtection="0"/>
    <xf numFmtId="182" fontId="62" fillId="0" borderId="213"/>
    <xf numFmtId="175" fontId="62" fillId="0" borderId="213"/>
    <xf numFmtId="175" fontId="62" fillId="0" borderId="213"/>
    <xf numFmtId="0" fontId="18" fillId="9" borderId="209" applyNumberFormat="0" applyAlignment="0" applyProtection="0"/>
    <xf numFmtId="0" fontId="21" fillId="22" borderId="211" applyNumberFormat="0" applyAlignment="0" applyProtection="0"/>
    <xf numFmtId="172" fontId="62" fillId="0" borderId="213"/>
    <xf numFmtId="0" fontId="8" fillId="25" borderId="210" applyNumberFormat="0" applyFont="0" applyAlignment="0" applyProtection="0"/>
    <xf numFmtId="173" fontId="62" fillId="0" borderId="213"/>
    <xf numFmtId="177"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172" fontId="62" fillId="0" borderId="213"/>
    <xf numFmtId="180" fontId="62" fillId="0" borderId="213"/>
    <xf numFmtId="0" fontId="18" fillId="9" borderId="209" applyNumberFormat="0" applyAlignment="0" applyProtection="0"/>
    <xf numFmtId="172" fontId="62" fillId="0" borderId="213"/>
    <xf numFmtId="0" fontId="21" fillId="22" borderId="211" applyNumberFormat="0" applyAlignment="0" applyProtection="0"/>
    <xf numFmtId="180" fontId="62" fillId="0" borderId="213"/>
    <xf numFmtId="172" fontId="62" fillId="0" borderId="213"/>
    <xf numFmtId="180" fontId="62" fillId="0" borderId="213"/>
    <xf numFmtId="175" fontId="62" fillId="0" borderId="213"/>
    <xf numFmtId="173" fontId="62" fillId="0" borderId="213"/>
    <xf numFmtId="172" fontId="62" fillId="0" borderId="213"/>
    <xf numFmtId="175" fontId="62" fillId="0" borderId="213"/>
    <xf numFmtId="174" fontId="62" fillId="0" borderId="213"/>
    <xf numFmtId="181" fontId="62" fillId="0" borderId="213"/>
    <xf numFmtId="180" fontId="62" fillId="0" borderId="213"/>
    <xf numFmtId="175" fontId="62" fillId="0" borderId="213"/>
    <xf numFmtId="172" fontId="62" fillId="0" borderId="213"/>
    <xf numFmtId="180" fontId="62" fillId="0" borderId="213"/>
    <xf numFmtId="175" fontId="62" fillId="0" borderId="213"/>
    <xf numFmtId="172" fontId="62" fillId="0" borderId="213"/>
    <xf numFmtId="180" fontId="62" fillId="0" borderId="213"/>
    <xf numFmtId="180" fontId="62" fillId="0" borderId="213"/>
    <xf numFmtId="181" fontId="62" fillId="0" borderId="213"/>
    <xf numFmtId="177" fontId="62" fillId="0" borderId="213"/>
    <xf numFmtId="172" fontId="62" fillId="0" borderId="213"/>
    <xf numFmtId="0" fontId="23" fillId="0" borderId="212" applyNumberFormat="0" applyFill="0" applyAlignment="0" applyProtection="0"/>
    <xf numFmtId="0" fontId="11" fillId="22" borderId="209" applyNumberFormat="0" applyAlignment="0" applyProtection="0"/>
    <xf numFmtId="172" fontId="62" fillId="0" borderId="213"/>
    <xf numFmtId="174" fontId="62" fillId="0" borderId="213"/>
    <xf numFmtId="172" fontId="62" fillId="0" borderId="213"/>
    <xf numFmtId="175" fontId="62" fillId="0" borderId="213"/>
    <xf numFmtId="180" fontId="62" fillId="0" borderId="213"/>
    <xf numFmtId="172" fontId="62" fillId="0" borderId="213"/>
    <xf numFmtId="0" fontId="18" fillId="9" borderId="209" applyNumberFormat="0" applyAlignment="0" applyProtection="0"/>
    <xf numFmtId="174" fontId="62" fillId="0" borderId="213"/>
    <xf numFmtId="0" fontId="11" fillId="22" borderId="209" applyNumberFormat="0" applyAlignment="0" applyProtection="0"/>
    <xf numFmtId="182" fontId="62" fillId="0" borderId="213"/>
    <xf numFmtId="172" fontId="62" fillId="0" borderId="213"/>
    <xf numFmtId="173" fontId="62" fillId="0" borderId="213"/>
    <xf numFmtId="175" fontId="62" fillId="0" borderId="213"/>
    <xf numFmtId="176" fontId="62" fillId="0" borderId="213"/>
    <xf numFmtId="175" fontId="62" fillId="0" borderId="213"/>
    <xf numFmtId="175" fontId="62" fillId="0" borderId="213"/>
    <xf numFmtId="0" fontId="11" fillId="22" borderId="209" applyNumberFormat="0" applyAlignment="0" applyProtection="0"/>
    <xf numFmtId="172" fontId="62" fillId="0" borderId="213"/>
    <xf numFmtId="175" fontId="62" fillId="0" borderId="213"/>
    <xf numFmtId="182" fontId="62" fillId="0" borderId="213"/>
    <xf numFmtId="172" fontId="62" fillId="0" borderId="213"/>
    <xf numFmtId="175" fontId="62" fillId="0" borderId="213"/>
    <xf numFmtId="177" fontId="62" fillId="0" borderId="213"/>
    <xf numFmtId="173" fontId="62" fillId="0" borderId="213"/>
    <xf numFmtId="181" fontId="62" fillId="0" borderId="213"/>
    <xf numFmtId="182" fontId="62" fillId="0" borderId="213"/>
    <xf numFmtId="180" fontId="62" fillId="0" borderId="213"/>
    <xf numFmtId="0" fontId="8" fillId="25" borderId="210" applyNumberFormat="0" applyFont="0" applyAlignment="0" applyProtection="0"/>
    <xf numFmtId="172" fontId="62" fillId="0" borderId="213"/>
    <xf numFmtId="180" fontId="62" fillId="0" borderId="213"/>
    <xf numFmtId="180" fontId="62" fillId="0" borderId="213"/>
    <xf numFmtId="0" fontId="8" fillId="25" borderId="210" applyNumberFormat="0" applyFont="0" applyAlignment="0" applyProtection="0"/>
    <xf numFmtId="180" fontId="62" fillId="0" borderId="213"/>
    <xf numFmtId="177"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0" fontId="21" fillId="22" borderId="211" applyNumberFormat="0" applyAlignment="0" applyProtection="0"/>
    <xf numFmtId="175" fontId="62" fillId="0" borderId="213"/>
    <xf numFmtId="175" fontId="62" fillId="0" borderId="213"/>
    <xf numFmtId="173" fontId="62" fillId="0" borderId="213"/>
    <xf numFmtId="175" fontId="62" fillId="0" borderId="213"/>
    <xf numFmtId="180" fontId="62" fillId="0" borderId="213"/>
    <xf numFmtId="180" fontId="62" fillId="0" borderId="213"/>
    <xf numFmtId="172" fontId="62" fillId="0" borderId="213"/>
    <xf numFmtId="175" fontId="62" fillId="0" borderId="213"/>
    <xf numFmtId="180" fontId="62" fillId="0" borderId="213"/>
    <xf numFmtId="172" fontId="62" fillId="0" borderId="213"/>
    <xf numFmtId="174" fontId="62" fillId="0" borderId="213"/>
    <xf numFmtId="180" fontId="62" fillId="0" borderId="213"/>
    <xf numFmtId="0" fontId="23" fillId="0" borderId="212" applyNumberFormat="0" applyFill="0" applyAlignment="0" applyProtection="0"/>
    <xf numFmtId="175" fontId="62" fillId="0" borderId="213"/>
    <xf numFmtId="175" fontId="62" fillId="0" borderId="213"/>
    <xf numFmtId="180" fontId="62" fillId="0" borderId="213"/>
    <xf numFmtId="172" fontId="62" fillId="0" borderId="213"/>
    <xf numFmtId="0" fontId="18" fillId="9" borderId="209" applyNumberFormat="0" applyAlignment="0" applyProtection="0"/>
    <xf numFmtId="177" fontId="62" fillId="0" borderId="213"/>
    <xf numFmtId="176" fontId="62" fillId="0" borderId="213"/>
    <xf numFmtId="181" fontId="62" fillId="0" borderId="213"/>
    <xf numFmtId="176" fontId="62" fillId="0" borderId="213"/>
    <xf numFmtId="181" fontId="62" fillId="0" borderId="213"/>
    <xf numFmtId="173" fontId="62" fillId="0" borderId="213"/>
    <xf numFmtId="181" fontId="62" fillId="0" borderId="213"/>
    <xf numFmtId="182" fontId="62" fillId="0" borderId="213"/>
    <xf numFmtId="175" fontId="62" fillId="0" borderId="213"/>
    <xf numFmtId="182" fontId="62" fillId="0" borderId="213"/>
    <xf numFmtId="0" fontId="21" fillId="22" borderId="211" applyNumberFormat="0" applyAlignment="0" applyProtection="0"/>
    <xf numFmtId="177" fontId="62" fillId="0" borderId="213"/>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0" fontId="62" fillId="0" borderId="213"/>
    <xf numFmtId="172" fontId="62" fillId="0" borderId="213"/>
    <xf numFmtId="175" fontId="62" fillId="0" borderId="213"/>
    <xf numFmtId="180" fontId="62" fillId="0" borderId="213"/>
    <xf numFmtId="180" fontId="62" fillId="0" borderId="213"/>
    <xf numFmtId="180" fontId="62" fillId="0" borderId="213"/>
    <xf numFmtId="175" fontId="62" fillId="0" borderId="213"/>
    <xf numFmtId="180" fontId="62" fillId="0" borderId="213"/>
    <xf numFmtId="180" fontId="62" fillId="0" borderId="213"/>
    <xf numFmtId="175" fontId="62" fillId="0" borderId="213"/>
    <xf numFmtId="175" fontId="62" fillId="0" borderId="213"/>
    <xf numFmtId="0" fontId="21" fillId="22" borderId="211" applyNumberFormat="0" applyAlignment="0" applyProtection="0"/>
    <xf numFmtId="175" fontId="62" fillId="0" borderId="213"/>
    <xf numFmtId="0" fontId="23" fillId="0" borderId="212" applyNumberFormat="0" applyFill="0" applyAlignment="0" applyProtection="0"/>
    <xf numFmtId="172" fontId="62" fillId="0" borderId="213"/>
    <xf numFmtId="172" fontId="62" fillId="0" borderId="213"/>
    <xf numFmtId="175" fontId="62" fillId="0" borderId="213"/>
    <xf numFmtId="176" fontId="62" fillId="0" borderId="213"/>
    <xf numFmtId="0" fontId="18" fillId="9" borderId="209" applyNumberFormat="0" applyAlignment="0" applyProtection="0"/>
    <xf numFmtId="172" fontId="62" fillId="0" borderId="213"/>
    <xf numFmtId="0" fontId="21" fillId="22" borderId="211" applyNumberFormat="0" applyAlignment="0" applyProtection="0"/>
    <xf numFmtId="174" fontId="62" fillId="0" borderId="213"/>
    <xf numFmtId="172" fontId="62" fillId="0" borderId="213"/>
    <xf numFmtId="0" fontId="18" fillId="9" borderId="209" applyNumberFormat="0" applyAlignment="0" applyProtection="0"/>
    <xf numFmtId="177" fontId="62" fillId="0" borderId="213"/>
    <xf numFmtId="0" fontId="11" fillId="22" borderId="209" applyNumberFormat="0" applyAlignment="0" applyProtection="0"/>
    <xf numFmtId="172" fontId="62" fillId="0" borderId="213"/>
    <xf numFmtId="17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6" fontId="62" fillId="0" borderId="213"/>
    <xf numFmtId="180" fontId="62" fillId="0" borderId="213"/>
    <xf numFmtId="172" fontId="62" fillId="0" borderId="213"/>
    <xf numFmtId="172" fontId="62" fillId="0" borderId="213"/>
    <xf numFmtId="0" fontId="23" fillId="0" borderId="212" applyNumberFormat="0" applyFill="0" applyAlignment="0" applyProtection="0"/>
    <xf numFmtId="180" fontId="62" fillId="0" borderId="213"/>
    <xf numFmtId="172" fontId="62" fillId="0" borderId="213"/>
    <xf numFmtId="172" fontId="62" fillId="0" borderId="213"/>
    <xf numFmtId="180" fontId="62" fillId="0" borderId="213"/>
    <xf numFmtId="175" fontId="62" fillId="0" borderId="213"/>
    <xf numFmtId="175" fontId="62" fillId="0" borderId="213"/>
    <xf numFmtId="180" fontId="62" fillId="0" borderId="213"/>
    <xf numFmtId="180" fontId="62" fillId="0" borderId="213"/>
    <xf numFmtId="180" fontId="62" fillId="0" borderId="213"/>
    <xf numFmtId="172" fontId="62" fillId="0" borderId="213"/>
    <xf numFmtId="174" fontId="62" fillId="0" borderId="213"/>
    <xf numFmtId="172" fontId="62" fillId="0" borderId="213"/>
    <xf numFmtId="180" fontId="62" fillId="0" borderId="213"/>
    <xf numFmtId="0" fontId="18" fillId="9" borderId="209" applyNumberFormat="0" applyAlignment="0" applyProtection="0"/>
    <xf numFmtId="180" fontId="62" fillId="0" borderId="213"/>
    <xf numFmtId="180" fontId="62" fillId="0" borderId="213"/>
    <xf numFmtId="0" fontId="23" fillId="0" borderId="212" applyNumberFormat="0" applyFill="0" applyAlignment="0" applyProtection="0"/>
    <xf numFmtId="172" fontId="62" fillId="0" borderId="213"/>
    <xf numFmtId="0" fontId="8" fillId="25" borderId="210" applyNumberFormat="0" applyFont="0" applyAlignment="0" applyProtection="0"/>
    <xf numFmtId="0" fontId="18" fillId="9" borderId="209" applyNumberFormat="0" applyAlignment="0" applyProtection="0"/>
    <xf numFmtId="172" fontId="62" fillId="0" borderId="213"/>
    <xf numFmtId="180" fontId="62" fillId="0" borderId="213"/>
    <xf numFmtId="0" fontId="8" fillId="25" borderId="210" applyNumberFormat="0" applyFont="0" applyAlignment="0" applyProtection="0"/>
    <xf numFmtId="0" fontId="11" fillId="22" borderId="209" applyNumberFormat="0" applyAlignment="0" applyProtection="0"/>
    <xf numFmtId="172"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2" fontId="62" fillId="0" borderId="213"/>
    <xf numFmtId="181" fontId="62" fillId="0" borderId="213"/>
    <xf numFmtId="175" fontId="62" fillId="0" borderId="213"/>
    <xf numFmtId="175" fontId="62" fillId="0" borderId="213"/>
    <xf numFmtId="174" fontId="62" fillId="0" borderId="213"/>
    <xf numFmtId="180" fontId="62" fillId="0" borderId="213"/>
    <xf numFmtId="173" fontId="62" fillId="0" borderId="213"/>
    <xf numFmtId="0" fontId="21" fillId="22" borderId="211" applyNumberFormat="0" applyAlignment="0" applyProtection="0"/>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6" fontId="62" fillId="0" borderId="213"/>
    <xf numFmtId="175" fontId="62" fillId="0" borderId="213"/>
    <xf numFmtId="182" fontId="62" fillId="0" borderId="213"/>
    <xf numFmtId="0" fontId="23" fillId="0" borderId="212" applyNumberFormat="0" applyFill="0" applyAlignment="0" applyProtection="0"/>
    <xf numFmtId="177" fontId="62" fillId="0" borderId="213"/>
    <xf numFmtId="173" fontId="62" fillId="0" borderId="213"/>
    <xf numFmtId="180" fontId="62" fillId="0" borderId="213"/>
    <xf numFmtId="181" fontId="62" fillId="0" borderId="213"/>
    <xf numFmtId="182" fontId="62" fillId="0" borderId="213"/>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5" fontId="62" fillId="0" borderId="213"/>
    <xf numFmtId="175" fontId="62" fillId="0" borderId="213"/>
    <xf numFmtId="175" fontId="62" fillId="0" borderId="213"/>
    <xf numFmtId="172" fontId="62" fillId="0" borderId="213"/>
    <xf numFmtId="0" fontId="18" fillId="9" borderId="209" applyNumberFormat="0" applyAlignment="0" applyProtection="0"/>
    <xf numFmtId="175" fontId="62" fillId="0" borderId="213"/>
    <xf numFmtId="172" fontId="62" fillId="0" borderId="213"/>
    <xf numFmtId="180" fontId="62" fillId="0" borderId="213"/>
    <xf numFmtId="174" fontId="62" fillId="0" borderId="213"/>
    <xf numFmtId="174" fontId="62" fillId="0" borderId="213"/>
    <xf numFmtId="172" fontId="62" fillId="0" borderId="213"/>
    <xf numFmtId="174" fontId="62" fillId="0" borderId="213"/>
    <xf numFmtId="175" fontId="62" fillId="0" borderId="213"/>
    <xf numFmtId="177" fontId="62" fillId="0" borderId="213"/>
    <xf numFmtId="172" fontId="62" fillId="0" borderId="213"/>
    <xf numFmtId="0" fontId="11" fillId="22" borderId="209" applyNumberFormat="0" applyAlignment="0" applyProtection="0"/>
    <xf numFmtId="180" fontId="62" fillId="0" borderId="213"/>
    <xf numFmtId="180" fontId="62" fillId="0" borderId="213"/>
    <xf numFmtId="180" fontId="62" fillId="0" borderId="213"/>
    <xf numFmtId="172" fontId="62" fillId="0" borderId="213"/>
    <xf numFmtId="0" fontId="8" fillId="25" borderId="210" applyNumberFormat="0" applyFont="0" applyAlignment="0" applyProtection="0"/>
    <xf numFmtId="172" fontId="62" fillId="0" borderId="213"/>
    <xf numFmtId="181" fontId="62" fillId="0" borderId="213"/>
    <xf numFmtId="175" fontId="62" fillId="0" borderId="213"/>
    <xf numFmtId="176" fontId="62" fillId="0" borderId="213"/>
    <xf numFmtId="0" fontId="18" fillId="9" borderId="209" applyNumberFormat="0" applyAlignment="0" applyProtection="0"/>
    <xf numFmtId="172" fontId="62" fillId="0" borderId="213"/>
    <xf numFmtId="180" fontId="62" fillId="0" borderId="213"/>
    <xf numFmtId="175" fontId="62" fillId="0" borderId="213"/>
    <xf numFmtId="180" fontId="62" fillId="0" borderId="213"/>
    <xf numFmtId="172" fontId="62" fillId="0" borderId="213"/>
    <xf numFmtId="180" fontId="62" fillId="0" borderId="213"/>
    <xf numFmtId="175" fontId="62" fillId="0" borderId="213"/>
    <xf numFmtId="175" fontId="62" fillId="0" borderId="213"/>
    <xf numFmtId="172" fontId="62" fillId="0" borderId="213"/>
    <xf numFmtId="175" fontId="62" fillId="0" borderId="213"/>
    <xf numFmtId="176" fontId="62" fillId="0" borderId="213"/>
    <xf numFmtId="175" fontId="62" fillId="0" borderId="213"/>
    <xf numFmtId="180" fontId="62" fillId="0" borderId="213"/>
    <xf numFmtId="180" fontId="62" fillId="0" borderId="213"/>
    <xf numFmtId="172" fontId="62" fillId="0" borderId="213"/>
    <xf numFmtId="0" fontId="21" fillId="22" borderId="211" applyNumberFormat="0" applyAlignment="0" applyProtection="0"/>
    <xf numFmtId="173" fontId="62" fillId="0" borderId="213"/>
    <xf numFmtId="0" fontId="23" fillId="0" borderId="212" applyNumberFormat="0" applyFill="0" applyAlignment="0" applyProtection="0"/>
    <xf numFmtId="0" fontId="8" fillId="25" borderId="210" applyNumberFormat="0" applyFont="0" applyAlignment="0" applyProtection="0"/>
    <xf numFmtId="173" fontId="62" fillId="0" borderId="213"/>
    <xf numFmtId="176" fontId="62" fillId="0" borderId="213"/>
    <xf numFmtId="0" fontId="23" fillId="0" borderId="212" applyNumberFormat="0" applyFill="0" applyAlignment="0" applyProtection="0"/>
    <xf numFmtId="175" fontId="62" fillId="0" borderId="213"/>
    <xf numFmtId="0" fontId="21" fillId="22" borderId="211" applyNumberFormat="0" applyAlignment="0" applyProtection="0"/>
    <xf numFmtId="172" fontId="62" fillId="0" borderId="213"/>
    <xf numFmtId="182" fontId="62" fillId="0" borderId="213"/>
    <xf numFmtId="172" fontId="62" fillId="0" borderId="213"/>
    <xf numFmtId="180" fontId="62" fillId="0" borderId="213"/>
    <xf numFmtId="0" fontId="11" fillId="22" borderId="209" applyNumberFormat="0" applyAlignment="0" applyProtection="0"/>
    <xf numFmtId="175" fontId="62" fillId="0" borderId="213"/>
    <xf numFmtId="181" fontId="62" fillId="0" borderId="213"/>
    <xf numFmtId="175" fontId="62" fillId="0" borderId="213"/>
    <xf numFmtId="172" fontId="62" fillId="0" borderId="213"/>
    <xf numFmtId="175" fontId="62" fillId="0" borderId="213"/>
    <xf numFmtId="173" fontId="62" fillId="0" borderId="213"/>
    <xf numFmtId="180" fontId="62" fillId="0" borderId="213"/>
    <xf numFmtId="177" fontId="62" fillId="0" borderId="213"/>
    <xf numFmtId="175" fontId="62" fillId="0" borderId="213"/>
    <xf numFmtId="173" fontId="62" fillId="0" borderId="213"/>
    <xf numFmtId="172" fontId="62" fillId="0" borderId="213"/>
    <xf numFmtId="181" fontId="62" fillId="0" borderId="213"/>
    <xf numFmtId="182" fontId="62" fillId="0" borderId="213"/>
    <xf numFmtId="180" fontId="62" fillId="0" borderId="213"/>
    <xf numFmtId="180" fontId="62" fillId="0" borderId="213"/>
    <xf numFmtId="180" fontId="62" fillId="0" borderId="213"/>
    <xf numFmtId="172" fontId="62" fillId="0" borderId="213"/>
    <xf numFmtId="180"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2" fontId="62" fillId="0" borderId="213"/>
    <xf numFmtId="172" fontId="62" fillId="0" borderId="213"/>
    <xf numFmtId="175" fontId="62" fillId="0" borderId="213"/>
    <xf numFmtId="180" fontId="62" fillId="0" borderId="213"/>
    <xf numFmtId="172" fontId="62" fillId="0" borderId="213"/>
    <xf numFmtId="0" fontId="8" fillId="25" borderId="210" applyNumberFormat="0" applyFont="0" applyAlignment="0" applyProtection="0"/>
    <xf numFmtId="175" fontId="62" fillId="0" borderId="213"/>
    <xf numFmtId="177" fontId="62" fillId="0" borderId="213"/>
    <xf numFmtId="180" fontId="62" fillId="0" borderId="213"/>
    <xf numFmtId="172" fontId="62" fillId="0" borderId="213"/>
    <xf numFmtId="175"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80" fontId="62" fillId="0" borderId="213"/>
    <xf numFmtId="172" fontId="62" fillId="0" borderId="213"/>
    <xf numFmtId="180" fontId="62" fillId="0" borderId="213"/>
    <xf numFmtId="180" fontId="62" fillId="0" borderId="213"/>
    <xf numFmtId="175" fontId="62" fillId="0" borderId="213"/>
    <xf numFmtId="175" fontId="62" fillId="0" borderId="213"/>
    <xf numFmtId="172" fontId="62" fillId="0" borderId="213"/>
    <xf numFmtId="172" fontId="62" fillId="0" borderId="213"/>
    <xf numFmtId="172" fontId="62" fillId="0" borderId="213"/>
    <xf numFmtId="0" fontId="8" fillId="25" borderId="210" applyNumberFormat="0" applyFon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5" fontId="62" fillId="0" borderId="213"/>
    <xf numFmtId="0" fontId="23" fillId="0" borderId="212" applyNumberFormat="0" applyFill="0" applyAlignment="0" applyProtection="0"/>
    <xf numFmtId="0" fontId="18" fillId="9" borderId="209" applyNumberFormat="0" applyAlignment="0" applyProtection="0"/>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182" fontId="62" fillId="0" borderId="213"/>
    <xf numFmtId="181" fontId="62" fillId="0" borderId="213"/>
    <xf numFmtId="180" fontId="62" fillId="0" borderId="213"/>
    <xf numFmtId="172" fontId="62" fillId="0" borderId="213"/>
    <xf numFmtId="176" fontId="62" fillId="0" borderId="213"/>
    <xf numFmtId="177" fontId="62" fillId="0" borderId="213"/>
    <xf numFmtId="176" fontId="62" fillId="0" borderId="213"/>
    <xf numFmtId="175" fontId="62" fillId="0" borderId="213"/>
    <xf numFmtId="177" fontId="62" fillId="0" borderId="213"/>
    <xf numFmtId="181" fontId="62" fillId="0" borderId="213"/>
    <xf numFmtId="174" fontId="62" fillId="0" borderId="213"/>
    <xf numFmtId="0" fontId="11" fillId="22" borderId="209" applyNumberFormat="0" applyAlignment="0" applyProtection="0"/>
    <xf numFmtId="173" fontId="62" fillId="0" borderId="213"/>
    <xf numFmtId="180" fontId="62" fillId="0" borderId="213"/>
    <xf numFmtId="177" fontId="62" fillId="0" borderId="213"/>
    <xf numFmtId="175" fontId="62" fillId="0" borderId="213"/>
    <xf numFmtId="172" fontId="62" fillId="0" borderId="213"/>
    <xf numFmtId="0" fontId="21" fillId="22" borderId="211" applyNumberFormat="0" applyAlignment="0" applyProtection="0"/>
    <xf numFmtId="0" fontId="23" fillId="0" borderId="212" applyNumberFormat="0" applyFill="0" applyAlignment="0" applyProtection="0"/>
    <xf numFmtId="181" fontId="62" fillId="0" borderId="213"/>
    <xf numFmtId="176" fontId="62" fillId="0" borderId="213"/>
    <xf numFmtId="174" fontId="62" fillId="0" borderId="213"/>
    <xf numFmtId="173" fontId="62" fillId="0" borderId="213"/>
    <xf numFmtId="172" fontId="62" fillId="0" borderId="213"/>
    <xf numFmtId="182"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11" fillId="22" borderId="209" applyNumberFormat="0" applyAlignment="0" applyProtection="0"/>
    <xf numFmtId="0" fontId="21" fillId="22" borderId="211" applyNumberFormat="0" applyAlignment="0" applyProtection="0"/>
    <xf numFmtId="0" fontId="11" fillId="22" borderId="209" applyNumberFormat="0" applyAlignment="0" applyProtection="0"/>
    <xf numFmtId="0" fontId="21" fillId="22" borderId="211" applyNumberFormat="0" applyAlignment="0" applyProtection="0"/>
    <xf numFmtId="0" fontId="21" fillId="22" borderId="211" applyNumberFormat="0" applyAlignment="0" applyProtection="0"/>
    <xf numFmtId="174"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0" fontId="23" fillId="0" borderId="212" applyNumberFormat="0" applyFill="0" applyAlignment="0" applyProtection="0"/>
    <xf numFmtId="172" fontId="62" fillId="0" borderId="213"/>
    <xf numFmtId="173" fontId="62" fillId="0" borderId="213"/>
    <xf numFmtId="0" fontId="21" fillId="22" borderId="211" applyNumberFormat="0" applyAlignment="0" applyProtection="0"/>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180" fontId="62" fillId="0" borderId="213"/>
    <xf numFmtId="0" fontId="8" fillId="25" borderId="210" applyNumberFormat="0" applyFont="0" applyAlignment="0" applyProtection="0"/>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21" fillId="22" borderId="211"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8" fillId="9" borderId="209" applyNumberFormat="0" applyAlignment="0" applyProtection="0"/>
    <xf numFmtId="175"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2" fontId="62" fillId="0" borderId="213"/>
    <xf numFmtId="180" fontId="62" fillId="0" borderId="213"/>
    <xf numFmtId="0" fontId="11" fillId="22" borderId="209" applyNumberFormat="0" applyAlignment="0" applyProtection="0"/>
    <xf numFmtId="176" fontId="62" fillId="0" borderId="213"/>
    <xf numFmtId="182" fontId="62" fillId="0" borderId="213"/>
    <xf numFmtId="172" fontId="62" fillId="0" borderId="213"/>
    <xf numFmtId="0" fontId="23" fillId="0" borderId="212" applyNumberFormat="0" applyFill="0" applyAlignment="0" applyProtection="0"/>
    <xf numFmtId="180" fontId="62" fillId="0" borderId="213"/>
    <xf numFmtId="175" fontId="62" fillId="0" borderId="213"/>
    <xf numFmtId="0" fontId="11" fillId="22" borderId="209" applyNumberFormat="0" applyAlignment="0" applyProtection="0"/>
    <xf numFmtId="172" fontId="62" fillId="0" borderId="213"/>
    <xf numFmtId="172" fontId="62" fillId="0" borderId="213"/>
    <xf numFmtId="0" fontId="18" fillId="9" borderId="209" applyNumberFormat="0" applyAlignment="0" applyProtection="0"/>
    <xf numFmtId="173" fontId="62" fillId="0" borderId="213"/>
    <xf numFmtId="172" fontId="62" fillId="0" borderId="213"/>
    <xf numFmtId="175" fontId="62" fillId="0" borderId="213"/>
    <xf numFmtId="172" fontId="62" fillId="0" borderId="213"/>
    <xf numFmtId="175" fontId="62" fillId="0" borderId="213"/>
    <xf numFmtId="176" fontId="62" fillId="0" borderId="213"/>
    <xf numFmtId="177" fontId="62" fillId="0" borderId="213"/>
    <xf numFmtId="0" fontId="8" fillId="25" borderId="210" applyNumberFormat="0" applyFont="0" applyAlignment="0" applyProtection="0"/>
    <xf numFmtId="175" fontId="62" fillId="0" borderId="213"/>
    <xf numFmtId="180" fontId="62" fillId="0" borderId="213"/>
    <xf numFmtId="172" fontId="62" fillId="0" borderId="213"/>
    <xf numFmtId="181" fontId="62" fillId="0" borderId="213"/>
    <xf numFmtId="182" fontId="62" fillId="0" borderId="213"/>
    <xf numFmtId="0" fontId="18" fillId="9" borderId="209" applyNumberFormat="0" applyAlignment="0" applyProtection="0"/>
    <xf numFmtId="180" fontId="62" fillId="0" borderId="213"/>
    <xf numFmtId="180" fontId="62" fillId="0" borderId="213"/>
    <xf numFmtId="175" fontId="62" fillId="0" borderId="213"/>
    <xf numFmtId="172" fontId="62" fillId="0" borderId="213"/>
    <xf numFmtId="176" fontId="62" fillId="0" borderId="213"/>
    <xf numFmtId="172" fontId="62" fillId="0" borderId="213"/>
    <xf numFmtId="172" fontId="62" fillId="0" borderId="213"/>
    <xf numFmtId="175" fontId="62" fillId="0" borderId="213"/>
    <xf numFmtId="175" fontId="62" fillId="0" borderId="213"/>
    <xf numFmtId="172" fontId="62" fillId="0" borderId="213"/>
    <xf numFmtId="0" fontId="18" fillId="9" borderId="209" applyNumberForma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8" fillId="25" borderId="210" applyNumberFormat="0" applyFont="0" applyAlignment="0" applyProtection="0"/>
    <xf numFmtId="174" fontId="62" fillId="0" borderId="213"/>
    <xf numFmtId="175" fontId="62" fillId="0" borderId="213"/>
    <xf numFmtId="180" fontId="62" fillId="0" borderId="213"/>
    <xf numFmtId="0" fontId="11" fillId="22" borderId="209" applyNumberFormat="0" applyAlignment="0" applyProtection="0"/>
    <xf numFmtId="174" fontId="62" fillId="0" borderId="213"/>
    <xf numFmtId="173" fontId="62" fillId="0" borderId="213"/>
    <xf numFmtId="0" fontId="21" fillId="22" borderId="211" applyNumberFormat="0" applyAlignment="0" applyProtection="0"/>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8" fillId="25" borderId="210" applyNumberFormat="0" applyFont="0" applyAlignment="0" applyProtection="0"/>
    <xf numFmtId="0" fontId="11" fillId="22" borderId="209" applyNumberFormat="0" applyAlignment="0" applyProtection="0"/>
    <xf numFmtId="174" fontId="62" fillId="0" borderId="213"/>
    <xf numFmtId="176" fontId="62" fillId="0" borderId="213"/>
    <xf numFmtId="177"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1" fontId="62" fillId="0" borderId="213"/>
    <xf numFmtId="175" fontId="62" fillId="0" borderId="213"/>
    <xf numFmtId="180" fontId="62" fillId="0" borderId="213"/>
    <xf numFmtId="175" fontId="62" fillId="0" borderId="213"/>
    <xf numFmtId="177" fontId="62" fillId="0" borderId="213"/>
    <xf numFmtId="173" fontId="62" fillId="0" borderId="213"/>
    <xf numFmtId="181" fontId="62" fillId="0" borderId="213"/>
    <xf numFmtId="182" fontId="62" fillId="0" borderId="213"/>
    <xf numFmtId="0" fontId="21" fillId="22" borderId="211"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175" fontId="62" fillId="0" borderId="213"/>
    <xf numFmtId="180" fontId="62" fillId="0" borderId="213"/>
    <xf numFmtId="175" fontId="62" fillId="0" borderId="213"/>
    <xf numFmtId="172" fontId="62" fillId="0" borderId="213"/>
    <xf numFmtId="180" fontId="62" fillId="0" borderId="213"/>
    <xf numFmtId="175" fontId="62" fillId="0" borderId="213"/>
    <xf numFmtId="180" fontId="62" fillId="0" borderId="213"/>
    <xf numFmtId="172" fontId="62" fillId="0" borderId="213"/>
    <xf numFmtId="172" fontId="62" fillId="0" borderId="213"/>
    <xf numFmtId="180"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7" fontId="62" fillId="0" borderId="213"/>
    <xf numFmtId="0" fontId="11" fillId="22" borderId="209" applyNumberFormat="0" applyAlignment="0" applyProtection="0"/>
    <xf numFmtId="181" fontId="62" fillId="0" borderId="213"/>
    <xf numFmtId="180" fontId="62" fillId="0" borderId="213"/>
    <xf numFmtId="172" fontId="62" fillId="0" borderId="213"/>
    <xf numFmtId="172" fontId="62" fillId="0" borderId="213"/>
    <xf numFmtId="175" fontId="62" fillId="0" borderId="213"/>
    <xf numFmtId="175" fontId="62" fillId="0" borderId="213"/>
    <xf numFmtId="172" fontId="62" fillId="0" borderId="213"/>
    <xf numFmtId="0" fontId="23" fillId="0" borderId="212" applyNumberFormat="0" applyFill="0" applyAlignment="0" applyProtection="0"/>
    <xf numFmtId="175" fontId="62" fillId="0" borderId="213"/>
    <xf numFmtId="0" fontId="18" fillId="9" borderId="209" applyNumberFormat="0" applyAlignment="0" applyProtection="0"/>
    <xf numFmtId="0" fontId="21" fillId="22" borderId="211" applyNumberFormat="0" applyAlignment="0" applyProtection="0"/>
    <xf numFmtId="0" fontId="8" fillId="25" borderId="210" applyNumberFormat="0" applyFont="0" applyAlignment="0" applyProtection="0"/>
    <xf numFmtId="177" fontId="62" fillId="0" borderId="213"/>
    <xf numFmtId="180" fontId="62" fillId="0" borderId="213"/>
    <xf numFmtId="0" fontId="11" fillId="22" borderId="209" applyNumberFormat="0" applyAlignment="0" applyProtection="0"/>
    <xf numFmtId="0" fontId="18" fillId="9" borderId="209" applyNumberFormat="0" applyAlignment="0" applyProtection="0"/>
    <xf numFmtId="175" fontId="62" fillId="0" borderId="213"/>
    <xf numFmtId="172" fontId="62" fillId="0" borderId="213"/>
    <xf numFmtId="180" fontId="62" fillId="0" borderId="213"/>
    <xf numFmtId="175" fontId="62" fillId="0" borderId="213"/>
    <xf numFmtId="172" fontId="62" fillId="0" borderId="213"/>
    <xf numFmtId="173" fontId="62" fillId="0" borderId="213"/>
    <xf numFmtId="172" fontId="62" fillId="0" borderId="213"/>
    <xf numFmtId="175" fontId="62" fillId="0" borderId="213"/>
    <xf numFmtId="180" fontId="62" fillId="0" borderId="213"/>
    <xf numFmtId="172" fontId="62" fillId="0" borderId="213"/>
    <xf numFmtId="180" fontId="62" fillId="0" borderId="213"/>
    <xf numFmtId="0" fontId="11" fillId="22" borderId="209" applyNumberFormat="0" applyAlignment="0" applyProtection="0"/>
    <xf numFmtId="182" fontId="62" fillId="0" borderId="213"/>
    <xf numFmtId="176" fontId="62" fillId="0" borderId="213"/>
    <xf numFmtId="180"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23" fillId="0" borderId="212" applyNumberFormat="0" applyFill="0" applyAlignment="0" applyProtection="0"/>
    <xf numFmtId="180" fontId="62" fillId="0" borderId="213"/>
    <xf numFmtId="180" fontId="62" fillId="0" borderId="213"/>
    <xf numFmtId="175" fontId="62" fillId="0" borderId="213"/>
    <xf numFmtId="174" fontId="62" fillId="0" borderId="213"/>
    <xf numFmtId="0" fontId="8" fillId="25" borderId="210" applyNumberFormat="0" applyFont="0" applyAlignment="0" applyProtection="0"/>
    <xf numFmtId="175"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180"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175"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65" fillId="50" borderId="214">
      <protection locked="0"/>
    </xf>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65" fillId="50" borderId="214">
      <protection locked="0"/>
    </xf>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0" fontId="62" fillId="0" borderId="213"/>
    <xf numFmtId="180" fontId="62" fillId="0" borderId="213"/>
    <xf numFmtId="181" fontId="62" fillId="0" borderId="213"/>
    <xf numFmtId="172" fontId="62" fillId="0" borderId="213"/>
    <xf numFmtId="175" fontId="62" fillId="0" borderId="213"/>
    <xf numFmtId="175" fontId="62" fillId="0" borderId="213"/>
    <xf numFmtId="177" fontId="62" fillId="0" borderId="213"/>
    <xf numFmtId="172"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0" fontId="18" fillId="9" borderId="209" applyNumberFormat="0" applyAlignment="0" applyProtection="0"/>
    <xf numFmtId="0" fontId="8" fillId="25" borderId="210" applyNumberFormat="0" applyFont="0" applyAlignment="0" applyProtection="0"/>
    <xf numFmtId="176" fontId="62" fillId="0" borderId="213"/>
    <xf numFmtId="180" fontId="62" fillId="0" borderId="213"/>
    <xf numFmtId="172" fontId="62" fillId="0" borderId="213"/>
    <xf numFmtId="173" fontId="62" fillId="0" borderId="213"/>
    <xf numFmtId="174" fontId="62" fillId="0" borderId="213"/>
    <xf numFmtId="0" fontId="8" fillId="25" borderId="210" applyNumberFormat="0" applyFont="0" applyAlignment="0" applyProtection="0"/>
    <xf numFmtId="175" fontId="62" fillId="0" borderId="213"/>
    <xf numFmtId="176" fontId="62" fillId="0" borderId="213"/>
    <xf numFmtId="177" fontId="62" fillId="0" borderId="213"/>
    <xf numFmtId="176" fontId="62" fillId="0" borderId="213"/>
    <xf numFmtId="180" fontId="62" fillId="0" borderId="213"/>
    <xf numFmtId="181" fontId="62" fillId="0" borderId="213"/>
    <xf numFmtId="182" fontId="62" fillId="0" borderId="213"/>
    <xf numFmtId="175" fontId="62" fillId="0" borderId="213"/>
    <xf numFmtId="175" fontId="62" fillId="0" borderId="213"/>
    <xf numFmtId="172" fontId="62" fillId="0" borderId="213"/>
    <xf numFmtId="0" fontId="11" fillId="22" borderId="209" applyNumberFormat="0" applyAlignment="0" applyProtection="0"/>
    <xf numFmtId="0" fontId="8" fillId="25" borderId="210" applyNumberFormat="0" applyFont="0" applyAlignment="0" applyProtection="0"/>
    <xf numFmtId="0" fontId="11" fillId="22" borderId="209" applyNumberFormat="0" applyAlignment="0" applyProtection="0"/>
    <xf numFmtId="182" fontId="62" fillId="0" borderId="213"/>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74" fontId="62" fillId="0" borderId="213"/>
    <xf numFmtId="0" fontId="18" fillId="9" borderId="209" applyNumberFormat="0" applyAlignment="0" applyProtection="0"/>
    <xf numFmtId="0" fontId="11" fillId="22" borderId="209" applyNumberFormat="0" applyAlignment="0" applyProtection="0"/>
    <xf numFmtId="175"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3" fontId="62" fillId="0" borderId="213"/>
    <xf numFmtId="174" fontId="62" fillId="0" borderId="213"/>
    <xf numFmtId="0" fontId="18" fillId="9" borderId="209" applyNumberFormat="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7" fontId="62" fillId="0" borderId="213"/>
    <xf numFmtId="172" fontId="62" fillId="0" borderId="213"/>
    <xf numFmtId="173" fontId="62" fillId="0" borderId="213"/>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172" fontId="62" fillId="0" borderId="213"/>
    <xf numFmtId="180" fontId="62" fillId="0" borderId="213"/>
    <xf numFmtId="175" fontId="62" fillId="0" borderId="213"/>
    <xf numFmtId="175" fontId="62" fillId="0" borderId="213"/>
    <xf numFmtId="180" fontId="62" fillId="0" borderId="213"/>
    <xf numFmtId="172"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172" fontId="62" fillId="0" borderId="213"/>
    <xf numFmtId="182" fontId="62" fillId="0" borderId="213"/>
    <xf numFmtId="175" fontId="62" fillId="0" borderId="213"/>
    <xf numFmtId="177" fontId="62" fillId="0" borderId="213"/>
    <xf numFmtId="174" fontId="62" fillId="0" borderId="213"/>
    <xf numFmtId="173" fontId="62" fillId="0" borderId="213"/>
    <xf numFmtId="180"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180" fontId="62" fillId="0" borderId="213"/>
    <xf numFmtId="181"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65" fillId="50" borderId="214">
      <protection locked="0"/>
    </xf>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2" fontId="62" fillId="0" borderId="213"/>
    <xf numFmtId="175" fontId="62" fillId="0" borderId="213"/>
    <xf numFmtId="175" fontId="62" fillId="0" borderId="213"/>
    <xf numFmtId="0" fontId="21" fillId="22" borderId="211" applyNumberFormat="0" applyAlignment="0" applyProtection="0"/>
    <xf numFmtId="180" fontId="62" fillId="0" borderId="213"/>
    <xf numFmtId="175" fontId="62" fillId="0" borderId="213"/>
    <xf numFmtId="0" fontId="21" fillId="22" borderId="211" applyNumberFormat="0" applyAlignment="0" applyProtection="0"/>
    <xf numFmtId="0" fontId="8" fillId="25" borderId="210" applyNumberFormat="0" applyFont="0" applyAlignment="0" applyProtection="0"/>
    <xf numFmtId="172" fontId="62" fillId="0" borderId="213"/>
    <xf numFmtId="0" fontId="8" fillId="25" borderId="210" applyNumberFormat="0" applyFont="0" applyAlignment="0" applyProtection="0"/>
    <xf numFmtId="174" fontId="62" fillId="0" borderId="213"/>
    <xf numFmtId="0" fontId="23" fillId="0" borderId="212" applyNumberFormat="0" applyFill="0" applyAlignment="0" applyProtection="0"/>
    <xf numFmtId="176" fontId="62" fillId="0" borderId="213"/>
    <xf numFmtId="175" fontId="62" fillId="0" borderId="213"/>
    <xf numFmtId="0" fontId="23" fillId="0" borderId="212" applyNumberFormat="0" applyFill="0" applyAlignment="0" applyProtection="0"/>
    <xf numFmtId="182" fontId="62" fillId="0" borderId="213"/>
    <xf numFmtId="175" fontId="62" fillId="0" borderId="213"/>
    <xf numFmtId="175" fontId="62" fillId="0" borderId="213"/>
    <xf numFmtId="0" fontId="18" fillId="9" borderId="209" applyNumberFormat="0" applyAlignment="0" applyProtection="0"/>
    <xf numFmtId="0" fontId="21" fillId="22" borderId="211" applyNumberFormat="0" applyAlignment="0" applyProtection="0"/>
    <xf numFmtId="172" fontId="62" fillId="0" borderId="213"/>
    <xf numFmtId="0" fontId="8" fillId="25" borderId="210" applyNumberFormat="0" applyFont="0" applyAlignment="0" applyProtection="0"/>
    <xf numFmtId="173" fontId="62" fillId="0" borderId="213"/>
    <xf numFmtId="177"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172" fontId="62" fillId="0" borderId="213"/>
    <xf numFmtId="180" fontId="62" fillId="0" borderId="213"/>
    <xf numFmtId="0" fontId="18" fillId="9" borderId="209" applyNumberFormat="0" applyAlignment="0" applyProtection="0"/>
    <xf numFmtId="172" fontId="62" fillId="0" borderId="213"/>
    <xf numFmtId="0" fontId="21" fillId="22" borderId="211" applyNumberFormat="0" applyAlignment="0" applyProtection="0"/>
    <xf numFmtId="180" fontId="62" fillId="0" borderId="213"/>
    <xf numFmtId="172" fontId="62" fillId="0" borderId="213"/>
    <xf numFmtId="180" fontId="62" fillId="0" borderId="213"/>
    <xf numFmtId="175" fontId="62" fillId="0" borderId="213"/>
    <xf numFmtId="173" fontId="62" fillId="0" borderId="213"/>
    <xf numFmtId="172" fontId="62" fillId="0" borderId="213"/>
    <xf numFmtId="175" fontId="62" fillId="0" borderId="213"/>
    <xf numFmtId="174" fontId="62" fillId="0" borderId="213"/>
    <xf numFmtId="181" fontId="62" fillId="0" borderId="213"/>
    <xf numFmtId="180" fontId="62" fillId="0" borderId="213"/>
    <xf numFmtId="175" fontId="62" fillId="0" borderId="213"/>
    <xf numFmtId="172" fontId="62" fillId="0" borderId="213"/>
    <xf numFmtId="180" fontId="62" fillId="0" borderId="213"/>
    <xf numFmtId="175" fontId="62" fillId="0" borderId="213"/>
    <xf numFmtId="172" fontId="62" fillId="0" borderId="213"/>
    <xf numFmtId="180" fontId="62" fillId="0" borderId="213"/>
    <xf numFmtId="180" fontId="62" fillId="0" borderId="213"/>
    <xf numFmtId="181" fontId="62" fillId="0" borderId="213"/>
    <xf numFmtId="177" fontId="62" fillId="0" borderId="213"/>
    <xf numFmtId="172" fontId="62" fillId="0" borderId="213"/>
    <xf numFmtId="0" fontId="23" fillId="0" borderId="212" applyNumberFormat="0" applyFill="0" applyAlignment="0" applyProtection="0"/>
    <xf numFmtId="0" fontId="11" fillId="22" borderId="209" applyNumberFormat="0" applyAlignment="0" applyProtection="0"/>
    <xf numFmtId="172" fontId="62" fillId="0" borderId="213"/>
    <xf numFmtId="174" fontId="62" fillId="0" borderId="213"/>
    <xf numFmtId="172" fontId="62" fillId="0" borderId="213"/>
    <xf numFmtId="175" fontId="62" fillId="0" borderId="213"/>
    <xf numFmtId="180" fontId="62" fillId="0" borderId="213"/>
    <xf numFmtId="172" fontId="62" fillId="0" borderId="213"/>
    <xf numFmtId="0" fontId="18" fillId="9" borderId="209" applyNumberFormat="0" applyAlignment="0" applyProtection="0"/>
    <xf numFmtId="174" fontId="62" fillId="0" borderId="213"/>
    <xf numFmtId="0" fontId="11" fillId="22" borderId="209" applyNumberFormat="0" applyAlignment="0" applyProtection="0"/>
    <xf numFmtId="182" fontId="62" fillId="0" borderId="213"/>
    <xf numFmtId="172" fontId="62" fillId="0" borderId="213"/>
    <xf numFmtId="173" fontId="62" fillId="0" borderId="213"/>
    <xf numFmtId="175" fontId="62" fillId="0" borderId="213"/>
    <xf numFmtId="176" fontId="62" fillId="0" borderId="213"/>
    <xf numFmtId="175" fontId="62" fillId="0" borderId="213"/>
    <xf numFmtId="175" fontId="62" fillId="0" borderId="213"/>
    <xf numFmtId="0" fontId="11" fillId="22" borderId="209" applyNumberFormat="0" applyAlignment="0" applyProtection="0"/>
    <xf numFmtId="172" fontId="62" fillId="0" borderId="213"/>
    <xf numFmtId="175" fontId="62" fillId="0" borderId="213"/>
    <xf numFmtId="182" fontId="62" fillId="0" borderId="213"/>
    <xf numFmtId="172" fontId="62" fillId="0" borderId="213"/>
    <xf numFmtId="175" fontId="62" fillId="0" borderId="213"/>
    <xf numFmtId="177" fontId="62" fillId="0" borderId="213"/>
    <xf numFmtId="173" fontId="62" fillId="0" borderId="213"/>
    <xf numFmtId="181" fontId="62" fillId="0" borderId="213"/>
    <xf numFmtId="182" fontId="62" fillId="0" borderId="213"/>
    <xf numFmtId="180" fontId="62" fillId="0" borderId="213"/>
    <xf numFmtId="0" fontId="8" fillId="25" borderId="210" applyNumberFormat="0" applyFont="0" applyAlignment="0" applyProtection="0"/>
    <xf numFmtId="172" fontId="62" fillId="0" borderId="213"/>
    <xf numFmtId="180" fontId="62" fillId="0" borderId="213"/>
    <xf numFmtId="180" fontId="62" fillId="0" borderId="213"/>
    <xf numFmtId="0" fontId="8" fillId="25" borderId="210" applyNumberFormat="0" applyFont="0" applyAlignment="0" applyProtection="0"/>
    <xf numFmtId="180" fontId="62" fillId="0" borderId="213"/>
    <xf numFmtId="177" fontId="62" fillId="0" borderId="213"/>
    <xf numFmtId="172" fontId="62" fillId="0" borderId="213"/>
    <xf numFmtId="0" fontId="11" fillId="22" borderId="209" applyNumberFormat="0" applyAlignment="0" applyProtection="0"/>
    <xf numFmtId="175"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0" fontId="21" fillId="22" borderId="211" applyNumberFormat="0" applyAlignment="0" applyProtection="0"/>
    <xf numFmtId="175" fontId="62" fillId="0" borderId="213"/>
    <xf numFmtId="175" fontId="62" fillId="0" borderId="213"/>
    <xf numFmtId="173" fontId="62" fillId="0" borderId="213"/>
    <xf numFmtId="175" fontId="62" fillId="0" borderId="213"/>
    <xf numFmtId="180" fontId="62" fillId="0" borderId="213"/>
    <xf numFmtId="180" fontId="62" fillId="0" borderId="213"/>
    <xf numFmtId="172" fontId="62" fillId="0" borderId="213"/>
    <xf numFmtId="175" fontId="62" fillId="0" borderId="213"/>
    <xf numFmtId="180" fontId="62" fillId="0" borderId="213"/>
    <xf numFmtId="172" fontId="62" fillId="0" borderId="213"/>
    <xf numFmtId="174" fontId="62" fillId="0" borderId="213"/>
    <xf numFmtId="180" fontId="62" fillId="0" borderId="213"/>
    <xf numFmtId="0" fontId="23" fillId="0" borderId="212" applyNumberFormat="0" applyFill="0" applyAlignment="0" applyProtection="0"/>
    <xf numFmtId="175" fontId="62" fillId="0" borderId="213"/>
    <xf numFmtId="175" fontId="62" fillId="0" borderId="213"/>
    <xf numFmtId="180" fontId="62" fillId="0" borderId="213"/>
    <xf numFmtId="172" fontId="62" fillId="0" borderId="213"/>
    <xf numFmtId="0" fontId="18" fillId="9" borderId="209" applyNumberFormat="0" applyAlignment="0" applyProtection="0"/>
    <xf numFmtId="177" fontId="62" fillId="0" borderId="213"/>
    <xf numFmtId="176" fontId="62" fillId="0" borderId="213"/>
    <xf numFmtId="181" fontId="62" fillId="0" borderId="213"/>
    <xf numFmtId="176" fontId="62" fillId="0" borderId="213"/>
    <xf numFmtId="181" fontId="62" fillId="0" borderId="213"/>
    <xf numFmtId="173" fontId="62" fillId="0" borderId="213"/>
    <xf numFmtId="181" fontId="62" fillId="0" borderId="213"/>
    <xf numFmtId="182" fontId="62" fillId="0" borderId="213"/>
    <xf numFmtId="175" fontId="62" fillId="0" borderId="213"/>
    <xf numFmtId="182" fontId="62" fillId="0" borderId="213"/>
    <xf numFmtId="176" fontId="62" fillId="0" borderId="213"/>
    <xf numFmtId="177" fontId="62" fillId="0" borderId="213"/>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0" fontId="62" fillId="0" borderId="213"/>
    <xf numFmtId="172" fontId="62" fillId="0" borderId="213"/>
    <xf numFmtId="175" fontId="62" fillId="0" borderId="213"/>
    <xf numFmtId="180" fontId="62" fillId="0" borderId="213"/>
    <xf numFmtId="180" fontId="62" fillId="0" borderId="213"/>
    <xf numFmtId="180" fontId="62" fillId="0" borderId="213"/>
    <xf numFmtId="175" fontId="62" fillId="0" borderId="213"/>
    <xf numFmtId="180" fontId="62" fillId="0" borderId="213"/>
    <xf numFmtId="180" fontId="62" fillId="0" borderId="213"/>
    <xf numFmtId="175" fontId="62" fillId="0" borderId="213"/>
    <xf numFmtId="175" fontId="62" fillId="0" borderId="213"/>
    <xf numFmtId="0" fontId="21" fillId="22" borderId="211" applyNumberFormat="0" applyAlignment="0" applyProtection="0"/>
    <xf numFmtId="175" fontId="62" fillId="0" borderId="213"/>
    <xf numFmtId="0" fontId="23" fillId="0" borderId="212" applyNumberFormat="0" applyFill="0" applyAlignment="0" applyProtection="0"/>
    <xf numFmtId="172" fontId="62" fillId="0" borderId="213"/>
    <xf numFmtId="172" fontId="62" fillId="0" borderId="213"/>
    <xf numFmtId="175" fontId="62" fillId="0" borderId="213"/>
    <xf numFmtId="176" fontId="62" fillId="0" borderId="213"/>
    <xf numFmtId="0" fontId="18" fillId="9" borderId="209" applyNumberFormat="0" applyAlignment="0" applyProtection="0"/>
    <xf numFmtId="172" fontId="62" fillId="0" borderId="213"/>
    <xf numFmtId="0" fontId="21" fillId="22" borderId="211" applyNumberFormat="0" applyAlignment="0" applyProtection="0"/>
    <xf numFmtId="174" fontId="62" fillId="0" borderId="213"/>
    <xf numFmtId="172" fontId="62" fillId="0" borderId="213"/>
    <xf numFmtId="0" fontId="18" fillId="9" borderId="209" applyNumberFormat="0" applyAlignment="0" applyProtection="0"/>
    <xf numFmtId="177" fontId="62" fillId="0" borderId="213"/>
    <xf numFmtId="0" fontId="11" fillId="22" borderId="209" applyNumberFormat="0" applyAlignment="0" applyProtection="0"/>
    <xf numFmtId="172" fontId="62" fillId="0" borderId="213"/>
    <xf numFmtId="17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6" fontId="62" fillId="0" borderId="213"/>
    <xf numFmtId="180" fontId="62" fillId="0" borderId="213"/>
    <xf numFmtId="172" fontId="62" fillId="0" borderId="213"/>
    <xf numFmtId="172" fontId="62" fillId="0" borderId="213"/>
    <xf numFmtId="0" fontId="23" fillId="0" borderId="212" applyNumberFormat="0" applyFill="0" applyAlignment="0" applyProtection="0"/>
    <xf numFmtId="180" fontId="62" fillId="0" borderId="213"/>
    <xf numFmtId="172" fontId="62" fillId="0" borderId="213"/>
    <xf numFmtId="172" fontId="62" fillId="0" borderId="213"/>
    <xf numFmtId="180" fontId="62" fillId="0" borderId="213"/>
    <xf numFmtId="175" fontId="62" fillId="0" borderId="213"/>
    <xf numFmtId="175" fontId="62" fillId="0" borderId="213"/>
    <xf numFmtId="180" fontId="62" fillId="0" borderId="213"/>
    <xf numFmtId="180" fontId="62" fillId="0" borderId="213"/>
    <xf numFmtId="180" fontId="62" fillId="0" borderId="213"/>
    <xf numFmtId="172" fontId="62" fillId="0" borderId="213"/>
    <xf numFmtId="174" fontId="62" fillId="0" borderId="213"/>
    <xf numFmtId="172" fontId="62" fillId="0" borderId="213"/>
    <xf numFmtId="180" fontId="62" fillId="0" borderId="213"/>
    <xf numFmtId="0" fontId="18" fillId="9" borderId="209" applyNumberFormat="0" applyAlignment="0" applyProtection="0"/>
    <xf numFmtId="180" fontId="62" fillId="0" borderId="213"/>
    <xf numFmtId="180" fontId="62" fillId="0" borderId="213"/>
    <xf numFmtId="0" fontId="23" fillId="0" borderId="212" applyNumberFormat="0" applyFill="0" applyAlignment="0" applyProtection="0"/>
    <xf numFmtId="172" fontId="62" fillId="0" borderId="213"/>
    <xf numFmtId="0" fontId="8" fillId="25" borderId="210" applyNumberFormat="0" applyFont="0" applyAlignment="0" applyProtection="0"/>
    <xf numFmtId="0" fontId="18" fillId="9" borderId="209" applyNumberFormat="0" applyAlignment="0" applyProtection="0"/>
    <xf numFmtId="172" fontId="62" fillId="0" borderId="213"/>
    <xf numFmtId="180" fontId="62" fillId="0" borderId="213"/>
    <xf numFmtId="0" fontId="8" fillId="25" borderId="210" applyNumberFormat="0" applyFont="0" applyAlignment="0" applyProtection="0"/>
    <xf numFmtId="0" fontId="11" fillId="22" borderId="209" applyNumberFormat="0" applyAlignment="0" applyProtection="0"/>
    <xf numFmtId="172"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2" fontId="62" fillId="0" borderId="213"/>
    <xf numFmtId="181" fontId="62" fillId="0" borderId="213"/>
    <xf numFmtId="175" fontId="62" fillId="0" borderId="213"/>
    <xf numFmtId="175" fontId="62" fillId="0" borderId="213"/>
    <xf numFmtId="174" fontId="62" fillId="0" borderId="213"/>
    <xf numFmtId="180" fontId="62" fillId="0" borderId="213"/>
    <xf numFmtId="173" fontId="62" fillId="0" borderId="213"/>
    <xf numFmtId="0" fontId="21" fillId="22" borderId="211" applyNumberFormat="0" applyAlignment="0" applyProtection="0"/>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6" fontId="62" fillId="0" borderId="213"/>
    <xf numFmtId="175" fontId="62" fillId="0" borderId="213"/>
    <xf numFmtId="182" fontId="62" fillId="0" borderId="213"/>
    <xf numFmtId="172" fontId="62" fillId="0" borderId="213"/>
    <xf numFmtId="177" fontId="62" fillId="0" borderId="213"/>
    <xf numFmtId="173" fontId="62" fillId="0" borderId="213"/>
    <xf numFmtId="180" fontId="62" fillId="0" borderId="213"/>
    <xf numFmtId="181" fontId="62" fillId="0" borderId="213"/>
    <xf numFmtId="182" fontId="62" fillId="0" borderId="213"/>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5" fontId="62" fillId="0" borderId="213"/>
    <xf numFmtId="175" fontId="62" fillId="0" borderId="213"/>
    <xf numFmtId="175" fontId="62" fillId="0" borderId="213"/>
    <xf numFmtId="172" fontId="62" fillId="0" borderId="213"/>
    <xf numFmtId="0" fontId="18" fillId="9" borderId="209" applyNumberFormat="0" applyAlignment="0" applyProtection="0"/>
    <xf numFmtId="175" fontId="62" fillId="0" borderId="213"/>
    <xf numFmtId="172" fontId="62" fillId="0" borderId="213"/>
    <xf numFmtId="180" fontId="62" fillId="0" borderId="213"/>
    <xf numFmtId="174" fontId="62" fillId="0" borderId="213"/>
    <xf numFmtId="174" fontId="62" fillId="0" borderId="213"/>
    <xf numFmtId="172" fontId="62" fillId="0" borderId="213"/>
    <xf numFmtId="174" fontId="62" fillId="0" borderId="213"/>
    <xf numFmtId="175" fontId="62" fillId="0" borderId="213"/>
    <xf numFmtId="177" fontId="62" fillId="0" borderId="213"/>
    <xf numFmtId="172" fontId="62" fillId="0" borderId="213"/>
    <xf numFmtId="0" fontId="11" fillId="22" borderId="209" applyNumberFormat="0" applyAlignment="0" applyProtection="0"/>
    <xf numFmtId="180" fontId="62" fillId="0" borderId="213"/>
    <xf numFmtId="180" fontId="62" fillId="0" borderId="213"/>
    <xf numFmtId="180" fontId="62" fillId="0" borderId="213"/>
    <xf numFmtId="172" fontId="62" fillId="0" borderId="213"/>
    <xf numFmtId="0" fontId="8" fillId="25" borderId="210" applyNumberFormat="0" applyFont="0" applyAlignment="0" applyProtection="0"/>
    <xf numFmtId="172" fontId="62" fillId="0" borderId="213"/>
    <xf numFmtId="181" fontId="62" fillId="0" borderId="213"/>
    <xf numFmtId="175" fontId="62" fillId="0" borderId="213"/>
    <xf numFmtId="176" fontId="62" fillId="0" borderId="213"/>
    <xf numFmtId="0" fontId="18" fillId="9" borderId="209" applyNumberFormat="0" applyAlignment="0" applyProtection="0"/>
    <xf numFmtId="172" fontId="62" fillId="0" borderId="213"/>
    <xf numFmtId="180" fontId="62" fillId="0" borderId="213"/>
    <xf numFmtId="175" fontId="62" fillId="0" borderId="213"/>
    <xf numFmtId="180" fontId="62" fillId="0" borderId="213"/>
    <xf numFmtId="172" fontId="62" fillId="0" borderId="213"/>
    <xf numFmtId="180" fontId="62" fillId="0" borderId="213"/>
    <xf numFmtId="175" fontId="62" fillId="0" borderId="213"/>
    <xf numFmtId="175" fontId="62" fillId="0" borderId="213"/>
    <xf numFmtId="172" fontId="62" fillId="0" borderId="213"/>
    <xf numFmtId="175" fontId="62" fillId="0" borderId="213"/>
    <xf numFmtId="176" fontId="62" fillId="0" borderId="213"/>
    <xf numFmtId="175" fontId="62" fillId="0" borderId="213"/>
    <xf numFmtId="180" fontId="62" fillId="0" borderId="213"/>
    <xf numFmtId="180" fontId="62" fillId="0" borderId="213"/>
    <xf numFmtId="172" fontId="62" fillId="0" borderId="213"/>
    <xf numFmtId="0" fontId="21" fillId="22" borderId="211" applyNumberFormat="0" applyAlignment="0" applyProtection="0"/>
    <xf numFmtId="173" fontId="62" fillId="0" borderId="213"/>
    <xf numFmtId="0" fontId="23" fillId="0" borderId="212" applyNumberFormat="0" applyFill="0" applyAlignment="0" applyProtection="0"/>
    <xf numFmtId="0" fontId="8" fillId="25" borderId="210" applyNumberFormat="0" applyFont="0" applyAlignment="0" applyProtection="0"/>
    <xf numFmtId="0" fontId="11" fillId="22" borderId="209" applyNumberFormat="0" applyAlignment="0" applyProtection="0"/>
    <xf numFmtId="176" fontId="62" fillId="0" borderId="213"/>
    <xf numFmtId="0" fontId="23" fillId="0" borderId="212" applyNumberFormat="0" applyFill="0" applyAlignment="0" applyProtection="0"/>
    <xf numFmtId="175" fontId="62" fillId="0" borderId="213"/>
    <xf numFmtId="0" fontId="21" fillId="22" borderId="211" applyNumberFormat="0" applyAlignment="0" applyProtection="0"/>
    <xf numFmtId="172" fontId="62" fillId="0" borderId="213"/>
    <xf numFmtId="182" fontId="62" fillId="0" borderId="213"/>
    <xf numFmtId="172" fontId="62" fillId="0" borderId="213"/>
    <xf numFmtId="180" fontId="62" fillId="0" borderId="213"/>
    <xf numFmtId="0" fontId="11" fillId="22" borderId="209" applyNumberFormat="0" applyAlignment="0" applyProtection="0"/>
    <xf numFmtId="175" fontId="62" fillId="0" borderId="213"/>
    <xf numFmtId="181" fontId="62" fillId="0" borderId="213"/>
    <xf numFmtId="175" fontId="62" fillId="0" borderId="213"/>
    <xf numFmtId="172" fontId="62" fillId="0" borderId="213"/>
    <xf numFmtId="175" fontId="62" fillId="0" borderId="213"/>
    <xf numFmtId="173" fontId="62" fillId="0" borderId="213"/>
    <xf numFmtId="180" fontId="62" fillId="0" borderId="213"/>
    <xf numFmtId="177" fontId="62" fillId="0" borderId="213"/>
    <xf numFmtId="175" fontId="62" fillId="0" borderId="213"/>
    <xf numFmtId="173" fontId="62" fillId="0" borderId="213"/>
    <xf numFmtId="172" fontId="62" fillId="0" borderId="213"/>
    <xf numFmtId="181" fontId="62" fillId="0" borderId="213"/>
    <xf numFmtId="182" fontId="62" fillId="0" borderId="213"/>
    <xf numFmtId="180" fontId="62" fillId="0" borderId="213"/>
    <xf numFmtId="180" fontId="62" fillId="0" borderId="213"/>
    <xf numFmtId="180" fontId="62" fillId="0" borderId="213"/>
    <xf numFmtId="172" fontId="62" fillId="0" borderId="213"/>
    <xf numFmtId="180"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2" fontId="62" fillId="0" borderId="213"/>
    <xf numFmtId="172" fontId="62" fillId="0" borderId="213"/>
    <xf numFmtId="175" fontId="62" fillId="0" borderId="213"/>
    <xf numFmtId="180" fontId="62" fillId="0" borderId="213"/>
    <xf numFmtId="172" fontId="62" fillId="0" borderId="213"/>
    <xf numFmtId="0" fontId="8" fillId="25" borderId="210" applyNumberFormat="0" applyFont="0" applyAlignment="0" applyProtection="0"/>
    <xf numFmtId="175" fontId="62" fillId="0" borderId="213"/>
    <xf numFmtId="177" fontId="62" fillId="0" borderId="213"/>
    <xf numFmtId="180" fontId="62" fillId="0" borderId="213"/>
    <xf numFmtId="172" fontId="62" fillId="0" borderId="213"/>
    <xf numFmtId="175"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80" fontId="62" fillId="0" borderId="213"/>
    <xf numFmtId="172" fontId="62" fillId="0" borderId="213"/>
    <xf numFmtId="180" fontId="62" fillId="0" borderId="213"/>
    <xf numFmtId="180" fontId="62" fillId="0" borderId="213"/>
    <xf numFmtId="175" fontId="62" fillId="0" borderId="213"/>
    <xf numFmtId="175" fontId="62" fillId="0" borderId="213"/>
    <xf numFmtId="172" fontId="62" fillId="0" borderId="213"/>
    <xf numFmtId="172" fontId="62" fillId="0" borderId="213"/>
    <xf numFmtId="172" fontId="62" fillId="0" borderId="213"/>
    <xf numFmtId="0" fontId="65" fillId="50" borderId="214">
      <protection locked="0"/>
    </xf>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5" fontId="62" fillId="0" borderId="213"/>
    <xf numFmtId="0" fontId="65" fillId="50" borderId="214">
      <protection locked="0"/>
    </xf>
    <xf numFmtId="177"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182" fontId="62" fillId="0" borderId="213"/>
    <xf numFmtId="181" fontId="62" fillId="0" borderId="213"/>
    <xf numFmtId="180" fontId="62" fillId="0" borderId="213"/>
    <xf numFmtId="172" fontId="62" fillId="0" borderId="213"/>
    <xf numFmtId="176" fontId="62" fillId="0" borderId="213"/>
    <xf numFmtId="177" fontId="62" fillId="0" borderId="213"/>
    <xf numFmtId="176" fontId="62" fillId="0" borderId="213"/>
    <xf numFmtId="175" fontId="62" fillId="0" borderId="213"/>
    <xf numFmtId="177" fontId="62" fillId="0" borderId="213"/>
    <xf numFmtId="181" fontId="62" fillId="0" borderId="213"/>
    <xf numFmtId="174" fontId="62" fillId="0" borderId="213"/>
    <xf numFmtId="0" fontId="11" fillId="22" borderId="209" applyNumberFormat="0" applyAlignment="0" applyProtection="0"/>
    <xf numFmtId="173" fontId="62" fillId="0" borderId="213"/>
    <xf numFmtId="180" fontId="62" fillId="0" borderId="213"/>
    <xf numFmtId="177" fontId="62" fillId="0" borderId="213"/>
    <xf numFmtId="175" fontId="62" fillId="0" borderId="213"/>
    <xf numFmtId="172" fontId="62" fillId="0" borderId="213"/>
    <xf numFmtId="0" fontId="21" fillId="22" borderId="211" applyNumberFormat="0" applyAlignment="0" applyProtection="0"/>
    <xf numFmtId="0" fontId="23" fillId="0" borderId="212" applyNumberFormat="0" applyFill="0" applyAlignment="0" applyProtection="0"/>
    <xf numFmtId="181" fontId="62" fillId="0" borderId="213"/>
    <xf numFmtId="176" fontId="62" fillId="0" borderId="213"/>
    <xf numFmtId="174" fontId="62" fillId="0" borderId="213"/>
    <xf numFmtId="173" fontId="62" fillId="0" borderId="213"/>
    <xf numFmtId="172" fontId="62" fillId="0" borderId="213"/>
    <xf numFmtId="182"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11" fillId="22" borderId="209" applyNumberFormat="0" applyAlignment="0" applyProtection="0"/>
    <xf numFmtId="0" fontId="11" fillId="22" borderId="209" applyNumberFormat="0" applyAlignment="0" applyProtection="0"/>
    <xf numFmtId="0" fontId="21" fillId="22" borderId="211" applyNumberFormat="0" applyAlignment="0" applyProtection="0"/>
    <xf numFmtId="174"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172"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0" fontId="8" fillId="25" borderId="210" applyNumberFormat="0" applyFont="0" applyAlignment="0" applyProtection="0"/>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2" fontId="62" fillId="0" borderId="213"/>
    <xf numFmtId="180" fontId="62" fillId="0" borderId="213"/>
    <xf numFmtId="0" fontId="11" fillId="22" borderId="209" applyNumberFormat="0" applyAlignment="0" applyProtection="0"/>
    <xf numFmtId="182" fontId="62" fillId="0" borderId="213"/>
    <xf numFmtId="172" fontId="62" fillId="0" borderId="213"/>
    <xf numFmtId="0" fontId="23" fillId="0" borderId="212" applyNumberFormat="0" applyFill="0" applyAlignment="0" applyProtection="0"/>
    <xf numFmtId="180" fontId="62" fillId="0" borderId="213"/>
    <xf numFmtId="0" fontId="11" fillId="22" borderId="209" applyNumberFormat="0" applyAlignment="0" applyProtection="0"/>
    <xf numFmtId="172" fontId="62" fillId="0" borderId="213"/>
    <xf numFmtId="172" fontId="62" fillId="0" borderId="213"/>
    <xf numFmtId="0" fontId="18" fillId="9" borderId="209" applyNumberFormat="0" applyAlignment="0" applyProtection="0"/>
    <xf numFmtId="173" fontId="62" fillId="0" borderId="213"/>
    <xf numFmtId="172" fontId="62" fillId="0" borderId="213"/>
    <xf numFmtId="175" fontId="62" fillId="0" borderId="213"/>
    <xf numFmtId="172" fontId="62" fillId="0" borderId="213"/>
    <xf numFmtId="175" fontId="62" fillId="0" borderId="213"/>
    <xf numFmtId="176" fontId="62" fillId="0" borderId="213"/>
    <xf numFmtId="177" fontId="62" fillId="0" borderId="213"/>
    <xf numFmtId="0" fontId="8" fillId="25" borderId="210" applyNumberFormat="0" applyFont="0" applyAlignment="0" applyProtection="0"/>
    <xf numFmtId="175" fontId="62" fillId="0" borderId="213"/>
    <xf numFmtId="180" fontId="62" fillId="0" borderId="213"/>
    <xf numFmtId="172" fontId="62" fillId="0" borderId="213"/>
    <xf numFmtId="181" fontId="62" fillId="0" borderId="213"/>
    <xf numFmtId="182" fontId="62" fillId="0" borderId="213"/>
    <xf numFmtId="0" fontId="18" fillId="9" borderId="209" applyNumberFormat="0" applyAlignment="0" applyProtection="0"/>
    <xf numFmtId="180" fontId="62" fillId="0" borderId="213"/>
    <xf numFmtId="180" fontId="62" fillId="0" borderId="213"/>
    <xf numFmtId="175" fontId="62" fillId="0" borderId="213"/>
    <xf numFmtId="172" fontId="62" fillId="0" borderId="213"/>
    <xf numFmtId="176" fontId="62" fillId="0" borderId="213"/>
    <xf numFmtId="172" fontId="62" fillId="0" borderId="213"/>
    <xf numFmtId="172" fontId="62" fillId="0" borderId="213"/>
    <xf numFmtId="175" fontId="62" fillId="0" borderId="213"/>
    <xf numFmtId="175" fontId="62" fillId="0" borderId="213"/>
    <xf numFmtId="172" fontId="62" fillId="0" borderId="213"/>
    <xf numFmtId="0" fontId="18" fillId="9" borderId="209" applyNumberForma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8" fillId="25" borderId="210" applyNumberFormat="0" applyFont="0" applyAlignment="0" applyProtection="0"/>
    <xf numFmtId="174" fontId="62" fillId="0" borderId="213"/>
    <xf numFmtId="175" fontId="62" fillId="0" borderId="213"/>
    <xf numFmtId="180" fontId="62" fillId="0" borderId="213"/>
    <xf numFmtId="0" fontId="11" fillId="22" borderId="209" applyNumberFormat="0" applyAlignment="0" applyProtection="0"/>
    <xf numFmtId="174" fontId="62" fillId="0" borderId="213"/>
    <xf numFmtId="173" fontId="62" fillId="0" borderId="213"/>
    <xf numFmtId="0" fontId="21" fillId="22" borderId="211" applyNumberFormat="0" applyAlignment="0" applyProtection="0"/>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4" fontId="62" fillId="0" borderId="213"/>
    <xf numFmtId="176" fontId="62" fillId="0" borderId="213"/>
    <xf numFmtId="177"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1" fontId="62" fillId="0" borderId="213"/>
    <xf numFmtId="175" fontId="62" fillId="0" borderId="213"/>
    <xf numFmtId="180" fontId="62" fillId="0" borderId="213"/>
    <xf numFmtId="175" fontId="62" fillId="0" borderId="213"/>
    <xf numFmtId="177" fontId="62" fillId="0" borderId="213"/>
    <xf numFmtId="173"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175" fontId="62" fillId="0" borderId="213"/>
    <xf numFmtId="180" fontId="62" fillId="0" borderId="213"/>
    <xf numFmtId="175" fontId="62" fillId="0" borderId="213"/>
    <xf numFmtId="172" fontId="62" fillId="0" borderId="213"/>
    <xf numFmtId="180" fontId="62" fillId="0" borderId="213"/>
    <xf numFmtId="175" fontId="62" fillId="0" borderId="213"/>
    <xf numFmtId="180" fontId="62" fillId="0" borderId="213"/>
    <xf numFmtId="172" fontId="62" fillId="0" borderId="213"/>
    <xf numFmtId="172" fontId="62" fillId="0" borderId="213"/>
    <xf numFmtId="180"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7" fontId="62" fillId="0" borderId="213"/>
    <xf numFmtId="0" fontId="11" fillId="22" borderId="209" applyNumberFormat="0" applyAlignment="0" applyProtection="0"/>
    <xf numFmtId="181" fontId="62" fillId="0" borderId="213"/>
    <xf numFmtId="180" fontId="62" fillId="0" borderId="213"/>
    <xf numFmtId="172" fontId="62" fillId="0" borderId="213"/>
    <xf numFmtId="172" fontId="62" fillId="0" borderId="213"/>
    <xf numFmtId="175" fontId="62" fillId="0" borderId="213"/>
    <xf numFmtId="175" fontId="62" fillId="0" borderId="213"/>
    <xf numFmtId="172" fontId="62" fillId="0" borderId="213"/>
    <xf numFmtId="0" fontId="23" fillId="0" borderId="212" applyNumberFormat="0" applyFill="0" applyAlignment="0" applyProtection="0"/>
    <xf numFmtId="175" fontId="62" fillId="0" borderId="213"/>
    <xf numFmtId="0" fontId="18" fillId="9" borderId="209" applyNumberFormat="0" applyAlignment="0" applyProtection="0"/>
    <xf numFmtId="0" fontId="21" fillId="22" borderId="211" applyNumberFormat="0" applyAlignment="0" applyProtection="0"/>
    <xf numFmtId="0" fontId="8" fillId="25" borderId="210" applyNumberFormat="0" applyFont="0" applyAlignment="0" applyProtection="0"/>
    <xf numFmtId="180" fontId="62" fillId="0" borderId="213"/>
    <xf numFmtId="0" fontId="11" fillId="22" borderId="209" applyNumberFormat="0" applyAlignment="0" applyProtection="0"/>
    <xf numFmtId="0" fontId="18" fillId="9" borderId="209" applyNumberFormat="0" applyAlignment="0" applyProtection="0"/>
    <xf numFmtId="175" fontId="62" fillId="0" borderId="213"/>
    <xf numFmtId="172" fontId="62" fillId="0" borderId="213"/>
    <xf numFmtId="180" fontId="62" fillId="0" borderId="213"/>
    <xf numFmtId="175" fontId="62" fillId="0" borderId="213"/>
    <xf numFmtId="172" fontId="62" fillId="0" borderId="213"/>
    <xf numFmtId="173" fontId="62" fillId="0" borderId="213"/>
    <xf numFmtId="172" fontId="62" fillId="0" borderId="213"/>
    <xf numFmtId="175" fontId="62" fillId="0" borderId="213"/>
    <xf numFmtId="180" fontId="62" fillId="0" borderId="213"/>
    <xf numFmtId="172" fontId="62" fillId="0" borderId="213"/>
    <xf numFmtId="180" fontId="62" fillId="0" borderId="213"/>
    <xf numFmtId="0" fontId="11" fillId="22" borderId="209" applyNumberFormat="0" applyAlignment="0" applyProtection="0"/>
    <xf numFmtId="182" fontId="62" fillId="0" borderId="213"/>
    <xf numFmtId="176" fontId="62" fillId="0" borderId="213"/>
    <xf numFmtId="180"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23" fillId="0" borderId="212" applyNumberFormat="0" applyFill="0" applyAlignment="0" applyProtection="0"/>
    <xf numFmtId="180" fontId="62" fillId="0" borderId="213"/>
    <xf numFmtId="180" fontId="62" fillId="0" borderId="213"/>
    <xf numFmtId="175" fontId="62" fillId="0" borderId="213"/>
    <xf numFmtId="174" fontId="62" fillId="0" borderId="213"/>
    <xf numFmtId="0" fontId="8" fillId="25" borderId="210" applyNumberFormat="0" applyFont="0" applyAlignment="0" applyProtection="0"/>
    <xf numFmtId="175"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175" fontId="62" fillId="0" borderId="213"/>
    <xf numFmtId="0" fontId="18" fillId="9" borderId="209" applyNumberFormat="0" applyAlignment="0" applyProtection="0"/>
    <xf numFmtId="0" fontId="8" fillId="25" borderId="210" applyNumberFormat="0" applyFon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0" fontId="18" fillId="9" borderId="209" applyNumberFormat="0" applyAlignment="0" applyProtection="0"/>
    <xf numFmtId="182"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0" fontId="62" fillId="0" borderId="213"/>
    <xf numFmtId="180" fontId="62" fillId="0" borderId="213"/>
    <xf numFmtId="181" fontId="62" fillId="0" borderId="213"/>
    <xf numFmtId="172" fontId="62" fillId="0" borderId="213"/>
    <xf numFmtId="175" fontId="62" fillId="0" borderId="213"/>
    <xf numFmtId="175" fontId="62" fillId="0" borderId="213"/>
    <xf numFmtId="177" fontId="62" fillId="0" borderId="213"/>
    <xf numFmtId="172"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0" fontId="18" fillId="9" borderId="209" applyNumberFormat="0" applyAlignment="0" applyProtection="0"/>
    <xf numFmtId="0" fontId="8" fillId="25" borderId="210" applyNumberFormat="0" applyFont="0" applyAlignment="0" applyProtection="0"/>
    <xf numFmtId="176" fontId="62" fillId="0" borderId="213"/>
    <xf numFmtId="180" fontId="62" fillId="0" borderId="213"/>
    <xf numFmtId="172" fontId="62" fillId="0" borderId="213"/>
    <xf numFmtId="173" fontId="62" fillId="0" borderId="213"/>
    <xf numFmtId="174" fontId="62" fillId="0" borderId="213"/>
    <xf numFmtId="0" fontId="8" fillId="25" borderId="210" applyNumberFormat="0" applyFont="0" applyAlignment="0" applyProtection="0"/>
    <xf numFmtId="175" fontId="62" fillId="0" borderId="213"/>
    <xf numFmtId="176" fontId="62" fillId="0" borderId="213"/>
    <xf numFmtId="177" fontId="62" fillId="0" borderId="213"/>
    <xf numFmtId="176" fontId="62" fillId="0" borderId="213"/>
    <xf numFmtId="180" fontId="62" fillId="0" borderId="213"/>
    <xf numFmtId="181" fontId="62" fillId="0" borderId="213"/>
    <xf numFmtId="182" fontId="62" fillId="0" borderId="213"/>
    <xf numFmtId="175" fontId="62" fillId="0" borderId="213"/>
    <xf numFmtId="172" fontId="62" fillId="0" borderId="213"/>
    <xf numFmtId="0" fontId="11" fillId="22" borderId="209" applyNumberFormat="0" applyAlignment="0" applyProtection="0"/>
    <xf numFmtId="0" fontId="8" fillId="25" borderId="210" applyNumberFormat="0" applyFont="0" applyAlignment="0" applyProtection="0"/>
    <xf numFmtId="0" fontId="11" fillId="22" borderId="209" applyNumberFormat="0" applyAlignment="0" applyProtection="0"/>
    <xf numFmtId="182" fontId="62" fillId="0" borderId="213"/>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74" fontId="62" fillId="0" borderId="213"/>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3" fontId="62" fillId="0" borderId="213"/>
    <xf numFmtId="174" fontId="62" fillId="0" borderId="213"/>
    <xf numFmtId="0" fontId="18" fillId="9" borderId="209" applyNumberFormat="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7" fontId="62" fillId="0" borderId="213"/>
    <xf numFmtId="172" fontId="62" fillId="0" borderId="213"/>
    <xf numFmtId="173" fontId="62" fillId="0" borderId="213"/>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172" fontId="62" fillId="0" borderId="213"/>
    <xf numFmtId="180" fontId="62" fillId="0" borderId="213"/>
    <xf numFmtId="175" fontId="62" fillId="0" borderId="213"/>
    <xf numFmtId="175" fontId="62" fillId="0" borderId="213"/>
    <xf numFmtId="180" fontId="62" fillId="0" borderId="213"/>
    <xf numFmtId="172"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172" fontId="62" fillId="0" borderId="213"/>
    <xf numFmtId="182" fontId="62" fillId="0" borderId="213"/>
    <xf numFmtId="175" fontId="62" fillId="0" borderId="213"/>
    <xf numFmtId="177" fontId="62" fillId="0" borderId="213"/>
    <xf numFmtId="174" fontId="62" fillId="0" borderId="213"/>
    <xf numFmtId="173" fontId="62" fillId="0" borderId="213"/>
    <xf numFmtId="180"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180" fontId="62" fillId="0" borderId="213"/>
    <xf numFmtId="181"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2" fontId="62" fillId="0" borderId="213"/>
    <xf numFmtId="175" fontId="62" fillId="0" borderId="213"/>
    <xf numFmtId="175" fontId="62" fillId="0" borderId="213"/>
    <xf numFmtId="0" fontId="21" fillId="22" borderId="211" applyNumberFormat="0" applyAlignment="0" applyProtection="0"/>
    <xf numFmtId="180" fontId="62" fillId="0" borderId="213"/>
    <xf numFmtId="175" fontId="62" fillId="0" borderId="213"/>
    <xf numFmtId="0" fontId="21" fillId="22" borderId="211" applyNumberFormat="0" applyAlignment="0" applyProtection="0"/>
    <xf numFmtId="0" fontId="8" fillId="25" borderId="210" applyNumberFormat="0" applyFont="0" applyAlignment="0" applyProtection="0"/>
    <xf numFmtId="172" fontId="62" fillId="0" borderId="213"/>
    <xf numFmtId="0" fontId="8" fillId="25" borderId="210" applyNumberFormat="0" applyFont="0" applyAlignment="0" applyProtection="0"/>
    <xf numFmtId="174" fontId="62" fillId="0" borderId="213"/>
    <xf numFmtId="0" fontId="23" fillId="0" borderId="212" applyNumberFormat="0" applyFill="0" applyAlignment="0" applyProtection="0"/>
    <xf numFmtId="176" fontId="62" fillId="0" borderId="213"/>
    <xf numFmtId="175" fontId="62" fillId="0" borderId="213"/>
    <xf numFmtId="0" fontId="23" fillId="0" borderId="212" applyNumberFormat="0" applyFill="0" applyAlignment="0" applyProtection="0"/>
    <xf numFmtId="182" fontId="62" fillId="0" borderId="213"/>
    <xf numFmtId="175" fontId="62" fillId="0" borderId="213"/>
    <xf numFmtId="175" fontId="62" fillId="0" borderId="213"/>
    <xf numFmtId="0" fontId="18" fillId="9" borderId="209" applyNumberFormat="0" applyAlignment="0" applyProtection="0"/>
    <xf numFmtId="0" fontId="21" fillId="22" borderId="211" applyNumberFormat="0" applyAlignment="0" applyProtection="0"/>
    <xf numFmtId="172" fontId="62" fillId="0" borderId="213"/>
    <xf numFmtId="0" fontId="8" fillId="25" borderId="210" applyNumberFormat="0" applyFont="0" applyAlignment="0" applyProtection="0"/>
    <xf numFmtId="173" fontId="62" fillId="0" borderId="213"/>
    <xf numFmtId="177"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172" fontId="62" fillId="0" borderId="213"/>
    <xf numFmtId="180" fontId="62" fillId="0" borderId="213"/>
    <xf numFmtId="0" fontId="18" fillId="9" borderId="209" applyNumberFormat="0" applyAlignment="0" applyProtection="0"/>
    <xf numFmtId="172" fontId="62" fillId="0" borderId="213"/>
    <xf numFmtId="0" fontId="21" fillId="22" borderId="211" applyNumberFormat="0" applyAlignment="0" applyProtection="0"/>
    <xf numFmtId="180" fontId="62" fillId="0" borderId="213"/>
    <xf numFmtId="172" fontId="62" fillId="0" borderId="213"/>
    <xf numFmtId="180" fontId="62" fillId="0" borderId="213"/>
    <xf numFmtId="175" fontId="62" fillId="0" borderId="213"/>
    <xf numFmtId="172" fontId="62" fillId="0" borderId="213"/>
    <xf numFmtId="175" fontId="62" fillId="0" borderId="213"/>
    <xf numFmtId="174" fontId="62" fillId="0" borderId="213"/>
    <xf numFmtId="181" fontId="62" fillId="0" borderId="213"/>
    <xf numFmtId="180" fontId="62" fillId="0" borderId="213"/>
    <xf numFmtId="175" fontId="62" fillId="0" borderId="213"/>
    <xf numFmtId="172" fontId="62" fillId="0" borderId="213"/>
    <xf numFmtId="180" fontId="62" fillId="0" borderId="213"/>
    <xf numFmtId="175" fontId="62" fillId="0" borderId="213"/>
    <xf numFmtId="172" fontId="62" fillId="0" borderId="213"/>
    <xf numFmtId="180" fontId="62" fillId="0" borderId="213"/>
    <xf numFmtId="180" fontId="62" fillId="0" borderId="213"/>
    <xf numFmtId="181" fontId="62" fillId="0" borderId="213"/>
    <xf numFmtId="177" fontId="62" fillId="0" borderId="213"/>
    <xf numFmtId="172" fontId="62" fillId="0" borderId="213"/>
    <xf numFmtId="0" fontId="23" fillId="0" borderId="212" applyNumberFormat="0" applyFill="0" applyAlignment="0" applyProtection="0"/>
    <xf numFmtId="0" fontId="11" fillId="22" borderId="209" applyNumberFormat="0" applyAlignment="0" applyProtection="0"/>
    <xf numFmtId="172" fontId="62" fillId="0" borderId="213"/>
    <xf numFmtId="174" fontId="62" fillId="0" borderId="213"/>
    <xf numFmtId="172" fontId="62" fillId="0" borderId="213"/>
    <xf numFmtId="175" fontId="62" fillId="0" borderId="213"/>
    <xf numFmtId="180" fontId="62" fillId="0" borderId="213"/>
    <xf numFmtId="172" fontId="62" fillId="0" borderId="213"/>
    <xf numFmtId="0" fontId="18" fillId="9" borderId="209" applyNumberFormat="0" applyAlignment="0" applyProtection="0"/>
    <xf numFmtId="174" fontId="62" fillId="0" borderId="213"/>
    <xf numFmtId="0" fontId="11" fillId="22" borderId="209" applyNumberFormat="0" applyAlignment="0" applyProtection="0"/>
    <xf numFmtId="182" fontId="62" fillId="0" borderId="213"/>
    <xf numFmtId="172" fontId="62" fillId="0" borderId="213"/>
    <xf numFmtId="173" fontId="62" fillId="0" borderId="213"/>
    <xf numFmtId="175" fontId="62" fillId="0" borderId="213"/>
    <xf numFmtId="176" fontId="62" fillId="0" borderId="213"/>
    <xf numFmtId="175" fontId="62" fillId="0" borderId="213"/>
    <xf numFmtId="175" fontId="62" fillId="0" borderId="213"/>
    <xf numFmtId="0" fontId="11" fillId="22" borderId="209" applyNumberFormat="0" applyAlignment="0" applyProtection="0"/>
    <xf numFmtId="172" fontId="62" fillId="0" borderId="213"/>
    <xf numFmtId="175" fontId="62" fillId="0" borderId="213"/>
    <xf numFmtId="182" fontId="62" fillId="0" borderId="213"/>
    <xf numFmtId="172" fontId="62" fillId="0" borderId="213"/>
    <xf numFmtId="175" fontId="62" fillId="0" borderId="213"/>
    <xf numFmtId="177" fontId="62" fillId="0" borderId="213"/>
    <xf numFmtId="173" fontId="62" fillId="0" borderId="213"/>
    <xf numFmtId="181" fontId="62" fillId="0" borderId="213"/>
    <xf numFmtId="182" fontId="62" fillId="0" borderId="213"/>
    <xf numFmtId="180" fontId="62" fillId="0" borderId="213"/>
    <xf numFmtId="0" fontId="8" fillId="25" borderId="210" applyNumberFormat="0" applyFont="0" applyAlignment="0" applyProtection="0"/>
    <xf numFmtId="172" fontId="62" fillId="0" borderId="213"/>
    <xf numFmtId="180" fontId="62" fillId="0" borderId="213"/>
    <xf numFmtId="180" fontId="62" fillId="0" borderId="213"/>
    <xf numFmtId="0" fontId="8" fillId="25" borderId="210" applyNumberFormat="0" applyFont="0" applyAlignment="0" applyProtection="0"/>
    <xf numFmtId="180" fontId="62" fillId="0" borderId="213"/>
    <xf numFmtId="177"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0" fontId="21" fillId="22" borderId="211" applyNumberFormat="0" applyAlignment="0" applyProtection="0"/>
    <xf numFmtId="175" fontId="62" fillId="0" borderId="213"/>
    <xf numFmtId="175" fontId="62" fillId="0" borderId="213"/>
    <xf numFmtId="175" fontId="62" fillId="0" borderId="213"/>
    <xf numFmtId="180" fontId="62" fillId="0" borderId="213"/>
    <xf numFmtId="180" fontId="62" fillId="0" borderId="213"/>
    <xf numFmtId="172" fontId="62" fillId="0" borderId="213"/>
    <xf numFmtId="175" fontId="62" fillId="0" borderId="213"/>
    <xf numFmtId="180" fontId="62" fillId="0" borderId="213"/>
    <xf numFmtId="172" fontId="62" fillId="0" borderId="213"/>
    <xf numFmtId="174" fontId="62" fillId="0" borderId="213"/>
    <xf numFmtId="180" fontId="62" fillId="0" borderId="213"/>
    <xf numFmtId="0" fontId="23" fillId="0" borderId="212" applyNumberFormat="0" applyFill="0" applyAlignment="0" applyProtection="0"/>
    <xf numFmtId="175" fontId="62" fillId="0" borderId="213"/>
    <xf numFmtId="175" fontId="62" fillId="0" borderId="213"/>
    <xf numFmtId="180" fontId="62" fillId="0" borderId="213"/>
    <xf numFmtId="172" fontId="62" fillId="0" borderId="213"/>
    <xf numFmtId="0" fontId="18" fillId="9" borderId="209" applyNumberFormat="0" applyAlignment="0" applyProtection="0"/>
    <xf numFmtId="177" fontId="62" fillId="0" borderId="213"/>
    <xf numFmtId="176" fontId="62" fillId="0" borderId="213"/>
    <xf numFmtId="181" fontId="62" fillId="0" borderId="213"/>
    <xf numFmtId="176" fontId="62" fillId="0" borderId="213"/>
    <xf numFmtId="181" fontId="62" fillId="0" borderId="213"/>
    <xf numFmtId="173" fontId="62" fillId="0" borderId="213"/>
    <xf numFmtId="181" fontId="62" fillId="0" borderId="213"/>
    <xf numFmtId="182" fontId="62" fillId="0" borderId="213"/>
    <xf numFmtId="175" fontId="62" fillId="0" borderId="213"/>
    <xf numFmtId="182" fontId="62" fillId="0" borderId="213"/>
    <xf numFmtId="177" fontId="62" fillId="0" borderId="213"/>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0" fontId="62" fillId="0" borderId="213"/>
    <xf numFmtId="172" fontId="62" fillId="0" borderId="213"/>
    <xf numFmtId="175" fontId="62" fillId="0" borderId="213"/>
    <xf numFmtId="180" fontId="62" fillId="0" borderId="213"/>
    <xf numFmtId="180" fontId="62" fillId="0" borderId="213"/>
    <xf numFmtId="180" fontId="62" fillId="0" borderId="213"/>
    <xf numFmtId="175" fontId="62" fillId="0" borderId="213"/>
    <xf numFmtId="180" fontId="62" fillId="0" borderId="213"/>
    <xf numFmtId="180" fontId="62" fillId="0" borderId="213"/>
    <xf numFmtId="175" fontId="62" fillId="0" borderId="213"/>
    <xf numFmtId="175" fontId="62" fillId="0" borderId="213"/>
    <xf numFmtId="0" fontId="21" fillId="22" borderId="211" applyNumberFormat="0" applyAlignment="0" applyProtection="0"/>
    <xf numFmtId="175" fontId="62" fillId="0" borderId="213"/>
    <xf numFmtId="0" fontId="23" fillId="0" borderId="212" applyNumberFormat="0" applyFill="0" applyAlignment="0" applyProtection="0"/>
    <xf numFmtId="172" fontId="62" fillId="0" borderId="213"/>
    <xf numFmtId="172" fontId="62" fillId="0" borderId="213"/>
    <xf numFmtId="175" fontId="62" fillId="0" borderId="213"/>
    <xf numFmtId="176" fontId="62" fillId="0" borderId="213"/>
    <xf numFmtId="0" fontId="18" fillId="9" borderId="209" applyNumberFormat="0" applyAlignment="0" applyProtection="0"/>
    <xf numFmtId="172" fontId="62" fillId="0" borderId="213"/>
    <xf numFmtId="0" fontId="21" fillId="22" borderId="211" applyNumberFormat="0" applyAlignment="0" applyProtection="0"/>
    <xf numFmtId="174" fontId="62" fillId="0" borderId="213"/>
    <xf numFmtId="172" fontId="62" fillId="0" borderId="213"/>
    <xf numFmtId="0" fontId="18" fillId="9" borderId="209" applyNumberFormat="0" applyAlignment="0" applyProtection="0"/>
    <xf numFmtId="177" fontId="62" fillId="0" borderId="213"/>
    <xf numFmtId="0" fontId="11" fillId="22" borderId="209" applyNumberFormat="0" applyAlignment="0" applyProtection="0"/>
    <xf numFmtId="172" fontId="62" fillId="0" borderId="213"/>
    <xf numFmtId="17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6" fontId="62" fillId="0" borderId="213"/>
    <xf numFmtId="180" fontId="62" fillId="0" borderId="213"/>
    <xf numFmtId="172" fontId="62" fillId="0" borderId="213"/>
    <xf numFmtId="172" fontId="62" fillId="0" borderId="213"/>
    <xf numFmtId="0" fontId="23" fillId="0" borderId="212" applyNumberFormat="0" applyFill="0" applyAlignment="0" applyProtection="0"/>
    <xf numFmtId="180" fontId="62" fillId="0" borderId="213"/>
    <xf numFmtId="172" fontId="62" fillId="0" borderId="213"/>
    <xf numFmtId="172" fontId="62" fillId="0" borderId="213"/>
    <xf numFmtId="180" fontId="62" fillId="0" borderId="213"/>
    <xf numFmtId="175" fontId="62" fillId="0" borderId="213"/>
    <xf numFmtId="175" fontId="62" fillId="0" borderId="213"/>
    <xf numFmtId="180" fontId="62" fillId="0" borderId="213"/>
    <xf numFmtId="180" fontId="62" fillId="0" borderId="213"/>
    <xf numFmtId="180" fontId="62" fillId="0" borderId="213"/>
    <xf numFmtId="172" fontId="62" fillId="0" borderId="213"/>
    <xf numFmtId="174" fontId="62" fillId="0" borderId="213"/>
    <xf numFmtId="172" fontId="62" fillId="0" borderId="213"/>
    <xf numFmtId="180" fontId="62" fillId="0" borderId="213"/>
    <xf numFmtId="0" fontId="18" fillId="9" borderId="209" applyNumberFormat="0" applyAlignment="0" applyProtection="0"/>
    <xf numFmtId="180" fontId="62" fillId="0" borderId="213"/>
    <xf numFmtId="180" fontId="62" fillId="0" borderId="213"/>
    <xf numFmtId="0" fontId="23" fillId="0" borderId="212" applyNumberFormat="0" applyFill="0" applyAlignment="0" applyProtection="0"/>
    <xf numFmtId="172" fontId="62" fillId="0" borderId="213"/>
    <xf numFmtId="0" fontId="8" fillId="25" borderId="210" applyNumberFormat="0" applyFont="0" applyAlignment="0" applyProtection="0"/>
    <xf numFmtId="0" fontId="18" fillId="9" borderId="209" applyNumberFormat="0" applyAlignment="0" applyProtection="0"/>
    <xf numFmtId="172" fontId="62" fillId="0" borderId="213"/>
    <xf numFmtId="180" fontId="62" fillId="0" borderId="213"/>
    <xf numFmtId="0" fontId="8" fillId="25" borderId="210" applyNumberFormat="0" applyFont="0" applyAlignment="0" applyProtection="0"/>
    <xf numFmtId="0" fontId="11" fillId="22" borderId="209" applyNumberFormat="0" applyAlignment="0" applyProtection="0"/>
    <xf numFmtId="172"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2" fontId="62" fillId="0" borderId="213"/>
    <xf numFmtId="181" fontId="62" fillId="0" borderId="213"/>
    <xf numFmtId="175" fontId="62" fillId="0" borderId="213"/>
    <xf numFmtId="175" fontId="62" fillId="0" borderId="213"/>
    <xf numFmtId="174" fontId="62" fillId="0" borderId="213"/>
    <xf numFmtId="180" fontId="62" fillId="0" borderId="213"/>
    <xf numFmtId="173" fontId="62" fillId="0" borderId="213"/>
    <xf numFmtId="0" fontId="21" fillId="22" borderId="211" applyNumberFormat="0" applyAlignment="0" applyProtection="0"/>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6" fontId="62" fillId="0" borderId="213"/>
    <xf numFmtId="175" fontId="62" fillId="0" borderId="213"/>
    <xf numFmtId="182" fontId="62" fillId="0" borderId="213"/>
    <xf numFmtId="177" fontId="62" fillId="0" borderId="213"/>
    <xf numFmtId="173"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5" fontId="62" fillId="0" borderId="213"/>
    <xf numFmtId="175" fontId="62" fillId="0" borderId="213"/>
    <xf numFmtId="175" fontId="62" fillId="0" borderId="213"/>
    <xf numFmtId="172" fontId="62" fillId="0" borderId="213"/>
    <xf numFmtId="0" fontId="18" fillId="9" borderId="209" applyNumberFormat="0" applyAlignment="0" applyProtection="0"/>
    <xf numFmtId="175" fontId="62" fillId="0" borderId="213"/>
    <xf numFmtId="172" fontId="62" fillId="0" borderId="213"/>
    <xf numFmtId="180" fontId="62" fillId="0" borderId="213"/>
    <xf numFmtId="174" fontId="62" fillId="0" borderId="213"/>
    <xf numFmtId="174" fontId="62" fillId="0" borderId="213"/>
    <xf numFmtId="172" fontId="62" fillId="0" borderId="213"/>
    <xf numFmtId="174" fontId="62" fillId="0" borderId="213"/>
    <xf numFmtId="175" fontId="62" fillId="0" borderId="213"/>
    <xf numFmtId="177" fontId="62" fillId="0" borderId="213"/>
    <xf numFmtId="172" fontId="62" fillId="0" borderId="213"/>
    <xf numFmtId="0" fontId="11" fillId="22" borderId="209" applyNumberFormat="0" applyAlignment="0" applyProtection="0"/>
    <xf numFmtId="180" fontId="62" fillId="0" borderId="213"/>
    <xf numFmtId="180" fontId="62" fillId="0" borderId="213"/>
    <xf numFmtId="180" fontId="62" fillId="0" borderId="213"/>
    <xf numFmtId="172" fontId="62" fillId="0" borderId="213"/>
    <xf numFmtId="0" fontId="8" fillId="25" borderId="210" applyNumberFormat="0" applyFont="0" applyAlignment="0" applyProtection="0"/>
    <xf numFmtId="172" fontId="62" fillId="0" borderId="213"/>
    <xf numFmtId="181" fontId="62" fillId="0" borderId="213"/>
    <xf numFmtId="175" fontId="62" fillId="0" borderId="213"/>
    <xf numFmtId="176" fontId="62" fillId="0" borderId="213"/>
    <xf numFmtId="0" fontId="18" fillId="9" borderId="209" applyNumberFormat="0" applyAlignment="0" applyProtection="0"/>
    <xf numFmtId="172" fontId="62" fillId="0" borderId="213"/>
    <xf numFmtId="180" fontId="62" fillId="0" borderId="213"/>
    <xf numFmtId="175" fontId="62" fillId="0" borderId="213"/>
    <xf numFmtId="180" fontId="62" fillId="0" borderId="213"/>
    <xf numFmtId="172" fontId="62" fillId="0" borderId="213"/>
    <xf numFmtId="180" fontId="62" fillId="0" borderId="213"/>
    <xf numFmtId="175" fontId="62" fillId="0" borderId="213"/>
    <xf numFmtId="175" fontId="62" fillId="0" borderId="213"/>
    <xf numFmtId="172" fontId="62" fillId="0" borderId="213"/>
    <xf numFmtId="175" fontId="62" fillId="0" borderId="213"/>
    <xf numFmtId="176" fontId="62" fillId="0" borderId="213"/>
    <xf numFmtId="175" fontId="62" fillId="0" borderId="213"/>
    <xf numFmtId="180" fontId="62" fillId="0" borderId="213"/>
    <xf numFmtId="180" fontId="62" fillId="0" borderId="213"/>
    <xf numFmtId="172" fontId="62" fillId="0" borderId="213"/>
    <xf numFmtId="0" fontId="21" fillId="22" borderId="211" applyNumberFormat="0" applyAlignment="0" applyProtection="0"/>
    <xf numFmtId="173"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0" fontId="23" fillId="0" borderId="212" applyNumberFormat="0" applyFill="0" applyAlignment="0" applyProtection="0"/>
    <xf numFmtId="175" fontId="62" fillId="0" borderId="213"/>
    <xf numFmtId="0" fontId="21" fillId="22" borderId="211" applyNumberFormat="0" applyAlignment="0" applyProtection="0"/>
    <xf numFmtId="172" fontId="62" fillId="0" borderId="213"/>
    <xf numFmtId="182" fontId="62" fillId="0" borderId="213"/>
    <xf numFmtId="172" fontId="62" fillId="0" borderId="213"/>
    <xf numFmtId="180" fontId="62" fillId="0" borderId="213"/>
    <xf numFmtId="0" fontId="11" fillId="22" borderId="209" applyNumberFormat="0" applyAlignment="0" applyProtection="0"/>
    <xf numFmtId="175" fontId="62" fillId="0" borderId="213"/>
    <xf numFmtId="181" fontId="62" fillId="0" borderId="213"/>
    <xf numFmtId="175" fontId="62" fillId="0" borderId="213"/>
    <xf numFmtId="172" fontId="62" fillId="0" borderId="213"/>
    <xf numFmtId="175" fontId="62" fillId="0" borderId="213"/>
    <xf numFmtId="173" fontId="62" fillId="0" borderId="213"/>
    <xf numFmtId="180" fontId="62" fillId="0" borderId="213"/>
    <xf numFmtId="177" fontId="62" fillId="0" borderId="213"/>
    <xf numFmtId="175" fontId="62" fillId="0" borderId="213"/>
    <xf numFmtId="173" fontId="62" fillId="0" borderId="213"/>
    <xf numFmtId="172" fontId="62" fillId="0" borderId="213"/>
    <xf numFmtId="181" fontId="62" fillId="0" borderId="213"/>
    <xf numFmtId="182" fontId="62" fillId="0" borderId="213"/>
    <xf numFmtId="180" fontId="62" fillId="0" borderId="213"/>
    <xf numFmtId="180" fontId="62" fillId="0" borderId="213"/>
    <xf numFmtId="180" fontId="62" fillId="0" borderId="213"/>
    <xf numFmtId="172" fontId="62" fillId="0" borderId="213"/>
    <xf numFmtId="180"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2" fontId="62" fillId="0" borderId="213"/>
    <xf numFmtId="172" fontId="62" fillId="0" borderId="213"/>
    <xf numFmtId="175" fontId="62" fillId="0" borderId="213"/>
    <xf numFmtId="180" fontId="62" fillId="0" borderId="213"/>
    <xf numFmtId="172" fontId="62" fillId="0" borderId="213"/>
    <xf numFmtId="0" fontId="8" fillId="25" borderId="210" applyNumberFormat="0" applyFont="0" applyAlignment="0" applyProtection="0"/>
    <xf numFmtId="175" fontId="62" fillId="0" borderId="213"/>
    <xf numFmtId="177" fontId="62" fillId="0" borderId="213"/>
    <xf numFmtId="180" fontId="62" fillId="0" borderId="213"/>
    <xf numFmtId="172" fontId="62" fillId="0" borderId="213"/>
    <xf numFmtId="175"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80" fontId="62" fillId="0" borderId="213"/>
    <xf numFmtId="172" fontId="62" fillId="0" borderId="213"/>
    <xf numFmtId="180" fontId="62" fillId="0" borderId="213"/>
    <xf numFmtId="180" fontId="62" fillId="0" borderId="213"/>
    <xf numFmtId="175" fontId="62" fillId="0" borderId="213"/>
    <xf numFmtId="175" fontId="62" fillId="0" borderId="213"/>
    <xf numFmtId="172" fontId="62" fillId="0" borderId="213"/>
    <xf numFmtId="172" fontId="62" fillId="0" borderId="213"/>
    <xf numFmtId="172" fontId="62" fillId="0" borderId="213"/>
    <xf numFmtId="180" fontId="62" fillId="0" borderId="213"/>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5" fontId="62" fillId="0" borderId="213"/>
    <xf numFmtId="181" fontId="62" fillId="0" borderId="213"/>
    <xf numFmtId="0" fontId="8" fillId="25" borderId="210" applyNumberFormat="0" applyFont="0" applyAlignment="0" applyProtection="0"/>
    <xf numFmtId="0" fontId="18" fillId="9" borderId="209" applyNumberFormat="0" applyAlignment="0" applyProtection="0"/>
    <xf numFmtId="0" fontId="18" fillId="9" borderId="209" applyNumberFormat="0" applyAlignment="0" applyProtection="0"/>
    <xf numFmtId="182" fontId="62" fillId="0" borderId="213"/>
    <xf numFmtId="0" fontId="8" fillId="25" borderId="210" applyNumberFormat="0" applyFont="0" applyAlignment="0" applyProtection="0"/>
    <xf numFmtId="177" fontId="62" fillId="0" borderId="213"/>
    <xf numFmtId="176" fontId="62" fillId="0" borderId="213"/>
    <xf numFmtId="0" fontId="23" fillId="0" borderId="212" applyNumberFormat="0" applyFill="0" applyAlignment="0" applyProtection="0"/>
    <xf numFmtId="180" fontId="62" fillId="0" borderId="213"/>
    <xf numFmtId="0" fontId="23" fillId="0" borderId="212" applyNumberFormat="0" applyFill="0" applyAlignment="0" applyProtection="0"/>
    <xf numFmtId="0" fontId="11" fillId="22" borderId="209" applyNumberFormat="0" applyAlignment="0" applyProtection="0"/>
    <xf numFmtId="182" fontId="62" fillId="0" borderId="213"/>
    <xf numFmtId="0" fontId="11" fillId="22" borderId="209" applyNumberFormat="0" applyAlignment="0" applyProtection="0"/>
    <xf numFmtId="0" fontId="21" fillId="22" borderId="211" applyNumberFormat="0" applyAlignment="0" applyProtection="0"/>
    <xf numFmtId="175" fontId="62" fillId="0" borderId="213"/>
    <xf numFmtId="0" fontId="8" fillId="25" borderId="210" applyNumberFormat="0" applyFont="0" applyAlignment="0" applyProtection="0"/>
    <xf numFmtId="0" fontId="18" fillId="9" borderId="209" applyNumberFormat="0" applyAlignment="0" applyProtection="0"/>
    <xf numFmtId="180" fontId="62" fillId="0" borderId="213"/>
    <xf numFmtId="0" fontId="11" fillId="22" borderId="209" applyNumberFormat="0" applyAlignment="0" applyProtection="0"/>
    <xf numFmtId="0" fontId="18" fillId="9" borderId="209" applyNumberFormat="0" applyAlignment="0" applyProtection="0"/>
    <xf numFmtId="172" fontId="62" fillId="0" borderId="213"/>
    <xf numFmtId="0" fontId="23" fillId="0" borderId="212" applyNumberFormat="0" applyFill="0" applyAlignment="0" applyProtection="0"/>
    <xf numFmtId="172" fontId="62" fillId="0" borderId="213"/>
    <xf numFmtId="180" fontId="62" fillId="0" borderId="213"/>
    <xf numFmtId="180" fontId="62" fillId="0" borderId="213"/>
    <xf numFmtId="172" fontId="62" fillId="0" borderId="213"/>
    <xf numFmtId="181" fontId="62" fillId="0" borderId="213"/>
    <xf numFmtId="0" fontId="11" fillId="22" borderId="209" applyNumberFormat="0" applyAlignment="0" applyProtection="0"/>
    <xf numFmtId="172" fontId="62" fillId="0" borderId="213"/>
    <xf numFmtId="0" fontId="11" fillId="22" borderId="209" applyNumberFormat="0" applyAlignment="0" applyProtection="0"/>
    <xf numFmtId="172" fontId="62" fillId="0" borderId="213"/>
    <xf numFmtId="0" fontId="8" fillId="25" borderId="210" applyNumberFormat="0" applyFont="0" applyAlignment="0" applyProtection="0"/>
    <xf numFmtId="175" fontId="62" fillId="0" borderId="213"/>
    <xf numFmtId="181" fontId="62" fillId="0" borderId="213"/>
    <xf numFmtId="175" fontId="62" fillId="0" borderId="213"/>
    <xf numFmtId="172" fontId="62" fillId="0" borderId="213"/>
    <xf numFmtId="0" fontId="8" fillId="25" borderId="210" applyNumberFormat="0" applyFont="0" applyAlignment="0" applyProtection="0"/>
    <xf numFmtId="175" fontId="62" fillId="0" borderId="213"/>
    <xf numFmtId="180" fontId="62" fillId="0" borderId="213"/>
    <xf numFmtId="176" fontId="62" fillId="0" borderId="213"/>
    <xf numFmtId="175" fontId="62" fillId="0" borderId="213"/>
    <xf numFmtId="180" fontId="62" fillId="0" borderId="213"/>
    <xf numFmtId="0" fontId="8" fillId="25" borderId="210" applyNumberFormat="0" applyFont="0" applyAlignment="0" applyProtection="0"/>
    <xf numFmtId="176" fontId="62" fillId="0" borderId="213"/>
    <xf numFmtId="172" fontId="62" fillId="0" borderId="213"/>
    <xf numFmtId="175" fontId="62" fillId="0" borderId="213"/>
    <xf numFmtId="180" fontId="62" fillId="0" borderId="213"/>
    <xf numFmtId="175" fontId="62" fillId="0" borderId="213"/>
    <xf numFmtId="177" fontId="62" fillId="0" borderId="213"/>
    <xf numFmtId="0" fontId="18" fillId="9" borderId="209" applyNumberFormat="0" applyAlignment="0" applyProtection="0"/>
    <xf numFmtId="0" fontId="21" fillId="22" borderId="211" applyNumberFormat="0" applyAlignment="0" applyProtection="0"/>
    <xf numFmtId="180" fontId="62" fillId="0" borderId="213"/>
    <xf numFmtId="181" fontId="62" fillId="0" borderId="213"/>
    <xf numFmtId="172" fontId="62" fillId="0" borderId="213"/>
    <xf numFmtId="172" fontId="62" fillId="0" borderId="213"/>
    <xf numFmtId="172" fontId="62" fillId="0" borderId="213"/>
    <xf numFmtId="175" fontId="62" fillId="0" borderId="213"/>
    <xf numFmtId="174" fontId="62" fillId="0" borderId="213"/>
    <xf numFmtId="172" fontId="62" fillId="0" borderId="213"/>
    <xf numFmtId="0" fontId="8" fillId="25" borderId="210" applyNumberFormat="0" applyFont="0" applyAlignment="0" applyProtection="0"/>
    <xf numFmtId="0" fontId="11" fillId="22" borderId="209" applyNumberFormat="0" applyAlignment="0" applyProtection="0"/>
    <xf numFmtId="175" fontId="62" fillId="0" borderId="213"/>
    <xf numFmtId="0" fontId="11" fillId="22" borderId="209" applyNumberFormat="0" applyAlignment="0" applyProtection="0"/>
    <xf numFmtId="176" fontId="62" fillId="0" borderId="213"/>
    <xf numFmtId="175" fontId="62" fillId="0" borderId="213"/>
    <xf numFmtId="175" fontId="62" fillId="0" borderId="213"/>
    <xf numFmtId="0" fontId="21" fillId="22" borderId="211" applyNumberFormat="0" applyAlignment="0" applyProtection="0"/>
    <xf numFmtId="174" fontId="62" fillId="0" borderId="213"/>
    <xf numFmtId="182" fontId="62" fillId="0" borderId="213"/>
    <xf numFmtId="173" fontId="62" fillId="0" borderId="213"/>
    <xf numFmtId="0" fontId="11" fillId="22" borderId="209" applyNumberFormat="0" applyAlignment="0" applyProtection="0"/>
    <xf numFmtId="172" fontId="62" fillId="0" borderId="213"/>
    <xf numFmtId="0" fontId="11" fillId="22" borderId="209" applyNumberFormat="0" applyAlignment="0" applyProtection="0"/>
    <xf numFmtId="172" fontId="62" fillId="0" borderId="213"/>
    <xf numFmtId="180" fontId="62" fillId="0" borderId="213"/>
    <xf numFmtId="177" fontId="62" fillId="0" borderId="213"/>
    <xf numFmtId="0" fontId="11" fillId="22" borderId="209" applyNumberFormat="0" applyAlignment="0" applyProtection="0"/>
    <xf numFmtId="180" fontId="62" fillId="0" borderId="213"/>
    <xf numFmtId="0" fontId="18" fillId="9" borderId="209" applyNumberFormat="0" applyAlignment="0" applyProtection="0"/>
    <xf numFmtId="173" fontId="62" fillId="0" borderId="213"/>
    <xf numFmtId="181" fontId="62" fillId="0" borderId="213"/>
    <xf numFmtId="172" fontId="62" fillId="0" borderId="213"/>
    <xf numFmtId="0" fontId="21" fillId="22" borderId="211" applyNumberFormat="0" applyAlignment="0" applyProtection="0"/>
    <xf numFmtId="173" fontId="62" fillId="0" borderId="213"/>
    <xf numFmtId="0" fontId="18" fillId="9" borderId="209" applyNumberFormat="0" applyAlignment="0" applyProtection="0"/>
    <xf numFmtId="181" fontId="62" fillId="0" borderId="213"/>
    <xf numFmtId="175" fontId="62" fillId="0" borderId="213"/>
    <xf numFmtId="173" fontId="62" fillId="0" borderId="213"/>
    <xf numFmtId="0" fontId="8" fillId="25" borderId="210" applyNumberFormat="0" applyFont="0" applyAlignment="0" applyProtection="0"/>
    <xf numFmtId="0" fontId="11" fillId="22" borderId="209" applyNumberFormat="0" applyAlignment="0" applyProtection="0"/>
    <xf numFmtId="0" fontId="8" fillId="25" borderId="210" applyNumberFormat="0" applyFont="0" applyAlignment="0" applyProtection="0"/>
    <xf numFmtId="176" fontId="62" fillId="0" borderId="213"/>
    <xf numFmtId="180" fontId="62" fillId="0" borderId="213"/>
    <xf numFmtId="175" fontId="62" fillId="0" borderId="213"/>
    <xf numFmtId="182" fontId="62" fillId="0" borderId="213"/>
    <xf numFmtId="0" fontId="11" fillId="22" borderId="209" applyNumberFormat="0" applyAlignment="0" applyProtection="0"/>
    <xf numFmtId="175" fontId="62" fillId="0" borderId="213"/>
    <xf numFmtId="0" fontId="18" fillId="9" borderId="209" applyNumberFormat="0" applyAlignment="0" applyProtection="0"/>
    <xf numFmtId="0" fontId="21" fillId="22" borderId="211" applyNumberFormat="0" applyAlignment="0" applyProtection="0"/>
    <xf numFmtId="182" fontId="62" fillId="0" borderId="213"/>
    <xf numFmtId="0" fontId="8" fillId="25" borderId="210" applyNumberFormat="0" applyFont="0" applyAlignment="0" applyProtection="0"/>
    <xf numFmtId="181" fontId="62" fillId="0" borderId="213"/>
    <xf numFmtId="177" fontId="62" fillId="0" borderId="213"/>
    <xf numFmtId="0" fontId="18" fillId="9" borderId="209" applyNumberFormat="0" applyAlignment="0" applyProtection="0"/>
    <xf numFmtId="180" fontId="62" fillId="0" borderId="213"/>
    <xf numFmtId="181" fontId="62" fillId="0" borderId="213"/>
    <xf numFmtId="180" fontId="62" fillId="0" borderId="213"/>
    <xf numFmtId="177" fontId="62" fillId="0" borderId="213"/>
    <xf numFmtId="173" fontId="62" fillId="0" borderId="213"/>
    <xf numFmtId="182" fontId="62" fillId="0" borderId="213"/>
    <xf numFmtId="180" fontId="62" fillId="0" borderId="213"/>
    <xf numFmtId="175" fontId="62" fillId="0" borderId="213"/>
    <xf numFmtId="0" fontId="21" fillId="22" borderId="211" applyNumberFormat="0" applyAlignment="0" applyProtection="0"/>
    <xf numFmtId="177" fontId="62" fillId="0" borderId="213"/>
    <xf numFmtId="172" fontId="62" fillId="0" borderId="213"/>
    <xf numFmtId="174" fontId="62" fillId="0" borderId="213"/>
    <xf numFmtId="176" fontId="62" fillId="0" borderId="213"/>
    <xf numFmtId="181" fontId="62" fillId="0" borderId="213"/>
    <xf numFmtId="0" fontId="21" fillId="22" borderId="211" applyNumberFormat="0" applyAlignment="0" applyProtection="0"/>
    <xf numFmtId="0" fontId="21" fillId="22" borderId="211" applyNumberFormat="0" applyAlignment="0" applyProtection="0"/>
    <xf numFmtId="180" fontId="62" fillId="0" borderId="213"/>
    <xf numFmtId="172" fontId="62" fillId="0" borderId="213"/>
    <xf numFmtId="175" fontId="62" fillId="0" borderId="213"/>
    <xf numFmtId="175" fontId="62" fillId="0" borderId="213"/>
    <xf numFmtId="0" fontId="23" fillId="0" borderId="212" applyNumberFormat="0" applyFill="0" applyAlignment="0" applyProtection="0"/>
    <xf numFmtId="177" fontId="62" fillId="0" borderId="213"/>
    <xf numFmtId="174" fontId="62" fillId="0" borderId="213"/>
    <xf numFmtId="180" fontId="62" fillId="0" borderId="213"/>
    <xf numFmtId="0" fontId="23" fillId="0" borderId="212" applyNumberFormat="0" applyFill="0" applyAlignment="0" applyProtection="0"/>
    <xf numFmtId="175" fontId="62" fillId="0" borderId="213"/>
    <xf numFmtId="0" fontId="8" fillId="25" borderId="210" applyNumberFormat="0" applyFont="0" applyAlignment="0" applyProtection="0"/>
    <xf numFmtId="173" fontId="62" fillId="0" borderId="213"/>
    <xf numFmtId="172" fontId="62" fillId="0" borderId="213"/>
    <xf numFmtId="175" fontId="62" fillId="0" borderId="213"/>
    <xf numFmtId="180" fontId="62" fillId="0" borderId="213"/>
    <xf numFmtId="180" fontId="62" fillId="0" borderId="213"/>
    <xf numFmtId="180" fontId="62" fillId="0" borderId="213"/>
    <xf numFmtId="182" fontId="62" fillId="0" borderId="213"/>
    <xf numFmtId="0" fontId="21" fillId="22" borderId="211" applyNumberFormat="0" applyAlignment="0" applyProtection="0"/>
    <xf numFmtId="176" fontId="62" fillId="0" borderId="213"/>
    <xf numFmtId="173" fontId="62" fillId="0" borderId="213"/>
    <xf numFmtId="0" fontId="21" fillId="22" borderId="211" applyNumberFormat="0" applyAlignment="0" applyProtection="0"/>
    <xf numFmtId="182" fontId="62" fillId="0" borderId="213"/>
    <xf numFmtId="175" fontId="62" fillId="0" borderId="213"/>
    <xf numFmtId="181" fontId="62" fillId="0" borderId="213"/>
    <xf numFmtId="0" fontId="23" fillId="0" borderId="212" applyNumberFormat="0" applyFill="0" applyAlignment="0" applyProtection="0"/>
    <xf numFmtId="180" fontId="62" fillId="0" borderId="213"/>
    <xf numFmtId="0" fontId="23" fillId="0" borderId="212" applyNumberFormat="0" applyFill="0" applyAlignment="0" applyProtection="0"/>
    <xf numFmtId="177" fontId="62" fillId="0" borderId="213"/>
    <xf numFmtId="0" fontId="21" fillId="22" borderId="211" applyNumberFormat="0" applyAlignment="0" applyProtection="0"/>
    <xf numFmtId="172" fontId="62" fillId="0" borderId="213"/>
    <xf numFmtId="176" fontId="62" fillId="0" borderId="213"/>
    <xf numFmtId="175" fontId="62" fillId="0" borderId="213"/>
    <xf numFmtId="177" fontId="62" fillId="0" borderId="213"/>
    <xf numFmtId="175" fontId="62" fillId="0" borderId="213"/>
    <xf numFmtId="0" fontId="23" fillId="0" borderId="212" applyNumberFormat="0" applyFill="0" applyAlignment="0" applyProtection="0"/>
    <xf numFmtId="0" fontId="8" fillId="25" borderId="210" applyNumberFormat="0" applyFont="0" applyAlignment="0" applyProtection="0"/>
    <xf numFmtId="0" fontId="23" fillId="0" borderId="212" applyNumberFormat="0" applyFill="0" applyAlignment="0" applyProtection="0"/>
    <xf numFmtId="172" fontId="62" fillId="0" borderId="213"/>
    <xf numFmtId="0" fontId="8" fillId="25" borderId="210" applyNumberFormat="0" applyFont="0" applyAlignment="0" applyProtection="0"/>
    <xf numFmtId="182" fontId="62" fillId="0" borderId="213"/>
    <xf numFmtId="172" fontId="62" fillId="0" borderId="213"/>
    <xf numFmtId="172" fontId="62" fillId="0" borderId="213"/>
    <xf numFmtId="0" fontId="11" fillId="22" borderId="209" applyNumberFormat="0" applyAlignment="0" applyProtection="0"/>
    <xf numFmtId="174" fontId="62" fillId="0" borderId="213"/>
    <xf numFmtId="177" fontId="62" fillId="0" borderId="213"/>
    <xf numFmtId="180" fontId="62" fillId="0" borderId="213"/>
    <xf numFmtId="175" fontId="62" fillId="0" borderId="213"/>
    <xf numFmtId="175" fontId="62" fillId="0" borderId="213"/>
    <xf numFmtId="176" fontId="62" fillId="0" borderId="213"/>
    <xf numFmtId="174" fontId="62" fillId="0" borderId="213"/>
    <xf numFmtId="172" fontId="62" fillId="0" borderId="213"/>
    <xf numFmtId="175" fontId="62" fillId="0" borderId="213"/>
    <xf numFmtId="180" fontId="62" fillId="0" borderId="213"/>
    <xf numFmtId="175" fontId="62" fillId="0" borderId="213"/>
    <xf numFmtId="0" fontId="8" fillId="25" borderId="210" applyNumberFormat="0" applyFon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172" fontId="62" fillId="0" borderId="213"/>
    <xf numFmtId="0" fontId="23" fillId="0" borderId="212" applyNumberFormat="0" applyFill="0" applyAlignment="0" applyProtection="0"/>
    <xf numFmtId="172" fontId="62" fillId="0" borderId="213"/>
    <xf numFmtId="0" fontId="21" fillId="22" borderId="211" applyNumberFormat="0" applyAlignment="0" applyProtection="0"/>
    <xf numFmtId="0" fontId="11" fillId="22" borderId="209" applyNumberFormat="0" applyAlignment="0" applyProtection="0"/>
    <xf numFmtId="181" fontId="62" fillId="0" borderId="213"/>
    <xf numFmtId="0" fontId="11" fillId="22" borderId="209" applyNumberFormat="0" applyAlignment="0" applyProtection="0"/>
    <xf numFmtId="174" fontId="62" fillId="0" borderId="213"/>
    <xf numFmtId="175" fontId="62" fillId="0" borderId="213"/>
    <xf numFmtId="0" fontId="23" fillId="0" borderId="212" applyNumberFormat="0" applyFill="0" applyAlignment="0" applyProtection="0"/>
    <xf numFmtId="0" fontId="11" fillId="22" borderId="209" applyNumberFormat="0" applyAlignment="0" applyProtection="0"/>
    <xf numFmtId="172" fontId="62" fillId="0" borderId="213"/>
    <xf numFmtId="182" fontId="62" fillId="0" borderId="213"/>
    <xf numFmtId="0" fontId="8" fillId="25" borderId="210" applyNumberFormat="0" applyFont="0" applyAlignment="0" applyProtection="0"/>
    <xf numFmtId="0" fontId="8" fillId="25" borderId="210" applyNumberFormat="0" applyFont="0" applyAlignment="0" applyProtection="0"/>
    <xf numFmtId="173" fontId="62" fillId="0" borderId="213"/>
    <xf numFmtId="0" fontId="23" fillId="0" borderId="212" applyNumberFormat="0" applyFill="0" applyAlignment="0" applyProtection="0"/>
    <xf numFmtId="182" fontId="62" fillId="0" borderId="213"/>
    <xf numFmtId="172" fontId="62" fillId="0" borderId="213"/>
    <xf numFmtId="0" fontId="21" fillId="22" borderId="211" applyNumberFormat="0" applyAlignment="0" applyProtection="0"/>
    <xf numFmtId="174" fontId="62" fillId="0" borderId="213"/>
    <xf numFmtId="0" fontId="21" fillId="22" borderId="211" applyNumberFormat="0" applyAlignment="0" applyProtection="0"/>
    <xf numFmtId="0" fontId="8" fillId="25" borderId="210" applyNumberFormat="0" applyFont="0" applyAlignment="0" applyProtection="0"/>
    <xf numFmtId="0" fontId="21" fillId="22" borderId="211" applyNumberFormat="0" applyAlignment="0" applyProtection="0"/>
    <xf numFmtId="0" fontId="18" fillId="9" borderId="209" applyNumberFormat="0" applyAlignment="0" applyProtection="0"/>
    <xf numFmtId="0" fontId="18" fillId="9" borderId="209" applyNumberFormat="0" applyAlignment="0" applyProtection="0"/>
    <xf numFmtId="180" fontId="62" fillId="0" borderId="213"/>
    <xf numFmtId="173" fontId="62" fillId="0" borderId="213"/>
    <xf numFmtId="175" fontId="62" fillId="0" borderId="213"/>
    <xf numFmtId="0" fontId="18" fillId="9" borderId="209" applyNumberFormat="0" applyAlignment="0" applyProtection="0"/>
    <xf numFmtId="174" fontId="62" fillId="0" borderId="213"/>
    <xf numFmtId="0" fontId="21" fillId="22" borderId="211" applyNumberFormat="0" applyAlignment="0" applyProtection="0"/>
    <xf numFmtId="0" fontId="65" fillId="50" borderId="214">
      <protection locked="0"/>
    </xf>
    <xf numFmtId="0" fontId="11" fillId="22" borderId="209" applyNumberFormat="0" applyAlignment="0" applyProtection="0"/>
    <xf numFmtId="180" fontId="62" fillId="0" borderId="213"/>
    <xf numFmtId="0" fontId="23" fillId="0" borderId="212" applyNumberFormat="0" applyFill="0" applyAlignment="0" applyProtection="0"/>
    <xf numFmtId="175" fontId="62" fillId="0" borderId="213"/>
    <xf numFmtId="176" fontId="62" fillId="0" borderId="213"/>
    <xf numFmtId="0" fontId="11" fillId="22" borderId="209" applyNumberFormat="0" applyAlignment="0" applyProtection="0"/>
    <xf numFmtId="173" fontId="62" fillId="0" borderId="213"/>
    <xf numFmtId="0" fontId="8" fillId="25" borderId="210" applyNumberFormat="0" applyFont="0" applyAlignment="0" applyProtection="0"/>
    <xf numFmtId="0" fontId="8" fillId="25" borderId="210" applyNumberFormat="0" applyFont="0" applyAlignment="0" applyProtection="0"/>
    <xf numFmtId="172" fontId="62" fillId="0" borderId="213"/>
    <xf numFmtId="0" fontId="23" fillId="0" borderId="212" applyNumberFormat="0" applyFill="0" applyAlignment="0" applyProtection="0"/>
    <xf numFmtId="180" fontId="62" fillId="0" borderId="213"/>
    <xf numFmtId="182" fontId="62" fillId="0" borderId="213"/>
    <xf numFmtId="172" fontId="62" fillId="0" borderId="213"/>
    <xf numFmtId="0" fontId="23" fillId="0" borderId="212" applyNumberFormat="0" applyFill="0" applyAlignment="0" applyProtection="0"/>
    <xf numFmtId="0" fontId="23" fillId="0" borderId="212" applyNumberFormat="0" applyFill="0" applyAlignment="0" applyProtection="0"/>
    <xf numFmtId="172" fontId="62" fillId="0" borderId="213"/>
    <xf numFmtId="0" fontId="18" fillId="9" borderId="209" applyNumberFormat="0" applyAlignment="0" applyProtection="0"/>
    <xf numFmtId="180" fontId="62" fillId="0" borderId="213"/>
    <xf numFmtId="0" fontId="18" fillId="9" borderId="209" applyNumberFormat="0" applyAlignment="0" applyProtection="0"/>
    <xf numFmtId="0" fontId="21" fillId="22" borderId="211" applyNumberFormat="0" applyAlignment="0" applyProtection="0"/>
    <xf numFmtId="177" fontId="62" fillId="0" borderId="213"/>
    <xf numFmtId="0" fontId="21" fillId="22" borderId="211" applyNumberFormat="0" applyAlignment="0" applyProtection="0"/>
    <xf numFmtId="174" fontId="62" fillId="0" borderId="213"/>
    <xf numFmtId="181" fontId="62" fillId="0" borderId="213"/>
    <xf numFmtId="173" fontId="62" fillId="0" borderId="213"/>
    <xf numFmtId="174" fontId="62" fillId="0" borderId="213"/>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180" fontId="62" fillId="0" borderId="213"/>
    <xf numFmtId="0" fontId="8" fillId="25" borderId="210" applyNumberFormat="0" applyFont="0" applyAlignment="0" applyProtection="0"/>
    <xf numFmtId="172" fontId="62" fillId="0" borderId="213"/>
    <xf numFmtId="180" fontId="62" fillId="0" borderId="213"/>
    <xf numFmtId="175" fontId="62" fillId="0" borderId="213"/>
    <xf numFmtId="0" fontId="8" fillId="25" borderId="210" applyNumberFormat="0" applyFont="0" applyAlignment="0" applyProtection="0"/>
    <xf numFmtId="173" fontId="62" fillId="0" borderId="213"/>
    <xf numFmtId="0" fontId="11" fillId="22" borderId="209" applyNumberFormat="0" applyAlignment="0" applyProtection="0"/>
    <xf numFmtId="0" fontId="23" fillId="0" borderId="212" applyNumberFormat="0" applyFill="0" applyAlignment="0" applyProtection="0"/>
    <xf numFmtId="0" fontId="8" fillId="25" borderId="210" applyNumberFormat="0" applyFont="0" applyAlignment="0" applyProtection="0"/>
    <xf numFmtId="0" fontId="18" fillId="9" borderId="209" applyNumberFormat="0" applyAlignment="0" applyProtection="0"/>
    <xf numFmtId="180" fontId="62" fillId="0" borderId="213"/>
    <xf numFmtId="177" fontId="62" fillId="0" borderId="213"/>
    <xf numFmtId="180" fontId="62" fillId="0" borderId="213"/>
    <xf numFmtId="172" fontId="62" fillId="0" borderId="213"/>
    <xf numFmtId="182" fontId="62" fillId="0" borderId="213"/>
    <xf numFmtId="172" fontId="62" fillId="0" borderId="213"/>
    <xf numFmtId="0" fontId="18" fillId="9" borderId="209" applyNumberFormat="0" applyAlignment="0" applyProtection="0"/>
    <xf numFmtId="0" fontId="18" fillId="9" borderId="209" applyNumberFormat="0" applyAlignment="0" applyProtection="0"/>
    <xf numFmtId="175" fontId="62" fillId="0" borderId="213"/>
    <xf numFmtId="0" fontId="8" fillId="25" borderId="210" applyNumberFormat="0" applyFont="0" applyAlignment="0" applyProtection="0"/>
    <xf numFmtId="182" fontId="62" fillId="0" borderId="213"/>
    <xf numFmtId="175" fontId="62" fillId="0" borderId="213"/>
    <xf numFmtId="0" fontId="21" fillId="22" borderId="211" applyNumberFormat="0" applyAlignment="0" applyProtection="0"/>
    <xf numFmtId="0" fontId="18" fillId="9" borderId="209" applyNumberFormat="0" applyAlignment="0" applyProtection="0"/>
    <xf numFmtId="180" fontId="62" fillId="0" borderId="213"/>
    <xf numFmtId="180" fontId="62" fillId="0" borderId="213"/>
    <xf numFmtId="0" fontId="18" fillId="9" borderId="209" applyNumberFormat="0" applyAlignment="0" applyProtection="0"/>
    <xf numFmtId="181" fontId="62" fillId="0" borderId="213"/>
    <xf numFmtId="0" fontId="8" fillId="25" borderId="210" applyNumberFormat="0" applyFont="0" applyAlignment="0" applyProtection="0"/>
    <xf numFmtId="0" fontId="11" fillId="22" borderId="209" applyNumberFormat="0" applyAlignment="0" applyProtection="0"/>
    <xf numFmtId="175" fontId="62" fillId="0" borderId="213"/>
    <xf numFmtId="176" fontId="62" fillId="0" borderId="213"/>
    <xf numFmtId="172" fontId="62" fillId="0" borderId="213"/>
    <xf numFmtId="0" fontId="8" fillId="25" borderId="210" applyNumberFormat="0" applyFont="0" applyAlignment="0" applyProtection="0"/>
    <xf numFmtId="0" fontId="11" fillId="22" borderId="209" applyNumberFormat="0" applyAlignment="0" applyProtection="0"/>
    <xf numFmtId="177" fontId="62" fillId="0" borderId="213"/>
    <xf numFmtId="174"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6" fontId="62" fillId="0" borderId="213"/>
    <xf numFmtId="180" fontId="62" fillId="0" borderId="213"/>
    <xf numFmtId="172" fontId="62" fillId="0" borderId="213"/>
    <xf numFmtId="172" fontId="62" fillId="0" borderId="213"/>
    <xf numFmtId="0" fontId="23" fillId="0" borderId="212" applyNumberFormat="0" applyFill="0" applyAlignment="0" applyProtection="0"/>
    <xf numFmtId="180" fontId="62" fillId="0" borderId="213"/>
    <xf numFmtId="172" fontId="62" fillId="0" borderId="213"/>
    <xf numFmtId="172" fontId="62" fillId="0" borderId="213"/>
    <xf numFmtId="180" fontId="62" fillId="0" borderId="213"/>
    <xf numFmtId="175" fontId="62" fillId="0" borderId="213"/>
    <xf numFmtId="175" fontId="62" fillId="0" borderId="213"/>
    <xf numFmtId="180" fontId="62" fillId="0" borderId="213"/>
    <xf numFmtId="180" fontId="62" fillId="0" borderId="213"/>
    <xf numFmtId="180" fontId="62" fillId="0" borderId="213"/>
    <xf numFmtId="172" fontId="62" fillId="0" borderId="213"/>
    <xf numFmtId="174" fontId="62" fillId="0" borderId="213"/>
    <xf numFmtId="172" fontId="62" fillId="0" borderId="213"/>
    <xf numFmtId="180" fontId="62" fillId="0" borderId="213"/>
    <xf numFmtId="0" fontId="18" fillId="9" borderId="209" applyNumberFormat="0" applyAlignment="0" applyProtection="0"/>
    <xf numFmtId="180" fontId="62" fillId="0" borderId="213"/>
    <xf numFmtId="180" fontId="62" fillId="0" borderId="213"/>
    <xf numFmtId="0" fontId="23" fillId="0" borderId="212" applyNumberFormat="0" applyFill="0" applyAlignment="0" applyProtection="0"/>
    <xf numFmtId="172" fontId="62" fillId="0" borderId="213"/>
    <xf numFmtId="0" fontId="8" fillId="25" borderId="210" applyNumberFormat="0" applyFont="0" applyAlignment="0" applyProtection="0"/>
    <xf numFmtId="0" fontId="18" fillId="9" borderId="209" applyNumberFormat="0" applyAlignment="0" applyProtection="0"/>
    <xf numFmtId="172" fontId="62" fillId="0" borderId="213"/>
    <xf numFmtId="180" fontId="62" fillId="0" borderId="213"/>
    <xf numFmtId="0" fontId="8" fillId="25" borderId="210" applyNumberFormat="0" applyFont="0" applyAlignment="0" applyProtection="0"/>
    <xf numFmtId="0" fontId="11" fillId="22" borderId="209" applyNumberFormat="0" applyAlignment="0" applyProtection="0"/>
    <xf numFmtId="172"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2" fontId="62" fillId="0" borderId="213"/>
    <xf numFmtId="181" fontId="62" fillId="0" borderId="213"/>
    <xf numFmtId="175" fontId="62" fillId="0" borderId="213"/>
    <xf numFmtId="175" fontId="62" fillId="0" borderId="213"/>
    <xf numFmtId="174" fontId="62" fillId="0" borderId="213"/>
    <xf numFmtId="180" fontId="62" fillId="0" borderId="213"/>
    <xf numFmtId="173" fontId="62" fillId="0" borderId="213"/>
    <xf numFmtId="0" fontId="21" fillId="22" borderId="211" applyNumberFormat="0" applyAlignment="0" applyProtection="0"/>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6" fontId="62" fillId="0" borderId="213"/>
    <xf numFmtId="175" fontId="62" fillId="0" borderId="213"/>
    <xf numFmtId="182" fontId="62" fillId="0" borderId="213"/>
    <xf numFmtId="177" fontId="62" fillId="0" borderId="213"/>
    <xf numFmtId="173"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5" fontId="62" fillId="0" borderId="213"/>
    <xf numFmtId="175" fontId="62" fillId="0" borderId="213"/>
    <xf numFmtId="175" fontId="62" fillId="0" borderId="213"/>
    <xf numFmtId="172" fontId="62" fillId="0" borderId="213"/>
    <xf numFmtId="0" fontId="18" fillId="9" borderId="209" applyNumberFormat="0" applyAlignment="0" applyProtection="0"/>
    <xf numFmtId="175" fontId="62" fillId="0" borderId="213"/>
    <xf numFmtId="172" fontId="62" fillId="0" borderId="213"/>
    <xf numFmtId="180" fontId="62" fillId="0" borderId="213"/>
    <xf numFmtId="174" fontId="62" fillId="0" borderId="213"/>
    <xf numFmtId="174" fontId="62" fillId="0" borderId="213"/>
    <xf numFmtId="172" fontId="62" fillId="0" borderId="213"/>
    <xf numFmtId="174" fontId="62" fillId="0" borderId="213"/>
    <xf numFmtId="175" fontId="62" fillId="0" borderId="213"/>
    <xf numFmtId="177" fontId="62" fillId="0" borderId="213"/>
    <xf numFmtId="172" fontId="62" fillId="0" borderId="213"/>
    <xf numFmtId="0" fontId="11" fillId="22" borderId="209" applyNumberFormat="0" applyAlignment="0" applyProtection="0"/>
    <xf numFmtId="180" fontId="62" fillId="0" borderId="213"/>
    <xf numFmtId="180" fontId="62" fillId="0" borderId="213"/>
    <xf numFmtId="180" fontId="62" fillId="0" borderId="213"/>
    <xf numFmtId="172" fontId="62" fillId="0" borderId="213"/>
    <xf numFmtId="0" fontId="8" fillId="25" borderId="210" applyNumberFormat="0" applyFont="0" applyAlignment="0" applyProtection="0"/>
    <xf numFmtId="172" fontId="62" fillId="0" borderId="213"/>
    <xf numFmtId="181" fontId="62" fillId="0" borderId="213"/>
    <xf numFmtId="175" fontId="62" fillId="0" borderId="213"/>
    <xf numFmtId="176" fontId="62" fillId="0" borderId="213"/>
    <xf numFmtId="0" fontId="18" fillId="9" borderId="209" applyNumberFormat="0" applyAlignment="0" applyProtection="0"/>
    <xf numFmtId="172" fontId="62" fillId="0" borderId="213"/>
    <xf numFmtId="180" fontId="62" fillId="0" borderId="213"/>
    <xf numFmtId="175" fontId="62" fillId="0" borderId="213"/>
    <xf numFmtId="180" fontId="62" fillId="0" borderId="213"/>
    <xf numFmtId="172" fontId="62" fillId="0" borderId="213"/>
    <xf numFmtId="180" fontId="62" fillId="0" borderId="213"/>
    <xf numFmtId="175" fontId="62" fillId="0" borderId="213"/>
    <xf numFmtId="175" fontId="62" fillId="0" borderId="213"/>
    <xf numFmtId="172" fontId="62" fillId="0" borderId="213"/>
    <xf numFmtId="175" fontId="62" fillId="0" borderId="213"/>
    <xf numFmtId="176" fontId="62" fillId="0" borderId="213"/>
    <xf numFmtId="175" fontId="62" fillId="0" borderId="213"/>
    <xf numFmtId="180" fontId="62" fillId="0" borderId="213"/>
    <xf numFmtId="180" fontId="62" fillId="0" borderId="213"/>
    <xf numFmtId="172" fontId="62" fillId="0" borderId="213"/>
    <xf numFmtId="0" fontId="21" fillId="22" borderId="211" applyNumberFormat="0" applyAlignment="0" applyProtection="0"/>
    <xf numFmtId="173"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0" fontId="23" fillId="0" borderId="212" applyNumberFormat="0" applyFill="0" applyAlignment="0" applyProtection="0"/>
    <xf numFmtId="175" fontId="62" fillId="0" borderId="213"/>
    <xf numFmtId="0" fontId="21" fillId="22" borderId="211" applyNumberFormat="0" applyAlignment="0" applyProtection="0"/>
    <xf numFmtId="172" fontId="62" fillId="0" borderId="213"/>
    <xf numFmtId="182" fontId="62" fillId="0" borderId="213"/>
    <xf numFmtId="172" fontId="62" fillId="0" borderId="213"/>
    <xf numFmtId="180" fontId="62" fillId="0" borderId="213"/>
    <xf numFmtId="0" fontId="11" fillId="22" borderId="209" applyNumberFormat="0" applyAlignment="0" applyProtection="0"/>
    <xf numFmtId="175" fontId="62" fillId="0" borderId="213"/>
    <xf numFmtId="181" fontId="62" fillId="0" borderId="213"/>
    <xf numFmtId="175" fontId="62" fillId="0" borderId="213"/>
    <xf numFmtId="172" fontId="62" fillId="0" borderId="213"/>
    <xf numFmtId="175" fontId="62" fillId="0" borderId="213"/>
    <xf numFmtId="173" fontId="62" fillId="0" borderId="213"/>
    <xf numFmtId="180" fontId="62" fillId="0" borderId="213"/>
    <xf numFmtId="177" fontId="62" fillId="0" borderId="213"/>
    <xf numFmtId="175" fontId="62" fillId="0" borderId="213"/>
    <xf numFmtId="173" fontId="62" fillId="0" borderId="213"/>
    <xf numFmtId="172" fontId="62" fillId="0" borderId="213"/>
    <xf numFmtId="181" fontId="62" fillId="0" borderId="213"/>
    <xf numFmtId="182" fontId="62" fillId="0" borderId="213"/>
    <xf numFmtId="180" fontId="62" fillId="0" borderId="213"/>
    <xf numFmtId="180" fontId="62" fillId="0" borderId="213"/>
    <xf numFmtId="180" fontId="62" fillId="0" borderId="213"/>
    <xf numFmtId="172" fontId="62" fillId="0" borderId="213"/>
    <xf numFmtId="180"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2" fontId="62" fillId="0" borderId="213"/>
    <xf numFmtId="172" fontId="62" fillId="0" borderId="213"/>
    <xf numFmtId="175" fontId="62" fillId="0" borderId="213"/>
    <xf numFmtId="180" fontId="62" fillId="0" borderId="213"/>
    <xf numFmtId="172" fontId="62" fillId="0" borderId="213"/>
    <xf numFmtId="0" fontId="8" fillId="25" borderId="210" applyNumberFormat="0" applyFont="0" applyAlignment="0" applyProtection="0"/>
    <xf numFmtId="175" fontId="62" fillId="0" borderId="213"/>
    <xf numFmtId="177" fontId="62" fillId="0" borderId="213"/>
    <xf numFmtId="180" fontId="62" fillId="0" borderId="213"/>
    <xf numFmtId="172" fontId="62" fillId="0" borderId="213"/>
    <xf numFmtId="175"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80" fontId="62" fillId="0" borderId="213"/>
    <xf numFmtId="172" fontId="62" fillId="0" borderId="213"/>
    <xf numFmtId="180" fontId="62" fillId="0" borderId="213"/>
    <xf numFmtId="180" fontId="62" fillId="0" borderId="213"/>
    <xf numFmtId="175" fontId="62" fillId="0" borderId="213"/>
    <xf numFmtId="175" fontId="62" fillId="0" borderId="213"/>
    <xf numFmtId="172" fontId="62" fillId="0" borderId="213"/>
    <xf numFmtId="17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5"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182" fontId="62" fillId="0" borderId="213"/>
    <xf numFmtId="181" fontId="62" fillId="0" borderId="213"/>
    <xf numFmtId="180" fontId="62" fillId="0" borderId="213"/>
    <xf numFmtId="172" fontId="62" fillId="0" borderId="213"/>
    <xf numFmtId="176" fontId="62" fillId="0" borderId="213"/>
    <xf numFmtId="177" fontId="62" fillId="0" borderId="213"/>
    <xf numFmtId="176" fontId="62" fillId="0" borderId="213"/>
    <xf numFmtId="175" fontId="62" fillId="0" borderId="213"/>
    <xf numFmtId="177" fontId="62" fillId="0" borderId="213"/>
    <xf numFmtId="181" fontId="62" fillId="0" borderId="213"/>
    <xf numFmtId="174" fontId="62" fillId="0" borderId="213"/>
    <xf numFmtId="0" fontId="11" fillId="22" borderId="209" applyNumberFormat="0" applyAlignment="0" applyProtection="0"/>
    <xf numFmtId="173" fontId="62" fillId="0" borderId="213"/>
    <xf numFmtId="180" fontId="62" fillId="0" borderId="213"/>
    <xf numFmtId="177" fontId="62" fillId="0" borderId="213"/>
    <xf numFmtId="175" fontId="62" fillId="0" borderId="213"/>
    <xf numFmtId="172" fontId="62" fillId="0" borderId="213"/>
    <xf numFmtId="0" fontId="21" fillId="22" borderId="211" applyNumberFormat="0" applyAlignment="0" applyProtection="0"/>
    <xf numFmtId="0" fontId="23" fillId="0" borderId="212" applyNumberFormat="0" applyFill="0" applyAlignment="0" applyProtection="0"/>
    <xf numFmtId="181" fontId="62" fillId="0" borderId="213"/>
    <xf numFmtId="176" fontId="62" fillId="0" borderId="213"/>
    <xf numFmtId="174" fontId="62" fillId="0" borderId="213"/>
    <xf numFmtId="173" fontId="62" fillId="0" borderId="213"/>
    <xf numFmtId="172" fontId="62" fillId="0" borderId="213"/>
    <xf numFmtId="182"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11" fillId="22" borderId="209" applyNumberFormat="0" applyAlignment="0" applyProtection="0"/>
    <xf numFmtId="0" fontId="11" fillId="22" borderId="209" applyNumberFormat="0" applyAlignment="0" applyProtection="0"/>
    <xf numFmtId="0" fontId="21" fillId="22" borderId="211" applyNumberFormat="0" applyAlignment="0" applyProtection="0"/>
    <xf numFmtId="174"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172"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0" fontId="8" fillId="25" borderId="210" applyNumberFormat="0" applyFont="0" applyAlignment="0" applyProtection="0"/>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2" fontId="62" fillId="0" borderId="213"/>
    <xf numFmtId="180" fontId="62" fillId="0" borderId="213"/>
    <xf numFmtId="0" fontId="11" fillId="22" borderId="209" applyNumberFormat="0" applyAlignment="0" applyProtection="0"/>
    <xf numFmtId="182" fontId="62" fillId="0" borderId="213"/>
    <xf numFmtId="172" fontId="62" fillId="0" borderId="213"/>
    <xf numFmtId="0" fontId="23" fillId="0" borderId="212" applyNumberFormat="0" applyFill="0" applyAlignment="0" applyProtection="0"/>
    <xf numFmtId="180" fontId="62" fillId="0" borderId="213"/>
    <xf numFmtId="0" fontId="11" fillId="22" borderId="209" applyNumberFormat="0" applyAlignment="0" applyProtection="0"/>
    <xf numFmtId="172" fontId="62" fillId="0" borderId="213"/>
    <xf numFmtId="172" fontId="62" fillId="0" borderId="213"/>
    <xf numFmtId="0" fontId="18" fillId="9" borderId="209" applyNumberFormat="0" applyAlignment="0" applyProtection="0"/>
    <xf numFmtId="173" fontId="62" fillId="0" borderId="213"/>
    <xf numFmtId="172" fontId="62" fillId="0" borderId="213"/>
    <xf numFmtId="175" fontId="62" fillId="0" borderId="213"/>
    <xf numFmtId="172" fontId="62" fillId="0" borderId="213"/>
    <xf numFmtId="175" fontId="62" fillId="0" borderId="213"/>
    <xf numFmtId="176" fontId="62" fillId="0" borderId="213"/>
    <xf numFmtId="177" fontId="62" fillId="0" borderId="213"/>
    <xf numFmtId="0" fontId="8" fillId="25" borderId="210" applyNumberFormat="0" applyFont="0" applyAlignment="0" applyProtection="0"/>
    <xf numFmtId="175" fontId="62" fillId="0" borderId="213"/>
    <xf numFmtId="180" fontId="62" fillId="0" borderId="213"/>
    <xf numFmtId="172" fontId="62" fillId="0" borderId="213"/>
    <xf numFmtId="181" fontId="62" fillId="0" borderId="213"/>
    <xf numFmtId="182" fontId="62" fillId="0" borderId="213"/>
    <xf numFmtId="0" fontId="18" fillId="9" borderId="209" applyNumberFormat="0" applyAlignment="0" applyProtection="0"/>
    <xf numFmtId="180" fontId="62" fillId="0" borderId="213"/>
    <xf numFmtId="180" fontId="62" fillId="0" borderId="213"/>
    <xf numFmtId="175" fontId="62" fillId="0" borderId="213"/>
    <xf numFmtId="172" fontId="62" fillId="0" borderId="213"/>
    <xf numFmtId="176" fontId="62" fillId="0" borderId="213"/>
    <xf numFmtId="172" fontId="62" fillId="0" borderId="213"/>
    <xf numFmtId="172" fontId="62" fillId="0" borderId="213"/>
    <xf numFmtId="175" fontId="62" fillId="0" borderId="213"/>
    <xf numFmtId="175" fontId="62" fillId="0" borderId="213"/>
    <xf numFmtId="172" fontId="62" fillId="0" borderId="213"/>
    <xf numFmtId="0" fontId="18" fillId="9" borderId="209" applyNumberForma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8" fillId="25" borderId="210" applyNumberFormat="0" applyFont="0" applyAlignment="0" applyProtection="0"/>
    <xf numFmtId="174" fontId="62" fillId="0" borderId="213"/>
    <xf numFmtId="175" fontId="62" fillId="0" borderId="213"/>
    <xf numFmtId="180" fontId="62" fillId="0" borderId="213"/>
    <xf numFmtId="0" fontId="11" fillId="22" borderId="209" applyNumberFormat="0" applyAlignment="0" applyProtection="0"/>
    <xf numFmtId="174" fontId="62" fillId="0" borderId="213"/>
    <xf numFmtId="173" fontId="62" fillId="0" borderId="213"/>
    <xf numFmtId="0" fontId="21" fillId="22" borderId="211" applyNumberFormat="0" applyAlignment="0" applyProtection="0"/>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4" fontId="62" fillId="0" borderId="213"/>
    <xf numFmtId="176" fontId="62" fillId="0" borderId="213"/>
    <xf numFmtId="177"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1" fontId="62" fillId="0" borderId="213"/>
    <xf numFmtId="175" fontId="62" fillId="0" borderId="213"/>
    <xf numFmtId="180" fontId="62" fillId="0" borderId="213"/>
    <xf numFmtId="175" fontId="62" fillId="0" borderId="213"/>
    <xf numFmtId="177" fontId="62" fillId="0" borderId="213"/>
    <xf numFmtId="173"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175" fontId="62" fillId="0" borderId="213"/>
    <xf numFmtId="180" fontId="62" fillId="0" borderId="213"/>
    <xf numFmtId="175" fontId="62" fillId="0" borderId="213"/>
    <xf numFmtId="172" fontId="62" fillId="0" borderId="213"/>
    <xf numFmtId="180" fontId="62" fillId="0" borderId="213"/>
    <xf numFmtId="175" fontId="62" fillId="0" borderId="213"/>
    <xf numFmtId="180" fontId="62" fillId="0" borderId="213"/>
    <xf numFmtId="172" fontId="62" fillId="0" borderId="213"/>
    <xf numFmtId="172" fontId="62" fillId="0" borderId="213"/>
    <xf numFmtId="180"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7" fontId="62" fillId="0" borderId="213"/>
    <xf numFmtId="0" fontId="11" fillId="22" borderId="209" applyNumberFormat="0" applyAlignment="0" applyProtection="0"/>
    <xf numFmtId="181" fontId="62" fillId="0" borderId="213"/>
    <xf numFmtId="180" fontId="62" fillId="0" borderId="213"/>
    <xf numFmtId="172" fontId="62" fillId="0" borderId="213"/>
    <xf numFmtId="172" fontId="62" fillId="0" borderId="213"/>
    <xf numFmtId="175" fontId="62" fillId="0" borderId="213"/>
    <xf numFmtId="175" fontId="62" fillId="0" borderId="213"/>
    <xf numFmtId="172" fontId="62" fillId="0" borderId="213"/>
    <xf numFmtId="0" fontId="23" fillId="0" borderId="212" applyNumberFormat="0" applyFill="0" applyAlignment="0" applyProtection="0"/>
    <xf numFmtId="175" fontId="62" fillId="0" borderId="213"/>
    <xf numFmtId="0" fontId="18" fillId="9" borderId="209" applyNumberFormat="0" applyAlignment="0" applyProtection="0"/>
    <xf numFmtId="0" fontId="21" fillId="22" borderId="211" applyNumberFormat="0" applyAlignment="0" applyProtection="0"/>
    <xf numFmtId="0" fontId="8" fillId="25" borderId="210" applyNumberFormat="0" applyFont="0" applyAlignment="0" applyProtection="0"/>
    <xf numFmtId="180" fontId="62" fillId="0" borderId="213"/>
    <xf numFmtId="0" fontId="11" fillId="22" borderId="209" applyNumberFormat="0" applyAlignment="0" applyProtection="0"/>
    <xf numFmtId="0" fontId="18" fillId="9" borderId="209" applyNumberFormat="0" applyAlignment="0" applyProtection="0"/>
    <xf numFmtId="175" fontId="62" fillId="0" borderId="213"/>
    <xf numFmtId="172" fontId="62" fillId="0" borderId="213"/>
    <xf numFmtId="180" fontId="62" fillId="0" borderId="213"/>
    <xf numFmtId="175" fontId="62" fillId="0" borderId="213"/>
    <xf numFmtId="172" fontId="62" fillId="0" borderId="213"/>
    <xf numFmtId="172" fontId="62" fillId="0" borderId="213"/>
    <xf numFmtId="175" fontId="62" fillId="0" borderId="213"/>
    <xf numFmtId="180" fontId="62" fillId="0" borderId="213"/>
    <xf numFmtId="172" fontId="62" fillId="0" borderId="213"/>
    <xf numFmtId="180" fontId="62" fillId="0" borderId="213"/>
    <xf numFmtId="0" fontId="11" fillId="22" borderId="209" applyNumberFormat="0" applyAlignment="0" applyProtection="0"/>
    <xf numFmtId="182" fontId="62" fillId="0" borderId="213"/>
    <xf numFmtId="176" fontId="62" fillId="0" borderId="213"/>
    <xf numFmtId="180"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23" fillId="0" borderId="212" applyNumberFormat="0" applyFill="0" applyAlignment="0" applyProtection="0"/>
    <xf numFmtId="180" fontId="62" fillId="0" borderId="213"/>
    <xf numFmtId="180" fontId="62" fillId="0" borderId="213"/>
    <xf numFmtId="175" fontId="62" fillId="0" borderId="213"/>
    <xf numFmtId="174" fontId="62" fillId="0" borderId="213"/>
    <xf numFmtId="0" fontId="8" fillId="25" borderId="210" applyNumberFormat="0" applyFont="0" applyAlignment="0" applyProtection="0"/>
    <xf numFmtId="175"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23" fillId="0" borderId="212" applyNumberFormat="0" applyFill="0" applyAlignment="0" applyProtection="0"/>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1" fillId="22" borderId="211" applyNumberForma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0" fontId="62" fillId="0" borderId="213"/>
    <xf numFmtId="181" fontId="62" fillId="0" borderId="213"/>
    <xf numFmtId="172" fontId="62" fillId="0" borderId="213"/>
    <xf numFmtId="175" fontId="62" fillId="0" borderId="213"/>
    <xf numFmtId="175" fontId="62" fillId="0" borderId="213"/>
    <xf numFmtId="177" fontId="62" fillId="0" borderId="213"/>
    <xf numFmtId="172"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11" fillId="22"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3" fillId="0" borderId="212" applyNumberFormat="0" applyFill="0" applyAlignment="0" applyProtection="0"/>
    <xf numFmtId="0" fontId="21" fillId="22" borderId="211" applyNumberFormat="0" applyAlignment="0" applyProtection="0"/>
    <xf numFmtId="0" fontId="18" fillId="9" borderId="209" applyNumberFormat="0" applyAlignment="0" applyProtection="0"/>
    <xf numFmtId="0" fontId="8" fillId="25" borderId="210" applyNumberFormat="0" applyFont="0" applyAlignment="0" applyProtection="0"/>
    <xf numFmtId="176" fontId="62" fillId="0" borderId="213"/>
    <xf numFmtId="180" fontId="62" fillId="0" borderId="213"/>
    <xf numFmtId="172" fontId="62" fillId="0" borderId="213"/>
    <xf numFmtId="173" fontId="62" fillId="0" borderId="213"/>
    <xf numFmtId="174" fontId="62" fillId="0" borderId="213"/>
    <xf numFmtId="0" fontId="8" fillId="25" borderId="210" applyNumberFormat="0" applyFont="0" applyAlignment="0" applyProtection="0"/>
    <xf numFmtId="175" fontId="62" fillId="0" borderId="213"/>
    <xf numFmtId="176" fontId="62" fillId="0" borderId="213"/>
    <xf numFmtId="177" fontId="62" fillId="0" borderId="213"/>
    <xf numFmtId="176" fontId="62" fillId="0" borderId="213"/>
    <xf numFmtId="180" fontId="62" fillId="0" borderId="213"/>
    <xf numFmtId="181" fontId="62" fillId="0" borderId="213"/>
    <xf numFmtId="182" fontId="62" fillId="0" borderId="213"/>
    <xf numFmtId="175" fontId="62" fillId="0" borderId="213"/>
    <xf numFmtId="172" fontId="62" fillId="0" borderId="213"/>
    <xf numFmtId="0" fontId="11" fillId="22" borderId="209" applyNumberFormat="0" applyAlignment="0" applyProtection="0"/>
    <xf numFmtId="0" fontId="8" fillId="25" borderId="210" applyNumberFormat="0" applyFont="0" applyAlignment="0" applyProtection="0"/>
    <xf numFmtId="0" fontId="11" fillId="22" borderId="209" applyNumberFormat="0" applyAlignment="0" applyProtection="0"/>
    <xf numFmtId="182" fontId="62" fillId="0" borderId="213"/>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74" fontId="62" fillId="0" borderId="213"/>
    <xf numFmtId="0" fontId="18" fillId="9"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3" fontId="62" fillId="0" borderId="213"/>
    <xf numFmtId="174" fontId="62" fillId="0" borderId="213"/>
    <xf numFmtId="0" fontId="18" fillId="9" borderId="209" applyNumberFormat="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7" fontId="62" fillId="0" borderId="213"/>
    <xf numFmtId="172" fontId="62" fillId="0" borderId="213"/>
    <xf numFmtId="173" fontId="62" fillId="0" borderId="213"/>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172" fontId="62" fillId="0" borderId="213"/>
    <xf numFmtId="180" fontId="62" fillId="0" borderId="213"/>
    <xf numFmtId="175" fontId="62" fillId="0" borderId="213"/>
    <xf numFmtId="175" fontId="62" fillId="0" borderId="213"/>
    <xf numFmtId="180" fontId="62" fillId="0" borderId="213"/>
    <xf numFmtId="172"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172" fontId="62" fillId="0" borderId="213"/>
    <xf numFmtId="182" fontId="62" fillId="0" borderId="213"/>
    <xf numFmtId="175" fontId="62" fillId="0" borderId="213"/>
    <xf numFmtId="177" fontId="62" fillId="0" borderId="213"/>
    <xf numFmtId="174" fontId="62" fillId="0" borderId="213"/>
    <xf numFmtId="173" fontId="62" fillId="0" borderId="213"/>
    <xf numFmtId="180"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180" fontId="62" fillId="0" borderId="213"/>
    <xf numFmtId="181"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2" fontId="62" fillId="0" borderId="213"/>
    <xf numFmtId="175" fontId="62" fillId="0" borderId="213"/>
    <xf numFmtId="175" fontId="62" fillId="0" borderId="213"/>
    <xf numFmtId="0" fontId="21" fillId="22" borderId="211" applyNumberFormat="0" applyAlignment="0" applyProtection="0"/>
    <xf numFmtId="180" fontId="62" fillId="0" borderId="213"/>
    <xf numFmtId="175" fontId="62" fillId="0" borderId="213"/>
    <xf numFmtId="0" fontId="21" fillId="22" borderId="211" applyNumberFormat="0" applyAlignment="0" applyProtection="0"/>
    <xf numFmtId="0" fontId="8" fillId="25" borderId="210" applyNumberFormat="0" applyFont="0" applyAlignment="0" applyProtection="0"/>
    <xf numFmtId="172" fontId="62" fillId="0" borderId="213"/>
    <xf numFmtId="0" fontId="8" fillId="25" borderId="210" applyNumberFormat="0" applyFont="0" applyAlignment="0" applyProtection="0"/>
    <xf numFmtId="174" fontId="62" fillId="0" borderId="213"/>
    <xf numFmtId="0" fontId="23" fillId="0" borderId="212" applyNumberFormat="0" applyFill="0" applyAlignment="0" applyProtection="0"/>
    <xf numFmtId="176" fontId="62" fillId="0" borderId="213"/>
    <xf numFmtId="175" fontId="62" fillId="0" borderId="213"/>
    <xf numFmtId="0" fontId="23" fillId="0" borderId="212" applyNumberFormat="0" applyFill="0" applyAlignment="0" applyProtection="0"/>
    <xf numFmtId="182" fontId="62" fillId="0" borderId="213"/>
    <xf numFmtId="175" fontId="62" fillId="0" borderId="213"/>
    <xf numFmtId="175" fontId="62" fillId="0" borderId="213"/>
    <xf numFmtId="0" fontId="18" fillId="9" borderId="209" applyNumberFormat="0" applyAlignment="0" applyProtection="0"/>
    <xf numFmtId="0" fontId="21" fillId="22" borderId="211" applyNumberFormat="0" applyAlignment="0" applyProtection="0"/>
    <xf numFmtId="172" fontId="62" fillId="0" borderId="213"/>
    <xf numFmtId="0" fontId="8" fillId="25" borderId="210" applyNumberFormat="0" applyFont="0" applyAlignment="0" applyProtection="0"/>
    <xf numFmtId="173" fontId="62" fillId="0" borderId="213"/>
    <xf numFmtId="177"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172" fontId="62" fillId="0" borderId="213"/>
    <xf numFmtId="180" fontId="62" fillId="0" borderId="213"/>
    <xf numFmtId="0" fontId="18" fillId="9" borderId="209" applyNumberFormat="0" applyAlignment="0" applyProtection="0"/>
    <xf numFmtId="172" fontId="62" fillId="0" borderId="213"/>
    <xf numFmtId="0" fontId="21" fillId="22" borderId="211" applyNumberFormat="0" applyAlignment="0" applyProtection="0"/>
    <xf numFmtId="180" fontId="62" fillId="0" borderId="213"/>
    <xf numFmtId="172" fontId="62" fillId="0" borderId="213"/>
    <xf numFmtId="180" fontId="62" fillId="0" borderId="213"/>
    <xf numFmtId="175" fontId="62" fillId="0" borderId="213"/>
    <xf numFmtId="173" fontId="62" fillId="0" borderId="213"/>
    <xf numFmtId="172" fontId="62" fillId="0" borderId="213"/>
    <xf numFmtId="175" fontId="62" fillId="0" borderId="213"/>
    <xf numFmtId="174" fontId="62" fillId="0" borderId="213"/>
    <xf numFmtId="181" fontId="62" fillId="0" borderId="213"/>
    <xf numFmtId="180" fontId="62" fillId="0" borderId="213"/>
    <xf numFmtId="175" fontId="62" fillId="0" borderId="213"/>
    <xf numFmtId="172" fontId="62" fillId="0" borderId="213"/>
    <xf numFmtId="180" fontId="62" fillId="0" borderId="213"/>
    <xf numFmtId="175" fontId="62" fillId="0" borderId="213"/>
    <xf numFmtId="172" fontId="62" fillId="0" borderId="213"/>
    <xf numFmtId="180" fontId="62" fillId="0" borderId="213"/>
    <xf numFmtId="180" fontId="62" fillId="0" borderId="213"/>
    <xf numFmtId="181" fontId="62" fillId="0" borderId="213"/>
    <xf numFmtId="177" fontId="62" fillId="0" borderId="213"/>
    <xf numFmtId="172" fontId="62" fillId="0" borderId="213"/>
    <xf numFmtId="0" fontId="23" fillId="0" borderId="212" applyNumberFormat="0" applyFill="0" applyAlignment="0" applyProtection="0"/>
    <xf numFmtId="0" fontId="11" fillId="22" borderId="209" applyNumberFormat="0" applyAlignment="0" applyProtection="0"/>
    <xf numFmtId="172" fontId="62" fillId="0" borderId="213"/>
    <xf numFmtId="174" fontId="62" fillId="0" borderId="213"/>
    <xf numFmtId="172" fontId="62" fillId="0" borderId="213"/>
    <xf numFmtId="175" fontId="62" fillId="0" borderId="213"/>
    <xf numFmtId="180" fontId="62" fillId="0" borderId="213"/>
    <xf numFmtId="172" fontId="62" fillId="0" borderId="213"/>
    <xf numFmtId="0" fontId="18" fillId="9" borderId="209" applyNumberFormat="0" applyAlignment="0" applyProtection="0"/>
    <xf numFmtId="174" fontId="62" fillId="0" borderId="213"/>
    <xf numFmtId="0" fontId="11" fillId="22" borderId="209" applyNumberFormat="0" applyAlignment="0" applyProtection="0"/>
    <xf numFmtId="182" fontId="62" fillId="0" borderId="213"/>
    <xf numFmtId="172" fontId="62" fillId="0" borderId="213"/>
    <xf numFmtId="173" fontId="62" fillId="0" borderId="213"/>
    <xf numFmtId="175" fontId="62" fillId="0" borderId="213"/>
    <xf numFmtId="176" fontId="62" fillId="0" borderId="213"/>
    <xf numFmtId="175" fontId="62" fillId="0" borderId="213"/>
    <xf numFmtId="175" fontId="62" fillId="0" borderId="213"/>
    <xf numFmtId="0" fontId="11" fillId="22" borderId="209" applyNumberFormat="0" applyAlignment="0" applyProtection="0"/>
    <xf numFmtId="172" fontId="62" fillId="0" borderId="213"/>
    <xf numFmtId="175" fontId="62" fillId="0" borderId="213"/>
    <xf numFmtId="182" fontId="62" fillId="0" borderId="213"/>
    <xf numFmtId="172" fontId="62" fillId="0" borderId="213"/>
    <xf numFmtId="175" fontId="62" fillId="0" borderId="213"/>
    <xf numFmtId="177" fontId="62" fillId="0" borderId="213"/>
    <xf numFmtId="173" fontId="62" fillId="0" borderId="213"/>
    <xf numFmtId="181" fontId="62" fillId="0" borderId="213"/>
    <xf numFmtId="182" fontId="62" fillId="0" borderId="213"/>
    <xf numFmtId="180" fontId="62" fillId="0" borderId="213"/>
    <xf numFmtId="0" fontId="8" fillId="25" borderId="210" applyNumberFormat="0" applyFont="0" applyAlignment="0" applyProtection="0"/>
    <xf numFmtId="172" fontId="62" fillId="0" borderId="213"/>
    <xf numFmtId="180" fontId="62" fillId="0" borderId="213"/>
    <xf numFmtId="180" fontId="62" fillId="0" borderId="213"/>
    <xf numFmtId="0" fontId="8" fillId="25" borderId="210" applyNumberFormat="0" applyFont="0" applyAlignment="0" applyProtection="0"/>
    <xf numFmtId="180" fontId="62" fillId="0" borderId="213"/>
    <xf numFmtId="177"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0" fontId="21" fillId="22" borderId="211" applyNumberFormat="0" applyAlignment="0" applyProtection="0"/>
    <xf numFmtId="175" fontId="62" fillId="0" borderId="213"/>
    <xf numFmtId="175" fontId="62" fillId="0" borderId="213"/>
    <xf numFmtId="173" fontId="62" fillId="0" borderId="213"/>
    <xf numFmtId="175" fontId="62" fillId="0" borderId="213"/>
    <xf numFmtId="180" fontId="62" fillId="0" borderId="213"/>
    <xf numFmtId="180" fontId="62" fillId="0" borderId="213"/>
    <xf numFmtId="172" fontId="62" fillId="0" borderId="213"/>
    <xf numFmtId="175" fontId="62" fillId="0" borderId="213"/>
    <xf numFmtId="180" fontId="62" fillId="0" borderId="213"/>
    <xf numFmtId="172" fontId="62" fillId="0" borderId="213"/>
    <xf numFmtId="174" fontId="62" fillId="0" borderId="213"/>
    <xf numFmtId="180" fontId="62" fillId="0" borderId="213"/>
    <xf numFmtId="0" fontId="23" fillId="0" borderId="212" applyNumberFormat="0" applyFill="0" applyAlignment="0" applyProtection="0"/>
    <xf numFmtId="175" fontId="62" fillId="0" borderId="213"/>
    <xf numFmtId="175" fontId="62" fillId="0" borderId="213"/>
    <xf numFmtId="180" fontId="62" fillId="0" borderId="213"/>
    <xf numFmtId="172" fontId="62" fillId="0" borderId="213"/>
    <xf numFmtId="0" fontId="18" fillId="9" borderId="209" applyNumberFormat="0" applyAlignment="0" applyProtection="0"/>
    <xf numFmtId="177" fontId="62" fillId="0" borderId="213"/>
    <xf numFmtId="176" fontId="62" fillId="0" borderId="213"/>
    <xf numFmtId="181" fontId="62" fillId="0" borderId="213"/>
    <xf numFmtId="176" fontId="62" fillId="0" borderId="213"/>
    <xf numFmtId="181" fontId="62" fillId="0" borderId="213"/>
    <xf numFmtId="173" fontId="62" fillId="0" borderId="213"/>
    <xf numFmtId="181" fontId="62" fillId="0" borderId="213"/>
    <xf numFmtId="182" fontId="62" fillId="0" borderId="213"/>
    <xf numFmtId="175" fontId="62" fillId="0" borderId="213"/>
    <xf numFmtId="182" fontId="62" fillId="0" borderId="213"/>
    <xf numFmtId="177" fontId="62" fillId="0" borderId="213"/>
    <xf numFmtId="0" fontId="11" fillId="22" borderId="209" applyNumberFormat="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0" fontId="62" fillId="0" borderId="213"/>
    <xf numFmtId="172" fontId="62" fillId="0" borderId="213"/>
    <xf numFmtId="175" fontId="62" fillId="0" borderId="213"/>
    <xf numFmtId="180" fontId="62" fillId="0" borderId="213"/>
    <xf numFmtId="180" fontId="62" fillId="0" borderId="213"/>
    <xf numFmtId="180" fontId="62" fillId="0" borderId="213"/>
    <xf numFmtId="175" fontId="62" fillId="0" borderId="213"/>
    <xf numFmtId="180" fontId="62" fillId="0" borderId="213"/>
    <xf numFmtId="180" fontId="62" fillId="0" borderId="213"/>
    <xf numFmtId="175" fontId="62" fillId="0" borderId="213"/>
    <xf numFmtId="175" fontId="62" fillId="0" borderId="213"/>
    <xf numFmtId="0" fontId="21" fillId="22" borderId="211" applyNumberFormat="0" applyAlignment="0" applyProtection="0"/>
    <xf numFmtId="175" fontId="62" fillId="0" borderId="213"/>
    <xf numFmtId="0" fontId="23" fillId="0" borderId="212" applyNumberFormat="0" applyFill="0" applyAlignment="0" applyProtection="0"/>
    <xf numFmtId="172" fontId="62" fillId="0" borderId="213"/>
    <xf numFmtId="172" fontId="62" fillId="0" borderId="213"/>
    <xf numFmtId="175" fontId="62" fillId="0" borderId="213"/>
    <xf numFmtId="176" fontId="62" fillId="0" borderId="213"/>
    <xf numFmtId="0" fontId="18" fillId="9" borderId="209" applyNumberFormat="0" applyAlignment="0" applyProtection="0"/>
    <xf numFmtId="172" fontId="62" fillId="0" borderId="213"/>
    <xf numFmtId="0" fontId="21" fillId="22" borderId="211" applyNumberFormat="0" applyAlignment="0" applyProtection="0"/>
    <xf numFmtId="174" fontId="62" fillId="0" borderId="213"/>
    <xf numFmtId="172" fontId="62" fillId="0" borderId="213"/>
    <xf numFmtId="0" fontId="18" fillId="9" borderId="209" applyNumberFormat="0" applyAlignment="0" applyProtection="0"/>
    <xf numFmtId="177" fontId="62" fillId="0" borderId="213"/>
    <xf numFmtId="0" fontId="11" fillId="22" borderId="209" applyNumberFormat="0" applyAlignment="0" applyProtection="0"/>
    <xf numFmtId="172" fontId="62" fillId="0" borderId="213"/>
    <xf numFmtId="17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6" fontId="62" fillId="0" borderId="213"/>
    <xf numFmtId="180" fontId="62" fillId="0" borderId="213"/>
    <xf numFmtId="172" fontId="62" fillId="0" borderId="213"/>
    <xf numFmtId="172" fontId="62" fillId="0" borderId="213"/>
    <xf numFmtId="0" fontId="23" fillId="0" borderId="212" applyNumberFormat="0" applyFill="0" applyAlignment="0" applyProtection="0"/>
    <xf numFmtId="180" fontId="62" fillId="0" borderId="213"/>
    <xf numFmtId="172" fontId="62" fillId="0" borderId="213"/>
    <xf numFmtId="172" fontId="62" fillId="0" borderId="213"/>
    <xf numFmtId="180" fontId="62" fillId="0" borderId="213"/>
    <xf numFmtId="175" fontId="62" fillId="0" borderId="213"/>
    <xf numFmtId="175" fontId="62" fillId="0" borderId="213"/>
    <xf numFmtId="180" fontId="62" fillId="0" borderId="213"/>
    <xf numFmtId="180" fontId="62" fillId="0" borderId="213"/>
    <xf numFmtId="180" fontId="62" fillId="0" borderId="213"/>
    <xf numFmtId="172" fontId="62" fillId="0" borderId="213"/>
    <xf numFmtId="174" fontId="62" fillId="0" borderId="213"/>
    <xf numFmtId="172" fontId="62" fillId="0" borderId="213"/>
    <xf numFmtId="180" fontId="62" fillId="0" borderId="213"/>
    <xf numFmtId="0" fontId="18" fillId="9" borderId="209" applyNumberFormat="0" applyAlignment="0" applyProtection="0"/>
    <xf numFmtId="180" fontId="62" fillId="0" borderId="213"/>
    <xf numFmtId="180" fontId="62" fillId="0" borderId="213"/>
    <xf numFmtId="0" fontId="23" fillId="0" borderId="212" applyNumberFormat="0" applyFill="0" applyAlignment="0" applyProtection="0"/>
    <xf numFmtId="172" fontId="62" fillId="0" borderId="213"/>
    <xf numFmtId="0" fontId="8" fillId="25" borderId="210" applyNumberFormat="0" applyFont="0" applyAlignment="0" applyProtection="0"/>
    <xf numFmtId="0" fontId="18" fillId="9" borderId="209" applyNumberFormat="0" applyAlignment="0" applyProtection="0"/>
    <xf numFmtId="172" fontId="62" fillId="0" borderId="213"/>
    <xf numFmtId="180" fontId="62" fillId="0" borderId="213"/>
    <xf numFmtId="0" fontId="8" fillId="25" borderId="210" applyNumberFormat="0" applyFont="0" applyAlignment="0" applyProtection="0"/>
    <xf numFmtId="0" fontId="11" fillId="22" borderId="209" applyNumberFormat="0" applyAlignment="0" applyProtection="0"/>
    <xf numFmtId="172" fontId="62" fillId="0" borderId="213"/>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2" fontId="62" fillId="0" borderId="213"/>
    <xf numFmtId="181" fontId="62" fillId="0" borderId="213"/>
    <xf numFmtId="175" fontId="62" fillId="0" borderId="213"/>
    <xf numFmtId="175" fontId="62" fillId="0" borderId="213"/>
    <xf numFmtId="174" fontId="62" fillId="0" borderId="213"/>
    <xf numFmtId="180" fontId="62" fillId="0" borderId="213"/>
    <xf numFmtId="173" fontId="62" fillId="0" borderId="213"/>
    <xf numFmtId="0" fontId="21" fillId="22" borderId="211" applyNumberFormat="0" applyAlignment="0" applyProtection="0"/>
    <xf numFmtId="172" fontId="62" fillId="0" borderId="213"/>
    <xf numFmtId="175" fontId="62" fillId="0" borderId="213"/>
    <xf numFmtId="180" fontId="62" fillId="0" borderId="213"/>
    <xf numFmtId="0" fontId="11" fillId="22" borderId="209" applyNumberFormat="0" applyAlignment="0" applyProtection="0"/>
    <xf numFmtId="175" fontId="62" fillId="0" borderId="213"/>
    <xf numFmtId="176" fontId="62" fillId="0" borderId="213"/>
    <xf numFmtId="175" fontId="62" fillId="0" borderId="213"/>
    <xf numFmtId="182" fontId="62" fillId="0" borderId="213"/>
    <xf numFmtId="177" fontId="62" fillId="0" borderId="213"/>
    <xf numFmtId="173"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5" fontId="62" fillId="0" borderId="213"/>
    <xf numFmtId="175" fontId="62" fillId="0" borderId="213"/>
    <xf numFmtId="175" fontId="62" fillId="0" borderId="213"/>
    <xf numFmtId="172" fontId="62" fillId="0" borderId="213"/>
    <xf numFmtId="0" fontId="18" fillId="9" borderId="209" applyNumberFormat="0" applyAlignment="0" applyProtection="0"/>
    <xf numFmtId="175" fontId="62" fillId="0" borderId="213"/>
    <xf numFmtId="172" fontId="62" fillId="0" borderId="213"/>
    <xf numFmtId="180" fontId="62" fillId="0" borderId="213"/>
    <xf numFmtId="174" fontId="62" fillId="0" borderId="213"/>
    <xf numFmtId="174" fontId="62" fillId="0" borderId="213"/>
    <xf numFmtId="172" fontId="62" fillId="0" borderId="213"/>
    <xf numFmtId="174" fontId="62" fillId="0" borderId="213"/>
    <xf numFmtId="175" fontId="62" fillId="0" borderId="213"/>
    <xf numFmtId="177" fontId="62" fillId="0" borderId="213"/>
    <xf numFmtId="172" fontId="62" fillId="0" borderId="213"/>
    <xf numFmtId="0" fontId="11" fillId="22" borderId="209" applyNumberFormat="0" applyAlignment="0" applyProtection="0"/>
    <xf numFmtId="180" fontId="62" fillId="0" borderId="213"/>
    <xf numFmtId="180" fontId="62" fillId="0" borderId="213"/>
    <xf numFmtId="180" fontId="62" fillId="0" borderId="213"/>
    <xf numFmtId="172" fontId="62" fillId="0" borderId="213"/>
    <xf numFmtId="0" fontId="8" fillId="25" borderId="210" applyNumberFormat="0" applyFont="0" applyAlignment="0" applyProtection="0"/>
    <xf numFmtId="172" fontId="62" fillId="0" borderId="213"/>
    <xf numFmtId="181" fontId="62" fillId="0" borderId="213"/>
    <xf numFmtId="175" fontId="62" fillId="0" borderId="213"/>
    <xf numFmtId="176" fontId="62" fillId="0" borderId="213"/>
    <xf numFmtId="0" fontId="18" fillId="9" borderId="209" applyNumberFormat="0" applyAlignment="0" applyProtection="0"/>
    <xf numFmtId="172" fontId="62" fillId="0" borderId="213"/>
    <xf numFmtId="180" fontId="62" fillId="0" borderId="213"/>
    <xf numFmtId="175" fontId="62" fillId="0" borderId="213"/>
    <xf numFmtId="180" fontId="62" fillId="0" borderId="213"/>
    <xf numFmtId="172" fontId="62" fillId="0" borderId="213"/>
    <xf numFmtId="180" fontId="62" fillId="0" borderId="213"/>
    <xf numFmtId="175" fontId="62" fillId="0" borderId="213"/>
    <xf numFmtId="175" fontId="62" fillId="0" borderId="213"/>
    <xf numFmtId="172" fontId="62" fillId="0" borderId="213"/>
    <xf numFmtId="175" fontId="62" fillId="0" borderId="213"/>
    <xf numFmtId="176" fontId="62" fillId="0" borderId="213"/>
    <xf numFmtId="175" fontId="62" fillId="0" borderId="213"/>
    <xf numFmtId="180" fontId="62" fillId="0" borderId="213"/>
    <xf numFmtId="180" fontId="62" fillId="0" borderId="213"/>
    <xf numFmtId="172" fontId="62" fillId="0" borderId="213"/>
    <xf numFmtId="0" fontId="21" fillId="22" borderId="211" applyNumberFormat="0" applyAlignment="0" applyProtection="0"/>
    <xf numFmtId="173" fontId="62" fillId="0" borderId="213"/>
    <xf numFmtId="0" fontId="23" fillId="0" borderId="212" applyNumberFormat="0" applyFill="0" applyAlignment="0" applyProtection="0"/>
    <xf numFmtId="0" fontId="8" fillId="25" borderId="210" applyNumberFormat="0" applyFont="0" applyAlignment="0" applyProtection="0"/>
    <xf numFmtId="176" fontId="62" fillId="0" borderId="213"/>
    <xf numFmtId="0" fontId="23" fillId="0" borderId="212" applyNumberFormat="0" applyFill="0" applyAlignment="0" applyProtection="0"/>
    <xf numFmtId="175" fontId="62" fillId="0" borderId="213"/>
    <xf numFmtId="0" fontId="21" fillId="22" borderId="211" applyNumberFormat="0" applyAlignment="0" applyProtection="0"/>
    <xf numFmtId="172" fontId="62" fillId="0" borderId="213"/>
    <xf numFmtId="182" fontId="62" fillId="0" borderId="213"/>
    <xf numFmtId="172" fontId="62" fillId="0" borderId="213"/>
    <xf numFmtId="180" fontId="62" fillId="0" borderId="213"/>
    <xf numFmtId="0" fontId="11" fillId="22" borderId="209" applyNumberFormat="0" applyAlignment="0" applyProtection="0"/>
    <xf numFmtId="175" fontId="62" fillId="0" borderId="213"/>
    <xf numFmtId="181" fontId="62" fillId="0" borderId="213"/>
    <xf numFmtId="175" fontId="62" fillId="0" borderId="213"/>
    <xf numFmtId="172" fontId="62" fillId="0" borderId="213"/>
    <xf numFmtId="175" fontId="62" fillId="0" borderId="213"/>
    <xf numFmtId="173" fontId="62" fillId="0" borderId="213"/>
    <xf numFmtId="180" fontId="62" fillId="0" borderId="213"/>
    <xf numFmtId="177" fontId="62" fillId="0" borderId="213"/>
    <xf numFmtId="175" fontId="62" fillId="0" borderId="213"/>
    <xf numFmtId="173" fontId="62" fillId="0" borderId="213"/>
    <xf numFmtId="172" fontId="62" fillId="0" borderId="213"/>
    <xf numFmtId="181" fontId="62" fillId="0" borderId="213"/>
    <xf numFmtId="182" fontId="62" fillId="0" borderId="213"/>
    <xf numFmtId="180" fontId="62" fillId="0" borderId="213"/>
    <xf numFmtId="180" fontId="62" fillId="0" borderId="213"/>
    <xf numFmtId="180" fontId="62" fillId="0" borderId="213"/>
    <xf numFmtId="172" fontId="62" fillId="0" borderId="213"/>
    <xf numFmtId="180" fontId="62" fillId="0" borderId="213"/>
    <xf numFmtId="0" fontId="21" fillId="22" borderId="211" applyNumberFormat="0" applyAlignment="0" applyProtection="0"/>
    <xf numFmtId="0" fontId="23" fillId="0" borderId="212" applyNumberFormat="0" applyFill="0" applyAlignment="0" applyProtection="0"/>
    <xf numFmtId="0" fontId="8" fillId="25" borderId="210" applyNumberFormat="0" applyFont="0" applyAlignment="0" applyProtection="0"/>
    <xf numFmtId="182" fontId="62" fillId="0" borderId="213"/>
    <xf numFmtId="172" fontId="62" fillId="0" borderId="213"/>
    <xf numFmtId="175" fontId="62" fillId="0" borderId="213"/>
    <xf numFmtId="180" fontId="62" fillId="0" borderId="213"/>
    <xf numFmtId="172" fontId="62" fillId="0" borderId="213"/>
    <xf numFmtId="0" fontId="8" fillId="25" borderId="210" applyNumberFormat="0" applyFont="0" applyAlignment="0" applyProtection="0"/>
    <xf numFmtId="175" fontId="62" fillId="0" borderId="213"/>
    <xf numFmtId="177" fontId="62" fillId="0" borderId="213"/>
    <xf numFmtId="180" fontId="62" fillId="0" borderId="213"/>
    <xf numFmtId="172" fontId="62" fillId="0" borderId="213"/>
    <xf numFmtId="175"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180" fontId="62" fillId="0" borderId="213"/>
    <xf numFmtId="172" fontId="62" fillId="0" borderId="213"/>
    <xf numFmtId="180" fontId="62" fillId="0" borderId="213"/>
    <xf numFmtId="180" fontId="62" fillId="0" borderId="213"/>
    <xf numFmtId="175" fontId="62" fillId="0" borderId="213"/>
    <xf numFmtId="175" fontId="62" fillId="0" borderId="213"/>
    <xf numFmtId="172" fontId="62" fillId="0" borderId="213"/>
    <xf numFmtId="17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5"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182" fontId="62" fillId="0" borderId="213"/>
    <xf numFmtId="181" fontId="62" fillId="0" borderId="213"/>
    <xf numFmtId="180" fontId="62" fillId="0" borderId="213"/>
    <xf numFmtId="172" fontId="62" fillId="0" borderId="213"/>
    <xf numFmtId="176" fontId="62" fillId="0" borderId="213"/>
    <xf numFmtId="177" fontId="62" fillId="0" borderId="213"/>
    <xf numFmtId="176" fontId="62" fillId="0" borderId="213"/>
    <xf numFmtId="175" fontId="62" fillId="0" borderId="213"/>
    <xf numFmtId="177" fontId="62" fillId="0" borderId="213"/>
    <xf numFmtId="181" fontId="62" fillId="0" borderId="213"/>
    <xf numFmtId="174" fontId="62" fillId="0" borderId="213"/>
    <xf numFmtId="0" fontId="11" fillId="22" borderId="209" applyNumberFormat="0" applyAlignment="0" applyProtection="0"/>
    <xf numFmtId="173" fontId="62" fillId="0" borderId="213"/>
    <xf numFmtId="180" fontId="62" fillId="0" borderId="213"/>
    <xf numFmtId="177" fontId="62" fillId="0" borderId="213"/>
    <xf numFmtId="175" fontId="62" fillId="0" borderId="213"/>
    <xf numFmtId="172" fontId="62" fillId="0" borderId="213"/>
    <xf numFmtId="0" fontId="21" fillId="22" borderId="211" applyNumberFormat="0" applyAlignment="0" applyProtection="0"/>
    <xf numFmtId="0" fontId="23" fillId="0" borderId="212" applyNumberFormat="0" applyFill="0" applyAlignment="0" applyProtection="0"/>
    <xf numFmtId="181" fontId="62" fillId="0" borderId="213"/>
    <xf numFmtId="176" fontId="62" fillId="0" borderId="213"/>
    <xf numFmtId="174" fontId="62" fillId="0" borderId="213"/>
    <xf numFmtId="173" fontId="62" fillId="0" borderId="213"/>
    <xf numFmtId="172" fontId="62" fillId="0" borderId="213"/>
    <xf numFmtId="182" fontId="62" fillId="0" borderId="213"/>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11" fillId="22" borderId="209" applyNumberFormat="0" applyAlignment="0" applyProtection="0"/>
    <xf numFmtId="0" fontId="11" fillId="22" borderId="209" applyNumberFormat="0" applyAlignment="0" applyProtection="0"/>
    <xf numFmtId="0" fontId="21" fillId="22" borderId="211" applyNumberFormat="0" applyAlignment="0" applyProtection="0"/>
    <xf numFmtId="174"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23" fillId="0" borderId="212" applyNumberFormat="0" applyFill="0" applyAlignment="0" applyProtection="0"/>
    <xf numFmtId="172" fontId="62" fillId="0" borderId="213"/>
    <xf numFmtId="173" fontId="62" fillId="0" borderId="213"/>
    <xf numFmtId="0" fontId="11" fillId="22" borderId="209" applyNumberFormat="0" applyAlignment="0" applyProtection="0"/>
    <xf numFmtId="0" fontId="18" fillId="9"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0" fontId="8" fillId="25" borderId="210" applyNumberFormat="0" applyFont="0" applyAlignment="0" applyProtection="0"/>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5"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75" fontId="62" fillId="0" borderId="213"/>
    <xf numFmtId="172" fontId="62" fillId="0" borderId="213"/>
    <xf numFmtId="180" fontId="62" fillId="0" borderId="213"/>
    <xf numFmtId="0" fontId="11" fillId="22" borderId="209" applyNumberFormat="0" applyAlignment="0" applyProtection="0"/>
    <xf numFmtId="182" fontId="62" fillId="0" borderId="213"/>
    <xf numFmtId="172" fontId="62" fillId="0" borderId="213"/>
    <xf numFmtId="0" fontId="23" fillId="0" borderId="212" applyNumberFormat="0" applyFill="0" applyAlignment="0" applyProtection="0"/>
    <xf numFmtId="180" fontId="62" fillId="0" borderId="213"/>
    <xf numFmtId="0" fontId="11" fillId="22" borderId="209" applyNumberFormat="0" applyAlignment="0" applyProtection="0"/>
    <xf numFmtId="172" fontId="62" fillId="0" borderId="213"/>
    <xf numFmtId="172" fontId="62" fillId="0" borderId="213"/>
    <xf numFmtId="0" fontId="18" fillId="9" borderId="209" applyNumberFormat="0" applyAlignment="0" applyProtection="0"/>
    <xf numFmtId="173" fontId="62" fillId="0" borderId="213"/>
    <xf numFmtId="172" fontId="62" fillId="0" borderId="213"/>
    <xf numFmtId="175" fontId="62" fillId="0" borderId="213"/>
    <xf numFmtId="172" fontId="62" fillId="0" borderId="213"/>
    <xf numFmtId="175" fontId="62" fillId="0" borderId="213"/>
    <xf numFmtId="176" fontId="62" fillId="0" borderId="213"/>
    <xf numFmtId="177" fontId="62" fillId="0" borderId="213"/>
    <xf numFmtId="0" fontId="8" fillId="25" borderId="210" applyNumberFormat="0" applyFont="0" applyAlignment="0" applyProtection="0"/>
    <xf numFmtId="175" fontId="62" fillId="0" borderId="213"/>
    <xf numFmtId="180" fontId="62" fillId="0" borderId="213"/>
    <xf numFmtId="172" fontId="62" fillId="0" borderId="213"/>
    <xf numFmtId="181" fontId="62" fillId="0" borderId="213"/>
    <xf numFmtId="182" fontId="62" fillId="0" borderId="213"/>
    <xf numFmtId="0" fontId="18" fillId="9" borderId="209" applyNumberFormat="0" applyAlignment="0" applyProtection="0"/>
    <xf numFmtId="180" fontId="62" fillId="0" borderId="213"/>
    <xf numFmtId="180" fontId="62" fillId="0" borderId="213"/>
    <xf numFmtId="175" fontId="62" fillId="0" borderId="213"/>
    <xf numFmtId="172" fontId="62" fillId="0" borderId="213"/>
    <xf numFmtId="176" fontId="62" fillId="0" borderId="213"/>
    <xf numFmtId="172" fontId="62" fillId="0" borderId="213"/>
    <xf numFmtId="172" fontId="62" fillId="0" borderId="213"/>
    <xf numFmtId="175" fontId="62" fillId="0" borderId="213"/>
    <xf numFmtId="175" fontId="62" fillId="0" borderId="213"/>
    <xf numFmtId="172" fontId="62" fillId="0" borderId="213"/>
    <xf numFmtId="0" fontId="18" fillId="9" borderId="209" applyNumberForma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8" fillId="25" borderId="210" applyNumberFormat="0" applyFont="0" applyAlignment="0" applyProtection="0"/>
    <xf numFmtId="174" fontId="62" fillId="0" borderId="213"/>
    <xf numFmtId="175" fontId="62" fillId="0" borderId="213"/>
    <xf numFmtId="180" fontId="62" fillId="0" borderId="213"/>
    <xf numFmtId="0" fontId="11" fillId="22" borderId="209" applyNumberFormat="0" applyAlignment="0" applyProtection="0"/>
    <xf numFmtId="174" fontId="62" fillId="0" borderId="213"/>
    <xf numFmtId="173" fontId="62" fillId="0" borderId="213"/>
    <xf numFmtId="0" fontId="21" fillId="22" borderId="211" applyNumberFormat="0" applyAlignment="0" applyProtection="0"/>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174" fontId="62" fillId="0" borderId="213"/>
    <xf numFmtId="176" fontId="62" fillId="0" borderId="213"/>
    <xf numFmtId="177"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80" fontId="62" fillId="0" borderId="213"/>
    <xf numFmtId="181" fontId="62" fillId="0" borderId="213"/>
    <xf numFmtId="175" fontId="62" fillId="0" borderId="213"/>
    <xf numFmtId="180" fontId="62" fillId="0" borderId="213"/>
    <xf numFmtId="175" fontId="62" fillId="0" borderId="213"/>
    <xf numFmtId="177" fontId="62" fillId="0" borderId="213"/>
    <xf numFmtId="173"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80" fontId="62" fillId="0" borderId="213"/>
    <xf numFmtId="175" fontId="62" fillId="0" borderId="213"/>
    <xf numFmtId="180" fontId="62" fillId="0" borderId="213"/>
    <xf numFmtId="175" fontId="62" fillId="0" borderId="213"/>
    <xf numFmtId="172" fontId="62" fillId="0" borderId="213"/>
    <xf numFmtId="180" fontId="62" fillId="0" borderId="213"/>
    <xf numFmtId="175" fontId="62" fillId="0" borderId="213"/>
    <xf numFmtId="180" fontId="62" fillId="0" borderId="213"/>
    <xf numFmtId="172" fontId="62" fillId="0" borderId="213"/>
    <xf numFmtId="172" fontId="62" fillId="0" borderId="213"/>
    <xf numFmtId="180" fontId="62" fillId="0" borderId="213"/>
    <xf numFmtId="176" fontId="62" fillId="0" borderId="213"/>
    <xf numFmtId="175" fontId="62" fillId="0" borderId="213"/>
    <xf numFmtId="174" fontId="62" fillId="0" borderId="213"/>
    <xf numFmtId="173" fontId="62" fillId="0" borderId="213"/>
    <xf numFmtId="172" fontId="62" fillId="0" borderId="213"/>
    <xf numFmtId="0" fontId="23" fillId="0" borderId="212" applyNumberFormat="0" applyFill="0" applyAlignment="0" applyProtection="0"/>
    <xf numFmtId="0" fontId="21" fillId="22" borderId="211" applyNumberFormat="0" applyAlignment="0" applyProtection="0"/>
    <xf numFmtId="0" fontId="8" fillId="25" borderId="210" applyNumberFormat="0" applyFont="0" applyAlignment="0" applyProtection="0"/>
    <xf numFmtId="0" fontId="18" fillId="9" borderId="209" applyNumberFormat="0" applyAlignment="0" applyProtection="0"/>
    <xf numFmtId="177" fontId="62" fillId="0" borderId="213"/>
    <xf numFmtId="0" fontId="11" fillId="22" borderId="209" applyNumberFormat="0" applyAlignment="0" applyProtection="0"/>
    <xf numFmtId="181" fontId="62" fillId="0" borderId="213"/>
    <xf numFmtId="180" fontId="62" fillId="0" borderId="213"/>
    <xf numFmtId="172" fontId="62" fillId="0" borderId="213"/>
    <xf numFmtId="172" fontId="62" fillId="0" borderId="213"/>
    <xf numFmtId="175" fontId="62" fillId="0" borderId="213"/>
    <xf numFmtId="175" fontId="62" fillId="0" borderId="213"/>
    <xf numFmtId="172" fontId="62" fillId="0" borderId="213"/>
    <xf numFmtId="0" fontId="23" fillId="0" borderId="212" applyNumberFormat="0" applyFill="0" applyAlignment="0" applyProtection="0"/>
    <xf numFmtId="175" fontId="62" fillId="0" borderId="213"/>
    <xf numFmtId="0" fontId="18" fillId="9" borderId="209" applyNumberFormat="0" applyAlignment="0" applyProtection="0"/>
    <xf numFmtId="0" fontId="21" fillId="22" borderId="211" applyNumberFormat="0" applyAlignment="0" applyProtection="0"/>
    <xf numFmtId="0" fontId="8" fillId="25" borderId="210" applyNumberFormat="0" applyFont="0" applyAlignment="0" applyProtection="0"/>
    <xf numFmtId="180" fontId="62" fillId="0" borderId="213"/>
    <xf numFmtId="0" fontId="11" fillId="22" borderId="209" applyNumberFormat="0" applyAlignment="0" applyProtection="0"/>
    <xf numFmtId="0" fontId="18" fillId="9" borderId="209" applyNumberFormat="0" applyAlignment="0" applyProtection="0"/>
    <xf numFmtId="175" fontId="62" fillId="0" borderId="213"/>
    <xf numFmtId="172" fontId="62" fillId="0" borderId="213"/>
    <xf numFmtId="180" fontId="62" fillId="0" borderId="213"/>
    <xf numFmtId="175" fontId="62" fillId="0" borderId="213"/>
    <xf numFmtId="172" fontId="62" fillId="0" borderId="213"/>
    <xf numFmtId="173" fontId="62" fillId="0" borderId="213"/>
    <xf numFmtId="172" fontId="62" fillId="0" borderId="213"/>
    <xf numFmtId="175" fontId="62" fillId="0" borderId="213"/>
    <xf numFmtId="180" fontId="62" fillId="0" borderId="213"/>
    <xf numFmtId="172" fontId="62" fillId="0" borderId="213"/>
    <xf numFmtId="180" fontId="62" fillId="0" borderId="213"/>
    <xf numFmtId="0" fontId="11" fillId="22" borderId="209" applyNumberFormat="0" applyAlignment="0" applyProtection="0"/>
    <xf numFmtId="182" fontId="62" fillId="0" borderId="213"/>
    <xf numFmtId="176" fontId="62" fillId="0" borderId="213"/>
    <xf numFmtId="180"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23" fillId="0" borderId="212" applyNumberFormat="0" applyFill="0" applyAlignment="0" applyProtection="0"/>
    <xf numFmtId="180" fontId="62" fillId="0" borderId="213"/>
    <xf numFmtId="180" fontId="62" fillId="0" borderId="213"/>
    <xf numFmtId="175" fontId="62" fillId="0" borderId="213"/>
    <xf numFmtId="174" fontId="62" fillId="0" borderId="213"/>
    <xf numFmtId="0" fontId="8" fillId="25" borderId="210" applyNumberFormat="0" applyFont="0" applyAlignment="0" applyProtection="0"/>
    <xf numFmtId="175"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7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172" fontId="62" fillId="0" borderId="213"/>
    <xf numFmtId="173" fontId="62" fillId="0" borderId="213"/>
    <xf numFmtId="174" fontId="62" fillId="0" borderId="213"/>
    <xf numFmtId="175" fontId="62" fillId="0" borderId="213"/>
    <xf numFmtId="176" fontId="62" fillId="0" borderId="213"/>
    <xf numFmtId="177" fontId="62" fillId="0" borderId="213"/>
    <xf numFmtId="180" fontId="62" fillId="0" borderId="213"/>
    <xf numFmtId="181" fontId="62" fillId="0" borderId="213"/>
    <xf numFmtId="182" fontId="62" fillId="0" borderId="213"/>
    <xf numFmtId="180" fontId="62" fillId="0" borderId="213"/>
    <xf numFmtId="175" fontId="62" fillId="0" borderId="213"/>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11" fillId="22" borderId="209" applyNumberFormat="0" applyAlignment="0" applyProtection="0"/>
    <xf numFmtId="0" fontId="18" fillId="9" borderId="209" applyNumberFormat="0" applyAlignment="0" applyProtection="0"/>
    <xf numFmtId="0" fontId="8" fillId="25" borderId="210" applyNumberFormat="0" applyFont="0" applyAlignment="0" applyProtection="0"/>
    <xf numFmtId="0" fontId="21" fillId="22" borderId="211" applyNumberFormat="0" applyAlignment="0" applyProtection="0"/>
    <xf numFmtId="0" fontId="23" fillId="0" borderId="212" applyNumberFormat="0" applyFill="0" applyAlignment="0" applyProtection="0"/>
    <xf numFmtId="0" fontId="25" fillId="51" borderId="0" applyNumberFormat="0" applyBorder="0" applyAlignment="0" applyProtection="0"/>
    <xf numFmtId="173" fontId="62" fillId="0" borderId="190"/>
    <xf numFmtId="173" fontId="62" fillId="0" borderId="19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7" fillId="0" borderId="184"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1" fillId="22" borderId="211"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21" fillId="22" borderId="211" applyNumberFormat="0" applyAlignment="0" applyProtection="0"/>
    <xf numFmtId="0" fontId="11" fillId="22" borderId="203"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23" fillId="0" borderId="206" applyNumberFormat="0" applyFill="0" applyAlignment="0" applyProtection="0"/>
    <xf numFmtId="0" fontId="11" fillId="22" borderId="203" applyNumberFormat="0" applyAlignment="0" applyProtection="0"/>
    <xf numFmtId="0" fontId="11" fillId="22" borderId="203"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8" fillId="25" borderId="204" applyNumberFormat="0" applyFont="0" applyAlignment="0" applyProtection="0"/>
    <xf numFmtId="0" fontId="18" fillId="9" borderId="203" applyNumberFormat="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21" fillId="22" borderId="211" applyNumberFormat="0" applyAlignment="0" applyProtection="0"/>
    <xf numFmtId="0" fontId="21" fillId="22" borderId="211"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8" fillId="25" borderId="204" applyNumberFormat="0" applyFon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8" fillId="25" borderId="204" applyNumberFormat="0" applyFont="0" applyAlignment="0" applyProtection="0"/>
    <xf numFmtId="0" fontId="21" fillId="22" borderId="211" applyNumberFormat="0" applyAlignment="0" applyProtection="0"/>
    <xf numFmtId="0" fontId="8" fillId="25" borderId="204" applyNumberFormat="0" applyFont="0" applyAlignment="0" applyProtection="0"/>
    <xf numFmtId="0" fontId="11" fillId="22" borderId="203" applyNumberFormat="0" applyAlignment="0" applyProtection="0"/>
    <xf numFmtId="0" fontId="21" fillId="22" borderId="211" applyNumberFormat="0" applyAlignment="0" applyProtection="0"/>
    <xf numFmtId="0" fontId="11" fillId="22"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8" fillId="25" borderId="204" applyNumberFormat="0" applyFont="0" applyAlignment="0" applyProtection="0"/>
    <xf numFmtId="0" fontId="8" fillId="25" borderId="204" applyNumberFormat="0" applyFont="0" applyAlignment="0" applyProtection="0"/>
    <xf numFmtId="0" fontId="21" fillId="22" borderId="211" applyNumberFormat="0" applyAlignment="0" applyProtection="0"/>
    <xf numFmtId="0" fontId="18" fillId="9" borderId="203" applyNumberFormat="0" applyAlignment="0" applyProtection="0"/>
    <xf numFmtId="0" fontId="21" fillId="22" borderId="211" applyNumberFormat="0" applyAlignment="0" applyProtection="0"/>
    <xf numFmtId="0" fontId="23" fillId="0" borderId="206" applyNumberFormat="0" applyFill="0" applyAlignment="0" applyProtection="0"/>
    <xf numFmtId="0" fontId="18" fillId="9" borderId="203" applyNumberFormat="0" applyAlignment="0" applyProtection="0"/>
    <xf numFmtId="0" fontId="18" fillId="9" borderId="203" applyNumberFormat="0" applyAlignment="0" applyProtection="0"/>
    <xf numFmtId="0" fontId="21" fillId="22" borderId="211" applyNumberFormat="0" applyAlignment="0" applyProtection="0"/>
    <xf numFmtId="0" fontId="18" fillId="9" borderId="203" applyNumberFormat="0" applyAlignment="0" applyProtection="0"/>
    <xf numFmtId="0" fontId="18" fillId="9" borderId="203" applyNumberFormat="0" applyAlignment="0" applyProtection="0"/>
    <xf numFmtId="0" fontId="21" fillId="22" borderId="211"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8" fillId="25" borderId="204" applyNumberFormat="0" applyFont="0" applyAlignment="0" applyProtection="0"/>
    <xf numFmtId="0" fontId="18" fillId="9" borderId="203" applyNumberFormat="0" applyAlignment="0" applyProtection="0"/>
    <xf numFmtId="0" fontId="18" fillId="9"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8" fillId="25" borderId="204" applyNumberFormat="0" applyFon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21" fillId="22" borderId="211"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18" fillId="9" borderId="203" applyNumberFormat="0" applyAlignment="0" applyProtection="0"/>
    <xf numFmtId="0" fontId="11" fillId="22" borderId="203" applyNumberFormat="0" applyAlignment="0" applyProtection="0"/>
    <xf numFmtId="0" fontId="23" fillId="0" borderId="206" applyNumberFormat="0" applyFill="0" applyAlignment="0" applyProtection="0"/>
    <xf numFmtId="0" fontId="21" fillId="22" borderId="211"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1" fillId="22" borderId="211" applyNumberFormat="0" applyAlignment="0" applyProtection="0"/>
    <xf numFmtId="0" fontId="18" fillId="9" borderId="203"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3" fillId="0" borderId="206" applyNumberFormat="0" applyFill="0" applyAlignment="0" applyProtection="0"/>
    <xf numFmtId="0" fontId="11" fillId="22" borderId="203" applyNumberFormat="0" applyAlignment="0" applyProtection="0"/>
    <xf numFmtId="0" fontId="21" fillId="22" borderId="211" applyNumberFormat="0" applyAlignment="0" applyProtection="0"/>
    <xf numFmtId="0" fontId="23" fillId="0" borderId="206" applyNumberFormat="0" applyFill="0" applyAlignment="0" applyProtection="0"/>
    <xf numFmtId="0" fontId="21" fillId="22" borderId="211" applyNumberFormat="0" applyAlignment="0" applyProtection="0"/>
    <xf numFmtId="0" fontId="23" fillId="0" borderId="206" applyNumberFormat="0" applyFill="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8" fillId="25" borderId="204" applyNumberFormat="0" applyFont="0" applyAlignment="0" applyProtection="0"/>
    <xf numFmtId="0" fontId="23" fillId="0" borderId="206" applyNumberFormat="0" applyFill="0" applyAlignment="0" applyProtection="0"/>
    <xf numFmtId="0" fontId="11" fillId="22" borderId="203" applyNumberFormat="0" applyAlignment="0" applyProtection="0"/>
    <xf numFmtId="0" fontId="23" fillId="0" borderId="206" applyNumberFormat="0" applyFill="0" applyAlignment="0" applyProtection="0"/>
    <xf numFmtId="0" fontId="8" fillId="25" borderId="204" applyNumberFormat="0" applyFont="0" applyAlignment="0" applyProtection="0"/>
    <xf numFmtId="0" fontId="23" fillId="0" borderId="206" applyNumberFormat="0" applyFill="0" applyAlignment="0" applyProtection="0"/>
    <xf numFmtId="0" fontId="18" fillId="9" borderId="203" applyNumberFormat="0" applyAlignment="0" applyProtection="0"/>
    <xf numFmtId="0" fontId="18" fillId="9" borderId="203" applyNumberFormat="0" applyAlignment="0" applyProtection="0"/>
    <xf numFmtId="0" fontId="21" fillId="22" borderId="211" applyNumberFormat="0" applyAlignment="0" applyProtection="0"/>
    <xf numFmtId="0" fontId="8" fillId="25" borderId="204" applyNumberFormat="0" applyFont="0" applyAlignment="0" applyProtection="0"/>
    <xf numFmtId="0" fontId="18" fillId="9" borderId="203" applyNumberFormat="0" applyAlignment="0" applyProtection="0"/>
    <xf numFmtId="0" fontId="8" fillId="25" borderId="204" applyNumberFormat="0" applyFont="0" applyAlignment="0" applyProtection="0"/>
    <xf numFmtId="0" fontId="11" fillId="22" borderId="203"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8" fillId="25" borderId="204" applyNumberFormat="0" applyFont="0" applyAlignment="0" applyProtection="0"/>
    <xf numFmtId="0" fontId="11" fillId="22" borderId="203" applyNumberFormat="0" applyAlignment="0" applyProtection="0"/>
    <xf numFmtId="0" fontId="21" fillId="22" borderId="211" applyNumberFormat="0" applyAlignment="0" applyProtection="0"/>
    <xf numFmtId="0" fontId="21" fillId="22" borderId="211" applyNumberFormat="0" applyAlignment="0" applyProtection="0"/>
    <xf numFmtId="0" fontId="8" fillId="25" borderId="204" applyNumberFormat="0" applyFont="0" applyAlignment="0" applyProtection="0"/>
    <xf numFmtId="0" fontId="21" fillId="22" borderId="211" applyNumberFormat="0" applyAlignment="0" applyProtection="0"/>
    <xf numFmtId="0" fontId="18" fillId="9" borderId="203" applyNumberFormat="0" applyAlignment="0" applyProtection="0"/>
    <xf numFmtId="0" fontId="8" fillId="25" borderId="204" applyNumberFormat="0" applyFont="0" applyAlignment="0" applyProtection="0"/>
    <xf numFmtId="0" fontId="23" fillId="0" borderId="206" applyNumberFormat="0" applyFill="0" applyAlignment="0" applyProtection="0"/>
    <xf numFmtId="0" fontId="18" fillId="9" borderId="203" applyNumberFormat="0" applyAlignment="0" applyProtection="0"/>
    <xf numFmtId="0" fontId="18" fillId="9" borderId="203" applyNumberFormat="0" applyAlignment="0" applyProtection="0"/>
    <xf numFmtId="0" fontId="21" fillId="22" borderId="211"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23" fillId="0" borderId="206" applyNumberFormat="0" applyFill="0" applyAlignment="0" applyProtection="0"/>
    <xf numFmtId="0" fontId="8" fillId="25" borderId="204" applyNumberFormat="0" applyFont="0" applyAlignment="0" applyProtection="0"/>
    <xf numFmtId="0" fontId="8" fillId="25" borderId="204" applyNumberFormat="0" applyFont="0" applyAlignment="0" applyProtection="0"/>
    <xf numFmtId="0" fontId="23" fillId="0" borderId="206" applyNumberFormat="0" applyFill="0" applyAlignment="0" applyProtection="0"/>
    <xf numFmtId="0" fontId="11" fillId="22" borderId="203" applyNumberFormat="0" applyAlignment="0" applyProtection="0"/>
    <xf numFmtId="0" fontId="21" fillId="22" borderId="211" applyNumberFormat="0" applyAlignment="0" applyProtection="0"/>
    <xf numFmtId="0" fontId="23" fillId="0" borderId="206" applyNumberFormat="0" applyFill="0" applyAlignment="0" applyProtection="0"/>
    <xf numFmtId="0" fontId="21" fillId="22" borderId="211"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18" fillId="9" borderId="203" applyNumberFormat="0" applyAlignment="0" applyProtection="0"/>
    <xf numFmtId="0" fontId="21" fillId="22" borderId="211" applyNumberFormat="0" applyAlignment="0" applyProtection="0"/>
    <xf numFmtId="0" fontId="11" fillId="22" borderId="203" applyNumberFormat="0" applyAlignment="0" applyProtection="0"/>
    <xf numFmtId="0" fontId="8" fillId="25" borderId="204" applyNumberFormat="0" applyFont="0" applyAlignment="0" applyProtection="0"/>
    <xf numFmtId="0" fontId="18" fillId="9" borderId="203" applyNumberFormat="0" applyAlignment="0" applyProtection="0"/>
    <xf numFmtId="0" fontId="21" fillId="22" borderId="211" applyNumberFormat="0" applyAlignment="0" applyProtection="0"/>
    <xf numFmtId="0" fontId="18" fillId="9" borderId="203" applyNumberFormat="0" applyAlignment="0" applyProtection="0"/>
    <xf numFmtId="0" fontId="8" fillId="25" borderId="204" applyNumberFormat="0" applyFont="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21" fillId="22" borderId="211" applyNumberFormat="0" applyAlignment="0" applyProtection="0"/>
    <xf numFmtId="0" fontId="21" fillId="22" borderId="211"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8" fillId="25" borderId="204" applyNumberFormat="0" applyFont="0" applyAlignment="0" applyProtection="0"/>
    <xf numFmtId="0" fontId="11" fillId="22"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8" fillId="9" borderId="203" applyNumberFormat="0" applyAlignment="0" applyProtection="0"/>
    <xf numFmtId="0" fontId="11" fillId="22"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21" fillId="22" borderId="211" applyNumberFormat="0" applyAlignment="0" applyProtection="0"/>
    <xf numFmtId="0" fontId="23" fillId="0" borderId="206" applyNumberFormat="0" applyFill="0" applyAlignment="0" applyProtection="0"/>
    <xf numFmtId="0" fontId="11" fillId="22" borderId="203" applyNumberFormat="0" applyAlignment="0" applyProtection="0"/>
    <xf numFmtId="0" fontId="11" fillId="22" borderId="203" applyNumberFormat="0" applyAlignment="0" applyProtection="0"/>
    <xf numFmtId="0" fontId="18" fillId="9" borderId="203" applyNumberFormat="0" applyAlignment="0" applyProtection="0"/>
    <xf numFmtId="0" fontId="18" fillId="9" borderId="203" applyNumberFormat="0" applyAlignment="0" applyProtection="0"/>
    <xf numFmtId="0" fontId="8" fillId="25" borderId="204" applyNumberFormat="0" applyFont="0" applyAlignment="0" applyProtection="0"/>
    <xf numFmtId="0" fontId="8" fillId="25" borderId="204" applyNumberFormat="0" applyFont="0" applyAlignment="0" applyProtection="0"/>
    <xf numFmtId="0" fontId="21" fillId="22" borderId="211" applyNumberFormat="0" applyAlignment="0" applyProtection="0"/>
    <xf numFmtId="0" fontId="21" fillId="22" borderId="211" applyNumberFormat="0" applyAlignment="0" applyProtection="0"/>
    <xf numFmtId="0" fontId="23" fillId="0" borderId="206" applyNumberFormat="0" applyFill="0" applyAlignment="0" applyProtection="0"/>
    <xf numFmtId="0" fontId="23" fillId="0" borderId="206" applyNumberFormat="0" applyFill="0" applyAlignment="0" applyProtection="0"/>
    <xf numFmtId="0" fontId="8" fillId="25" borderId="20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8" fillId="0" borderId="0"/>
    <xf numFmtId="0" fontId="67" fillId="0" borderId="0"/>
    <xf numFmtId="0" fontId="68" fillId="0" borderId="0"/>
    <xf numFmtId="0" fontId="68" fillId="0" borderId="0"/>
    <xf numFmtId="0" fontId="68" fillId="0" borderId="0"/>
    <xf numFmtId="0" fontId="69" fillId="0" borderId="0"/>
    <xf numFmtId="0" fontId="67" fillId="0" borderId="0"/>
    <xf numFmtId="0" fontId="6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69" fillId="0" borderId="0"/>
    <xf numFmtId="0" fontId="69" fillId="0" borderId="0"/>
    <xf numFmtId="0" fontId="67" fillId="0" borderId="0"/>
    <xf numFmtId="0" fontId="69"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69"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9" fillId="0" borderId="0"/>
    <xf numFmtId="0" fontId="68" fillId="0" borderId="0"/>
    <xf numFmtId="0" fontId="67" fillId="0" borderId="0"/>
    <xf numFmtId="0" fontId="69" fillId="0" borderId="0"/>
    <xf numFmtId="0" fontId="67" fillId="0" borderId="0"/>
    <xf numFmtId="0" fontId="67" fillId="0" borderId="0"/>
    <xf numFmtId="0" fontId="68" fillId="0" borderId="0"/>
    <xf numFmtId="0" fontId="69"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70" fillId="0" borderId="0"/>
    <xf numFmtId="0" fontId="67" fillId="0" borderId="0"/>
    <xf numFmtId="0" fontId="69" fillId="0" borderId="0"/>
    <xf numFmtId="0" fontId="67" fillId="0" borderId="0"/>
    <xf numFmtId="0" fontId="68" fillId="0" borderId="0"/>
    <xf numFmtId="0" fontId="68" fillId="0" borderId="0"/>
    <xf numFmtId="0" fontId="6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7" fillId="0" borderId="0"/>
    <xf numFmtId="0" fontId="68" fillId="0" borderId="0"/>
    <xf numFmtId="0" fontId="68" fillId="0" borderId="0"/>
    <xf numFmtId="0" fontId="67" fillId="0" borderId="0"/>
    <xf numFmtId="0" fontId="67" fillId="0" borderId="0"/>
    <xf numFmtId="0" fontId="69" fillId="0" borderId="0"/>
    <xf numFmtId="0" fontId="68" fillId="0" borderId="0"/>
    <xf numFmtId="0" fontId="67"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7"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7" fillId="0" borderId="0"/>
    <xf numFmtId="0" fontId="69" fillId="0" borderId="0"/>
    <xf numFmtId="0" fontId="69" fillId="0" borderId="0"/>
    <xf numFmtId="0" fontId="69" fillId="0" borderId="0"/>
    <xf numFmtId="0" fontId="1" fillId="0" borderId="0"/>
    <xf numFmtId="0" fontId="43" fillId="0" borderId="0" applyNumberFormat="0" applyFont="0" applyFill="0" applyBorder="0" applyAlignment="0" applyProtection="0"/>
    <xf numFmtId="0" fontId="69" fillId="0" borderId="0"/>
    <xf numFmtId="0" fontId="5" fillId="0" borderId="0"/>
    <xf numFmtId="184" fontId="1" fillId="0" borderId="0" applyNumberFormat="0" applyFont="0" applyAlignment="0" applyProtection="0"/>
    <xf numFmtId="184" fontId="1" fillId="0" borderId="0" applyNumberFormat="0" applyFont="0" applyAlignment="0" applyProtection="0"/>
    <xf numFmtId="0" fontId="71" fillId="0" borderId="230" applyNumberFormat="0" applyAlignment="0" applyProtection="0"/>
    <xf numFmtId="0" fontId="72" fillId="0" borderId="0" applyNumberFormat="0" applyAlignment="0" applyProtection="0"/>
    <xf numFmtId="0" fontId="73" fillId="0" borderId="0" applyNumberFormat="0" applyAlignment="0" applyProtection="0"/>
    <xf numFmtId="0" fontId="72" fillId="0" borderId="231" applyNumberFormat="0" applyAlignment="0" applyProtection="0"/>
    <xf numFmtId="0" fontId="62" fillId="52" borderId="232" applyNumberFormat="0" applyFont="0" applyAlignment="0" applyProtection="0"/>
    <xf numFmtId="0" fontId="62" fillId="9" borderId="232" applyNumberFormat="0" applyFont="0" applyAlignment="0" applyProtection="0"/>
    <xf numFmtId="0" fontId="62" fillId="53" borderId="232" applyNumberFormat="0" applyFont="0" applyAlignment="0" applyProtection="0"/>
    <xf numFmtId="0" fontId="62" fillId="24" borderId="232" applyNumberFormat="0" applyFont="0" applyAlignment="0" applyProtection="0"/>
    <xf numFmtId="0" fontId="62" fillId="52" borderId="232" applyNumberFormat="0" applyFont="0" applyAlignment="0" applyProtection="0"/>
    <xf numFmtId="0" fontId="74" fillId="0" borderId="0" applyNumberFormat="0" applyFill="0" applyBorder="0" applyAlignment="0" applyProtection="0"/>
    <xf numFmtId="0" fontId="62" fillId="6" borderId="232" applyNumberFormat="0" applyFont="0" applyAlignment="0" applyProtection="0"/>
    <xf numFmtId="185" fontId="1" fillId="54" borderId="233" applyNumberFormat="0">
      <alignment vertical="center"/>
    </xf>
    <xf numFmtId="186" fontId="1" fillId="55" borderId="233" applyNumberFormat="0">
      <alignment vertical="center"/>
    </xf>
    <xf numFmtId="1" fontId="1" fillId="56" borderId="233" applyNumberFormat="0">
      <alignment vertical="center"/>
    </xf>
    <xf numFmtId="185" fontId="1" fillId="56" borderId="233" applyNumberFormat="0">
      <alignment vertical="center"/>
    </xf>
    <xf numFmtId="185" fontId="1" fillId="50" borderId="233" applyNumberFormat="0">
      <alignment vertical="center"/>
    </xf>
    <xf numFmtId="3" fontId="1" fillId="0" borderId="233" applyNumberFormat="0">
      <alignment vertical="center"/>
    </xf>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3"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4"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2"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6"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7"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75"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1"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2"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0" fontId="62" fillId="0" borderId="190"/>
    <xf numFmtId="185" fontId="1" fillId="54" borderId="233" applyNumberFormat="0">
      <alignment vertical="center"/>
    </xf>
    <xf numFmtId="0" fontId="1" fillId="54" borderId="233" applyNumberFormat="0">
      <alignment vertical="center"/>
    </xf>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0" fontId="11" fillId="22" borderId="203" applyNumberFormat="0" applyAlignment="0" applyProtection="0"/>
    <xf numFmtId="186" fontId="75" fillId="0" borderId="234" applyNumberFormat="0" applyFill="0" applyProtection="0">
      <alignment vertical="center"/>
    </xf>
    <xf numFmtId="186" fontId="75" fillId="0" borderId="234" applyNumberFormat="0" applyFill="0" applyProtection="0">
      <alignment vertical="center"/>
    </xf>
    <xf numFmtId="186" fontId="75" fillId="0" borderId="234" applyNumberFormat="0" applyFill="0" applyProtection="0">
      <alignment vertical="center"/>
    </xf>
    <xf numFmtId="186" fontId="75" fillId="0" borderId="234" applyNumberFormat="0" applyFill="0" applyProtection="0">
      <alignment vertical="center"/>
    </xf>
    <xf numFmtId="186" fontId="76" fillId="30" borderId="0" applyNumberFormat="0" applyBorder="0" applyAlignment="0" applyProtection="0">
      <alignment horizontal="left" vertical="center" wrapText="1" indent="10"/>
    </xf>
    <xf numFmtId="0" fontId="77" fillId="0" borderId="0"/>
    <xf numFmtId="0" fontId="77" fillId="0" borderId="0"/>
    <xf numFmtId="0" fontId="77" fillId="0" borderId="0"/>
    <xf numFmtId="0" fontId="77" fillId="0" borderId="0"/>
    <xf numFmtId="37" fontId="5" fillId="0" borderId="228" applyFill="0" applyBorder="0">
      <alignment horizontal="center" vertical="top" wrapText="1"/>
    </xf>
    <xf numFmtId="0" fontId="43" fillId="3" borderId="214">
      <alignment horizontal="right" wrapText="1"/>
      <protection hidden="1"/>
    </xf>
    <xf numFmtId="0" fontId="43" fillId="3" borderId="214">
      <alignment horizontal="right" wrapText="1"/>
      <protection hidden="1"/>
    </xf>
    <xf numFmtId="0" fontId="43" fillId="3" borderId="214">
      <alignment horizontal="right" wrapText="1"/>
      <protection hidden="1"/>
    </xf>
    <xf numFmtId="0" fontId="43" fillId="3" borderId="214">
      <alignment horizontal="right" wrapText="1"/>
      <protection hidden="1"/>
    </xf>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187" fontId="42"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187" fontId="25" fillId="0" borderId="0" applyFont="0" applyFill="0" applyBorder="0" applyAlignment="0" applyProtection="0"/>
    <xf numFmtId="43" fontId="25" fillId="0" borderId="0" applyFont="0" applyFill="0" applyBorder="0" applyAlignment="0" applyProtection="0"/>
    <xf numFmtId="187" fontId="25" fillId="0" borderId="0" applyFont="0" applyFill="0" applyBorder="0" applyAlignment="0" applyProtection="0"/>
    <xf numFmtId="187"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25" fillId="0" borderId="0" applyFont="0" applyFill="0" applyBorder="0" applyAlignment="0" applyProtection="0"/>
    <xf numFmtId="43" fontId="8" fillId="0" borderId="0" applyFont="0" applyFill="0" applyBorder="0" applyAlignment="0" applyProtection="0"/>
    <xf numFmtId="187" fontId="25"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7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79"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31" borderId="0">
      <alignment vertical="top" wrapText="1"/>
      <protection locked="0"/>
    </xf>
    <xf numFmtId="0" fontId="1" fillId="31" borderId="0">
      <alignment vertical="top" wrapText="1"/>
      <protection locked="0"/>
    </xf>
    <xf numFmtId="44" fontId="1"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1" fillId="0" borderId="0" applyFont="0" applyFill="0" applyBorder="0" applyAlignment="0" applyProtection="0"/>
    <xf numFmtId="189" fontId="80" fillId="31" borderId="214">
      <alignment vertical="center"/>
    </xf>
    <xf numFmtId="189" fontId="80" fillId="31" borderId="214">
      <alignment vertical="center"/>
    </xf>
    <xf numFmtId="189" fontId="80" fillId="31" borderId="214">
      <alignment vertical="center"/>
    </xf>
    <xf numFmtId="189" fontId="80" fillId="31" borderId="214">
      <alignment vertical="center"/>
    </xf>
    <xf numFmtId="190" fontId="81" fillId="50" borderId="235">
      <alignment horizontal="center"/>
    </xf>
    <xf numFmtId="190" fontId="81" fillId="50" borderId="235">
      <alignment horizontal="center"/>
    </xf>
    <xf numFmtId="190" fontId="81" fillId="50" borderId="235">
      <alignment horizontal="center"/>
    </xf>
    <xf numFmtId="190" fontId="81" fillId="50" borderId="235">
      <alignment horizontal="center"/>
    </xf>
    <xf numFmtId="190" fontId="81" fillId="50" borderId="235">
      <alignment horizontal="center"/>
    </xf>
    <xf numFmtId="190" fontId="81" fillId="50" borderId="235">
      <alignment horizontal="center"/>
    </xf>
    <xf numFmtId="191" fontId="52" fillId="0" borderId="0">
      <alignment horizontal="right"/>
    </xf>
    <xf numFmtId="0" fontId="1" fillId="3" borderId="236">
      <alignment horizontal="left" wrapText="1" indent="1"/>
    </xf>
    <xf numFmtId="0" fontId="1" fillId="0" borderId="0" applyNumberFormat="0"/>
    <xf numFmtId="0" fontId="1" fillId="0" borderId="0" applyNumberFormat="0"/>
    <xf numFmtId="0" fontId="1" fillId="57" borderId="237" applyNumberFormat="0"/>
    <xf numFmtId="0" fontId="1" fillId="57" borderId="237" applyNumberFormat="0"/>
    <xf numFmtId="192" fontId="82" fillId="0" borderId="0" applyFont="0" applyFill="0" applyBorder="0" applyAlignment="0" applyProtection="0"/>
    <xf numFmtId="0" fontId="81" fillId="57" borderId="238" applyNumberFormat="0"/>
    <xf numFmtId="37" fontId="5" fillId="0" borderId="40" applyNumberFormat="0">
      <alignment horizontal="centerContinuous" vertical="top" wrapText="1"/>
    </xf>
    <xf numFmtId="193" fontId="83" fillId="0" borderId="0" applyFill="0" applyBorder="0"/>
    <xf numFmtId="15" fontId="35" fillId="0" borderId="0" applyFill="0" applyBorder="0" applyProtection="0">
      <alignment horizontal="center"/>
    </xf>
    <xf numFmtId="194" fontId="84" fillId="22" borderId="239" applyAlignment="0" applyProtection="0"/>
    <xf numFmtId="194" fontId="84" fillId="22" borderId="239" applyAlignment="0" applyProtection="0"/>
    <xf numFmtId="194" fontId="84" fillId="22" borderId="239" applyAlignment="0" applyProtection="0"/>
    <xf numFmtId="194" fontId="84" fillId="22" borderId="239" applyAlignment="0" applyProtection="0"/>
    <xf numFmtId="195" fontId="85" fillId="0" borderId="0" applyNumberFormat="0" applyFill="0" applyBorder="0" applyAlignment="0" applyProtection="0"/>
    <xf numFmtId="195" fontId="86" fillId="24" borderId="181" applyAlignment="0">
      <protection locked="0"/>
    </xf>
    <xf numFmtId="196" fontId="35" fillId="0" borderId="0" applyFill="0" applyBorder="0" applyAlignment="0" applyProtection="0"/>
    <xf numFmtId="0" fontId="81" fillId="50" borderId="235">
      <alignment horizontal="center"/>
    </xf>
    <xf numFmtId="0" fontId="81" fillId="50" borderId="235">
      <alignment horizontal="center"/>
    </xf>
    <xf numFmtId="0" fontId="81" fillId="50" borderId="235">
      <alignment horizontal="center"/>
    </xf>
    <xf numFmtId="0" fontId="81" fillId="50" borderId="235">
      <alignment horizontal="center"/>
    </xf>
    <xf numFmtId="0" fontId="81" fillId="50" borderId="235">
      <alignment horizontal="center"/>
    </xf>
    <xf numFmtId="0" fontId="81" fillId="50" borderId="235">
      <alignment horizontal="center"/>
    </xf>
    <xf numFmtId="197" fontId="1" fillId="0" borderId="0" applyFont="0" applyFill="0" applyBorder="0" applyAlignment="0" applyProtection="0"/>
    <xf numFmtId="197" fontId="1" fillId="0" borderId="0" applyFont="0" applyFill="0" applyBorder="0" applyAlignment="0" applyProtection="0"/>
    <xf numFmtId="0" fontId="87" fillId="36" borderId="0">
      <alignment horizontal="right" vertical="center" wrapText="1"/>
    </xf>
    <xf numFmtId="189" fontId="80" fillId="0" borderId="240">
      <alignment vertical="center"/>
    </xf>
    <xf numFmtId="189" fontId="80" fillId="0" borderId="240">
      <alignment vertical="center"/>
    </xf>
    <xf numFmtId="189" fontId="80" fillId="0" borderId="240">
      <alignment vertical="center"/>
    </xf>
    <xf numFmtId="189" fontId="80" fillId="0" borderId="240">
      <alignment vertical="center"/>
    </xf>
    <xf numFmtId="189" fontId="88" fillId="0" borderId="240">
      <alignment vertical="center"/>
    </xf>
    <xf numFmtId="189" fontId="88" fillId="0" borderId="240">
      <alignment vertical="center"/>
    </xf>
    <xf numFmtId="189" fontId="88" fillId="0" borderId="240">
      <alignment vertical="center"/>
    </xf>
    <xf numFmtId="189" fontId="88" fillId="0" borderId="240">
      <alignment vertical="center"/>
    </xf>
    <xf numFmtId="189" fontId="89" fillId="0" borderId="240">
      <alignment vertical="center"/>
    </xf>
    <xf numFmtId="189" fontId="89" fillId="0" borderId="240">
      <alignment vertical="center"/>
    </xf>
    <xf numFmtId="189" fontId="89" fillId="0" borderId="240">
      <alignment vertical="center"/>
    </xf>
    <xf numFmtId="189" fontId="89" fillId="0" borderId="240">
      <alignment vertical="center"/>
    </xf>
    <xf numFmtId="37" fontId="27" fillId="50" borderId="12" applyBorder="0" applyAlignment="0"/>
    <xf numFmtId="37" fontId="27" fillId="50" borderId="12" applyBorder="0" applyAlignment="0"/>
    <xf numFmtId="37" fontId="27" fillId="50" borderId="12" applyBorder="0" applyAlignment="0"/>
    <xf numFmtId="0" fontId="90" fillId="50" borderId="241" applyNumberFormat="0">
      <alignment vertical="center"/>
    </xf>
    <xf numFmtId="37" fontId="27" fillId="50" borderId="12" applyBorder="0" applyAlignment="0"/>
    <xf numFmtId="0" fontId="91" fillId="0" borderId="0">
      <alignment horizontal="left" vertical="top"/>
    </xf>
    <xf numFmtId="0" fontId="92" fillId="0" borderId="0">
      <alignment horizontal="left" indent="1"/>
    </xf>
    <xf numFmtId="0" fontId="93" fillId="0" borderId="0">
      <alignment horizontal="left" indent="2"/>
    </xf>
    <xf numFmtId="0" fontId="94" fillId="0" borderId="0">
      <alignment horizontal="left" indent="2"/>
    </xf>
    <xf numFmtId="198" fontId="27" fillId="55" borderId="240" applyNumberFormat="0" applyFont="0" applyAlignment="0"/>
    <xf numFmtId="198" fontId="27" fillId="55" borderId="240" applyNumberFormat="0" applyFont="0" applyAlignment="0"/>
    <xf numFmtId="198" fontId="27" fillId="55" borderId="240" applyNumberFormat="0" applyFont="0" applyAlignment="0"/>
    <xf numFmtId="198" fontId="27" fillId="55" borderId="240" applyNumberFormat="0" applyFont="0" applyAlignment="0"/>
    <xf numFmtId="0" fontId="95" fillId="0" borderId="0">
      <alignment vertical="top" wrapText="1"/>
    </xf>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0" fontId="17" fillId="0" borderId="184" applyNumberFormat="0" applyFill="0" applyAlignment="0" applyProtection="0"/>
    <xf numFmtId="199" fontId="1" fillId="0" borderId="0" applyFont="0" applyFill="0" applyBorder="0" applyAlignment="0"/>
    <xf numFmtId="199" fontId="1" fillId="0" borderId="0" applyFont="0" applyFill="0" applyBorder="0" applyAlignment="0"/>
    <xf numFmtId="0" fontId="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37"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40" fillId="0" borderId="0" applyNumberFormat="0" applyFill="0" applyBorder="0" applyAlignment="0" applyProtection="0"/>
    <xf numFmtId="0" fontId="1" fillId="0" borderId="0">
      <alignment horizontal="left" vertical="top" wrapText="1" indent="2"/>
    </xf>
    <xf numFmtId="0" fontId="1" fillId="0" borderId="0">
      <alignment horizontal="left" vertical="top" wrapText="1" indent="2"/>
    </xf>
    <xf numFmtId="185" fontId="98" fillId="31" borderId="242" applyNumberFormat="0">
      <alignment vertical="center"/>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98" fillId="58" borderId="242" applyNumberFormat="0">
      <alignment vertical="center"/>
      <protection locked="0"/>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98" fillId="58" borderId="242" applyNumberFormat="0">
      <alignment vertical="center"/>
      <protection locked="0"/>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98" fillId="58" borderId="242" applyNumberFormat="0">
      <alignment vertical="center"/>
      <protection locked="0"/>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37" fontId="99" fillId="0" borderId="228" applyNumberFormat="0" applyBorder="0" applyAlignment="0">
      <protection locked="0"/>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98" fillId="58" borderId="242" applyNumberFormat="0">
      <alignment vertical="center"/>
      <protection locked="0"/>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98" fillId="58" borderId="242" applyNumberFormat="0">
      <alignment vertical="center"/>
      <protection locked="0"/>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37" fontId="99" fillId="0" borderId="228" applyNumberFormat="0" applyBorder="0" applyAlignment="0">
      <protection locked="0"/>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37" fontId="99" fillId="0" borderId="228" applyNumberFormat="0" applyBorder="0" applyAlignment="0">
      <protection locked="0"/>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98" fillId="58" borderId="242" applyNumberFormat="0">
      <alignment vertical="center"/>
      <protection locked="0"/>
    </xf>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18" fillId="9" borderId="243" applyNumberFormat="0" applyAlignment="0" applyProtection="0"/>
    <xf numFmtId="0" fontId="98" fillId="31" borderId="242" applyNumberFormat="0">
      <alignment vertical="center"/>
    </xf>
    <xf numFmtId="38" fontId="100" fillId="0" borderId="0"/>
    <xf numFmtId="38" fontId="101" fillId="0" borderId="0"/>
    <xf numFmtId="38" fontId="102" fillId="0" borderId="0"/>
    <xf numFmtId="38" fontId="103" fillId="0" borderId="0"/>
    <xf numFmtId="0" fontId="81" fillId="0" borderId="0"/>
    <xf numFmtId="0" fontId="81" fillId="0" borderId="0"/>
    <xf numFmtId="37" fontId="1" fillId="0" borderId="0" applyBorder="0" applyAlignment="0">
      <alignment horizontal="left"/>
      <protection locked="0"/>
    </xf>
    <xf numFmtId="0" fontId="87" fillId="59" borderId="0">
      <alignment horizontal="right" vertical="center" wrapText="1"/>
    </xf>
    <xf numFmtId="0" fontId="1" fillId="0" borderId="244" applyBorder="0">
      <alignment horizontal="center" vertical="center" wrapText="1"/>
    </xf>
    <xf numFmtId="0" fontId="1" fillId="0" borderId="0"/>
    <xf numFmtId="0" fontId="1" fillId="0" borderId="0"/>
    <xf numFmtId="200" fontId="5" fillId="0" borderId="0" applyFont="0" applyFill="0" applyBorder="0" applyAlignment="0" applyProtection="0"/>
    <xf numFmtId="0" fontId="104" fillId="0" borderId="0" applyFill="0">
      <alignment horizontal="centerContinuous" vertical="center"/>
    </xf>
    <xf numFmtId="0" fontId="98" fillId="54" borderId="245" applyNumberFormat="0">
      <alignment vertical="center"/>
      <protection locked="0"/>
    </xf>
    <xf numFmtId="0" fontId="105" fillId="54" borderId="245" applyFont="0">
      <protection locked="0"/>
    </xf>
    <xf numFmtId="0" fontId="106" fillId="0" borderId="0" applyBorder="0">
      <alignment horizontal="left" vertical="top"/>
    </xf>
    <xf numFmtId="0" fontId="98" fillId="54" borderId="245" applyNumberFormat="0">
      <alignment vertical="center"/>
      <protection locked="0"/>
    </xf>
    <xf numFmtId="0" fontId="80" fillId="0" borderId="0">
      <alignment horizontal="left" wrapText="1"/>
    </xf>
    <xf numFmtId="201" fontId="10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1" fillId="0" borderId="0"/>
    <xf numFmtId="0" fontId="35" fillId="0" borderId="0" applyNumberFormat="0" applyFill="0" applyBorder="0" applyAlignment="0" applyProtection="0"/>
    <xf numFmtId="0" fontId="108" fillId="0" borderId="0"/>
    <xf numFmtId="0" fontId="42" fillId="0" borderId="0"/>
    <xf numFmtId="0" fontId="3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9" fillId="0" borderId="0"/>
    <xf numFmtId="0" fontId="8" fillId="0" borderId="0"/>
    <xf numFmtId="0" fontId="25" fillId="0" borderId="0"/>
    <xf numFmtId="0" fontId="25" fillId="0" borderId="0"/>
    <xf numFmtId="0" fontId="25" fillId="0" borderId="0"/>
    <xf numFmtId="0" fontId="42"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35" fillId="0" borderId="0" applyNumberFormat="0" applyFill="0" applyBorder="0" applyAlignment="0" applyProtection="0"/>
    <xf numFmtId="0" fontId="8" fillId="0" borderId="0"/>
    <xf numFmtId="0" fontId="8"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2" fontId="8" fillId="0" borderId="0"/>
    <xf numFmtId="0" fontId="25" fillId="0" borderId="0"/>
    <xf numFmtId="0" fontId="4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49" fillId="0" borderId="0"/>
    <xf numFmtId="0" fontId="25" fillId="0" borderId="0"/>
    <xf numFmtId="0" fontId="25" fillId="0" borderId="0"/>
    <xf numFmtId="0" fontId="25" fillId="0" borderId="0"/>
    <xf numFmtId="0" fontId="49" fillId="0" borderId="0"/>
    <xf numFmtId="0" fontId="4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9" fillId="0" borderId="0"/>
    <xf numFmtId="0" fontId="49" fillId="0" borderId="0"/>
    <xf numFmtId="0" fontId="4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9" fillId="0" borderId="0"/>
    <xf numFmtId="0" fontId="49" fillId="0" borderId="0"/>
    <xf numFmtId="0" fontId="49" fillId="0" borderId="0"/>
    <xf numFmtId="0" fontId="49" fillId="0" borderId="0"/>
    <xf numFmtId="0" fontId="4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1"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1"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8"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1"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 fillId="25" borderId="246" applyNumberFormat="0" applyFont="0" applyAlignment="0" applyProtection="0"/>
    <xf numFmtId="0" fontId="80" fillId="0" borderId="236">
      <alignment horizontal="left" vertical="center" wrapText="1" indent="1"/>
    </xf>
    <xf numFmtId="49" fontId="33" fillId="0" borderId="0">
      <alignment horizontal="right" vertical="top" indent="1"/>
    </xf>
    <xf numFmtId="0" fontId="110" fillId="0" borderId="0">
      <alignment horizontal="left" vertical="top"/>
    </xf>
    <xf numFmtId="0" fontId="33" fillId="0" borderId="0">
      <alignment vertical="top"/>
    </xf>
    <xf numFmtId="0" fontId="80" fillId="0" borderId="236">
      <alignment horizontal="left" vertical="center" wrapText="1" indent="2"/>
    </xf>
    <xf numFmtId="0" fontId="88" fillId="0" borderId="236">
      <alignment horizontal="left" wrapText="1" indent="2"/>
    </xf>
    <xf numFmtId="0" fontId="88" fillId="0" borderId="236">
      <alignment horizontal="left" wrapText="1" indent="1"/>
    </xf>
    <xf numFmtId="203" fontId="5" fillId="0" borderId="0" applyFont="0" applyFill="0" applyBorder="0" applyProtection="0"/>
    <xf numFmtId="203" fontId="5" fillId="0" borderId="0" applyFont="0" applyFill="0" applyBorder="0" applyProtection="0"/>
    <xf numFmtId="203" fontId="111" fillId="0" borderId="0" applyFont="0" applyFill="0" applyBorder="0" applyProtection="0">
      <alignment vertical="center"/>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0" fontId="43" fillId="0" borderId="247">
      <alignment horizontal="left" vertical="center" wrapText="1" indent="1"/>
    </xf>
    <xf numFmtId="189" fontId="80" fillId="26" borderId="240">
      <alignment vertical="center"/>
    </xf>
    <xf numFmtId="189" fontId="80" fillId="26" borderId="240">
      <alignment vertical="center"/>
    </xf>
    <xf numFmtId="189" fontId="80" fillId="26" borderId="240">
      <alignment vertical="center"/>
    </xf>
    <xf numFmtId="189" fontId="80" fillId="26" borderId="240">
      <alignment vertical="center"/>
    </xf>
    <xf numFmtId="0" fontId="1" fillId="30" borderId="0" applyNumberFormat="0"/>
    <xf numFmtId="0" fontId="1" fillId="30" borderId="0" applyNumberFormat="0"/>
    <xf numFmtId="0" fontId="1" fillId="0" borderId="248" applyBorder="0">
      <alignment horizontal="right" vertical="center" wrapText="1"/>
    </xf>
    <xf numFmtId="0" fontId="1" fillId="0" borderId="248" applyBorder="0">
      <alignment horizontal="right" vertical="center" wrapText="1"/>
    </xf>
    <xf numFmtId="0" fontId="112" fillId="0" borderId="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0" fontId="21" fillId="22" borderId="235" applyNumberFormat="0" applyAlignment="0" applyProtection="0"/>
    <xf numFmtId="40" fontId="113" fillId="2" borderId="0">
      <alignment horizontal="right"/>
    </xf>
    <xf numFmtId="0" fontId="114" fillId="2" borderId="0">
      <alignment horizontal="right"/>
    </xf>
    <xf numFmtId="0" fontId="115" fillId="2" borderId="249"/>
    <xf numFmtId="0" fontId="115" fillId="0" borderId="0" applyBorder="0">
      <alignment horizontal="centerContinuous"/>
    </xf>
    <xf numFmtId="0" fontId="116" fillId="0" borderId="0" applyBorder="0">
      <alignment horizontal="centerContinuous"/>
    </xf>
    <xf numFmtId="204" fontId="66" fillId="0" borderId="0" applyFont="0" applyFill="0" applyBorder="0" applyProtection="0">
      <alignment horizontal="center"/>
      <protection locked="0"/>
    </xf>
    <xf numFmtId="9" fontId="1" fillId="0" borderId="0" applyFont="0" applyFill="0" applyBorder="0" applyAlignment="0" applyProtection="0"/>
    <xf numFmtId="9" fontId="25" fillId="0" borderId="0" applyFont="0" applyFill="0" applyBorder="0" applyAlignment="0" applyProtection="0"/>
    <xf numFmtId="9" fontId="42" fillId="0" borderId="0" applyFont="0" applyFill="0" applyBorder="0" applyAlignment="0" applyProtection="0"/>
    <xf numFmtId="9" fontId="7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0" fontId="1" fillId="0" borderId="0">
      <alignment horizontal="left" vertical="top" wrapText="1"/>
    </xf>
    <xf numFmtId="0" fontId="1" fillId="0" borderId="0">
      <alignment horizontal="left" vertical="top" wrapText="1"/>
    </xf>
    <xf numFmtId="0" fontId="1" fillId="53" borderId="237" applyNumberFormat="0"/>
    <xf numFmtId="0" fontId="1" fillId="53" borderId="237" applyNumberFormat="0"/>
    <xf numFmtId="0" fontId="1" fillId="49" borderId="235" applyNumberFormat="0" applyProtection="0">
      <alignment horizontal="left" vertical="center" indent="1"/>
    </xf>
    <xf numFmtId="0" fontId="1" fillId="49" borderId="235" applyNumberFormat="0" applyProtection="0">
      <alignment horizontal="left" vertical="center" indent="1"/>
    </xf>
    <xf numFmtId="0" fontId="1" fillId="49" borderId="235" applyNumberFormat="0" applyProtection="0">
      <alignment horizontal="left" vertical="center" indent="1"/>
    </xf>
    <xf numFmtId="0" fontId="1" fillId="49" borderId="235" applyNumberFormat="0" applyProtection="0">
      <alignment horizontal="left" vertical="center" indent="1"/>
    </xf>
    <xf numFmtId="0" fontId="1" fillId="49" borderId="235" applyNumberFormat="0" applyProtection="0">
      <alignment horizontal="left" vertical="center" indent="1"/>
    </xf>
    <xf numFmtId="0" fontId="1" fillId="49" borderId="235" applyNumberFormat="0" applyProtection="0">
      <alignment horizontal="left" vertical="center" indent="1"/>
    </xf>
    <xf numFmtId="4" fontId="117" fillId="0" borderId="0" applyNumberFormat="0" applyProtection="0">
      <alignment horizontal="right" vertical="center"/>
    </xf>
    <xf numFmtId="0" fontId="1" fillId="60" borderId="237" applyNumberFormat="0"/>
    <xf numFmtId="0" fontId="1" fillId="60" borderId="237" applyNumberFormat="0"/>
    <xf numFmtId="0" fontId="118" fillId="0" borderId="0">
      <alignment horizontal="left" vertical="center" indent="1"/>
    </xf>
    <xf numFmtId="0" fontId="88" fillId="0" borderId="0">
      <alignment horizontal="left" vertical="center" wrapText="1"/>
    </xf>
    <xf numFmtId="0" fontId="88" fillId="0" borderId="236">
      <alignment horizontal="left" wrapText="1" indent="1"/>
    </xf>
    <xf numFmtId="0" fontId="119" fillId="0" borderId="0">
      <alignment horizontal="left" indent="1"/>
    </xf>
    <xf numFmtId="0" fontId="88" fillId="0" borderId="236">
      <alignment horizontal="left" wrapText="1" indent="1"/>
    </xf>
    <xf numFmtId="0" fontId="88" fillId="0" borderId="236">
      <alignment horizontal="left" wrapText="1" indent="1"/>
    </xf>
    <xf numFmtId="0" fontId="1" fillId="50" borderId="250" applyBorder="0" applyAlignment="0">
      <alignment horizontal="center" vertical="top"/>
    </xf>
    <xf numFmtId="0" fontId="87" fillId="37" borderId="0">
      <alignment horizontal="right" vertical="center" wrapText="1"/>
    </xf>
    <xf numFmtId="186" fontId="120" fillId="0" borderId="0" applyNumberFormat="0" applyFill="0" applyBorder="0" applyAlignment="0" applyProtection="0"/>
    <xf numFmtId="0" fontId="67" fillId="0" borderId="0"/>
    <xf numFmtId="49" fontId="88" fillId="0" borderId="0">
      <alignment horizontal="right" vertical="top"/>
    </xf>
    <xf numFmtId="0" fontId="88" fillId="0" borderId="0">
      <alignment horizontal="left" vertical="top" wrapText="1"/>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65" fillId="50" borderId="214">
      <protection locked="0"/>
    </xf>
    <xf numFmtId="0" fontId="121" fillId="0" borderId="0">
      <alignment wrapText="1"/>
    </xf>
    <xf numFmtId="0" fontId="122" fillId="0" borderId="0">
      <alignment horizontal="center" wrapText="1"/>
    </xf>
    <xf numFmtId="0" fontId="76" fillId="0" borderId="0" applyBorder="0">
      <alignment horizontal="center" wrapText="1"/>
    </xf>
    <xf numFmtId="0" fontId="27" fillId="61" borderId="0">
      <alignment horizontal="right" vertical="top" wrapText="1"/>
    </xf>
    <xf numFmtId="0" fontId="123" fillId="0" borderId="0" applyBorder="0">
      <alignment horizontal="center" wrapText="1"/>
    </xf>
    <xf numFmtId="0" fontId="76" fillId="0" borderId="0">
      <alignment horizontal="center" wrapText="1"/>
    </xf>
    <xf numFmtId="0" fontId="122" fillId="0" borderId="0">
      <alignment horizontal="center" wrapText="1"/>
    </xf>
    <xf numFmtId="0" fontId="122" fillId="0" borderId="0">
      <alignment wrapText="1"/>
    </xf>
    <xf numFmtId="0" fontId="83" fillId="0" borderId="0"/>
    <xf numFmtId="0" fontId="122" fillId="0" borderId="0">
      <alignment wrapText="1"/>
    </xf>
    <xf numFmtId="0" fontId="124" fillId="0" borderId="0">
      <alignment wrapText="1"/>
    </xf>
    <xf numFmtId="186" fontId="75" fillId="0" borderId="0" applyBorder="0">
      <alignment vertical="top" wrapText="1"/>
    </xf>
    <xf numFmtId="186" fontId="120" fillId="0" borderId="0" applyBorder="0">
      <alignment vertical="top" wrapText="1"/>
    </xf>
    <xf numFmtId="0" fontId="7" fillId="0" borderId="0"/>
    <xf numFmtId="205" fontId="5" fillId="0" borderId="0">
      <alignment wrapText="1"/>
      <protection locked="0"/>
    </xf>
    <xf numFmtId="205" fontId="27" fillId="30" borderId="0">
      <alignment wrapText="1"/>
      <protection locked="0"/>
    </xf>
    <xf numFmtId="205" fontId="5" fillId="0" borderId="0">
      <alignment wrapText="1"/>
      <protection locked="0"/>
    </xf>
    <xf numFmtId="206" fontId="5" fillId="0" borderId="0">
      <alignment wrapText="1"/>
      <protection locked="0"/>
    </xf>
    <xf numFmtId="206" fontId="5" fillId="0" borderId="0">
      <alignment wrapText="1"/>
      <protection locked="0"/>
    </xf>
    <xf numFmtId="206" fontId="27" fillId="30" borderId="0">
      <alignment wrapText="1"/>
      <protection locked="0"/>
    </xf>
    <xf numFmtId="206" fontId="27" fillId="30" borderId="0">
      <alignment wrapText="1"/>
      <protection locked="0"/>
    </xf>
    <xf numFmtId="206" fontId="5" fillId="0" borderId="0">
      <alignment wrapText="1"/>
      <protection locked="0"/>
    </xf>
    <xf numFmtId="0" fontId="125" fillId="0" borderId="0" applyBorder="0">
      <alignment vertical="top" wrapText="1"/>
    </xf>
    <xf numFmtId="0" fontId="126" fillId="0" borderId="0" applyBorder="0">
      <alignment vertical="top" wrapText="1"/>
    </xf>
    <xf numFmtId="0" fontId="121" fillId="0" borderId="0" applyBorder="0">
      <alignment vertical="top" wrapText="1"/>
    </xf>
    <xf numFmtId="207" fontId="5" fillId="0" borderId="0">
      <alignment wrapText="1"/>
      <protection locked="0"/>
    </xf>
    <xf numFmtId="186" fontId="75" fillId="0" borderId="0" applyBorder="0">
      <alignment vertical="top" wrapText="1"/>
    </xf>
    <xf numFmtId="186" fontId="76" fillId="30" borderId="0" applyBorder="0">
      <alignment vertical="top" wrapText="1"/>
    </xf>
    <xf numFmtId="186" fontId="127" fillId="0" borderId="0" applyBorder="0">
      <alignment vertical="top" wrapText="1"/>
    </xf>
    <xf numFmtId="186" fontId="120" fillId="0" borderId="0" applyBorder="0">
      <alignment vertical="top" wrapText="1"/>
    </xf>
    <xf numFmtId="208" fontId="75" fillId="0" borderId="0" applyBorder="0">
      <alignment vertical="top" wrapText="1"/>
    </xf>
    <xf numFmtId="208" fontId="122" fillId="30" borderId="0" applyBorder="0">
      <alignment vertical="top" wrapText="1"/>
    </xf>
    <xf numFmtId="186" fontId="127" fillId="0" borderId="0" applyBorder="0">
      <alignment vertical="top" wrapText="1"/>
    </xf>
    <xf numFmtId="209" fontId="27" fillId="61" borderId="251">
      <alignment wrapText="1"/>
    </xf>
    <xf numFmtId="210" fontId="27" fillId="61" borderId="251">
      <alignment wrapText="1"/>
    </xf>
    <xf numFmtId="210" fontId="27" fillId="61" borderId="251">
      <alignment wrapText="1"/>
    </xf>
    <xf numFmtId="210" fontId="27" fillId="61" borderId="251">
      <alignment wrapText="1"/>
    </xf>
    <xf numFmtId="0" fontId="122" fillId="0" borderId="40">
      <alignment horizontal="right" wrapText="1"/>
    </xf>
    <xf numFmtId="0" fontId="83" fillId="0" borderId="252">
      <alignment horizontal="right"/>
    </xf>
    <xf numFmtId="0" fontId="122" fillId="0" borderId="40">
      <alignment horizontal="right" wrapText="1"/>
    </xf>
    <xf numFmtId="0" fontId="51" fillId="0" borderId="0">
      <alignment horizontal="left"/>
    </xf>
    <xf numFmtId="0" fontId="52" fillId="0" borderId="0">
      <alignment horizontal="left"/>
    </xf>
    <xf numFmtId="0" fontId="52" fillId="0" borderId="0">
      <alignment horizontal="left" indent="1"/>
    </xf>
    <xf numFmtId="0" fontId="52" fillId="0" borderId="0">
      <alignment horizontal="left" indent="2"/>
    </xf>
    <xf numFmtId="0" fontId="80" fillId="31" borderId="181">
      <alignment horizontal="left" vertical="center" wrapText="1"/>
      <protection locked="0"/>
    </xf>
    <xf numFmtId="203" fontId="5" fillId="0" borderId="0" applyFont="0" applyFill="0" applyBorder="0" applyAlignment="0" applyProtection="0"/>
    <xf numFmtId="185" fontId="128" fillId="61" borderId="0" applyNumberFormat="0">
      <alignment vertical="center"/>
    </xf>
    <xf numFmtId="49" fontId="43" fillId="55" borderId="253">
      <alignment horizontal="center" vertical="center" wrapText="1"/>
    </xf>
    <xf numFmtId="185" fontId="129" fillId="54" borderId="0">
      <alignment vertical="center"/>
    </xf>
    <xf numFmtId="185" fontId="129" fillId="54" borderId="0">
      <alignment vertical="center"/>
    </xf>
    <xf numFmtId="185" fontId="129" fillId="54" borderId="0">
      <alignment vertical="center"/>
    </xf>
    <xf numFmtId="49" fontId="43" fillId="55" borderId="253">
      <alignment horizontal="center" vertical="center" wrapText="1"/>
    </xf>
    <xf numFmtId="185" fontId="129" fillId="54" borderId="0">
      <alignment vertical="center"/>
    </xf>
    <xf numFmtId="185" fontId="129" fillId="54" borderId="0">
      <alignment vertical="center"/>
    </xf>
    <xf numFmtId="49" fontId="43" fillId="55" borderId="253">
      <alignment horizontal="center" vertical="center" wrapText="1"/>
    </xf>
    <xf numFmtId="49" fontId="43" fillId="55" borderId="253">
      <alignment horizontal="center" vertical="center" wrapText="1"/>
    </xf>
    <xf numFmtId="185" fontId="129" fillId="54" borderId="0">
      <alignment vertical="center"/>
    </xf>
    <xf numFmtId="185" fontId="130" fillId="0" borderId="0"/>
    <xf numFmtId="185" fontId="88" fillId="0" borderId="0"/>
    <xf numFmtId="49" fontId="43" fillId="55" borderId="253">
      <alignment horizontal="center" vertical="center" wrapText="1"/>
    </xf>
    <xf numFmtId="49" fontId="43" fillId="55" borderId="253">
      <alignment horizontal="center" vertical="center" wrapText="1"/>
    </xf>
    <xf numFmtId="0" fontId="1" fillId="0" borderId="244" applyBorder="0">
      <alignment horizontal="center" vertical="top" wrapText="1"/>
    </xf>
    <xf numFmtId="184" fontId="1" fillId="0" borderId="254" applyNumberFormat="0" applyFont="0" applyFill="0" applyAlignment="0"/>
    <xf numFmtId="184" fontId="1" fillId="0" borderId="254" applyNumberFormat="0" applyFont="0" applyFill="0" applyAlignment="0"/>
    <xf numFmtId="184" fontId="1" fillId="0" borderId="254" applyNumberFormat="0" applyFont="0" applyFill="0" applyAlignment="0"/>
    <xf numFmtId="184" fontId="1" fillId="0" borderId="254" applyNumberFormat="0" applyFont="0" applyFill="0" applyAlignment="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23" fillId="0" borderId="255" applyNumberFormat="0" applyFill="0" applyAlignment="0" applyProtection="0"/>
    <xf numFmtId="0" fontId="131" fillId="0" borderId="240">
      <alignment vertical="center" wrapText="1"/>
    </xf>
    <xf numFmtId="0" fontId="131" fillId="0" borderId="240">
      <alignment vertical="center" wrapText="1"/>
    </xf>
    <xf numFmtId="0" fontId="131" fillId="0" borderId="240">
      <alignment vertical="center" wrapText="1"/>
    </xf>
    <xf numFmtId="0" fontId="131" fillId="0" borderId="240">
      <alignment vertical="center" wrapText="1"/>
    </xf>
    <xf numFmtId="211" fontId="43" fillId="0" borderId="28" applyFill="0" applyBorder="0">
      <alignment vertical="top"/>
    </xf>
    <xf numFmtId="41" fontId="1" fillId="0" borderId="0" applyFont="0" applyFill="0" applyBorder="0" applyAlignment="0" applyProtection="0"/>
    <xf numFmtId="41" fontId="1" fillId="0" borderId="0" applyFont="0" applyFill="0" applyBorder="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xf numFmtId="0" fontId="11" fillId="22" borderId="243" applyNumberFormat="0" applyAlignment="0" applyProtection="0"/>
  </cellStyleXfs>
  <cellXfs count="862">
    <xf numFmtId="0" fontId="0" fillId="0" borderId="0" xfId="0"/>
    <xf numFmtId="0" fontId="1" fillId="0" borderId="0" xfId="1"/>
    <xf numFmtId="0" fontId="26" fillId="0" borderId="0" xfId="0" applyFont="1"/>
    <xf numFmtId="0" fontId="0" fillId="0" borderId="0" xfId="0" applyBorder="1"/>
    <xf numFmtId="164" fontId="4" fillId="2" borderId="0" xfId="1" applyNumberFormat="1" applyFont="1" applyFill="1"/>
    <xf numFmtId="164" fontId="5" fillId="2" borderId="0" xfId="1" applyNumberFormat="1" applyFont="1" applyFill="1"/>
    <xf numFmtId="164" fontId="27" fillId="2" borderId="33" xfId="1" applyNumberFormat="1" applyFont="1" applyFill="1" applyBorder="1"/>
    <xf numFmtId="164" fontId="5" fillId="26" borderId="2" xfId="1" applyNumberFormat="1" applyFont="1" applyFill="1" applyBorder="1" applyAlignment="1">
      <alignment horizontal="center"/>
    </xf>
    <xf numFmtId="164" fontId="5" fillId="26" borderId="3" xfId="1" applyNumberFormat="1" applyFont="1" applyFill="1" applyBorder="1" applyAlignment="1">
      <alignment horizontal="center"/>
    </xf>
    <xf numFmtId="165" fontId="5" fillId="26" borderId="0" xfId="1" applyNumberFormat="1" applyFont="1" applyFill="1" applyBorder="1"/>
    <xf numFmtId="165" fontId="5" fillId="26" borderId="29" xfId="1" applyNumberFormat="1" applyFont="1" applyFill="1" applyBorder="1"/>
    <xf numFmtId="166" fontId="0" fillId="27" borderId="0" xfId="0" applyNumberFormat="1" applyFill="1" applyBorder="1"/>
    <xf numFmtId="166" fontId="0" fillId="27" borderId="29" xfId="0" applyNumberFormat="1" applyFill="1" applyBorder="1"/>
    <xf numFmtId="166" fontId="0" fillId="27" borderId="31" xfId="0" applyNumberFormat="1" applyFill="1" applyBorder="1"/>
    <xf numFmtId="166" fontId="0" fillId="27" borderId="32" xfId="0" applyNumberFormat="1" applyFill="1" applyBorder="1"/>
    <xf numFmtId="166" fontId="0" fillId="27" borderId="28" xfId="0" applyNumberFormat="1" applyFill="1" applyBorder="1"/>
    <xf numFmtId="166" fontId="0" fillId="27" borderId="30" xfId="0" applyNumberFormat="1" applyFill="1" applyBorder="1"/>
    <xf numFmtId="165" fontId="0" fillId="28" borderId="0" xfId="0" applyNumberFormat="1" applyFill="1" applyBorder="1"/>
    <xf numFmtId="166" fontId="0" fillId="29" borderId="28" xfId="0" applyNumberFormat="1" applyFill="1" applyBorder="1"/>
    <xf numFmtId="166" fontId="0" fillId="29" borderId="0" xfId="0" applyNumberFormat="1" applyFill="1" applyBorder="1"/>
    <xf numFmtId="166" fontId="0" fillId="29" borderId="29" xfId="0" applyNumberFormat="1" applyFill="1" applyBorder="1"/>
    <xf numFmtId="166" fontId="0" fillId="29" borderId="30" xfId="0" applyNumberFormat="1" applyFill="1" applyBorder="1"/>
    <xf numFmtId="166" fontId="0" fillId="29" borderId="31" xfId="0" applyNumberFormat="1" applyFill="1" applyBorder="1"/>
    <xf numFmtId="0" fontId="0" fillId="27" borderId="1" xfId="0" applyFill="1" applyBorder="1"/>
    <xf numFmtId="0" fontId="0" fillId="27" borderId="2" xfId="0" applyFill="1" applyBorder="1"/>
    <xf numFmtId="0" fontId="0" fillId="27" borderId="3" xfId="0" applyFill="1" applyBorder="1"/>
    <xf numFmtId="0" fontId="0" fillId="28" borderId="1" xfId="0" applyFill="1" applyBorder="1"/>
    <xf numFmtId="0" fontId="0" fillId="28" borderId="2" xfId="0" applyFill="1" applyBorder="1"/>
    <xf numFmtId="0" fontId="0" fillId="28" borderId="3" xfId="0" applyFill="1" applyBorder="1"/>
    <xf numFmtId="0" fontId="0" fillId="29" borderId="1" xfId="0" applyFill="1" applyBorder="1"/>
    <xf numFmtId="0" fontId="0" fillId="29" borderId="2" xfId="0" applyFill="1" applyBorder="1"/>
    <xf numFmtId="0" fontId="0" fillId="29" borderId="3" xfId="0" applyFill="1" applyBorder="1"/>
    <xf numFmtId="0" fontId="5" fillId="0" borderId="0" xfId="1" applyFont="1"/>
    <xf numFmtId="167" fontId="5" fillId="0" borderId="0" xfId="49" applyNumberFormat="1" applyFont="1"/>
    <xf numFmtId="168" fontId="5" fillId="0" borderId="0" xfId="50" applyNumberFormat="1" applyFont="1"/>
    <xf numFmtId="0" fontId="5" fillId="0" borderId="0" xfId="1" applyFont="1" applyFill="1"/>
    <xf numFmtId="167" fontId="5" fillId="0" borderId="0" xfId="49" applyNumberFormat="1" applyFont="1" applyFill="1"/>
    <xf numFmtId="168" fontId="5" fillId="0" borderId="0" xfId="50" applyNumberFormat="1" applyFont="1" applyFill="1"/>
    <xf numFmtId="164" fontId="7" fillId="2" borderId="0" xfId="1" applyNumberFormat="1" applyFont="1" applyFill="1"/>
    <xf numFmtId="164" fontId="27" fillId="2" borderId="0" xfId="1" applyNumberFormat="1" applyFont="1" applyFill="1" applyBorder="1"/>
    <xf numFmtId="164" fontId="5" fillId="0" borderId="33" xfId="1" applyNumberFormat="1" applyFont="1" applyFill="1" applyBorder="1"/>
    <xf numFmtId="164" fontId="5" fillId="31" borderId="2" xfId="1" applyNumberFormat="1" applyFont="1" applyFill="1" applyBorder="1" applyAlignment="1">
      <alignment horizontal="center"/>
    </xf>
    <xf numFmtId="164" fontId="5" fillId="31" borderId="3" xfId="1" applyNumberFormat="1" applyFont="1" applyFill="1" applyBorder="1" applyAlignment="1">
      <alignment horizontal="center"/>
    </xf>
    <xf numFmtId="164" fontId="5" fillId="3" borderId="2" xfId="1" applyNumberFormat="1" applyFont="1" applyFill="1" applyBorder="1" applyAlignment="1">
      <alignment horizontal="center"/>
    </xf>
    <xf numFmtId="164" fontId="5" fillId="3" borderId="3" xfId="1" applyNumberFormat="1" applyFont="1" applyFill="1" applyBorder="1" applyAlignment="1">
      <alignment horizontal="center"/>
    </xf>
    <xf numFmtId="164" fontId="5" fillId="0" borderId="35" xfId="1" applyNumberFormat="1" applyFont="1" applyFill="1" applyBorder="1"/>
    <xf numFmtId="164" fontId="5" fillId="31" borderId="0" xfId="1" applyNumberFormat="1" applyFont="1" applyFill="1" applyBorder="1"/>
    <xf numFmtId="164" fontId="5" fillId="31" borderId="29" xfId="1" applyNumberFormat="1" applyFont="1" applyFill="1" applyBorder="1"/>
    <xf numFmtId="164" fontId="5" fillId="3" borderId="0" xfId="1" applyNumberFormat="1" applyFont="1" applyFill="1" applyBorder="1"/>
    <xf numFmtId="164" fontId="5" fillId="3" borderId="29" xfId="1" applyNumberFormat="1" applyFont="1" applyFill="1" applyBorder="1"/>
    <xf numFmtId="164" fontId="5" fillId="0" borderId="36" xfId="1" applyNumberFormat="1" applyFont="1" applyFill="1" applyBorder="1"/>
    <xf numFmtId="165" fontId="5" fillId="26" borderId="31" xfId="1" applyNumberFormat="1" applyFont="1" applyFill="1" applyBorder="1"/>
    <xf numFmtId="165" fontId="5" fillId="26" borderId="32" xfId="1" applyNumberFormat="1" applyFont="1" applyFill="1" applyBorder="1"/>
    <xf numFmtId="164" fontId="0" fillId="0" borderId="0" xfId="46" applyNumberFormat="1" applyFont="1" applyFill="1"/>
    <xf numFmtId="164" fontId="0" fillId="27" borderId="28" xfId="0" applyNumberFormat="1" applyFill="1" applyBorder="1"/>
    <xf numFmtId="164" fontId="0" fillId="27" borderId="0" xfId="0" applyNumberFormat="1" applyFill="1" applyBorder="1"/>
    <xf numFmtId="164" fontId="0" fillId="27" borderId="29" xfId="0" applyNumberFormat="1" applyFill="1" applyBorder="1"/>
    <xf numFmtId="164" fontId="0" fillId="27" borderId="30" xfId="0" applyNumberFormat="1" applyFill="1" applyBorder="1"/>
    <xf numFmtId="164" fontId="0" fillId="27" borderId="31" xfId="0" applyNumberFormat="1" applyFill="1" applyBorder="1"/>
    <xf numFmtId="164" fontId="0" fillId="27" borderId="32" xfId="0" applyNumberFormat="1" applyFill="1" applyBorder="1"/>
    <xf numFmtId="164" fontId="0" fillId="28" borderId="28" xfId="0" applyNumberFormat="1" applyFill="1" applyBorder="1"/>
    <xf numFmtId="164" fontId="0" fillId="28" borderId="0" xfId="0" applyNumberFormat="1" applyFill="1" applyBorder="1"/>
    <xf numFmtId="0" fontId="0" fillId="0" borderId="0" xfId="0" applyAlignment="1">
      <alignment horizontal="center"/>
    </xf>
    <xf numFmtId="0" fontId="0" fillId="0" borderId="0" xfId="0" applyFill="1"/>
    <xf numFmtId="164" fontId="0" fillId="28" borderId="0" xfId="46" applyNumberFormat="1" applyFont="1" applyFill="1"/>
    <xf numFmtId="164" fontId="0" fillId="28" borderId="0" xfId="0" applyNumberFormat="1" applyFill="1"/>
    <xf numFmtId="164" fontId="0" fillId="0" borderId="1" xfId="0" applyNumberFormat="1" applyBorder="1"/>
    <xf numFmtId="164" fontId="0" fillId="0" borderId="2" xfId="0" applyNumberFormat="1" applyBorder="1"/>
    <xf numFmtId="164" fontId="0" fillId="0" borderId="3" xfId="0" applyNumberFormat="1" applyBorder="1"/>
    <xf numFmtId="164" fontId="0" fillId="0" borderId="33" xfId="0" applyNumberFormat="1" applyBorder="1"/>
    <xf numFmtId="164" fontId="28" fillId="0" borderId="0" xfId="0" applyNumberFormat="1" applyFont="1"/>
    <xf numFmtId="0" fontId="28" fillId="0" borderId="0" xfId="0" applyFont="1"/>
    <xf numFmtId="169" fontId="28" fillId="0" borderId="0" xfId="0" applyNumberFormat="1" applyFont="1"/>
    <xf numFmtId="165" fontId="28" fillId="0" borderId="0" xfId="0" applyNumberFormat="1" applyFont="1" applyFill="1"/>
    <xf numFmtId="0" fontId="0" fillId="0" borderId="39" xfId="0" applyBorder="1"/>
    <xf numFmtId="164" fontId="0" fillId="27" borderId="34" xfId="0" applyNumberFormat="1" applyFill="1" applyBorder="1"/>
    <xf numFmtId="164" fontId="0" fillId="27" borderId="39" xfId="0" applyNumberFormat="1" applyFill="1" applyBorder="1"/>
    <xf numFmtId="164" fontId="0" fillId="27" borderId="38" xfId="0" applyNumberFormat="1" applyFill="1" applyBorder="1"/>
    <xf numFmtId="166" fontId="0" fillId="27" borderId="34" xfId="0" applyNumberFormat="1" applyFill="1" applyBorder="1"/>
    <xf numFmtId="166" fontId="0" fillId="27" borderId="39" xfId="0" applyNumberFormat="1" applyFill="1" applyBorder="1"/>
    <xf numFmtId="166" fontId="0" fillId="27" borderId="38" xfId="0" applyNumberFormat="1" applyFill="1" applyBorder="1"/>
    <xf numFmtId="166" fontId="0" fillId="29" borderId="34" xfId="0" applyNumberFormat="1" applyFill="1" applyBorder="1"/>
    <xf numFmtId="166" fontId="0" fillId="29" borderId="39" xfId="0" applyNumberFormat="1" applyFill="1" applyBorder="1"/>
    <xf numFmtId="0" fontId="0" fillId="0" borderId="40" xfId="0" applyBorder="1"/>
    <xf numFmtId="0" fontId="0" fillId="0" borderId="1" xfId="0" applyBorder="1"/>
    <xf numFmtId="0" fontId="0" fillId="0" borderId="2" xfId="0" applyBorder="1" applyAlignment="1">
      <alignment wrapText="1"/>
    </xf>
    <xf numFmtId="0" fontId="0" fillId="0" borderId="3" xfId="0" applyBorder="1" applyAlignment="1">
      <alignment wrapText="1"/>
    </xf>
    <xf numFmtId="0" fontId="0" fillId="0" borderId="3" xfId="0" applyBorder="1"/>
    <xf numFmtId="0" fontId="0" fillId="0" borderId="29" xfId="0" applyBorder="1"/>
    <xf numFmtId="0" fontId="0" fillId="0" borderId="38" xfId="0" applyBorder="1"/>
    <xf numFmtId="0" fontId="0" fillId="0" borderId="30" xfId="0" applyBorder="1"/>
    <xf numFmtId="0" fontId="0" fillId="0" borderId="31" xfId="0" applyBorder="1"/>
    <xf numFmtId="164" fontId="0" fillId="28" borderId="30" xfId="0" applyNumberFormat="1" applyFill="1" applyBorder="1"/>
    <xf numFmtId="0" fontId="0" fillId="0" borderId="39" xfId="0" applyBorder="1" applyAlignment="1">
      <alignment horizontal="center"/>
    </xf>
    <xf numFmtId="164" fontId="29" fillId="2" borderId="0" xfId="0" applyNumberFormat="1" applyFont="1" applyFill="1" applyAlignment="1">
      <alignment horizontal="center"/>
    </xf>
    <xf numFmtId="1" fontId="0" fillId="28" borderId="28" xfId="0" applyNumberFormat="1" applyFill="1" applyBorder="1"/>
    <xf numFmtId="1" fontId="0" fillId="28" borderId="0" xfId="0" applyNumberFormat="1" applyFill="1" applyBorder="1"/>
    <xf numFmtId="1" fontId="0" fillId="28" borderId="30" xfId="0" applyNumberFormat="1" applyFill="1" applyBorder="1"/>
    <xf numFmtId="1" fontId="0" fillId="28" borderId="31" xfId="0" applyNumberFormat="1" applyFill="1" applyBorder="1"/>
    <xf numFmtId="1" fontId="30" fillId="28" borderId="28" xfId="0" applyNumberFormat="1" applyFont="1" applyFill="1" applyBorder="1"/>
    <xf numFmtId="1" fontId="30" fillId="28" borderId="0" xfId="0" applyNumberFormat="1" applyFont="1" applyFill="1" applyBorder="1"/>
    <xf numFmtId="1" fontId="30" fillId="28" borderId="34" xfId="0" applyNumberFormat="1" applyFont="1" applyFill="1" applyBorder="1"/>
    <xf numFmtId="1" fontId="30" fillId="28" borderId="39" xfId="0" applyNumberFormat="1" applyFont="1" applyFill="1" applyBorder="1"/>
    <xf numFmtId="1" fontId="30" fillId="28" borderId="30" xfId="0" applyNumberFormat="1" applyFont="1" applyFill="1" applyBorder="1"/>
    <xf numFmtId="1" fontId="30" fillId="28" borderId="31" xfId="0" applyNumberFormat="1" applyFont="1" applyFill="1" applyBorder="1"/>
    <xf numFmtId="164" fontId="0" fillId="28" borderId="25" xfId="0" applyNumberFormat="1" applyFill="1" applyBorder="1"/>
    <xf numFmtId="164" fontId="0" fillId="28" borderId="26" xfId="0" applyNumberFormat="1" applyFill="1" applyBorder="1"/>
    <xf numFmtId="164" fontId="0" fillId="28" borderId="27" xfId="0" applyNumberFormat="1" applyFill="1" applyBorder="1"/>
    <xf numFmtId="164" fontId="0" fillId="28" borderId="29" xfId="0" applyNumberFormat="1" applyFill="1" applyBorder="1"/>
    <xf numFmtId="164" fontId="0" fillId="28" borderId="31" xfId="0" applyNumberFormat="1" applyFill="1" applyBorder="1"/>
    <xf numFmtId="164" fontId="0" fillId="28" borderId="32" xfId="0" applyNumberFormat="1" applyFill="1" applyBorder="1"/>
    <xf numFmtId="164" fontId="0" fillId="0" borderId="0" xfId="0" applyNumberFormat="1" applyFill="1" applyBorder="1"/>
    <xf numFmtId="0" fontId="0" fillId="0" borderId="31" xfId="0" applyBorder="1" applyAlignment="1">
      <alignment horizontal="center"/>
    </xf>
    <xf numFmtId="165" fontId="0" fillId="0" borderId="0" xfId="0" applyNumberFormat="1" applyFill="1" applyBorder="1"/>
    <xf numFmtId="169" fontId="28" fillId="0" borderId="0" xfId="0" applyNumberFormat="1" applyFont="1" applyBorder="1"/>
    <xf numFmtId="164" fontId="28" fillId="0" borderId="0" xfId="0" applyNumberFormat="1" applyFont="1" applyBorder="1"/>
    <xf numFmtId="165" fontId="28" fillId="0" borderId="0" xfId="0" applyNumberFormat="1" applyFont="1" applyFill="1" applyBorder="1"/>
    <xf numFmtId="164" fontId="28" fillId="0" borderId="0" xfId="0" applyNumberFormat="1" applyFont="1" applyFill="1"/>
    <xf numFmtId="1" fontId="28" fillId="0" borderId="0" xfId="0" applyNumberFormat="1" applyFont="1" applyFill="1" applyBorder="1"/>
    <xf numFmtId="164" fontId="0" fillId="0" borderId="33" xfId="0" applyNumberFormat="1" applyFill="1" applyBorder="1"/>
    <xf numFmtId="1" fontId="28" fillId="0" borderId="0" xfId="0" applyNumberFormat="1" applyFont="1" applyFill="1"/>
    <xf numFmtId="1" fontId="30" fillId="28" borderId="26" xfId="0" applyNumberFormat="1" applyFont="1" applyFill="1" applyBorder="1"/>
    <xf numFmtId="1" fontId="0" fillId="28" borderId="25" xfId="0" applyNumberFormat="1" applyFill="1" applyBorder="1"/>
    <xf numFmtId="1" fontId="0" fillId="28" borderId="26" xfId="0" applyNumberFormat="1" applyFill="1" applyBorder="1"/>
    <xf numFmtId="1" fontId="30" fillId="28" borderId="40" xfId="0" applyNumberFormat="1" applyFont="1" applyFill="1" applyBorder="1"/>
    <xf numFmtId="1" fontId="0" fillId="28" borderId="37" xfId="0" applyNumberFormat="1" applyFill="1" applyBorder="1"/>
    <xf numFmtId="1" fontId="0" fillId="28" borderId="40" xfId="0" applyNumberFormat="1" applyFill="1" applyBorder="1"/>
    <xf numFmtId="164" fontId="0" fillId="28" borderId="37" xfId="0" applyNumberFormat="1" applyFill="1" applyBorder="1"/>
    <xf numFmtId="164" fontId="0" fillId="28" borderId="40" xfId="0" applyNumberFormat="1" applyFill="1" applyBorder="1"/>
    <xf numFmtId="164" fontId="0" fillId="28" borderId="41" xfId="0" applyNumberFormat="1" applyFill="1" applyBorder="1"/>
    <xf numFmtId="10" fontId="28" fillId="0" borderId="0" xfId="0" applyNumberFormat="1" applyFont="1"/>
    <xf numFmtId="10" fontId="28" fillId="0" borderId="0" xfId="0" applyNumberFormat="1" applyFont="1" applyFill="1"/>
    <xf numFmtId="169" fontId="28" fillId="0" borderId="0" xfId="0" applyNumberFormat="1" applyFont="1" applyAlignment="1">
      <alignment horizontal="right"/>
    </xf>
    <xf numFmtId="164" fontId="28" fillId="0" borderId="0" xfId="0" applyNumberFormat="1" applyFont="1" applyAlignment="1">
      <alignment horizontal="right"/>
    </xf>
    <xf numFmtId="1" fontId="28" fillId="0" borderId="0" xfId="0" applyNumberFormat="1" applyFont="1" applyFill="1" applyAlignment="1">
      <alignment horizontal="right"/>
    </xf>
    <xf numFmtId="0" fontId="0" fillId="29" borderId="1" xfId="0" applyFill="1" applyBorder="1" applyAlignment="1">
      <alignment wrapText="1"/>
    </xf>
    <xf numFmtId="0" fontId="0" fillId="29" borderId="2" xfId="0" applyFill="1" applyBorder="1" applyAlignment="1">
      <alignment wrapText="1"/>
    </xf>
    <xf numFmtId="10" fontId="0" fillId="0" borderId="33" xfId="0" applyNumberFormat="1" applyFill="1" applyBorder="1"/>
    <xf numFmtId="3" fontId="0" fillId="0" borderId="0" xfId="0" applyNumberFormat="1"/>
    <xf numFmtId="3" fontId="0" fillId="0" borderId="33" xfId="0" applyNumberFormat="1" applyBorder="1"/>
    <xf numFmtId="1" fontId="8" fillId="29" borderId="46" xfId="51" applyNumberFormat="1" applyFont="1" applyFill="1" applyBorder="1" applyAlignment="1">
      <alignment horizontal="right" wrapText="1"/>
    </xf>
    <xf numFmtId="0" fontId="0" fillId="0" borderId="0" xfId="0"/>
    <xf numFmtId="0" fontId="32" fillId="0" borderId="0" xfId="0" applyFont="1" applyFill="1"/>
    <xf numFmtId="0" fontId="0" fillId="0" borderId="0" xfId="0" applyFill="1"/>
    <xf numFmtId="0" fontId="34" fillId="33" borderId="0" xfId="0" applyFont="1" applyFill="1"/>
    <xf numFmtId="0" fontId="33" fillId="33" borderId="0" xfId="0" applyFont="1" applyFill="1" applyBorder="1"/>
    <xf numFmtId="0" fontId="0" fillId="33" borderId="0" xfId="0" applyFill="1" applyAlignment="1">
      <alignment wrapText="1"/>
    </xf>
    <xf numFmtId="164" fontId="5" fillId="29" borderId="33" xfId="0" applyNumberFormat="1" applyFont="1" applyFill="1" applyBorder="1" applyAlignment="1">
      <alignment wrapText="1"/>
    </xf>
    <xf numFmtId="164" fontId="5" fillId="29" borderId="33" xfId="0" applyNumberFormat="1" applyFont="1" applyFill="1" applyBorder="1" applyAlignment="1">
      <alignment horizontal="center" wrapText="1"/>
    </xf>
    <xf numFmtId="164" fontId="5" fillId="34" borderId="33" xfId="0" applyNumberFormat="1" applyFont="1" applyFill="1" applyBorder="1" applyAlignment="1">
      <alignment horizontal="center" wrapText="1"/>
    </xf>
    <xf numFmtId="1" fontId="8" fillId="34" borderId="46" xfId="51" applyNumberFormat="1" applyFont="1" applyFill="1" applyBorder="1" applyAlignment="1">
      <alignment horizontal="right" wrapText="1"/>
    </xf>
    <xf numFmtId="164" fontId="5" fillId="35" borderId="33" xfId="0" applyNumberFormat="1" applyFont="1" applyFill="1" applyBorder="1" applyAlignment="1">
      <alignment horizontal="center" wrapText="1"/>
    </xf>
    <xf numFmtId="1" fontId="8" fillId="35" borderId="46" xfId="51" applyNumberFormat="1" applyFont="1" applyFill="1" applyBorder="1" applyAlignment="1">
      <alignment horizontal="right" wrapText="1"/>
    </xf>
    <xf numFmtId="164" fontId="5" fillId="32" borderId="33" xfId="0" applyNumberFormat="1" applyFont="1" applyFill="1" applyBorder="1" applyAlignment="1">
      <alignment horizontal="center" wrapText="1"/>
    </xf>
    <xf numFmtId="0" fontId="0" fillId="0" borderId="0" xfId="0"/>
    <xf numFmtId="1" fontId="0" fillId="0" borderId="0" xfId="0" applyNumberFormat="1"/>
    <xf numFmtId="0" fontId="0" fillId="36" borderId="0" xfId="0" applyFill="1"/>
    <xf numFmtId="0" fontId="0" fillId="37" borderId="0" xfId="0" applyFill="1"/>
    <xf numFmtId="0" fontId="0" fillId="0" borderId="0" xfId="0"/>
    <xf numFmtId="0" fontId="0" fillId="38" borderId="0" xfId="0" applyFill="1"/>
    <xf numFmtId="9" fontId="0" fillId="28" borderId="0" xfId="0" applyNumberFormat="1" applyFill="1"/>
    <xf numFmtId="0" fontId="0" fillId="28" borderId="1" xfId="0" applyFill="1" applyBorder="1" applyAlignment="1"/>
    <xf numFmtId="0" fontId="0" fillId="28" borderId="2" xfId="0" applyFill="1" applyBorder="1" applyAlignment="1"/>
    <xf numFmtId="9" fontId="0" fillId="28" borderId="3" xfId="0" applyNumberFormat="1" applyFill="1" applyBorder="1" applyAlignment="1">
      <alignment horizontal="left"/>
    </xf>
    <xf numFmtId="164" fontId="0" fillId="28" borderId="7" xfId="0" applyNumberFormat="1" applyFill="1" applyBorder="1"/>
    <xf numFmtId="164" fontId="0" fillId="28" borderId="9" xfId="0" applyNumberFormat="1" applyFill="1" applyBorder="1"/>
    <xf numFmtId="164" fontId="0" fillId="28" borderId="8" xfId="0" applyNumberFormat="1" applyFill="1" applyBorder="1"/>
    <xf numFmtId="164" fontId="0" fillId="28" borderId="10" xfId="0" applyNumberFormat="1" applyFill="1" applyBorder="1"/>
    <xf numFmtId="164" fontId="0" fillId="28" borderId="12" xfId="0" applyNumberFormat="1" applyFill="1" applyBorder="1"/>
    <xf numFmtId="164" fontId="0" fillId="28" borderId="11" xfId="0" applyNumberFormat="1" applyFill="1" applyBorder="1"/>
    <xf numFmtId="165" fontId="0" fillId="28" borderId="7" xfId="0" applyNumberFormat="1" applyFill="1" applyBorder="1"/>
    <xf numFmtId="165" fontId="0" fillId="28" borderId="9" xfId="0" applyNumberFormat="1" applyFill="1" applyBorder="1"/>
    <xf numFmtId="165" fontId="0" fillId="28" borderId="8" xfId="0" applyNumberFormat="1" applyFill="1" applyBorder="1"/>
    <xf numFmtId="165" fontId="0" fillId="28" borderId="10" xfId="0" applyNumberFormat="1" applyFill="1" applyBorder="1"/>
    <xf numFmtId="165" fontId="0" fillId="28" borderId="12" xfId="0" applyNumberFormat="1" applyFill="1" applyBorder="1"/>
    <xf numFmtId="165" fontId="0" fillId="28" borderId="11" xfId="0" applyNumberFormat="1" applyFill="1" applyBorder="1"/>
    <xf numFmtId="166" fontId="0" fillId="27" borderId="7" xfId="0" applyNumberFormat="1" applyFill="1" applyBorder="1"/>
    <xf numFmtId="166" fontId="0" fillId="27" borderId="9" xfId="0" applyNumberFormat="1" applyFill="1" applyBorder="1"/>
    <xf numFmtId="166" fontId="0" fillId="27" borderId="8" xfId="0" applyNumberFormat="1" applyFill="1" applyBorder="1"/>
    <xf numFmtId="166" fontId="0" fillId="27" borderId="10" xfId="0" applyNumberFormat="1" applyFill="1" applyBorder="1"/>
    <xf numFmtId="166" fontId="0" fillId="27" borderId="12" xfId="0" applyNumberFormat="1" applyFill="1" applyBorder="1"/>
    <xf numFmtId="166" fontId="0" fillId="27" borderId="11" xfId="0" applyNumberFormat="1" applyFill="1" applyBorder="1"/>
    <xf numFmtId="164" fontId="0" fillId="27" borderId="7" xfId="0" applyNumberFormat="1" applyFill="1" applyBorder="1"/>
    <xf numFmtId="164" fontId="0" fillId="27" borderId="9" xfId="0" applyNumberFormat="1" applyFill="1" applyBorder="1"/>
    <xf numFmtId="164" fontId="0" fillId="27" borderId="8" xfId="0" applyNumberFormat="1" applyFill="1" applyBorder="1"/>
    <xf numFmtId="164" fontId="0" fillId="27" borderId="10" xfId="0" applyNumberFormat="1" applyFill="1" applyBorder="1"/>
    <xf numFmtId="164" fontId="0" fillId="27" borderId="12" xfId="0" applyNumberFormat="1" applyFill="1" applyBorder="1"/>
    <xf numFmtId="164" fontId="0" fillId="27" borderId="11" xfId="0" applyNumberFormat="1" applyFill="1" applyBorder="1"/>
    <xf numFmtId="165" fontId="0" fillId="29" borderId="10" xfId="0" applyNumberFormat="1" applyFill="1" applyBorder="1"/>
    <xf numFmtId="165" fontId="0" fillId="29" borderId="12" xfId="0" applyNumberFormat="1" applyFill="1" applyBorder="1"/>
    <xf numFmtId="165" fontId="0" fillId="29" borderId="11" xfId="0" applyNumberFormat="1" applyFill="1" applyBorder="1"/>
    <xf numFmtId="166" fontId="0" fillId="29" borderId="7" xfId="0" applyNumberFormat="1" applyFill="1" applyBorder="1"/>
    <xf numFmtId="166" fontId="0" fillId="29" borderId="9" xfId="0" applyNumberFormat="1" applyFill="1" applyBorder="1"/>
    <xf numFmtId="166" fontId="0" fillId="29" borderId="8" xfId="0" applyNumberFormat="1" applyFill="1" applyBorder="1"/>
    <xf numFmtId="166" fontId="0" fillId="29" borderId="10" xfId="0" applyNumberFormat="1" applyFill="1" applyBorder="1"/>
    <xf numFmtId="166" fontId="0" fillId="29" borderId="12" xfId="0" applyNumberFormat="1" applyFill="1" applyBorder="1"/>
    <xf numFmtId="166" fontId="0" fillId="29" borderId="11" xfId="0" applyNumberFormat="1" applyFill="1" applyBorder="1"/>
    <xf numFmtId="164" fontId="0" fillId="29" borderId="7" xfId="0" applyNumberFormat="1" applyFill="1" applyBorder="1"/>
    <xf numFmtId="164" fontId="0" fillId="29" borderId="9" xfId="0" applyNumberFormat="1" applyFill="1" applyBorder="1"/>
    <xf numFmtId="164" fontId="0" fillId="29" borderId="8" xfId="0" applyNumberFormat="1" applyFill="1" applyBorder="1"/>
    <xf numFmtId="164" fontId="0" fillId="29" borderId="10" xfId="0" applyNumberFormat="1" applyFill="1" applyBorder="1"/>
    <xf numFmtId="164" fontId="0" fillId="29" borderId="12" xfId="0" applyNumberFormat="1" applyFill="1" applyBorder="1"/>
    <xf numFmtId="164" fontId="0" fillId="29" borderId="11" xfId="0" applyNumberFormat="1" applyFill="1" applyBorder="1"/>
    <xf numFmtId="0" fontId="0" fillId="29" borderId="4" xfId="0" applyFill="1" applyBorder="1"/>
    <xf numFmtId="0" fontId="0" fillId="29" borderId="6" xfId="0" applyFill="1" applyBorder="1"/>
    <xf numFmtId="0" fontId="0" fillId="29" borderId="5" xfId="0" applyFill="1" applyBorder="1"/>
    <xf numFmtId="0" fontId="0" fillId="28" borderId="4" xfId="0" applyFill="1" applyBorder="1"/>
    <xf numFmtId="0" fontId="0" fillId="28" borderId="6" xfId="0" applyFill="1" applyBorder="1"/>
    <xf numFmtId="0" fontId="0" fillId="28" borderId="5" xfId="0" applyFill="1" applyBorder="1"/>
    <xf numFmtId="0" fontId="0" fillId="27" borderId="4" xfId="0" applyFill="1" applyBorder="1"/>
    <xf numFmtId="0" fontId="0" fillId="27" borderId="6" xfId="0" applyFill="1" applyBorder="1"/>
    <xf numFmtId="0" fontId="0" fillId="27" borderId="5" xfId="0" applyFill="1" applyBorder="1"/>
    <xf numFmtId="164" fontId="0" fillId="27" borderId="13" xfId="0" applyNumberFormat="1" applyFill="1" applyBorder="1"/>
    <xf numFmtId="164" fontId="0" fillId="27" borderId="15" xfId="0" applyNumberFormat="1" applyFill="1" applyBorder="1"/>
    <xf numFmtId="164" fontId="0" fillId="27" borderId="14" xfId="0" applyNumberFormat="1" applyFill="1" applyBorder="1"/>
    <xf numFmtId="166" fontId="0" fillId="27" borderId="13" xfId="0" applyNumberFormat="1" applyFill="1" applyBorder="1"/>
    <xf numFmtId="166" fontId="0" fillId="27" borderId="15" xfId="0" applyNumberFormat="1" applyFill="1" applyBorder="1"/>
    <xf numFmtId="166" fontId="0" fillId="27" borderId="14" xfId="0" applyNumberFormat="1" applyFill="1" applyBorder="1"/>
    <xf numFmtId="165" fontId="0" fillId="28" borderId="13" xfId="0" applyNumberFormat="1" applyFill="1" applyBorder="1"/>
    <xf numFmtId="165" fontId="0" fillId="28" borderId="15" xfId="0" applyNumberFormat="1" applyFill="1" applyBorder="1"/>
    <xf numFmtId="165" fontId="0" fillId="28" borderId="14" xfId="0" applyNumberFormat="1" applyFill="1" applyBorder="1"/>
    <xf numFmtId="164" fontId="0" fillId="29" borderId="13" xfId="0" applyNumberFormat="1" applyFill="1" applyBorder="1"/>
    <xf numFmtId="164" fontId="0" fillId="29" borderId="15" xfId="0" applyNumberFormat="1" applyFill="1" applyBorder="1"/>
    <xf numFmtId="164" fontId="0" fillId="29" borderId="14" xfId="0" applyNumberFormat="1" applyFill="1" applyBorder="1"/>
    <xf numFmtId="166" fontId="0" fillId="29" borderId="13" xfId="0" applyNumberFormat="1" applyFill="1" applyBorder="1"/>
    <xf numFmtId="166" fontId="0" fillId="29" borderId="15" xfId="0" applyNumberFormat="1" applyFill="1" applyBorder="1"/>
    <xf numFmtId="166" fontId="0" fillId="29" borderId="14" xfId="0" applyNumberFormat="1" applyFill="1" applyBorder="1"/>
    <xf numFmtId="165" fontId="0" fillId="29" borderId="13" xfId="0" applyNumberFormat="1" applyFill="1" applyBorder="1"/>
    <xf numFmtId="165" fontId="0" fillId="29" borderId="15" xfId="0" applyNumberFormat="1" applyFill="1" applyBorder="1"/>
    <xf numFmtId="165" fontId="0" fillId="29" borderId="14" xfId="0" applyNumberFormat="1" applyFill="1" applyBorder="1"/>
    <xf numFmtId="164" fontId="3" fillId="2" borderId="0" xfId="1" applyNumberFormat="1" applyFont="1" applyFill="1" applyAlignment="1">
      <alignment vertical="top"/>
    </xf>
    <xf numFmtId="164" fontId="1" fillId="2" borderId="0" xfId="1" applyNumberFormat="1" applyFont="1" applyFill="1" applyAlignment="1">
      <alignment vertical="top"/>
    </xf>
    <xf numFmtId="164" fontId="4" fillId="2" borderId="0" xfId="1" applyNumberFormat="1" applyFont="1" applyFill="1" applyAlignment="1">
      <alignment vertical="top"/>
    </xf>
    <xf numFmtId="164" fontId="5" fillId="2" borderId="0" xfId="1" applyNumberFormat="1" applyFont="1" applyFill="1" applyAlignment="1">
      <alignment vertical="top"/>
    </xf>
    <xf numFmtId="164" fontId="5" fillId="3" borderId="4" xfId="1" applyNumberFormat="1" applyFont="1" applyFill="1" applyBorder="1" applyAlignment="1">
      <alignment horizontal="center" vertical="center" wrapText="1"/>
    </xf>
    <xf numFmtId="164" fontId="5" fillId="3" borderId="5" xfId="1" applyNumberFormat="1" applyFont="1" applyFill="1" applyBorder="1" applyAlignment="1">
      <alignment horizontal="center" vertical="center" wrapText="1"/>
    </xf>
    <xf numFmtId="164" fontId="5" fillId="2" borderId="0" xfId="1" applyNumberFormat="1" applyFont="1" applyFill="1" applyAlignment="1">
      <alignment vertical="center"/>
    </xf>
    <xf numFmtId="164" fontId="5" fillId="0" borderId="7" xfId="1" applyNumberFormat="1" applyFont="1" applyFill="1" applyBorder="1" applyAlignment="1">
      <alignment horizontal="center" vertical="top"/>
    </xf>
    <xf numFmtId="164" fontId="5" fillId="0" borderId="8" xfId="1" applyNumberFormat="1" applyFont="1" applyFill="1" applyBorder="1" applyAlignment="1">
      <alignment vertical="top"/>
    </xf>
    <xf numFmtId="164" fontId="5" fillId="0" borderId="7" xfId="1" applyNumberFormat="1" applyFont="1" applyFill="1" applyBorder="1" applyAlignment="1">
      <alignment vertical="top"/>
    </xf>
    <xf numFmtId="164" fontId="5" fillId="0" borderId="9" xfId="1" applyNumberFormat="1" applyFont="1" applyFill="1" applyBorder="1" applyAlignment="1">
      <alignment vertical="top"/>
    </xf>
    <xf numFmtId="164" fontId="5" fillId="0" borderId="10" xfId="1" applyNumberFormat="1" applyFont="1" applyFill="1" applyBorder="1" applyAlignment="1">
      <alignment horizontal="center" vertical="top"/>
    </xf>
    <xf numFmtId="164" fontId="5" fillId="0" borderId="11" xfId="1" applyNumberFormat="1" applyFont="1" applyFill="1" applyBorder="1" applyAlignment="1">
      <alignment vertical="top"/>
    </xf>
    <xf numFmtId="164" fontId="5" fillId="0" borderId="11" xfId="1" applyNumberFormat="1" applyFont="1" applyFill="1" applyBorder="1" applyAlignment="1">
      <alignment horizontal="right" vertical="top"/>
    </xf>
    <xf numFmtId="164" fontId="5" fillId="0" borderId="11" xfId="1" quotePrefix="1" applyNumberFormat="1" applyFont="1" applyFill="1" applyBorder="1" applyAlignment="1">
      <alignment horizontal="right" vertical="top"/>
    </xf>
    <xf numFmtId="164" fontId="5" fillId="0" borderId="13" xfId="1" applyNumberFormat="1" applyFont="1" applyFill="1" applyBorder="1" applyAlignment="1">
      <alignment horizontal="center" vertical="top"/>
    </xf>
    <xf numFmtId="164" fontId="5" fillId="0" borderId="14" xfId="1" applyNumberFormat="1" applyFont="1" applyFill="1" applyBorder="1" applyAlignment="1">
      <alignment vertical="top"/>
    </xf>
    <xf numFmtId="0" fontId="1" fillId="0" borderId="0" xfId="1" applyAlignment="1">
      <alignment horizontal="left" vertical="center"/>
    </xf>
    <xf numFmtId="0" fontId="1" fillId="0" borderId="0" xfId="1" applyFill="1" applyBorder="1"/>
    <xf numFmtId="10" fontId="0" fillId="0" borderId="0" xfId="0" applyNumberFormat="1"/>
    <xf numFmtId="164" fontId="0" fillId="32" borderId="52" xfId="0" applyNumberFormat="1" applyFont="1" applyFill="1" applyBorder="1"/>
    <xf numFmtId="0" fontId="43" fillId="0" borderId="1" xfId="1" applyFont="1" applyBorder="1" applyAlignment="1">
      <alignment horizontal="center"/>
    </xf>
    <xf numFmtId="0" fontId="43" fillId="0" borderId="64" xfId="1" applyFont="1" applyBorder="1" applyAlignment="1">
      <alignment horizontal="center"/>
    </xf>
    <xf numFmtId="0" fontId="43" fillId="0" borderId="64" xfId="1" applyFont="1" applyBorder="1" applyAlignment="1">
      <alignment horizontal="center" vertical="center"/>
    </xf>
    <xf numFmtId="0" fontId="43" fillId="0" borderId="3" xfId="1" applyFont="1" applyBorder="1" applyAlignment="1">
      <alignment horizontal="center"/>
    </xf>
    <xf numFmtId="0" fontId="0" fillId="0" borderId="0" xfId="0"/>
    <xf numFmtId="166" fontId="0" fillId="27" borderId="0" xfId="0" applyNumberFormat="1" applyFill="1" applyBorder="1"/>
    <xf numFmtId="166" fontId="0" fillId="27" borderId="29" xfId="0" applyNumberFormat="1" applyFill="1" applyBorder="1"/>
    <xf numFmtId="166" fontId="0" fillId="27" borderId="28" xfId="0" applyNumberFormat="1" applyFill="1" applyBorder="1"/>
    <xf numFmtId="164" fontId="0" fillId="27" borderId="28" xfId="0" applyNumberFormat="1" applyFill="1" applyBorder="1"/>
    <xf numFmtId="164" fontId="0" fillId="27" borderId="0" xfId="0" applyNumberFormat="1" applyFill="1" applyBorder="1"/>
    <xf numFmtId="164" fontId="0" fillId="27" borderId="29" xfId="0" applyNumberFormat="1" applyFill="1" applyBorder="1"/>
    <xf numFmtId="0" fontId="28" fillId="0" borderId="0" xfId="0" applyFont="1"/>
    <xf numFmtId="164" fontId="5" fillId="32" borderId="3" xfId="0" applyNumberFormat="1" applyFont="1" applyFill="1" applyBorder="1" applyAlignment="1">
      <alignment horizontal="center" wrapText="1"/>
    </xf>
    <xf numFmtId="164" fontId="5" fillId="39" borderId="33" xfId="0" applyNumberFormat="1" applyFont="1" applyFill="1" applyBorder="1" applyAlignment="1">
      <alignment horizontal="center" wrapText="1"/>
    </xf>
    <xf numFmtId="165" fontId="0" fillId="39" borderId="52" xfId="0" applyNumberFormat="1" applyFont="1" applyFill="1" applyBorder="1"/>
    <xf numFmtId="0" fontId="0" fillId="0" borderId="0" xfId="0"/>
    <xf numFmtId="0" fontId="1" fillId="0" borderId="92" xfId="1" applyBorder="1" applyAlignment="1">
      <alignment horizontal="left" vertical="top"/>
    </xf>
    <xf numFmtId="0" fontId="1" fillId="0" borderId="71" xfId="1" applyBorder="1" applyAlignment="1">
      <alignment vertical="top" wrapText="1"/>
    </xf>
    <xf numFmtId="0" fontId="1" fillId="0" borderId="71" xfId="1" applyBorder="1" applyAlignment="1">
      <alignment vertical="top"/>
    </xf>
    <xf numFmtId="0" fontId="1" fillId="0" borderId="89" xfId="1" applyBorder="1" applyAlignment="1">
      <alignment vertical="top"/>
    </xf>
    <xf numFmtId="0" fontId="1" fillId="0" borderId="72" xfId="1" applyBorder="1" applyAlignment="1">
      <alignment vertical="top"/>
    </xf>
    <xf numFmtId="0" fontId="1" fillId="0" borderId="73" xfId="1" applyBorder="1" applyAlignment="1">
      <alignment vertical="top" wrapText="1"/>
    </xf>
    <xf numFmtId="0" fontId="1" fillId="0" borderId="73" xfId="1" applyBorder="1" applyAlignment="1">
      <alignment horizontal="left" vertical="top"/>
    </xf>
    <xf numFmtId="0" fontId="1" fillId="0" borderId="90" xfId="1" applyBorder="1" applyAlignment="1">
      <alignment horizontal="left" vertical="top"/>
    </xf>
    <xf numFmtId="0" fontId="1" fillId="0" borderId="74" xfId="1" applyBorder="1" applyAlignment="1">
      <alignment vertical="top"/>
    </xf>
    <xf numFmtId="0" fontId="1" fillId="0" borderId="75" xfId="1" applyBorder="1" applyAlignment="1">
      <alignment vertical="top" wrapText="1"/>
    </xf>
    <xf numFmtId="0" fontId="1" fillId="0" borderId="75" xfId="1" applyBorder="1" applyAlignment="1">
      <alignment horizontal="left" vertical="top"/>
    </xf>
    <xf numFmtId="0" fontId="1" fillId="0" borderId="91" xfId="1" applyBorder="1" applyAlignment="1">
      <alignment horizontal="left" vertical="top"/>
    </xf>
    <xf numFmtId="0" fontId="1" fillId="0" borderId="76" xfId="1" applyBorder="1" applyAlignment="1">
      <alignment vertical="top"/>
    </xf>
    <xf numFmtId="0" fontId="1" fillId="0" borderId="77" xfId="1" applyBorder="1" applyAlignment="1">
      <alignment vertical="top" wrapText="1"/>
    </xf>
    <xf numFmtId="0" fontId="1" fillId="0" borderId="79" xfId="1" applyBorder="1" applyAlignment="1">
      <alignment vertical="top" wrapText="1"/>
    </xf>
    <xf numFmtId="0" fontId="1" fillId="0" borderId="71" xfId="1" applyBorder="1" applyAlignment="1">
      <alignment horizontal="left" vertical="top"/>
    </xf>
    <xf numFmtId="166" fontId="0" fillId="0" borderId="0" xfId="0" applyNumberFormat="1"/>
    <xf numFmtId="164" fontId="0" fillId="28" borderId="13" xfId="0" applyNumberFormat="1" applyFill="1" applyBorder="1"/>
    <xf numFmtId="164" fontId="0" fillId="28" borderId="15" xfId="0" applyNumberFormat="1" applyFill="1" applyBorder="1"/>
    <xf numFmtId="164" fontId="0" fillId="28" borderId="14" xfId="0" applyNumberFormat="1" applyFill="1" applyBorder="1"/>
    <xf numFmtId="0" fontId="0" fillId="29" borderId="3" xfId="0" applyFill="1" applyBorder="1" applyAlignment="1">
      <alignment wrapText="1"/>
    </xf>
    <xf numFmtId="166" fontId="0" fillId="29" borderId="94" xfId="0" applyNumberFormat="1" applyFill="1" applyBorder="1"/>
    <xf numFmtId="166" fontId="0" fillId="29" borderId="95" xfId="0" applyNumberFormat="1" applyFill="1" applyBorder="1"/>
    <xf numFmtId="166" fontId="0" fillId="29" borderId="96" xfId="0" applyNumberFormat="1" applyFill="1" applyBorder="1"/>
    <xf numFmtId="164" fontId="5" fillId="29" borderId="1" xfId="0" applyNumberFormat="1" applyFont="1" applyFill="1" applyBorder="1" applyAlignment="1">
      <alignment horizontal="center" wrapText="1"/>
    </xf>
    <xf numFmtId="0" fontId="8" fillId="29" borderId="52" xfId="51" applyFont="1" applyFill="1" applyBorder="1" applyAlignment="1">
      <alignment horizontal="right" wrapText="1"/>
    </xf>
    <xf numFmtId="1" fontId="8" fillId="29" borderId="61" xfId="51" applyNumberFormat="1" applyFont="1" applyFill="1" applyBorder="1" applyAlignment="1">
      <alignment horizontal="right" wrapText="1"/>
    </xf>
    <xf numFmtId="1" fontId="8" fillId="29" borderId="62" xfId="51" applyNumberFormat="1" applyFont="1" applyFill="1" applyBorder="1" applyAlignment="1">
      <alignment horizontal="right" wrapText="1"/>
    </xf>
    <xf numFmtId="0" fontId="8" fillId="29" borderId="61" xfId="51" applyFont="1" applyFill="1" applyBorder="1" applyAlignment="1">
      <alignment horizontal="right" wrapText="1"/>
    </xf>
    <xf numFmtId="0" fontId="8" fillId="29" borderId="100" xfId="51" applyFont="1" applyFill="1" applyBorder="1" applyAlignment="1">
      <alignment horizontal="right" wrapText="1"/>
    </xf>
    <xf numFmtId="0" fontId="0" fillId="33" borderId="65" xfId="0" applyFont="1" applyFill="1" applyBorder="1"/>
    <xf numFmtId="0" fontId="0" fillId="33" borderId="101" xfId="0" applyFont="1" applyFill="1" applyBorder="1"/>
    <xf numFmtId="1" fontId="8" fillId="34" borderId="61" xfId="51" applyNumberFormat="1" applyFont="1" applyFill="1" applyBorder="1" applyAlignment="1">
      <alignment horizontal="right" wrapText="1"/>
    </xf>
    <xf numFmtId="1" fontId="8" fillId="34" borderId="62" xfId="51" applyNumberFormat="1" applyFont="1" applyFill="1" applyBorder="1" applyAlignment="1">
      <alignment horizontal="right" wrapText="1"/>
    </xf>
    <xf numFmtId="164" fontId="5" fillId="31" borderId="31" xfId="1" applyNumberFormat="1" applyFont="1" applyFill="1" applyBorder="1"/>
    <xf numFmtId="164" fontId="5" fillId="31" borderId="32" xfId="1" applyNumberFormat="1" applyFont="1" applyFill="1" applyBorder="1"/>
    <xf numFmtId="164" fontId="5" fillId="3" borderId="31" xfId="1" applyNumberFormat="1" applyFont="1" applyFill="1" applyBorder="1"/>
    <xf numFmtId="164" fontId="5" fillId="3" borderId="32" xfId="1" applyNumberFormat="1" applyFont="1" applyFill="1" applyBorder="1"/>
    <xf numFmtId="0" fontId="8" fillId="29" borderId="102" xfId="51" applyFont="1" applyFill="1" applyBorder="1" applyAlignment="1">
      <alignment horizontal="right" wrapText="1"/>
    </xf>
    <xf numFmtId="0" fontId="8" fillId="29" borderId="103" xfId="51" applyFont="1" applyFill="1" applyBorder="1" applyAlignment="1">
      <alignment horizontal="right" wrapText="1"/>
    </xf>
    <xf numFmtId="1" fontId="8" fillId="29" borderId="102" xfId="51" applyNumberFormat="1" applyFont="1" applyFill="1" applyBorder="1" applyAlignment="1">
      <alignment horizontal="right" wrapText="1"/>
    </xf>
    <xf numFmtId="1" fontId="8" fillId="29" borderId="104" xfId="51" applyNumberFormat="1" applyFont="1" applyFill="1" applyBorder="1" applyAlignment="1">
      <alignment horizontal="right" wrapText="1"/>
    </xf>
    <xf numFmtId="1" fontId="8" fillId="29" borderId="105" xfId="51" applyNumberFormat="1" applyFont="1" applyFill="1" applyBorder="1" applyAlignment="1">
      <alignment horizontal="right" wrapText="1"/>
    </xf>
    <xf numFmtId="0" fontId="0" fillId="33" borderId="106" xfId="0" applyFont="1" applyFill="1" applyBorder="1"/>
    <xf numFmtId="1" fontId="8" fillId="34" borderId="102" xfId="51" applyNumberFormat="1" applyFont="1" applyFill="1" applyBorder="1" applyAlignment="1">
      <alignment horizontal="right" wrapText="1"/>
    </xf>
    <xf numFmtId="1" fontId="8" fillId="34" borderId="104" xfId="51" applyNumberFormat="1" applyFont="1" applyFill="1" applyBorder="1" applyAlignment="1">
      <alignment horizontal="right" wrapText="1"/>
    </xf>
    <xf numFmtId="1" fontId="8" fillId="34" borderId="105" xfId="51" applyNumberFormat="1" applyFont="1" applyFill="1" applyBorder="1" applyAlignment="1">
      <alignment horizontal="right" wrapText="1"/>
    </xf>
    <xf numFmtId="1" fontId="8" fillId="35" borderId="104" xfId="51" applyNumberFormat="1" applyFont="1" applyFill="1" applyBorder="1" applyAlignment="1">
      <alignment horizontal="right" wrapText="1"/>
    </xf>
    <xf numFmtId="0" fontId="0" fillId="0" borderId="31" xfId="0" applyBorder="1" applyAlignment="1">
      <alignment horizontal="center"/>
    </xf>
    <xf numFmtId="0" fontId="1" fillId="0" borderId="89" xfId="1" applyBorder="1" applyAlignment="1">
      <alignment horizontal="left" vertical="top" wrapText="1"/>
    </xf>
    <xf numFmtId="165" fontId="28" fillId="0" borderId="0" xfId="96" applyNumberFormat="1" applyFont="1" applyFill="1"/>
    <xf numFmtId="9" fontId="0" fillId="28" borderId="1" xfId="0" applyNumberFormat="1" applyFill="1" applyBorder="1" applyAlignment="1">
      <alignment horizontal="centerContinuous"/>
    </xf>
    <xf numFmtId="0" fontId="0" fillId="28" borderId="2" xfId="0" applyFill="1" applyBorder="1" applyAlignment="1">
      <alignment horizontal="centerContinuous"/>
    </xf>
    <xf numFmtId="0" fontId="0" fillId="28" borderId="3" xfId="0" applyFill="1" applyBorder="1" applyAlignment="1">
      <alignment horizontal="centerContinuous"/>
    </xf>
    <xf numFmtId="2" fontId="0" fillId="0" borderId="0" xfId="0" applyNumberFormat="1"/>
    <xf numFmtId="0" fontId="0" fillId="0" borderId="32" xfId="0" applyBorder="1"/>
    <xf numFmtId="166" fontId="0" fillId="29" borderId="0" xfId="0" applyNumberFormat="1" applyFill="1" applyBorder="1" applyAlignment="1">
      <alignment horizontal="right"/>
    </xf>
    <xf numFmtId="166" fontId="0" fillId="29" borderId="39" xfId="0" applyNumberFormat="1" applyFill="1" applyBorder="1" applyAlignment="1">
      <alignment horizontal="right"/>
    </xf>
    <xf numFmtId="166" fontId="0" fillId="29" borderId="31" xfId="0" applyNumberFormat="1" applyFill="1" applyBorder="1" applyAlignment="1">
      <alignment horizontal="right"/>
    </xf>
    <xf numFmtId="166" fontId="0" fillId="29" borderId="28" xfId="0" applyNumberFormat="1" applyFill="1" applyBorder="1" applyAlignment="1">
      <alignment horizontal="right"/>
    </xf>
    <xf numFmtId="166" fontId="0" fillId="29" borderId="29" xfId="0" applyNumberFormat="1" applyFill="1" applyBorder="1" applyAlignment="1">
      <alignment horizontal="right"/>
    </xf>
    <xf numFmtId="166" fontId="0" fillId="29" borderId="34" xfId="0" applyNumberFormat="1" applyFill="1" applyBorder="1" applyAlignment="1">
      <alignment horizontal="right"/>
    </xf>
    <xf numFmtId="166" fontId="0" fillId="29" borderId="38" xfId="0" applyNumberFormat="1" applyFill="1" applyBorder="1" applyAlignment="1">
      <alignment horizontal="right"/>
    </xf>
    <xf numFmtId="166" fontId="0" fillId="29" borderId="30" xfId="0" applyNumberFormat="1" applyFill="1" applyBorder="1" applyAlignment="1">
      <alignment horizontal="right"/>
    </xf>
    <xf numFmtId="166" fontId="0" fillId="29" borderId="32" xfId="0" applyNumberFormat="1" applyFill="1" applyBorder="1" applyAlignment="1">
      <alignment horizontal="right"/>
    </xf>
    <xf numFmtId="166" fontId="0" fillId="29" borderId="94" xfId="0" applyNumberFormat="1" applyFill="1" applyBorder="1" applyAlignment="1">
      <alignment horizontal="right"/>
    </xf>
    <xf numFmtId="166" fontId="0" fillId="29" borderId="95" xfId="0" applyNumberFormat="1" applyFill="1" applyBorder="1" applyAlignment="1">
      <alignment horizontal="right"/>
    </xf>
    <xf numFmtId="166" fontId="0" fillId="29" borderId="96" xfId="0" applyNumberFormat="1" applyFill="1" applyBorder="1" applyAlignment="1">
      <alignment horizontal="right"/>
    </xf>
    <xf numFmtId="0" fontId="47" fillId="0" borderId="0" xfId="0" applyFont="1" applyFill="1" applyAlignment="1">
      <alignment vertical="top"/>
    </xf>
    <xf numFmtId="0" fontId="47" fillId="0" borderId="0" xfId="0" applyFont="1" applyAlignment="1">
      <alignment vertical="top"/>
    </xf>
    <xf numFmtId="0" fontId="0" fillId="27" borderId="33" xfId="0" applyFill="1" applyBorder="1" applyAlignment="1">
      <alignment horizontal="center" wrapText="1"/>
    </xf>
    <xf numFmtId="164" fontId="5" fillId="0" borderId="13" xfId="1" applyNumberFormat="1" applyFont="1" applyFill="1" applyBorder="1" applyAlignment="1">
      <alignment horizontal="right" vertical="top"/>
    </xf>
    <xf numFmtId="164" fontId="0" fillId="39" borderId="46" xfId="0" applyNumberFormat="1" applyFont="1" applyFill="1" applyBorder="1" applyAlignment="1">
      <alignment horizontal="right"/>
    </xf>
    <xf numFmtId="164" fontId="0" fillId="39" borderId="62" xfId="0" applyNumberFormat="1" applyFont="1" applyFill="1" applyBorder="1" applyAlignment="1">
      <alignment horizontal="right"/>
    </xf>
    <xf numFmtId="164" fontId="0" fillId="39" borderId="104" xfId="0" applyNumberFormat="1" applyFont="1" applyFill="1" applyBorder="1" applyAlignment="1">
      <alignment horizontal="right"/>
    </xf>
    <xf numFmtId="164" fontId="0" fillId="39" borderId="105" xfId="0" applyNumberFormat="1" applyFont="1" applyFill="1" applyBorder="1" applyAlignment="1">
      <alignment horizontal="right"/>
    </xf>
    <xf numFmtId="0" fontId="37" fillId="0" borderId="0" xfId="67"/>
    <xf numFmtId="0" fontId="0" fillId="0" borderId="0" xfId="0"/>
    <xf numFmtId="164" fontId="33" fillId="34" borderId="30" xfId="0" applyNumberFormat="1" applyFont="1" applyFill="1" applyBorder="1" applyAlignment="1">
      <alignment horizontal="center" wrapText="1"/>
    </xf>
    <xf numFmtId="164" fontId="33" fillId="34" borderId="30" xfId="0" applyNumberFormat="1" applyFont="1" applyFill="1" applyBorder="1" applyAlignment="1">
      <alignment horizontal="center"/>
    </xf>
    <xf numFmtId="10" fontId="0" fillId="32" borderId="61" xfId="0" applyNumberFormat="1" applyFont="1" applyFill="1" applyBorder="1"/>
    <xf numFmtId="164" fontId="33" fillId="34" borderId="108" xfId="0" applyNumberFormat="1" applyFont="1" applyFill="1" applyBorder="1" applyAlignment="1">
      <alignment horizontal="center"/>
    </xf>
    <xf numFmtId="164" fontId="33" fillId="34" borderId="107" xfId="0" applyNumberFormat="1" applyFont="1" applyFill="1" applyBorder="1" applyAlignment="1">
      <alignment horizontal="center"/>
    </xf>
    <xf numFmtId="164" fontId="33" fillId="29" borderId="108" xfId="0" applyNumberFormat="1" applyFont="1" applyFill="1" applyBorder="1" applyAlignment="1">
      <alignment horizontal="center"/>
    </xf>
    <xf numFmtId="10" fontId="0" fillId="32" borderId="102" xfId="0" applyNumberFormat="1" applyFont="1" applyFill="1" applyBorder="1"/>
    <xf numFmtId="164" fontId="0" fillId="32" borderId="70" xfId="0" applyNumberFormat="1" applyFont="1" applyFill="1" applyBorder="1"/>
    <xf numFmtId="164" fontId="33" fillId="29" borderId="107" xfId="0" applyNumberFormat="1" applyFont="1" applyFill="1" applyBorder="1" applyAlignment="1">
      <alignment horizontal="center"/>
    </xf>
    <xf numFmtId="164" fontId="33" fillId="35" borderId="108" xfId="0" applyNumberFormat="1" applyFont="1" applyFill="1" applyBorder="1" applyAlignment="1">
      <alignment horizontal="center" wrapText="1"/>
    </xf>
    <xf numFmtId="164" fontId="33" fillId="35" borderId="107" xfId="0" applyNumberFormat="1" applyFont="1" applyFill="1" applyBorder="1" applyAlignment="1">
      <alignment horizontal="center" wrapText="1"/>
    </xf>
    <xf numFmtId="164" fontId="33" fillId="34" borderId="107" xfId="0" applyNumberFormat="1" applyFont="1" applyFill="1" applyBorder="1" applyAlignment="1">
      <alignment horizontal="center" wrapText="1"/>
    </xf>
    <xf numFmtId="0" fontId="0" fillId="0" borderId="0" xfId="0"/>
    <xf numFmtId="10" fontId="5" fillId="0" borderId="107" xfId="1" applyNumberFormat="1" applyFont="1" applyFill="1" applyBorder="1"/>
    <xf numFmtId="165" fontId="0" fillId="32" borderId="112" xfId="0" applyNumberFormat="1" applyFont="1" applyFill="1" applyBorder="1"/>
    <xf numFmtId="164" fontId="3" fillId="2" borderId="0" xfId="1" applyNumberFormat="1" applyFont="1" applyFill="1" applyAlignment="1">
      <alignment vertical="top"/>
    </xf>
    <xf numFmtId="164" fontId="1" fillId="2" borderId="0" xfId="1" applyNumberFormat="1" applyFont="1" applyFill="1" applyAlignment="1">
      <alignment vertical="top"/>
    </xf>
    <xf numFmtId="164" fontId="5" fillId="2" borderId="0" xfId="1" applyNumberFormat="1" applyFont="1" applyFill="1" applyAlignment="1">
      <alignment vertical="top"/>
    </xf>
    <xf numFmtId="164" fontId="5" fillId="3" borderId="4" xfId="1" applyNumberFormat="1" applyFont="1" applyFill="1" applyBorder="1" applyAlignment="1">
      <alignment horizontal="center" vertical="center" wrapText="1"/>
    </xf>
    <xf numFmtId="164" fontId="5" fillId="3" borderId="6" xfId="1" applyNumberFormat="1" applyFont="1" applyFill="1" applyBorder="1" applyAlignment="1">
      <alignment horizontal="center" vertical="center" wrapText="1"/>
    </xf>
    <xf numFmtId="164" fontId="5" fillId="3" borderId="5" xfId="1" applyNumberFormat="1" applyFont="1" applyFill="1" applyBorder="1" applyAlignment="1">
      <alignment horizontal="center" vertical="center" wrapText="1"/>
    </xf>
    <xf numFmtId="164" fontId="5" fillId="0" borderId="10" xfId="1" applyNumberFormat="1" applyFont="1" applyFill="1" applyBorder="1" applyAlignment="1">
      <alignment vertical="top"/>
    </xf>
    <xf numFmtId="164" fontId="5" fillId="0" borderId="12" xfId="1" applyNumberFormat="1" applyFont="1" applyFill="1" applyBorder="1" applyAlignment="1">
      <alignment horizontal="right" vertical="top"/>
    </xf>
    <xf numFmtId="164" fontId="5" fillId="0" borderId="12" xfId="1" applyNumberFormat="1" applyFont="1" applyFill="1" applyBorder="1" applyAlignment="1">
      <alignment vertical="top"/>
    </xf>
    <xf numFmtId="164" fontId="5" fillId="0" borderId="10" xfId="1" applyNumberFormat="1" applyFont="1" applyFill="1" applyBorder="1" applyAlignment="1">
      <alignment horizontal="center" vertical="top"/>
    </xf>
    <xf numFmtId="164" fontId="5" fillId="0" borderId="10" xfId="1" applyNumberFormat="1" applyFont="1" applyFill="1" applyBorder="1" applyAlignment="1">
      <alignment horizontal="right" vertical="top"/>
    </xf>
    <xf numFmtId="164" fontId="5" fillId="0" borderId="12" xfId="1" quotePrefix="1" applyNumberFormat="1" applyFont="1" applyFill="1" applyBorder="1" applyAlignment="1">
      <alignment horizontal="right" vertical="top"/>
    </xf>
    <xf numFmtId="164" fontId="5" fillId="0" borderId="13" xfId="1" applyNumberFormat="1" applyFont="1" applyFill="1" applyBorder="1" applyAlignment="1">
      <alignment vertical="top"/>
    </xf>
    <xf numFmtId="164" fontId="5" fillId="0" borderId="15" xfId="1" applyNumberFormat="1" applyFont="1" applyFill="1" applyBorder="1" applyAlignment="1">
      <alignment vertical="top"/>
    </xf>
    <xf numFmtId="164" fontId="5" fillId="0" borderId="13" xfId="1" applyNumberFormat="1" applyFont="1" applyFill="1" applyBorder="1" applyAlignment="1">
      <alignment horizontal="center" vertical="top"/>
    </xf>
    <xf numFmtId="164" fontId="33" fillId="29" borderId="107" xfId="0" applyNumberFormat="1" applyFont="1" applyFill="1" applyBorder="1" applyAlignment="1">
      <alignment horizontal="center"/>
    </xf>
    <xf numFmtId="164" fontId="0" fillId="35" borderId="98" xfId="0" applyNumberFormat="1" applyFont="1" applyFill="1" applyBorder="1"/>
    <xf numFmtId="164" fontId="0" fillId="35" borderId="99" xfId="0" applyNumberFormat="1" applyFont="1" applyFill="1" applyBorder="1"/>
    <xf numFmtId="164" fontId="0" fillId="35" borderId="47" xfId="0" applyNumberFormat="1" applyFont="1" applyFill="1" applyBorder="1"/>
    <xf numFmtId="164" fontId="0" fillId="35" borderId="113" xfId="0" applyNumberFormat="1" applyFont="1" applyFill="1" applyBorder="1"/>
    <xf numFmtId="164" fontId="0" fillId="35" borderId="104" xfId="0" applyNumberFormat="1" applyFont="1" applyFill="1" applyBorder="1"/>
    <xf numFmtId="164" fontId="0" fillId="35" borderId="105" xfId="0" applyNumberFormat="1" applyFont="1" applyFill="1" applyBorder="1"/>
    <xf numFmtId="164" fontId="5" fillId="35" borderId="1" xfId="0" applyNumberFormat="1" applyFont="1" applyFill="1" applyBorder="1" applyAlignment="1">
      <alignment horizontal="center" wrapText="1"/>
    </xf>
    <xf numFmtId="10" fontId="0" fillId="35" borderId="97" xfId="0" applyNumberFormat="1" applyFont="1" applyFill="1" applyBorder="1" applyAlignment="1">
      <alignment horizontal="center"/>
    </xf>
    <xf numFmtId="10" fontId="0" fillId="35" borderId="109" xfId="0" applyNumberFormat="1" applyFont="1" applyFill="1" applyBorder="1" applyAlignment="1">
      <alignment horizontal="center"/>
    </xf>
    <xf numFmtId="10" fontId="0" fillId="35" borderId="109" xfId="0" applyNumberFormat="1" applyFill="1" applyBorder="1" applyAlignment="1">
      <alignment horizontal="center" wrapText="1"/>
    </xf>
    <xf numFmtId="10" fontId="0" fillId="35" borderId="102" xfId="0" applyNumberFormat="1" applyFont="1" applyFill="1" applyBorder="1" applyAlignment="1">
      <alignment horizontal="center"/>
    </xf>
    <xf numFmtId="164" fontId="0" fillId="35" borderId="97" xfId="0" applyNumberFormat="1" applyFont="1" applyFill="1" applyBorder="1"/>
    <xf numFmtId="164" fontId="0" fillId="35" borderId="109" xfId="0" applyNumberFormat="1" applyFont="1" applyFill="1" applyBorder="1"/>
    <xf numFmtId="164" fontId="0" fillId="35" borderId="102" xfId="0" applyNumberFormat="1" applyFont="1" applyFill="1" applyBorder="1"/>
    <xf numFmtId="164" fontId="33" fillId="29" borderId="107" xfId="0" applyNumberFormat="1" applyFont="1" applyFill="1" applyBorder="1" applyAlignment="1">
      <alignment horizontal="center"/>
    </xf>
    <xf numFmtId="0" fontId="0" fillId="27" borderId="4" xfId="0" applyFill="1" applyBorder="1" applyAlignment="1">
      <alignment horizontal="center"/>
    </xf>
    <xf numFmtId="0" fontId="0" fillId="27" borderId="6" xfId="0" applyFill="1" applyBorder="1" applyAlignment="1">
      <alignment horizontal="center"/>
    </xf>
    <xf numFmtId="0" fontId="0" fillId="27" borderId="5" xfId="0" applyFill="1" applyBorder="1" applyAlignment="1">
      <alignment horizontal="center"/>
    </xf>
    <xf numFmtId="0" fontId="0" fillId="28" borderId="4" xfId="0" applyFill="1" applyBorder="1" applyAlignment="1">
      <alignment horizontal="center"/>
    </xf>
    <xf numFmtId="0" fontId="0" fillId="28" borderId="6" xfId="0" applyFill="1" applyBorder="1" applyAlignment="1">
      <alignment horizontal="center"/>
    </xf>
    <xf numFmtId="0" fontId="0" fillId="28" borderId="5" xfId="0" applyFill="1" applyBorder="1" applyAlignment="1">
      <alignment horizontal="center"/>
    </xf>
    <xf numFmtId="0" fontId="0" fillId="29" borderId="4" xfId="0" applyFill="1" applyBorder="1" applyAlignment="1">
      <alignment horizontal="center"/>
    </xf>
    <xf numFmtId="0" fontId="0" fillId="29" borderId="6" xfId="0" applyFill="1" applyBorder="1" applyAlignment="1">
      <alignment horizontal="center"/>
    </xf>
    <xf numFmtId="0" fontId="0" fillId="29" borderId="5" xfId="0" applyFill="1" applyBorder="1" applyAlignment="1">
      <alignment horizontal="center"/>
    </xf>
    <xf numFmtId="164" fontId="33" fillId="41" borderId="30" xfId="0" applyNumberFormat="1" applyFont="1" applyFill="1" applyBorder="1" applyAlignment="1">
      <alignment horizontal="center"/>
    </xf>
    <xf numFmtId="164" fontId="33" fillId="41" borderId="107" xfId="0" applyNumberFormat="1" applyFont="1" applyFill="1" applyBorder="1" applyAlignment="1">
      <alignment horizontal="center"/>
    </xf>
    <xf numFmtId="164" fontId="33" fillId="41" borderId="108" xfId="0" applyNumberFormat="1" applyFont="1" applyFill="1" applyBorder="1" applyAlignment="1">
      <alignment horizontal="center"/>
    </xf>
    <xf numFmtId="164" fontId="5" fillId="41" borderId="33" xfId="0" applyNumberFormat="1" applyFont="1" applyFill="1" applyBorder="1" applyAlignment="1">
      <alignment horizontal="center" wrapText="1"/>
    </xf>
    <xf numFmtId="164" fontId="5" fillId="41" borderId="3" xfId="0" applyNumberFormat="1" applyFont="1" applyFill="1" applyBorder="1" applyAlignment="1">
      <alignment horizontal="center" wrapText="1"/>
    </xf>
    <xf numFmtId="1" fontId="8" fillId="41" borderId="61" xfId="51" applyNumberFormat="1" applyFont="1" applyFill="1" applyBorder="1" applyAlignment="1">
      <alignment horizontal="right" wrapText="1"/>
    </xf>
    <xf numFmtId="1" fontId="8" fillId="41" borderId="46" xfId="51" applyNumberFormat="1" applyFont="1" applyFill="1" applyBorder="1" applyAlignment="1">
      <alignment horizontal="right" wrapText="1"/>
    </xf>
    <xf numFmtId="1" fontId="8" fillId="41" borderId="62" xfId="51" applyNumberFormat="1" applyFont="1" applyFill="1" applyBorder="1" applyAlignment="1">
      <alignment horizontal="right" wrapText="1"/>
    </xf>
    <xf numFmtId="164" fontId="33" fillId="35" borderId="107" xfId="0" applyNumberFormat="1" applyFont="1" applyFill="1" applyBorder="1" applyAlignment="1">
      <alignment horizontal="center" wrapText="1"/>
    </xf>
    <xf numFmtId="0" fontId="47" fillId="0" borderId="29" xfId="0" applyFont="1" applyFill="1" applyBorder="1" applyAlignment="1">
      <alignment vertical="top"/>
    </xf>
    <xf numFmtId="0" fontId="47" fillId="0" borderId="108" xfId="0" applyFont="1" applyFill="1" applyBorder="1" applyAlignment="1">
      <alignment vertical="top"/>
    </xf>
    <xf numFmtId="164" fontId="5" fillId="35" borderId="3" xfId="0" applyNumberFormat="1" applyFont="1" applyFill="1" applyBorder="1" applyAlignment="1">
      <alignment horizontal="center" wrapText="1"/>
    </xf>
    <xf numFmtId="1" fontId="8" fillId="35" borderId="62" xfId="51" applyNumberFormat="1" applyFont="1" applyFill="1" applyBorder="1" applyAlignment="1">
      <alignment horizontal="right" wrapText="1"/>
    </xf>
    <xf numFmtId="164" fontId="0" fillId="32" borderId="63" xfId="0" applyNumberFormat="1" applyFont="1" applyFill="1" applyBorder="1"/>
    <xf numFmtId="1" fontId="8" fillId="41" borderId="102" xfId="51" applyNumberFormat="1" applyFont="1" applyFill="1" applyBorder="1" applyAlignment="1">
      <alignment horizontal="right" wrapText="1"/>
    </xf>
    <xf numFmtId="1" fontId="8" fillId="41" borderId="104" xfId="51" applyNumberFormat="1" applyFont="1" applyFill="1" applyBorder="1" applyAlignment="1">
      <alignment horizontal="right" wrapText="1"/>
    </xf>
    <xf numFmtId="1" fontId="8" fillId="41" borderId="105" xfId="51" applyNumberFormat="1" applyFont="1" applyFill="1" applyBorder="1" applyAlignment="1">
      <alignment horizontal="right" wrapText="1"/>
    </xf>
    <xf numFmtId="1" fontId="8" fillId="35" borderId="105" xfId="51" applyNumberFormat="1" applyFont="1" applyFill="1" applyBorder="1" applyAlignment="1">
      <alignment horizontal="right" wrapText="1"/>
    </xf>
    <xf numFmtId="164" fontId="0" fillId="32" borderId="115" xfId="0" applyNumberFormat="1" applyFont="1" applyFill="1" applyBorder="1"/>
    <xf numFmtId="164" fontId="0" fillId="32" borderId="116" xfId="0" applyNumberFormat="1" applyFont="1" applyFill="1" applyBorder="1"/>
    <xf numFmtId="164" fontId="0" fillId="32" borderId="103" xfId="0" applyNumberFormat="1" applyFont="1" applyFill="1" applyBorder="1"/>
    <xf numFmtId="165" fontId="0" fillId="39" borderId="103" xfId="0" applyNumberFormat="1" applyFont="1" applyFill="1" applyBorder="1"/>
    <xf numFmtId="165" fontId="0" fillId="35" borderId="110" xfId="0" applyNumberFormat="1" applyFont="1" applyFill="1" applyBorder="1"/>
    <xf numFmtId="165" fontId="0" fillId="35" borderId="111" xfId="0" applyNumberFormat="1" applyFont="1" applyFill="1" applyBorder="1"/>
    <xf numFmtId="165" fontId="0" fillId="35" borderId="103" xfId="0" applyNumberFormat="1" applyFont="1" applyFill="1" applyBorder="1"/>
    <xf numFmtId="171" fontId="8" fillId="41" borderId="65" xfId="51" applyNumberFormat="1" applyFont="1" applyFill="1" applyBorder="1" applyAlignment="1">
      <alignment wrapText="1"/>
    </xf>
    <xf numFmtId="171" fontId="8" fillId="41" borderId="46" xfId="51" applyNumberFormat="1" applyFont="1" applyFill="1" applyBorder="1" applyAlignment="1">
      <alignment wrapText="1"/>
    </xf>
    <xf numFmtId="171" fontId="8" fillId="41" borderId="106" xfId="51" applyNumberFormat="1" applyFont="1" applyFill="1" applyBorder="1" applyAlignment="1">
      <alignment wrapText="1"/>
    </xf>
    <xf numFmtId="171" fontId="8" fillId="41" borderId="104" xfId="51" applyNumberFormat="1" applyFont="1" applyFill="1" applyBorder="1" applyAlignment="1">
      <alignment wrapText="1"/>
    </xf>
    <xf numFmtId="171" fontId="8" fillId="34" borderId="61" xfId="51" applyNumberFormat="1" applyFont="1" applyFill="1" applyBorder="1" applyAlignment="1">
      <alignment wrapText="1"/>
    </xf>
    <xf numFmtId="171" fontId="8" fillId="34" borderId="46" xfId="51" applyNumberFormat="1" applyFont="1" applyFill="1" applyBorder="1" applyAlignment="1">
      <alignment wrapText="1"/>
    </xf>
    <xf numFmtId="171" fontId="8" fillId="34" borderId="62" xfId="51" applyNumberFormat="1" applyFont="1" applyFill="1" applyBorder="1" applyAlignment="1">
      <alignment wrapText="1"/>
    </xf>
    <xf numFmtId="171" fontId="8" fillId="34" borderId="102" xfId="51" applyNumberFormat="1" applyFont="1" applyFill="1" applyBorder="1" applyAlignment="1">
      <alignment wrapText="1"/>
    </xf>
    <xf numFmtId="171" fontId="8" fillId="34" borderId="104" xfId="51" applyNumberFormat="1" applyFont="1" applyFill="1" applyBorder="1" applyAlignment="1">
      <alignment wrapText="1"/>
    </xf>
    <xf numFmtId="171" fontId="8" fillId="34" borderId="105" xfId="51" applyNumberFormat="1" applyFont="1" applyFill="1" applyBorder="1" applyAlignment="1">
      <alignment wrapText="1"/>
    </xf>
    <xf numFmtId="171" fontId="8" fillId="35" borderId="70" xfId="51" applyNumberFormat="1" applyFont="1" applyFill="1" applyBorder="1" applyAlignment="1">
      <alignment horizontal="right" wrapText="1"/>
    </xf>
    <xf numFmtId="171" fontId="8" fillId="35" borderId="46" xfId="51" applyNumberFormat="1" applyFont="1" applyFill="1" applyBorder="1" applyAlignment="1">
      <alignment horizontal="right" wrapText="1"/>
    </xf>
    <xf numFmtId="171" fontId="8" fillId="35" borderId="115" xfId="51" applyNumberFormat="1" applyFont="1" applyFill="1" applyBorder="1" applyAlignment="1">
      <alignment horizontal="right" wrapText="1"/>
    </xf>
    <xf numFmtId="171" fontId="8" fillId="35" borderId="104" xfId="51" applyNumberFormat="1" applyFont="1" applyFill="1" applyBorder="1" applyAlignment="1">
      <alignment horizontal="right" wrapText="1"/>
    </xf>
    <xf numFmtId="171" fontId="0" fillId="32" borderId="70" xfId="0" applyNumberFormat="1" applyFont="1" applyFill="1" applyBorder="1"/>
    <xf numFmtId="171" fontId="0" fillId="32" borderId="46" xfId="0" applyNumberFormat="1" applyFont="1" applyFill="1" applyBorder="1"/>
    <xf numFmtId="171" fontId="0" fillId="32" borderId="63" xfId="0" applyNumberFormat="1" applyFont="1" applyFill="1" applyBorder="1"/>
    <xf numFmtId="171" fontId="0" fillId="32" borderId="115" xfId="0" applyNumberFormat="1" applyFont="1" applyFill="1" applyBorder="1"/>
    <xf numFmtId="171" fontId="0" fillId="32" borderId="104" xfId="0" applyNumberFormat="1" applyFont="1" applyFill="1" applyBorder="1"/>
    <xf numFmtId="171" fontId="0" fillId="32" borderId="116" xfId="0" applyNumberFormat="1" applyFont="1" applyFill="1" applyBorder="1"/>
    <xf numFmtId="0" fontId="0" fillId="0" borderId="0" xfId="0"/>
    <xf numFmtId="164" fontId="1" fillId="2" borderId="0" xfId="1" applyNumberFormat="1" applyFont="1" applyFill="1" applyAlignment="1">
      <alignment vertical="top"/>
    </xf>
    <xf numFmtId="164" fontId="5" fillId="2" borderId="0" xfId="1" applyNumberFormat="1" applyFont="1" applyFill="1" applyAlignment="1">
      <alignment vertical="top"/>
    </xf>
    <xf numFmtId="164" fontId="5" fillId="3" borderId="4" xfId="1" applyNumberFormat="1" applyFont="1" applyFill="1" applyBorder="1" applyAlignment="1">
      <alignment horizontal="center" vertical="center" wrapText="1"/>
    </xf>
    <xf numFmtId="164" fontId="5" fillId="3" borderId="6" xfId="1" applyNumberFormat="1" applyFont="1" applyFill="1" applyBorder="1" applyAlignment="1">
      <alignment horizontal="center" vertical="center" wrapText="1"/>
    </xf>
    <xf numFmtId="164" fontId="5" fillId="3" borderId="5" xfId="1" applyNumberFormat="1" applyFont="1" applyFill="1" applyBorder="1" applyAlignment="1">
      <alignment horizontal="center" vertical="center" wrapText="1"/>
    </xf>
    <xf numFmtId="164" fontId="5" fillId="0" borderId="10" xfId="1" applyNumberFormat="1" applyFont="1" applyFill="1" applyBorder="1" applyAlignment="1">
      <alignment vertical="top"/>
    </xf>
    <xf numFmtId="164" fontId="5" fillId="0" borderId="12" xfId="1" applyNumberFormat="1" applyFont="1" applyFill="1" applyBorder="1" applyAlignment="1">
      <alignment horizontal="right" vertical="top"/>
    </xf>
    <xf numFmtId="164" fontId="5" fillId="0" borderId="12" xfId="1" applyNumberFormat="1" applyFont="1" applyFill="1" applyBorder="1" applyAlignment="1">
      <alignment vertical="top"/>
    </xf>
    <xf numFmtId="164" fontId="5" fillId="0" borderId="10" xfId="1" applyNumberFormat="1" applyFont="1" applyFill="1" applyBorder="1" applyAlignment="1">
      <alignment horizontal="right" vertical="top"/>
    </xf>
    <xf numFmtId="164" fontId="5" fillId="0" borderId="12" xfId="1" quotePrefix="1" applyNumberFormat="1" applyFont="1" applyFill="1" applyBorder="1" applyAlignment="1">
      <alignment horizontal="right" vertical="top"/>
    </xf>
    <xf numFmtId="164" fontId="5" fillId="0" borderId="15" xfId="1" applyNumberFormat="1" applyFont="1" applyFill="1" applyBorder="1" applyAlignment="1">
      <alignment horizontal="right" vertical="top"/>
    </xf>
    <xf numFmtId="164" fontId="5" fillId="0" borderId="14" xfId="1" applyNumberFormat="1" applyFont="1" applyFill="1" applyBorder="1" applyAlignment="1">
      <alignment horizontal="right" vertical="top"/>
    </xf>
    <xf numFmtId="164" fontId="5" fillId="0" borderId="9" xfId="1" applyNumberFormat="1" applyFont="1" applyFill="1" applyBorder="1" applyAlignment="1">
      <alignment horizontal="center" vertical="top"/>
    </xf>
    <xf numFmtId="164" fontId="5" fillId="0" borderId="8" xfId="1" applyNumberFormat="1" applyFont="1" applyFill="1" applyBorder="1" applyAlignment="1">
      <alignment horizontal="center" vertical="top"/>
    </xf>
    <xf numFmtId="164" fontId="5" fillId="0" borderId="12" xfId="1" applyNumberFormat="1" applyFont="1" applyFill="1" applyBorder="1" applyAlignment="1">
      <alignment horizontal="center" vertical="top"/>
    </xf>
    <xf numFmtId="164" fontId="5" fillId="0" borderId="11" xfId="1" applyNumberFormat="1" applyFont="1" applyFill="1" applyBorder="1" applyAlignment="1">
      <alignment horizontal="center" vertical="top"/>
    </xf>
    <xf numFmtId="164" fontId="5" fillId="0" borderId="15" xfId="1" applyNumberFormat="1" applyFont="1" applyFill="1" applyBorder="1" applyAlignment="1">
      <alignment horizontal="center" vertical="top"/>
    </xf>
    <xf numFmtId="164" fontId="5" fillId="0" borderId="14" xfId="1" applyNumberFormat="1" applyFont="1" applyFill="1" applyBorder="1" applyAlignment="1">
      <alignment horizontal="center" vertical="top"/>
    </xf>
    <xf numFmtId="164" fontId="0" fillId="32" borderId="104" xfId="0" applyNumberFormat="1" applyFont="1" applyFill="1" applyBorder="1"/>
    <xf numFmtId="165" fontId="0" fillId="32" borderId="128" xfId="0" applyNumberFormat="1" applyFont="1" applyFill="1" applyBorder="1"/>
    <xf numFmtId="10" fontId="0" fillId="32" borderId="115" xfId="0" applyNumberFormat="1" applyFont="1" applyFill="1" applyBorder="1"/>
    <xf numFmtId="10" fontId="0" fillId="32" borderId="70" xfId="0" applyNumberFormat="1" applyFont="1" applyFill="1" applyBorder="1"/>
    <xf numFmtId="0" fontId="54" fillId="0" borderId="117" xfId="0" applyFont="1" applyBorder="1" applyAlignment="1">
      <alignment horizontal="left"/>
    </xf>
    <xf numFmtId="164" fontId="27" fillId="2" borderId="3" xfId="725" applyNumberFormat="1" applyFont="1" applyFill="1" applyBorder="1" applyAlignment="1">
      <alignment horizontal="center" vertical="center"/>
    </xf>
    <xf numFmtId="164" fontId="27" fillId="2" borderId="33" xfId="725" applyNumberFormat="1" applyFont="1" applyFill="1" applyBorder="1" applyAlignment="1">
      <alignment horizontal="center" vertical="center"/>
    </xf>
    <xf numFmtId="0" fontId="53" fillId="0" borderId="0" xfId="0" applyFont="1" applyAlignment="1">
      <alignment vertical="center"/>
    </xf>
    <xf numFmtId="10" fontId="31" fillId="0" borderId="125" xfId="0" applyNumberFormat="1" applyFont="1" applyFill="1" applyBorder="1" applyAlignment="1">
      <alignment horizontal="center" vertical="center"/>
    </xf>
    <xf numFmtId="10" fontId="31" fillId="0" borderId="123" xfId="0" applyNumberFormat="1" applyFont="1" applyFill="1" applyBorder="1" applyAlignment="1">
      <alignment horizontal="center" vertical="center"/>
    </xf>
    <xf numFmtId="10" fontId="31" fillId="0" borderId="121" xfId="0" applyNumberFormat="1" applyFont="1" applyFill="1" applyBorder="1" applyAlignment="1">
      <alignment horizontal="center" vertical="center"/>
    </xf>
    <xf numFmtId="10" fontId="31" fillId="0" borderId="118" xfId="0" applyNumberFormat="1" applyFont="1" applyFill="1" applyBorder="1" applyAlignment="1">
      <alignment horizontal="center" vertical="center"/>
    </xf>
    <xf numFmtId="0" fontId="26" fillId="0" borderId="5" xfId="0" applyFont="1" applyFill="1" applyBorder="1" applyAlignment="1">
      <alignment horizontal="center" vertical="center"/>
    </xf>
    <xf numFmtId="0" fontId="55" fillId="0" borderId="0" xfId="0" applyFont="1"/>
    <xf numFmtId="9" fontId="54" fillId="0" borderId="125" xfId="729" applyFont="1" applyFill="1" applyBorder="1" applyAlignment="1">
      <alignment horizontal="left"/>
    </xf>
    <xf numFmtId="0" fontId="31" fillId="0" borderId="124" xfId="0" applyFont="1" applyFill="1" applyBorder="1" applyAlignment="1">
      <alignment horizontal="center"/>
    </xf>
    <xf numFmtId="0" fontId="31" fillId="0" borderId="124" xfId="0" applyFont="1" applyFill="1" applyBorder="1" applyAlignment="1">
      <alignment horizontal="center" vertical="center"/>
    </xf>
    <xf numFmtId="0" fontId="54" fillId="0" borderId="122" xfId="0" applyFont="1" applyBorder="1" applyAlignment="1">
      <alignment horizontal="left"/>
    </xf>
    <xf numFmtId="9" fontId="54" fillId="0" borderId="121" xfId="729" applyFont="1" applyFill="1" applyBorder="1" applyAlignment="1">
      <alignment horizontal="left"/>
    </xf>
    <xf numFmtId="10" fontId="31" fillId="43" borderId="119" xfId="0" applyNumberFormat="1" applyFont="1" applyFill="1" applyBorder="1" applyAlignment="1">
      <alignment horizontal="center"/>
    </xf>
    <xf numFmtId="10" fontId="31" fillId="43" borderId="119" xfId="0" applyNumberFormat="1" applyFont="1" applyFill="1" applyBorder="1" applyAlignment="1">
      <alignment horizontal="center" vertical="center"/>
    </xf>
    <xf numFmtId="10" fontId="31" fillId="43" borderId="118" xfId="0" applyNumberFormat="1" applyFont="1" applyFill="1" applyBorder="1" applyAlignment="1">
      <alignment horizontal="center" vertical="center"/>
    </xf>
    <xf numFmtId="0" fontId="54" fillId="0" borderId="117" xfId="0" applyFont="1" applyBorder="1" applyAlignment="1">
      <alignment horizontal="left" indent="1"/>
    </xf>
    <xf numFmtId="0" fontId="26" fillId="0" borderId="5" xfId="0" applyFont="1" applyFill="1" applyBorder="1" applyAlignment="1">
      <alignment horizontal="left" vertical="center"/>
    </xf>
    <xf numFmtId="0" fontId="26" fillId="0" borderId="3" xfId="0" applyFont="1" applyFill="1" applyBorder="1" applyAlignment="1">
      <alignment horizontal="center" vertical="center"/>
    </xf>
    <xf numFmtId="0" fontId="26" fillId="0" borderId="33" xfId="0" applyFont="1" applyFill="1" applyBorder="1" applyAlignment="1">
      <alignment horizontal="center" vertical="center"/>
    </xf>
    <xf numFmtId="14" fontId="1" fillId="0" borderId="74" xfId="1" applyNumberFormat="1" applyBorder="1" applyAlignment="1">
      <alignment vertical="top"/>
    </xf>
    <xf numFmtId="14" fontId="1" fillId="0" borderId="78" xfId="1" applyNumberFormat="1" applyBorder="1" applyAlignment="1">
      <alignment vertical="top"/>
    </xf>
    <xf numFmtId="0" fontId="0" fillId="0" borderId="0" xfId="0"/>
    <xf numFmtId="0" fontId="0" fillId="0" borderId="0" xfId="0" applyAlignment="1">
      <alignment wrapText="1"/>
    </xf>
    <xf numFmtId="170" fontId="28" fillId="39" borderId="61" xfId="0" applyNumberFormat="1" applyFont="1" applyFill="1" applyBorder="1" applyAlignment="1">
      <alignment horizontal="center"/>
    </xf>
    <xf numFmtId="170" fontId="28" fillId="39" borderId="70" xfId="0" applyNumberFormat="1" applyFont="1" applyFill="1" applyBorder="1" applyAlignment="1">
      <alignment horizontal="center"/>
    </xf>
    <xf numFmtId="170" fontId="28" fillId="39" borderId="115" xfId="0" applyNumberFormat="1" applyFont="1" applyFill="1" applyBorder="1" applyAlignment="1">
      <alignment horizontal="center"/>
    </xf>
    <xf numFmtId="170" fontId="28" fillId="39" borderId="102" xfId="0" applyNumberFormat="1" applyFont="1" applyFill="1" applyBorder="1" applyAlignment="1">
      <alignment horizontal="center"/>
    </xf>
    <xf numFmtId="170" fontId="30" fillId="39" borderId="61" xfId="0" applyNumberFormat="1" applyFont="1" applyFill="1" applyBorder="1" applyAlignment="1">
      <alignment horizontal="center"/>
    </xf>
    <xf numFmtId="170" fontId="30" fillId="39" borderId="70" xfId="0" applyNumberFormat="1" applyFont="1" applyFill="1" applyBorder="1" applyAlignment="1">
      <alignment horizontal="center"/>
    </xf>
    <xf numFmtId="14" fontId="56" fillId="0" borderId="72" xfId="1" applyNumberFormat="1" applyFont="1" applyBorder="1" applyAlignment="1">
      <alignment vertical="center"/>
    </xf>
    <xf numFmtId="14" fontId="56" fillId="0" borderId="74" xfId="1" applyNumberFormat="1" applyFont="1" applyBorder="1" applyAlignment="1">
      <alignment vertical="center"/>
    </xf>
    <xf numFmtId="10" fontId="0" fillId="35" borderId="98" xfId="0" applyNumberFormat="1" applyFont="1" applyFill="1" applyBorder="1"/>
    <xf numFmtId="10" fontId="0" fillId="35" borderId="47" xfId="0" applyNumberFormat="1" applyFont="1" applyFill="1" applyBorder="1"/>
    <xf numFmtId="10" fontId="0" fillId="35" borderId="104" xfId="0" applyNumberFormat="1" applyFont="1" applyFill="1" applyBorder="1"/>
    <xf numFmtId="164" fontId="0" fillId="35" borderId="106" xfId="0" applyNumberFormat="1" applyFont="1" applyFill="1" applyBorder="1"/>
    <xf numFmtId="164" fontId="0" fillId="35" borderId="101" xfId="0" applyNumberFormat="1" applyFont="1" applyFill="1" applyBorder="1"/>
    <xf numFmtId="0" fontId="0" fillId="0" borderId="0" xfId="0"/>
    <xf numFmtId="10" fontId="0" fillId="0" borderId="0" xfId="0" applyNumberFormat="1"/>
    <xf numFmtId="0" fontId="0" fillId="0" borderId="0" xfId="0" applyFill="1" applyBorder="1"/>
    <xf numFmtId="0" fontId="53" fillId="0" borderId="25" xfId="0" applyFont="1" applyBorder="1" applyAlignment="1">
      <alignment vertical="center"/>
    </xf>
    <xf numFmtId="0" fontId="53" fillId="0" borderId="26" xfId="0" applyFont="1" applyBorder="1" applyAlignment="1">
      <alignment vertical="center"/>
    </xf>
    <xf numFmtId="0" fontId="0" fillId="0" borderId="27" xfId="0" applyBorder="1"/>
    <xf numFmtId="0" fontId="53" fillId="0" borderId="30" xfId="0" applyFont="1" applyBorder="1" applyAlignment="1">
      <alignment vertical="center"/>
    </xf>
    <xf numFmtId="0" fontId="53" fillId="0" borderId="129" xfId="0" applyFont="1" applyBorder="1" applyAlignment="1">
      <alignment vertical="center"/>
    </xf>
    <xf numFmtId="0" fontId="0" fillId="0" borderId="108" xfId="0" applyBorder="1"/>
    <xf numFmtId="0" fontId="26" fillId="0" borderId="35" xfId="0" applyFont="1" applyFill="1" applyBorder="1" applyAlignment="1">
      <alignment horizontal="center" vertical="center"/>
    </xf>
    <xf numFmtId="0" fontId="26" fillId="0" borderId="29" xfId="0" applyFont="1" applyFill="1" applyBorder="1" applyAlignment="1">
      <alignment horizontal="center" vertical="center"/>
    </xf>
    <xf numFmtId="0" fontId="26" fillId="0" borderId="11" xfId="0" applyFont="1" applyFill="1" applyBorder="1" applyAlignment="1">
      <alignment horizontal="left" vertical="center"/>
    </xf>
    <xf numFmtId="0" fontId="0" fillId="0" borderId="0" xfId="0" applyFill="1" applyBorder="1" applyAlignment="1">
      <alignment horizontal="center"/>
    </xf>
    <xf numFmtId="0" fontId="26" fillId="0" borderId="0" xfId="0" applyFont="1" applyFill="1" applyBorder="1" applyAlignment="1">
      <alignment horizontal="center" vertical="center"/>
    </xf>
    <xf numFmtId="0" fontId="26" fillId="0" borderId="0" xfId="0" applyFont="1" applyFill="1" applyBorder="1" applyAlignment="1">
      <alignment horizontal="left" vertical="center"/>
    </xf>
    <xf numFmtId="0" fontId="54" fillId="0" borderId="154" xfId="0" applyFont="1" applyBorder="1" applyAlignment="1">
      <alignment horizontal="left" indent="1"/>
    </xf>
    <xf numFmtId="10" fontId="57" fillId="45" borderId="26" xfId="0" applyNumberFormat="1" applyFont="1" applyFill="1" applyBorder="1" applyAlignment="1">
      <alignment horizontal="center" vertical="center"/>
    </xf>
    <xf numFmtId="10" fontId="31" fillId="43" borderId="155" xfId="0" applyNumberFormat="1" applyFont="1" applyFill="1" applyBorder="1" applyAlignment="1">
      <alignment horizontal="center" vertical="center"/>
    </xf>
    <xf numFmtId="10" fontId="31" fillId="43" borderId="156" xfId="0" applyNumberFormat="1" applyFont="1" applyFill="1" applyBorder="1" applyAlignment="1">
      <alignment horizontal="center" vertical="center"/>
    </xf>
    <xf numFmtId="10" fontId="31" fillId="43" borderId="156" xfId="0" applyNumberFormat="1" applyFont="1" applyFill="1" applyBorder="1" applyAlignment="1">
      <alignment horizontal="center"/>
    </xf>
    <xf numFmtId="10" fontId="54" fillId="43" borderId="157" xfId="729" applyNumberFormat="1" applyFont="1" applyFill="1" applyBorder="1" applyAlignment="1">
      <alignment horizontal="center"/>
    </xf>
    <xf numFmtId="9" fontId="54" fillId="0" borderId="158" xfId="729" applyFont="1" applyFill="1" applyBorder="1" applyAlignment="1">
      <alignment horizontal="left"/>
    </xf>
    <xf numFmtId="0" fontId="54" fillId="0" borderId="0" xfId="0" applyFont="1" applyFill="1" applyBorder="1" applyAlignment="1">
      <alignment horizontal="left" indent="1"/>
    </xf>
    <xf numFmtId="10" fontId="57" fillId="0" borderId="0" xfId="0" applyNumberFormat="1" applyFont="1" applyFill="1" applyBorder="1" applyAlignment="1">
      <alignment horizontal="center" vertical="center"/>
    </xf>
    <xf numFmtId="10" fontId="31" fillId="0" borderId="0" xfId="0" applyNumberFormat="1" applyFont="1" applyFill="1" applyBorder="1" applyAlignment="1">
      <alignment horizontal="center"/>
    </xf>
    <xf numFmtId="10" fontId="54" fillId="0" borderId="0" xfId="729" applyNumberFormat="1" applyFont="1" applyFill="1" applyBorder="1" applyAlignment="1">
      <alignment horizontal="center"/>
    </xf>
    <xf numFmtId="9" fontId="54" fillId="0" borderId="0" xfId="729" applyFont="1" applyFill="1" applyBorder="1" applyAlignment="1">
      <alignment horizontal="left"/>
    </xf>
    <xf numFmtId="0" fontId="54" fillId="0" borderId="159" xfId="0" applyFont="1" applyBorder="1" applyAlignment="1">
      <alignment horizontal="left" indent="1"/>
    </xf>
    <xf numFmtId="10" fontId="57" fillId="45" borderId="0" xfId="0" applyNumberFormat="1" applyFont="1" applyFill="1" applyBorder="1" applyAlignment="1">
      <alignment horizontal="center" vertical="center"/>
    </xf>
    <xf numFmtId="10" fontId="54" fillId="43" borderId="160" xfId="729" applyNumberFormat="1" applyFont="1" applyFill="1" applyBorder="1" applyAlignment="1">
      <alignment horizontal="center"/>
    </xf>
    <xf numFmtId="9" fontId="54" fillId="0" borderId="161" xfId="729" applyFont="1" applyFill="1" applyBorder="1" applyAlignment="1">
      <alignment horizontal="left"/>
    </xf>
    <xf numFmtId="0" fontId="54" fillId="0" borderId="162" xfId="0" applyFont="1" applyFill="1" applyBorder="1" applyAlignment="1">
      <alignment horizontal="left"/>
    </xf>
    <xf numFmtId="10" fontId="58" fillId="43" borderId="163" xfId="0" applyNumberFormat="1" applyFont="1" applyFill="1" applyBorder="1" applyAlignment="1">
      <alignment horizontal="center" vertical="center"/>
    </xf>
    <xf numFmtId="9" fontId="54" fillId="0" borderId="164" xfId="729" applyFont="1" applyFill="1" applyBorder="1" applyAlignment="1">
      <alignment horizontal="left"/>
    </xf>
    <xf numFmtId="0" fontId="54" fillId="0" borderId="0" xfId="0" applyFont="1" applyFill="1" applyBorder="1" applyAlignment="1">
      <alignment horizontal="left"/>
    </xf>
    <xf numFmtId="10" fontId="31" fillId="0" borderId="0" xfId="0" applyNumberFormat="1" applyFont="1" applyFill="1" applyBorder="1" applyAlignment="1">
      <alignment horizontal="center" vertical="center"/>
    </xf>
    <xf numFmtId="0" fontId="54" fillId="0" borderId="28" xfId="0" applyFont="1" applyFill="1" applyBorder="1" applyAlignment="1">
      <alignment horizontal="left"/>
    </xf>
    <xf numFmtId="10" fontId="31" fillId="43" borderId="165" xfId="0" applyNumberFormat="1" applyFont="1" applyFill="1" applyBorder="1" applyAlignment="1">
      <alignment horizontal="center" vertical="center"/>
    </xf>
    <xf numFmtId="10" fontId="58" fillId="43" borderId="166" xfId="0" applyNumberFormat="1" applyFont="1" applyFill="1" applyBorder="1" applyAlignment="1">
      <alignment horizontal="center" vertical="center"/>
    </xf>
    <xf numFmtId="9" fontId="54" fillId="0" borderId="29" xfId="729" applyFont="1" applyFill="1" applyBorder="1" applyAlignment="1">
      <alignment horizontal="left"/>
    </xf>
    <xf numFmtId="10" fontId="31" fillId="43" borderId="0" xfId="0" applyNumberFormat="1" applyFont="1" applyFill="1" applyBorder="1" applyAlignment="1">
      <alignment horizontal="center" vertical="center"/>
    </xf>
    <xf numFmtId="10" fontId="58" fillId="43" borderId="0" xfId="0" applyNumberFormat="1" applyFont="1" applyFill="1" applyBorder="1" applyAlignment="1">
      <alignment horizontal="center" vertical="center"/>
    </xf>
    <xf numFmtId="0" fontId="54" fillId="0" borderId="30" xfId="0" applyFont="1" applyFill="1" applyBorder="1" applyAlignment="1">
      <alignment horizontal="left"/>
    </xf>
    <xf numFmtId="10" fontId="57" fillId="45" borderId="129" xfId="0" applyNumberFormat="1" applyFont="1" applyFill="1" applyBorder="1" applyAlignment="1">
      <alignment horizontal="center" vertical="center"/>
    </xf>
    <xf numFmtId="10" fontId="31" fillId="45" borderId="167" xfId="0" applyNumberFormat="1" applyFont="1" applyFill="1" applyBorder="1" applyAlignment="1">
      <alignment horizontal="center" vertical="center"/>
    </xf>
    <xf numFmtId="10" fontId="31" fillId="45" borderId="168" xfId="0" applyNumberFormat="1" applyFont="1" applyFill="1" applyBorder="1" applyAlignment="1">
      <alignment vertical="center"/>
    </xf>
    <xf numFmtId="10" fontId="31" fillId="45" borderId="129" xfId="0" applyNumberFormat="1" applyFont="1" applyFill="1" applyBorder="1" applyAlignment="1">
      <alignment vertical="center"/>
    </xf>
    <xf numFmtId="10" fontId="31" fillId="45" borderId="167" xfId="0" applyNumberFormat="1" applyFont="1" applyFill="1" applyBorder="1" applyAlignment="1">
      <alignment vertical="center"/>
    </xf>
    <xf numFmtId="10" fontId="58" fillId="45" borderId="168" xfId="0" applyNumberFormat="1" applyFont="1" applyFill="1" applyBorder="1" applyAlignment="1">
      <alignment horizontal="center" vertical="center"/>
    </xf>
    <xf numFmtId="9" fontId="54" fillId="0" borderId="108" xfId="729" applyFont="1" applyFill="1" applyBorder="1" applyAlignment="1">
      <alignment horizontal="left"/>
    </xf>
    <xf numFmtId="9" fontId="54" fillId="0" borderId="0" xfId="729" applyFont="1" applyFill="1" applyBorder="1" applyAlignment="1">
      <alignment horizontal="center"/>
    </xf>
    <xf numFmtId="0" fontId="31" fillId="0" borderId="0" xfId="0" applyFont="1" applyFill="1" applyBorder="1" applyAlignment="1">
      <alignment horizontal="center" vertical="center"/>
    </xf>
    <xf numFmtId="0" fontId="31" fillId="0" borderId="0" xfId="0" applyFont="1" applyFill="1" applyBorder="1" applyAlignment="1">
      <alignment horizontal="center"/>
    </xf>
    <xf numFmtId="0" fontId="0" fillId="0" borderId="0" xfId="0" applyAlignment="1">
      <alignment horizontal="center" vertical="center" wrapText="1"/>
    </xf>
    <xf numFmtId="165" fontId="31" fillId="0" borderId="169" xfId="0" applyNumberFormat="1" applyFont="1" applyFill="1" applyBorder="1" applyAlignment="1">
      <alignment horizontal="center" vertical="center"/>
    </xf>
    <xf numFmtId="10" fontId="59" fillId="0" borderId="170" xfId="0" applyNumberFormat="1" applyFont="1" applyFill="1" applyBorder="1" applyAlignment="1">
      <alignment horizontal="center" vertical="center"/>
    </xf>
    <xf numFmtId="10" fontId="59" fillId="0" borderId="118" xfId="0" applyNumberFormat="1" applyFont="1" applyFill="1" applyBorder="1" applyAlignment="1">
      <alignment horizontal="center" vertical="center"/>
    </xf>
    <xf numFmtId="10" fontId="60" fillId="0" borderId="119" xfId="0" applyNumberFormat="1" applyFont="1" applyFill="1" applyBorder="1" applyAlignment="1">
      <alignment horizontal="center" vertical="center"/>
    </xf>
    <xf numFmtId="10" fontId="0" fillId="0" borderId="0" xfId="0" applyNumberFormat="1" applyAlignment="1">
      <alignment horizontal="center"/>
    </xf>
    <xf numFmtId="10" fontId="31" fillId="0" borderId="117" xfId="0" applyNumberFormat="1" applyFont="1" applyFill="1" applyBorder="1" applyAlignment="1">
      <alignment horizontal="center" vertical="center"/>
    </xf>
    <xf numFmtId="165" fontId="31" fillId="0" borderId="117" xfId="0" applyNumberFormat="1" applyFont="1" applyFill="1" applyBorder="1" applyAlignment="1">
      <alignment horizontal="center" vertical="center"/>
    </xf>
    <xf numFmtId="10" fontId="59" fillId="0" borderId="171" xfId="0" applyNumberFormat="1" applyFont="1" applyFill="1" applyBorder="1" applyAlignment="1">
      <alignment horizontal="center" vertical="center"/>
    </xf>
    <xf numFmtId="10" fontId="59" fillId="0" borderId="165" xfId="0" applyNumberFormat="1" applyFont="1" applyFill="1" applyBorder="1" applyAlignment="1">
      <alignment horizontal="center" vertical="center"/>
    </xf>
    <xf numFmtId="10" fontId="31" fillId="0" borderId="165" xfId="0" applyNumberFormat="1" applyFont="1" applyFill="1" applyBorder="1" applyAlignment="1">
      <alignment horizontal="center" vertical="center"/>
    </xf>
    <xf numFmtId="10" fontId="31" fillId="0" borderId="172" xfId="0" applyNumberFormat="1" applyFont="1" applyFill="1" applyBorder="1" applyAlignment="1">
      <alignment horizontal="center" vertical="center"/>
    </xf>
    <xf numFmtId="10" fontId="59" fillId="0" borderId="0" xfId="0" applyNumberFormat="1" applyFont="1" applyFill="1" applyBorder="1" applyAlignment="1">
      <alignment horizontal="center" vertical="center"/>
    </xf>
    <xf numFmtId="10" fontId="31" fillId="0" borderId="173" xfId="0" applyNumberFormat="1" applyFont="1" applyFill="1" applyBorder="1" applyAlignment="1">
      <alignment horizontal="center" vertical="center"/>
    </xf>
    <xf numFmtId="10" fontId="31" fillId="0" borderId="122" xfId="0" applyNumberFormat="1" applyFont="1" applyFill="1" applyBorder="1" applyAlignment="1">
      <alignment horizontal="center" vertical="center"/>
    </xf>
    <xf numFmtId="10" fontId="59" fillId="0" borderId="167" xfId="0" applyNumberFormat="1" applyFont="1" applyFill="1" applyBorder="1" applyAlignment="1">
      <alignment horizontal="center" vertical="center"/>
    </xf>
    <xf numFmtId="10" fontId="60" fillId="0" borderId="124" xfId="0" applyNumberFormat="1" applyFont="1" applyFill="1" applyBorder="1" applyAlignment="1">
      <alignment horizontal="center" vertical="center"/>
    </xf>
    <xf numFmtId="10" fontId="31" fillId="0" borderId="169" xfId="0" applyNumberFormat="1" applyFont="1" applyFill="1" applyBorder="1" applyAlignment="1">
      <alignment horizontal="left" vertical="center"/>
    </xf>
    <xf numFmtId="10" fontId="31" fillId="0" borderId="161" xfId="0" applyNumberFormat="1" applyFont="1" applyFill="1" applyBorder="1" applyAlignment="1">
      <alignment horizontal="center" vertical="center"/>
    </xf>
    <xf numFmtId="10" fontId="31" fillId="0" borderId="117" xfId="0" applyNumberFormat="1" applyFont="1" applyFill="1" applyBorder="1" applyAlignment="1">
      <alignment horizontal="left" vertical="center"/>
    </xf>
    <xf numFmtId="10" fontId="31" fillId="0" borderId="122" xfId="0" applyNumberFormat="1" applyFont="1" applyFill="1" applyBorder="1" applyAlignment="1">
      <alignment horizontal="left" vertical="center"/>
    </xf>
    <xf numFmtId="10" fontId="31" fillId="0" borderId="174" xfId="0" applyNumberFormat="1" applyFont="1" applyFill="1" applyBorder="1" applyAlignment="1">
      <alignment horizontal="center" vertical="center"/>
    </xf>
    <xf numFmtId="0" fontId="54" fillId="0" borderId="169" xfId="0" applyFont="1" applyBorder="1" applyAlignment="1">
      <alignment horizontal="left"/>
    </xf>
    <xf numFmtId="10" fontId="31" fillId="29" borderId="175" xfId="0" applyNumberFormat="1" applyFont="1" applyFill="1" applyBorder="1" applyAlignment="1">
      <alignment horizontal="center" vertical="center"/>
    </xf>
    <xf numFmtId="10" fontId="31" fillId="29" borderId="156" xfId="0" applyNumberFormat="1" applyFont="1" applyFill="1" applyBorder="1" applyAlignment="1">
      <alignment horizontal="center" vertical="center"/>
    </xf>
    <xf numFmtId="10" fontId="31" fillId="29" borderId="156" xfId="0" applyNumberFormat="1" applyFont="1" applyFill="1" applyBorder="1" applyAlignment="1">
      <alignment horizontal="center"/>
    </xf>
    <xf numFmtId="165" fontId="31" fillId="29" borderId="176" xfId="729" applyNumberFormat="1" applyFont="1" applyFill="1" applyBorder="1" applyAlignment="1">
      <alignment horizontal="center"/>
    </xf>
    <xf numFmtId="0" fontId="54" fillId="0" borderId="117" xfId="0" applyFont="1" applyFill="1" applyBorder="1" applyAlignment="1">
      <alignment horizontal="left" indent="1"/>
    </xf>
    <xf numFmtId="10" fontId="61" fillId="29" borderId="126" xfId="0" applyNumberFormat="1" applyFont="1" applyFill="1" applyBorder="1" applyAlignment="1">
      <alignment horizontal="center" vertical="center"/>
    </xf>
    <xf numFmtId="10" fontId="59" fillId="29" borderId="119" xfId="0" applyNumberFormat="1" applyFont="1" applyFill="1" applyBorder="1" applyAlignment="1">
      <alignment horizontal="center" vertical="center"/>
    </xf>
    <xf numFmtId="10" fontId="31" fillId="29" borderId="119" xfId="0" applyNumberFormat="1" applyFont="1" applyFill="1" applyBorder="1" applyAlignment="1">
      <alignment horizontal="center" vertical="center"/>
    </xf>
    <xf numFmtId="10" fontId="31" fillId="29" borderId="119" xfId="0" applyNumberFormat="1" applyFont="1" applyFill="1" applyBorder="1" applyAlignment="1">
      <alignment horizontal="center"/>
    </xf>
    <xf numFmtId="165" fontId="31" fillId="29" borderId="177" xfId="729" applyNumberFormat="1" applyFont="1" applyFill="1" applyBorder="1" applyAlignment="1">
      <alignment horizontal="center"/>
    </xf>
    <xf numFmtId="0" fontId="6" fillId="0" borderId="29" xfId="3" applyFill="1" applyBorder="1" applyAlignment="1" applyProtection="1"/>
    <xf numFmtId="10" fontId="59" fillId="29" borderId="119" xfId="0" applyNumberFormat="1" applyFont="1" applyFill="1" applyBorder="1" applyAlignment="1">
      <alignment horizontal="center"/>
    </xf>
    <xf numFmtId="10" fontId="31" fillId="29" borderId="126" xfId="0" applyNumberFormat="1" applyFont="1" applyFill="1" applyBorder="1" applyAlignment="1">
      <alignment horizontal="center" vertical="center"/>
    </xf>
    <xf numFmtId="10" fontId="59" fillId="29" borderId="177" xfId="729" applyNumberFormat="1" applyFont="1" applyFill="1" applyBorder="1" applyAlignment="1">
      <alignment horizontal="center"/>
    </xf>
    <xf numFmtId="0" fontId="0" fillId="0" borderId="29" xfId="0" applyFill="1" applyBorder="1"/>
    <xf numFmtId="10" fontId="59" fillId="29" borderId="126" xfId="0" applyNumberFormat="1" applyFont="1" applyFill="1" applyBorder="1" applyAlignment="1">
      <alignment horizontal="center" vertical="center"/>
    </xf>
    <xf numFmtId="10" fontId="61" fillId="29" borderId="119" xfId="0" applyNumberFormat="1" applyFont="1" applyFill="1" applyBorder="1" applyAlignment="1">
      <alignment horizontal="center" vertical="center"/>
    </xf>
    <xf numFmtId="165" fontId="54" fillId="29" borderId="177" xfId="729" applyNumberFormat="1" applyFont="1" applyFill="1" applyBorder="1" applyAlignment="1">
      <alignment horizontal="center"/>
    </xf>
    <xf numFmtId="0" fontId="31" fillId="0" borderId="127" xfId="0" applyFont="1" applyFill="1" applyBorder="1" applyAlignment="1">
      <alignment horizontal="center" vertical="center"/>
    </xf>
    <xf numFmtId="9" fontId="54" fillId="0" borderId="125" xfId="729" applyFont="1" applyFill="1" applyBorder="1" applyAlignment="1">
      <alignment horizontal="center"/>
    </xf>
    <xf numFmtId="0" fontId="0" fillId="0" borderId="108" xfId="0" applyFill="1" applyBorder="1"/>
    <xf numFmtId="1" fontId="0" fillId="0" borderId="0" xfId="0" applyNumberFormat="1" applyFill="1"/>
    <xf numFmtId="0" fontId="28" fillId="0" borderId="0" xfId="0" applyFont="1" applyFill="1"/>
    <xf numFmtId="0" fontId="0" fillId="33" borderId="0" xfId="0" applyFill="1"/>
    <xf numFmtId="0" fontId="0" fillId="47" borderId="0" xfId="0" applyFill="1"/>
    <xf numFmtId="0" fontId="0" fillId="27" borderId="33" xfId="0" applyFill="1" applyBorder="1" applyAlignment="1">
      <alignment horizontal="center"/>
    </xf>
    <xf numFmtId="164" fontId="0" fillId="27" borderId="77" xfId="0" applyNumberFormat="1" applyFill="1" applyBorder="1"/>
    <xf numFmtId="0" fontId="0" fillId="0" borderId="77" xfId="0" applyBorder="1" applyAlignment="1">
      <alignment wrapText="1"/>
    </xf>
    <xf numFmtId="164" fontId="27" fillId="2" borderId="3" xfId="725" applyNumberFormat="1" applyFont="1" applyFill="1" applyBorder="1" applyAlignment="1">
      <alignment horizontal="center" vertical="center" wrapText="1"/>
    </xf>
    <xf numFmtId="164" fontId="33" fillId="35" borderId="2" xfId="0" applyNumberFormat="1" applyFont="1" applyFill="1" applyBorder="1" applyAlignment="1">
      <alignment wrapText="1"/>
    </xf>
    <xf numFmtId="164" fontId="33" fillId="35" borderId="3" xfId="0" applyNumberFormat="1" applyFont="1" applyFill="1" applyBorder="1" applyAlignment="1">
      <alignment wrapText="1"/>
    </xf>
    <xf numFmtId="165" fontId="0" fillId="35" borderId="215" xfId="0" applyNumberFormat="1" applyFont="1" applyFill="1" applyBorder="1"/>
    <xf numFmtId="165" fontId="0" fillId="35" borderId="101" xfId="0" applyNumberFormat="1" applyFont="1" applyFill="1" applyBorder="1"/>
    <xf numFmtId="165" fontId="0" fillId="35" borderId="106" xfId="0" applyNumberFormat="1" applyFont="1" applyFill="1" applyBorder="1"/>
    <xf numFmtId="164" fontId="0" fillId="35" borderId="179" xfId="0" applyNumberFormat="1" applyFont="1" applyFill="1" applyBorder="1" applyAlignment="1">
      <alignment horizontal="center"/>
    </xf>
    <xf numFmtId="164" fontId="0" fillId="35" borderId="101" xfId="0" applyNumberFormat="1" applyFont="1" applyFill="1" applyBorder="1" applyAlignment="1">
      <alignment horizontal="center"/>
    </xf>
    <xf numFmtId="164" fontId="0" fillId="35" borderId="106" xfId="0" applyNumberFormat="1" applyFont="1" applyFill="1" applyBorder="1" applyAlignment="1">
      <alignment horizontal="center"/>
    </xf>
    <xf numFmtId="170" fontId="30" fillId="39" borderId="112" xfId="0" applyNumberFormat="1" applyFont="1" applyFill="1" applyBorder="1" applyAlignment="1">
      <alignment horizontal="center"/>
    </xf>
    <xf numFmtId="170" fontId="30" fillId="39" borderId="98" xfId="0" applyNumberFormat="1" applyFont="1" applyFill="1" applyBorder="1" applyAlignment="1">
      <alignment horizontal="center"/>
    </xf>
    <xf numFmtId="0" fontId="0" fillId="0" borderId="214" xfId="0" applyBorder="1" applyAlignment="1">
      <alignment vertical="center"/>
    </xf>
    <xf numFmtId="0" fontId="1" fillId="0" borderId="216" xfId="1" applyBorder="1" applyAlignment="1">
      <alignment vertical="top" wrapText="1"/>
    </xf>
    <xf numFmtId="0" fontId="1" fillId="0" borderId="216" xfId="1" applyBorder="1" applyAlignment="1">
      <alignment horizontal="left" vertical="top"/>
    </xf>
    <xf numFmtId="0" fontId="1" fillId="0" borderId="217" xfId="1" applyBorder="1" applyAlignment="1">
      <alignment horizontal="left" vertical="top"/>
    </xf>
    <xf numFmtId="0" fontId="1" fillId="0" borderId="218" xfId="1" applyBorder="1" applyAlignment="1">
      <alignment vertical="top"/>
    </xf>
    <xf numFmtId="0" fontId="1" fillId="0" borderId="77" xfId="1" applyBorder="1" applyAlignment="1">
      <alignment horizontal="left" vertical="top"/>
    </xf>
    <xf numFmtId="0" fontId="37" fillId="0" borderId="219" xfId="67" applyBorder="1" applyAlignment="1">
      <alignment wrapText="1"/>
    </xf>
    <xf numFmtId="14" fontId="56" fillId="0" borderId="74" xfId="1" applyNumberFormat="1" applyFont="1" applyBorder="1" applyAlignment="1">
      <alignment vertical="top"/>
    </xf>
    <xf numFmtId="0" fontId="43" fillId="0" borderId="220" xfId="1" applyFont="1" applyBorder="1" applyAlignment="1">
      <alignment horizontal="center"/>
    </xf>
    <xf numFmtId="0" fontId="37" fillId="36" borderId="221" xfId="67" applyFill="1" applyBorder="1" applyAlignment="1">
      <alignment vertical="top"/>
    </xf>
    <xf numFmtId="0" fontId="37" fillId="36" borderId="222" xfId="67" applyFill="1" applyBorder="1" applyAlignment="1">
      <alignment vertical="top"/>
    </xf>
    <xf numFmtId="0" fontId="37" fillId="37" borderId="222" xfId="67" applyFill="1" applyBorder="1" applyAlignment="1">
      <alignment vertical="top"/>
    </xf>
    <xf numFmtId="0" fontId="37" fillId="40" borderId="224" xfId="67" applyFill="1" applyBorder="1" applyAlignment="1">
      <alignment vertical="top"/>
    </xf>
    <xf numFmtId="0" fontId="37" fillId="40" borderId="222" xfId="67" applyFill="1" applyBorder="1" applyAlignment="1">
      <alignment vertical="top"/>
    </xf>
    <xf numFmtId="0" fontId="37" fillId="40" borderId="178" xfId="67" applyFill="1" applyBorder="1" applyAlignment="1">
      <alignment vertical="top"/>
    </xf>
    <xf numFmtId="0" fontId="37" fillId="47" borderId="221" xfId="67" applyFill="1" applyBorder="1" applyAlignment="1">
      <alignment vertical="top"/>
    </xf>
    <xf numFmtId="0" fontId="1" fillId="0" borderId="73" xfId="1" applyBorder="1" applyAlignment="1">
      <alignment vertical="top"/>
    </xf>
    <xf numFmtId="0" fontId="0" fillId="0" borderId="114" xfId="0" applyBorder="1" applyAlignment="1">
      <alignment vertical="top"/>
    </xf>
    <xf numFmtId="0" fontId="37" fillId="37" borderId="223" xfId="67" applyFill="1" applyBorder="1" applyAlignment="1">
      <alignment vertical="top"/>
    </xf>
    <xf numFmtId="0" fontId="0" fillId="0" borderId="189" xfId="0" applyBorder="1" applyAlignment="1">
      <alignment vertical="center"/>
    </xf>
    <xf numFmtId="1" fontId="0" fillId="0" borderId="77" xfId="0" applyNumberFormat="1" applyBorder="1" applyAlignment="1">
      <alignment wrapText="1"/>
    </xf>
    <xf numFmtId="0" fontId="37" fillId="47" borderId="178" xfId="67" applyFill="1" applyBorder="1" applyAlignment="1">
      <alignment vertical="top"/>
    </xf>
    <xf numFmtId="0" fontId="1" fillId="0" borderId="90" xfId="1" applyBorder="1" applyAlignment="1">
      <alignment horizontal="left" vertical="top" wrapText="1"/>
    </xf>
    <xf numFmtId="0" fontId="37" fillId="47" borderId="222" xfId="67" applyFill="1" applyBorder="1" applyAlignment="1">
      <alignment vertical="top"/>
    </xf>
    <xf numFmtId="0" fontId="1" fillId="0" borderId="217" xfId="1" applyBorder="1" applyAlignment="1">
      <alignment horizontal="left" vertical="top" wrapText="1"/>
    </xf>
    <xf numFmtId="0" fontId="1" fillId="0" borderId="0" xfId="1"/>
    <xf numFmtId="0" fontId="1" fillId="0" borderId="0" xfId="1" applyFill="1" applyBorder="1"/>
    <xf numFmtId="165" fontId="5" fillId="0" borderId="7" xfId="1" applyNumberFormat="1" applyFont="1" applyFill="1" applyBorder="1" applyAlignment="1">
      <alignment vertical="top"/>
    </xf>
    <xf numFmtId="165" fontId="5" fillId="0" borderId="9" xfId="1" applyNumberFormat="1" applyFont="1" applyFill="1" applyBorder="1" applyAlignment="1">
      <alignment vertical="top"/>
    </xf>
    <xf numFmtId="165" fontId="5" fillId="0" borderId="8" xfId="1" applyNumberFormat="1" applyFont="1" applyFill="1" applyBorder="1" applyAlignment="1">
      <alignment vertical="top"/>
    </xf>
    <xf numFmtId="165" fontId="5" fillId="0" borderId="10" xfId="1" applyNumberFormat="1" applyFont="1" applyFill="1" applyBorder="1" applyAlignment="1">
      <alignment vertical="top"/>
    </xf>
    <xf numFmtId="165" fontId="5" fillId="0" borderId="12" xfId="1" applyNumberFormat="1" applyFont="1" applyFill="1" applyBorder="1" applyAlignment="1">
      <alignment vertical="top"/>
    </xf>
    <xf numFmtId="165" fontId="5" fillId="0" borderId="11" xfId="1" applyNumberFormat="1" applyFont="1" applyFill="1" applyBorder="1" applyAlignment="1">
      <alignment vertical="top"/>
    </xf>
    <xf numFmtId="0" fontId="1" fillId="0" borderId="73" xfId="1" applyBorder="1" applyAlignment="1">
      <alignment vertical="top" wrapText="1"/>
    </xf>
    <xf numFmtId="0" fontId="1" fillId="0" borderId="73" xfId="1" applyBorder="1" applyAlignment="1">
      <alignment horizontal="left" vertical="top"/>
    </xf>
    <xf numFmtId="0" fontId="1" fillId="0" borderId="74" xfId="1" applyBorder="1" applyAlignment="1">
      <alignment vertical="top"/>
    </xf>
    <xf numFmtId="0" fontId="1" fillId="0" borderId="226" xfId="1" applyBorder="1" applyAlignment="1">
      <alignment vertical="top" wrapText="1"/>
    </xf>
    <xf numFmtId="164" fontId="3" fillId="2" borderId="0" xfId="715" applyNumberFormat="1" applyFont="1" applyFill="1" applyAlignment="1">
      <alignment vertical="top"/>
    </xf>
    <xf numFmtId="164" fontId="1" fillId="2" borderId="0" xfId="715" applyNumberFormat="1" applyFont="1" applyFill="1" applyAlignment="1">
      <alignment vertical="top"/>
    </xf>
    <xf numFmtId="164" fontId="5" fillId="2" borderId="0" xfId="715" applyNumberFormat="1" applyFont="1" applyFill="1" applyAlignment="1">
      <alignment vertical="top"/>
    </xf>
    <xf numFmtId="164" fontId="5" fillId="3" borderId="4" xfId="715" applyNumberFormat="1" applyFont="1" applyFill="1" applyBorder="1" applyAlignment="1">
      <alignment horizontal="center" vertical="center" wrapText="1"/>
    </xf>
    <xf numFmtId="164" fontId="5" fillId="3" borderId="5" xfId="715" applyNumberFormat="1" applyFont="1" applyFill="1" applyBorder="1" applyAlignment="1">
      <alignment horizontal="center" vertical="center" wrapText="1"/>
    </xf>
    <xf numFmtId="164" fontId="5" fillId="3" borderId="7" xfId="715" applyNumberFormat="1" applyFont="1" applyFill="1" applyBorder="1" applyAlignment="1">
      <alignment horizontal="center" vertical="center" wrapText="1"/>
    </xf>
    <xf numFmtId="164" fontId="5" fillId="3" borderId="9" xfId="715" applyNumberFormat="1" applyFont="1" applyFill="1" applyBorder="1" applyAlignment="1">
      <alignment horizontal="center" vertical="center" wrapText="1"/>
    </xf>
    <xf numFmtId="164" fontId="5" fillId="3" borderId="8" xfId="715" applyNumberFormat="1" applyFont="1" applyFill="1" applyBorder="1" applyAlignment="1">
      <alignment horizontal="center" vertical="center" wrapText="1"/>
    </xf>
    <xf numFmtId="164" fontId="5" fillId="2" borderId="0" xfId="715" applyNumberFormat="1" applyFont="1" applyFill="1" applyAlignment="1">
      <alignment vertical="center"/>
    </xf>
    <xf numFmtId="164" fontId="5" fillId="0" borderId="7" xfId="715" applyNumberFormat="1" applyFont="1" applyFill="1" applyBorder="1" applyAlignment="1">
      <alignment horizontal="center" vertical="top"/>
    </xf>
    <xf numFmtId="164" fontId="5" fillId="0" borderId="227" xfId="715" applyNumberFormat="1" applyFont="1" applyFill="1" applyBorder="1" applyAlignment="1">
      <alignment vertical="top"/>
    </xf>
    <xf numFmtId="164" fontId="5" fillId="0" borderId="25" xfId="715" applyNumberFormat="1" applyFont="1" applyFill="1" applyBorder="1" applyAlignment="1">
      <alignment vertical="top"/>
    </xf>
    <xf numFmtId="164" fontId="5" fillId="0" borderId="9" xfId="715" applyNumberFormat="1" applyFont="1" applyFill="1" applyBorder="1" applyAlignment="1">
      <alignment vertical="top"/>
    </xf>
    <xf numFmtId="164" fontId="5" fillId="0" borderId="26" xfId="715" applyNumberFormat="1" applyFont="1" applyFill="1" applyBorder="1" applyAlignment="1">
      <alignment vertical="top"/>
    </xf>
    <xf numFmtId="164" fontId="5" fillId="0" borderId="8" xfId="715" applyNumberFormat="1" applyFont="1" applyFill="1" applyBorder="1" applyAlignment="1">
      <alignment vertical="top"/>
    </xf>
    <xf numFmtId="164" fontId="5" fillId="0" borderId="10" xfId="715" applyNumberFormat="1" applyFont="1" applyFill="1" applyBorder="1" applyAlignment="1">
      <alignment horizontal="center" vertical="top"/>
    </xf>
    <xf numFmtId="164" fontId="5" fillId="0" borderId="228" xfId="715" applyNumberFormat="1" applyFont="1" applyFill="1" applyBorder="1" applyAlignment="1">
      <alignment vertical="top"/>
    </xf>
    <xf numFmtId="164" fontId="5" fillId="0" borderId="10" xfId="715" applyNumberFormat="1" applyFont="1" applyFill="1" applyBorder="1" applyAlignment="1">
      <alignment vertical="top"/>
    </xf>
    <xf numFmtId="164" fontId="5" fillId="0" borderId="12" xfId="715" applyNumberFormat="1" applyFont="1" applyFill="1" applyBorder="1" applyAlignment="1">
      <alignment vertical="top"/>
    </xf>
    <xf numFmtId="164" fontId="5" fillId="0" borderId="11" xfId="715" applyNumberFormat="1" applyFont="1" applyFill="1" applyBorder="1" applyAlignment="1">
      <alignment vertical="top"/>
    </xf>
    <xf numFmtId="164" fontId="5" fillId="0" borderId="13" xfId="715" applyNumberFormat="1" applyFont="1" applyFill="1" applyBorder="1" applyAlignment="1">
      <alignment horizontal="center" vertical="top"/>
    </xf>
    <xf numFmtId="164" fontId="5" fillId="0" borderId="229" xfId="715" applyNumberFormat="1" applyFont="1" applyFill="1" applyBorder="1" applyAlignment="1">
      <alignment vertical="top"/>
    </xf>
    <xf numFmtId="164" fontId="5" fillId="0" borderId="13" xfId="715" applyNumberFormat="1" applyFont="1" applyFill="1" applyBorder="1" applyAlignment="1">
      <alignment vertical="top"/>
    </xf>
    <xf numFmtId="164" fontId="5" fillId="0" borderId="15" xfId="715" applyNumberFormat="1" applyFont="1" applyFill="1" applyBorder="1" applyAlignment="1">
      <alignment vertical="top"/>
    </xf>
    <xf numFmtId="164" fontId="5" fillId="0" borderId="14" xfId="715" applyNumberFormat="1" applyFont="1" applyFill="1" applyBorder="1" applyAlignment="1">
      <alignment vertical="top"/>
    </xf>
    <xf numFmtId="0" fontId="0" fillId="46" borderId="0" xfId="0" applyFill="1"/>
    <xf numFmtId="0" fontId="43" fillId="0" borderId="27" xfId="1" applyFont="1" applyBorder="1" applyAlignment="1">
      <alignment horizontal="center"/>
    </xf>
    <xf numFmtId="0" fontId="1" fillId="0" borderId="25" xfId="1" applyFont="1" applyBorder="1" applyAlignment="1">
      <alignment horizontal="center" vertical="center"/>
    </xf>
    <xf numFmtId="0" fontId="37" fillId="46" borderId="221" xfId="67" applyFill="1" applyBorder="1" applyAlignment="1">
      <alignment vertical="top"/>
    </xf>
    <xf numFmtId="0" fontId="43" fillId="0" borderId="256" xfId="1" applyFont="1" applyBorder="1" applyAlignment="1">
      <alignment horizontal="center" vertical="center"/>
    </xf>
    <xf numFmtId="0" fontId="43" fillId="0" borderId="257" xfId="1" applyFont="1" applyBorder="1" applyAlignment="1">
      <alignment horizontal="center" vertical="center"/>
    </xf>
    <xf numFmtId="0" fontId="37" fillId="36" borderId="225" xfId="67" applyFill="1" applyBorder="1" applyAlignment="1">
      <alignment vertical="top"/>
    </xf>
    <xf numFmtId="0" fontId="0" fillId="0" borderId="79" xfId="0" applyBorder="1" applyAlignment="1">
      <alignment vertical="top" wrapText="1"/>
    </xf>
    <xf numFmtId="0" fontId="1" fillId="0" borderId="93" xfId="1" applyBorder="1" applyAlignment="1">
      <alignment horizontal="left" vertical="top" wrapText="1"/>
    </xf>
    <xf numFmtId="14" fontId="56" fillId="0" borderId="80" xfId="1" applyNumberFormat="1" applyFont="1" applyBorder="1" applyAlignment="1">
      <alignment vertical="center"/>
    </xf>
    <xf numFmtId="0" fontId="37" fillId="37" borderId="221" xfId="67" applyFill="1" applyBorder="1" applyAlignment="1">
      <alignment vertical="top"/>
    </xf>
    <xf numFmtId="0" fontId="0" fillId="0" borderId="71" xfId="0" applyBorder="1" applyAlignment="1">
      <alignment vertical="top"/>
    </xf>
    <xf numFmtId="0" fontId="1" fillId="0" borderId="26" xfId="1" applyFont="1" applyBorder="1" applyAlignment="1">
      <alignment horizontal="left"/>
    </xf>
    <xf numFmtId="43" fontId="0" fillId="0" borderId="0" xfId="46" applyFont="1"/>
    <xf numFmtId="191" fontId="5" fillId="2" borderId="0" xfId="1" applyNumberFormat="1" applyFont="1" applyFill="1" applyAlignment="1">
      <alignment vertical="top"/>
    </xf>
    <xf numFmtId="164" fontId="96" fillId="2" borderId="0" xfId="67" applyNumberFormat="1" applyFont="1" applyFill="1" applyAlignment="1">
      <alignment vertical="top"/>
    </xf>
    <xf numFmtId="0" fontId="0" fillId="0" borderId="240" xfId="0" applyBorder="1"/>
    <xf numFmtId="0" fontId="0" fillId="0" borderId="240" xfId="0" applyBorder="1" applyAlignment="1">
      <alignment wrapText="1"/>
    </xf>
    <xf numFmtId="43" fontId="0" fillId="0" borderId="240" xfId="46" applyFont="1" applyBorder="1"/>
    <xf numFmtId="0" fontId="26" fillId="0" borderId="240" xfId="0" applyFont="1" applyBorder="1" applyAlignment="1">
      <alignment horizontal="center"/>
    </xf>
    <xf numFmtId="0" fontId="0" fillId="0" borderId="240" xfId="0" applyBorder="1" applyAlignment="1">
      <alignment horizontal="center"/>
    </xf>
    <xf numFmtId="0" fontId="0" fillId="42" borderId="240" xfId="0" applyFill="1" applyBorder="1" applyAlignment="1">
      <alignment wrapText="1"/>
    </xf>
    <xf numFmtId="0" fontId="0" fillId="42" borderId="240" xfId="0" applyFill="1" applyBorder="1"/>
    <xf numFmtId="1" fontId="0" fillId="42" borderId="240" xfId="0" applyNumberFormat="1" applyFill="1" applyBorder="1" applyAlignment="1">
      <alignment wrapText="1"/>
    </xf>
    <xf numFmtId="1" fontId="0" fillId="42" borderId="240" xfId="0" applyNumberFormat="1" applyFill="1" applyBorder="1"/>
    <xf numFmtId="0" fontId="1" fillId="0" borderId="240" xfId="1" applyBorder="1"/>
    <xf numFmtId="0" fontId="5" fillId="0" borderId="240" xfId="1" applyFont="1" applyBorder="1"/>
    <xf numFmtId="0" fontId="5" fillId="30" borderId="240" xfId="1" applyFont="1" applyFill="1" applyBorder="1"/>
    <xf numFmtId="0" fontId="5" fillId="0" borderId="240" xfId="1" applyFont="1" applyFill="1" applyBorder="1"/>
    <xf numFmtId="167" fontId="5" fillId="0" borderId="240" xfId="49" applyNumberFormat="1" applyFont="1" applyFill="1" applyBorder="1"/>
    <xf numFmtId="168" fontId="5" fillId="0" borderId="240" xfId="50" applyNumberFormat="1" applyFont="1" applyFill="1" applyBorder="1"/>
    <xf numFmtId="168" fontId="5" fillId="0" borderId="240" xfId="1" applyNumberFormat="1" applyFont="1" applyFill="1" applyBorder="1"/>
    <xf numFmtId="167" fontId="5" fillId="0" borderId="240" xfId="49" applyNumberFormat="1" applyFont="1" applyBorder="1"/>
    <xf numFmtId="168" fontId="5" fillId="0" borderId="240" xfId="50" applyNumberFormat="1" applyFont="1" applyBorder="1"/>
    <xf numFmtId="0" fontId="51" fillId="0" borderId="240" xfId="0" applyFont="1" applyBorder="1" applyAlignment="1">
      <alignment wrapText="1"/>
    </xf>
    <xf numFmtId="164" fontId="51" fillId="0" borderId="240" xfId="46" applyNumberFormat="1" applyFont="1" applyBorder="1" applyAlignment="1">
      <alignment wrapText="1"/>
    </xf>
    <xf numFmtId="164" fontId="51" fillId="0" borderId="240" xfId="46" applyNumberFormat="1" applyFont="1" applyBorder="1" applyAlignment="1"/>
    <xf numFmtId="0" fontId="51" fillId="0" borderId="240" xfId="0" applyFont="1" applyBorder="1" applyAlignment="1"/>
    <xf numFmtId="0" fontId="52" fillId="0" borderId="240" xfId="0" applyFont="1" applyBorder="1"/>
    <xf numFmtId="164" fontId="52" fillId="0" borderId="240" xfId="46" applyNumberFormat="1" applyFont="1" applyBorder="1"/>
    <xf numFmtId="44" fontId="52" fillId="0" borderId="240" xfId="0" applyNumberFormat="1" applyFont="1" applyBorder="1"/>
    <xf numFmtId="164" fontId="5" fillId="2" borderId="240" xfId="1" applyNumberFormat="1" applyFont="1" applyFill="1" applyBorder="1" applyAlignment="1">
      <alignment horizontal="center" vertical="top"/>
    </xf>
    <xf numFmtId="164" fontId="5" fillId="2" borderId="240" xfId="1" applyNumberFormat="1" applyFont="1" applyFill="1" applyBorder="1" applyAlignment="1">
      <alignment vertical="top"/>
    </xf>
    <xf numFmtId="10" fontId="5" fillId="2" borderId="240" xfId="729" applyNumberFormat="1" applyFont="1" applyFill="1" applyBorder="1" applyAlignment="1">
      <alignment vertical="top"/>
    </xf>
    <xf numFmtId="164" fontId="5" fillId="43" borderId="240" xfId="1" applyNumberFormat="1" applyFont="1" applyFill="1" applyBorder="1" applyAlignment="1">
      <alignment horizontal="center" vertical="top"/>
    </xf>
    <xf numFmtId="164" fontId="5" fillId="43" borderId="240" xfId="1" applyNumberFormat="1" applyFont="1" applyFill="1" applyBorder="1" applyAlignment="1">
      <alignment vertical="top" wrapText="1"/>
    </xf>
    <xf numFmtId="164" fontId="5" fillId="43" borderId="240" xfId="1" applyNumberFormat="1" applyFont="1" applyFill="1" applyBorder="1" applyAlignment="1">
      <alignment horizontal="center" vertical="top" wrapText="1"/>
    </xf>
    <xf numFmtId="10" fontId="60" fillId="0" borderId="118" xfId="0" applyNumberFormat="1" applyFont="1" applyFill="1" applyBorder="1" applyAlignment="1">
      <alignment horizontal="center" vertical="center"/>
    </xf>
    <xf numFmtId="10" fontId="60" fillId="0" borderId="120" xfId="0" applyNumberFormat="1" applyFont="1" applyFill="1" applyBorder="1" applyAlignment="1">
      <alignment horizontal="center" vertical="center"/>
    </xf>
    <xf numFmtId="165" fontId="5" fillId="0" borderId="13" xfId="1" applyNumberFormat="1" applyFont="1" applyFill="1" applyBorder="1" applyAlignment="1">
      <alignment vertical="top"/>
    </xf>
    <xf numFmtId="165" fontId="5" fillId="0" borderId="15" xfId="1" applyNumberFormat="1" applyFont="1" applyFill="1" applyBorder="1" applyAlignment="1">
      <alignment vertical="top"/>
    </xf>
    <xf numFmtId="165" fontId="5" fillId="0" borderId="14" xfId="1" applyNumberFormat="1" applyFont="1" applyFill="1" applyBorder="1" applyAlignment="1">
      <alignment vertical="top"/>
    </xf>
    <xf numFmtId="0" fontId="0" fillId="0" borderId="0" xfId="0" applyFill="1" applyAlignment="1"/>
    <xf numFmtId="164" fontId="0" fillId="0" borderId="30" xfId="0" applyNumberFormat="1" applyFill="1" applyBorder="1"/>
    <xf numFmtId="164" fontId="0" fillId="0" borderId="258" xfId="0" applyNumberFormat="1" applyFill="1" applyBorder="1"/>
    <xf numFmtId="164" fontId="0" fillId="0" borderId="108" xfId="0" applyNumberFormat="1" applyFill="1" applyBorder="1"/>
    <xf numFmtId="165" fontId="28" fillId="0" borderId="240" xfId="0" applyNumberFormat="1" applyFont="1" applyFill="1" applyBorder="1"/>
    <xf numFmtId="169" fontId="28" fillId="0" borderId="240" xfId="0" applyNumberFormat="1" applyFont="1" applyBorder="1"/>
    <xf numFmtId="164" fontId="28" fillId="0" borderId="240" xfId="0" applyNumberFormat="1" applyFont="1" applyBorder="1"/>
    <xf numFmtId="0" fontId="28" fillId="0" borderId="240" xfId="0" applyFont="1" applyBorder="1" applyAlignment="1">
      <alignment horizontal="center"/>
    </xf>
    <xf numFmtId="164" fontId="0" fillId="29" borderId="35" xfId="0" applyNumberFormat="1" applyFill="1" applyBorder="1"/>
    <xf numFmtId="164" fontId="0" fillId="29" borderId="36" xfId="0" applyNumberFormat="1" applyFill="1" applyBorder="1"/>
    <xf numFmtId="0" fontId="0" fillId="29" borderId="33" xfId="0" applyFill="1" applyBorder="1"/>
    <xf numFmtId="0" fontId="31" fillId="0" borderId="0" xfId="0" applyFont="1" applyAlignment="1">
      <alignment wrapText="1"/>
    </xf>
    <xf numFmtId="0" fontId="58" fillId="0" borderId="0" xfId="0" applyFont="1" applyAlignment="1">
      <alignment horizontal="center" vertical="center" wrapText="1"/>
    </xf>
    <xf numFmtId="0" fontId="58" fillId="62" borderId="4" xfId="0" applyFont="1" applyFill="1" applyBorder="1" applyAlignment="1">
      <alignment horizontal="center" vertical="center" wrapText="1"/>
    </xf>
    <xf numFmtId="0" fontId="31" fillId="63" borderId="240" xfId="0" applyFont="1" applyFill="1" applyBorder="1" applyAlignment="1">
      <alignment vertical="center" wrapText="1"/>
    </xf>
    <xf numFmtId="0" fontId="31" fillId="63" borderId="240" xfId="0" applyFont="1" applyFill="1" applyBorder="1" applyAlignment="1">
      <alignment horizontal="left" vertical="top" wrapText="1"/>
    </xf>
    <xf numFmtId="0" fontId="31" fillId="0" borderId="259" xfId="0" applyFont="1" applyBorder="1" applyAlignment="1">
      <alignment horizontal="center" wrapText="1"/>
    </xf>
    <xf numFmtId="0" fontId="31" fillId="0" borderId="240" xfId="0" applyFont="1" applyBorder="1" applyAlignment="1">
      <alignment vertical="center" wrapText="1"/>
    </xf>
    <xf numFmtId="0" fontId="31" fillId="0" borderId="240" xfId="0" applyFont="1" applyBorder="1" applyAlignment="1">
      <alignment horizontal="left" vertical="top" wrapText="1"/>
    </xf>
    <xf numFmtId="0" fontId="31" fillId="0" borderId="0" xfId="0" applyFont="1" applyFill="1" applyBorder="1" applyAlignment="1">
      <alignment wrapText="1"/>
    </xf>
    <xf numFmtId="164" fontId="5" fillId="2" borderId="0" xfId="1" applyNumberFormat="1" applyFont="1" applyFill="1" applyAlignment="1">
      <alignment horizontal="center" vertical="top"/>
    </xf>
    <xf numFmtId="0" fontId="1" fillId="0" borderId="25" xfId="1" applyBorder="1" applyAlignment="1">
      <alignment horizontal="center" vertical="center" wrapText="1"/>
    </xf>
    <xf numFmtId="0" fontId="1" fillId="0" borderId="28" xfId="1" applyBorder="1" applyAlignment="1">
      <alignment horizontal="center" vertical="center" wrapText="1"/>
    </xf>
    <xf numFmtId="0" fontId="1" fillId="0" borderId="30" xfId="1" applyBorder="1" applyAlignment="1">
      <alignment horizontal="center" vertical="center" wrapText="1"/>
    </xf>
    <xf numFmtId="0" fontId="0" fillId="0" borderId="28" xfId="0" applyBorder="1" applyAlignment="1">
      <alignment horizontal="center" vertical="center" wrapText="1"/>
    </xf>
    <xf numFmtId="0" fontId="0" fillId="0" borderId="30" xfId="0" applyBorder="1" applyAlignment="1">
      <alignment horizontal="center" vertical="center" wrapText="1"/>
    </xf>
    <xf numFmtId="164" fontId="5" fillId="3" borderId="1" xfId="715" applyNumberFormat="1" applyFont="1" applyFill="1" applyBorder="1" applyAlignment="1">
      <alignment horizontal="center" vertical="top"/>
    </xf>
    <xf numFmtId="164" fontId="5" fillId="3" borderId="2" xfId="715" applyNumberFormat="1" applyFont="1" applyFill="1" applyBorder="1" applyAlignment="1">
      <alignment horizontal="center" vertical="top"/>
    </xf>
    <xf numFmtId="164" fontId="5" fillId="3" borderId="3" xfId="715" applyNumberFormat="1" applyFont="1" applyFill="1" applyBorder="1" applyAlignment="1">
      <alignment horizontal="center" vertical="top"/>
    </xf>
    <xf numFmtId="0" fontId="53" fillId="0" borderId="0" xfId="0" applyFont="1" applyFill="1" applyBorder="1" applyAlignment="1">
      <alignment horizontal="center" vertical="center"/>
    </xf>
    <xf numFmtId="10" fontId="57" fillId="45" borderId="0" xfId="0" applyNumberFormat="1" applyFont="1" applyFill="1" applyBorder="1" applyAlignment="1">
      <alignment horizontal="center" vertical="center"/>
    </xf>
    <xf numFmtId="10" fontId="57" fillId="45" borderId="129" xfId="0" applyNumberFormat="1" applyFont="1" applyFill="1" applyBorder="1" applyAlignment="1">
      <alignment horizontal="center" vertical="center"/>
    </xf>
    <xf numFmtId="0" fontId="53" fillId="0" borderId="25" xfId="0" applyFont="1" applyBorder="1" applyAlignment="1">
      <alignment horizontal="center" vertical="center"/>
    </xf>
    <xf numFmtId="0" fontId="53" fillId="0" borderId="26" xfId="0" applyFont="1" applyBorder="1" applyAlignment="1">
      <alignment horizontal="center" vertical="center"/>
    </xf>
    <xf numFmtId="0" fontId="53" fillId="0" borderId="27" xfId="0" applyFont="1" applyBorder="1" applyAlignment="1">
      <alignment horizontal="center" vertical="center"/>
    </xf>
    <xf numFmtId="0" fontId="53" fillId="0" borderId="30" xfId="0" applyFont="1" applyBorder="1" applyAlignment="1">
      <alignment horizontal="center" vertical="center"/>
    </xf>
    <xf numFmtId="0" fontId="53" fillId="0" borderId="129" xfId="0" applyFont="1" applyBorder="1" applyAlignment="1">
      <alignment horizontal="center" vertical="center"/>
    </xf>
    <xf numFmtId="0" fontId="53" fillId="0" borderId="108" xfId="0" applyFont="1" applyBorder="1" applyAlignment="1">
      <alignment horizontal="center" vertical="center"/>
    </xf>
    <xf numFmtId="0" fontId="53" fillId="0" borderId="25"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30" xfId="0" applyFont="1" applyBorder="1" applyAlignment="1">
      <alignment horizontal="center" vertical="center" wrapText="1"/>
    </xf>
    <xf numFmtId="0" fontId="53" fillId="0" borderId="108" xfId="0" applyFont="1" applyBorder="1" applyAlignment="1">
      <alignment horizontal="center" vertical="center" wrapText="1"/>
    </xf>
    <xf numFmtId="164" fontId="5" fillId="3" borderId="1" xfId="1" applyNumberFormat="1" applyFont="1" applyFill="1" applyBorder="1" applyAlignment="1">
      <alignment horizontal="center" vertical="top"/>
    </xf>
    <xf numFmtId="164" fontId="5" fillId="3" borderId="2" xfId="1" applyNumberFormat="1" applyFont="1" applyFill="1" applyBorder="1" applyAlignment="1">
      <alignment horizontal="center" vertical="top"/>
    </xf>
    <xf numFmtId="164" fontId="5" fillId="3" borderId="3" xfId="1" applyNumberFormat="1" applyFont="1" applyFill="1" applyBorder="1" applyAlignment="1">
      <alignment horizontal="center" vertical="top"/>
    </xf>
    <xf numFmtId="164" fontId="5" fillId="31" borderId="1" xfId="1" applyNumberFormat="1" applyFont="1" applyFill="1" applyBorder="1" applyAlignment="1">
      <alignment horizontal="center"/>
    </xf>
    <xf numFmtId="164" fontId="5" fillId="31" borderId="2" xfId="1" applyNumberFormat="1" applyFont="1" applyFill="1" applyBorder="1" applyAlignment="1">
      <alignment horizontal="center"/>
    </xf>
    <xf numFmtId="164" fontId="5" fillId="31" borderId="3" xfId="1" applyNumberFormat="1" applyFont="1" applyFill="1" applyBorder="1" applyAlignment="1">
      <alignment horizontal="center"/>
    </xf>
    <xf numFmtId="164" fontId="5" fillId="26" borderId="1" xfId="1" applyNumberFormat="1" applyFont="1" applyFill="1" applyBorder="1" applyAlignment="1">
      <alignment horizontal="center"/>
    </xf>
    <xf numFmtId="164" fontId="5" fillId="26" borderId="2" xfId="1" applyNumberFormat="1" applyFont="1" applyFill="1" applyBorder="1" applyAlignment="1">
      <alignment horizontal="center"/>
    </xf>
    <xf numFmtId="164" fontId="5" fillId="26" borderId="3" xfId="1" applyNumberFormat="1" applyFont="1" applyFill="1" applyBorder="1" applyAlignment="1">
      <alignment horizontal="center"/>
    </xf>
    <xf numFmtId="164" fontId="5" fillId="3" borderId="1" xfId="1" applyNumberFormat="1" applyFont="1" applyFill="1" applyBorder="1" applyAlignment="1">
      <alignment horizontal="center"/>
    </xf>
    <xf numFmtId="164" fontId="5" fillId="3" borderId="2" xfId="1" applyNumberFormat="1" applyFont="1" applyFill="1" applyBorder="1" applyAlignment="1">
      <alignment horizontal="center"/>
    </xf>
    <xf numFmtId="164" fontId="5" fillId="3" borderId="3" xfId="1" applyNumberFormat="1" applyFont="1" applyFill="1" applyBorder="1" applyAlignment="1">
      <alignment horizontal="center"/>
    </xf>
    <xf numFmtId="0" fontId="0" fillId="29" borderId="1" xfId="0" applyFill="1" applyBorder="1" applyAlignment="1">
      <alignment horizontal="center"/>
    </xf>
    <xf numFmtId="0" fontId="0" fillId="29" borderId="2" xfId="0" applyFill="1" applyBorder="1" applyAlignment="1">
      <alignment horizontal="center"/>
    </xf>
    <xf numFmtId="0" fontId="0" fillId="29" borderId="3" xfId="0" applyFill="1" applyBorder="1" applyAlignment="1">
      <alignment horizontal="center"/>
    </xf>
    <xf numFmtId="0" fontId="0" fillId="27" borderId="1" xfId="0" applyFill="1" applyBorder="1" applyAlignment="1">
      <alignment horizontal="center"/>
    </xf>
    <xf numFmtId="0" fontId="0" fillId="27" borderId="2" xfId="0" applyFill="1" applyBorder="1" applyAlignment="1">
      <alignment horizontal="center"/>
    </xf>
    <xf numFmtId="0" fontId="0" fillId="27" borderId="3" xfId="0" applyFill="1" applyBorder="1" applyAlignment="1">
      <alignment horizontal="center"/>
    </xf>
    <xf numFmtId="0" fontId="0" fillId="28" borderId="1" xfId="0" applyFill="1" applyBorder="1" applyAlignment="1">
      <alignment horizontal="center"/>
    </xf>
    <xf numFmtId="0" fontId="0" fillId="28" borderId="2" xfId="0" applyFill="1" applyBorder="1" applyAlignment="1">
      <alignment horizontal="center"/>
    </xf>
    <xf numFmtId="0" fontId="0" fillId="28" borderId="3" xfId="0"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27" borderId="25" xfId="0" applyFill="1" applyBorder="1" applyAlignment="1">
      <alignment horizontal="center"/>
    </xf>
    <xf numFmtId="0" fontId="0" fillId="27" borderId="26" xfId="0" applyFill="1" applyBorder="1" applyAlignment="1">
      <alignment horizontal="center"/>
    </xf>
    <xf numFmtId="0" fontId="0" fillId="27" borderId="27" xfId="0" applyFill="1" applyBorder="1" applyAlignment="1">
      <alignment horizontal="center"/>
    </xf>
    <xf numFmtId="164" fontId="33" fillId="29" borderId="107" xfId="0" applyNumberFormat="1" applyFont="1" applyFill="1" applyBorder="1" applyAlignment="1">
      <alignment horizontal="center"/>
    </xf>
    <xf numFmtId="164" fontId="33" fillId="29" borderId="108" xfId="0" applyNumberFormat="1" applyFont="1" applyFill="1" applyBorder="1" applyAlignment="1">
      <alignment horizontal="center"/>
    </xf>
    <xf numFmtId="164" fontId="33" fillId="41" borderId="30" xfId="0" applyNumberFormat="1" applyFont="1" applyFill="1" applyBorder="1" applyAlignment="1">
      <alignment horizontal="center"/>
    </xf>
    <xf numFmtId="164" fontId="33" fillId="41" borderId="107" xfId="0" applyNumberFormat="1" applyFont="1" applyFill="1" applyBorder="1" applyAlignment="1">
      <alignment horizontal="center"/>
    </xf>
    <xf numFmtId="164" fontId="33" fillId="41" borderId="108" xfId="0" applyNumberFormat="1" applyFont="1" applyFill="1" applyBorder="1" applyAlignment="1">
      <alignment horizontal="center"/>
    </xf>
    <xf numFmtId="164" fontId="33" fillId="32" borderId="1" xfId="0" applyNumberFormat="1" applyFont="1" applyFill="1" applyBorder="1" applyAlignment="1">
      <alignment horizontal="center" wrapText="1"/>
    </xf>
    <xf numFmtId="164" fontId="33" fillId="32" borderId="2" xfId="0" applyNumberFormat="1" applyFont="1" applyFill="1" applyBorder="1" applyAlignment="1">
      <alignment horizontal="center" wrapText="1"/>
    </xf>
    <xf numFmtId="164" fontId="33" fillId="32" borderId="3" xfId="0" applyNumberFormat="1" applyFont="1" applyFill="1" applyBorder="1" applyAlignment="1">
      <alignment horizontal="center" wrapText="1"/>
    </xf>
    <xf numFmtId="164" fontId="33" fillId="29" borderId="2" xfId="0" applyNumberFormat="1" applyFont="1" applyFill="1" applyBorder="1" applyAlignment="1">
      <alignment horizontal="center"/>
    </xf>
    <xf numFmtId="0" fontId="33" fillId="41" borderId="1" xfId="0" applyFont="1" applyFill="1" applyBorder="1" applyAlignment="1">
      <alignment horizontal="center"/>
    </xf>
    <xf numFmtId="0" fontId="33" fillId="41" borderId="2" xfId="0" applyFont="1" applyFill="1" applyBorder="1" applyAlignment="1">
      <alignment horizontal="center"/>
    </xf>
    <xf numFmtId="0" fontId="33" fillId="41" borderId="3" xfId="0" applyFont="1" applyFill="1" applyBorder="1" applyAlignment="1">
      <alignment horizontal="center"/>
    </xf>
    <xf numFmtId="0" fontId="36" fillId="32" borderId="1" xfId="0" applyFont="1" applyFill="1" applyBorder="1" applyAlignment="1">
      <alignment horizontal="center" vertical="center"/>
    </xf>
    <xf numFmtId="0" fontId="36" fillId="32" borderId="2" xfId="0" applyFont="1" applyFill="1" applyBorder="1" applyAlignment="1">
      <alignment horizontal="center" vertical="center"/>
    </xf>
    <xf numFmtId="0" fontId="36" fillId="32" borderId="3" xfId="0" applyFont="1" applyFill="1" applyBorder="1" applyAlignment="1">
      <alignment horizontal="center" vertical="center"/>
    </xf>
    <xf numFmtId="164" fontId="33" fillId="34" borderId="1" xfId="0" applyNumberFormat="1" applyFont="1" applyFill="1" applyBorder="1" applyAlignment="1">
      <alignment horizontal="center"/>
    </xf>
    <xf numFmtId="164" fontId="33" fillId="34" borderId="2" xfId="0" applyNumberFormat="1" applyFont="1" applyFill="1" applyBorder="1" applyAlignment="1">
      <alignment horizontal="center"/>
    </xf>
    <xf numFmtId="164" fontId="33" fillId="34" borderId="3" xfId="0" applyNumberFormat="1" applyFont="1" applyFill="1" applyBorder="1" applyAlignment="1">
      <alignment horizontal="center"/>
    </xf>
    <xf numFmtId="164" fontId="33" fillId="35" borderId="1" xfId="0" applyNumberFormat="1" applyFont="1" applyFill="1" applyBorder="1" applyAlignment="1">
      <alignment horizontal="center"/>
    </xf>
    <xf numFmtId="164" fontId="33" fillId="35" borderId="2" xfId="0" applyNumberFormat="1" applyFont="1" applyFill="1" applyBorder="1" applyAlignment="1">
      <alignment horizontal="center"/>
    </xf>
    <xf numFmtId="164" fontId="33" fillId="35" borderId="3" xfId="0" applyNumberFormat="1" applyFont="1" applyFill="1" applyBorder="1" applyAlignment="1">
      <alignment horizontal="center"/>
    </xf>
    <xf numFmtId="164" fontId="33" fillId="34" borderId="30" xfId="0" applyNumberFormat="1" applyFont="1" applyFill="1" applyBorder="1" applyAlignment="1">
      <alignment horizontal="center" wrapText="1"/>
    </xf>
    <xf numFmtId="164" fontId="33" fillId="34" borderId="107" xfId="0" applyNumberFormat="1" applyFont="1" applyFill="1" applyBorder="1" applyAlignment="1">
      <alignment horizontal="center" wrapText="1"/>
    </xf>
    <xf numFmtId="164" fontId="33" fillId="34" borderId="108" xfId="0" applyNumberFormat="1" applyFont="1" applyFill="1" applyBorder="1" applyAlignment="1">
      <alignment horizontal="center" wrapText="1"/>
    </xf>
    <xf numFmtId="164" fontId="33" fillId="34" borderId="30" xfId="0" applyNumberFormat="1" applyFont="1" applyFill="1" applyBorder="1" applyAlignment="1">
      <alignment horizontal="center"/>
    </xf>
    <xf numFmtId="164" fontId="33" fillId="34" borderId="107" xfId="0" applyNumberFormat="1" applyFont="1" applyFill="1" applyBorder="1" applyAlignment="1">
      <alignment horizontal="center"/>
    </xf>
    <xf numFmtId="164" fontId="33" fillId="34" borderId="108" xfId="0" applyNumberFormat="1" applyFont="1" applyFill="1" applyBorder="1" applyAlignment="1">
      <alignment horizontal="center"/>
    </xf>
    <xf numFmtId="164" fontId="33" fillId="35" borderId="30" xfId="0" applyNumberFormat="1" applyFont="1" applyFill="1" applyBorder="1" applyAlignment="1">
      <alignment horizontal="center" wrapText="1"/>
    </xf>
    <xf numFmtId="164" fontId="33" fillId="35" borderId="107" xfId="0" applyNumberFormat="1" applyFont="1" applyFill="1" applyBorder="1" applyAlignment="1">
      <alignment horizontal="center" wrapText="1"/>
    </xf>
    <xf numFmtId="164" fontId="33" fillId="35" borderId="108" xfId="0" applyNumberFormat="1" applyFont="1" applyFill="1" applyBorder="1" applyAlignment="1">
      <alignment horizontal="center" wrapText="1"/>
    </xf>
    <xf numFmtId="164" fontId="33" fillId="35" borderId="28" xfId="0" applyNumberFormat="1" applyFont="1" applyFill="1" applyBorder="1" applyAlignment="1">
      <alignment horizontal="center" wrapText="1"/>
    </xf>
    <xf numFmtId="164" fontId="33" fillId="35" borderId="0" xfId="0" applyNumberFormat="1" applyFont="1" applyFill="1" applyBorder="1" applyAlignment="1">
      <alignment horizontal="center" wrapText="1"/>
    </xf>
    <xf numFmtId="164" fontId="33" fillId="35" borderId="29" xfId="0" applyNumberFormat="1" applyFont="1" applyFill="1" applyBorder="1" applyAlignment="1">
      <alignment horizontal="center" wrapText="1"/>
    </xf>
    <xf numFmtId="0" fontId="36" fillId="35" borderId="1" xfId="0" applyFont="1" applyFill="1" applyBorder="1" applyAlignment="1">
      <alignment horizontal="center" vertical="center"/>
    </xf>
    <xf numFmtId="0" fontId="36" fillId="35" borderId="2" xfId="0" applyFont="1" applyFill="1" applyBorder="1" applyAlignment="1">
      <alignment horizontal="center" vertical="center"/>
    </xf>
    <xf numFmtId="0" fontId="36" fillId="35" borderId="3" xfId="0" applyFont="1" applyFill="1" applyBorder="1" applyAlignment="1">
      <alignment horizontal="center" vertical="center"/>
    </xf>
    <xf numFmtId="164" fontId="33" fillId="35" borderId="1" xfId="0" applyNumberFormat="1" applyFont="1" applyFill="1" applyBorder="1" applyAlignment="1">
      <alignment horizontal="center" wrapText="1"/>
    </xf>
    <xf numFmtId="164" fontId="33" fillId="35" borderId="2" xfId="0" applyNumberFormat="1" applyFont="1" applyFill="1" applyBorder="1" applyAlignment="1">
      <alignment horizontal="center" wrapText="1"/>
    </xf>
    <xf numFmtId="164" fontId="33" fillId="35" borderId="3" xfId="0" applyNumberFormat="1" applyFont="1" applyFill="1" applyBorder="1" applyAlignment="1">
      <alignment horizontal="center" wrapText="1"/>
    </xf>
    <xf numFmtId="164" fontId="33" fillId="35" borderId="30" xfId="0" applyNumberFormat="1" applyFont="1" applyFill="1" applyBorder="1" applyAlignment="1">
      <alignment horizontal="center"/>
    </xf>
    <xf numFmtId="164" fontId="33" fillId="35" borderId="129" xfId="0" applyNumberFormat="1" applyFont="1" applyFill="1" applyBorder="1" applyAlignment="1">
      <alignment horizontal="center"/>
    </xf>
    <xf numFmtId="0" fontId="36" fillId="44" borderId="1" xfId="0" applyFont="1" applyFill="1" applyBorder="1" applyAlignment="1">
      <alignment horizontal="center" vertical="center"/>
    </xf>
    <xf numFmtId="0" fontId="36" fillId="44" borderId="2" xfId="0" applyFont="1" applyFill="1" applyBorder="1" applyAlignment="1">
      <alignment horizontal="center" vertical="center"/>
    </xf>
    <xf numFmtId="0" fontId="36" fillId="44" borderId="3" xfId="0" applyFont="1" applyFill="1" applyBorder="1" applyAlignment="1">
      <alignment horizontal="center" vertical="center"/>
    </xf>
    <xf numFmtId="164" fontId="33" fillId="39" borderId="1" xfId="0" applyNumberFormat="1" applyFont="1" applyFill="1" applyBorder="1" applyAlignment="1">
      <alignment horizontal="center"/>
    </xf>
    <xf numFmtId="164" fontId="33" fillId="39" borderId="2" xfId="0" applyNumberFormat="1" applyFont="1" applyFill="1" applyBorder="1" applyAlignment="1">
      <alignment horizontal="center"/>
    </xf>
    <xf numFmtId="164" fontId="33" fillId="39" borderId="3" xfId="0" applyNumberFormat="1" applyFont="1" applyFill="1" applyBorder="1" applyAlignment="1">
      <alignment horizontal="center"/>
    </xf>
    <xf numFmtId="164" fontId="33" fillId="39" borderId="1" xfId="0" applyNumberFormat="1" applyFont="1" applyFill="1" applyBorder="1" applyAlignment="1">
      <alignment horizontal="center" wrapText="1"/>
    </xf>
    <xf numFmtId="164" fontId="33" fillId="39" borderId="2" xfId="0" applyNumberFormat="1" applyFont="1" applyFill="1" applyBorder="1" applyAlignment="1">
      <alignment horizontal="center" wrapText="1"/>
    </xf>
    <xf numFmtId="164" fontId="33" fillId="39" borderId="3" xfId="0" applyNumberFormat="1" applyFont="1" applyFill="1" applyBorder="1" applyAlignment="1">
      <alignment horizontal="center" wrapText="1"/>
    </xf>
    <xf numFmtId="164" fontId="34" fillId="39" borderId="1" xfId="0" applyNumberFormat="1" applyFont="1" applyFill="1" applyBorder="1" applyAlignment="1">
      <alignment horizontal="center" wrapText="1"/>
    </xf>
    <xf numFmtId="164" fontId="34" fillId="39" borderId="2" xfId="0" applyNumberFormat="1" applyFont="1" applyFill="1" applyBorder="1" applyAlignment="1">
      <alignment horizontal="center" wrapText="1"/>
    </xf>
    <xf numFmtId="164" fontId="34" fillId="39" borderId="3" xfId="0" applyNumberFormat="1" applyFont="1" applyFill="1" applyBorder="1" applyAlignment="1">
      <alignment horizontal="center" wrapText="1"/>
    </xf>
    <xf numFmtId="164" fontId="5" fillId="3" borderId="30" xfId="1" applyNumberFormat="1" applyFont="1" applyFill="1" applyBorder="1" applyAlignment="1">
      <alignment horizontal="center" vertical="top"/>
    </xf>
    <xf numFmtId="164" fontId="5" fillId="3" borderId="107" xfId="1" applyNumberFormat="1" applyFont="1" applyFill="1" applyBorder="1" applyAlignment="1">
      <alignment horizontal="center" vertical="top"/>
    </xf>
  </cellXfs>
  <cellStyles count="60759">
    <cellStyle name="%" xfId="38552"/>
    <cellStyle name="% 2" xfId="38553"/>
    <cellStyle name="%_11.12 NHS Capital Conversion Table v1.00 (M4)" xfId="38554"/>
    <cellStyle name="%_2011-12 Capital Dispo - v4.00 (M4)" xfId="38555"/>
    <cellStyle name="%_2011-12 Capital Dispo - v4.00 (M4) 2" xfId="38556"/>
    <cellStyle name="%_2011-12 Capital Dispo - v4.00 (M4) 2_20130306_ DISPO from 1112 acctsv24" xfId="38557"/>
    <cellStyle name="_~1545858" xfId="38558"/>
    <cellStyle name="_~1974357" xfId="38559"/>
    <cellStyle name="_~3035405" xfId="38560"/>
    <cellStyle name="_~6692659" xfId="38561"/>
    <cellStyle name="_~6811784" xfId="38562"/>
    <cellStyle name="_~7977317" xfId="38563"/>
    <cellStyle name="_~8521057" xfId="38564"/>
    <cellStyle name="_~9959608" xfId="38565"/>
    <cellStyle name="_11.12 Bottom Line Dispo v3.03 (Q1)" xfId="38566"/>
    <cellStyle name="_11.12 NHS Capital Conversion Table v1.00 (M4)" xfId="38567"/>
    <cellStyle name="_11.12 NHS Capital Conversion Table v1.00 (M4) 2" xfId="38568"/>
    <cellStyle name="_11.12 NHS Capital Conversion Table v1.00 (M4) 2_20130306_ DISPO from 1112 acctsv24" xfId="38569"/>
    <cellStyle name="_11.12 Q2 AM Sign Off Tables v3.00" xfId="38570"/>
    <cellStyle name="_12.13 OSCAR - Sign Off Tables - v6.05" xfId="38571"/>
    <cellStyle name="_20100518_alb mapping" xfId="38572"/>
    <cellStyle name="_20100525_ALBOverhead_readyreckoner" xfId="38573"/>
    <cellStyle name="_2010-11 Capital Dispo - v13.04 (RA)" xfId="38574"/>
    <cellStyle name="_2010-11 Capital Dispo - v13.04 (RA) 2" xfId="38575"/>
    <cellStyle name="_2010-11 Capital Dispo - v13.04 (RA) 2_20130306_ DISPO from 1112 acctsv24" xfId="38576"/>
    <cellStyle name="_2010-11 Capital Dispo - v13.06 (RA)" xfId="38577"/>
    <cellStyle name="_2010-11 Capital Dispo - v13.06 (RA) 2" xfId="38578"/>
    <cellStyle name="_2010-11 Capital Dispo - v13.06 (RA) 2_20130306_ DISPO from 1112 acctsv24" xfId="38579"/>
    <cellStyle name="_2010-11 Capital Dispo - v13.08 (RA) SG" xfId="38580"/>
    <cellStyle name="_2010-11 Capital Dispo - v13.08 (RA) SG 2" xfId="38581"/>
    <cellStyle name="_2010-11 Capital Dispo - v13.08 (RA) SG 2_20130306_ DISPO from 1112 acctsv24" xfId="38582"/>
    <cellStyle name="_2010-11 Capital Updates Post Feb C Budget Review" xfId="38583"/>
    <cellStyle name="_2010-11 Monthly Forecasts - August Outturn  (10 September COINS return) V2" xfId="38584"/>
    <cellStyle name="_20101124_PWeare09_10And10_11DispoOutturn" xfId="38585"/>
    <cellStyle name="_20101210_NewDispo_ForHMTWorkInProgressV20" xfId="38586"/>
    <cellStyle name="_20110311 Reconciliation FIMS and position statement" xfId="38587"/>
    <cellStyle name="_20110520 Public Schemes Reconciliation FIMS vs CIB" xfId="38588"/>
    <cellStyle name="_20110601_EWAD 09.05.11 V6" xfId="38589"/>
    <cellStyle name="_20110601_EWAD 09.05.11 V7" xfId="38590"/>
    <cellStyle name="_20110628FundsFlow_V47" xfId="38591"/>
    <cellStyle name="_2011-12 Capital Dispo - v4.00 (M4)" xfId="38592"/>
    <cellStyle name="_2011-12 Cash Dispo PWv1.1" xfId="38593"/>
    <cellStyle name="_2011-12 COINS FIMS HMT Forms Q1 FT Plan v1.0 BJE" xfId="38594"/>
    <cellStyle name="_2011-12 M7 post SofS meeting (V1)" xfId="38595"/>
    <cellStyle name="_20120427Source and Apps v3.00" xfId="38596"/>
    <cellStyle name="_20120608_DB ready reckonerV10_V2a TN edits 42" xfId="38597"/>
    <cellStyle name="_201211070_Key data updated 11 January 2013" xfId="38598"/>
    <cellStyle name="_2012-13 budgets summary V1 Start - April 2012" xfId="38599"/>
    <cellStyle name="_Admin back-tallying model" xfId="38600"/>
    <cellStyle name="_ALB Q4 V1 rec with schedules (V2)" xfId="38601"/>
    <cellStyle name="_Appendix C - Overall Revised Admin Sept 12" xfId="38602"/>
    <cellStyle name="_Bottom Up vs Top Down v3" xfId="38603"/>
    <cellStyle name="_Cap Comm Detail" xfId="38604"/>
    <cellStyle name="_Cap Comm Detail 2" xfId="38605"/>
    <cellStyle name="_Cap Comm Detail 3" xfId="38606"/>
    <cellStyle name="_Cap Comm Detail 4" xfId="38607"/>
    <cellStyle name="_Cap Comm Detail 4 2" xfId="38608"/>
    <cellStyle name="_Cap Comm Detail 5" xfId="38609"/>
    <cellStyle name="_Cap Comm Detail 5 2" xfId="38610"/>
    <cellStyle name="_Cap Comm Detail 6" xfId="38611"/>
    <cellStyle name="_Cap Comm Detail 6 2" xfId="38612"/>
    <cellStyle name="_Cap Comm Detail 6 2_20130306_ DISPO from 1112 acctsv24" xfId="38613"/>
    <cellStyle name="_Cap Comm Detail 7" xfId="38614"/>
    <cellStyle name="_Cap Comm Detail 7_20130306_ DISPO from 1112 acctsv24" xfId="38615"/>
    <cellStyle name="_capital commitments workings for Mar07 accounts" xfId="38616"/>
    <cellStyle name="_capital commitments workings for Mar07 accounts 2" xfId="38617"/>
    <cellStyle name="_capital commitments workings for Mar07 accounts 2 2" xfId="38618"/>
    <cellStyle name="_Capital Review 12.01.09 v2" xfId="38619"/>
    <cellStyle name="_Capital SR2010 - Dispo Breakdown - Post13th JulySofSMeet 100913 JS SofS-CST Meeting Scenario cuts NOMINAL" xfId="38620"/>
    <cellStyle name="_CapitalDispoJun09 cut 15-07-10" xfId="38621"/>
    <cellStyle name="_DBEB Finance Update v3.01 (M5) SG" xfId="38622"/>
    <cellStyle name="_DH Cascade V1" xfId="38623"/>
    <cellStyle name="_FOT review 09.03.09" xfId="38624"/>
    <cellStyle name="_Future destination of SHA Bundle lines" xfId="38625"/>
    <cellStyle name="_Future destination of SHA Bundle lines_12-13 Central Budgets Spreadsheet v18" xfId="38626"/>
    <cellStyle name="_Future destination of SHA Bundle lines_12-13 Central Budgets Spreadsheet v18 2" xfId="38627"/>
    <cellStyle name="_Future destination of SHA Bundle lines_12-13 Central Budgets Spreadsheet v18_~4471745" xfId="38628"/>
    <cellStyle name="_Future destination of SHA Bundle lines_12-13 Central Budgets Spreadsheet v18_~7857524" xfId="38629"/>
    <cellStyle name="_Future destination of SHA Bundle lines_12-13 Central Budgets Spreadsheet v18_130417 DISPO from 1112 accts v17" xfId="38630"/>
    <cellStyle name="_Future destination of SHA Bundle lines_12-13 Central Budgets Spreadsheet v18_20130205_Split of Budgets Dispo v9d" xfId="38631"/>
    <cellStyle name="_Future destination of SHA Bundle lines_12-13 Central Budgets Spreadsheet v18_20130205_Split of Budgets Dispo v9d 2" xfId="38632"/>
    <cellStyle name="_Future destination of SHA Bundle lines_12-13 Central Budgets Spreadsheet v18_20130205_Split of Budgets Dispo v9d_130417 DISPO from 1112 accts v17" xfId="38633"/>
    <cellStyle name="_Future destination of SHA Bundle lines_12-13 Central Budgets Spreadsheet v18_20130205_Split of Budgets Dispo v9d_20130306 DISPO from 1112 accts v14 for NHSE" xfId="38634"/>
    <cellStyle name="_Future destination of SHA Bundle lines_12-13 Central Budgets Spreadsheet v18_20130205_Split of Budgets Dispo v9d_20130306 DISPO from 1112 accts v14 for NHSE - with tariff" xfId="38635"/>
    <cellStyle name="_Future destination of SHA Bundle lines_12-13 Central Budgets Spreadsheet v18_20130205_Split of Budgets Dispo v9d_20130306 DISPO from 1112 accts v14 for NHSE TN edits 2" xfId="38636"/>
    <cellStyle name="_Future destination of SHA Bundle lines_12-13 Central Budgets Spreadsheet v18_20130205_Split of Budgets Dispo v9d_20130306_ DISPO from 1112 acctsv10" xfId="38637"/>
    <cellStyle name="_Future destination of SHA Bundle lines_12-13 Central Budgets Spreadsheet v18_20130205_Split of Budgets Dispo v9d_20130306_ DISPO from 1112 acctsv12" xfId="38638"/>
    <cellStyle name="_Future destination of SHA Bundle lines_12-13 Central Budgets Spreadsheet v18_20130205_Split of Budgets Dispo v9d_20130306_ DISPO from 1112 acctsv24" xfId="38639"/>
    <cellStyle name="_Future destination of SHA Bundle lines_12-13 Central Budgets Spreadsheet v18_20130205_Split of Budgets Dispo v9d_20130402_SR15 fct settlement" xfId="38640"/>
    <cellStyle name="_Future destination of SHA Bundle lines_12-13 Central Budgets Spreadsheet v18_20130301_ DISPO from 1112 acctsv4 + new Budgets Dispo" xfId="38641"/>
    <cellStyle name="_Future destination of SHA Bundle lines_12-13 Central Budgets Spreadsheet v18_20130306 DISPO from 1112 accts v14 for NHSE" xfId="38642"/>
    <cellStyle name="_Future destination of SHA Bundle lines_12-13 Central Budgets Spreadsheet v18_20130306 DISPO from 1112 accts v14 for NHSE - with tariff" xfId="38643"/>
    <cellStyle name="_Future destination of SHA Bundle lines_12-13 Central Budgets Spreadsheet v18_20130306 DISPO from 1112 accts v14 for NHSE TN edits 2" xfId="38644"/>
    <cellStyle name="_Future destination of SHA Bundle lines_12-13 Central Budgets Spreadsheet v18_20130306_ DISPO from 1112 acctsv10" xfId="38645"/>
    <cellStyle name="_Future destination of SHA Bundle lines_12-13 Central Budgets Spreadsheet v18_20130306_ DISPO from 1112 acctsv12" xfId="38646"/>
    <cellStyle name="_Future destination of SHA Bundle lines_12-13 Central Budgets Spreadsheet v18_20130306_ DISPO from 1112 acctsv24" xfId="38647"/>
    <cellStyle name="_Future destination of SHA Bundle lines_12-13 Central Budgets Spreadsheet v18_20130402_SR15 fct settlement" xfId="38648"/>
    <cellStyle name="_Future destination of SHA Bundle lines_12-13 Central Budgets Spreadsheet v18_live doc - DH central budgets - provisional SR numbers" xfId="38649"/>
    <cellStyle name="_Future destination of SHA Bundle lines_12-13 Central Budgets Spreadsheet v18_live doc - DH central budgets - provisional SR numbers 2" xfId="38650"/>
    <cellStyle name="_Future destination of SHA Bundle lines_12-13 Central Budgets Spreadsheet v18_live doc - DH central budgets - provisional SR numbers_130417 DISPO from 1112 accts v17" xfId="38651"/>
    <cellStyle name="_Future destination of SHA Bundle lines_12-13 Central Budgets Spreadsheet v18_live doc - DH central budgets - provisional SR numbers_20130306 DISPO from 1112 accts v14 for NHSE" xfId="38652"/>
    <cellStyle name="_Future destination of SHA Bundle lines_12-13 Central Budgets Spreadsheet v18_live doc - DH central budgets - provisional SR numbers_20130306 DISPO from 1112 accts v14 for NHSE - with tariff" xfId="38653"/>
    <cellStyle name="_Future destination of SHA Bundle lines_12-13 Central Budgets Spreadsheet v18_live doc - DH central budgets - provisional SR numbers_20130306 DISPO from 1112 accts v14 for NHSE TN edits 2" xfId="38654"/>
    <cellStyle name="_Future destination of SHA Bundle lines_12-13 Central Budgets Spreadsheet v18_live doc - DH central budgets - provisional SR numbers_20130306_ DISPO from 1112 acctsv10" xfId="38655"/>
    <cellStyle name="_Future destination of SHA Bundle lines_12-13 Central Budgets Spreadsheet v18_live doc - DH central budgets - provisional SR numbers_20130306_ DISPO from 1112 acctsv12" xfId="38656"/>
    <cellStyle name="_Future destination of SHA Bundle lines_12-13 Central Budgets Spreadsheet v18_live doc - DH central budgets - provisional SR numbers_20130306_ DISPO from 1112 acctsv24" xfId="38657"/>
    <cellStyle name="_Future destination of SHA Bundle lines_12-13 Central Budgets Spreadsheet v18_live doc - DH central budgets - provisional SR numbers_20130402_SR15 fct settlement" xfId="38658"/>
    <cellStyle name="_Future destination of SHA Bundle lines_12-13 Central Budgets Spreadsheet v18_ME 2013-14 mock up V2 19.11.12" xfId="38659"/>
    <cellStyle name="_Future destination of SHA Bundle lines_12-13 Central Budgets Spreadsheet v18_SS edit  DISPO with central policy pressures - TN edits" xfId="38660"/>
    <cellStyle name="_Future destination of SHA Bundle lines_12-13 Central Budgets Spreadsheet v20" xfId="38661"/>
    <cellStyle name="_Future destination of SHA Bundle lines_12-13 Central Budgets Spreadsheet v20 2" xfId="38662"/>
    <cellStyle name="_Future destination of SHA Bundle lines_12-13 Central Budgets Spreadsheet v20_~4471745" xfId="38663"/>
    <cellStyle name="_Future destination of SHA Bundle lines_12-13 Central Budgets Spreadsheet v20_~7857524" xfId="38664"/>
    <cellStyle name="_Future destination of SHA Bundle lines_12-13 Central Budgets Spreadsheet v20_130417 DISPO from 1112 accts v17" xfId="38665"/>
    <cellStyle name="_Future destination of SHA Bundle lines_12-13 Central Budgets Spreadsheet v20_20130205_Split of Budgets Dispo v9d" xfId="38666"/>
    <cellStyle name="_Future destination of SHA Bundle lines_12-13 Central Budgets Spreadsheet v20_20130205_Split of Budgets Dispo v9d 2" xfId="38667"/>
    <cellStyle name="_Future destination of SHA Bundle lines_12-13 Central Budgets Spreadsheet v20_20130205_Split of Budgets Dispo v9d_130417 DISPO from 1112 accts v17" xfId="38668"/>
    <cellStyle name="_Future destination of SHA Bundle lines_12-13 Central Budgets Spreadsheet v20_20130205_Split of Budgets Dispo v9d_20130306 DISPO from 1112 accts v14 for NHSE" xfId="38669"/>
    <cellStyle name="_Future destination of SHA Bundle lines_12-13 Central Budgets Spreadsheet v20_20130205_Split of Budgets Dispo v9d_20130306 DISPO from 1112 accts v14 for NHSE - with tariff" xfId="38670"/>
    <cellStyle name="_Future destination of SHA Bundle lines_12-13 Central Budgets Spreadsheet v20_20130205_Split of Budgets Dispo v9d_20130306 DISPO from 1112 accts v14 for NHSE TN edits 2" xfId="38671"/>
    <cellStyle name="_Future destination of SHA Bundle lines_12-13 Central Budgets Spreadsheet v20_20130205_Split of Budgets Dispo v9d_20130306_ DISPO from 1112 acctsv10" xfId="38672"/>
    <cellStyle name="_Future destination of SHA Bundle lines_12-13 Central Budgets Spreadsheet v20_20130205_Split of Budgets Dispo v9d_20130306_ DISPO from 1112 acctsv12" xfId="38673"/>
    <cellStyle name="_Future destination of SHA Bundle lines_12-13 Central Budgets Spreadsheet v20_20130205_Split of Budgets Dispo v9d_20130306_ DISPO from 1112 acctsv24" xfId="38674"/>
    <cellStyle name="_Future destination of SHA Bundle lines_12-13 Central Budgets Spreadsheet v20_20130205_Split of Budgets Dispo v9d_20130402_SR15 fct settlement" xfId="38675"/>
    <cellStyle name="_Future destination of SHA Bundle lines_12-13 Central Budgets Spreadsheet v20_20130301_ DISPO from 1112 acctsv4 + new Budgets Dispo" xfId="38676"/>
    <cellStyle name="_Future destination of SHA Bundle lines_12-13 Central Budgets Spreadsheet v20_20130306 DISPO from 1112 accts v14 for NHSE" xfId="38677"/>
    <cellStyle name="_Future destination of SHA Bundle lines_12-13 Central Budgets Spreadsheet v20_20130306 DISPO from 1112 accts v14 for NHSE - with tariff" xfId="38678"/>
    <cellStyle name="_Future destination of SHA Bundle lines_12-13 Central Budgets Spreadsheet v20_20130306 DISPO from 1112 accts v14 for NHSE TN edits 2" xfId="38679"/>
    <cellStyle name="_Future destination of SHA Bundle lines_12-13 Central Budgets Spreadsheet v20_20130306_ DISPO from 1112 acctsv10" xfId="38680"/>
    <cellStyle name="_Future destination of SHA Bundle lines_12-13 Central Budgets Spreadsheet v20_20130306_ DISPO from 1112 acctsv12" xfId="38681"/>
    <cellStyle name="_Future destination of SHA Bundle lines_12-13 Central Budgets Spreadsheet v20_20130306_ DISPO from 1112 acctsv24" xfId="38682"/>
    <cellStyle name="_Future destination of SHA Bundle lines_12-13 Central Budgets Spreadsheet v20_20130402_SR15 fct settlement" xfId="38683"/>
    <cellStyle name="_Future destination of SHA Bundle lines_12-13 Central Budgets Spreadsheet v20_live doc - DH central budgets - provisional SR numbers" xfId="38684"/>
    <cellStyle name="_Future destination of SHA Bundle lines_12-13 Central Budgets Spreadsheet v20_live doc - DH central budgets - provisional SR numbers 2" xfId="38685"/>
    <cellStyle name="_Future destination of SHA Bundle lines_12-13 Central Budgets Spreadsheet v20_live doc - DH central budgets - provisional SR numbers_130417 DISPO from 1112 accts v17" xfId="38686"/>
    <cellStyle name="_Future destination of SHA Bundle lines_12-13 Central Budgets Spreadsheet v20_live doc - DH central budgets - provisional SR numbers_20130306 DISPO from 1112 accts v14 for NHSE" xfId="38687"/>
    <cellStyle name="_Future destination of SHA Bundle lines_12-13 Central Budgets Spreadsheet v20_live doc - DH central budgets - provisional SR numbers_20130306 DISPO from 1112 accts v14 for NHSE - with tariff" xfId="38688"/>
    <cellStyle name="_Future destination of SHA Bundle lines_12-13 Central Budgets Spreadsheet v20_live doc - DH central budgets - provisional SR numbers_20130306 DISPO from 1112 accts v14 for NHSE TN edits 2" xfId="38689"/>
    <cellStyle name="_Future destination of SHA Bundle lines_12-13 Central Budgets Spreadsheet v20_live doc - DH central budgets - provisional SR numbers_20130306_ DISPO from 1112 acctsv10" xfId="38690"/>
    <cellStyle name="_Future destination of SHA Bundle lines_12-13 Central Budgets Spreadsheet v20_live doc - DH central budgets - provisional SR numbers_20130306_ DISPO from 1112 acctsv12" xfId="38691"/>
    <cellStyle name="_Future destination of SHA Bundle lines_12-13 Central Budgets Spreadsheet v20_live doc - DH central budgets - provisional SR numbers_20130306_ DISPO from 1112 acctsv24" xfId="38692"/>
    <cellStyle name="_Future destination of SHA Bundle lines_12-13 Central Budgets Spreadsheet v20_live doc - DH central budgets - provisional SR numbers_20130402_SR15 fct settlement" xfId="38693"/>
    <cellStyle name="_Future destination of SHA Bundle lines_12-13 Central Budgets Spreadsheet v20_ME 2013-14 mock up V2 19.11.12" xfId="38694"/>
    <cellStyle name="_Future destination of SHA Bundle lines_12-13 Central Budgets Spreadsheet v20_SS edit  DISPO with central policy pressures - TN edits" xfId="38695"/>
    <cellStyle name="_Future destination of SHA Bundle lines_20110628FundsFlow_V42 TN" xfId="38696"/>
    <cellStyle name="_Future destination of SHA Bundle lines_20120117 Central local split sent by Tom Nixon" xfId="38697"/>
    <cellStyle name="_Future destination of SHA Bundle lines_20120117 Central local split sent by Tom Nixon 2" xfId="38698"/>
    <cellStyle name="_Future destination of SHA Bundle lines_20120117 Central local split sent by Tom Nixon_~4471745" xfId="38699"/>
    <cellStyle name="_Future destination of SHA Bundle lines_20120117 Central local split sent by Tom Nixon_~7857524" xfId="38700"/>
    <cellStyle name="_Future destination of SHA Bundle lines_20120117 Central local split sent by Tom Nixon_130417 DISPO from 1112 accts v17" xfId="38701"/>
    <cellStyle name="_Future destination of SHA Bundle lines_20120117 Central local split sent by Tom Nixon_20130205_Split of Budgets Dispo v9d" xfId="38702"/>
    <cellStyle name="_Future destination of SHA Bundle lines_20120117 Central local split sent by Tom Nixon_20130205_Split of Budgets Dispo v9d 2" xfId="38703"/>
    <cellStyle name="_Future destination of SHA Bundle lines_20120117 Central local split sent by Tom Nixon_20130205_Split of Budgets Dispo v9d_130417 DISPO from 1112 accts v17" xfId="38704"/>
    <cellStyle name="_Future destination of SHA Bundle lines_20120117 Central local split sent by Tom Nixon_20130205_Split of Budgets Dispo v9d_20130306 DISPO from 1112 accts v14 for NHSE" xfId="38705"/>
    <cellStyle name="_Future destination of SHA Bundle lines_20120117 Central local split sent by Tom Nixon_20130205_Split of Budgets Dispo v9d_20130306 DISPO from 1112 accts v14 for NHSE - with tariff" xfId="38706"/>
    <cellStyle name="_Future destination of SHA Bundle lines_20120117 Central local split sent by Tom Nixon_20130205_Split of Budgets Dispo v9d_20130306 DISPO from 1112 accts v14 for NHSE TN edits 2" xfId="38707"/>
    <cellStyle name="_Future destination of SHA Bundle lines_20120117 Central local split sent by Tom Nixon_20130205_Split of Budgets Dispo v9d_20130306_ DISPO from 1112 acctsv10" xfId="38708"/>
    <cellStyle name="_Future destination of SHA Bundle lines_20120117 Central local split sent by Tom Nixon_20130205_Split of Budgets Dispo v9d_20130306_ DISPO from 1112 acctsv12" xfId="38709"/>
    <cellStyle name="_Future destination of SHA Bundle lines_20120117 Central local split sent by Tom Nixon_20130205_Split of Budgets Dispo v9d_20130306_ DISPO from 1112 acctsv24" xfId="38710"/>
    <cellStyle name="_Future destination of SHA Bundle lines_20120117 Central local split sent by Tom Nixon_20130205_Split of Budgets Dispo v9d_20130402_SR15 fct settlement" xfId="38711"/>
    <cellStyle name="_Future destination of SHA Bundle lines_20120117 Central local split sent by Tom Nixon_20130301_ DISPO from 1112 acctsv4 + new Budgets Dispo" xfId="38712"/>
    <cellStyle name="_Future destination of SHA Bundle lines_20120117 Central local split sent by Tom Nixon_20130306 DISPO from 1112 accts v14 for NHSE" xfId="38713"/>
    <cellStyle name="_Future destination of SHA Bundle lines_20120117 Central local split sent by Tom Nixon_20130306 DISPO from 1112 accts v14 for NHSE - with tariff" xfId="38714"/>
    <cellStyle name="_Future destination of SHA Bundle lines_20120117 Central local split sent by Tom Nixon_20130306 DISPO from 1112 accts v14 for NHSE TN edits 2" xfId="38715"/>
    <cellStyle name="_Future destination of SHA Bundle lines_20120117 Central local split sent by Tom Nixon_20130306_ DISPO from 1112 acctsv10" xfId="38716"/>
    <cellStyle name="_Future destination of SHA Bundle lines_20120117 Central local split sent by Tom Nixon_20130306_ DISPO from 1112 acctsv12" xfId="38717"/>
    <cellStyle name="_Future destination of SHA Bundle lines_20120117 Central local split sent by Tom Nixon_20130306_ DISPO from 1112 acctsv24" xfId="38718"/>
    <cellStyle name="_Future destination of SHA Bundle lines_20120117 Central local split sent by Tom Nixon_20130402_SR15 fct settlement" xfId="38719"/>
    <cellStyle name="_Future destination of SHA Bundle lines_20120117 Central local split sent by Tom Nixon_live doc - DH central budgets - provisional SR numbers" xfId="38720"/>
    <cellStyle name="_Future destination of SHA Bundle lines_20120117 Central local split sent by Tom Nixon_live doc - DH central budgets - provisional SR numbers 2" xfId="38721"/>
    <cellStyle name="_Future destination of SHA Bundle lines_20120117 Central local split sent by Tom Nixon_live doc - DH central budgets - provisional SR numbers_130417 DISPO from 1112 accts v17" xfId="38722"/>
    <cellStyle name="_Future destination of SHA Bundle lines_20120117 Central local split sent by Tom Nixon_live doc - DH central budgets - provisional SR numbers_20130306 DISPO from 1112 accts v14 for NHSE" xfId="38723"/>
    <cellStyle name="_Future destination of SHA Bundle lines_20120117 Central local split sent by Tom Nixon_live doc - DH central budgets - provisional SR numbers_20130306 DISPO from 1112 accts v14 for NHSE - with tariff" xfId="38724"/>
    <cellStyle name="_Future destination of SHA Bundle lines_20120117 Central local split sent by Tom Nixon_live doc - DH central budgets - provisional SR numbers_20130306 DISPO from 1112 accts v14 for NHSE TN edits 2" xfId="38725"/>
    <cellStyle name="_Future destination of SHA Bundle lines_20120117 Central local split sent by Tom Nixon_live doc - DH central budgets - provisional SR numbers_20130306_ DISPO from 1112 acctsv10" xfId="38726"/>
    <cellStyle name="_Future destination of SHA Bundle lines_20120117 Central local split sent by Tom Nixon_live doc - DH central budgets - provisional SR numbers_20130306_ DISPO from 1112 acctsv12" xfId="38727"/>
    <cellStyle name="_Future destination of SHA Bundle lines_20120117 Central local split sent by Tom Nixon_live doc - DH central budgets - provisional SR numbers_20130306_ DISPO from 1112 acctsv24" xfId="38728"/>
    <cellStyle name="_Future destination of SHA Bundle lines_20120117 Central local split sent by Tom Nixon_live doc - DH central budgets - provisional SR numbers_20130402_SR15 fct settlement" xfId="38729"/>
    <cellStyle name="_Future destination of SHA Bundle lines_20120117 Central local split sent by Tom Nixon_ME 2013-14 mock up V2 19.11.12" xfId="38730"/>
    <cellStyle name="_Future destination of SHA Bundle lines_20120117 Central local split sent by Tom Nixon_SS edit  DISPO with central policy pressures - TN edits" xfId="38731"/>
    <cellStyle name="_Future destination of SHA Bundle lines_20120424_Central budgets Backing Sheet 240412" xfId="38732"/>
    <cellStyle name="_Future destination of SHA Bundle lines_20120424_Central budgets Backing Sheet 240412 2" xfId="38733"/>
    <cellStyle name="_Future destination of SHA Bundle lines_20120424_Central budgets Backing Sheet 240412_~4471745" xfId="38734"/>
    <cellStyle name="_Future destination of SHA Bundle lines_20120424_Central budgets Backing Sheet 240412_~7857524" xfId="38735"/>
    <cellStyle name="_Future destination of SHA Bundle lines_20120424_Central budgets Backing Sheet 240412_130417 DISPO from 1112 accts v17" xfId="38736"/>
    <cellStyle name="_Future destination of SHA Bundle lines_20120424_Central budgets Backing Sheet 240412_20130205_Split of Budgets Dispo v9d" xfId="38737"/>
    <cellStyle name="_Future destination of SHA Bundle lines_20120424_Central budgets Backing Sheet 240412_20130205_Split of Budgets Dispo v9d 2" xfId="38738"/>
    <cellStyle name="_Future destination of SHA Bundle lines_20120424_Central budgets Backing Sheet 240412_20130205_Split of Budgets Dispo v9d_130417 DISPO from 1112 accts v17" xfId="38739"/>
    <cellStyle name="_Future destination of SHA Bundle lines_20120424_Central budgets Backing Sheet 240412_20130205_Split of Budgets Dispo v9d_20130306 DISPO from 1112 accts v14 for NHSE" xfId="38740"/>
    <cellStyle name="_Future destination of SHA Bundle lines_20120424_Central budgets Backing Sheet 240412_20130205_Split of Budgets Dispo v9d_20130306 DISPO from 1112 accts v14 for NHSE - with tariff" xfId="38741"/>
    <cellStyle name="_Future destination of SHA Bundle lines_20120424_Central budgets Backing Sheet 240412_20130205_Split of Budgets Dispo v9d_20130306 DISPO from 1112 accts v14 for NHSE TN edits 2" xfId="38742"/>
    <cellStyle name="_Future destination of SHA Bundle lines_20120424_Central budgets Backing Sheet 240412_20130205_Split of Budgets Dispo v9d_20130306_ DISPO from 1112 acctsv10" xfId="38743"/>
    <cellStyle name="_Future destination of SHA Bundle lines_20120424_Central budgets Backing Sheet 240412_20130205_Split of Budgets Dispo v9d_20130306_ DISPO from 1112 acctsv12" xfId="38744"/>
    <cellStyle name="_Future destination of SHA Bundle lines_20120424_Central budgets Backing Sheet 240412_20130205_Split of Budgets Dispo v9d_20130306_ DISPO from 1112 acctsv24" xfId="38745"/>
    <cellStyle name="_Future destination of SHA Bundle lines_20120424_Central budgets Backing Sheet 240412_20130205_Split of Budgets Dispo v9d_20130402_SR15 fct settlement" xfId="38746"/>
    <cellStyle name="_Future destination of SHA Bundle lines_20120424_Central budgets Backing Sheet 240412_20130301_ DISPO from 1112 acctsv4 + new Budgets Dispo" xfId="38747"/>
    <cellStyle name="_Future destination of SHA Bundle lines_20120424_Central budgets Backing Sheet 240412_20130306 DISPO from 1112 accts v14 for NHSE" xfId="38748"/>
    <cellStyle name="_Future destination of SHA Bundle lines_20120424_Central budgets Backing Sheet 240412_20130306 DISPO from 1112 accts v14 for NHSE - with tariff" xfId="38749"/>
    <cellStyle name="_Future destination of SHA Bundle lines_20120424_Central budgets Backing Sheet 240412_20130306 DISPO from 1112 accts v14 for NHSE TN edits 2" xfId="38750"/>
    <cellStyle name="_Future destination of SHA Bundle lines_20120424_Central budgets Backing Sheet 240412_20130306_ DISPO from 1112 acctsv10" xfId="38751"/>
    <cellStyle name="_Future destination of SHA Bundle lines_20120424_Central budgets Backing Sheet 240412_20130306_ DISPO from 1112 acctsv12" xfId="38752"/>
    <cellStyle name="_Future destination of SHA Bundle lines_20120424_Central budgets Backing Sheet 240412_20130306_ DISPO from 1112 acctsv24" xfId="38753"/>
    <cellStyle name="_Future destination of SHA Bundle lines_20120424_Central budgets Backing Sheet 240412_20130402_SR15 fct settlement" xfId="38754"/>
    <cellStyle name="_Future destination of SHA Bundle lines_20120424_Central budgets Backing Sheet 240412_live doc - DH central budgets - provisional SR numbers" xfId="38755"/>
    <cellStyle name="_Future destination of SHA Bundle lines_20120424_Central budgets Backing Sheet 240412_live doc - DH central budgets - provisional SR numbers 2" xfId="38756"/>
    <cellStyle name="_Future destination of SHA Bundle lines_20120424_Central budgets Backing Sheet 240412_live doc - DH central budgets - provisional SR numbers_130417 DISPO from 1112 accts v17" xfId="38757"/>
    <cellStyle name="_Future destination of SHA Bundle lines_20120424_Central budgets Backing Sheet 240412_live doc - DH central budgets - provisional SR numbers_20130306 DISPO from 1112 accts v14 for NHSE" xfId="38758"/>
    <cellStyle name="_Future destination of SHA Bundle lines_20120424_Central budgets Backing Sheet 240412_live doc - DH central budgets - provisional SR numbers_20130306 DISPO from 1112 accts v14 for NHSE - with tariff" xfId="38759"/>
    <cellStyle name="_Future destination of SHA Bundle lines_20120424_Central budgets Backing Sheet 240412_live doc - DH central budgets - provisional SR numbers_20130306 DISPO from 1112 accts v14 for NHSE TN edits 2" xfId="38760"/>
    <cellStyle name="_Future destination of SHA Bundle lines_20120424_Central budgets Backing Sheet 240412_live doc - DH central budgets - provisional SR numbers_20130306_ DISPO from 1112 acctsv10" xfId="38761"/>
    <cellStyle name="_Future destination of SHA Bundle lines_20120424_Central budgets Backing Sheet 240412_live doc - DH central budgets - provisional SR numbers_20130306_ DISPO from 1112 acctsv12" xfId="38762"/>
    <cellStyle name="_Future destination of SHA Bundle lines_20120424_Central budgets Backing Sheet 240412_live doc - DH central budgets - provisional SR numbers_20130306_ DISPO from 1112 acctsv24" xfId="38763"/>
    <cellStyle name="_Future destination of SHA Bundle lines_20120424_Central budgets Backing Sheet 240412_live doc - DH central budgets - provisional SR numbers_20130402_SR15 fct settlement" xfId="38764"/>
    <cellStyle name="_Future destination of SHA Bundle lines_20120424_Central budgets Backing Sheet 240412_ME 2013-14 mock up V2 19.11.12" xfId="38765"/>
    <cellStyle name="_Future destination of SHA Bundle lines_20120424_Central budgets Backing Sheet 240412_SS edit  DISPO with central policy pressures - TN edits" xfId="38766"/>
    <cellStyle name="_GR 11.12 Limits Report Rec August 11 at 14.09.11 AB" xfId="38767"/>
    <cellStyle name="_GR 11.12 Limits Report Rec June 11 at 13.07.11 AB" xfId="38768"/>
    <cellStyle name="_GR 11.12 Limits Report Rec September 11 at 14.09.11 AB" xfId="38769"/>
    <cellStyle name="_HCS Annex B (final)" xfId="38770"/>
    <cellStyle name="_HMT reporting In Year &amp; Early Warning (Q3) V2" xfId="38771"/>
    <cellStyle name="_John H PCT Op Costs 10-11" xfId="38772"/>
    <cellStyle name="_Main Estimates Admin V3" xfId="38773"/>
    <cellStyle name="_MAIN ESTIMATES DH V3" xfId="38774"/>
    <cellStyle name="_Master File - Mapping SR to new model v2" xfId="38775"/>
    <cellStyle name="_NDPB and SHA depreciation model 6.2.12" xfId="38776"/>
    <cellStyle name="_NHS" xfId="38777"/>
    <cellStyle name="_Potential Year-end analysis (V6)" xfId="38778"/>
    <cellStyle name="_Programme Board report based on 110309 (2)" xfId="38779"/>
    <cellStyle name="_Programme Board report based on 110309 (2) 2" xfId="38780"/>
    <cellStyle name="_Programme Board report based on 110309 (2) 3" xfId="38781"/>
    <cellStyle name="_Programme Board report based on 110309 (2) 4" xfId="38782"/>
    <cellStyle name="_Programme Board report based on 110309 (2) 4 2" xfId="38783"/>
    <cellStyle name="_Programme Board report based on 110309 (2) 5" xfId="38784"/>
    <cellStyle name="_Programme Board report based on 110309 (2) 5 2" xfId="38785"/>
    <cellStyle name="_Programme Board report based on 110309 (2) 6" xfId="38786"/>
    <cellStyle name="_Programme Board report based on 110309 (2) 6 2" xfId="38787"/>
    <cellStyle name="_Programme Board report based on 110309 (2) 6 2_20130306_ DISPO from 1112 acctsv24" xfId="38788"/>
    <cellStyle name="_Programme Board report based on 110309 (2) 7" xfId="38789"/>
    <cellStyle name="_Programme Board report based on 110309 (2) 7_20130306_ DISPO from 1112 acctsv24" xfId="38790"/>
    <cellStyle name="_PW 2009-10 Income Analysis (SL with PW additions)" xfId="38791"/>
    <cellStyle name="_PW Growth Calcs V2" xfId="38792"/>
    <cellStyle name="_PW ME V6 (consolidated)" xfId="38793"/>
    <cellStyle name="_PW RA WORK v1.02" xfId="38794"/>
    <cellStyle name="_Q1 COInS - Revenue DEL Summary v1.03" xfId="38795"/>
    <cellStyle name="_Revenue requirements SHA, PCT and Trusts" xfId="38796"/>
    <cellStyle name="_Revenue requirements SHA, PCT and Trusts 2" xfId="38797"/>
    <cellStyle name="_Revenue requirements SHA, PCT and Trusts_~4471745" xfId="38798"/>
    <cellStyle name="_Revenue requirements SHA, PCT and Trusts_~7857524" xfId="38799"/>
    <cellStyle name="_Revenue requirements SHA, PCT and Trusts_130417 DISPO from 1112 accts v17" xfId="38800"/>
    <cellStyle name="_Revenue requirements SHA, PCT and Trusts_20130205_Split of Budgets Dispo v9d" xfId="38801"/>
    <cellStyle name="_Revenue requirements SHA, PCT and Trusts_20130205_Split of Budgets Dispo v9d 2" xfId="38802"/>
    <cellStyle name="_Revenue requirements SHA, PCT and Trusts_20130205_Split of Budgets Dispo v9d_130417 DISPO from 1112 accts v17" xfId="38803"/>
    <cellStyle name="_Revenue requirements SHA, PCT and Trusts_20130205_Split of Budgets Dispo v9d_20130306 DISPO from 1112 accts v14 for NHSE" xfId="38804"/>
    <cellStyle name="_Revenue requirements SHA, PCT and Trusts_20130205_Split of Budgets Dispo v9d_20130306 DISPO from 1112 accts v14 for NHSE - with tariff" xfId="38805"/>
    <cellStyle name="_Revenue requirements SHA, PCT and Trusts_20130205_Split of Budgets Dispo v9d_20130306 DISPO from 1112 accts v14 for NHSE TN edits 2" xfId="38806"/>
    <cellStyle name="_Revenue requirements SHA, PCT and Trusts_20130205_Split of Budgets Dispo v9d_20130306_ DISPO from 1112 acctsv10" xfId="38807"/>
    <cellStyle name="_Revenue requirements SHA, PCT and Trusts_20130205_Split of Budgets Dispo v9d_20130306_ DISPO from 1112 acctsv12" xfId="38808"/>
    <cellStyle name="_Revenue requirements SHA, PCT and Trusts_20130205_Split of Budgets Dispo v9d_20130306_ DISPO from 1112 acctsv24" xfId="38809"/>
    <cellStyle name="_Revenue requirements SHA, PCT and Trusts_20130205_Split of Budgets Dispo v9d_20130402_SR15 fct settlement" xfId="38810"/>
    <cellStyle name="_Revenue requirements SHA, PCT and Trusts_20130301_ DISPO from 1112 acctsv4 + new Budgets Dispo" xfId="38811"/>
    <cellStyle name="_Revenue requirements SHA, PCT and Trusts_20130306 DISPO from 1112 accts v14 for NHSE" xfId="38812"/>
    <cellStyle name="_Revenue requirements SHA, PCT and Trusts_20130306 DISPO from 1112 accts v14 for NHSE - with tariff" xfId="38813"/>
    <cellStyle name="_Revenue requirements SHA, PCT and Trusts_20130306 DISPO from 1112 accts v14 for NHSE TN edits 2" xfId="38814"/>
    <cellStyle name="_Revenue requirements SHA, PCT and Trusts_20130306_ DISPO from 1112 acctsv10" xfId="38815"/>
    <cellStyle name="_Revenue requirements SHA, PCT and Trusts_20130306_ DISPO from 1112 acctsv12" xfId="38816"/>
    <cellStyle name="_Revenue requirements SHA, PCT and Trusts_20130306_ DISPO from 1112 acctsv24" xfId="38817"/>
    <cellStyle name="_Revenue requirements SHA, PCT and Trusts_20130402_SR15 fct settlement" xfId="38818"/>
    <cellStyle name="_Revenue requirements SHA, PCT and Trusts_live doc - DH central budgets - provisional SR numbers" xfId="38819"/>
    <cellStyle name="_Revenue requirements SHA, PCT and Trusts_live doc - DH central budgets - provisional SR numbers 2" xfId="38820"/>
    <cellStyle name="_Revenue requirements SHA, PCT and Trusts_live doc - DH central budgets - provisional SR numbers_130417 DISPO from 1112 accts v17" xfId="38821"/>
    <cellStyle name="_Revenue requirements SHA, PCT and Trusts_live doc - DH central budgets - provisional SR numbers_20130306 DISPO from 1112 accts v14 for NHSE" xfId="38822"/>
    <cellStyle name="_Revenue requirements SHA, PCT and Trusts_live doc - DH central budgets - provisional SR numbers_20130306 DISPO from 1112 accts v14 for NHSE - with tariff" xfId="38823"/>
    <cellStyle name="_Revenue requirements SHA, PCT and Trusts_live doc - DH central budgets - provisional SR numbers_20130306 DISPO from 1112 accts v14 for NHSE TN edits 2" xfId="38824"/>
    <cellStyle name="_Revenue requirements SHA, PCT and Trusts_live doc - DH central budgets - provisional SR numbers_20130306_ DISPO from 1112 acctsv10" xfId="38825"/>
    <cellStyle name="_Revenue requirements SHA, PCT and Trusts_live doc - DH central budgets - provisional SR numbers_20130306_ DISPO from 1112 acctsv12" xfId="38826"/>
    <cellStyle name="_Revenue requirements SHA, PCT and Trusts_live doc - DH central budgets - provisional SR numbers_20130306_ DISPO from 1112 acctsv24" xfId="38827"/>
    <cellStyle name="_Revenue requirements SHA, PCT and Trusts_live doc - DH central budgets - provisional SR numbers_20130402_SR15 fct settlement" xfId="38828"/>
    <cellStyle name="_Revenue requirements SHA, PCT and Trusts_ME 2013-14 mock up V2 19.11.12" xfId="38829"/>
    <cellStyle name="_Revenue requirements SHA, PCT and Trusts_SS edit  DISPO with central policy pressures - TN edits" xfId="38830"/>
    <cellStyle name="_Revenue Review 12.01.09 v2" xfId="38831"/>
    <cellStyle name="_SHA Charge to CRL" xfId="38832"/>
    <cellStyle name="_SHA Charge to CRL 2" xfId="38833"/>
    <cellStyle name="_SHA Charge to CRL 2_20130306_ DISPO from 1112 acctsv24" xfId="38834"/>
    <cellStyle name="_SHA excel master v5" xfId="38835"/>
    <cellStyle name="_SHA_V010 Plan Excel Master" xfId="38836"/>
    <cellStyle name="_SHA_V010 Plan Excel Master 2" xfId="38837"/>
    <cellStyle name="_SHA_V010 Plan Excel Master 2_20130306_ DISPO from 1112 acctsv24" xfId="38838"/>
    <cellStyle name="_SR2010 Admin Baselines NDPBs" xfId="38839"/>
    <cellStyle name="_Trust Investment - M4" xfId="38840"/>
    <cellStyle name="_YEAR END POTENTIAL" xfId="38841"/>
    <cellStyle name="_YEAR END POTENTIAL (V2)" xfId="38842"/>
    <cellStyle name="=C:\WINNT35\SYSTEM32\COMMAND.COM" xfId="38843"/>
    <cellStyle name="0,0" xfId="38844"/>
    <cellStyle name="0,0_x000d__x000a_NA_x000d__x000a_" xfId="38845"/>
    <cellStyle name="20% - Accent1" xfId="38182" builtinId="30" hidden="1"/>
    <cellStyle name="20% - Accent1 2" xfId="4"/>
    <cellStyle name="20% - Accent1 2 2" xfId="554"/>
    <cellStyle name="20% - Accent1 3" xfId="640"/>
    <cellStyle name="20% - Accent2 2" xfId="5"/>
    <cellStyle name="20% - Accent2 2 2" xfId="555"/>
    <cellStyle name="20% - Accent2 3" xfId="634"/>
    <cellStyle name="20% - Accent3 2" xfId="6"/>
    <cellStyle name="20% - Accent3 2 2" xfId="556"/>
    <cellStyle name="20% - Accent3 3" xfId="626"/>
    <cellStyle name="20% - Accent4 2" xfId="7"/>
    <cellStyle name="20% - Accent4 2 2" xfId="557"/>
    <cellStyle name="20% - Accent4 3" xfId="635"/>
    <cellStyle name="20% - Accent5 2" xfId="8"/>
    <cellStyle name="20% - Accent5 2 2" xfId="558"/>
    <cellStyle name="20% - Accent5 3" xfId="628"/>
    <cellStyle name="20% - Accent6 2" xfId="9"/>
    <cellStyle name="20% - Accent6 2 2" xfId="559"/>
    <cellStyle name="20% - Accent6 3" xfId="620"/>
    <cellStyle name="40% - Accent1 2" xfId="10"/>
    <cellStyle name="40% - Accent1 2 2" xfId="560"/>
    <cellStyle name="40% - Accent1 3" xfId="639"/>
    <cellStyle name="40% - Accent2 2" xfId="11"/>
    <cellStyle name="40% - Accent2 2 2" xfId="561"/>
    <cellStyle name="40% - Accent2 3" xfId="638"/>
    <cellStyle name="40% - Accent3 2" xfId="12"/>
    <cellStyle name="40% - Accent3 2 2" xfId="562"/>
    <cellStyle name="40% - Accent3 3" xfId="637"/>
    <cellStyle name="40% - Accent4 2" xfId="13"/>
    <cellStyle name="40% - Accent4 2 2" xfId="563"/>
    <cellStyle name="40% - Accent4 3" xfId="653"/>
    <cellStyle name="40% - Accent5 2" xfId="14"/>
    <cellStyle name="40% - Accent5 2 2" xfId="564"/>
    <cellStyle name="40% - Accent5 3" xfId="649"/>
    <cellStyle name="40% - Accent6 2" xfId="15"/>
    <cellStyle name="40% - Accent6 2 2" xfId="565"/>
    <cellStyle name="40% - Accent6 3" xfId="644"/>
    <cellStyle name="60% - Accent1 2" xfId="16"/>
    <cellStyle name="60% - Accent1 3" xfId="623"/>
    <cellStyle name="60% - Accent2 2" xfId="17"/>
    <cellStyle name="60% - Accent2 3" xfId="654"/>
    <cellStyle name="60% - Accent3 2" xfId="18"/>
    <cellStyle name="60% - Accent3 3" xfId="646"/>
    <cellStyle name="60% - Accent4 2" xfId="19"/>
    <cellStyle name="60% - Accent4 3" xfId="641"/>
    <cellStyle name="60% - Accent5 2" xfId="20"/>
    <cellStyle name="60% - Accent5 3" xfId="647"/>
    <cellStyle name="60% - Accent6 2" xfId="21"/>
    <cellStyle name="60% - Accent6 3" xfId="621"/>
    <cellStyle name="aaa" xfId="14441"/>
    <cellStyle name="Accent1 2" xfId="22"/>
    <cellStyle name="Accent1 3" xfId="651"/>
    <cellStyle name="Accent2 2" xfId="23"/>
    <cellStyle name="Accent2 3" xfId="648"/>
    <cellStyle name="Accent3 2" xfId="24"/>
    <cellStyle name="Accent3 3" xfId="643"/>
    <cellStyle name="Accent4 2" xfId="25"/>
    <cellStyle name="Accent4 3" xfId="622"/>
    <cellStyle name="Accent5 2" xfId="26"/>
    <cellStyle name="Accent5 3" xfId="655"/>
    <cellStyle name="Accent6 2" xfId="27"/>
    <cellStyle name="Accent6 3" xfId="652"/>
    <cellStyle name="ariel" xfId="28"/>
    <cellStyle name="ariel 2" xfId="38846"/>
    <cellStyle name="Bad 2" xfId="29"/>
    <cellStyle name="Bad 3" xfId="625"/>
    <cellStyle name="blank" xfId="38847"/>
    <cellStyle name="blank 2" xfId="38848"/>
    <cellStyle name="BM Header Main" xfId="38849"/>
    <cellStyle name="BM Header Non-Underlined" xfId="38850"/>
    <cellStyle name="BM Header Secondary" xfId="38851"/>
    <cellStyle name="BM Header Underlined" xfId="38852"/>
    <cellStyle name="BM Input" xfId="38853"/>
    <cellStyle name="BM Input External Link" xfId="38854"/>
    <cellStyle name="BM Input Modeller" xfId="38855"/>
    <cellStyle name="BM Input Static" xfId="38856"/>
    <cellStyle name="BM Input_PCT_initial_plan_form_template_10.12.20" xfId="38857"/>
    <cellStyle name="BM Label" xfId="38858"/>
    <cellStyle name="BM UF in Col E" xfId="38859"/>
    <cellStyle name="Calc" xfId="38860"/>
    <cellStyle name="Calc - Blue" xfId="38861"/>
    <cellStyle name="Calc - Feed" xfId="38862"/>
    <cellStyle name="Calc - Green" xfId="38863"/>
    <cellStyle name="Calc - Grey" xfId="38864"/>
    <cellStyle name="Calc - White" xfId="38865"/>
    <cellStyle name="CALC Amount" xfId="14448"/>
    <cellStyle name="CALC Amount [1]" xfId="14449"/>
    <cellStyle name="CALC Amount [2]" xfId="14450"/>
    <cellStyle name="CALC Amount Total" xfId="14451"/>
    <cellStyle name="CALC Amount Total [1]" xfId="14452"/>
    <cellStyle name="CALC Amount Total [1] 10" xfId="14738"/>
    <cellStyle name="CALC Amount Total [1] 10 10" xfId="23102"/>
    <cellStyle name="CALC Amount Total [1] 10 10 2" xfId="38866"/>
    <cellStyle name="CALC Amount Total [1] 10 11" xfId="38867"/>
    <cellStyle name="CALC Amount Total [1] 10 12" xfId="38868"/>
    <cellStyle name="CALC Amount Total [1] 10 2" xfId="15819"/>
    <cellStyle name="CALC Amount Total [1] 10 2 2" xfId="24137"/>
    <cellStyle name="CALC Amount Total [1] 10 2 2 2" xfId="38869"/>
    <cellStyle name="CALC Amount Total [1] 10 2 3" xfId="31425"/>
    <cellStyle name="CALC Amount Total [1] 10 2 4" xfId="38870"/>
    <cellStyle name="CALC Amount Total [1] 10 3" xfId="16785"/>
    <cellStyle name="CALC Amount Total [1] 10 3 2" xfId="25109"/>
    <cellStyle name="CALC Amount Total [1] 10 3 2 2" xfId="38871"/>
    <cellStyle name="CALC Amount Total [1] 10 3 3" xfId="32358"/>
    <cellStyle name="CALC Amount Total [1] 10 3 4" xfId="38872"/>
    <cellStyle name="CALC Amount Total [1] 10 4" xfId="17811"/>
    <cellStyle name="CALC Amount Total [1] 10 4 2" xfId="26135"/>
    <cellStyle name="CALC Amount Total [1] 10 4 2 2" xfId="38873"/>
    <cellStyle name="CALC Amount Total [1] 10 4 3" xfId="33335"/>
    <cellStyle name="CALC Amount Total [1] 10 4 4" xfId="38874"/>
    <cellStyle name="CALC Amount Total [1] 10 5" xfId="18795"/>
    <cellStyle name="CALC Amount Total [1] 10 5 2" xfId="27116"/>
    <cellStyle name="CALC Amount Total [1] 10 5 2 2" xfId="38875"/>
    <cellStyle name="CALC Amount Total [1] 10 5 3" xfId="34275"/>
    <cellStyle name="CALC Amount Total [1] 10 5 4" xfId="38876"/>
    <cellStyle name="CALC Amount Total [1] 10 6" xfId="19763"/>
    <cellStyle name="CALC Amount Total [1] 10 6 2" xfId="28085"/>
    <cellStyle name="CALC Amount Total [1] 10 6 2 2" xfId="38877"/>
    <cellStyle name="CALC Amount Total [1] 10 6 3" xfId="35221"/>
    <cellStyle name="CALC Amount Total [1] 10 6 4" xfId="38878"/>
    <cellStyle name="CALC Amount Total [1] 10 7" xfId="20721"/>
    <cellStyle name="CALC Amount Total [1] 10 7 2" xfId="29042"/>
    <cellStyle name="CALC Amount Total [1] 10 7 2 2" xfId="38879"/>
    <cellStyle name="CALC Amount Total [1] 10 7 3" xfId="38880"/>
    <cellStyle name="CALC Amount Total [1] 10 7 4" xfId="38881"/>
    <cellStyle name="CALC Amount Total [1] 10 8" xfId="21329"/>
    <cellStyle name="CALC Amount Total [1] 10 8 2" xfId="29634"/>
    <cellStyle name="CALC Amount Total [1] 10 8 2 2" xfId="38882"/>
    <cellStyle name="CALC Amount Total [1] 10 8 3" xfId="36700"/>
    <cellStyle name="CALC Amount Total [1] 10 8 4" xfId="38883"/>
    <cellStyle name="CALC Amount Total [1] 10 9" xfId="22157"/>
    <cellStyle name="CALC Amount Total [1] 10 9 2" xfId="30455"/>
    <cellStyle name="CALC Amount Total [1] 10 9 2 2" xfId="38884"/>
    <cellStyle name="CALC Amount Total [1] 10 9 3" xfId="37486"/>
    <cellStyle name="CALC Amount Total [1] 10 9 4" xfId="38885"/>
    <cellStyle name="CALC Amount Total [1] 11" xfId="14803"/>
    <cellStyle name="CALC Amount Total [1] 11 10" xfId="23167"/>
    <cellStyle name="CALC Amount Total [1] 11 10 2" xfId="38886"/>
    <cellStyle name="CALC Amount Total [1] 11 11" xfId="38887"/>
    <cellStyle name="CALC Amount Total [1] 11 12" xfId="38888"/>
    <cellStyle name="CALC Amount Total [1] 11 2" xfId="15884"/>
    <cellStyle name="CALC Amount Total [1] 11 2 2" xfId="24202"/>
    <cellStyle name="CALC Amount Total [1] 11 2 2 2" xfId="38889"/>
    <cellStyle name="CALC Amount Total [1] 11 2 3" xfId="31488"/>
    <cellStyle name="CALC Amount Total [1] 11 2 4" xfId="38890"/>
    <cellStyle name="CALC Amount Total [1] 11 3" xfId="16850"/>
    <cellStyle name="CALC Amount Total [1] 11 3 2" xfId="25174"/>
    <cellStyle name="CALC Amount Total [1] 11 3 2 2" xfId="38891"/>
    <cellStyle name="CALC Amount Total [1] 11 3 3" xfId="32421"/>
    <cellStyle name="CALC Amount Total [1] 11 3 4" xfId="38892"/>
    <cellStyle name="CALC Amount Total [1] 11 4" xfId="17877"/>
    <cellStyle name="CALC Amount Total [1] 11 4 2" xfId="26200"/>
    <cellStyle name="CALC Amount Total [1] 11 4 2 2" xfId="38893"/>
    <cellStyle name="CALC Amount Total [1] 11 4 3" xfId="33398"/>
    <cellStyle name="CALC Amount Total [1] 11 4 4" xfId="38894"/>
    <cellStyle name="CALC Amount Total [1] 11 5" xfId="18861"/>
    <cellStyle name="CALC Amount Total [1] 11 5 2" xfId="27181"/>
    <cellStyle name="CALC Amount Total [1] 11 5 2 2" xfId="38895"/>
    <cellStyle name="CALC Amount Total [1] 11 5 3" xfId="34338"/>
    <cellStyle name="CALC Amount Total [1] 11 5 4" xfId="38896"/>
    <cellStyle name="CALC Amount Total [1] 11 6" xfId="19829"/>
    <cellStyle name="CALC Amount Total [1] 11 6 2" xfId="28151"/>
    <cellStyle name="CALC Amount Total [1] 11 6 2 2" xfId="38897"/>
    <cellStyle name="CALC Amount Total [1] 11 6 3" xfId="35285"/>
    <cellStyle name="CALC Amount Total [1] 11 6 4" xfId="38898"/>
    <cellStyle name="CALC Amount Total [1] 11 7" xfId="20787"/>
    <cellStyle name="CALC Amount Total [1] 11 7 2" xfId="29107"/>
    <cellStyle name="CALC Amount Total [1] 11 7 2 2" xfId="38899"/>
    <cellStyle name="CALC Amount Total [1] 11 7 3" xfId="38900"/>
    <cellStyle name="CALC Amount Total [1] 11 7 4" xfId="38901"/>
    <cellStyle name="CALC Amount Total [1] 11 8" xfId="38183"/>
    <cellStyle name="CALC Amount Total [1] 11 8 2" xfId="38902"/>
    <cellStyle name="CALC Amount Total [1] 11 8 2 2" xfId="38903"/>
    <cellStyle name="CALC Amount Total [1] 11 8 3" xfId="38904"/>
    <cellStyle name="CALC Amount Total [1] 11 8 4" xfId="38905"/>
    <cellStyle name="CALC Amount Total [1] 11 9" xfId="38184"/>
    <cellStyle name="CALC Amount Total [1] 11 9 2" xfId="30521"/>
    <cellStyle name="CALC Amount Total [1] 11 9 2 2" xfId="38906"/>
    <cellStyle name="CALC Amount Total [1] 11 9 3" xfId="37549"/>
    <cellStyle name="CALC Amount Total [1] 11 9 4" xfId="38907"/>
    <cellStyle name="CALC Amount Total [1] 12" xfId="14956"/>
    <cellStyle name="CALC Amount Total [1] 12 10" xfId="23318"/>
    <cellStyle name="CALC Amount Total [1] 12 10 2" xfId="38908"/>
    <cellStyle name="CALC Amount Total [1] 12 11" xfId="38909"/>
    <cellStyle name="CALC Amount Total [1] 12 12" xfId="38910"/>
    <cellStyle name="CALC Amount Total [1] 12 2" xfId="16037"/>
    <cellStyle name="CALC Amount Total [1] 12 2 2" xfId="24353"/>
    <cellStyle name="CALC Amount Total [1] 12 2 2 2" xfId="38911"/>
    <cellStyle name="CALC Amount Total [1] 12 2 3" xfId="31633"/>
    <cellStyle name="CALC Amount Total [1] 12 2 4" xfId="38912"/>
    <cellStyle name="CALC Amount Total [1] 12 3" xfId="17003"/>
    <cellStyle name="CALC Amount Total [1] 12 3 2" xfId="25325"/>
    <cellStyle name="CALC Amount Total [1] 12 3 2 2" xfId="38913"/>
    <cellStyle name="CALC Amount Total [1] 12 3 3" xfId="32566"/>
    <cellStyle name="CALC Amount Total [1] 12 3 4" xfId="38914"/>
    <cellStyle name="CALC Amount Total [1] 12 4" xfId="18030"/>
    <cellStyle name="CALC Amount Total [1] 12 4 2" xfId="26351"/>
    <cellStyle name="CALC Amount Total [1] 12 4 2 2" xfId="38915"/>
    <cellStyle name="CALC Amount Total [1] 12 4 3" xfId="33543"/>
    <cellStyle name="CALC Amount Total [1] 12 4 4" xfId="38916"/>
    <cellStyle name="CALC Amount Total [1] 12 5" xfId="19014"/>
    <cellStyle name="CALC Amount Total [1] 12 5 2" xfId="27334"/>
    <cellStyle name="CALC Amount Total [1] 12 5 2 2" xfId="38917"/>
    <cellStyle name="CALC Amount Total [1] 12 5 3" xfId="34485"/>
    <cellStyle name="CALC Amount Total [1] 12 5 4" xfId="38918"/>
    <cellStyle name="CALC Amount Total [1] 12 6" xfId="19982"/>
    <cellStyle name="CALC Amount Total [1] 12 6 2" xfId="28304"/>
    <cellStyle name="CALC Amount Total [1] 12 6 2 2" xfId="38919"/>
    <cellStyle name="CALC Amount Total [1] 12 6 3" xfId="35432"/>
    <cellStyle name="CALC Amount Total [1] 12 6 4" xfId="38920"/>
    <cellStyle name="CALC Amount Total [1] 12 7" xfId="20940"/>
    <cellStyle name="CALC Amount Total [1] 12 7 2" xfId="29258"/>
    <cellStyle name="CALC Amount Total [1] 12 7 2 2" xfId="38921"/>
    <cellStyle name="CALC Amount Total [1] 12 7 3" xfId="36341"/>
    <cellStyle name="CALC Amount Total [1] 12 7 4" xfId="38922"/>
    <cellStyle name="CALC Amount Total [1] 12 8" xfId="21447"/>
    <cellStyle name="CALC Amount Total [1] 12 8 2" xfId="29749"/>
    <cellStyle name="CALC Amount Total [1] 12 8 2 2" xfId="38923"/>
    <cellStyle name="CALC Amount Total [1] 12 8 3" xfId="36811"/>
    <cellStyle name="CALC Amount Total [1] 12 8 4" xfId="38924"/>
    <cellStyle name="CALC Amount Total [1] 12 9" xfId="22375"/>
    <cellStyle name="CALC Amount Total [1] 12 9 2" xfId="30672"/>
    <cellStyle name="CALC Amount Total [1] 12 9 2 2" xfId="38925"/>
    <cellStyle name="CALC Amount Total [1] 12 9 3" xfId="37694"/>
    <cellStyle name="CALC Amount Total [1] 12 9 4" xfId="38926"/>
    <cellStyle name="CALC Amount Total [1] 13" xfId="15032"/>
    <cellStyle name="CALC Amount Total [1] 13 10" xfId="23392"/>
    <cellStyle name="CALC Amount Total [1] 13 10 2" xfId="38927"/>
    <cellStyle name="CALC Amount Total [1] 13 11" xfId="38928"/>
    <cellStyle name="CALC Amount Total [1] 13 12" xfId="38929"/>
    <cellStyle name="CALC Amount Total [1] 13 2" xfId="16112"/>
    <cellStyle name="CALC Amount Total [1] 13 2 2" xfId="24427"/>
    <cellStyle name="CALC Amount Total [1] 13 2 2 2" xfId="38930"/>
    <cellStyle name="CALC Amount Total [1] 13 2 3" xfId="31705"/>
    <cellStyle name="CALC Amount Total [1] 13 2 4" xfId="38931"/>
    <cellStyle name="CALC Amount Total [1] 13 3" xfId="17079"/>
    <cellStyle name="CALC Amount Total [1] 13 3 2" xfId="25400"/>
    <cellStyle name="CALC Amount Total [1] 13 3 2 2" xfId="38932"/>
    <cellStyle name="CALC Amount Total [1] 13 3 3" xfId="32639"/>
    <cellStyle name="CALC Amount Total [1] 13 3 4" xfId="38933"/>
    <cellStyle name="CALC Amount Total [1] 13 4" xfId="18106"/>
    <cellStyle name="CALC Amount Total [1] 13 4 2" xfId="26426"/>
    <cellStyle name="CALC Amount Total [1] 13 4 2 2" xfId="38934"/>
    <cellStyle name="CALC Amount Total [1] 13 4 3" xfId="33616"/>
    <cellStyle name="CALC Amount Total [1] 13 4 4" xfId="38935"/>
    <cellStyle name="CALC Amount Total [1] 13 5" xfId="19090"/>
    <cellStyle name="CALC Amount Total [1] 13 5 2" xfId="27410"/>
    <cellStyle name="CALC Amount Total [1] 13 5 2 2" xfId="38936"/>
    <cellStyle name="CALC Amount Total [1] 13 5 3" xfId="34559"/>
    <cellStyle name="CALC Amount Total [1] 13 5 4" xfId="38937"/>
    <cellStyle name="CALC Amount Total [1] 13 6" xfId="20058"/>
    <cellStyle name="CALC Amount Total [1] 13 6 2" xfId="28380"/>
    <cellStyle name="CALC Amount Total [1] 13 6 2 2" xfId="38938"/>
    <cellStyle name="CALC Amount Total [1] 13 6 3" xfId="35506"/>
    <cellStyle name="CALC Amount Total [1] 13 6 4" xfId="38939"/>
    <cellStyle name="CALC Amount Total [1] 13 7" xfId="21015"/>
    <cellStyle name="CALC Amount Total [1] 13 7 2" xfId="29332"/>
    <cellStyle name="CALC Amount Total [1] 13 7 2 2" xfId="38940"/>
    <cellStyle name="CALC Amount Total [1] 13 7 3" xfId="36413"/>
    <cellStyle name="CALC Amount Total [1] 13 7 4" xfId="38941"/>
    <cellStyle name="CALC Amount Total [1] 13 8" xfId="21522"/>
    <cellStyle name="CALC Amount Total [1] 13 8 2" xfId="29823"/>
    <cellStyle name="CALC Amount Total [1] 13 8 2 2" xfId="38942"/>
    <cellStyle name="CALC Amount Total [1] 13 8 3" xfId="36883"/>
    <cellStyle name="CALC Amount Total [1] 13 8 4" xfId="38943"/>
    <cellStyle name="CALC Amount Total [1] 13 9" xfId="22450"/>
    <cellStyle name="CALC Amount Total [1] 13 9 2" xfId="30746"/>
    <cellStyle name="CALC Amount Total [1] 13 9 2 2" xfId="38944"/>
    <cellStyle name="CALC Amount Total [1] 13 9 3" xfId="37766"/>
    <cellStyle name="CALC Amount Total [1] 13 9 4" xfId="38945"/>
    <cellStyle name="CALC Amount Total [1] 14" xfId="15028"/>
    <cellStyle name="CALC Amount Total [1] 14 10" xfId="23388"/>
    <cellStyle name="CALC Amount Total [1] 14 10 2" xfId="38946"/>
    <cellStyle name="CALC Amount Total [1] 14 11" xfId="38947"/>
    <cellStyle name="CALC Amount Total [1] 14 12" xfId="38948"/>
    <cellStyle name="CALC Amount Total [1] 14 2" xfId="16108"/>
    <cellStyle name="CALC Amount Total [1] 14 2 2" xfId="24423"/>
    <cellStyle name="CALC Amount Total [1] 14 2 2 2" xfId="38949"/>
    <cellStyle name="CALC Amount Total [1] 14 2 3" xfId="31701"/>
    <cellStyle name="CALC Amount Total [1] 14 2 4" xfId="38950"/>
    <cellStyle name="CALC Amount Total [1] 14 3" xfId="17075"/>
    <cellStyle name="CALC Amount Total [1] 14 3 2" xfId="25396"/>
    <cellStyle name="CALC Amount Total [1] 14 3 2 2" xfId="38951"/>
    <cellStyle name="CALC Amount Total [1] 14 3 3" xfId="32635"/>
    <cellStyle name="CALC Amount Total [1] 14 3 4" xfId="38952"/>
    <cellStyle name="CALC Amount Total [1] 14 4" xfId="18102"/>
    <cellStyle name="CALC Amount Total [1] 14 4 2" xfId="26422"/>
    <cellStyle name="CALC Amount Total [1] 14 4 2 2" xfId="38953"/>
    <cellStyle name="CALC Amount Total [1] 14 4 3" xfId="33612"/>
    <cellStyle name="CALC Amount Total [1] 14 4 4" xfId="38954"/>
    <cellStyle name="CALC Amount Total [1] 14 5" xfId="19086"/>
    <cellStyle name="CALC Amount Total [1] 14 5 2" xfId="27406"/>
    <cellStyle name="CALC Amount Total [1] 14 5 2 2" xfId="38955"/>
    <cellStyle name="CALC Amount Total [1] 14 5 3" xfId="34555"/>
    <cellStyle name="CALC Amount Total [1] 14 5 4" xfId="38956"/>
    <cellStyle name="CALC Amount Total [1] 14 6" xfId="20054"/>
    <cellStyle name="CALC Amount Total [1] 14 6 2" xfId="28376"/>
    <cellStyle name="CALC Amount Total [1] 14 6 2 2" xfId="38957"/>
    <cellStyle name="CALC Amount Total [1] 14 6 3" xfId="35502"/>
    <cellStyle name="CALC Amount Total [1] 14 6 4" xfId="38958"/>
    <cellStyle name="CALC Amount Total [1] 14 7" xfId="21011"/>
    <cellStyle name="CALC Amount Total [1] 14 7 2" xfId="29328"/>
    <cellStyle name="CALC Amount Total [1] 14 7 2 2" xfId="38959"/>
    <cellStyle name="CALC Amount Total [1] 14 7 3" xfId="36409"/>
    <cellStyle name="CALC Amount Total [1] 14 7 4" xfId="38960"/>
    <cellStyle name="CALC Amount Total [1] 14 8" xfId="21518"/>
    <cellStyle name="CALC Amount Total [1] 14 8 2" xfId="29819"/>
    <cellStyle name="CALC Amount Total [1] 14 8 2 2" xfId="38961"/>
    <cellStyle name="CALC Amount Total [1] 14 8 3" xfId="36879"/>
    <cellStyle name="CALC Amount Total [1] 14 8 4" xfId="38962"/>
    <cellStyle name="CALC Amount Total [1] 14 9" xfId="22446"/>
    <cellStyle name="CALC Amount Total [1] 14 9 2" xfId="30742"/>
    <cellStyle name="CALC Amount Total [1] 14 9 2 2" xfId="38963"/>
    <cellStyle name="CALC Amount Total [1] 14 9 3" xfId="37762"/>
    <cellStyle name="CALC Amount Total [1] 14 9 4" xfId="38964"/>
    <cellStyle name="CALC Amount Total [1] 15" xfId="15116"/>
    <cellStyle name="CALC Amount Total [1] 15 10" xfId="38965"/>
    <cellStyle name="CALC Amount Total [1] 15 11" xfId="38966"/>
    <cellStyle name="CALC Amount Total [1] 15 2" xfId="16196"/>
    <cellStyle name="CALC Amount Total [1] 15 2 2" xfId="24509"/>
    <cellStyle name="CALC Amount Total [1] 15 2 2 2" xfId="38967"/>
    <cellStyle name="CALC Amount Total [1] 15 2 3" xfId="31786"/>
    <cellStyle name="CALC Amount Total [1] 15 2 4" xfId="38968"/>
    <cellStyle name="CALC Amount Total [1] 15 3" xfId="17162"/>
    <cellStyle name="CALC Amount Total [1] 15 3 2" xfId="25483"/>
    <cellStyle name="CALC Amount Total [1] 15 3 2 2" xfId="38969"/>
    <cellStyle name="CALC Amount Total [1] 15 3 3" xfId="32719"/>
    <cellStyle name="CALC Amount Total [1] 15 3 4" xfId="38970"/>
    <cellStyle name="CALC Amount Total [1] 15 4" xfId="18190"/>
    <cellStyle name="CALC Amount Total [1] 15 4 2" xfId="26510"/>
    <cellStyle name="CALC Amount Total [1] 15 4 2 2" xfId="38971"/>
    <cellStyle name="CALC Amount Total [1] 15 4 3" xfId="33697"/>
    <cellStyle name="CALC Amount Total [1] 15 4 4" xfId="38972"/>
    <cellStyle name="CALC Amount Total [1] 15 5" xfId="19174"/>
    <cellStyle name="CALC Amount Total [1] 15 5 2" xfId="27494"/>
    <cellStyle name="CALC Amount Total [1] 15 5 2 2" xfId="38973"/>
    <cellStyle name="CALC Amount Total [1] 15 5 3" xfId="34642"/>
    <cellStyle name="CALC Amount Total [1] 15 5 4" xfId="38974"/>
    <cellStyle name="CALC Amount Total [1] 15 6" xfId="20142"/>
    <cellStyle name="CALC Amount Total [1] 15 6 2" xfId="28464"/>
    <cellStyle name="CALC Amount Total [1] 15 6 2 2" xfId="38975"/>
    <cellStyle name="CALC Amount Total [1] 15 6 3" xfId="35589"/>
    <cellStyle name="CALC Amount Total [1] 15 6 4" xfId="38976"/>
    <cellStyle name="CALC Amount Total [1] 15 7" xfId="21603"/>
    <cellStyle name="CALC Amount Total [1] 15 7 2" xfId="29904"/>
    <cellStyle name="CALC Amount Total [1] 15 7 2 2" xfId="38977"/>
    <cellStyle name="CALC Amount Total [1] 15 7 3" xfId="36963"/>
    <cellStyle name="CALC Amount Total [1] 15 7 4" xfId="38978"/>
    <cellStyle name="CALC Amount Total [1] 15 8" xfId="22531"/>
    <cellStyle name="CALC Amount Total [1] 15 8 2" xfId="30827"/>
    <cellStyle name="CALC Amount Total [1] 15 8 2 2" xfId="38979"/>
    <cellStyle name="CALC Amount Total [1] 15 8 3" xfId="37846"/>
    <cellStyle name="CALC Amount Total [1] 15 8 4" xfId="38980"/>
    <cellStyle name="CALC Amount Total [1] 15 9" xfId="23473"/>
    <cellStyle name="CALC Amount Total [1] 15 9 2" xfId="38981"/>
    <cellStyle name="CALC Amount Total [1] 16" xfId="15112"/>
    <cellStyle name="CALC Amount Total [1] 16 10" xfId="38982"/>
    <cellStyle name="CALC Amount Total [1] 16 11" xfId="38983"/>
    <cellStyle name="CALC Amount Total [1] 16 2" xfId="16192"/>
    <cellStyle name="CALC Amount Total [1] 16 2 2" xfId="24505"/>
    <cellStyle name="CALC Amount Total [1] 16 2 2 2" xfId="38984"/>
    <cellStyle name="CALC Amount Total [1] 16 2 3" xfId="31782"/>
    <cellStyle name="CALC Amount Total [1] 16 2 4" xfId="38985"/>
    <cellStyle name="CALC Amount Total [1] 16 3" xfId="17158"/>
    <cellStyle name="CALC Amount Total [1] 16 3 2" xfId="25479"/>
    <cellStyle name="CALC Amount Total [1] 16 3 2 2" xfId="38986"/>
    <cellStyle name="CALC Amount Total [1] 16 3 3" xfId="32715"/>
    <cellStyle name="CALC Amount Total [1] 16 3 4" xfId="38987"/>
    <cellStyle name="CALC Amount Total [1] 16 4" xfId="18186"/>
    <cellStyle name="CALC Amount Total [1] 16 4 2" xfId="26506"/>
    <cellStyle name="CALC Amount Total [1] 16 4 2 2" xfId="38988"/>
    <cellStyle name="CALC Amount Total [1] 16 4 3" xfId="33693"/>
    <cellStyle name="CALC Amount Total [1] 16 4 4" xfId="38989"/>
    <cellStyle name="CALC Amount Total [1] 16 5" xfId="19170"/>
    <cellStyle name="CALC Amount Total [1] 16 5 2" xfId="27490"/>
    <cellStyle name="CALC Amount Total [1] 16 5 2 2" xfId="38990"/>
    <cellStyle name="CALC Amount Total [1] 16 5 3" xfId="34638"/>
    <cellStyle name="CALC Amount Total [1] 16 5 4" xfId="38991"/>
    <cellStyle name="CALC Amount Total [1] 16 6" xfId="20138"/>
    <cellStyle name="CALC Amount Total [1] 16 6 2" xfId="28460"/>
    <cellStyle name="CALC Amount Total [1] 16 6 2 2" xfId="38992"/>
    <cellStyle name="CALC Amount Total [1] 16 6 3" xfId="35585"/>
    <cellStyle name="CALC Amount Total [1] 16 6 4" xfId="38993"/>
    <cellStyle name="CALC Amount Total [1] 16 7" xfId="21599"/>
    <cellStyle name="CALC Amount Total [1] 16 7 2" xfId="29900"/>
    <cellStyle name="CALC Amount Total [1] 16 7 2 2" xfId="38994"/>
    <cellStyle name="CALC Amount Total [1] 16 7 3" xfId="36959"/>
    <cellStyle name="CALC Amount Total [1] 16 7 4" xfId="38995"/>
    <cellStyle name="CALC Amount Total [1] 16 8" xfId="22527"/>
    <cellStyle name="CALC Amount Total [1] 16 8 2" xfId="30823"/>
    <cellStyle name="CALC Amount Total [1] 16 8 2 2" xfId="38996"/>
    <cellStyle name="CALC Amount Total [1] 16 8 3" xfId="37842"/>
    <cellStyle name="CALC Amount Total [1] 16 8 4" xfId="38997"/>
    <cellStyle name="CALC Amount Total [1] 16 9" xfId="23469"/>
    <cellStyle name="CALC Amount Total [1] 16 9 2" xfId="38998"/>
    <cellStyle name="CALC Amount Total [1] 17" xfId="15135"/>
    <cellStyle name="CALC Amount Total [1] 17 10" xfId="38999"/>
    <cellStyle name="CALC Amount Total [1] 17 11" xfId="39000"/>
    <cellStyle name="CALC Amount Total [1] 17 2" xfId="16215"/>
    <cellStyle name="CALC Amount Total [1] 17 2 2" xfId="24528"/>
    <cellStyle name="CALC Amount Total [1] 17 2 2 2" xfId="39001"/>
    <cellStyle name="CALC Amount Total [1] 17 2 3" xfId="31803"/>
    <cellStyle name="CALC Amount Total [1] 17 2 4" xfId="39002"/>
    <cellStyle name="CALC Amount Total [1] 17 3" xfId="17181"/>
    <cellStyle name="CALC Amount Total [1] 17 3 2" xfId="25502"/>
    <cellStyle name="CALC Amount Total [1] 17 3 2 2" xfId="39003"/>
    <cellStyle name="CALC Amount Total [1] 17 3 3" xfId="32736"/>
    <cellStyle name="CALC Amount Total [1] 17 3 4" xfId="39004"/>
    <cellStyle name="CALC Amount Total [1] 17 4" xfId="18209"/>
    <cellStyle name="CALC Amount Total [1] 17 4 2" xfId="26529"/>
    <cellStyle name="CALC Amount Total [1] 17 4 2 2" xfId="39005"/>
    <cellStyle name="CALC Amount Total [1] 17 4 3" xfId="33714"/>
    <cellStyle name="CALC Amount Total [1] 17 4 4" xfId="39006"/>
    <cellStyle name="CALC Amount Total [1] 17 5" xfId="19193"/>
    <cellStyle name="CALC Amount Total [1] 17 5 2" xfId="27513"/>
    <cellStyle name="CALC Amount Total [1] 17 5 2 2" xfId="39007"/>
    <cellStyle name="CALC Amount Total [1] 17 5 3" xfId="34661"/>
    <cellStyle name="CALC Amount Total [1] 17 5 4" xfId="39008"/>
    <cellStyle name="CALC Amount Total [1] 17 6" xfId="20161"/>
    <cellStyle name="CALC Amount Total [1] 17 6 2" xfId="28483"/>
    <cellStyle name="CALC Amount Total [1] 17 6 2 2" xfId="39009"/>
    <cellStyle name="CALC Amount Total [1] 17 6 3" xfId="35606"/>
    <cellStyle name="CALC Amount Total [1] 17 6 4" xfId="39010"/>
    <cellStyle name="CALC Amount Total [1] 17 7" xfId="21622"/>
    <cellStyle name="CALC Amount Total [1] 17 7 2" xfId="29923"/>
    <cellStyle name="CALC Amount Total [1] 17 7 2 2" xfId="39011"/>
    <cellStyle name="CALC Amount Total [1] 17 7 3" xfId="36980"/>
    <cellStyle name="CALC Amount Total [1] 17 7 4" xfId="39012"/>
    <cellStyle name="CALC Amount Total [1] 17 8" xfId="22550"/>
    <cellStyle name="CALC Amount Total [1] 17 8 2" xfId="30846"/>
    <cellStyle name="CALC Amount Total [1] 17 8 2 2" xfId="39013"/>
    <cellStyle name="CALC Amount Total [1] 17 8 3" xfId="37863"/>
    <cellStyle name="CALC Amount Total [1] 17 8 4" xfId="39014"/>
    <cellStyle name="CALC Amount Total [1] 17 9" xfId="23492"/>
    <cellStyle name="CALC Amount Total [1] 17 9 2" xfId="39015"/>
    <cellStyle name="CALC Amount Total [1] 18" xfId="15102"/>
    <cellStyle name="CALC Amount Total [1] 18 10" xfId="39016"/>
    <cellStyle name="CALC Amount Total [1] 18 11" xfId="39017"/>
    <cellStyle name="CALC Amount Total [1] 18 2" xfId="16182"/>
    <cellStyle name="CALC Amount Total [1] 18 2 2" xfId="24495"/>
    <cellStyle name="CALC Amount Total [1] 18 2 2 2" xfId="39018"/>
    <cellStyle name="CALC Amount Total [1] 18 2 3" xfId="31772"/>
    <cellStyle name="CALC Amount Total [1] 18 2 4" xfId="39019"/>
    <cellStyle name="CALC Amount Total [1] 18 3" xfId="17148"/>
    <cellStyle name="CALC Amount Total [1] 18 3 2" xfId="25469"/>
    <cellStyle name="CALC Amount Total [1] 18 3 2 2" xfId="39020"/>
    <cellStyle name="CALC Amount Total [1] 18 3 3" xfId="32705"/>
    <cellStyle name="CALC Amount Total [1] 18 3 4" xfId="39021"/>
    <cellStyle name="CALC Amount Total [1] 18 4" xfId="18176"/>
    <cellStyle name="CALC Amount Total [1] 18 4 2" xfId="26496"/>
    <cellStyle name="CALC Amount Total [1] 18 4 2 2" xfId="39022"/>
    <cellStyle name="CALC Amount Total [1] 18 4 3" xfId="33683"/>
    <cellStyle name="CALC Amount Total [1] 18 4 4" xfId="39023"/>
    <cellStyle name="CALC Amount Total [1] 18 5" xfId="19160"/>
    <cellStyle name="CALC Amount Total [1] 18 5 2" xfId="27480"/>
    <cellStyle name="CALC Amount Total [1] 18 5 2 2" xfId="39024"/>
    <cellStyle name="CALC Amount Total [1] 18 5 3" xfId="34628"/>
    <cellStyle name="CALC Amount Total [1] 18 5 4" xfId="39025"/>
    <cellStyle name="CALC Amount Total [1] 18 6" xfId="20128"/>
    <cellStyle name="CALC Amount Total [1] 18 6 2" xfId="28450"/>
    <cellStyle name="CALC Amount Total [1] 18 6 2 2" xfId="39026"/>
    <cellStyle name="CALC Amount Total [1] 18 6 3" xfId="35575"/>
    <cellStyle name="CALC Amount Total [1] 18 6 4" xfId="39027"/>
    <cellStyle name="CALC Amount Total [1] 18 7" xfId="21589"/>
    <cellStyle name="CALC Amount Total [1] 18 7 2" xfId="29890"/>
    <cellStyle name="CALC Amount Total [1] 18 7 2 2" xfId="39028"/>
    <cellStyle name="CALC Amount Total [1] 18 7 3" xfId="36949"/>
    <cellStyle name="CALC Amount Total [1] 18 7 4" xfId="39029"/>
    <cellStyle name="CALC Amount Total [1] 18 8" xfId="22517"/>
    <cellStyle name="CALC Amount Total [1] 18 8 2" xfId="30813"/>
    <cellStyle name="CALC Amount Total [1] 18 8 2 2" xfId="39030"/>
    <cellStyle name="CALC Amount Total [1] 18 8 3" xfId="37832"/>
    <cellStyle name="CALC Amount Total [1] 18 8 4" xfId="39031"/>
    <cellStyle name="CALC Amount Total [1] 18 9" xfId="23459"/>
    <cellStyle name="CALC Amount Total [1] 18 9 2" xfId="39032"/>
    <cellStyle name="CALC Amount Total [1] 19" xfId="15232"/>
    <cellStyle name="CALC Amount Total [1] 19 10" xfId="39033"/>
    <cellStyle name="CALC Amount Total [1] 19 11" xfId="39034"/>
    <cellStyle name="CALC Amount Total [1] 19 2" xfId="16312"/>
    <cellStyle name="CALC Amount Total [1] 19 2 2" xfId="24625"/>
    <cellStyle name="CALC Amount Total [1] 19 2 2 2" xfId="39035"/>
    <cellStyle name="CALC Amount Total [1] 19 2 3" xfId="31892"/>
    <cellStyle name="CALC Amount Total [1] 19 2 4" xfId="39036"/>
    <cellStyle name="CALC Amount Total [1] 19 3" xfId="17278"/>
    <cellStyle name="CALC Amount Total [1] 19 3 2" xfId="25599"/>
    <cellStyle name="CALC Amount Total [1] 19 3 2 2" xfId="39037"/>
    <cellStyle name="CALC Amount Total [1] 19 3 3" xfId="32825"/>
    <cellStyle name="CALC Amount Total [1] 19 3 4" xfId="39038"/>
    <cellStyle name="CALC Amount Total [1] 19 4" xfId="18306"/>
    <cellStyle name="CALC Amount Total [1] 19 4 2" xfId="26626"/>
    <cellStyle name="CALC Amount Total [1] 19 4 2 2" xfId="39039"/>
    <cellStyle name="CALC Amount Total [1] 19 4 3" xfId="33803"/>
    <cellStyle name="CALC Amount Total [1] 19 4 4" xfId="39040"/>
    <cellStyle name="CALC Amount Total [1] 19 5" xfId="19290"/>
    <cellStyle name="CALC Amount Total [1] 19 5 2" xfId="27610"/>
    <cellStyle name="CALC Amount Total [1] 19 5 2 2" xfId="39041"/>
    <cellStyle name="CALC Amount Total [1] 19 5 3" xfId="34758"/>
    <cellStyle name="CALC Amount Total [1] 19 5 4" xfId="39042"/>
    <cellStyle name="CALC Amount Total [1] 19 6" xfId="20258"/>
    <cellStyle name="CALC Amount Total [1] 19 6 2" xfId="28580"/>
    <cellStyle name="CALC Amount Total [1] 19 6 2 2" xfId="39043"/>
    <cellStyle name="CALC Amount Total [1] 19 6 3" xfId="35695"/>
    <cellStyle name="CALC Amount Total [1] 19 6 4" xfId="39044"/>
    <cellStyle name="CALC Amount Total [1] 19 7" xfId="21719"/>
    <cellStyle name="CALC Amount Total [1] 19 7 2" xfId="30020"/>
    <cellStyle name="CALC Amount Total [1] 19 7 2 2" xfId="39045"/>
    <cellStyle name="CALC Amount Total [1] 19 7 3" xfId="37069"/>
    <cellStyle name="CALC Amount Total [1] 19 7 4" xfId="39046"/>
    <cellStyle name="CALC Amount Total [1] 19 8" xfId="22647"/>
    <cellStyle name="CALC Amount Total [1] 19 8 2" xfId="30943"/>
    <cellStyle name="CALC Amount Total [1] 19 8 2 2" xfId="39047"/>
    <cellStyle name="CALC Amount Total [1] 19 8 3" xfId="37952"/>
    <cellStyle name="CALC Amount Total [1] 19 8 4" xfId="39048"/>
    <cellStyle name="CALC Amount Total [1] 19 9" xfId="23589"/>
    <cellStyle name="CALC Amount Total [1] 19 9 2" xfId="39049"/>
    <cellStyle name="CALC Amount Total [1] 2" xfId="14453"/>
    <cellStyle name="CALC Amount Total [1] 2 10" xfId="14767"/>
    <cellStyle name="CALC Amount Total [1] 2 10 10" xfId="23131"/>
    <cellStyle name="CALC Amount Total [1] 2 10 10 2" xfId="39050"/>
    <cellStyle name="CALC Amount Total [1] 2 10 11" xfId="39051"/>
    <cellStyle name="CALC Amount Total [1] 2 10 12" xfId="39052"/>
    <cellStyle name="CALC Amount Total [1] 2 10 2" xfId="15848"/>
    <cellStyle name="CALC Amount Total [1] 2 10 2 2" xfId="24166"/>
    <cellStyle name="CALC Amount Total [1] 2 10 2 2 2" xfId="39053"/>
    <cellStyle name="CALC Amount Total [1] 2 10 2 3" xfId="31454"/>
    <cellStyle name="CALC Amount Total [1] 2 10 2 4" xfId="39054"/>
    <cellStyle name="CALC Amount Total [1] 2 10 3" xfId="16814"/>
    <cellStyle name="CALC Amount Total [1] 2 10 3 2" xfId="25138"/>
    <cellStyle name="CALC Amount Total [1] 2 10 3 2 2" xfId="39055"/>
    <cellStyle name="CALC Amount Total [1] 2 10 3 3" xfId="32387"/>
    <cellStyle name="CALC Amount Total [1] 2 10 3 4" xfId="39056"/>
    <cellStyle name="CALC Amount Total [1] 2 10 4" xfId="17840"/>
    <cellStyle name="CALC Amount Total [1] 2 10 4 2" xfId="26164"/>
    <cellStyle name="CALC Amount Total [1] 2 10 4 2 2" xfId="39057"/>
    <cellStyle name="CALC Amount Total [1] 2 10 4 3" xfId="33364"/>
    <cellStyle name="CALC Amount Total [1] 2 10 4 4" xfId="39058"/>
    <cellStyle name="CALC Amount Total [1] 2 10 5" xfId="18824"/>
    <cellStyle name="CALC Amount Total [1] 2 10 5 2" xfId="27145"/>
    <cellStyle name="CALC Amount Total [1] 2 10 5 2 2" xfId="39059"/>
    <cellStyle name="CALC Amount Total [1] 2 10 5 3" xfId="34304"/>
    <cellStyle name="CALC Amount Total [1] 2 10 5 4" xfId="39060"/>
    <cellStyle name="CALC Amount Total [1] 2 10 6" xfId="19792"/>
    <cellStyle name="CALC Amount Total [1] 2 10 6 2" xfId="28114"/>
    <cellStyle name="CALC Amount Total [1] 2 10 6 2 2" xfId="39061"/>
    <cellStyle name="CALC Amount Total [1] 2 10 6 3" xfId="35250"/>
    <cellStyle name="CALC Amount Total [1] 2 10 6 4" xfId="39062"/>
    <cellStyle name="CALC Amount Total [1] 2 10 7" xfId="20750"/>
    <cellStyle name="CALC Amount Total [1] 2 10 7 2" xfId="29071"/>
    <cellStyle name="CALC Amount Total [1] 2 10 7 2 2" xfId="39063"/>
    <cellStyle name="CALC Amount Total [1] 2 10 7 3" xfId="36163"/>
    <cellStyle name="CALC Amount Total [1] 2 10 7 4" xfId="39064"/>
    <cellStyle name="CALC Amount Total [1] 2 10 8" xfId="21283"/>
    <cellStyle name="CALC Amount Total [1] 2 10 8 2" xfId="29590"/>
    <cellStyle name="CALC Amount Total [1] 2 10 8 2 2" xfId="39065"/>
    <cellStyle name="CALC Amount Total [1] 2 10 8 3" xfId="36657"/>
    <cellStyle name="CALC Amount Total [1] 2 10 8 4" xfId="39066"/>
    <cellStyle name="CALC Amount Total [1] 2 10 9" xfId="22186"/>
    <cellStyle name="CALC Amount Total [1] 2 10 9 2" xfId="30484"/>
    <cellStyle name="CALC Amount Total [1] 2 10 9 2 2" xfId="39067"/>
    <cellStyle name="CALC Amount Total [1] 2 10 9 3" xfId="37515"/>
    <cellStyle name="CALC Amount Total [1] 2 10 9 4" xfId="39068"/>
    <cellStyle name="CALC Amount Total [1] 2 11" xfId="14877"/>
    <cellStyle name="CALC Amount Total [1] 2 11 10" xfId="23240"/>
    <cellStyle name="CALC Amount Total [1] 2 11 10 2" xfId="39069"/>
    <cellStyle name="CALC Amount Total [1] 2 11 11" xfId="39070"/>
    <cellStyle name="CALC Amount Total [1] 2 11 12" xfId="39071"/>
    <cellStyle name="CALC Amount Total [1] 2 11 2" xfId="15958"/>
    <cellStyle name="CALC Amount Total [1] 2 11 2 2" xfId="24275"/>
    <cellStyle name="CALC Amount Total [1] 2 11 2 2 2" xfId="39072"/>
    <cellStyle name="CALC Amount Total [1] 2 11 2 3" xfId="31558"/>
    <cellStyle name="CALC Amount Total [1] 2 11 2 4" xfId="39073"/>
    <cellStyle name="CALC Amount Total [1] 2 11 3" xfId="16924"/>
    <cellStyle name="CALC Amount Total [1] 2 11 3 2" xfId="25247"/>
    <cellStyle name="CALC Amount Total [1] 2 11 3 2 2" xfId="39074"/>
    <cellStyle name="CALC Amount Total [1] 2 11 3 3" xfId="32491"/>
    <cellStyle name="CALC Amount Total [1] 2 11 3 4" xfId="39075"/>
    <cellStyle name="CALC Amount Total [1] 2 11 4" xfId="17951"/>
    <cellStyle name="CALC Amount Total [1] 2 11 4 2" xfId="26273"/>
    <cellStyle name="CALC Amount Total [1] 2 11 4 2 2" xfId="39076"/>
    <cellStyle name="CALC Amount Total [1] 2 11 4 3" xfId="33468"/>
    <cellStyle name="CALC Amount Total [1] 2 11 4 4" xfId="39077"/>
    <cellStyle name="CALC Amount Total [1] 2 11 5" xfId="18935"/>
    <cellStyle name="CALC Amount Total [1] 2 11 5 2" xfId="27255"/>
    <cellStyle name="CALC Amount Total [1] 2 11 5 2 2" xfId="39078"/>
    <cellStyle name="CALC Amount Total [1] 2 11 5 3" xfId="34409"/>
    <cellStyle name="CALC Amount Total [1] 2 11 5 4" xfId="39079"/>
    <cellStyle name="CALC Amount Total [1] 2 11 6" xfId="19903"/>
    <cellStyle name="CALC Amount Total [1] 2 11 6 2" xfId="28225"/>
    <cellStyle name="CALC Amount Total [1] 2 11 6 2 2" xfId="39080"/>
    <cellStyle name="CALC Amount Total [1] 2 11 6 3" xfId="35356"/>
    <cellStyle name="CALC Amount Total [1] 2 11 6 4" xfId="39081"/>
    <cellStyle name="CALC Amount Total [1] 2 11 7" xfId="20861"/>
    <cellStyle name="CALC Amount Total [1] 2 11 7 2" xfId="29180"/>
    <cellStyle name="CALC Amount Total [1] 2 11 7 2 2" xfId="39082"/>
    <cellStyle name="CALC Amount Total [1] 2 11 7 3" xfId="36266"/>
    <cellStyle name="CALC Amount Total [1] 2 11 7 4" xfId="39083"/>
    <cellStyle name="CALC Amount Total [1] 2 11 8" xfId="18543"/>
    <cellStyle name="CALC Amount Total [1] 2 11 8 2" xfId="26860"/>
    <cellStyle name="CALC Amount Total [1] 2 11 8 2 2" xfId="39084"/>
    <cellStyle name="CALC Amount Total [1] 2 11 8 3" xfId="34030"/>
    <cellStyle name="CALC Amount Total [1] 2 11 8 4" xfId="39085"/>
    <cellStyle name="CALC Amount Total [1] 2 11 9" xfId="22296"/>
    <cellStyle name="CALC Amount Total [1] 2 11 9 2" xfId="30594"/>
    <cellStyle name="CALC Amount Total [1] 2 11 9 2 2" xfId="39086"/>
    <cellStyle name="CALC Amount Total [1] 2 11 9 3" xfId="37619"/>
    <cellStyle name="CALC Amount Total [1] 2 11 9 4" xfId="39087"/>
    <cellStyle name="CALC Amount Total [1] 2 12" xfId="14893"/>
    <cellStyle name="CALC Amount Total [1] 2 12 10" xfId="23256"/>
    <cellStyle name="CALC Amount Total [1] 2 12 10 2" xfId="39088"/>
    <cellStyle name="CALC Amount Total [1] 2 12 11" xfId="39089"/>
    <cellStyle name="CALC Amount Total [1] 2 12 12" xfId="39090"/>
    <cellStyle name="CALC Amount Total [1] 2 12 2" xfId="15974"/>
    <cellStyle name="CALC Amount Total [1] 2 12 2 2" xfId="24291"/>
    <cellStyle name="CALC Amount Total [1] 2 12 2 2 2" xfId="39091"/>
    <cellStyle name="CALC Amount Total [1] 2 12 2 3" xfId="31572"/>
    <cellStyle name="CALC Amount Total [1] 2 12 2 4" xfId="39092"/>
    <cellStyle name="CALC Amount Total [1] 2 12 3" xfId="16940"/>
    <cellStyle name="CALC Amount Total [1] 2 12 3 2" xfId="25263"/>
    <cellStyle name="CALC Amount Total [1] 2 12 3 2 2" xfId="39093"/>
    <cellStyle name="CALC Amount Total [1] 2 12 3 3" xfId="32505"/>
    <cellStyle name="CALC Amount Total [1] 2 12 3 4" xfId="39094"/>
    <cellStyle name="CALC Amount Total [1] 2 12 4" xfId="17967"/>
    <cellStyle name="CALC Amount Total [1] 2 12 4 2" xfId="26289"/>
    <cellStyle name="CALC Amount Total [1] 2 12 4 2 2" xfId="39095"/>
    <cellStyle name="CALC Amount Total [1] 2 12 4 3" xfId="33482"/>
    <cellStyle name="CALC Amount Total [1] 2 12 4 4" xfId="39096"/>
    <cellStyle name="CALC Amount Total [1] 2 12 5" xfId="18951"/>
    <cellStyle name="CALC Amount Total [1] 2 12 5 2" xfId="27271"/>
    <cellStyle name="CALC Amount Total [1] 2 12 5 2 2" xfId="39097"/>
    <cellStyle name="CALC Amount Total [1] 2 12 5 3" xfId="34423"/>
    <cellStyle name="CALC Amount Total [1] 2 12 5 4" xfId="39098"/>
    <cellStyle name="CALC Amount Total [1] 2 12 6" xfId="19919"/>
    <cellStyle name="CALC Amount Total [1] 2 12 6 2" xfId="28241"/>
    <cellStyle name="CALC Amount Total [1] 2 12 6 2 2" xfId="39099"/>
    <cellStyle name="CALC Amount Total [1] 2 12 6 3" xfId="35370"/>
    <cellStyle name="CALC Amount Total [1] 2 12 6 4" xfId="39100"/>
    <cellStyle name="CALC Amount Total [1] 2 12 7" xfId="20877"/>
    <cellStyle name="CALC Amount Total [1] 2 12 7 2" xfId="29196"/>
    <cellStyle name="CALC Amount Total [1] 2 12 7 2 2" xfId="39101"/>
    <cellStyle name="CALC Amount Total [1] 2 12 7 3" xfId="36280"/>
    <cellStyle name="CALC Amount Total [1] 2 12 7 4" xfId="39102"/>
    <cellStyle name="CALC Amount Total [1] 2 12 8" xfId="21384"/>
    <cellStyle name="CALC Amount Total [1] 2 12 8 2" xfId="29687"/>
    <cellStyle name="CALC Amount Total [1] 2 12 8 2 2" xfId="39103"/>
    <cellStyle name="CALC Amount Total [1] 2 12 8 3" xfId="36750"/>
    <cellStyle name="CALC Amount Total [1] 2 12 8 4" xfId="39104"/>
    <cellStyle name="CALC Amount Total [1] 2 12 9" xfId="22312"/>
    <cellStyle name="CALC Amount Total [1] 2 12 9 2" xfId="30610"/>
    <cellStyle name="CALC Amount Total [1] 2 12 9 2 2" xfId="39105"/>
    <cellStyle name="CALC Amount Total [1] 2 12 9 3" xfId="37633"/>
    <cellStyle name="CALC Amount Total [1] 2 12 9 4" xfId="39106"/>
    <cellStyle name="CALC Amount Total [1] 2 13" xfId="14944"/>
    <cellStyle name="CALC Amount Total [1] 2 13 10" xfId="23307"/>
    <cellStyle name="CALC Amount Total [1] 2 13 10 2" xfId="39107"/>
    <cellStyle name="CALC Amount Total [1] 2 13 11" xfId="39108"/>
    <cellStyle name="CALC Amount Total [1] 2 13 12" xfId="39109"/>
    <cellStyle name="CALC Amount Total [1] 2 13 2" xfId="16025"/>
    <cellStyle name="CALC Amount Total [1] 2 13 2 2" xfId="24342"/>
    <cellStyle name="CALC Amount Total [1] 2 13 2 2 2" xfId="39110"/>
    <cellStyle name="CALC Amount Total [1] 2 13 2 3" xfId="31622"/>
    <cellStyle name="CALC Amount Total [1] 2 13 2 4" xfId="39111"/>
    <cellStyle name="CALC Amount Total [1] 2 13 3" xfId="16991"/>
    <cellStyle name="CALC Amount Total [1] 2 13 3 2" xfId="25314"/>
    <cellStyle name="CALC Amount Total [1] 2 13 3 2 2" xfId="39112"/>
    <cellStyle name="CALC Amount Total [1] 2 13 3 3" xfId="32555"/>
    <cellStyle name="CALC Amount Total [1] 2 13 3 4" xfId="39113"/>
    <cellStyle name="CALC Amount Total [1] 2 13 4" xfId="18018"/>
    <cellStyle name="CALC Amount Total [1] 2 13 4 2" xfId="26340"/>
    <cellStyle name="CALC Amount Total [1] 2 13 4 2 2" xfId="39114"/>
    <cellStyle name="CALC Amount Total [1] 2 13 4 3" xfId="33532"/>
    <cellStyle name="CALC Amount Total [1] 2 13 4 4" xfId="39115"/>
    <cellStyle name="CALC Amount Total [1] 2 13 5" xfId="19002"/>
    <cellStyle name="CALC Amount Total [1] 2 13 5 2" xfId="27322"/>
    <cellStyle name="CALC Amount Total [1] 2 13 5 2 2" xfId="39116"/>
    <cellStyle name="CALC Amount Total [1] 2 13 5 3" xfId="34473"/>
    <cellStyle name="CALC Amount Total [1] 2 13 5 4" xfId="39117"/>
    <cellStyle name="CALC Amount Total [1] 2 13 6" xfId="19970"/>
    <cellStyle name="CALC Amount Total [1] 2 13 6 2" xfId="28292"/>
    <cellStyle name="CALC Amount Total [1] 2 13 6 2 2" xfId="39118"/>
    <cellStyle name="CALC Amount Total [1] 2 13 6 3" xfId="35420"/>
    <cellStyle name="CALC Amount Total [1] 2 13 6 4" xfId="39119"/>
    <cellStyle name="CALC Amount Total [1] 2 13 7" xfId="20928"/>
    <cellStyle name="CALC Amount Total [1] 2 13 7 2" xfId="29247"/>
    <cellStyle name="CALC Amount Total [1] 2 13 7 2 2" xfId="39120"/>
    <cellStyle name="CALC Amount Total [1] 2 13 7 3" xfId="36330"/>
    <cellStyle name="CALC Amount Total [1] 2 13 7 4" xfId="39121"/>
    <cellStyle name="CALC Amount Total [1] 2 13 8" xfId="21435"/>
    <cellStyle name="CALC Amount Total [1] 2 13 8 2" xfId="29738"/>
    <cellStyle name="CALC Amount Total [1] 2 13 8 2 2" xfId="39122"/>
    <cellStyle name="CALC Amount Total [1] 2 13 8 3" xfId="36800"/>
    <cellStyle name="CALC Amount Total [1] 2 13 8 4" xfId="39123"/>
    <cellStyle name="CALC Amount Total [1] 2 13 9" xfId="22363"/>
    <cellStyle name="CALC Amount Total [1] 2 13 9 2" xfId="30661"/>
    <cellStyle name="CALC Amount Total [1] 2 13 9 2 2" xfId="39124"/>
    <cellStyle name="CALC Amount Total [1] 2 13 9 3" xfId="37683"/>
    <cellStyle name="CALC Amount Total [1] 2 13 9 4" xfId="39125"/>
    <cellStyle name="CALC Amount Total [1] 2 14" xfId="15009"/>
    <cellStyle name="CALC Amount Total [1] 2 14 10" xfId="23370"/>
    <cellStyle name="CALC Amount Total [1] 2 14 10 2" xfId="39126"/>
    <cellStyle name="CALC Amount Total [1] 2 14 11" xfId="39127"/>
    <cellStyle name="CALC Amount Total [1] 2 14 12" xfId="39128"/>
    <cellStyle name="CALC Amount Total [1] 2 14 2" xfId="16090"/>
    <cellStyle name="CALC Amount Total [1] 2 14 2 2" xfId="24405"/>
    <cellStyle name="CALC Amount Total [1] 2 14 2 2 2" xfId="39129"/>
    <cellStyle name="CALC Amount Total [1] 2 14 2 3" xfId="31684"/>
    <cellStyle name="CALC Amount Total [1] 2 14 2 4" xfId="39130"/>
    <cellStyle name="CALC Amount Total [1] 2 14 3" xfId="17056"/>
    <cellStyle name="CALC Amount Total [1] 2 14 3 2" xfId="25377"/>
    <cellStyle name="CALC Amount Total [1] 2 14 3 2 2" xfId="39131"/>
    <cellStyle name="CALC Amount Total [1] 2 14 3 3" xfId="32617"/>
    <cellStyle name="CALC Amount Total [1] 2 14 3 4" xfId="39132"/>
    <cellStyle name="CALC Amount Total [1] 2 14 4" xfId="18083"/>
    <cellStyle name="CALC Amount Total [1] 2 14 4 2" xfId="26403"/>
    <cellStyle name="CALC Amount Total [1] 2 14 4 2 2" xfId="39133"/>
    <cellStyle name="CALC Amount Total [1] 2 14 4 3" xfId="33594"/>
    <cellStyle name="CALC Amount Total [1] 2 14 4 4" xfId="39134"/>
    <cellStyle name="CALC Amount Total [1] 2 14 5" xfId="19067"/>
    <cellStyle name="CALC Amount Total [1] 2 14 5 2" xfId="27387"/>
    <cellStyle name="CALC Amount Total [1] 2 14 5 2 2" xfId="39135"/>
    <cellStyle name="CALC Amount Total [1] 2 14 5 3" xfId="34537"/>
    <cellStyle name="CALC Amount Total [1] 2 14 5 4" xfId="39136"/>
    <cellStyle name="CALC Amount Total [1] 2 14 6" xfId="20035"/>
    <cellStyle name="CALC Amount Total [1] 2 14 6 2" xfId="28357"/>
    <cellStyle name="CALC Amount Total [1] 2 14 6 2 2" xfId="39137"/>
    <cellStyle name="CALC Amount Total [1] 2 14 6 3" xfId="35484"/>
    <cellStyle name="CALC Amount Total [1] 2 14 6 4" xfId="39138"/>
    <cellStyle name="CALC Amount Total [1] 2 14 7" xfId="20993"/>
    <cellStyle name="CALC Amount Total [1] 2 14 7 2" xfId="29310"/>
    <cellStyle name="CALC Amount Total [1] 2 14 7 2 2" xfId="39139"/>
    <cellStyle name="CALC Amount Total [1] 2 14 7 3" xfId="36392"/>
    <cellStyle name="CALC Amount Total [1] 2 14 7 4" xfId="39140"/>
    <cellStyle name="CALC Amount Total [1] 2 14 8" xfId="21500"/>
    <cellStyle name="CALC Amount Total [1] 2 14 8 2" xfId="29801"/>
    <cellStyle name="CALC Amount Total [1] 2 14 8 2 2" xfId="39141"/>
    <cellStyle name="CALC Amount Total [1] 2 14 8 3" xfId="36862"/>
    <cellStyle name="CALC Amount Total [1] 2 14 8 4" xfId="39142"/>
    <cellStyle name="CALC Amount Total [1] 2 14 9" xfId="22428"/>
    <cellStyle name="CALC Amount Total [1] 2 14 9 2" xfId="30724"/>
    <cellStyle name="CALC Amount Total [1] 2 14 9 2 2" xfId="39143"/>
    <cellStyle name="CALC Amount Total [1] 2 14 9 3" xfId="37745"/>
    <cellStyle name="CALC Amount Total [1] 2 14 9 4" xfId="39144"/>
    <cellStyle name="CALC Amount Total [1] 2 15" xfId="15057"/>
    <cellStyle name="CALC Amount Total [1] 2 15 10" xfId="23417"/>
    <cellStyle name="CALC Amount Total [1] 2 15 10 2" xfId="39145"/>
    <cellStyle name="CALC Amount Total [1] 2 15 11" xfId="39146"/>
    <cellStyle name="CALC Amount Total [1] 2 15 12" xfId="39147"/>
    <cellStyle name="CALC Amount Total [1] 2 15 2" xfId="16137"/>
    <cellStyle name="CALC Amount Total [1] 2 15 2 2" xfId="24452"/>
    <cellStyle name="CALC Amount Total [1] 2 15 2 2 2" xfId="39148"/>
    <cellStyle name="CALC Amount Total [1] 2 15 2 3" xfId="31729"/>
    <cellStyle name="CALC Amount Total [1] 2 15 2 4" xfId="39149"/>
    <cellStyle name="CALC Amount Total [1] 2 15 3" xfId="17104"/>
    <cellStyle name="CALC Amount Total [1] 2 15 3 2" xfId="25425"/>
    <cellStyle name="CALC Amount Total [1] 2 15 3 2 2" xfId="39150"/>
    <cellStyle name="CALC Amount Total [1] 2 15 3 3" xfId="32663"/>
    <cellStyle name="CALC Amount Total [1] 2 15 3 4" xfId="39151"/>
    <cellStyle name="CALC Amount Total [1] 2 15 4" xfId="18131"/>
    <cellStyle name="CALC Amount Total [1] 2 15 4 2" xfId="26451"/>
    <cellStyle name="CALC Amount Total [1] 2 15 4 2 2" xfId="39152"/>
    <cellStyle name="CALC Amount Total [1] 2 15 4 3" xfId="33640"/>
    <cellStyle name="CALC Amount Total [1] 2 15 4 4" xfId="39153"/>
    <cellStyle name="CALC Amount Total [1] 2 15 5" xfId="19115"/>
    <cellStyle name="CALC Amount Total [1] 2 15 5 2" xfId="27435"/>
    <cellStyle name="CALC Amount Total [1] 2 15 5 2 2" xfId="39154"/>
    <cellStyle name="CALC Amount Total [1] 2 15 5 3" xfId="34583"/>
    <cellStyle name="CALC Amount Total [1] 2 15 5 4" xfId="39155"/>
    <cellStyle name="CALC Amount Total [1] 2 15 6" xfId="20083"/>
    <cellStyle name="CALC Amount Total [1] 2 15 6 2" xfId="28405"/>
    <cellStyle name="CALC Amount Total [1] 2 15 6 2 2" xfId="39156"/>
    <cellStyle name="CALC Amount Total [1] 2 15 6 3" xfId="35530"/>
    <cellStyle name="CALC Amount Total [1] 2 15 6 4" xfId="39157"/>
    <cellStyle name="CALC Amount Total [1] 2 15 7" xfId="21040"/>
    <cellStyle name="CALC Amount Total [1] 2 15 7 2" xfId="29357"/>
    <cellStyle name="CALC Amount Total [1] 2 15 7 2 2" xfId="39158"/>
    <cellStyle name="CALC Amount Total [1] 2 15 7 3" xfId="36437"/>
    <cellStyle name="CALC Amount Total [1] 2 15 7 4" xfId="39159"/>
    <cellStyle name="CALC Amount Total [1] 2 15 8" xfId="21547"/>
    <cellStyle name="CALC Amount Total [1] 2 15 8 2" xfId="29848"/>
    <cellStyle name="CALC Amount Total [1] 2 15 8 2 2" xfId="39160"/>
    <cellStyle name="CALC Amount Total [1] 2 15 8 3" xfId="36907"/>
    <cellStyle name="CALC Amount Total [1] 2 15 8 4" xfId="39161"/>
    <cellStyle name="CALC Amount Total [1] 2 15 9" xfId="22475"/>
    <cellStyle name="CALC Amount Total [1] 2 15 9 2" xfId="30771"/>
    <cellStyle name="CALC Amount Total [1] 2 15 9 2 2" xfId="39162"/>
    <cellStyle name="CALC Amount Total [1] 2 15 9 3" xfId="37790"/>
    <cellStyle name="CALC Amount Total [1] 2 15 9 4" xfId="39163"/>
    <cellStyle name="CALC Amount Total [1] 2 16" xfId="15142"/>
    <cellStyle name="CALC Amount Total [1] 2 16 10" xfId="39164"/>
    <cellStyle name="CALC Amount Total [1] 2 16 11" xfId="39165"/>
    <cellStyle name="CALC Amount Total [1] 2 16 2" xfId="16222"/>
    <cellStyle name="CALC Amount Total [1] 2 16 2 2" xfId="24535"/>
    <cellStyle name="CALC Amount Total [1] 2 16 2 2 2" xfId="39166"/>
    <cellStyle name="CALC Amount Total [1] 2 16 2 3" xfId="31810"/>
    <cellStyle name="CALC Amount Total [1] 2 16 2 4" xfId="39167"/>
    <cellStyle name="CALC Amount Total [1] 2 16 3" xfId="17188"/>
    <cellStyle name="CALC Amount Total [1] 2 16 3 2" xfId="25509"/>
    <cellStyle name="CALC Amount Total [1] 2 16 3 2 2" xfId="39168"/>
    <cellStyle name="CALC Amount Total [1] 2 16 3 3" xfId="32743"/>
    <cellStyle name="CALC Amount Total [1] 2 16 3 4" xfId="39169"/>
    <cellStyle name="CALC Amount Total [1] 2 16 4" xfId="18216"/>
    <cellStyle name="CALC Amount Total [1] 2 16 4 2" xfId="26536"/>
    <cellStyle name="CALC Amount Total [1] 2 16 4 2 2" xfId="39170"/>
    <cellStyle name="CALC Amount Total [1] 2 16 4 3" xfId="33721"/>
    <cellStyle name="CALC Amount Total [1] 2 16 4 4" xfId="39171"/>
    <cellStyle name="CALC Amount Total [1] 2 16 5" xfId="19200"/>
    <cellStyle name="CALC Amount Total [1] 2 16 5 2" xfId="27520"/>
    <cellStyle name="CALC Amount Total [1] 2 16 5 2 2" xfId="39172"/>
    <cellStyle name="CALC Amount Total [1] 2 16 5 3" xfId="34668"/>
    <cellStyle name="CALC Amount Total [1] 2 16 5 4" xfId="39173"/>
    <cellStyle name="CALC Amount Total [1] 2 16 6" xfId="20168"/>
    <cellStyle name="CALC Amount Total [1] 2 16 6 2" xfId="28490"/>
    <cellStyle name="CALC Amount Total [1] 2 16 6 2 2" xfId="39174"/>
    <cellStyle name="CALC Amount Total [1] 2 16 6 3" xfId="35613"/>
    <cellStyle name="CALC Amount Total [1] 2 16 6 4" xfId="39175"/>
    <cellStyle name="CALC Amount Total [1] 2 16 7" xfId="21629"/>
    <cellStyle name="CALC Amount Total [1] 2 16 7 2" xfId="29930"/>
    <cellStyle name="CALC Amount Total [1] 2 16 7 2 2" xfId="39176"/>
    <cellStyle name="CALC Amount Total [1] 2 16 7 3" xfId="36987"/>
    <cellStyle name="CALC Amount Total [1] 2 16 7 4" xfId="39177"/>
    <cellStyle name="CALC Amount Total [1] 2 16 8" xfId="22557"/>
    <cellStyle name="CALC Amount Total [1] 2 16 8 2" xfId="30853"/>
    <cellStyle name="CALC Amount Total [1] 2 16 8 2 2" xfId="39178"/>
    <cellStyle name="CALC Amount Total [1] 2 16 8 3" xfId="37870"/>
    <cellStyle name="CALC Amount Total [1] 2 16 8 4" xfId="39179"/>
    <cellStyle name="CALC Amount Total [1] 2 16 9" xfId="23499"/>
    <cellStyle name="CALC Amount Total [1] 2 16 9 2" xfId="39180"/>
    <cellStyle name="CALC Amount Total [1] 2 17" xfId="15162"/>
    <cellStyle name="CALC Amount Total [1] 2 17 10" xfId="39181"/>
    <cellStyle name="CALC Amount Total [1] 2 17 11" xfId="39182"/>
    <cellStyle name="CALC Amount Total [1] 2 17 2" xfId="16242"/>
    <cellStyle name="CALC Amount Total [1] 2 17 2 2" xfId="24555"/>
    <cellStyle name="CALC Amount Total [1] 2 17 2 2 2" xfId="39183"/>
    <cellStyle name="CALC Amount Total [1] 2 17 2 3" xfId="31828"/>
    <cellStyle name="CALC Amount Total [1] 2 17 2 4" xfId="39184"/>
    <cellStyle name="CALC Amount Total [1] 2 17 3" xfId="17208"/>
    <cellStyle name="CALC Amount Total [1] 2 17 3 2" xfId="25529"/>
    <cellStyle name="CALC Amount Total [1] 2 17 3 2 2" xfId="39185"/>
    <cellStyle name="CALC Amount Total [1] 2 17 3 3" xfId="32761"/>
    <cellStyle name="CALC Amount Total [1] 2 17 3 4" xfId="39186"/>
    <cellStyle name="CALC Amount Total [1] 2 17 4" xfId="18236"/>
    <cellStyle name="CALC Amount Total [1] 2 17 4 2" xfId="26556"/>
    <cellStyle name="CALC Amount Total [1] 2 17 4 2 2" xfId="39187"/>
    <cellStyle name="CALC Amount Total [1] 2 17 4 3" xfId="33739"/>
    <cellStyle name="CALC Amount Total [1] 2 17 4 4" xfId="39188"/>
    <cellStyle name="CALC Amount Total [1] 2 17 5" xfId="19220"/>
    <cellStyle name="CALC Amount Total [1] 2 17 5 2" xfId="27540"/>
    <cellStyle name="CALC Amount Total [1] 2 17 5 2 2" xfId="39189"/>
    <cellStyle name="CALC Amount Total [1] 2 17 5 3" xfId="34688"/>
    <cellStyle name="CALC Amount Total [1] 2 17 5 4" xfId="39190"/>
    <cellStyle name="CALC Amount Total [1] 2 17 6" xfId="20188"/>
    <cellStyle name="CALC Amount Total [1] 2 17 6 2" xfId="28510"/>
    <cellStyle name="CALC Amount Total [1] 2 17 6 2 2" xfId="39191"/>
    <cellStyle name="CALC Amount Total [1] 2 17 6 3" xfId="35631"/>
    <cellStyle name="CALC Amount Total [1] 2 17 6 4" xfId="39192"/>
    <cellStyle name="CALC Amount Total [1] 2 17 7" xfId="21649"/>
    <cellStyle name="CALC Amount Total [1] 2 17 7 2" xfId="29950"/>
    <cellStyle name="CALC Amount Total [1] 2 17 7 2 2" xfId="39193"/>
    <cellStyle name="CALC Amount Total [1] 2 17 7 3" xfId="37005"/>
    <cellStyle name="CALC Amount Total [1] 2 17 7 4" xfId="39194"/>
    <cellStyle name="CALC Amount Total [1] 2 17 8" xfId="22577"/>
    <cellStyle name="CALC Amount Total [1] 2 17 8 2" xfId="30873"/>
    <cellStyle name="CALC Amount Total [1] 2 17 8 2 2" xfId="39195"/>
    <cellStyle name="CALC Amount Total [1] 2 17 8 3" xfId="37888"/>
    <cellStyle name="CALC Amount Total [1] 2 17 8 4" xfId="39196"/>
    <cellStyle name="CALC Amount Total [1] 2 17 9" xfId="23519"/>
    <cellStyle name="CALC Amount Total [1] 2 17 9 2" xfId="39197"/>
    <cellStyle name="CALC Amount Total [1] 2 18" xfId="15153"/>
    <cellStyle name="CALC Amount Total [1] 2 18 10" xfId="39198"/>
    <cellStyle name="CALC Amount Total [1] 2 18 11" xfId="39199"/>
    <cellStyle name="CALC Amount Total [1] 2 18 2" xfId="16233"/>
    <cellStyle name="CALC Amount Total [1] 2 18 2 2" xfId="24546"/>
    <cellStyle name="CALC Amount Total [1] 2 18 2 2 2" xfId="39200"/>
    <cellStyle name="CALC Amount Total [1] 2 18 2 3" xfId="31820"/>
    <cellStyle name="CALC Amount Total [1] 2 18 2 4" xfId="39201"/>
    <cellStyle name="CALC Amount Total [1] 2 18 3" xfId="17199"/>
    <cellStyle name="CALC Amount Total [1] 2 18 3 2" xfId="25520"/>
    <cellStyle name="CALC Amount Total [1] 2 18 3 2 2" xfId="39202"/>
    <cellStyle name="CALC Amount Total [1] 2 18 3 3" xfId="32753"/>
    <cellStyle name="CALC Amount Total [1] 2 18 3 4" xfId="39203"/>
    <cellStyle name="CALC Amount Total [1] 2 18 4" xfId="18227"/>
    <cellStyle name="CALC Amount Total [1] 2 18 4 2" xfId="26547"/>
    <cellStyle name="CALC Amount Total [1] 2 18 4 2 2" xfId="39204"/>
    <cellStyle name="CALC Amount Total [1] 2 18 4 3" xfId="33731"/>
    <cellStyle name="CALC Amount Total [1] 2 18 4 4" xfId="39205"/>
    <cellStyle name="CALC Amount Total [1] 2 18 5" xfId="19211"/>
    <cellStyle name="CALC Amount Total [1] 2 18 5 2" xfId="27531"/>
    <cellStyle name="CALC Amount Total [1] 2 18 5 2 2" xfId="39206"/>
    <cellStyle name="CALC Amount Total [1] 2 18 5 3" xfId="34679"/>
    <cellStyle name="CALC Amount Total [1] 2 18 5 4" xfId="39207"/>
    <cellStyle name="CALC Amount Total [1] 2 18 6" xfId="20179"/>
    <cellStyle name="CALC Amount Total [1] 2 18 6 2" xfId="28501"/>
    <cellStyle name="CALC Amount Total [1] 2 18 6 2 2" xfId="39208"/>
    <cellStyle name="CALC Amount Total [1] 2 18 6 3" xfId="35623"/>
    <cellStyle name="CALC Amount Total [1] 2 18 6 4" xfId="39209"/>
    <cellStyle name="CALC Amount Total [1] 2 18 7" xfId="21640"/>
    <cellStyle name="CALC Amount Total [1] 2 18 7 2" xfId="29941"/>
    <cellStyle name="CALC Amount Total [1] 2 18 7 2 2" xfId="39210"/>
    <cellStyle name="CALC Amount Total [1] 2 18 7 3" xfId="36997"/>
    <cellStyle name="CALC Amount Total [1] 2 18 7 4" xfId="39211"/>
    <cellStyle name="CALC Amount Total [1] 2 18 8" xfId="22568"/>
    <cellStyle name="CALC Amount Total [1] 2 18 8 2" xfId="30864"/>
    <cellStyle name="CALC Amount Total [1] 2 18 8 2 2" xfId="39212"/>
    <cellStyle name="CALC Amount Total [1] 2 18 8 3" xfId="37880"/>
    <cellStyle name="CALC Amount Total [1] 2 18 8 4" xfId="39213"/>
    <cellStyle name="CALC Amount Total [1] 2 18 9" xfId="23510"/>
    <cellStyle name="CALC Amount Total [1] 2 18 9 2" xfId="39214"/>
    <cellStyle name="CALC Amount Total [1] 2 19" xfId="15200"/>
    <cellStyle name="CALC Amount Total [1] 2 19 10" xfId="39215"/>
    <cellStyle name="CALC Amount Total [1] 2 19 11" xfId="39216"/>
    <cellStyle name="CALC Amount Total [1] 2 19 2" xfId="16280"/>
    <cellStyle name="CALC Amount Total [1] 2 19 2 2" xfId="24593"/>
    <cellStyle name="CALC Amount Total [1] 2 19 2 2 2" xfId="39217"/>
    <cellStyle name="CALC Amount Total [1] 2 19 2 3" xfId="31863"/>
    <cellStyle name="CALC Amount Total [1] 2 19 2 4" xfId="39218"/>
    <cellStyle name="CALC Amount Total [1] 2 19 3" xfId="17246"/>
    <cellStyle name="CALC Amount Total [1] 2 19 3 2" xfId="25567"/>
    <cellStyle name="CALC Amount Total [1] 2 19 3 2 2" xfId="39219"/>
    <cellStyle name="CALC Amount Total [1] 2 19 3 3" xfId="32796"/>
    <cellStyle name="CALC Amount Total [1] 2 19 3 4" xfId="39220"/>
    <cellStyle name="CALC Amount Total [1] 2 19 4" xfId="18274"/>
    <cellStyle name="CALC Amount Total [1] 2 19 4 2" xfId="26594"/>
    <cellStyle name="CALC Amount Total [1] 2 19 4 2 2" xfId="39221"/>
    <cellStyle name="CALC Amount Total [1] 2 19 4 3" xfId="33774"/>
    <cellStyle name="CALC Amount Total [1] 2 19 4 4" xfId="39222"/>
    <cellStyle name="CALC Amount Total [1] 2 19 5" xfId="19258"/>
    <cellStyle name="CALC Amount Total [1] 2 19 5 2" xfId="27578"/>
    <cellStyle name="CALC Amount Total [1] 2 19 5 2 2" xfId="39223"/>
    <cellStyle name="CALC Amount Total [1] 2 19 5 3" xfId="34726"/>
    <cellStyle name="CALC Amount Total [1] 2 19 5 4" xfId="39224"/>
    <cellStyle name="CALC Amount Total [1] 2 19 6" xfId="20226"/>
    <cellStyle name="CALC Amount Total [1] 2 19 6 2" xfId="28548"/>
    <cellStyle name="CALC Amount Total [1] 2 19 6 2 2" xfId="39225"/>
    <cellStyle name="CALC Amount Total [1] 2 19 6 3" xfId="35666"/>
    <cellStyle name="CALC Amount Total [1] 2 19 6 4" xfId="39226"/>
    <cellStyle name="CALC Amount Total [1] 2 19 7" xfId="21687"/>
    <cellStyle name="CALC Amount Total [1] 2 19 7 2" xfId="29988"/>
    <cellStyle name="CALC Amount Total [1] 2 19 7 2 2" xfId="39227"/>
    <cellStyle name="CALC Amount Total [1] 2 19 7 3" xfId="37040"/>
    <cellStyle name="CALC Amount Total [1] 2 19 7 4" xfId="39228"/>
    <cellStyle name="CALC Amount Total [1] 2 19 8" xfId="22615"/>
    <cellStyle name="CALC Amount Total [1] 2 19 8 2" xfId="30911"/>
    <cellStyle name="CALC Amount Total [1] 2 19 8 2 2" xfId="39229"/>
    <cellStyle name="CALC Amount Total [1] 2 19 8 3" xfId="37923"/>
    <cellStyle name="CALC Amount Total [1] 2 19 8 4" xfId="39230"/>
    <cellStyle name="CALC Amount Total [1] 2 19 9" xfId="23557"/>
    <cellStyle name="CALC Amount Total [1] 2 19 9 2" xfId="39231"/>
    <cellStyle name="CALC Amount Total [1] 2 2" xfId="14508"/>
    <cellStyle name="CALC Amount Total [1] 2 2 2" xfId="15570"/>
    <cellStyle name="CALC Amount Total [1] 2 2 2 2" xfId="39232"/>
    <cellStyle name="CALC Amount Total [1] 2 2 2 2 2" xfId="39233"/>
    <cellStyle name="CALC Amount Total [1] 2 2 3" xfId="23862"/>
    <cellStyle name="CALC Amount Total [1] 2 2 3 2" xfId="39234"/>
    <cellStyle name="CALC Amount Total [1] 2 20" xfId="15265"/>
    <cellStyle name="CALC Amount Total [1] 2 20 10" xfId="39235"/>
    <cellStyle name="CALC Amount Total [1] 2 20 11" xfId="39236"/>
    <cellStyle name="CALC Amount Total [1] 2 20 2" xfId="16345"/>
    <cellStyle name="CALC Amount Total [1] 2 20 2 2" xfId="24658"/>
    <cellStyle name="CALC Amount Total [1] 2 20 2 2 2" xfId="39237"/>
    <cellStyle name="CALC Amount Total [1] 2 20 2 3" xfId="31925"/>
    <cellStyle name="CALC Amount Total [1] 2 20 2 4" xfId="39238"/>
    <cellStyle name="CALC Amount Total [1] 2 20 3" xfId="17311"/>
    <cellStyle name="CALC Amount Total [1] 2 20 3 2" xfId="25632"/>
    <cellStyle name="CALC Amount Total [1] 2 20 3 2 2" xfId="39239"/>
    <cellStyle name="CALC Amount Total [1] 2 20 3 3" xfId="32858"/>
    <cellStyle name="CALC Amount Total [1] 2 20 3 4" xfId="39240"/>
    <cellStyle name="CALC Amount Total [1] 2 20 4" xfId="18339"/>
    <cellStyle name="CALC Amount Total [1] 2 20 4 2" xfId="26659"/>
    <cellStyle name="CALC Amount Total [1] 2 20 4 2 2" xfId="39241"/>
    <cellStyle name="CALC Amount Total [1] 2 20 4 3" xfId="33836"/>
    <cellStyle name="CALC Amount Total [1] 2 20 4 4" xfId="39242"/>
    <cellStyle name="CALC Amount Total [1] 2 20 5" xfId="19323"/>
    <cellStyle name="CALC Amount Total [1] 2 20 5 2" xfId="27643"/>
    <cellStyle name="CALC Amount Total [1] 2 20 5 2 2" xfId="39243"/>
    <cellStyle name="CALC Amount Total [1] 2 20 5 3" xfId="34791"/>
    <cellStyle name="CALC Amount Total [1] 2 20 5 4" xfId="39244"/>
    <cellStyle name="CALC Amount Total [1] 2 20 6" xfId="20291"/>
    <cellStyle name="CALC Amount Total [1] 2 20 6 2" xfId="28613"/>
    <cellStyle name="CALC Amount Total [1] 2 20 6 2 2" xfId="39245"/>
    <cellStyle name="CALC Amount Total [1] 2 20 6 3" xfId="35728"/>
    <cellStyle name="CALC Amount Total [1] 2 20 6 4" xfId="39246"/>
    <cellStyle name="CALC Amount Total [1] 2 20 7" xfId="21752"/>
    <cellStyle name="CALC Amount Total [1] 2 20 7 2" xfId="30053"/>
    <cellStyle name="CALC Amount Total [1] 2 20 7 2 2" xfId="39247"/>
    <cellStyle name="CALC Amount Total [1] 2 20 7 3" xfId="37102"/>
    <cellStyle name="CALC Amount Total [1] 2 20 7 4" xfId="39248"/>
    <cellStyle name="CALC Amount Total [1] 2 20 8" xfId="22680"/>
    <cellStyle name="CALC Amount Total [1] 2 20 8 2" xfId="30976"/>
    <cellStyle name="CALC Amount Total [1] 2 20 8 2 2" xfId="39249"/>
    <cellStyle name="CALC Amount Total [1] 2 20 8 3" xfId="37985"/>
    <cellStyle name="CALC Amount Total [1] 2 20 8 4" xfId="39250"/>
    <cellStyle name="CALC Amount Total [1] 2 20 9" xfId="23622"/>
    <cellStyle name="CALC Amount Total [1] 2 20 9 2" xfId="39251"/>
    <cellStyle name="CALC Amount Total [1] 2 21" xfId="15281"/>
    <cellStyle name="CALC Amount Total [1] 2 21 10" xfId="39252"/>
    <cellStyle name="CALC Amount Total [1] 2 21 11" xfId="39253"/>
    <cellStyle name="CALC Amount Total [1] 2 21 2" xfId="16361"/>
    <cellStyle name="CALC Amount Total [1] 2 21 2 2" xfId="24674"/>
    <cellStyle name="CALC Amount Total [1] 2 21 2 2 2" xfId="39254"/>
    <cellStyle name="CALC Amount Total [1] 2 21 2 3" xfId="31941"/>
    <cellStyle name="CALC Amount Total [1] 2 21 2 4" xfId="39255"/>
    <cellStyle name="CALC Amount Total [1] 2 21 3" xfId="17327"/>
    <cellStyle name="CALC Amount Total [1] 2 21 3 2" xfId="25648"/>
    <cellStyle name="CALC Amount Total [1] 2 21 3 2 2" xfId="39256"/>
    <cellStyle name="CALC Amount Total [1] 2 21 3 3" xfId="32874"/>
    <cellStyle name="CALC Amount Total [1] 2 21 3 4" xfId="39257"/>
    <cellStyle name="CALC Amount Total [1] 2 21 4" xfId="18355"/>
    <cellStyle name="CALC Amount Total [1] 2 21 4 2" xfId="26675"/>
    <cellStyle name="CALC Amount Total [1] 2 21 4 2 2" xfId="39258"/>
    <cellStyle name="CALC Amount Total [1] 2 21 4 3" xfId="33852"/>
    <cellStyle name="CALC Amount Total [1] 2 21 4 4" xfId="39259"/>
    <cellStyle name="CALC Amount Total [1] 2 21 5" xfId="19339"/>
    <cellStyle name="CALC Amount Total [1] 2 21 5 2" xfId="27659"/>
    <cellStyle name="CALC Amount Total [1] 2 21 5 2 2" xfId="39260"/>
    <cellStyle name="CALC Amount Total [1] 2 21 5 3" xfId="34807"/>
    <cellStyle name="CALC Amount Total [1] 2 21 5 4" xfId="39261"/>
    <cellStyle name="CALC Amount Total [1] 2 21 6" xfId="20307"/>
    <cellStyle name="CALC Amount Total [1] 2 21 6 2" xfId="28629"/>
    <cellStyle name="CALC Amount Total [1] 2 21 6 2 2" xfId="39262"/>
    <cellStyle name="CALC Amount Total [1] 2 21 6 3" xfId="35744"/>
    <cellStyle name="CALC Amount Total [1] 2 21 6 4" xfId="39263"/>
    <cellStyle name="CALC Amount Total [1] 2 21 7" xfId="21768"/>
    <cellStyle name="CALC Amount Total [1] 2 21 7 2" xfId="30069"/>
    <cellStyle name="CALC Amount Total [1] 2 21 7 2 2" xfId="39264"/>
    <cellStyle name="CALC Amount Total [1] 2 21 7 3" xfId="37118"/>
    <cellStyle name="CALC Amount Total [1] 2 21 7 4" xfId="39265"/>
    <cellStyle name="CALC Amount Total [1] 2 21 8" xfId="22696"/>
    <cellStyle name="CALC Amount Total [1] 2 21 8 2" xfId="30992"/>
    <cellStyle name="CALC Amount Total [1] 2 21 8 2 2" xfId="39266"/>
    <cellStyle name="CALC Amount Total [1] 2 21 8 3" xfId="38001"/>
    <cellStyle name="CALC Amount Total [1] 2 21 8 4" xfId="39267"/>
    <cellStyle name="CALC Amount Total [1] 2 21 9" xfId="23638"/>
    <cellStyle name="CALC Amount Total [1] 2 21 9 2" xfId="39268"/>
    <cellStyle name="CALC Amount Total [1] 2 22" xfId="15279"/>
    <cellStyle name="CALC Amount Total [1] 2 22 10" xfId="39269"/>
    <cellStyle name="CALC Amount Total [1] 2 22 11" xfId="39270"/>
    <cellStyle name="CALC Amount Total [1] 2 22 2" xfId="16359"/>
    <cellStyle name="CALC Amount Total [1] 2 22 2 2" xfId="24672"/>
    <cellStyle name="CALC Amount Total [1] 2 22 2 2 2" xfId="39271"/>
    <cellStyle name="CALC Amount Total [1] 2 22 2 3" xfId="31939"/>
    <cellStyle name="CALC Amount Total [1] 2 22 2 4" xfId="39272"/>
    <cellStyle name="CALC Amount Total [1] 2 22 3" xfId="17325"/>
    <cellStyle name="CALC Amount Total [1] 2 22 3 2" xfId="25646"/>
    <cellStyle name="CALC Amount Total [1] 2 22 3 2 2" xfId="39273"/>
    <cellStyle name="CALC Amount Total [1] 2 22 3 3" xfId="32872"/>
    <cellStyle name="CALC Amount Total [1] 2 22 3 4" xfId="39274"/>
    <cellStyle name="CALC Amount Total [1] 2 22 4" xfId="18353"/>
    <cellStyle name="CALC Amount Total [1] 2 22 4 2" xfId="26673"/>
    <cellStyle name="CALC Amount Total [1] 2 22 4 2 2" xfId="39275"/>
    <cellStyle name="CALC Amount Total [1] 2 22 4 3" xfId="33850"/>
    <cellStyle name="CALC Amount Total [1] 2 22 4 4" xfId="39276"/>
    <cellStyle name="CALC Amount Total [1] 2 22 5" xfId="19337"/>
    <cellStyle name="CALC Amount Total [1] 2 22 5 2" xfId="27657"/>
    <cellStyle name="CALC Amount Total [1] 2 22 5 2 2" xfId="39277"/>
    <cellStyle name="CALC Amount Total [1] 2 22 5 3" xfId="34805"/>
    <cellStyle name="CALC Amount Total [1] 2 22 5 4" xfId="39278"/>
    <cellStyle name="CALC Amount Total [1] 2 22 6" xfId="20305"/>
    <cellStyle name="CALC Amount Total [1] 2 22 6 2" xfId="28627"/>
    <cellStyle name="CALC Amount Total [1] 2 22 6 2 2" xfId="39279"/>
    <cellStyle name="CALC Amount Total [1] 2 22 6 3" xfId="35742"/>
    <cellStyle name="CALC Amount Total [1] 2 22 6 4" xfId="39280"/>
    <cellStyle name="CALC Amount Total [1] 2 22 7" xfId="21766"/>
    <cellStyle name="CALC Amount Total [1] 2 22 7 2" xfId="30067"/>
    <cellStyle name="CALC Amount Total [1] 2 22 7 2 2" xfId="39281"/>
    <cellStyle name="CALC Amount Total [1] 2 22 7 3" xfId="37116"/>
    <cellStyle name="CALC Amount Total [1] 2 22 7 4" xfId="39282"/>
    <cellStyle name="CALC Amount Total [1] 2 22 8" xfId="22694"/>
    <cellStyle name="CALC Amount Total [1] 2 22 8 2" xfId="30990"/>
    <cellStyle name="CALC Amount Total [1] 2 22 8 2 2" xfId="39283"/>
    <cellStyle name="CALC Amount Total [1] 2 22 8 3" xfId="37999"/>
    <cellStyle name="CALC Amount Total [1] 2 22 8 4" xfId="39284"/>
    <cellStyle name="CALC Amount Total [1] 2 22 9" xfId="23636"/>
    <cellStyle name="CALC Amount Total [1] 2 22 9 2" xfId="39285"/>
    <cellStyle name="CALC Amount Total [1] 2 23" xfId="15329"/>
    <cellStyle name="CALC Amount Total [1] 2 23 10" xfId="39286"/>
    <cellStyle name="CALC Amount Total [1] 2 23 11" xfId="39287"/>
    <cellStyle name="CALC Amount Total [1] 2 23 2" xfId="16409"/>
    <cellStyle name="CALC Amount Total [1] 2 23 2 2" xfId="24722"/>
    <cellStyle name="CALC Amount Total [1] 2 23 2 2 2" xfId="39288"/>
    <cellStyle name="CALC Amount Total [1] 2 23 2 3" xfId="31987"/>
    <cellStyle name="CALC Amount Total [1] 2 23 2 4" xfId="39289"/>
    <cellStyle name="CALC Amount Total [1] 2 23 3" xfId="17375"/>
    <cellStyle name="CALC Amount Total [1] 2 23 3 2" xfId="25696"/>
    <cellStyle name="CALC Amount Total [1] 2 23 3 2 2" xfId="39290"/>
    <cellStyle name="CALC Amount Total [1] 2 23 3 3" xfId="32920"/>
    <cellStyle name="CALC Amount Total [1] 2 23 3 4" xfId="39291"/>
    <cellStyle name="CALC Amount Total [1] 2 23 4" xfId="18403"/>
    <cellStyle name="CALC Amount Total [1] 2 23 4 2" xfId="26723"/>
    <cellStyle name="CALC Amount Total [1] 2 23 4 2 2" xfId="39292"/>
    <cellStyle name="CALC Amount Total [1] 2 23 4 3" xfId="33898"/>
    <cellStyle name="CALC Amount Total [1] 2 23 4 4" xfId="39293"/>
    <cellStyle name="CALC Amount Total [1] 2 23 5" xfId="19386"/>
    <cellStyle name="CALC Amount Total [1] 2 23 5 2" xfId="27707"/>
    <cellStyle name="CALC Amount Total [1] 2 23 5 2 2" xfId="39294"/>
    <cellStyle name="CALC Amount Total [1] 2 23 5 3" xfId="34855"/>
    <cellStyle name="CALC Amount Total [1] 2 23 5 4" xfId="39295"/>
    <cellStyle name="CALC Amount Total [1] 2 23 6" xfId="20355"/>
    <cellStyle name="CALC Amount Total [1] 2 23 6 2" xfId="28677"/>
    <cellStyle name="CALC Amount Total [1] 2 23 6 2 2" xfId="39296"/>
    <cellStyle name="CALC Amount Total [1] 2 23 6 3" xfId="35790"/>
    <cellStyle name="CALC Amount Total [1] 2 23 6 4" xfId="39297"/>
    <cellStyle name="CALC Amount Total [1] 2 23 7" xfId="21816"/>
    <cellStyle name="CALC Amount Total [1] 2 23 7 2" xfId="30117"/>
    <cellStyle name="CALC Amount Total [1] 2 23 7 2 2" xfId="39298"/>
    <cellStyle name="CALC Amount Total [1] 2 23 7 3" xfId="37164"/>
    <cellStyle name="CALC Amount Total [1] 2 23 7 4" xfId="39299"/>
    <cellStyle name="CALC Amount Total [1] 2 23 8" xfId="22744"/>
    <cellStyle name="CALC Amount Total [1] 2 23 8 2" xfId="31040"/>
    <cellStyle name="CALC Amount Total [1] 2 23 8 2 2" xfId="39300"/>
    <cellStyle name="CALC Amount Total [1] 2 23 8 3" xfId="38047"/>
    <cellStyle name="CALC Amount Total [1] 2 23 8 4" xfId="39301"/>
    <cellStyle name="CALC Amount Total [1] 2 23 9" xfId="23686"/>
    <cellStyle name="CALC Amount Total [1] 2 23 9 2" xfId="39302"/>
    <cellStyle name="CALC Amount Total [1] 2 24" xfId="15388"/>
    <cellStyle name="CALC Amount Total [1] 2 24 10" xfId="39303"/>
    <cellStyle name="CALC Amount Total [1] 2 24 11" xfId="39304"/>
    <cellStyle name="CALC Amount Total [1] 2 24 2" xfId="16468"/>
    <cellStyle name="CALC Amount Total [1] 2 24 2 2" xfId="24781"/>
    <cellStyle name="CALC Amount Total [1] 2 24 2 2 2" xfId="39305"/>
    <cellStyle name="CALC Amount Total [1] 2 24 2 3" xfId="32045"/>
    <cellStyle name="CALC Amount Total [1] 2 24 2 4" xfId="39306"/>
    <cellStyle name="CALC Amount Total [1] 2 24 3" xfId="17434"/>
    <cellStyle name="CALC Amount Total [1] 2 24 3 2" xfId="25755"/>
    <cellStyle name="CALC Amount Total [1] 2 24 3 2 2" xfId="39307"/>
    <cellStyle name="CALC Amount Total [1] 2 24 3 3" xfId="32978"/>
    <cellStyle name="CALC Amount Total [1] 2 24 3 4" xfId="39308"/>
    <cellStyle name="CALC Amount Total [1] 2 24 4" xfId="18462"/>
    <cellStyle name="CALC Amount Total [1] 2 24 4 2" xfId="26782"/>
    <cellStyle name="CALC Amount Total [1] 2 24 4 2 2" xfId="39309"/>
    <cellStyle name="CALC Amount Total [1] 2 24 4 3" xfId="33956"/>
    <cellStyle name="CALC Amount Total [1] 2 24 4 4" xfId="39310"/>
    <cellStyle name="CALC Amount Total [1] 2 24 5" xfId="19445"/>
    <cellStyle name="CALC Amount Total [1] 2 24 5 2" xfId="27766"/>
    <cellStyle name="CALC Amount Total [1] 2 24 5 2 2" xfId="39311"/>
    <cellStyle name="CALC Amount Total [1] 2 24 5 3" xfId="34914"/>
    <cellStyle name="CALC Amount Total [1] 2 24 5 4" xfId="39312"/>
    <cellStyle name="CALC Amount Total [1] 2 24 6" xfId="20414"/>
    <cellStyle name="CALC Amount Total [1] 2 24 6 2" xfId="28736"/>
    <cellStyle name="CALC Amount Total [1] 2 24 6 2 2" xfId="39313"/>
    <cellStyle name="CALC Amount Total [1] 2 24 6 3" xfId="35848"/>
    <cellStyle name="CALC Amount Total [1] 2 24 6 4" xfId="39314"/>
    <cellStyle name="CALC Amount Total [1] 2 24 7" xfId="21875"/>
    <cellStyle name="CALC Amount Total [1] 2 24 7 2" xfId="30176"/>
    <cellStyle name="CALC Amount Total [1] 2 24 7 2 2" xfId="39315"/>
    <cellStyle name="CALC Amount Total [1] 2 24 7 3" xfId="37221"/>
    <cellStyle name="CALC Amount Total [1] 2 24 7 4" xfId="39316"/>
    <cellStyle name="CALC Amount Total [1] 2 24 8" xfId="22803"/>
    <cellStyle name="CALC Amount Total [1] 2 24 8 2" xfId="31099"/>
    <cellStyle name="CALC Amount Total [1] 2 24 8 2 2" xfId="39317"/>
    <cellStyle name="CALC Amount Total [1] 2 24 8 3" xfId="38105"/>
    <cellStyle name="CALC Amount Total [1] 2 24 8 4" xfId="39318"/>
    <cellStyle name="CALC Amount Total [1] 2 24 9" xfId="23745"/>
    <cellStyle name="CALC Amount Total [1] 2 24 9 2" xfId="39319"/>
    <cellStyle name="CALC Amount Total [1] 2 25" xfId="15404"/>
    <cellStyle name="CALC Amount Total [1] 2 25 10" xfId="39320"/>
    <cellStyle name="CALC Amount Total [1] 2 25 11" xfId="39321"/>
    <cellStyle name="CALC Amount Total [1] 2 25 2" xfId="16484"/>
    <cellStyle name="CALC Amount Total [1] 2 25 2 2" xfId="24797"/>
    <cellStyle name="CALC Amount Total [1] 2 25 2 2 2" xfId="39322"/>
    <cellStyle name="CALC Amount Total [1] 2 25 2 3" xfId="32059"/>
    <cellStyle name="CALC Amount Total [1] 2 25 2 4" xfId="39323"/>
    <cellStyle name="CALC Amount Total [1] 2 25 3" xfId="17450"/>
    <cellStyle name="CALC Amount Total [1] 2 25 3 2" xfId="25771"/>
    <cellStyle name="CALC Amount Total [1] 2 25 3 2 2" xfId="39324"/>
    <cellStyle name="CALC Amount Total [1] 2 25 3 3" xfId="32992"/>
    <cellStyle name="CALC Amount Total [1] 2 25 3 4" xfId="39325"/>
    <cellStyle name="CALC Amount Total [1] 2 25 4" xfId="18478"/>
    <cellStyle name="CALC Amount Total [1] 2 25 4 2" xfId="26798"/>
    <cellStyle name="CALC Amount Total [1] 2 25 4 2 2" xfId="39326"/>
    <cellStyle name="CALC Amount Total [1] 2 25 4 3" xfId="33970"/>
    <cellStyle name="CALC Amount Total [1] 2 25 4 4" xfId="39327"/>
    <cellStyle name="CALC Amount Total [1] 2 25 5" xfId="19461"/>
    <cellStyle name="CALC Amount Total [1] 2 25 5 2" xfId="27782"/>
    <cellStyle name="CALC Amount Total [1] 2 25 5 2 2" xfId="39328"/>
    <cellStyle name="CALC Amount Total [1] 2 25 5 3" xfId="34930"/>
    <cellStyle name="CALC Amount Total [1] 2 25 5 4" xfId="39329"/>
    <cellStyle name="CALC Amount Total [1] 2 25 6" xfId="20430"/>
    <cellStyle name="CALC Amount Total [1] 2 25 6 2" xfId="28752"/>
    <cellStyle name="CALC Amount Total [1] 2 25 6 2 2" xfId="39330"/>
    <cellStyle name="CALC Amount Total [1] 2 25 6 3" xfId="35862"/>
    <cellStyle name="CALC Amount Total [1] 2 25 6 4" xfId="39331"/>
    <cellStyle name="CALC Amount Total [1] 2 25 7" xfId="21891"/>
    <cellStyle name="CALC Amount Total [1] 2 25 7 2" xfId="30192"/>
    <cellStyle name="CALC Amount Total [1] 2 25 7 2 2" xfId="39332"/>
    <cellStyle name="CALC Amount Total [1] 2 25 7 3" xfId="37235"/>
    <cellStyle name="CALC Amount Total [1] 2 25 7 4" xfId="39333"/>
    <cellStyle name="CALC Amount Total [1] 2 25 8" xfId="22819"/>
    <cellStyle name="CALC Amount Total [1] 2 25 8 2" xfId="31115"/>
    <cellStyle name="CALC Amount Total [1] 2 25 8 2 2" xfId="39334"/>
    <cellStyle name="CALC Amount Total [1] 2 25 8 3" xfId="38119"/>
    <cellStyle name="CALC Amount Total [1] 2 25 8 4" xfId="39335"/>
    <cellStyle name="CALC Amount Total [1] 2 25 9" xfId="23761"/>
    <cellStyle name="CALC Amount Total [1] 2 25 9 2" xfId="39336"/>
    <cellStyle name="CALC Amount Total [1] 2 26" xfId="15420"/>
    <cellStyle name="CALC Amount Total [1] 2 26 10" xfId="39337"/>
    <cellStyle name="CALC Amount Total [1] 2 26 11" xfId="39338"/>
    <cellStyle name="CALC Amount Total [1] 2 26 2" xfId="16500"/>
    <cellStyle name="CALC Amount Total [1] 2 26 2 2" xfId="24813"/>
    <cellStyle name="CALC Amount Total [1] 2 26 2 2 2" xfId="39339"/>
    <cellStyle name="CALC Amount Total [1] 2 26 2 3" xfId="32074"/>
    <cellStyle name="CALC Amount Total [1] 2 26 2 4" xfId="39340"/>
    <cellStyle name="CALC Amount Total [1] 2 26 3" xfId="17466"/>
    <cellStyle name="CALC Amount Total [1] 2 26 3 2" xfId="25787"/>
    <cellStyle name="CALC Amount Total [1] 2 26 3 2 2" xfId="39341"/>
    <cellStyle name="CALC Amount Total [1] 2 26 3 3" xfId="33007"/>
    <cellStyle name="CALC Amount Total [1] 2 26 3 4" xfId="39342"/>
    <cellStyle name="CALC Amount Total [1] 2 26 4" xfId="18494"/>
    <cellStyle name="CALC Amount Total [1] 2 26 4 2" xfId="26814"/>
    <cellStyle name="CALC Amount Total [1] 2 26 4 2 2" xfId="39343"/>
    <cellStyle name="CALC Amount Total [1] 2 26 4 3" xfId="33985"/>
    <cellStyle name="CALC Amount Total [1] 2 26 4 4" xfId="39344"/>
    <cellStyle name="CALC Amount Total [1] 2 26 5" xfId="19477"/>
    <cellStyle name="CALC Amount Total [1] 2 26 5 2" xfId="27798"/>
    <cellStyle name="CALC Amount Total [1] 2 26 5 2 2" xfId="39345"/>
    <cellStyle name="CALC Amount Total [1] 2 26 5 3" xfId="34946"/>
    <cellStyle name="CALC Amount Total [1] 2 26 5 4" xfId="39346"/>
    <cellStyle name="CALC Amount Total [1] 2 26 6" xfId="20446"/>
    <cellStyle name="CALC Amount Total [1] 2 26 6 2" xfId="28768"/>
    <cellStyle name="CALC Amount Total [1] 2 26 6 2 2" xfId="39347"/>
    <cellStyle name="CALC Amount Total [1] 2 26 6 3" xfId="35877"/>
    <cellStyle name="CALC Amount Total [1] 2 26 6 4" xfId="39348"/>
    <cellStyle name="CALC Amount Total [1] 2 26 7" xfId="21907"/>
    <cellStyle name="CALC Amount Total [1] 2 26 7 2" xfId="30208"/>
    <cellStyle name="CALC Amount Total [1] 2 26 7 2 2" xfId="39349"/>
    <cellStyle name="CALC Amount Total [1] 2 26 7 3" xfId="37250"/>
    <cellStyle name="CALC Amount Total [1] 2 26 7 4" xfId="39350"/>
    <cellStyle name="CALC Amount Total [1] 2 26 8" xfId="22835"/>
    <cellStyle name="CALC Amount Total [1] 2 26 8 2" xfId="31131"/>
    <cellStyle name="CALC Amount Total [1] 2 26 8 2 2" xfId="39351"/>
    <cellStyle name="CALC Amount Total [1] 2 26 8 3" xfId="38134"/>
    <cellStyle name="CALC Amount Total [1] 2 26 8 4" xfId="39352"/>
    <cellStyle name="CALC Amount Total [1] 2 26 9" xfId="23777"/>
    <cellStyle name="CALC Amount Total [1] 2 26 9 2" xfId="39353"/>
    <cellStyle name="CALC Amount Total [1] 2 27" xfId="15434"/>
    <cellStyle name="CALC Amount Total [1] 2 27 10" xfId="39354"/>
    <cellStyle name="CALC Amount Total [1] 2 27 11" xfId="39355"/>
    <cellStyle name="CALC Amount Total [1] 2 27 2" xfId="16514"/>
    <cellStyle name="CALC Amount Total [1] 2 27 2 2" xfId="24827"/>
    <cellStyle name="CALC Amount Total [1] 2 27 2 2 2" xfId="39356"/>
    <cellStyle name="CALC Amount Total [1] 2 27 2 3" xfId="32088"/>
    <cellStyle name="CALC Amount Total [1] 2 27 2 4" xfId="39357"/>
    <cellStyle name="CALC Amount Total [1] 2 27 3" xfId="17480"/>
    <cellStyle name="CALC Amount Total [1] 2 27 3 2" xfId="25801"/>
    <cellStyle name="CALC Amount Total [1] 2 27 3 2 2" xfId="39358"/>
    <cellStyle name="CALC Amount Total [1] 2 27 3 3" xfId="33021"/>
    <cellStyle name="CALC Amount Total [1] 2 27 3 4" xfId="39359"/>
    <cellStyle name="CALC Amount Total [1] 2 27 4" xfId="18508"/>
    <cellStyle name="CALC Amount Total [1] 2 27 4 2" xfId="26828"/>
    <cellStyle name="CALC Amount Total [1] 2 27 4 2 2" xfId="39360"/>
    <cellStyle name="CALC Amount Total [1] 2 27 4 3" xfId="33999"/>
    <cellStyle name="CALC Amount Total [1] 2 27 4 4" xfId="39361"/>
    <cellStyle name="CALC Amount Total [1] 2 27 5" xfId="19491"/>
    <cellStyle name="CALC Amount Total [1] 2 27 5 2" xfId="27812"/>
    <cellStyle name="CALC Amount Total [1] 2 27 5 2 2" xfId="39362"/>
    <cellStyle name="CALC Amount Total [1] 2 27 5 3" xfId="34960"/>
    <cellStyle name="CALC Amount Total [1] 2 27 5 4" xfId="39363"/>
    <cellStyle name="CALC Amount Total [1] 2 27 6" xfId="20460"/>
    <cellStyle name="CALC Amount Total [1] 2 27 6 2" xfId="28782"/>
    <cellStyle name="CALC Amount Total [1] 2 27 6 2 2" xfId="39364"/>
    <cellStyle name="CALC Amount Total [1] 2 27 6 3" xfId="35891"/>
    <cellStyle name="CALC Amount Total [1] 2 27 6 4" xfId="39365"/>
    <cellStyle name="CALC Amount Total [1] 2 27 7" xfId="21921"/>
    <cellStyle name="CALC Amount Total [1] 2 27 7 2" xfId="30222"/>
    <cellStyle name="CALC Amount Total [1] 2 27 7 2 2" xfId="39366"/>
    <cellStyle name="CALC Amount Total [1] 2 27 7 3" xfId="37264"/>
    <cellStyle name="CALC Amount Total [1] 2 27 7 4" xfId="39367"/>
    <cellStyle name="CALC Amount Total [1] 2 27 8" xfId="22849"/>
    <cellStyle name="CALC Amount Total [1] 2 27 8 2" xfId="31145"/>
    <cellStyle name="CALC Amount Total [1] 2 27 8 2 2" xfId="39368"/>
    <cellStyle name="CALC Amount Total [1] 2 27 8 3" xfId="38148"/>
    <cellStyle name="CALC Amount Total [1] 2 27 8 4" xfId="39369"/>
    <cellStyle name="CALC Amount Total [1] 2 27 9" xfId="23791"/>
    <cellStyle name="CALC Amount Total [1] 2 27 9 2" xfId="39370"/>
    <cellStyle name="CALC Amount Total [1] 2 28" xfId="15448"/>
    <cellStyle name="CALC Amount Total [1] 2 28 10" xfId="39371"/>
    <cellStyle name="CALC Amount Total [1] 2 28 11" xfId="39372"/>
    <cellStyle name="CALC Amount Total [1] 2 28 2" xfId="16528"/>
    <cellStyle name="CALC Amount Total [1] 2 28 2 2" xfId="24841"/>
    <cellStyle name="CALC Amount Total [1] 2 28 2 2 2" xfId="39373"/>
    <cellStyle name="CALC Amount Total [1] 2 28 2 3" xfId="32102"/>
    <cellStyle name="CALC Amount Total [1] 2 28 2 4" xfId="39374"/>
    <cellStyle name="CALC Amount Total [1] 2 28 3" xfId="17494"/>
    <cellStyle name="CALC Amount Total [1] 2 28 3 2" xfId="25815"/>
    <cellStyle name="CALC Amount Total [1] 2 28 3 2 2" xfId="39375"/>
    <cellStyle name="CALC Amount Total [1] 2 28 3 3" xfId="33035"/>
    <cellStyle name="CALC Amount Total [1] 2 28 3 4" xfId="39376"/>
    <cellStyle name="CALC Amount Total [1] 2 28 4" xfId="18522"/>
    <cellStyle name="CALC Amount Total [1] 2 28 4 2" xfId="26842"/>
    <cellStyle name="CALC Amount Total [1] 2 28 4 2 2" xfId="39377"/>
    <cellStyle name="CALC Amount Total [1] 2 28 4 3" xfId="34013"/>
    <cellStyle name="CALC Amount Total [1] 2 28 4 4" xfId="39378"/>
    <cellStyle name="CALC Amount Total [1] 2 28 5" xfId="19505"/>
    <cellStyle name="CALC Amount Total [1] 2 28 5 2" xfId="27826"/>
    <cellStyle name="CALC Amount Total [1] 2 28 5 2 2" xfId="39379"/>
    <cellStyle name="CALC Amount Total [1] 2 28 5 3" xfId="34974"/>
    <cellStyle name="CALC Amount Total [1] 2 28 5 4" xfId="39380"/>
    <cellStyle name="CALC Amount Total [1] 2 28 6" xfId="20474"/>
    <cellStyle name="CALC Amount Total [1] 2 28 6 2" xfId="28796"/>
    <cellStyle name="CALC Amount Total [1] 2 28 6 2 2" xfId="39381"/>
    <cellStyle name="CALC Amount Total [1] 2 28 6 3" xfId="35905"/>
    <cellStyle name="CALC Amount Total [1] 2 28 6 4" xfId="39382"/>
    <cellStyle name="CALC Amount Total [1] 2 28 7" xfId="21935"/>
    <cellStyle name="CALC Amount Total [1] 2 28 7 2" xfId="30236"/>
    <cellStyle name="CALC Amount Total [1] 2 28 7 2 2" xfId="39383"/>
    <cellStyle name="CALC Amount Total [1] 2 28 7 3" xfId="37278"/>
    <cellStyle name="CALC Amount Total [1] 2 28 7 4" xfId="39384"/>
    <cellStyle name="CALC Amount Total [1] 2 28 8" xfId="22863"/>
    <cellStyle name="CALC Amount Total [1] 2 28 8 2" xfId="31159"/>
    <cellStyle name="CALC Amount Total [1] 2 28 8 2 2" xfId="39385"/>
    <cellStyle name="CALC Amount Total [1] 2 28 8 3" xfId="38162"/>
    <cellStyle name="CALC Amount Total [1] 2 28 8 4" xfId="39386"/>
    <cellStyle name="CALC Amount Total [1] 2 28 9" xfId="23805"/>
    <cellStyle name="CALC Amount Total [1] 2 28 9 2" xfId="39387"/>
    <cellStyle name="CALC Amount Total [1] 2 29" xfId="15480"/>
    <cellStyle name="CALC Amount Total [1] 2 29 2" xfId="17526"/>
    <cellStyle name="CALC Amount Total [1] 2 29 2 2" xfId="25846"/>
    <cellStyle name="CALC Amount Total [1] 2 29 2 2 2" xfId="39388"/>
    <cellStyle name="CALC Amount Total [1] 2 29 2 3" xfId="33064"/>
    <cellStyle name="CALC Amount Total [1] 2 29 2 4" xfId="39389"/>
    <cellStyle name="CALC Amount Total [1] 2 29 3" xfId="19537"/>
    <cellStyle name="CALC Amount Total [1] 2 29 3 2" xfId="27858"/>
    <cellStyle name="CALC Amount Total [1] 2 29 3 2 2" xfId="39390"/>
    <cellStyle name="CALC Amount Total [1] 2 29 3 3" xfId="35006"/>
    <cellStyle name="CALC Amount Total [1] 2 29 3 4" xfId="39391"/>
    <cellStyle name="CALC Amount Total [1] 2 29 4" xfId="39392"/>
    <cellStyle name="CALC Amount Total [1] 2 29 4 2" xfId="39393"/>
    <cellStyle name="CALC Amount Total [1] 2 3" xfId="14509"/>
    <cellStyle name="CALC Amount Total [1] 2 3 2" xfId="15571"/>
    <cellStyle name="CALC Amount Total [1] 2 3 2 2" xfId="39394"/>
    <cellStyle name="CALC Amount Total [1] 2 3 2 2 2" xfId="39395"/>
    <cellStyle name="CALC Amount Total [1] 2 3 3" xfId="23821"/>
    <cellStyle name="CALC Amount Total [1] 2 3 3 2" xfId="39396"/>
    <cellStyle name="CALC Amount Total [1] 2 30" xfId="39397"/>
    <cellStyle name="CALC Amount Total [1] 2 30 2" xfId="39398"/>
    <cellStyle name="CALC Amount Total [1] 2 4" xfId="14541"/>
    <cellStyle name="CALC Amount Total [1] 2 4 2" xfId="15620"/>
    <cellStyle name="CALC Amount Total [1] 2 4 2 2" xfId="23934"/>
    <cellStyle name="CALC Amount Total [1] 2 4 2 2 2" xfId="39399"/>
    <cellStyle name="CALC Amount Total [1] 2 4 2 3" xfId="39400"/>
    <cellStyle name="CALC Amount Total [1] 2 4 2 4" xfId="39401"/>
    <cellStyle name="CALC Amount Total [1] 2 4 3" xfId="16588"/>
    <cellStyle name="CALC Amount Total [1] 2 4 3 2" xfId="24905"/>
    <cellStyle name="CALC Amount Total [1] 2 4 3 2 2" xfId="39402"/>
    <cellStyle name="CALC Amount Total [1] 2 4 3 3" xfId="32165"/>
    <cellStyle name="CALC Amount Total [1] 2 4 3 4" xfId="39403"/>
    <cellStyle name="CALC Amount Total [1] 2 4 4" xfId="17607"/>
    <cellStyle name="CALC Amount Total [1] 2 4 4 2" xfId="25930"/>
    <cellStyle name="CALC Amount Total [1] 2 4 4 2 2" xfId="39404"/>
    <cellStyle name="CALC Amount Total [1] 2 4 4 3" xfId="33142"/>
    <cellStyle name="CALC Amount Total [1] 2 4 4 4" xfId="39405"/>
    <cellStyle name="CALC Amount Total [1] 2 4 5" xfId="18589"/>
    <cellStyle name="CALC Amount Total [1] 2 4 5 2" xfId="26908"/>
    <cellStyle name="CALC Amount Total [1] 2 4 5 2 2" xfId="39406"/>
    <cellStyle name="CALC Amount Total [1] 2 4 5 3" xfId="34077"/>
    <cellStyle name="CALC Amount Total [1] 2 4 5 4" xfId="39407"/>
    <cellStyle name="CALC Amount Total [1] 2 4 6" xfId="19557"/>
    <cellStyle name="CALC Amount Total [1] 2 4 6 2" xfId="27878"/>
    <cellStyle name="CALC Amount Total [1] 2 4 6 2 2" xfId="39408"/>
    <cellStyle name="CALC Amount Total [1] 2 4 6 3" xfId="35025"/>
    <cellStyle name="CALC Amount Total [1] 2 4 6 4" xfId="39409"/>
    <cellStyle name="CALC Amount Total [1] 2 4 7" xfId="20515"/>
    <cellStyle name="CALC Amount Total [1] 2 4 7 2" xfId="28837"/>
    <cellStyle name="CALC Amount Total [1] 2 4 7 2 2" xfId="39410"/>
    <cellStyle name="CALC Amount Total [1] 2 4 7 3" xfId="35942"/>
    <cellStyle name="CALC Amount Total [1] 2 4 7 4" xfId="39411"/>
    <cellStyle name="CALC Amount Total [1] 2 4 8" xfId="22898"/>
    <cellStyle name="CALC Amount Total [1] 2 4 8 2" xfId="39412"/>
    <cellStyle name="CALC Amount Total [1] 2 5" xfId="14602"/>
    <cellStyle name="CALC Amount Total [1] 2 5 10" xfId="22963"/>
    <cellStyle name="CALC Amount Total [1] 2 5 10 2" xfId="39413"/>
    <cellStyle name="CALC Amount Total [1] 2 5 11" xfId="39414"/>
    <cellStyle name="CALC Amount Total [1] 2 5 2" xfId="15682"/>
    <cellStyle name="CALC Amount Total [1] 2 5 2 2" xfId="23998"/>
    <cellStyle name="CALC Amount Total [1] 2 5 2 2 2" xfId="39415"/>
    <cellStyle name="CALC Amount Total [1] 2 5 2 3" xfId="31293"/>
    <cellStyle name="CALC Amount Total [1] 2 5 2 4" xfId="39416"/>
    <cellStyle name="CALC Amount Total [1] 2 5 3" xfId="16649"/>
    <cellStyle name="CALC Amount Total [1] 2 5 3 2" xfId="24969"/>
    <cellStyle name="CALC Amount Total [1] 2 5 3 2 2" xfId="39417"/>
    <cellStyle name="CALC Amount Total [1] 2 5 3 3" xfId="32226"/>
    <cellStyle name="CALC Amount Total [1] 2 5 3 4" xfId="39418"/>
    <cellStyle name="CALC Amount Total [1] 2 5 4" xfId="17671"/>
    <cellStyle name="CALC Amount Total [1] 2 5 4 2" xfId="25995"/>
    <cellStyle name="CALC Amount Total [1] 2 5 4 2 2" xfId="39419"/>
    <cellStyle name="CALC Amount Total [1] 2 5 4 3" xfId="33203"/>
    <cellStyle name="CALC Amount Total [1] 2 5 4 4" xfId="39420"/>
    <cellStyle name="CALC Amount Total [1] 2 5 5" xfId="18654"/>
    <cellStyle name="CALC Amount Total [1] 2 5 5 2" xfId="26975"/>
    <cellStyle name="CALC Amount Total [1] 2 5 5 2 2" xfId="39421"/>
    <cellStyle name="CALC Amount Total [1] 2 5 5 3" xfId="34141"/>
    <cellStyle name="CALC Amount Total [1] 2 5 5 4" xfId="39422"/>
    <cellStyle name="CALC Amount Total [1] 2 5 6" xfId="19623"/>
    <cellStyle name="CALC Amount Total [1] 2 5 6 2" xfId="27944"/>
    <cellStyle name="CALC Amount Total [1] 2 5 6 2 2" xfId="39423"/>
    <cellStyle name="CALC Amount Total [1] 2 5 6 3" xfId="35087"/>
    <cellStyle name="CALC Amount Total [1] 2 5 6 4" xfId="39424"/>
    <cellStyle name="CALC Amount Total [1] 2 5 7" xfId="20580"/>
    <cellStyle name="CALC Amount Total [1] 2 5 7 2" xfId="28902"/>
    <cellStyle name="CALC Amount Total [1] 2 5 7 2 2" xfId="39425"/>
    <cellStyle name="CALC Amount Total [1] 2 5 7 3" xfId="36003"/>
    <cellStyle name="CALC Amount Total [1] 2 5 7 4" xfId="39426"/>
    <cellStyle name="CALC Amount Total [1] 2 5 8" xfId="21158"/>
    <cellStyle name="CALC Amount Total [1] 2 5 8 2" xfId="29470"/>
    <cellStyle name="CALC Amount Total [1] 2 5 8 2 2" xfId="39427"/>
    <cellStyle name="CALC Amount Total [1] 2 5 8 3" xfId="36542"/>
    <cellStyle name="CALC Amount Total [1] 2 5 8 4" xfId="39428"/>
    <cellStyle name="CALC Amount Total [1] 2 5 9" xfId="22017"/>
    <cellStyle name="CALC Amount Total [1] 2 5 9 2" xfId="30316"/>
    <cellStyle name="CALC Amount Total [1] 2 5 9 2 2" xfId="39429"/>
    <cellStyle name="CALC Amount Total [1] 2 5 9 3" xfId="37354"/>
    <cellStyle name="CALC Amount Total [1] 2 5 9 4" xfId="39430"/>
    <cellStyle name="CALC Amount Total [1] 2 6" xfId="14622"/>
    <cellStyle name="CALC Amount Total [1] 2 6 10" xfId="22984"/>
    <cellStyle name="CALC Amount Total [1] 2 6 10 2" xfId="39431"/>
    <cellStyle name="CALC Amount Total [1] 2 6 11" xfId="39432"/>
    <cellStyle name="CALC Amount Total [1] 2 6 2" xfId="15703"/>
    <cellStyle name="CALC Amount Total [1] 2 6 2 2" xfId="24019"/>
    <cellStyle name="CALC Amount Total [1] 2 6 2 2 2" xfId="39433"/>
    <cellStyle name="CALC Amount Total [1] 2 6 2 3" xfId="31313"/>
    <cellStyle name="CALC Amount Total [1] 2 6 2 4" xfId="39434"/>
    <cellStyle name="CALC Amount Total [1] 2 6 3" xfId="16670"/>
    <cellStyle name="CALC Amount Total [1] 2 6 3 2" xfId="24990"/>
    <cellStyle name="CALC Amount Total [1] 2 6 3 2 2" xfId="39435"/>
    <cellStyle name="CALC Amount Total [1] 2 6 3 3" xfId="32246"/>
    <cellStyle name="CALC Amount Total [1] 2 6 3 4" xfId="39436"/>
    <cellStyle name="CALC Amount Total [1] 2 6 4" xfId="17693"/>
    <cellStyle name="CALC Amount Total [1] 2 6 4 2" xfId="26016"/>
    <cellStyle name="CALC Amount Total [1] 2 6 4 2 2" xfId="39437"/>
    <cellStyle name="CALC Amount Total [1] 2 6 4 3" xfId="33223"/>
    <cellStyle name="CALC Amount Total [1] 2 6 4 4" xfId="39438"/>
    <cellStyle name="CALC Amount Total [1] 2 6 5" xfId="18676"/>
    <cellStyle name="CALC Amount Total [1] 2 6 5 2" xfId="26997"/>
    <cellStyle name="CALC Amount Total [1] 2 6 5 2 2" xfId="39439"/>
    <cellStyle name="CALC Amount Total [1] 2 6 5 3" xfId="34162"/>
    <cellStyle name="CALC Amount Total [1] 2 6 5 4" xfId="39440"/>
    <cellStyle name="CALC Amount Total [1] 2 6 6" xfId="19645"/>
    <cellStyle name="CALC Amount Total [1] 2 6 6 2" xfId="27966"/>
    <cellStyle name="CALC Amount Total [1] 2 6 6 2 2" xfId="39441"/>
    <cellStyle name="CALC Amount Total [1] 2 6 6 3" xfId="35108"/>
    <cellStyle name="CALC Amount Total [1] 2 6 6 4" xfId="39442"/>
    <cellStyle name="CALC Amount Total [1] 2 6 7" xfId="20602"/>
    <cellStyle name="CALC Amount Total [1] 2 6 7 2" xfId="28923"/>
    <cellStyle name="CALC Amount Total [1] 2 6 7 2 2" xfId="39443"/>
    <cellStyle name="CALC Amount Total [1] 2 6 7 3" xfId="36023"/>
    <cellStyle name="CALC Amount Total [1] 2 6 7 4" xfId="39444"/>
    <cellStyle name="CALC Amount Total [1] 2 6 8" xfId="21148"/>
    <cellStyle name="CALC Amount Total [1] 2 6 8 2" xfId="29460"/>
    <cellStyle name="CALC Amount Total [1] 2 6 8 2 2" xfId="39445"/>
    <cellStyle name="CALC Amount Total [1] 2 6 8 3" xfId="36532"/>
    <cellStyle name="CALC Amount Total [1] 2 6 8 4" xfId="39446"/>
    <cellStyle name="CALC Amount Total [1] 2 6 9" xfId="22039"/>
    <cellStyle name="CALC Amount Total [1] 2 6 9 2" xfId="30337"/>
    <cellStyle name="CALC Amount Total [1] 2 6 9 2 2" xfId="39447"/>
    <cellStyle name="CALC Amount Total [1] 2 6 9 3" xfId="37374"/>
    <cellStyle name="CALC Amount Total [1] 2 6 9 4" xfId="39448"/>
    <cellStyle name="CALC Amount Total [1] 2 7" xfId="14641"/>
    <cellStyle name="CALC Amount Total [1] 2 7 10" xfId="23003"/>
    <cellStyle name="CALC Amount Total [1] 2 7 10 2" xfId="39449"/>
    <cellStyle name="CALC Amount Total [1] 2 7 11" xfId="39450"/>
    <cellStyle name="CALC Amount Total [1] 2 7 2" xfId="15722"/>
    <cellStyle name="CALC Amount Total [1] 2 7 2 2" xfId="24038"/>
    <cellStyle name="CALC Amount Total [1] 2 7 2 2 2" xfId="39451"/>
    <cellStyle name="CALC Amount Total [1] 2 7 2 3" xfId="31331"/>
    <cellStyle name="CALC Amount Total [1] 2 7 2 4" xfId="39452"/>
    <cellStyle name="CALC Amount Total [1] 2 7 3" xfId="16688"/>
    <cellStyle name="CALC Amount Total [1] 2 7 3 2" xfId="25009"/>
    <cellStyle name="CALC Amount Total [1] 2 7 3 2 2" xfId="39453"/>
    <cellStyle name="CALC Amount Total [1] 2 7 3 3" xfId="32264"/>
    <cellStyle name="CALC Amount Total [1] 2 7 3 4" xfId="39454"/>
    <cellStyle name="CALC Amount Total [1] 2 7 4" xfId="17712"/>
    <cellStyle name="CALC Amount Total [1] 2 7 4 2" xfId="26035"/>
    <cellStyle name="CALC Amount Total [1] 2 7 4 2 2" xfId="39455"/>
    <cellStyle name="CALC Amount Total [1] 2 7 4 3" xfId="33241"/>
    <cellStyle name="CALC Amount Total [1] 2 7 4 4" xfId="39456"/>
    <cellStyle name="CALC Amount Total [1] 2 7 5" xfId="18695"/>
    <cellStyle name="CALC Amount Total [1] 2 7 5 2" xfId="27016"/>
    <cellStyle name="CALC Amount Total [1] 2 7 5 2 2" xfId="39457"/>
    <cellStyle name="CALC Amount Total [1] 2 7 5 3" xfId="34180"/>
    <cellStyle name="CALC Amount Total [1] 2 7 5 4" xfId="39458"/>
    <cellStyle name="CALC Amount Total [1] 2 7 6" xfId="19664"/>
    <cellStyle name="CALC Amount Total [1] 2 7 6 2" xfId="27985"/>
    <cellStyle name="CALC Amount Total [1] 2 7 6 2 2" xfId="39459"/>
    <cellStyle name="CALC Amount Total [1] 2 7 6 3" xfId="35126"/>
    <cellStyle name="CALC Amount Total [1] 2 7 6 4" xfId="39460"/>
    <cellStyle name="CALC Amount Total [1] 2 7 7" xfId="20621"/>
    <cellStyle name="CALC Amount Total [1] 2 7 7 2" xfId="28942"/>
    <cellStyle name="CALC Amount Total [1] 2 7 7 2 2" xfId="39461"/>
    <cellStyle name="CALC Amount Total [1] 2 7 7 3" xfId="36041"/>
    <cellStyle name="CALC Amount Total [1] 2 7 7 4" xfId="39462"/>
    <cellStyle name="CALC Amount Total [1] 2 7 8" xfId="21307"/>
    <cellStyle name="CALC Amount Total [1] 2 7 8 2" xfId="29614"/>
    <cellStyle name="CALC Amount Total [1] 2 7 8 2 2" xfId="39463"/>
    <cellStyle name="CALC Amount Total [1] 2 7 8 3" xfId="36681"/>
    <cellStyle name="CALC Amount Total [1] 2 7 8 4" xfId="39464"/>
    <cellStyle name="CALC Amount Total [1] 2 7 9" xfId="22058"/>
    <cellStyle name="CALC Amount Total [1] 2 7 9 2" xfId="30356"/>
    <cellStyle name="CALC Amount Total [1] 2 7 9 2 2" xfId="39465"/>
    <cellStyle name="CALC Amount Total [1] 2 7 9 3" xfId="37392"/>
    <cellStyle name="CALC Amount Total [1] 2 7 9 4" xfId="39466"/>
    <cellStyle name="CALC Amount Total [1] 2 8" xfId="14665"/>
    <cellStyle name="CALC Amount Total [1] 2 8 10" xfId="23027"/>
    <cellStyle name="CALC Amount Total [1] 2 8 10 2" xfId="39467"/>
    <cellStyle name="CALC Amount Total [1] 2 8 11" xfId="39468"/>
    <cellStyle name="CALC Amount Total [1] 2 8 2" xfId="15746"/>
    <cellStyle name="CALC Amount Total [1] 2 8 2 2" xfId="24062"/>
    <cellStyle name="CALC Amount Total [1] 2 8 2 2 2" xfId="39469"/>
    <cellStyle name="CALC Amount Total [1] 2 8 2 3" xfId="31354"/>
    <cellStyle name="CALC Amount Total [1] 2 8 2 4" xfId="39470"/>
    <cellStyle name="CALC Amount Total [1] 2 8 3" xfId="16712"/>
    <cellStyle name="CALC Amount Total [1] 2 8 3 2" xfId="25033"/>
    <cellStyle name="CALC Amount Total [1] 2 8 3 2 2" xfId="39471"/>
    <cellStyle name="CALC Amount Total [1] 2 8 3 3" xfId="32287"/>
    <cellStyle name="CALC Amount Total [1] 2 8 3 4" xfId="39472"/>
    <cellStyle name="CALC Amount Total [1] 2 8 4" xfId="17736"/>
    <cellStyle name="CALC Amount Total [1] 2 8 4 2" xfId="26059"/>
    <cellStyle name="CALC Amount Total [1] 2 8 4 2 2" xfId="39473"/>
    <cellStyle name="CALC Amount Total [1] 2 8 4 3" xfId="33264"/>
    <cellStyle name="CALC Amount Total [1] 2 8 4 4" xfId="39474"/>
    <cellStyle name="CALC Amount Total [1] 2 8 5" xfId="18719"/>
    <cellStyle name="CALC Amount Total [1] 2 8 5 2" xfId="27040"/>
    <cellStyle name="CALC Amount Total [1] 2 8 5 2 2" xfId="39475"/>
    <cellStyle name="CALC Amount Total [1] 2 8 5 3" xfId="34203"/>
    <cellStyle name="CALC Amount Total [1] 2 8 5 4" xfId="39476"/>
    <cellStyle name="CALC Amount Total [1] 2 8 6" xfId="19688"/>
    <cellStyle name="CALC Amount Total [1] 2 8 6 2" xfId="28009"/>
    <cellStyle name="CALC Amount Total [1] 2 8 6 2 2" xfId="39477"/>
    <cellStyle name="CALC Amount Total [1] 2 8 6 3" xfId="35149"/>
    <cellStyle name="CALC Amount Total [1] 2 8 6 4" xfId="39478"/>
    <cellStyle name="CALC Amount Total [1] 2 8 7" xfId="20645"/>
    <cellStyle name="CALC Amount Total [1] 2 8 7 2" xfId="28966"/>
    <cellStyle name="CALC Amount Total [1] 2 8 7 2 2" xfId="39479"/>
    <cellStyle name="CALC Amount Total [1] 2 8 7 3" xfId="36064"/>
    <cellStyle name="CALC Amount Total [1] 2 8 7 4" xfId="39480"/>
    <cellStyle name="CALC Amount Total [1] 2 8 8" xfId="21295"/>
    <cellStyle name="CALC Amount Total [1] 2 8 8 2" xfId="29602"/>
    <cellStyle name="CALC Amount Total [1] 2 8 8 2 2" xfId="39481"/>
    <cellStyle name="CALC Amount Total [1] 2 8 8 3" xfId="36669"/>
    <cellStyle name="CALC Amount Total [1] 2 8 8 4" xfId="39482"/>
    <cellStyle name="CALC Amount Total [1] 2 8 9" xfId="22082"/>
    <cellStyle name="CALC Amount Total [1] 2 8 9 2" xfId="30380"/>
    <cellStyle name="CALC Amount Total [1] 2 8 9 2 2" xfId="39483"/>
    <cellStyle name="CALC Amount Total [1] 2 8 9 3" xfId="37415"/>
    <cellStyle name="CALC Amount Total [1] 2 8 9 4" xfId="39484"/>
    <cellStyle name="CALC Amount Total [1] 2 9" xfId="14725"/>
    <cellStyle name="CALC Amount Total [1] 2 9 10" xfId="23088"/>
    <cellStyle name="CALC Amount Total [1] 2 9 10 2" xfId="39485"/>
    <cellStyle name="CALC Amount Total [1] 2 9 11" xfId="39486"/>
    <cellStyle name="CALC Amount Total [1] 2 9 12" xfId="39487"/>
    <cellStyle name="CALC Amount Total [1] 2 9 2" xfId="15806"/>
    <cellStyle name="CALC Amount Total [1] 2 9 2 2" xfId="24123"/>
    <cellStyle name="CALC Amount Total [1] 2 9 2 2 2" xfId="39488"/>
    <cellStyle name="CALC Amount Total [1] 2 9 2 3" xfId="31411"/>
    <cellStyle name="CALC Amount Total [1] 2 9 2 4" xfId="39489"/>
    <cellStyle name="CALC Amount Total [1] 2 9 3" xfId="16772"/>
    <cellStyle name="CALC Amount Total [1] 2 9 3 2" xfId="25095"/>
    <cellStyle name="CALC Amount Total [1] 2 9 3 2 2" xfId="39490"/>
    <cellStyle name="CALC Amount Total [1] 2 9 3 3" xfId="32344"/>
    <cellStyle name="CALC Amount Total [1] 2 9 3 4" xfId="39491"/>
    <cellStyle name="CALC Amount Total [1] 2 9 4" xfId="17797"/>
    <cellStyle name="CALC Amount Total [1] 2 9 4 2" xfId="26121"/>
    <cellStyle name="CALC Amount Total [1] 2 9 4 2 2" xfId="39492"/>
    <cellStyle name="CALC Amount Total [1] 2 9 4 3" xfId="33321"/>
    <cellStyle name="CALC Amount Total [1] 2 9 4 4" xfId="39493"/>
    <cellStyle name="CALC Amount Total [1] 2 9 5" xfId="18781"/>
    <cellStyle name="CALC Amount Total [1] 2 9 5 2" xfId="27102"/>
    <cellStyle name="CALC Amount Total [1] 2 9 5 2 2" xfId="39494"/>
    <cellStyle name="CALC Amount Total [1] 2 9 5 3" xfId="34261"/>
    <cellStyle name="CALC Amount Total [1] 2 9 5 4" xfId="39495"/>
    <cellStyle name="CALC Amount Total [1] 2 9 6" xfId="19749"/>
    <cellStyle name="CALC Amount Total [1] 2 9 6 2" xfId="28071"/>
    <cellStyle name="CALC Amount Total [1] 2 9 6 2 2" xfId="39496"/>
    <cellStyle name="CALC Amount Total [1] 2 9 6 3" xfId="35207"/>
    <cellStyle name="CALC Amount Total [1] 2 9 6 4" xfId="39497"/>
    <cellStyle name="CALC Amount Total [1] 2 9 7" xfId="20707"/>
    <cellStyle name="CALC Amount Total [1] 2 9 7 2" xfId="29028"/>
    <cellStyle name="CALC Amount Total [1] 2 9 7 2 2" xfId="39498"/>
    <cellStyle name="CALC Amount Total [1] 2 9 7 3" xfId="36121"/>
    <cellStyle name="CALC Amount Total [1] 2 9 7 4" xfId="39499"/>
    <cellStyle name="CALC Amount Total [1] 2 9 8" xfId="19070"/>
    <cellStyle name="CALC Amount Total [1] 2 9 8 2" xfId="27390"/>
    <cellStyle name="CALC Amount Total [1] 2 9 8 2 2" xfId="39500"/>
    <cellStyle name="CALC Amount Total [1] 2 9 8 3" xfId="34540"/>
    <cellStyle name="CALC Amount Total [1] 2 9 8 4" xfId="39501"/>
    <cellStyle name="CALC Amount Total [1] 2 9 9" xfId="22143"/>
    <cellStyle name="CALC Amount Total [1] 2 9 9 2" xfId="30441"/>
    <cellStyle name="CALC Amount Total [1] 2 9 9 2 2" xfId="39502"/>
    <cellStyle name="CALC Amount Total [1] 2 9 9 3" xfId="37472"/>
    <cellStyle name="CALC Amount Total [1] 2 9 9 4" xfId="39503"/>
    <cellStyle name="CALC Amount Total [1] 20" xfId="15305"/>
    <cellStyle name="CALC Amount Total [1] 20 10" xfId="39504"/>
    <cellStyle name="CALC Amount Total [1] 20 11" xfId="39505"/>
    <cellStyle name="CALC Amount Total [1] 20 2" xfId="16385"/>
    <cellStyle name="CALC Amount Total [1] 20 2 2" xfId="24698"/>
    <cellStyle name="CALC Amount Total [1] 20 2 2 2" xfId="39506"/>
    <cellStyle name="CALC Amount Total [1] 20 2 3" xfId="31964"/>
    <cellStyle name="CALC Amount Total [1] 20 2 4" xfId="39507"/>
    <cellStyle name="CALC Amount Total [1] 20 3" xfId="17351"/>
    <cellStyle name="CALC Amount Total [1] 20 3 2" xfId="25672"/>
    <cellStyle name="CALC Amount Total [1] 20 3 2 2" xfId="39508"/>
    <cellStyle name="CALC Amount Total [1] 20 3 3" xfId="32897"/>
    <cellStyle name="CALC Amount Total [1] 20 3 4" xfId="39509"/>
    <cellStyle name="CALC Amount Total [1] 20 4" xfId="18379"/>
    <cellStyle name="CALC Amount Total [1] 20 4 2" xfId="26699"/>
    <cellStyle name="CALC Amount Total [1] 20 4 2 2" xfId="39510"/>
    <cellStyle name="CALC Amount Total [1] 20 4 3" xfId="33875"/>
    <cellStyle name="CALC Amount Total [1] 20 4 4" xfId="39511"/>
    <cellStyle name="CALC Amount Total [1] 20 5" xfId="19362"/>
    <cellStyle name="CALC Amount Total [1] 20 5 2" xfId="27683"/>
    <cellStyle name="CALC Amount Total [1] 20 5 2 2" xfId="39512"/>
    <cellStyle name="CALC Amount Total [1] 20 5 3" xfId="34831"/>
    <cellStyle name="CALC Amount Total [1] 20 5 4" xfId="39513"/>
    <cellStyle name="CALC Amount Total [1] 20 6" xfId="20331"/>
    <cellStyle name="CALC Amount Total [1] 20 6 2" xfId="28653"/>
    <cellStyle name="CALC Amount Total [1] 20 6 2 2" xfId="39514"/>
    <cellStyle name="CALC Amount Total [1] 20 6 3" xfId="35767"/>
    <cellStyle name="CALC Amount Total [1] 20 6 4" xfId="39515"/>
    <cellStyle name="CALC Amount Total [1] 20 7" xfId="21792"/>
    <cellStyle name="CALC Amount Total [1] 20 7 2" xfId="30093"/>
    <cellStyle name="CALC Amount Total [1] 20 7 2 2" xfId="39516"/>
    <cellStyle name="CALC Amount Total [1] 20 7 3" xfId="37141"/>
    <cellStyle name="CALC Amount Total [1] 20 7 4" xfId="39517"/>
    <cellStyle name="CALC Amount Total [1] 20 8" xfId="22720"/>
    <cellStyle name="CALC Amount Total [1] 20 8 2" xfId="31016"/>
    <cellStyle name="CALC Amount Total [1] 20 8 2 2" xfId="39518"/>
    <cellStyle name="CALC Amount Total [1] 20 8 3" xfId="38024"/>
    <cellStyle name="CALC Amount Total [1] 20 8 4" xfId="39519"/>
    <cellStyle name="CALC Amount Total [1] 20 9" xfId="23662"/>
    <cellStyle name="CALC Amount Total [1] 20 9 2" xfId="39520"/>
    <cellStyle name="CALC Amount Total [1] 21" xfId="15358"/>
    <cellStyle name="CALC Amount Total [1] 21 10" xfId="39521"/>
    <cellStyle name="CALC Amount Total [1] 21 11" xfId="39522"/>
    <cellStyle name="CALC Amount Total [1] 21 2" xfId="16438"/>
    <cellStyle name="CALC Amount Total [1] 21 2 2" xfId="24751"/>
    <cellStyle name="CALC Amount Total [1] 21 2 2 2" xfId="39523"/>
    <cellStyle name="CALC Amount Total [1] 21 2 3" xfId="32015"/>
    <cellStyle name="CALC Amount Total [1] 21 2 4" xfId="39524"/>
    <cellStyle name="CALC Amount Total [1] 21 3" xfId="17404"/>
    <cellStyle name="CALC Amount Total [1] 21 3 2" xfId="25725"/>
    <cellStyle name="CALC Amount Total [1] 21 3 2 2" xfId="39525"/>
    <cellStyle name="CALC Amount Total [1] 21 3 3" xfId="32948"/>
    <cellStyle name="CALC Amount Total [1] 21 3 4" xfId="39526"/>
    <cellStyle name="CALC Amount Total [1] 21 4" xfId="18432"/>
    <cellStyle name="CALC Amount Total [1] 21 4 2" xfId="26752"/>
    <cellStyle name="CALC Amount Total [1] 21 4 2 2" xfId="39527"/>
    <cellStyle name="CALC Amount Total [1] 21 4 3" xfId="33926"/>
    <cellStyle name="CALC Amount Total [1] 21 4 4" xfId="39528"/>
    <cellStyle name="CALC Amount Total [1] 21 5" xfId="19415"/>
    <cellStyle name="CALC Amount Total [1] 21 5 2" xfId="27736"/>
    <cellStyle name="CALC Amount Total [1] 21 5 2 2" xfId="39529"/>
    <cellStyle name="CALC Amount Total [1] 21 5 3" xfId="34884"/>
    <cellStyle name="CALC Amount Total [1] 21 5 4" xfId="39530"/>
    <cellStyle name="CALC Amount Total [1] 21 6" xfId="20384"/>
    <cellStyle name="CALC Amount Total [1] 21 6 2" xfId="28706"/>
    <cellStyle name="CALC Amount Total [1] 21 6 2 2" xfId="39531"/>
    <cellStyle name="CALC Amount Total [1] 21 6 3" xfId="35818"/>
    <cellStyle name="CALC Amount Total [1] 21 6 4" xfId="39532"/>
    <cellStyle name="CALC Amount Total [1] 21 7" xfId="21845"/>
    <cellStyle name="CALC Amount Total [1] 21 7 2" xfId="30146"/>
    <cellStyle name="CALC Amount Total [1] 21 7 2 2" xfId="39533"/>
    <cellStyle name="CALC Amount Total [1] 21 7 3" xfId="39534"/>
    <cellStyle name="CALC Amount Total [1] 21 7 4" xfId="39535"/>
    <cellStyle name="CALC Amount Total [1] 21 8" xfId="22773"/>
    <cellStyle name="CALC Amount Total [1] 21 8 2" xfId="31069"/>
    <cellStyle name="CALC Amount Total [1] 21 8 2 2" xfId="39536"/>
    <cellStyle name="CALC Amount Total [1] 21 8 3" xfId="38075"/>
    <cellStyle name="CALC Amount Total [1] 21 8 4" xfId="39537"/>
    <cellStyle name="CALC Amount Total [1] 21 9" xfId="23715"/>
    <cellStyle name="CALC Amount Total [1] 21 9 2" xfId="39538"/>
    <cellStyle name="CALC Amount Total [1] 22" xfId="15465"/>
    <cellStyle name="CALC Amount Total [1] 22 2" xfId="17511"/>
    <cellStyle name="CALC Amount Total [1] 22 2 2" xfId="39539"/>
    <cellStyle name="CALC Amount Total [1] 22 2 2 2" xfId="39540"/>
    <cellStyle name="CALC Amount Total [1] 22 2 3" xfId="39541"/>
    <cellStyle name="CALC Amount Total [1] 22 2 4" xfId="39542"/>
    <cellStyle name="CALC Amount Total [1] 22 3" xfId="19522"/>
    <cellStyle name="CALC Amount Total [1] 22 3 2" xfId="27843"/>
    <cellStyle name="CALC Amount Total [1] 22 3 2 2" xfId="39543"/>
    <cellStyle name="CALC Amount Total [1] 22 3 3" xfId="34991"/>
    <cellStyle name="CALC Amount Total [1] 22 3 4" xfId="39544"/>
    <cellStyle name="CALC Amount Total [1] 22 4" xfId="39545"/>
    <cellStyle name="CALC Amount Total [1] 22 4 2" xfId="39546"/>
    <cellStyle name="CALC Amount Total [1] 23" xfId="39547"/>
    <cellStyle name="CALC Amount Total [1] 23 2" xfId="39548"/>
    <cellStyle name="CALC Amount Total [1] 3" xfId="14530"/>
    <cellStyle name="CALC Amount Total [1] 3 2" xfId="15606"/>
    <cellStyle name="CALC Amount Total [1] 3 2 2" xfId="23920"/>
    <cellStyle name="CALC Amount Total [1] 3 2 2 2" xfId="39549"/>
    <cellStyle name="CALC Amount Total [1] 3 2 3" xfId="39550"/>
    <cellStyle name="CALC Amount Total [1] 3 2 4" xfId="39551"/>
    <cellStyle name="CALC Amount Total [1] 3 3" xfId="16575"/>
    <cellStyle name="CALC Amount Total [1] 3 3 2" xfId="24891"/>
    <cellStyle name="CALC Amount Total [1] 3 3 2 2" xfId="39552"/>
    <cellStyle name="CALC Amount Total [1] 3 3 3" xfId="32151"/>
    <cellStyle name="CALC Amount Total [1] 3 3 4" xfId="39553"/>
    <cellStyle name="CALC Amount Total [1] 3 4" xfId="17593"/>
    <cellStyle name="CALC Amount Total [1] 3 4 2" xfId="25915"/>
    <cellStyle name="CALC Amount Total [1] 3 4 2 2" xfId="39554"/>
    <cellStyle name="CALC Amount Total [1] 3 4 3" xfId="33128"/>
    <cellStyle name="CALC Amount Total [1] 3 4 4" xfId="39555"/>
    <cellStyle name="CALC Amount Total [1] 3 5" xfId="18574"/>
    <cellStyle name="CALC Amount Total [1] 3 5 2" xfId="26893"/>
    <cellStyle name="CALC Amount Total [1] 3 5 2 2" xfId="39556"/>
    <cellStyle name="CALC Amount Total [1] 3 5 3" xfId="34062"/>
    <cellStyle name="CALC Amount Total [1] 3 5 4" xfId="39557"/>
    <cellStyle name="CALC Amount Total [1] 3 6" xfId="17547"/>
    <cellStyle name="CALC Amount Total [1] 3 6 2" xfId="25866"/>
    <cellStyle name="CALC Amount Total [1] 3 6 2 2" xfId="39558"/>
    <cellStyle name="CALC Amount Total [1] 3 6 3" xfId="33083"/>
    <cellStyle name="CALC Amount Total [1] 3 6 4" xfId="39559"/>
    <cellStyle name="CALC Amount Total [1] 3 7" xfId="19515"/>
    <cellStyle name="CALC Amount Total [1] 3 7 2" xfId="27836"/>
    <cellStyle name="CALC Amount Total [1] 3 7 2 2" xfId="39560"/>
    <cellStyle name="CALC Amount Total [1] 3 7 3" xfId="34984"/>
    <cellStyle name="CALC Amount Total [1] 3 7 4" xfId="39561"/>
    <cellStyle name="CALC Amount Total [1] 3 8" xfId="22884"/>
    <cellStyle name="CALC Amount Total [1] 3 8 2" xfId="39562"/>
    <cellStyle name="CALC Amount Total [1] 4" xfId="14577"/>
    <cellStyle name="CALC Amount Total [1] 4 10" xfId="22936"/>
    <cellStyle name="CALC Amount Total [1] 4 10 2" xfId="39563"/>
    <cellStyle name="CALC Amount Total [1] 4 11" xfId="39564"/>
    <cellStyle name="CALC Amount Total [1] 4 2" xfId="15658"/>
    <cellStyle name="CALC Amount Total [1] 4 2 2" xfId="23972"/>
    <cellStyle name="CALC Amount Total [1] 4 2 2 2" xfId="39565"/>
    <cellStyle name="CALC Amount Total [1] 4 2 3" xfId="31269"/>
    <cellStyle name="CALC Amount Total [1] 4 2 4" xfId="39566"/>
    <cellStyle name="CALC Amount Total [1] 4 3" xfId="16625"/>
    <cellStyle name="CALC Amount Total [1] 4 3 2" xfId="24943"/>
    <cellStyle name="CALC Amount Total [1] 4 3 2 2" xfId="39567"/>
    <cellStyle name="CALC Amount Total [1] 4 3 3" xfId="32202"/>
    <cellStyle name="CALC Amount Total [1] 4 3 4" xfId="39568"/>
    <cellStyle name="CALC Amount Total [1] 4 4" xfId="17646"/>
    <cellStyle name="CALC Amount Total [1] 4 4 2" xfId="25969"/>
    <cellStyle name="CALC Amount Total [1] 4 4 2 2" xfId="39569"/>
    <cellStyle name="CALC Amount Total [1] 4 4 3" xfId="33179"/>
    <cellStyle name="CALC Amount Total [1] 4 4 4" xfId="39570"/>
    <cellStyle name="CALC Amount Total [1] 4 5" xfId="18628"/>
    <cellStyle name="CALC Amount Total [1] 4 5 2" xfId="26948"/>
    <cellStyle name="CALC Amount Total [1] 4 5 2 2" xfId="39571"/>
    <cellStyle name="CALC Amount Total [1] 4 5 3" xfId="34116"/>
    <cellStyle name="CALC Amount Total [1] 4 5 4" xfId="39572"/>
    <cellStyle name="CALC Amount Total [1] 4 6" xfId="19597"/>
    <cellStyle name="CALC Amount Total [1] 4 6 2" xfId="27917"/>
    <cellStyle name="CALC Amount Total [1] 4 6 2 2" xfId="39573"/>
    <cellStyle name="CALC Amount Total [1] 4 6 3" xfId="35062"/>
    <cellStyle name="CALC Amount Total [1] 4 6 4" xfId="39574"/>
    <cellStyle name="CALC Amount Total [1] 4 7" xfId="20554"/>
    <cellStyle name="CALC Amount Total [1] 4 7 2" xfId="28876"/>
    <cellStyle name="CALC Amount Total [1] 4 7 2 2" xfId="39575"/>
    <cellStyle name="CALC Amount Total [1] 4 7 3" xfId="35979"/>
    <cellStyle name="CALC Amount Total [1] 4 7 4" xfId="39576"/>
    <cellStyle name="CALC Amount Total [1] 4 8" xfId="21188"/>
    <cellStyle name="CALC Amount Total [1] 4 8 2" xfId="29500"/>
    <cellStyle name="CALC Amount Total [1] 4 8 2 2" xfId="39577"/>
    <cellStyle name="CALC Amount Total [1] 4 8 3" xfId="36571"/>
    <cellStyle name="CALC Amount Total [1] 4 8 4" xfId="39578"/>
    <cellStyle name="CALC Amount Total [1] 4 9" xfId="21990"/>
    <cellStyle name="CALC Amount Total [1] 4 9 2" xfId="30290"/>
    <cellStyle name="CALC Amount Total [1] 4 9 2 2" xfId="39579"/>
    <cellStyle name="CALC Amount Total [1] 4 9 3" xfId="37330"/>
    <cellStyle name="CALC Amount Total [1] 4 9 4" xfId="39580"/>
    <cellStyle name="CALC Amount Total [1] 5" xfId="14618"/>
    <cellStyle name="CALC Amount Total [1] 5 10" xfId="22980"/>
    <cellStyle name="CALC Amount Total [1] 5 10 2" xfId="39581"/>
    <cellStyle name="CALC Amount Total [1] 5 11" xfId="39582"/>
    <cellStyle name="CALC Amount Total [1] 5 2" xfId="15699"/>
    <cellStyle name="CALC Amount Total [1] 5 2 2" xfId="24015"/>
    <cellStyle name="CALC Amount Total [1] 5 2 2 2" xfId="39583"/>
    <cellStyle name="CALC Amount Total [1] 5 2 3" xfId="31309"/>
    <cellStyle name="CALC Amount Total [1] 5 2 4" xfId="39584"/>
    <cellStyle name="CALC Amount Total [1] 5 3" xfId="16666"/>
    <cellStyle name="CALC Amount Total [1] 5 3 2" xfId="24986"/>
    <cellStyle name="CALC Amount Total [1] 5 3 2 2" xfId="39585"/>
    <cellStyle name="CALC Amount Total [1] 5 3 3" xfId="32242"/>
    <cellStyle name="CALC Amount Total [1] 5 3 4" xfId="39586"/>
    <cellStyle name="CALC Amount Total [1] 5 4" xfId="17689"/>
    <cellStyle name="CALC Amount Total [1] 5 4 2" xfId="26012"/>
    <cellStyle name="CALC Amount Total [1] 5 4 2 2" xfId="39587"/>
    <cellStyle name="CALC Amount Total [1] 5 4 3" xfId="33219"/>
    <cellStyle name="CALC Amount Total [1] 5 4 4" xfId="39588"/>
    <cellStyle name="CALC Amount Total [1] 5 5" xfId="18672"/>
    <cellStyle name="CALC Amount Total [1] 5 5 2" xfId="26993"/>
    <cellStyle name="CALC Amount Total [1] 5 5 2 2" xfId="39589"/>
    <cellStyle name="CALC Amount Total [1] 5 5 3" xfId="34158"/>
    <cellStyle name="CALC Amount Total [1] 5 5 4" xfId="39590"/>
    <cellStyle name="CALC Amount Total [1] 5 6" xfId="19641"/>
    <cellStyle name="CALC Amount Total [1] 5 6 2" xfId="27962"/>
    <cellStyle name="CALC Amount Total [1] 5 6 2 2" xfId="39591"/>
    <cellStyle name="CALC Amount Total [1] 5 6 3" xfId="35104"/>
    <cellStyle name="CALC Amount Total [1] 5 6 4" xfId="39592"/>
    <cellStyle name="CALC Amount Total [1] 5 7" xfId="20598"/>
    <cellStyle name="CALC Amount Total [1] 5 7 2" xfId="28919"/>
    <cellStyle name="CALC Amount Total [1] 5 7 2 2" xfId="39593"/>
    <cellStyle name="CALC Amount Total [1] 5 7 3" xfId="36019"/>
    <cellStyle name="CALC Amount Total [1] 5 7 4" xfId="39594"/>
    <cellStyle name="CALC Amount Total [1] 5 8" xfId="21223"/>
    <cellStyle name="CALC Amount Total [1] 5 8 2" xfId="29534"/>
    <cellStyle name="CALC Amount Total [1] 5 8 2 2" xfId="39595"/>
    <cellStyle name="CALC Amount Total [1] 5 8 3" xfId="36603"/>
    <cellStyle name="CALC Amount Total [1] 5 8 4" xfId="39596"/>
    <cellStyle name="CALC Amount Total [1] 5 9" xfId="22035"/>
    <cellStyle name="CALC Amount Total [1] 5 9 2" xfId="30333"/>
    <cellStyle name="CALC Amount Total [1] 5 9 2 2" xfId="39597"/>
    <cellStyle name="CALC Amount Total [1] 5 9 3" xfId="37370"/>
    <cellStyle name="CALC Amount Total [1] 5 9 4" xfId="39598"/>
    <cellStyle name="CALC Amount Total [1] 6" xfId="14638"/>
    <cellStyle name="CALC Amount Total [1] 6 10" xfId="23000"/>
    <cellStyle name="CALC Amount Total [1] 6 10 2" xfId="39599"/>
    <cellStyle name="CALC Amount Total [1] 6 11" xfId="39600"/>
    <cellStyle name="CALC Amount Total [1] 6 2" xfId="15719"/>
    <cellStyle name="CALC Amount Total [1] 6 2 2" xfId="24035"/>
    <cellStyle name="CALC Amount Total [1] 6 2 2 2" xfId="39601"/>
    <cellStyle name="CALC Amount Total [1] 6 2 3" xfId="31328"/>
    <cellStyle name="CALC Amount Total [1] 6 2 4" xfId="39602"/>
    <cellStyle name="CALC Amount Total [1] 6 3" xfId="16685"/>
    <cellStyle name="CALC Amount Total [1] 6 3 2" xfId="25006"/>
    <cellStyle name="CALC Amount Total [1] 6 3 2 2" xfId="39603"/>
    <cellStyle name="CALC Amount Total [1] 6 3 3" xfId="32261"/>
    <cellStyle name="CALC Amount Total [1] 6 3 4" xfId="39604"/>
    <cellStyle name="CALC Amount Total [1] 6 4" xfId="17709"/>
    <cellStyle name="CALC Amount Total [1] 6 4 2" xfId="26032"/>
    <cellStyle name="CALC Amount Total [1] 6 4 2 2" xfId="39605"/>
    <cellStyle name="CALC Amount Total [1] 6 4 3" xfId="33238"/>
    <cellStyle name="CALC Amount Total [1] 6 4 4" xfId="39606"/>
    <cellStyle name="CALC Amount Total [1] 6 5" xfId="18692"/>
    <cellStyle name="CALC Amount Total [1] 6 5 2" xfId="27013"/>
    <cellStyle name="CALC Amount Total [1] 6 5 2 2" xfId="39607"/>
    <cellStyle name="CALC Amount Total [1] 6 5 3" xfId="34177"/>
    <cellStyle name="CALC Amount Total [1] 6 5 4" xfId="39608"/>
    <cellStyle name="CALC Amount Total [1] 6 6" xfId="19661"/>
    <cellStyle name="CALC Amount Total [1] 6 6 2" xfId="27982"/>
    <cellStyle name="CALC Amount Total [1] 6 6 2 2" xfId="39609"/>
    <cellStyle name="CALC Amount Total [1] 6 6 3" xfId="35123"/>
    <cellStyle name="CALC Amount Total [1] 6 6 4" xfId="39610"/>
    <cellStyle name="CALC Amount Total [1] 6 7" xfId="20618"/>
    <cellStyle name="CALC Amount Total [1] 6 7 2" xfId="28939"/>
    <cellStyle name="CALC Amount Total [1] 6 7 2 2" xfId="39611"/>
    <cellStyle name="CALC Amount Total [1] 6 7 3" xfId="36038"/>
    <cellStyle name="CALC Amount Total [1] 6 7 4" xfId="39612"/>
    <cellStyle name="CALC Amount Total [1] 6 8" xfId="21343"/>
    <cellStyle name="CALC Amount Total [1] 6 8 2" xfId="29647"/>
    <cellStyle name="CALC Amount Total [1] 6 8 2 2" xfId="39613"/>
    <cellStyle name="CALC Amount Total [1] 6 8 3" xfId="36712"/>
    <cellStyle name="CALC Amount Total [1] 6 8 4" xfId="39614"/>
    <cellStyle name="CALC Amount Total [1] 6 9" xfId="22055"/>
    <cellStyle name="CALC Amount Total [1] 6 9 2" xfId="30353"/>
    <cellStyle name="CALC Amount Total [1] 6 9 2 2" xfId="39615"/>
    <cellStyle name="CALC Amount Total [1] 6 9 3" xfId="37389"/>
    <cellStyle name="CALC Amount Total [1] 6 9 4" xfId="39616"/>
    <cellStyle name="CALC Amount Total [1] 7" xfId="14678"/>
    <cellStyle name="CALC Amount Total [1] 7 10" xfId="23040"/>
    <cellStyle name="CALC Amount Total [1] 7 10 2" xfId="39617"/>
    <cellStyle name="CALC Amount Total [1] 7 11" xfId="39618"/>
    <cellStyle name="CALC Amount Total [1] 7 2" xfId="15759"/>
    <cellStyle name="CALC Amount Total [1] 7 2 2" xfId="24075"/>
    <cellStyle name="CALC Amount Total [1] 7 2 2 2" xfId="39619"/>
    <cellStyle name="CALC Amount Total [1] 7 2 3" xfId="31366"/>
    <cellStyle name="CALC Amount Total [1] 7 2 4" xfId="39620"/>
    <cellStyle name="CALC Amount Total [1] 7 3" xfId="16725"/>
    <cellStyle name="CALC Amount Total [1] 7 3 2" xfId="25046"/>
    <cellStyle name="CALC Amount Total [1] 7 3 2 2" xfId="39621"/>
    <cellStyle name="CALC Amount Total [1] 7 3 3" xfId="32299"/>
    <cellStyle name="CALC Amount Total [1] 7 3 4" xfId="39622"/>
    <cellStyle name="CALC Amount Total [1] 7 4" xfId="17749"/>
    <cellStyle name="CALC Amount Total [1] 7 4 2" xfId="26072"/>
    <cellStyle name="CALC Amount Total [1] 7 4 2 2" xfId="39623"/>
    <cellStyle name="CALC Amount Total [1] 7 4 3" xfId="33276"/>
    <cellStyle name="CALC Amount Total [1] 7 4 4" xfId="39624"/>
    <cellStyle name="CALC Amount Total [1] 7 5" xfId="18732"/>
    <cellStyle name="CALC Amount Total [1] 7 5 2" xfId="27053"/>
    <cellStyle name="CALC Amount Total [1] 7 5 2 2" xfId="39625"/>
    <cellStyle name="CALC Amount Total [1] 7 5 3" xfId="34215"/>
    <cellStyle name="CALC Amount Total [1] 7 5 4" xfId="39626"/>
    <cellStyle name="CALC Amount Total [1] 7 6" xfId="19701"/>
    <cellStyle name="CALC Amount Total [1] 7 6 2" xfId="28022"/>
    <cellStyle name="CALC Amount Total [1] 7 6 2 2" xfId="39627"/>
    <cellStyle name="CALC Amount Total [1] 7 6 3" xfId="35161"/>
    <cellStyle name="CALC Amount Total [1] 7 6 4" xfId="39628"/>
    <cellStyle name="CALC Amount Total [1] 7 7" xfId="20658"/>
    <cellStyle name="CALC Amount Total [1] 7 7 2" xfId="28979"/>
    <cellStyle name="CALC Amount Total [1] 7 7 2 2" xfId="39629"/>
    <cellStyle name="CALC Amount Total [1] 7 7 3" xfId="36076"/>
    <cellStyle name="CALC Amount Total [1] 7 7 4" xfId="39630"/>
    <cellStyle name="CALC Amount Total [1] 7 8" xfId="21162"/>
    <cellStyle name="CALC Amount Total [1] 7 8 2" xfId="29474"/>
    <cellStyle name="CALC Amount Total [1] 7 8 2 2" xfId="39631"/>
    <cellStyle name="CALC Amount Total [1] 7 8 3" xfId="36546"/>
    <cellStyle name="CALC Amount Total [1] 7 8 4" xfId="39632"/>
    <cellStyle name="CALC Amount Total [1] 7 9" xfId="22095"/>
    <cellStyle name="CALC Amount Total [1] 7 9 2" xfId="30393"/>
    <cellStyle name="CALC Amount Total [1] 7 9 2 2" xfId="39633"/>
    <cellStyle name="CALC Amount Total [1] 7 9 3" xfId="37427"/>
    <cellStyle name="CALC Amount Total [1] 7 9 4" xfId="39634"/>
    <cellStyle name="CALC Amount Total [1] 8" xfId="14779"/>
    <cellStyle name="CALC Amount Total [1] 8 10" xfId="23143"/>
    <cellStyle name="CALC Amount Total [1] 8 10 2" xfId="39635"/>
    <cellStyle name="CALC Amount Total [1] 8 11" xfId="39636"/>
    <cellStyle name="CALC Amount Total [1] 8 12" xfId="39637"/>
    <cellStyle name="CALC Amount Total [1] 8 2" xfId="15860"/>
    <cellStyle name="CALC Amount Total [1] 8 2 2" xfId="24178"/>
    <cellStyle name="CALC Amount Total [1] 8 2 2 2" xfId="39638"/>
    <cellStyle name="CALC Amount Total [1] 8 2 3" xfId="31466"/>
    <cellStyle name="CALC Amount Total [1] 8 2 4" xfId="39639"/>
    <cellStyle name="CALC Amount Total [1] 8 3" xfId="16826"/>
    <cellStyle name="CALC Amount Total [1] 8 3 2" xfId="25150"/>
    <cellStyle name="CALC Amount Total [1] 8 3 2 2" xfId="39640"/>
    <cellStyle name="CALC Amount Total [1] 8 3 3" xfId="32399"/>
    <cellStyle name="CALC Amount Total [1] 8 3 4" xfId="39641"/>
    <cellStyle name="CALC Amount Total [1] 8 4" xfId="17852"/>
    <cellStyle name="CALC Amount Total [1] 8 4 2" xfId="26176"/>
    <cellStyle name="CALC Amount Total [1] 8 4 2 2" xfId="39642"/>
    <cellStyle name="CALC Amount Total [1] 8 4 3" xfId="33376"/>
    <cellStyle name="CALC Amount Total [1] 8 4 4" xfId="39643"/>
    <cellStyle name="CALC Amount Total [1] 8 5" xfId="18836"/>
    <cellStyle name="CALC Amount Total [1] 8 5 2" xfId="27157"/>
    <cellStyle name="CALC Amount Total [1] 8 5 2 2" xfId="39644"/>
    <cellStyle name="CALC Amount Total [1] 8 5 3" xfId="34316"/>
    <cellStyle name="CALC Amount Total [1] 8 5 4" xfId="39645"/>
    <cellStyle name="CALC Amount Total [1] 8 6" xfId="19804"/>
    <cellStyle name="CALC Amount Total [1] 8 6 2" xfId="28126"/>
    <cellStyle name="CALC Amount Total [1] 8 6 2 2" xfId="39646"/>
    <cellStyle name="CALC Amount Total [1] 8 6 3" xfId="35262"/>
    <cellStyle name="CALC Amount Total [1] 8 6 4" xfId="39647"/>
    <cellStyle name="CALC Amount Total [1] 8 7" xfId="20762"/>
    <cellStyle name="CALC Amount Total [1] 8 7 2" xfId="29083"/>
    <cellStyle name="CALC Amount Total [1] 8 7 2 2" xfId="39648"/>
    <cellStyle name="CALC Amount Total [1] 8 7 3" xfId="36175"/>
    <cellStyle name="CALC Amount Total [1] 8 7 4" xfId="39649"/>
    <cellStyle name="CALC Amount Total [1] 8 8" xfId="21166"/>
    <cellStyle name="CALC Amount Total [1] 8 8 2" xfId="29478"/>
    <cellStyle name="CALC Amount Total [1] 8 8 2 2" xfId="39650"/>
    <cellStyle name="CALC Amount Total [1] 8 8 3" xfId="36550"/>
    <cellStyle name="CALC Amount Total [1] 8 8 4" xfId="39651"/>
    <cellStyle name="CALC Amount Total [1] 8 9" xfId="22198"/>
    <cellStyle name="CALC Amount Total [1] 8 9 2" xfId="30496"/>
    <cellStyle name="CALC Amount Total [1] 8 9 2 2" xfId="39652"/>
    <cellStyle name="CALC Amount Total [1] 8 9 3" xfId="37527"/>
    <cellStyle name="CALC Amount Total [1] 8 9 4" xfId="39653"/>
    <cellStyle name="CALC Amount Total [1] 9" xfId="14824"/>
    <cellStyle name="CALC Amount Total [1] 9 10" xfId="23188"/>
    <cellStyle name="CALC Amount Total [1] 9 10 2" xfId="39654"/>
    <cellStyle name="CALC Amount Total [1] 9 11" xfId="39655"/>
    <cellStyle name="CALC Amount Total [1] 9 12" xfId="39656"/>
    <cellStyle name="CALC Amount Total [1] 9 2" xfId="15905"/>
    <cellStyle name="CALC Amount Total [1] 9 2 2" xfId="24223"/>
    <cellStyle name="CALC Amount Total [1] 9 2 2 2" xfId="39657"/>
    <cellStyle name="CALC Amount Total [1] 9 2 3" xfId="31509"/>
    <cellStyle name="CALC Amount Total [1] 9 2 4" xfId="39658"/>
    <cellStyle name="CALC Amount Total [1] 9 3" xfId="16871"/>
    <cellStyle name="CALC Amount Total [1] 9 3 2" xfId="25195"/>
    <cellStyle name="CALC Amount Total [1] 9 3 2 2" xfId="39659"/>
    <cellStyle name="CALC Amount Total [1] 9 3 3" xfId="32442"/>
    <cellStyle name="CALC Amount Total [1] 9 3 4" xfId="39660"/>
    <cellStyle name="CALC Amount Total [1] 9 4" xfId="17898"/>
    <cellStyle name="CALC Amount Total [1] 9 4 2" xfId="26221"/>
    <cellStyle name="CALC Amount Total [1] 9 4 2 2" xfId="39661"/>
    <cellStyle name="CALC Amount Total [1] 9 4 3" xfId="33419"/>
    <cellStyle name="CALC Amount Total [1] 9 4 4" xfId="39662"/>
    <cellStyle name="CALC Amount Total [1] 9 5" xfId="18882"/>
    <cellStyle name="CALC Amount Total [1] 9 5 2" xfId="27202"/>
    <cellStyle name="CALC Amount Total [1] 9 5 2 2" xfId="39663"/>
    <cellStyle name="CALC Amount Total [1] 9 5 3" xfId="34359"/>
    <cellStyle name="CALC Amount Total [1] 9 5 4" xfId="39664"/>
    <cellStyle name="CALC Amount Total [1] 9 6" xfId="19850"/>
    <cellStyle name="CALC Amount Total [1] 9 6 2" xfId="28172"/>
    <cellStyle name="CALC Amount Total [1] 9 6 2 2" xfId="39665"/>
    <cellStyle name="CALC Amount Total [1] 9 6 3" xfId="35306"/>
    <cellStyle name="CALC Amount Total [1] 9 6 4" xfId="39666"/>
    <cellStyle name="CALC Amount Total [1] 9 7" xfId="20808"/>
    <cellStyle name="CALC Amount Total [1] 9 7 2" xfId="29128"/>
    <cellStyle name="CALC Amount Total [1] 9 7 2 2" xfId="39667"/>
    <cellStyle name="CALC Amount Total [1] 9 7 3" xfId="36217"/>
    <cellStyle name="CALC Amount Total [1] 9 7 4" xfId="39668"/>
    <cellStyle name="CALC Amount Total [1] 9 8" xfId="21214"/>
    <cellStyle name="CALC Amount Total [1] 9 8 2" xfId="29525"/>
    <cellStyle name="CALC Amount Total [1] 9 8 2 2" xfId="39669"/>
    <cellStyle name="CALC Amount Total [1] 9 8 3" xfId="36594"/>
    <cellStyle name="CALC Amount Total [1] 9 8 4" xfId="39670"/>
    <cellStyle name="CALC Amount Total [1] 9 9" xfId="22243"/>
    <cellStyle name="CALC Amount Total [1] 9 9 2" xfId="30542"/>
    <cellStyle name="CALC Amount Total [1] 9 9 2 2" xfId="39671"/>
    <cellStyle name="CALC Amount Total [1] 9 9 3" xfId="37570"/>
    <cellStyle name="CALC Amount Total [1] 9 9 4" xfId="39672"/>
    <cellStyle name="CALC Amount Total [2]" xfId="14454"/>
    <cellStyle name="CALC Amount Total [2] 10" xfId="14811"/>
    <cellStyle name="CALC Amount Total [2] 10 10" xfId="23175"/>
    <cellStyle name="CALC Amount Total [2] 10 10 2" xfId="39673"/>
    <cellStyle name="CALC Amount Total [2] 10 11" xfId="39674"/>
    <cellStyle name="CALC Amount Total [2] 10 12" xfId="39675"/>
    <cellStyle name="CALC Amount Total [2] 10 2" xfId="15892"/>
    <cellStyle name="CALC Amount Total [2] 10 2 2" xfId="24210"/>
    <cellStyle name="CALC Amount Total [2] 10 2 2 2" xfId="39676"/>
    <cellStyle name="CALC Amount Total [2] 10 2 3" xfId="31496"/>
    <cellStyle name="CALC Amount Total [2] 10 2 4" xfId="39677"/>
    <cellStyle name="CALC Amount Total [2] 10 3" xfId="16858"/>
    <cellStyle name="CALC Amount Total [2] 10 3 2" xfId="25182"/>
    <cellStyle name="CALC Amount Total [2] 10 3 2 2" xfId="39678"/>
    <cellStyle name="CALC Amount Total [2] 10 3 3" xfId="32429"/>
    <cellStyle name="CALC Amount Total [2] 10 3 4" xfId="39679"/>
    <cellStyle name="CALC Amount Total [2] 10 4" xfId="17885"/>
    <cellStyle name="CALC Amount Total [2] 10 4 2" xfId="26208"/>
    <cellStyle name="CALC Amount Total [2] 10 4 2 2" xfId="39680"/>
    <cellStyle name="CALC Amount Total [2] 10 4 3" xfId="33406"/>
    <cellStyle name="CALC Amount Total [2] 10 4 4" xfId="39681"/>
    <cellStyle name="CALC Amount Total [2] 10 5" xfId="18869"/>
    <cellStyle name="CALC Amount Total [2] 10 5 2" xfId="27189"/>
    <cellStyle name="CALC Amount Total [2] 10 5 2 2" xfId="39682"/>
    <cellStyle name="CALC Amount Total [2] 10 5 3" xfId="34346"/>
    <cellStyle name="CALC Amount Total [2] 10 5 4" xfId="39683"/>
    <cellStyle name="CALC Amount Total [2] 10 6" xfId="19837"/>
    <cellStyle name="CALC Amount Total [2] 10 6 2" xfId="28159"/>
    <cellStyle name="CALC Amount Total [2] 10 6 2 2" xfId="39684"/>
    <cellStyle name="CALC Amount Total [2] 10 6 3" xfId="35293"/>
    <cellStyle name="CALC Amount Total [2] 10 6 4" xfId="39685"/>
    <cellStyle name="CALC Amount Total [2] 10 7" xfId="20795"/>
    <cellStyle name="CALC Amount Total [2] 10 7 2" xfId="29115"/>
    <cellStyle name="CALC Amount Total [2] 10 7 2 2" xfId="39686"/>
    <cellStyle name="CALC Amount Total [2] 10 7 3" xfId="36204"/>
    <cellStyle name="CALC Amount Total [2] 10 7 4" xfId="39687"/>
    <cellStyle name="CALC Amount Total [2] 10 8" xfId="21327"/>
    <cellStyle name="CALC Amount Total [2] 10 8 2" xfId="29632"/>
    <cellStyle name="CALC Amount Total [2] 10 8 2 2" xfId="39688"/>
    <cellStyle name="CALC Amount Total [2] 10 8 3" xfId="36698"/>
    <cellStyle name="CALC Amount Total [2] 10 8 4" xfId="39689"/>
    <cellStyle name="CALC Amount Total [2] 10 9" xfId="22230"/>
    <cellStyle name="CALC Amount Total [2] 10 9 2" xfId="30529"/>
    <cellStyle name="CALC Amount Total [2] 10 9 2 2" xfId="39690"/>
    <cellStyle name="CALC Amount Total [2] 10 9 3" xfId="37557"/>
    <cellStyle name="CALC Amount Total [2] 10 9 4" xfId="39691"/>
    <cellStyle name="CALC Amount Total [2] 11" xfId="14861"/>
    <cellStyle name="CALC Amount Total [2] 11 10" xfId="23224"/>
    <cellStyle name="CALC Amount Total [2] 11 10 2" xfId="39692"/>
    <cellStyle name="CALC Amount Total [2] 11 11" xfId="39693"/>
    <cellStyle name="CALC Amount Total [2] 11 12" xfId="39694"/>
    <cellStyle name="CALC Amount Total [2] 11 2" xfId="15942"/>
    <cellStyle name="CALC Amount Total [2] 11 2 2" xfId="24259"/>
    <cellStyle name="CALC Amount Total [2] 11 2 2 2" xfId="39695"/>
    <cellStyle name="CALC Amount Total [2] 11 2 3" xfId="31543"/>
    <cellStyle name="CALC Amount Total [2] 11 2 4" xfId="39696"/>
    <cellStyle name="CALC Amount Total [2] 11 3" xfId="16908"/>
    <cellStyle name="CALC Amount Total [2] 11 3 2" xfId="25231"/>
    <cellStyle name="CALC Amount Total [2] 11 3 2 2" xfId="39697"/>
    <cellStyle name="CALC Amount Total [2] 11 3 3" xfId="32476"/>
    <cellStyle name="CALC Amount Total [2] 11 3 4" xfId="39698"/>
    <cellStyle name="CALC Amount Total [2] 11 4" xfId="17935"/>
    <cellStyle name="CALC Amount Total [2] 11 4 2" xfId="26257"/>
    <cellStyle name="CALC Amount Total [2] 11 4 2 2" xfId="39699"/>
    <cellStyle name="CALC Amount Total [2] 11 4 3" xfId="33453"/>
    <cellStyle name="CALC Amount Total [2] 11 4 4" xfId="39700"/>
    <cellStyle name="CALC Amount Total [2] 11 5" xfId="18919"/>
    <cellStyle name="CALC Amount Total [2] 11 5 2" xfId="27239"/>
    <cellStyle name="CALC Amount Total [2] 11 5 2 2" xfId="39701"/>
    <cellStyle name="CALC Amount Total [2] 11 5 3" xfId="34394"/>
    <cellStyle name="CALC Amount Total [2] 11 5 4" xfId="39702"/>
    <cellStyle name="CALC Amount Total [2] 11 6" xfId="19887"/>
    <cellStyle name="CALC Amount Total [2] 11 6 2" xfId="28209"/>
    <cellStyle name="CALC Amount Total [2] 11 6 2 2" xfId="39703"/>
    <cellStyle name="CALC Amount Total [2] 11 6 3" xfId="35341"/>
    <cellStyle name="CALC Amount Total [2] 11 6 4" xfId="39704"/>
    <cellStyle name="CALC Amount Total [2] 11 7" xfId="20845"/>
    <cellStyle name="CALC Amount Total [2] 11 7 2" xfId="29164"/>
    <cellStyle name="CALC Amount Total [2] 11 7 2 2" xfId="39705"/>
    <cellStyle name="CALC Amount Total [2] 11 7 3" xfId="36251"/>
    <cellStyle name="CALC Amount Total [2] 11 7 4" xfId="39706"/>
    <cellStyle name="CALC Amount Total [2] 11 8" xfId="15500"/>
    <cellStyle name="CALC Amount Total [2] 11 8 2" xfId="23840"/>
    <cellStyle name="CALC Amount Total [2] 11 8 2 2" xfId="39707"/>
    <cellStyle name="CALC Amount Total [2] 11 8 3" xfId="31189"/>
    <cellStyle name="CALC Amount Total [2] 11 8 4" xfId="39708"/>
    <cellStyle name="CALC Amount Total [2] 11 9" xfId="22280"/>
    <cellStyle name="CALC Amount Total [2] 11 9 2" xfId="30578"/>
    <cellStyle name="CALC Amount Total [2] 11 9 2 2" xfId="39709"/>
    <cellStyle name="CALC Amount Total [2] 11 9 3" xfId="37604"/>
    <cellStyle name="CALC Amount Total [2] 11 9 4" xfId="39710"/>
    <cellStyle name="CALC Amount Total [2] 12" xfId="14942"/>
    <cellStyle name="CALC Amount Total [2] 12 10" xfId="23305"/>
    <cellStyle name="CALC Amount Total [2] 12 10 2" xfId="39711"/>
    <cellStyle name="CALC Amount Total [2] 12 11" xfId="39712"/>
    <cellStyle name="CALC Amount Total [2] 12 12" xfId="39713"/>
    <cellStyle name="CALC Amount Total [2] 12 2" xfId="16023"/>
    <cellStyle name="CALC Amount Total [2] 12 2 2" xfId="24340"/>
    <cellStyle name="CALC Amount Total [2] 12 2 2 2" xfId="39714"/>
    <cellStyle name="CALC Amount Total [2] 12 2 3" xfId="31620"/>
    <cellStyle name="CALC Amount Total [2] 12 2 4" xfId="39715"/>
    <cellStyle name="CALC Amount Total [2] 12 3" xfId="16989"/>
    <cellStyle name="CALC Amount Total [2] 12 3 2" xfId="25312"/>
    <cellStyle name="CALC Amount Total [2] 12 3 2 2" xfId="39716"/>
    <cellStyle name="CALC Amount Total [2] 12 3 3" xfId="32553"/>
    <cellStyle name="CALC Amount Total [2] 12 3 4" xfId="39717"/>
    <cellStyle name="CALC Amount Total [2] 12 4" xfId="18016"/>
    <cellStyle name="CALC Amount Total [2] 12 4 2" xfId="26338"/>
    <cellStyle name="CALC Amount Total [2] 12 4 2 2" xfId="39718"/>
    <cellStyle name="CALC Amount Total [2] 12 4 3" xfId="33530"/>
    <cellStyle name="CALC Amount Total [2] 12 4 4" xfId="39719"/>
    <cellStyle name="CALC Amount Total [2] 12 5" xfId="19000"/>
    <cellStyle name="CALC Amount Total [2] 12 5 2" xfId="27320"/>
    <cellStyle name="CALC Amount Total [2] 12 5 2 2" xfId="39720"/>
    <cellStyle name="CALC Amount Total [2] 12 5 3" xfId="34471"/>
    <cellStyle name="CALC Amount Total [2] 12 5 4" xfId="39721"/>
    <cellStyle name="CALC Amount Total [2] 12 6" xfId="19968"/>
    <cellStyle name="CALC Amount Total [2] 12 6 2" xfId="28290"/>
    <cellStyle name="CALC Amount Total [2] 12 6 2 2" xfId="39722"/>
    <cellStyle name="CALC Amount Total [2] 12 6 3" xfId="35418"/>
    <cellStyle name="CALC Amount Total [2] 12 6 4" xfId="39723"/>
    <cellStyle name="CALC Amount Total [2] 12 7" xfId="20926"/>
    <cellStyle name="CALC Amount Total [2] 12 7 2" xfId="29245"/>
    <cellStyle name="CALC Amount Total [2] 12 7 2 2" xfId="39724"/>
    <cellStyle name="CALC Amount Total [2] 12 7 3" xfId="36328"/>
    <cellStyle name="CALC Amount Total [2] 12 7 4" xfId="39725"/>
    <cellStyle name="CALC Amount Total [2] 12 8" xfId="21433"/>
    <cellStyle name="CALC Amount Total [2] 12 8 2" xfId="29736"/>
    <cellStyle name="CALC Amount Total [2] 12 8 2 2" xfId="39726"/>
    <cellStyle name="CALC Amount Total [2] 12 8 3" xfId="36798"/>
    <cellStyle name="CALC Amount Total [2] 12 8 4" xfId="39727"/>
    <cellStyle name="CALC Amount Total [2] 12 9" xfId="22361"/>
    <cellStyle name="CALC Amount Total [2] 12 9 2" xfId="30659"/>
    <cellStyle name="CALC Amount Total [2] 12 9 2 2" xfId="39728"/>
    <cellStyle name="CALC Amount Total [2] 12 9 3" xfId="37681"/>
    <cellStyle name="CALC Amount Total [2] 12 9 4" xfId="39729"/>
    <cellStyle name="CALC Amount Total [2] 13" xfId="14975"/>
    <cellStyle name="CALC Amount Total [2] 13 10" xfId="23336"/>
    <cellStyle name="CALC Amount Total [2] 13 10 2" xfId="39730"/>
    <cellStyle name="CALC Amount Total [2] 13 11" xfId="39731"/>
    <cellStyle name="CALC Amount Total [2] 13 12" xfId="39732"/>
    <cellStyle name="CALC Amount Total [2] 13 2" xfId="16056"/>
    <cellStyle name="CALC Amount Total [2] 13 2 2" xfId="24371"/>
    <cellStyle name="CALC Amount Total [2] 13 2 2 2" xfId="39733"/>
    <cellStyle name="CALC Amount Total [2] 13 2 3" xfId="31650"/>
    <cellStyle name="CALC Amount Total [2] 13 2 4" xfId="39734"/>
    <cellStyle name="CALC Amount Total [2] 13 3" xfId="17022"/>
    <cellStyle name="CALC Amount Total [2] 13 3 2" xfId="25343"/>
    <cellStyle name="CALC Amount Total [2] 13 3 2 2" xfId="39735"/>
    <cellStyle name="CALC Amount Total [2] 13 3 3" xfId="32583"/>
    <cellStyle name="CALC Amount Total [2] 13 3 4" xfId="39736"/>
    <cellStyle name="CALC Amount Total [2] 13 4" xfId="18049"/>
    <cellStyle name="CALC Amount Total [2] 13 4 2" xfId="26369"/>
    <cellStyle name="CALC Amount Total [2] 13 4 2 2" xfId="39737"/>
    <cellStyle name="CALC Amount Total [2] 13 4 3" xfId="33560"/>
    <cellStyle name="CALC Amount Total [2] 13 4 4" xfId="39738"/>
    <cellStyle name="CALC Amount Total [2] 13 5" xfId="19033"/>
    <cellStyle name="CALC Amount Total [2] 13 5 2" xfId="27353"/>
    <cellStyle name="CALC Amount Total [2] 13 5 2 2" xfId="39739"/>
    <cellStyle name="CALC Amount Total [2] 13 5 3" xfId="34503"/>
    <cellStyle name="CALC Amount Total [2] 13 5 4" xfId="39740"/>
    <cellStyle name="CALC Amount Total [2] 13 6" xfId="20001"/>
    <cellStyle name="CALC Amount Total [2] 13 6 2" xfId="28323"/>
    <cellStyle name="CALC Amount Total [2] 13 6 2 2" xfId="39741"/>
    <cellStyle name="CALC Amount Total [2] 13 6 3" xfId="35450"/>
    <cellStyle name="CALC Amount Total [2] 13 6 4" xfId="39742"/>
    <cellStyle name="CALC Amount Total [2] 13 7" xfId="20959"/>
    <cellStyle name="CALC Amount Total [2] 13 7 2" xfId="29276"/>
    <cellStyle name="CALC Amount Total [2] 13 7 2 2" xfId="39743"/>
    <cellStyle name="CALC Amount Total [2] 13 7 3" xfId="36358"/>
    <cellStyle name="CALC Amount Total [2] 13 7 4" xfId="39744"/>
    <cellStyle name="CALC Amount Total [2] 13 8" xfId="21466"/>
    <cellStyle name="CALC Amount Total [2] 13 8 2" xfId="29767"/>
    <cellStyle name="CALC Amount Total [2] 13 8 2 2" xfId="39745"/>
    <cellStyle name="CALC Amount Total [2] 13 8 3" xfId="36828"/>
    <cellStyle name="CALC Amount Total [2] 13 8 4" xfId="39746"/>
    <cellStyle name="CALC Amount Total [2] 13 9" xfId="22394"/>
    <cellStyle name="CALC Amount Total [2] 13 9 2" xfId="30690"/>
    <cellStyle name="CALC Amount Total [2] 13 9 2 2" xfId="39747"/>
    <cellStyle name="CALC Amount Total [2] 13 9 3" xfId="37711"/>
    <cellStyle name="CALC Amount Total [2] 13 9 4" xfId="39748"/>
    <cellStyle name="CALC Amount Total [2] 14" xfId="14978"/>
    <cellStyle name="CALC Amount Total [2] 14 10" xfId="23339"/>
    <cellStyle name="CALC Amount Total [2] 14 10 2" xfId="39749"/>
    <cellStyle name="CALC Amount Total [2] 14 11" xfId="39750"/>
    <cellStyle name="CALC Amount Total [2] 14 12" xfId="39751"/>
    <cellStyle name="CALC Amount Total [2] 14 2" xfId="16059"/>
    <cellStyle name="CALC Amount Total [2] 14 2 2" xfId="24374"/>
    <cellStyle name="CALC Amount Total [2] 14 2 2 2" xfId="39752"/>
    <cellStyle name="CALC Amount Total [2] 14 2 3" xfId="31653"/>
    <cellStyle name="CALC Amount Total [2] 14 2 4" xfId="39753"/>
    <cellStyle name="CALC Amount Total [2] 14 3" xfId="17025"/>
    <cellStyle name="CALC Amount Total [2] 14 3 2" xfId="25346"/>
    <cellStyle name="CALC Amount Total [2] 14 3 2 2" xfId="39754"/>
    <cellStyle name="CALC Amount Total [2] 14 3 3" xfId="32586"/>
    <cellStyle name="CALC Amount Total [2] 14 3 4" xfId="39755"/>
    <cellStyle name="CALC Amount Total [2] 14 4" xfId="18052"/>
    <cellStyle name="CALC Amount Total [2] 14 4 2" xfId="26372"/>
    <cellStyle name="CALC Amount Total [2] 14 4 2 2" xfId="39756"/>
    <cellStyle name="CALC Amount Total [2] 14 4 3" xfId="33563"/>
    <cellStyle name="CALC Amount Total [2] 14 4 4" xfId="39757"/>
    <cellStyle name="CALC Amount Total [2] 14 5" xfId="19036"/>
    <cellStyle name="CALC Amount Total [2] 14 5 2" xfId="27356"/>
    <cellStyle name="CALC Amount Total [2] 14 5 2 2" xfId="39758"/>
    <cellStyle name="CALC Amount Total [2] 14 5 3" xfId="34506"/>
    <cellStyle name="CALC Amount Total [2] 14 5 4" xfId="39759"/>
    <cellStyle name="CALC Amount Total [2] 14 6" xfId="20004"/>
    <cellStyle name="CALC Amount Total [2] 14 6 2" xfId="28326"/>
    <cellStyle name="CALC Amount Total [2] 14 6 2 2" xfId="39760"/>
    <cellStyle name="CALC Amount Total [2] 14 6 3" xfId="35453"/>
    <cellStyle name="CALC Amount Total [2] 14 6 4" xfId="39761"/>
    <cellStyle name="CALC Amount Total [2] 14 7" xfId="20962"/>
    <cellStyle name="CALC Amount Total [2] 14 7 2" xfId="29279"/>
    <cellStyle name="CALC Amount Total [2] 14 7 2 2" xfId="39762"/>
    <cellStyle name="CALC Amount Total [2] 14 7 3" xfId="36361"/>
    <cellStyle name="CALC Amount Total [2] 14 7 4" xfId="39763"/>
    <cellStyle name="CALC Amount Total [2] 14 8" xfId="21469"/>
    <cellStyle name="CALC Amount Total [2] 14 8 2" xfId="29770"/>
    <cellStyle name="CALC Amount Total [2] 14 8 2 2" xfId="39764"/>
    <cellStyle name="CALC Amount Total [2] 14 8 3" xfId="36831"/>
    <cellStyle name="CALC Amount Total [2] 14 8 4" xfId="39765"/>
    <cellStyle name="CALC Amount Total [2] 14 9" xfId="22397"/>
    <cellStyle name="CALC Amount Total [2] 14 9 2" xfId="30693"/>
    <cellStyle name="CALC Amount Total [2] 14 9 2 2" xfId="39766"/>
    <cellStyle name="CALC Amount Total [2] 14 9 3" xfId="37714"/>
    <cellStyle name="CALC Amount Total [2] 14 9 4" xfId="39767"/>
    <cellStyle name="CALC Amount Total [2] 15" xfId="15117"/>
    <cellStyle name="CALC Amount Total [2] 15 10" xfId="39768"/>
    <cellStyle name="CALC Amount Total [2] 15 11" xfId="39769"/>
    <cellStyle name="CALC Amount Total [2] 15 2" xfId="16197"/>
    <cellStyle name="CALC Amount Total [2] 15 2 2" xfId="24510"/>
    <cellStyle name="CALC Amount Total [2] 15 2 2 2" xfId="39770"/>
    <cellStyle name="CALC Amount Total [2] 15 2 3" xfId="31787"/>
    <cellStyle name="CALC Amount Total [2] 15 2 4" xfId="39771"/>
    <cellStyle name="CALC Amount Total [2] 15 3" xfId="17163"/>
    <cellStyle name="CALC Amount Total [2] 15 3 2" xfId="25484"/>
    <cellStyle name="CALC Amount Total [2] 15 3 2 2" xfId="39772"/>
    <cellStyle name="CALC Amount Total [2] 15 3 3" xfId="32720"/>
    <cellStyle name="CALC Amount Total [2] 15 3 4" xfId="39773"/>
    <cellStyle name="CALC Amount Total [2] 15 4" xfId="18191"/>
    <cellStyle name="CALC Amount Total [2] 15 4 2" xfId="26511"/>
    <cellStyle name="CALC Amount Total [2] 15 4 2 2" xfId="39774"/>
    <cellStyle name="CALC Amount Total [2] 15 4 3" xfId="33698"/>
    <cellStyle name="CALC Amount Total [2] 15 4 4" xfId="39775"/>
    <cellStyle name="CALC Amount Total [2] 15 5" xfId="19175"/>
    <cellStyle name="CALC Amount Total [2] 15 5 2" xfId="27495"/>
    <cellStyle name="CALC Amount Total [2] 15 5 2 2" xfId="39776"/>
    <cellStyle name="CALC Amount Total [2] 15 5 3" xfId="34643"/>
    <cellStyle name="CALC Amount Total [2] 15 5 4" xfId="39777"/>
    <cellStyle name="CALC Amount Total [2] 15 6" xfId="20143"/>
    <cellStyle name="CALC Amount Total [2] 15 6 2" xfId="28465"/>
    <cellStyle name="CALC Amount Total [2] 15 6 2 2" xfId="39778"/>
    <cellStyle name="CALC Amount Total [2] 15 6 3" xfId="35590"/>
    <cellStyle name="CALC Amount Total [2] 15 6 4" xfId="39779"/>
    <cellStyle name="CALC Amount Total [2] 15 7" xfId="21604"/>
    <cellStyle name="CALC Amount Total [2] 15 7 2" xfId="29905"/>
    <cellStyle name="CALC Amount Total [2] 15 7 2 2" xfId="39780"/>
    <cellStyle name="CALC Amount Total [2] 15 7 3" xfId="36964"/>
    <cellStyle name="CALC Amount Total [2] 15 7 4" xfId="39781"/>
    <cellStyle name="CALC Amount Total [2] 15 8" xfId="22532"/>
    <cellStyle name="CALC Amount Total [2] 15 8 2" xfId="30828"/>
    <cellStyle name="CALC Amount Total [2] 15 8 2 2" xfId="39782"/>
    <cellStyle name="CALC Amount Total [2] 15 8 3" xfId="37847"/>
    <cellStyle name="CALC Amount Total [2] 15 8 4" xfId="39783"/>
    <cellStyle name="CALC Amount Total [2] 15 9" xfId="23474"/>
    <cellStyle name="CALC Amount Total [2] 15 9 2" xfId="39784"/>
    <cellStyle name="CALC Amount Total [2] 16" xfId="15100"/>
    <cellStyle name="CALC Amount Total [2] 16 10" xfId="39785"/>
    <cellStyle name="CALC Amount Total [2] 16 11" xfId="39786"/>
    <cellStyle name="CALC Amount Total [2] 16 2" xfId="16180"/>
    <cellStyle name="CALC Amount Total [2] 16 2 2" xfId="24493"/>
    <cellStyle name="CALC Amount Total [2] 16 2 2 2" xfId="39787"/>
    <cellStyle name="CALC Amount Total [2] 16 2 3" xfId="31770"/>
    <cellStyle name="CALC Amount Total [2] 16 2 4" xfId="39788"/>
    <cellStyle name="CALC Amount Total [2] 16 3" xfId="17146"/>
    <cellStyle name="CALC Amount Total [2] 16 3 2" xfId="25467"/>
    <cellStyle name="CALC Amount Total [2] 16 3 2 2" xfId="39789"/>
    <cellStyle name="CALC Amount Total [2] 16 3 3" xfId="32703"/>
    <cellStyle name="CALC Amount Total [2] 16 3 4" xfId="39790"/>
    <cellStyle name="CALC Amount Total [2] 16 4" xfId="18174"/>
    <cellStyle name="CALC Amount Total [2] 16 4 2" xfId="26494"/>
    <cellStyle name="CALC Amount Total [2] 16 4 2 2" xfId="39791"/>
    <cellStyle name="CALC Amount Total [2] 16 4 3" xfId="33681"/>
    <cellStyle name="CALC Amount Total [2] 16 4 4" xfId="39792"/>
    <cellStyle name="CALC Amount Total [2] 16 5" xfId="19158"/>
    <cellStyle name="CALC Amount Total [2] 16 5 2" xfId="27478"/>
    <cellStyle name="CALC Amount Total [2] 16 5 2 2" xfId="39793"/>
    <cellStyle name="CALC Amount Total [2] 16 5 3" xfId="34626"/>
    <cellStyle name="CALC Amount Total [2] 16 5 4" xfId="39794"/>
    <cellStyle name="CALC Amount Total [2] 16 6" xfId="20126"/>
    <cellStyle name="CALC Amount Total [2] 16 6 2" xfId="28448"/>
    <cellStyle name="CALC Amount Total [2] 16 6 2 2" xfId="39795"/>
    <cellStyle name="CALC Amount Total [2] 16 6 3" xfId="35573"/>
    <cellStyle name="CALC Amount Total [2] 16 6 4" xfId="39796"/>
    <cellStyle name="CALC Amount Total [2] 16 7" xfId="21587"/>
    <cellStyle name="CALC Amount Total [2] 16 7 2" xfId="29888"/>
    <cellStyle name="CALC Amount Total [2] 16 7 2 2" xfId="39797"/>
    <cellStyle name="CALC Amount Total [2] 16 7 3" xfId="36947"/>
    <cellStyle name="CALC Amount Total [2] 16 7 4" xfId="39798"/>
    <cellStyle name="CALC Amount Total [2] 16 8" xfId="22515"/>
    <cellStyle name="CALC Amount Total [2] 16 8 2" xfId="30811"/>
    <cellStyle name="CALC Amount Total [2] 16 8 2 2" xfId="39799"/>
    <cellStyle name="CALC Amount Total [2] 16 8 3" xfId="37830"/>
    <cellStyle name="CALC Amount Total [2] 16 8 4" xfId="39800"/>
    <cellStyle name="CALC Amount Total [2] 16 9" xfId="23457"/>
    <cellStyle name="CALC Amount Total [2] 16 9 2" xfId="39801"/>
    <cellStyle name="CALC Amount Total [2] 17" xfId="15134"/>
    <cellStyle name="CALC Amount Total [2] 17 10" xfId="39802"/>
    <cellStyle name="CALC Amount Total [2] 17 11" xfId="39803"/>
    <cellStyle name="CALC Amount Total [2] 17 2" xfId="16214"/>
    <cellStyle name="CALC Amount Total [2] 17 2 2" xfId="24527"/>
    <cellStyle name="CALC Amount Total [2] 17 2 2 2" xfId="39804"/>
    <cellStyle name="CALC Amount Total [2] 17 2 3" xfId="31802"/>
    <cellStyle name="CALC Amount Total [2] 17 2 4" xfId="39805"/>
    <cellStyle name="CALC Amount Total [2] 17 3" xfId="17180"/>
    <cellStyle name="CALC Amount Total [2] 17 3 2" xfId="25501"/>
    <cellStyle name="CALC Amount Total [2] 17 3 2 2" xfId="39806"/>
    <cellStyle name="CALC Amount Total [2] 17 3 3" xfId="32735"/>
    <cellStyle name="CALC Amount Total [2] 17 3 4" xfId="39807"/>
    <cellStyle name="CALC Amount Total [2] 17 4" xfId="18208"/>
    <cellStyle name="CALC Amount Total [2] 17 4 2" xfId="26528"/>
    <cellStyle name="CALC Amount Total [2] 17 4 2 2" xfId="39808"/>
    <cellStyle name="CALC Amount Total [2] 17 4 3" xfId="33713"/>
    <cellStyle name="CALC Amount Total [2] 17 4 4" xfId="39809"/>
    <cellStyle name="CALC Amount Total [2] 17 5" xfId="19192"/>
    <cellStyle name="CALC Amount Total [2] 17 5 2" xfId="27512"/>
    <cellStyle name="CALC Amount Total [2] 17 5 2 2" xfId="39810"/>
    <cellStyle name="CALC Amount Total [2] 17 5 3" xfId="34660"/>
    <cellStyle name="CALC Amount Total [2] 17 5 4" xfId="39811"/>
    <cellStyle name="CALC Amount Total [2] 17 6" xfId="20160"/>
    <cellStyle name="CALC Amount Total [2] 17 6 2" xfId="28482"/>
    <cellStyle name="CALC Amount Total [2] 17 6 2 2" xfId="39812"/>
    <cellStyle name="CALC Amount Total [2] 17 6 3" xfId="35605"/>
    <cellStyle name="CALC Amount Total [2] 17 6 4" xfId="39813"/>
    <cellStyle name="CALC Amount Total [2] 17 7" xfId="21621"/>
    <cellStyle name="CALC Amount Total [2] 17 7 2" xfId="29922"/>
    <cellStyle name="CALC Amount Total [2] 17 7 2 2" xfId="39814"/>
    <cellStyle name="CALC Amount Total [2] 17 7 3" xfId="36979"/>
    <cellStyle name="CALC Amount Total [2] 17 7 4" xfId="39815"/>
    <cellStyle name="CALC Amount Total [2] 17 8" xfId="22549"/>
    <cellStyle name="CALC Amount Total [2] 17 8 2" xfId="30845"/>
    <cellStyle name="CALC Amount Total [2] 17 8 2 2" xfId="39816"/>
    <cellStyle name="CALC Amount Total [2] 17 8 3" xfId="37862"/>
    <cellStyle name="CALC Amount Total [2] 17 8 4" xfId="39817"/>
    <cellStyle name="CALC Amount Total [2] 17 9" xfId="23491"/>
    <cellStyle name="CALC Amount Total [2] 17 9 2" xfId="39818"/>
    <cellStyle name="CALC Amount Total [2] 18" xfId="15111"/>
    <cellStyle name="CALC Amount Total [2] 18 10" xfId="39819"/>
    <cellStyle name="CALC Amount Total [2] 18 11" xfId="39820"/>
    <cellStyle name="CALC Amount Total [2] 18 2" xfId="16191"/>
    <cellStyle name="CALC Amount Total [2] 18 2 2" xfId="24504"/>
    <cellStyle name="CALC Amount Total [2] 18 2 2 2" xfId="39821"/>
    <cellStyle name="CALC Amount Total [2] 18 2 3" xfId="31781"/>
    <cellStyle name="CALC Amount Total [2] 18 2 4" xfId="39822"/>
    <cellStyle name="CALC Amount Total [2] 18 3" xfId="17157"/>
    <cellStyle name="CALC Amount Total [2] 18 3 2" xfId="25478"/>
    <cellStyle name="CALC Amount Total [2] 18 3 2 2" xfId="39823"/>
    <cellStyle name="CALC Amount Total [2] 18 3 3" xfId="32714"/>
    <cellStyle name="CALC Amount Total [2] 18 3 4" xfId="39824"/>
    <cellStyle name="CALC Amount Total [2] 18 4" xfId="18185"/>
    <cellStyle name="CALC Amount Total [2] 18 4 2" xfId="26505"/>
    <cellStyle name="CALC Amount Total [2] 18 4 2 2" xfId="39825"/>
    <cellStyle name="CALC Amount Total [2] 18 4 3" xfId="33692"/>
    <cellStyle name="CALC Amount Total [2] 18 4 4" xfId="39826"/>
    <cellStyle name="CALC Amount Total [2] 18 5" xfId="19169"/>
    <cellStyle name="CALC Amount Total [2] 18 5 2" xfId="27489"/>
    <cellStyle name="CALC Amount Total [2] 18 5 2 2" xfId="39827"/>
    <cellStyle name="CALC Amount Total [2] 18 5 3" xfId="34637"/>
    <cellStyle name="CALC Amount Total [2] 18 5 4" xfId="39828"/>
    <cellStyle name="CALC Amount Total [2] 18 6" xfId="20137"/>
    <cellStyle name="CALC Amount Total [2] 18 6 2" xfId="28459"/>
    <cellStyle name="CALC Amount Total [2] 18 6 2 2" xfId="39829"/>
    <cellStyle name="CALC Amount Total [2] 18 6 3" xfId="35584"/>
    <cellStyle name="CALC Amount Total [2] 18 6 4" xfId="39830"/>
    <cellStyle name="CALC Amount Total [2] 18 7" xfId="21598"/>
    <cellStyle name="CALC Amount Total [2] 18 7 2" xfId="29899"/>
    <cellStyle name="CALC Amount Total [2] 18 7 2 2" xfId="39831"/>
    <cellStyle name="CALC Amount Total [2] 18 7 3" xfId="36958"/>
    <cellStyle name="CALC Amount Total [2] 18 7 4" xfId="39832"/>
    <cellStyle name="CALC Amount Total [2] 18 8" xfId="22526"/>
    <cellStyle name="CALC Amount Total [2] 18 8 2" xfId="30822"/>
    <cellStyle name="CALC Amount Total [2] 18 8 2 2" xfId="39833"/>
    <cellStyle name="CALC Amount Total [2] 18 8 3" xfId="37841"/>
    <cellStyle name="CALC Amount Total [2] 18 8 4" xfId="39834"/>
    <cellStyle name="CALC Amount Total [2] 18 9" xfId="23468"/>
    <cellStyle name="CALC Amount Total [2] 18 9 2" xfId="39835"/>
    <cellStyle name="CALC Amount Total [2] 19" xfId="15278"/>
    <cellStyle name="CALC Amount Total [2] 19 10" xfId="39836"/>
    <cellStyle name="CALC Amount Total [2] 19 11" xfId="39837"/>
    <cellStyle name="CALC Amount Total [2] 19 2" xfId="16358"/>
    <cellStyle name="CALC Amount Total [2] 19 2 2" xfId="24671"/>
    <cellStyle name="CALC Amount Total [2] 19 2 2 2" xfId="39838"/>
    <cellStyle name="CALC Amount Total [2] 19 2 3" xfId="31938"/>
    <cellStyle name="CALC Amount Total [2] 19 2 4" xfId="39839"/>
    <cellStyle name="CALC Amount Total [2] 19 3" xfId="17324"/>
    <cellStyle name="CALC Amount Total [2] 19 3 2" xfId="25645"/>
    <cellStyle name="CALC Amount Total [2] 19 3 2 2" xfId="39840"/>
    <cellStyle name="CALC Amount Total [2] 19 3 3" xfId="32871"/>
    <cellStyle name="CALC Amount Total [2] 19 3 4" xfId="39841"/>
    <cellStyle name="CALC Amount Total [2] 19 4" xfId="18352"/>
    <cellStyle name="CALC Amount Total [2] 19 4 2" xfId="26672"/>
    <cellStyle name="CALC Amount Total [2] 19 4 2 2" xfId="39842"/>
    <cellStyle name="CALC Amount Total [2] 19 4 3" xfId="33849"/>
    <cellStyle name="CALC Amount Total [2] 19 4 4" xfId="39843"/>
    <cellStyle name="CALC Amount Total [2] 19 5" xfId="19336"/>
    <cellStyle name="CALC Amount Total [2] 19 5 2" xfId="27656"/>
    <cellStyle name="CALC Amount Total [2] 19 5 2 2" xfId="39844"/>
    <cellStyle name="CALC Amount Total [2] 19 5 3" xfId="34804"/>
    <cellStyle name="CALC Amount Total [2] 19 5 4" xfId="39845"/>
    <cellStyle name="CALC Amount Total [2] 19 6" xfId="20304"/>
    <cellStyle name="CALC Amount Total [2] 19 6 2" xfId="28626"/>
    <cellStyle name="CALC Amount Total [2] 19 6 2 2" xfId="39846"/>
    <cellStyle name="CALC Amount Total [2] 19 6 3" xfId="35741"/>
    <cellStyle name="CALC Amount Total [2] 19 6 4" xfId="39847"/>
    <cellStyle name="CALC Amount Total [2] 19 7" xfId="21765"/>
    <cellStyle name="CALC Amount Total [2] 19 7 2" xfId="30066"/>
    <cellStyle name="CALC Amount Total [2] 19 7 2 2" xfId="39848"/>
    <cellStyle name="CALC Amount Total [2] 19 7 3" xfId="37115"/>
    <cellStyle name="CALC Amount Total [2] 19 7 4" xfId="39849"/>
    <cellStyle name="CALC Amount Total [2] 19 8" xfId="22693"/>
    <cellStyle name="CALC Amount Total [2] 19 8 2" xfId="30989"/>
    <cellStyle name="CALC Amount Total [2] 19 8 2 2" xfId="39850"/>
    <cellStyle name="CALC Amount Total [2] 19 8 3" xfId="37998"/>
    <cellStyle name="CALC Amount Total [2] 19 8 4" xfId="39851"/>
    <cellStyle name="CALC Amount Total [2] 19 9" xfId="23635"/>
    <cellStyle name="CALC Amount Total [2] 19 9 2" xfId="39852"/>
    <cellStyle name="CALC Amount Total [2] 2" xfId="14455"/>
    <cellStyle name="CALC Amount Total [2] 2 10" xfId="14714"/>
    <cellStyle name="CALC Amount Total [2] 2 10 10" xfId="23076"/>
    <cellStyle name="CALC Amount Total [2] 2 10 10 2" xfId="39853"/>
    <cellStyle name="CALC Amount Total [2] 2 10 11" xfId="39854"/>
    <cellStyle name="CALC Amount Total [2] 2 10 12" xfId="39855"/>
    <cellStyle name="CALC Amount Total [2] 2 10 2" xfId="15795"/>
    <cellStyle name="CALC Amount Total [2] 2 10 2 2" xfId="24111"/>
    <cellStyle name="CALC Amount Total [2] 2 10 2 2 2" xfId="39856"/>
    <cellStyle name="CALC Amount Total [2] 2 10 2 3" xfId="31399"/>
    <cellStyle name="CALC Amount Total [2] 2 10 2 4" xfId="39857"/>
    <cellStyle name="CALC Amount Total [2] 2 10 3" xfId="16761"/>
    <cellStyle name="CALC Amount Total [2] 2 10 3 2" xfId="25083"/>
    <cellStyle name="CALC Amount Total [2] 2 10 3 2 2" xfId="39858"/>
    <cellStyle name="CALC Amount Total [2] 2 10 3 3" xfId="32332"/>
    <cellStyle name="CALC Amount Total [2] 2 10 3 4" xfId="39859"/>
    <cellStyle name="CALC Amount Total [2] 2 10 4" xfId="17785"/>
    <cellStyle name="CALC Amount Total [2] 2 10 4 2" xfId="26109"/>
    <cellStyle name="CALC Amount Total [2] 2 10 4 2 2" xfId="39860"/>
    <cellStyle name="CALC Amount Total [2] 2 10 4 3" xfId="33309"/>
    <cellStyle name="CALC Amount Total [2] 2 10 4 4" xfId="39861"/>
    <cellStyle name="CALC Amount Total [2] 2 10 5" xfId="18769"/>
    <cellStyle name="CALC Amount Total [2] 2 10 5 2" xfId="27090"/>
    <cellStyle name="CALC Amount Total [2] 2 10 5 2 2" xfId="39862"/>
    <cellStyle name="CALC Amount Total [2] 2 10 5 3" xfId="34249"/>
    <cellStyle name="CALC Amount Total [2] 2 10 5 4" xfId="39863"/>
    <cellStyle name="CALC Amount Total [2] 2 10 6" xfId="19738"/>
    <cellStyle name="CALC Amount Total [2] 2 10 6 2" xfId="28059"/>
    <cellStyle name="CALC Amount Total [2] 2 10 6 2 2" xfId="39864"/>
    <cellStyle name="CALC Amount Total [2] 2 10 6 3" xfId="35195"/>
    <cellStyle name="CALC Amount Total [2] 2 10 6 4" xfId="39865"/>
    <cellStyle name="CALC Amount Total [2] 2 10 7" xfId="20695"/>
    <cellStyle name="CALC Amount Total [2] 2 10 7 2" xfId="29016"/>
    <cellStyle name="CALC Amount Total [2] 2 10 7 2 2" xfId="39866"/>
    <cellStyle name="CALC Amount Total [2] 2 10 7 3" xfId="36109"/>
    <cellStyle name="CALC Amount Total [2] 2 10 7 4" xfId="39867"/>
    <cellStyle name="CALC Amount Total [2] 2 10 8" xfId="21330"/>
    <cellStyle name="CALC Amount Total [2] 2 10 8 2" xfId="29635"/>
    <cellStyle name="CALC Amount Total [2] 2 10 8 2 2" xfId="39868"/>
    <cellStyle name="CALC Amount Total [2] 2 10 8 3" xfId="36701"/>
    <cellStyle name="CALC Amount Total [2] 2 10 8 4" xfId="39869"/>
    <cellStyle name="CALC Amount Total [2] 2 10 9" xfId="22131"/>
    <cellStyle name="CALC Amount Total [2] 2 10 9 2" xfId="30429"/>
    <cellStyle name="CALC Amount Total [2] 2 10 9 2 2" xfId="39870"/>
    <cellStyle name="CALC Amount Total [2] 2 10 9 3" xfId="37460"/>
    <cellStyle name="CALC Amount Total [2] 2 10 9 4" xfId="39871"/>
    <cellStyle name="CALC Amount Total [2] 2 11" xfId="14878"/>
    <cellStyle name="CALC Amount Total [2] 2 11 10" xfId="23241"/>
    <cellStyle name="CALC Amount Total [2] 2 11 10 2" xfId="39872"/>
    <cellStyle name="CALC Amount Total [2] 2 11 11" xfId="39873"/>
    <cellStyle name="CALC Amount Total [2] 2 11 12" xfId="39874"/>
    <cellStyle name="CALC Amount Total [2] 2 11 2" xfId="15959"/>
    <cellStyle name="CALC Amount Total [2] 2 11 2 2" xfId="24276"/>
    <cellStyle name="CALC Amount Total [2] 2 11 2 2 2" xfId="39875"/>
    <cellStyle name="CALC Amount Total [2] 2 11 2 3" xfId="31559"/>
    <cellStyle name="CALC Amount Total [2] 2 11 2 4" xfId="39876"/>
    <cellStyle name="CALC Amount Total [2] 2 11 3" xfId="16925"/>
    <cellStyle name="CALC Amount Total [2] 2 11 3 2" xfId="25248"/>
    <cellStyle name="CALC Amount Total [2] 2 11 3 2 2" xfId="39877"/>
    <cellStyle name="CALC Amount Total [2] 2 11 3 3" xfId="32492"/>
    <cellStyle name="CALC Amount Total [2] 2 11 3 4" xfId="39878"/>
    <cellStyle name="CALC Amount Total [2] 2 11 4" xfId="17952"/>
    <cellStyle name="CALC Amount Total [2] 2 11 4 2" xfId="26274"/>
    <cellStyle name="CALC Amount Total [2] 2 11 4 2 2" xfId="39879"/>
    <cellStyle name="CALC Amount Total [2] 2 11 4 3" xfId="33469"/>
    <cellStyle name="CALC Amount Total [2] 2 11 4 4" xfId="39880"/>
    <cellStyle name="CALC Amount Total [2] 2 11 5" xfId="18936"/>
    <cellStyle name="CALC Amount Total [2] 2 11 5 2" xfId="27256"/>
    <cellStyle name="CALC Amount Total [2] 2 11 5 2 2" xfId="39881"/>
    <cellStyle name="CALC Amount Total [2] 2 11 5 3" xfId="34410"/>
    <cellStyle name="CALC Amount Total [2] 2 11 5 4" xfId="39882"/>
    <cellStyle name="CALC Amount Total [2] 2 11 6" xfId="19904"/>
    <cellStyle name="CALC Amount Total [2] 2 11 6 2" xfId="28226"/>
    <cellStyle name="CALC Amount Total [2] 2 11 6 2 2" xfId="39883"/>
    <cellStyle name="CALC Amount Total [2] 2 11 6 3" xfId="35357"/>
    <cellStyle name="CALC Amount Total [2] 2 11 6 4" xfId="39884"/>
    <cellStyle name="CALC Amount Total [2] 2 11 7" xfId="20862"/>
    <cellStyle name="CALC Amount Total [2] 2 11 7 2" xfId="29181"/>
    <cellStyle name="CALC Amount Total [2] 2 11 7 2 2" xfId="39885"/>
    <cellStyle name="CALC Amount Total [2] 2 11 7 3" xfId="36267"/>
    <cellStyle name="CALC Amount Total [2] 2 11 7 4" xfId="39886"/>
    <cellStyle name="CALC Amount Total [2] 2 11 8" xfId="15495"/>
    <cellStyle name="CALC Amount Total [2] 2 11 8 2" xfId="23835"/>
    <cellStyle name="CALC Amount Total [2] 2 11 8 2 2" xfId="39887"/>
    <cellStyle name="CALC Amount Total [2] 2 11 8 3" xfId="31184"/>
    <cellStyle name="CALC Amount Total [2] 2 11 8 4" xfId="39888"/>
    <cellStyle name="CALC Amount Total [2] 2 11 9" xfId="22297"/>
    <cellStyle name="CALC Amount Total [2] 2 11 9 2" xfId="30595"/>
    <cellStyle name="CALC Amount Total [2] 2 11 9 2 2" xfId="39889"/>
    <cellStyle name="CALC Amount Total [2] 2 11 9 3" xfId="37620"/>
    <cellStyle name="CALC Amount Total [2] 2 11 9 4" xfId="39890"/>
    <cellStyle name="CALC Amount Total [2] 2 12" xfId="14894"/>
    <cellStyle name="CALC Amount Total [2] 2 12 10" xfId="23257"/>
    <cellStyle name="CALC Amount Total [2] 2 12 10 2" xfId="39891"/>
    <cellStyle name="CALC Amount Total [2] 2 12 11" xfId="39892"/>
    <cellStyle name="CALC Amount Total [2] 2 12 12" xfId="39893"/>
    <cellStyle name="CALC Amount Total [2] 2 12 2" xfId="15975"/>
    <cellStyle name="CALC Amount Total [2] 2 12 2 2" xfId="24292"/>
    <cellStyle name="CALC Amount Total [2] 2 12 2 2 2" xfId="39894"/>
    <cellStyle name="CALC Amount Total [2] 2 12 2 3" xfId="31573"/>
    <cellStyle name="CALC Amount Total [2] 2 12 2 4" xfId="39895"/>
    <cellStyle name="CALC Amount Total [2] 2 12 3" xfId="16941"/>
    <cellStyle name="CALC Amount Total [2] 2 12 3 2" xfId="25264"/>
    <cellStyle name="CALC Amount Total [2] 2 12 3 2 2" xfId="39896"/>
    <cellStyle name="CALC Amount Total [2] 2 12 3 3" xfId="32506"/>
    <cellStyle name="CALC Amount Total [2] 2 12 3 4" xfId="39897"/>
    <cellStyle name="CALC Amount Total [2] 2 12 4" xfId="17968"/>
    <cellStyle name="CALC Amount Total [2] 2 12 4 2" xfId="26290"/>
    <cellStyle name="CALC Amount Total [2] 2 12 4 2 2" xfId="39898"/>
    <cellStyle name="CALC Amount Total [2] 2 12 4 3" xfId="33483"/>
    <cellStyle name="CALC Amount Total [2] 2 12 4 4" xfId="39899"/>
    <cellStyle name="CALC Amount Total [2] 2 12 5" xfId="18952"/>
    <cellStyle name="CALC Amount Total [2] 2 12 5 2" xfId="27272"/>
    <cellStyle name="CALC Amount Total [2] 2 12 5 2 2" xfId="39900"/>
    <cellStyle name="CALC Amount Total [2] 2 12 5 3" xfId="34424"/>
    <cellStyle name="CALC Amount Total [2] 2 12 5 4" xfId="39901"/>
    <cellStyle name="CALC Amount Total [2] 2 12 6" xfId="19920"/>
    <cellStyle name="CALC Amount Total [2] 2 12 6 2" xfId="28242"/>
    <cellStyle name="CALC Amount Total [2] 2 12 6 2 2" xfId="39902"/>
    <cellStyle name="CALC Amount Total [2] 2 12 6 3" xfId="35371"/>
    <cellStyle name="CALC Amount Total [2] 2 12 6 4" xfId="39903"/>
    <cellStyle name="CALC Amount Total [2] 2 12 7" xfId="20878"/>
    <cellStyle name="CALC Amount Total [2] 2 12 7 2" xfId="29197"/>
    <cellStyle name="CALC Amount Total [2] 2 12 7 2 2" xfId="39904"/>
    <cellStyle name="CALC Amount Total [2] 2 12 7 3" xfId="36281"/>
    <cellStyle name="CALC Amount Total [2] 2 12 7 4" xfId="39905"/>
    <cellStyle name="CALC Amount Total [2] 2 12 8" xfId="21385"/>
    <cellStyle name="CALC Amount Total [2] 2 12 8 2" xfId="29688"/>
    <cellStyle name="CALC Amount Total [2] 2 12 8 2 2" xfId="39906"/>
    <cellStyle name="CALC Amount Total [2] 2 12 8 3" xfId="36751"/>
    <cellStyle name="CALC Amount Total [2] 2 12 8 4" xfId="39907"/>
    <cellStyle name="CALC Amount Total [2] 2 12 9" xfId="22313"/>
    <cellStyle name="CALC Amount Total [2] 2 12 9 2" xfId="30611"/>
    <cellStyle name="CALC Amount Total [2] 2 12 9 2 2" xfId="39908"/>
    <cellStyle name="CALC Amount Total [2] 2 12 9 3" xfId="37634"/>
    <cellStyle name="CALC Amount Total [2] 2 12 9 4" xfId="39909"/>
    <cellStyle name="CALC Amount Total [2] 2 13" xfId="14918"/>
    <cellStyle name="CALC Amount Total [2] 2 13 10" xfId="23281"/>
    <cellStyle name="CALC Amount Total [2] 2 13 10 2" xfId="39910"/>
    <cellStyle name="CALC Amount Total [2] 2 13 11" xfId="39911"/>
    <cellStyle name="CALC Amount Total [2] 2 13 12" xfId="39912"/>
    <cellStyle name="CALC Amount Total [2] 2 13 2" xfId="15999"/>
    <cellStyle name="CALC Amount Total [2] 2 13 2 2" xfId="24316"/>
    <cellStyle name="CALC Amount Total [2] 2 13 2 2 2" xfId="39913"/>
    <cellStyle name="CALC Amount Total [2] 2 13 2 3" xfId="31596"/>
    <cellStyle name="CALC Amount Total [2] 2 13 2 4" xfId="39914"/>
    <cellStyle name="CALC Amount Total [2] 2 13 3" xfId="16965"/>
    <cellStyle name="CALC Amount Total [2] 2 13 3 2" xfId="25288"/>
    <cellStyle name="CALC Amount Total [2] 2 13 3 2 2" xfId="39915"/>
    <cellStyle name="CALC Amount Total [2] 2 13 3 3" xfId="32529"/>
    <cellStyle name="CALC Amount Total [2] 2 13 3 4" xfId="39916"/>
    <cellStyle name="CALC Amount Total [2] 2 13 4" xfId="17992"/>
    <cellStyle name="CALC Amount Total [2] 2 13 4 2" xfId="26314"/>
    <cellStyle name="CALC Amount Total [2] 2 13 4 2 2" xfId="39917"/>
    <cellStyle name="CALC Amount Total [2] 2 13 4 3" xfId="33506"/>
    <cellStyle name="CALC Amount Total [2] 2 13 4 4" xfId="39918"/>
    <cellStyle name="CALC Amount Total [2] 2 13 5" xfId="18976"/>
    <cellStyle name="CALC Amount Total [2] 2 13 5 2" xfId="27296"/>
    <cellStyle name="CALC Amount Total [2] 2 13 5 2 2" xfId="39919"/>
    <cellStyle name="CALC Amount Total [2] 2 13 5 3" xfId="34447"/>
    <cellStyle name="CALC Amount Total [2] 2 13 5 4" xfId="39920"/>
    <cellStyle name="CALC Amount Total [2] 2 13 6" xfId="19944"/>
    <cellStyle name="CALC Amount Total [2] 2 13 6 2" xfId="28266"/>
    <cellStyle name="CALC Amount Total [2] 2 13 6 2 2" xfId="39921"/>
    <cellStyle name="CALC Amount Total [2] 2 13 6 3" xfId="35394"/>
    <cellStyle name="CALC Amount Total [2] 2 13 6 4" xfId="39922"/>
    <cellStyle name="CALC Amount Total [2] 2 13 7" xfId="20902"/>
    <cellStyle name="CALC Amount Total [2] 2 13 7 2" xfId="29221"/>
    <cellStyle name="CALC Amount Total [2] 2 13 7 2 2" xfId="39923"/>
    <cellStyle name="CALC Amount Total [2] 2 13 7 3" xfId="36304"/>
    <cellStyle name="CALC Amount Total [2] 2 13 7 4" xfId="39924"/>
    <cellStyle name="CALC Amount Total [2] 2 13 8" xfId="21409"/>
    <cellStyle name="CALC Amount Total [2] 2 13 8 2" xfId="29712"/>
    <cellStyle name="CALC Amount Total [2] 2 13 8 2 2" xfId="39925"/>
    <cellStyle name="CALC Amount Total [2] 2 13 8 3" xfId="36774"/>
    <cellStyle name="CALC Amount Total [2] 2 13 8 4" xfId="39926"/>
    <cellStyle name="CALC Amount Total [2] 2 13 9" xfId="22337"/>
    <cellStyle name="CALC Amount Total [2] 2 13 9 2" xfId="30635"/>
    <cellStyle name="CALC Amount Total [2] 2 13 9 2 2" xfId="39927"/>
    <cellStyle name="CALC Amount Total [2] 2 13 9 3" xfId="37657"/>
    <cellStyle name="CALC Amount Total [2] 2 13 9 4" xfId="39928"/>
    <cellStyle name="CALC Amount Total [2] 2 14" xfId="14976"/>
    <cellStyle name="CALC Amount Total [2] 2 14 10" xfId="23337"/>
    <cellStyle name="CALC Amount Total [2] 2 14 10 2" xfId="39929"/>
    <cellStyle name="CALC Amount Total [2] 2 14 11" xfId="39930"/>
    <cellStyle name="CALC Amount Total [2] 2 14 12" xfId="39931"/>
    <cellStyle name="CALC Amount Total [2] 2 14 2" xfId="16057"/>
    <cellStyle name="CALC Amount Total [2] 2 14 2 2" xfId="24372"/>
    <cellStyle name="CALC Amount Total [2] 2 14 2 2 2" xfId="39932"/>
    <cellStyle name="CALC Amount Total [2] 2 14 2 3" xfId="31651"/>
    <cellStyle name="CALC Amount Total [2] 2 14 2 4" xfId="39933"/>
    <cellStyle name="CALC Amount Total [2] 2 14 3" xfId="17023"/>
    <cellStyle name="CALC Amount Total [2] 2 14 3 2" xfId="25344"/>
    <cellStyle name="CALC Amount Total [2] 2 14 3 2 2" xfId="39934"/>
    <cellStyle name="CALC Amount Total [2] 2 14 3 3" xfId="32584"/>
    <cellStyle name="CALC Amount Total [2] 2 14 3 4" xfId="39935"/>
    <cellStyle name="CALC Amount Total [2] 2 14 4" xfId="18050"/>
    <cellStyle name="CALC Amount Total [2] 2 14 4 2" xfId="26370"/>
    <cellStyle name="CALC Amount Total [2] 2 14 4 2 2" xfId="39936"/>
    <cellStyle name="CALC Amount Total [2] 2 14 4 3" xfId="33561"/>
    <cellStyle name="CALC Amount Total [2] 2 14 4 4" xfId="39937"/>
    <cellStyle name="CALC Amount Total [2] 2 14 5" xfId="19034"/>
    <cellStyle name="CALC Amount Total [2] 2 14 5 2" xfId="27354"/>
    <cellStyle name="CALC Amount Total [2] 2 14 5 2 2" xfId="39938"/>
    <cellStyle name="CALC Amount Total [2] 2 14 5 3" xfId="34504"/>
    <cellStyle name="CALC Amount Total [2] 2 14 5 4" xfId="39939"/>
    <cellStyle name="CALC Amount Total [2] 2 14 6" xfId="20002"/>
    <cellStyle name="CALC Amount Total [2] 2 14 6 2" xfId="28324"/>
    <cellStyle name="CALC Amount Total [2] 2 14 6 2 2" xfId="39940"/>
    <cellStyle name="CALC Amount Total [2] 2 14 6 3" xfId="35451"/>
    <cellStyle name="CALC Amount Total [2] 2 14 6 4" xfId="39941"/>
    <cellStyle name="CALC Amount Total [2] 2 14 7" xfId="20960"/>
    <cellStyle name="CALC Amount Total [2] 2 14 7 2" xfId="29277"/>
    <cellStyle name="CALC Amount Total [2] 2 14 7 2 2" xfId="39942"/>
    <cellStyle name="CALC Amount Total [2] 2 14 7 3" xfId="36359"/>
    <cellStyle name="CALC Amount Total [2] 2 14 7 4" xfId="39943"/>
    <cellStyle name="CALC Amount Total [2] 2 14 8" xfId="21467"/>
    <cellStyle name="CALC Amount Total [2] 2 14 8 2" xfId="29768"/>
    <cellStyle name="CALC Amount Total [2] 2 14 8 2 2" xfId="39944"/>
    <cellStyle name="CALC Amount Total [2] 2 14 8 3" xfId="36829"/>
    <cellStyle name="CALC Amount Total [2] 2 14 8 4" xfId="39945"/>
    <cellStyle name="CALC Amount Total [2] 2 14 9" xfId="22395"/>
    <cellStyle name="CALC Amount Total [2] 2 14 9 2" xfId="30691"/>
    <cellStyle name="CALC Amount Total [2] 2 14 9 2 2" xfId="39946"/>
    <cellStyle name="CALC Amount Total [2] 2 14 9 3" xfId="37712"/>
    <cellStyle name="CALC Amount Total [2] 2 14 9 4" xfId="39947"/>
    <cellStyle name="CALC Amount Total [2] 2 15" xfId="15058"/>
    <cellStyle name="CALC Amount Total [2] 2 15 10" xfId="23418"/>
    <cellStyle name="CALC Amount Total [2] 2 15 10 2" xfId="39948"/>
    <cellStyle name="CALC Amount Total [2] 2 15 11" xfId="39949"/>
    <cellStyle name="CALC Amount Total [2] 2 15 12" xfId="39950"/>
    <cellStyle name="CALC Amount Total [2] 2 15 2" xfId="16138"/>
    <cellStyle name="CALC Amount Total [2] 2 15 2 2" xfId="24453"/>
    <cellStyle name="CALC Amount Total [2] 2 15 2 2 2" xfId="39951"/>
    <cellStyle name="CALC Amount Total [2] 2 15 2 3" xfId="31730"/>
    <cellStyle name="CALC Amount Total [2] 2 15 2 4" xfId="39952"/>
    <cellStyle name="CALC Amount Total [2] 2 15 3" xfId="17105"/>
    <cellStyle name="CALC Amount Total [2] 2 15 3 2" xfId="25426"/>
    <cellStyle name="CALC Amount Total [2] 2 15 3 2 2" xfId="39953"/>
    <cellStyle name="CALC Amount Total [2] 2 15 3 3" xfId="32664"/>
    <cellStyle name="CALC Amount Total [2] 2 15 3 4" xfId="39954"/>
    <cellStyle name="CALC Amount Total [2] 2 15 4" xfId="18132"/>
    <cellStyle name="CALC Amount Total [2] 2 15 4 2" xfId="26452"/>
    <cellStyle name="CALC Amount Total [2] 2 15 4 2 2" xfId="39955"/>
    <cellStyle name="CALC Amount Total [2] 2 15 4 3" xfId="33641"/>
    <cellStyle name="CALC Amount Total [2] 2 15 4 4" xfId="39956"/>
    <cellStyle name="CALC Amount Total [2] 2 15 5" xfId="19116"/>
    <cellStyle name="CALC Amount Total [2] 2 15 5 2" xfId="27436"/>
    <cellStyle name="CALC Amount Total [2] 2 15 5 2 2" xfId="39957"/>
    <cellStyle name="CALC Amount Total [2] 2 15 5 3" xfId="34584"/>
    <cellStyle name="CALC Amount Total [2] 2 15 5 4" xfId="39958"/>
    <cellStyle name="CALC Amount Total [2] 2 15 6" xfId="20084"/>
    <cellStyle name="CALC Amount Total [2] 2 15 6 2" xfId="28406"/>
    <cellStyle name="CALC Amount Total [2] 2 15 6 2 2" xfId="39959"/>
    <cellStyle name="CALC Amount Total [2] 2 15 6 3" xfId="35531"/>
    <cellStyle name="CALC Amount Total [2] 2 15 6 4" xfId="39960"/>
    <cellStyle name="CALC Amount Total [2] 2 15 7" xfId="21041"/>
    <cellStyle name="CALC Amount Total [2] 2 15 7 2" xfId="29358"/>
    <cellStyle name="CALC Amount Total [2] 2 15 7 2 2" xfId="39961"/>
    <cellStyle name="CALC Amount Total [2] 2 15 7 3" xfId="36438"/>
    <cellStyle name="CALC Amount Total [2] 2 15 7 4" xfId="39962"/>
    <cellStyle name="CALC Amount Total [2] 2 15 8" xfId="21548"/>
    <cellStyle name="CALC Amount Total [2] 2 15 8 2" xfId="29849"/>
    <cellStyle name="CALC Amount Total [2] 2 15 8 2 2" xfId="39963"/>
    <cellStyle name="CALC Amount Total [2] 2 15 8 3" xfId="36908"/>
    <cellStyle name="CALC Amount Total [2] 2 15 8 4" xfId="39964"/>
    <cellStyle name="CALC Amount Total [2] 2 15 9" xfId="22476"/>
    <cellStyle name="CALC Amount Total [2] 2 15 9 2" xfId="30772"/>
    <cellStyle name="CALC Amount Total [2] 2 15 9 2 2" xfId="39965"/>
    <cellStyle name="CALC Amount Total [2] 2 15 9 3" xfId="37791"/>
    <cellStyle name="CALC Amount Total [2] 2 15 9 4" xfId="39966"/>
    <cellStyle name="CALC Amount Total [2] 2 16" xfId="15143"/>
    <cellStyle name="CALC Amount Total [2] 2 16 10" xfId="39967"/>
    <cellStyle name="CALC Amount Total [2] 2 16 11" xfId="39968"/>
    <cellStyle name="CALC Amount Total [2] 2 16 2" xfId="16223"/>
    <cellStyle name="CALC Amount Total [2] 2 16 2 2" xfId="24536"/>
    <cellStyle name="CALC Amount Total [2] 2 16 2 2 2" xfId="39969"/>
    <cellStyle name="CALC Amount Total [2] 2 16 2 3" xfId="31811"/>
    <cellStyle name="CALC Amount Total [2] 2 16 2 4" xfId="39970"/>
    <cellStyle name="CALC Amount Total [2] 2 16 3" xfId="17189"/>
    <cellStyle name="CALC Amount Total [2] 2 16 3 2" xfId="25510"/>
    <cellStyle name="CALC Amount Total [2] 2 16 3 2 2" xfId="39971"/>
    <cellStyle name="CALC Amount Total [2] 2 16 3 3" xfId="32744"/>
    <cellStyle name="CALC Amount Total [2] 2 16 3 4" xfId="39972"/>
    <cellStyle name="CALC Amount Total [2] 2 16 4" xfId="18217"/>
    <cellStyle name="CALC Amount Total [2] 2 16 4 2" xfId="26537"/>
    <cellStyle name="CALC Amount Total [2] 2 16 4 2 2" xfId="39973"/>
    <cellStyle name="CALC Amount Total [2] 2 16 4 3" xfId="33722"/>
    <cellStyle name="CALC Amount Total [2] 2 16 4 4" xfId="39974"/>
    <cellStyle name="CALC Amount Total [2] 2 16 5" xfId="19201"/>
    <cellStyle name="CALC Amount Total [2] 2 16 5 2" xfId="27521"/>
    <cellStyle name="CALC Amount Total [2] 2 16 5 2 2" xfId="39975"/>
    <cellStyle name="CALC Amount Total [2] 2 16 5 3" xfId="34669"/>
    <cellStyle name="CALC Amount Total [2] 2 16 5 4" xfId="39976"/>
    <cellStyle name="CALC Amount Total [2] 2 16 6" xfId="20169"/>
    <cellStyle name="CALC Amount Total [2] 2 16 6 2" xfId="28491"/>
    <cellStyle name="CALC Amount Total [2] 2 16 6 2 2" xfId="39977"/>
    <cellStyle name="CALC Amount Total [2] 2 16 6 3" xfId="35614"/>
    <cellStyle name="CALC Amount Total [2] 2 16 6 4" xfId="39978"/>
    <cellStyle name="CALC Amount Total [2] 2 16 7" xfId="21630"/>
    <cellStyle name="CALC Amount Total [2] 2 16 7 2" xfId="29931"/>
    <cellStyle name="CALC Amount Total [2] 2 16 7 2 2" xfId="39979"/>
    <cellStyle name="CALC Amount Total [2] 2 16 7 3" xfId="36988"/>
    <cellStyle name="CALC Amount Total [2] 2 16 7 4" xfId="39980"/>
    <cellStyle name="CALC Amount Total [2] 2 16 8" xfId="22558"/>
    <cellStyle name="CALC Amount Total [2] 2 16 8 2" xfId="30854"/>
    <cellStyle name="CALC Amount Total [2] 2 16 8 2 2" xfId="39981"/>
    <cellStyle name="CALC Amount Total [2] 2 16 8 3" xfId="37871"/>
    <cellStyle name="CALC Amount Total [2] 2 16 8 4" xfId="39982"/>
    <cellStyle name="CALC Amount Total [2] 2 16 9" xfId="23500"/>
    <cellStyle name="CALC Amount Total [2] 2 16 9 2" xfId="39983"/>
    <cellStyle name="CALC Amount Total [2] 2 17" xfId="15163"/>
    <cellStyle name="CALC Amount Total [2] 2 17 10" xfId="39984"/>
    <cellStyle name="CALC Amount Total [2] 2 17 11" xfId="39985"/>
    <cellStyle name="CALC Amount Total [2] 2 17 2" xfId="16243"/>
    <cellStyle name="CALC Amount Total [2] 2 17 2 2" xfId="24556"/>
    <cellStyle name="CALC Amount Total [2] 2 17 2 2 2" xfId="39986"/>
    <cellStyle name="CALC Amount Total [2] 2 17 2 3" xfId="31829"/>
    <cellStyle name="CALC Amount Total [2] 2 17 2 4" xfId="39987"/>
    <cellStyle name="CALC Amount Total [2] 2 17 3" xfId="17209"/>
    <cellStyle name="CALC Amount Total [2] 2 17 3 2" xfId="25530"/>
    <cellStyle name="CALC Amount Total [2] 2 17 3 2 2" xfId="39988"/>
    <cellStyle name="CALC Amount Total [2] 2 17 3 3" xfId="32762"/>
    <cellStyle name="CALC Amount Total [2] 2 17 3 4" xfId="39989"/>
    <cellStyle name="CALC Amount Total [2] 2 17 4" xfId="18237"/>
    <cellStyle name="CALC Amount Total [2] 2 17 4 2" xfId="26557"/>
    <cellStyle name="CALC Amount Total [2] 2 17 4 2 2" xfId="39990"/>
    <cellStyle name="CALC Amount Total [2] 2 17 4 3" xfId="33740"/>
    <cellStyle name="CALC Amount Total [2] 2 17 4 4" xfId="39991"/>
    <cellStyle name="CALC Amount Total [2] 2 17 5" xfId="19221"/>
    <cellStyle name="CALC Amount Total [2] 2 17 5 2" xfId="27541"/>
    <cellStyle name="CALC Amount Total [2] 2 17 5 2 2" xfId="39992"/>
    <cellStyle name="CALC Amount Total [2] 2 17 5 3" xfId="34689"/>
    <cellStyle name="CALC Amount Total [2] 2 17 5 4" xfId="39993"/>
    <cellStyle name="CALC Amount Total [2] 2 17 6" xfId="20189"/>
    <cellStyle name="CALC Amount Total [2] 2 17 6 2" xfId="28511"/>
    <cellStyle name="CALC Amount Total [2] 2 17 6 2 2" xfId="39994"/>
    <cellStyle name="CALC Amount Total [2] 2 17 6 3" xfId="35632"/>
    <cellStyle name="CALC Amount Total [2] 2 17 6 4" xfId="39995"/>
    <cellStyle name="CALC Amount Total [2] 2 17 7" xfId="21650"/>
    <cellStyle name="CALC Amount Total [2] 2 17 7 2" xfId="29951"/>
    <cellStyle name="CALC Amount Total [2] 2 17 7 2 2" xfId="39996"/>
    <cellStyle name="CALC Amount Total [2] 2 17 7 3" xfId="37006"/>
    <cellStyle name="CALC Amount Total [2] 2 17 7 4" xfId="39997"/>
    <cellStyle name="CALC Amount Total [2] 2 17 8" xfId="22578"/>
    <cellStyle name="CALC Amount Total [2] 2 17 8 2" xfId="30874"/>
    <cellStyle name="CALC Amount Total [2] 2 17 8 2 2" xfId="39998"/>
    <cellStyle name="CALC Amount Total [2] 2 17 8 3" xfId="37889"/>
    <cellStyle name="CALC Amount Total [2] 2 17 8 4" xfId="39999"/>
    <cellStyle name="CALC Amount Total [2] 2 17 9" xfId="23520"/>
    <cellStyle name="CALC Amount Total [2] 2 17 9 2" xfId="40000"/>
    <cellStyle name="CALC Amount Total [2] 2 18" xfId="15185"/>
    <cellStyle name="CALC Amount Total [2] 2 18 10" xfId="40001"/>
    <cellStyle name="CALC Amount Total [2] 2 18 11" xfId="40002"/>
    <cellStyle name="CALC Amount Total [2] 2 18 2" xfId="16265"/>
    <cellStyle name="CALC Amount Total [2] 2 18 2 2" xfId="24578"/>
    <cellStyle name="CALC Amount Total [2] 2 18 2 2 2" xfId="40003"/>
    <cellStyle name="CALC Amount Total [2] 2 18 2 3" xfId="31850"/>
    <cellStyle name="CALC Amount Total [2] 2 18 2 4" xfId="40004"/>
    <cellStyle name="CALC Amount Total [2] 2 18 3" xfId="17231"/>
    <cellStyle name="CALC Amount Total [2] 2 18 3 2" xfId="25552"/>
    <cellStyle name="CALC Amount Total [2] 2 18 3 2 2" xfId="40005"/>
    <cellStyle name="CALC Amount Total [2] 2 18 3 3" xfId="32783"/>
    <cellStyle name="CALC Amount Total [2] 2 18 3 4" xfId="40006"/>
    <cellStyle name="CALC Amount Total [2] 2 18 4" xfId="18259"/>
    <cellStyle name="CALC Amount Total [2] 2 18 4 2" xfId="26579"/>
    <cellStyle name="CALC Amount Total [2] 2 18 4 2 2" xfId="40007"/>
    <cellStyle name="CALC Amount Total [2] 2 18 4 3" xfId="33761"/>
    <cellStyle name="CALC Amount Total [2] 2 18 4 4" xfId="40008"/>
    <cellStyle name="CALC Amount Total [2] 2 18 5" xfId="19243"/>
    <cellStyle name="CALC Amount Total [2] 2 18 5 2" xfId="27563"/>
    <cellStyle name="CALC Amount Total [2] 2 18 5 2 2" xfId="40009"/>
    <cellStyle name="CALC Amount Total [2] 2 18 5 3" xfId="34711"/>
    <cellStyle name="CALC Amount Total [2] 2 18 5 4" xfId="40010"/>
    <cellStyle name="CALC Amount Total [2] 2 18 6" xfId="20211"/>
    <cellStyle name="CALC Amount Total [2] 2 18 6 2" xfId="28533"/>
    <cellStyle name="CALC Amount Total [2] 2 18 6 2 2" xfId="40011"/>
    <cellStyle name="CALC Amount Total [2] 2 18 6 3" xfId="35653"/>
    <cellStyle name="CALC Amount Total [2] 2 18 6 4" xfId="40012"/>
    <cellStyle name="CALC Amount Total [2] 2 18 7" xfId="21672"/>
    <cellStyle name="CALC Amount Total [2] 2 18 7 2" xfId="29973"/>
    <cellStyle name="CALC Amount Total [2] 2 18 7 2 2" xfId="40013"/>
    <cellStyle name="CALC Amount Total [2] 2 18 7 3" xfId="37027"/>
    <cellStyle name="CALC Amount Total [2] 2 18 7 4" xfId="40014"/>
    <cellStyle name="CALC Amount Total [2] 2 18 8" xfId="22600"/>
    <cellStyle name="CALC Amount Total [2] 2 18 8 2" xfId="30896"/>
    <cellStyle name="CALC Amount Total [2] 2 18 8 2 2" xfId="40015"/>
    <cellStyle name="CALC Amount Total [2] 2 18 8 3" xfId="37910"/>
    <cellStyle name="CALC Amount Total [2] 2 18 8 4" xfId="40016"/>
    <cellStyle name="CALC Amount Total [2] 2 18 9" xfId="23542"/>
    <cellStyle name="CALC Amount Total [2] 2 18 9 2" xfId="40017"/>
    <cellStyle name="CALC Amount Total [2] 2 19" xfId="15201"/>
    <cellStyle name="CALC Amount Total [2] 2 19 10" xfId="40018"/>
    <cellStyle name="CALC Amount Total [2] 2 19 11" xfId="40019"/>
    <cellStyle name="CALC Amount Total [2] 2 19 2" xfId="16281"/>
    <cellStyle name="CALC Amount Total [2] 2 19 2 2" xfId="24594"/>
    <cellStyle name="CALC Amount Total [2] 2 19 2 2 2" xfId="40020"/>
    <cellStyle name="CALC Amount Total [2] 2 19 2 3" xfId="31864"/>
    <cellStyle name="CALC Amount Total [2] 2 19 2 4" xfId="40021"/>
    <cellStyle name="CALC Amount Total [2] 2 19 3" xfId="17247"/>
    <cellStyle name="CALC Amount Total [2] 2 19 3 2" xfId="25568"/>
    <cellStyle name="CALC Amount Total [2] 2 19 3 2 2" xfId="40022"/>
    <cellStyle name="CALC Amount Total [2] 2 19 3 3" xfId="32797"/>
    <cellStyle name="CALC Amount Total [2] 2 19 3 4" xfId="40023"/>
    <cellStyle name="CALC Amount Total [2] 2 19 4" xfId="18275"/>
    <cellStyle name="CALC Amount Total [2] 2 19 4 2" xfId="26595"/>
    <cellStyle name="CALC Amount Total [2] 2 19 4 2 2" xfId="40024"/>
    <cellStyle name="CALC Amount Total [2] 2 19 4 3" xfId="33775"/>
    <cellStyle name="CALC Amount Total [2] 2 19 4 4" xfId="40025"/>
    <cellStyle name="CALC Amount Total [2] 2 19 5" xfId="19259"/>
    <cellStyle name="CALC Amount Total [2] 2 19 5 2" xfId="27579"/>
    <cellStyle name="CALC Amount Total [2] 2 19 5 2 2" xfId="40026"/>
    <cellStyle name="CALC Amount Total [2] 2 19 5 3" xfId="34727"/>
    <cellStyle name="CALC Amount Total [2] 2 19 5 4" xfId="40027"/>
    <cellStyle name="CALC Amount Total [2] 2 19 6" xfId="20227"/>
    <cellStyle name="CALC Amount Total [2] 2 19 6 2" xfId="28549"/>
    <cellStyle name="CALC Amount Total [2] 2 19 6 2 2" xfId="40028"/>
    <cellStyle name="CALC Amount Total [2] 2 19 6 3" xfId="35667"/>
    <cellStyle name="CALC Amount Total [2] 2 19 6 4" xfId="40029"/>
    <cellStyle name="CALC Amount Total [2] 2 19 7" xfId="21688"/>
    <cellStyle name="CALC Amount Total [2] 2 19 7 2" xfId="29989"/>
    <cellStyle name="CALC Amount Total [2] 2 19 7 2 2" xfId="40030"/>
    <cellStyle name="CALC Amount Total [2] 2 19 7 3" xfId="37041"/>
    <cellStyle name="CALC Amount Total [2] 2 19 7 4" xfId="40031"/>
    <cellStyle name="CALC Amount Total [2] 2 19 8" xfId="22616"/>
    <cellStyle name="CALC Amount Total [2] 2 19 8 2" xfId="30912"/>
    <cellStyle name="CALC Amount Total [2] 2 19 8 2 2" xfId="40032"/>
    <cellStyle name="CALC Amount Total [2] 2 19 8 3" xfId="37924"/>
    <cellStyle name="CALC Amount Total [2] 2 19 8 4" xfId="40033"/>
    <cellStyle name="CALC Amount Total [2] 2 19 9" xfId="23558"/>
    <cellStyle name="CALC Amount Total [2] 2 19 9 2" xfId="40034"/>
    <cellStyle name="CALC Amount Total [2] 2 2" xfId="14510"/>
    <cellStyle name="CALC Amount Total [2] 2 2 2" xfId="15572"/>
    <cellStyle name="CALC Amount Total [2] 2 2 2 2" xfId="40035"/>
    <cellStyle name="CALC Amount Total [2] 2 2 2 2 2" xfId="40036"/>
    <cellStyle name="CALC Amount Total [2] 2 2 3" xfId="23823"/>
    <cellStyle name="CALC Amount Total [2] 2 2 3 2" xfId="40037"/>
    <cellStyle name="CALC Amount Total [2] 2 20" xfId="15266"/>
    <cellStyle name="CALC Amount Total [2] 2 20 10" xfId="40038"/>
    <cellStyle name="CALC Amount Total [2] 2 20 11" xfId="40039"/>
    <cellStyle name="CALC Amount Total [2] 2 20 2" xfId="16346"/>
    <cellStyle name="CALC Amount Total [2] 2 20 2 2" xfId="24659"/>
    <cellStyle name="CALC Amount Total [2] 2 20 2 2 2" xfId="40040"/>
    <cellStyle name="CALC Amount Total [2] 2 20 2 3" xfId="31926"/>
    <cellStyle name="CALC Amount Total [2] 2 20 2 4" xfId="40041"/>
    <cellStyle name="CALC Amount Total [2] 2 20 3" xfId="17312"/>
    <cellStyle name="CALC Amount Total [2] 2 20 3 2" xfId="25633"/>
    <cellStyle name="CALC Amount Total [2] 2 20 3 2 2" xfId="40042"/>
    <cellStyle name="CALC Amount Total [2] 2 20 3 3" xfId="32859"/>
    <cellStyle name="CALC Amount Total [2] 2 20 3 4" xfId="40043"/>
    <cellStyle name="CALC Amount Total [2] 2 20 4" xfId="18340"/>
    <cellStyle name="CALC Amount Total [2] 2 20 4 2" xfId="26660"/>
    <cellStyle name="CALC Amount Total [2] 2 20 4 2 2" xfId="40044"/>
    <cellStyle name="CALC Amount Total [2] 2 20 4 3" xfId="33837"/>
    <cellStyle name="CALC Amount Total [2] 2 20 4 4" xfId="40045"/>
    <cellStyle name="CALC Amount Total [2] 2 20 5" xfId="19324"/>
    <cellStyle name="CALC Amount Total [2] 2 20 5 2" xfId="27644"/>
    <cellStyle name="CALC Amount Total [2] 2 20 5 2 2" xfId="40046"/>
    <cellStyle name="CALC Amount Total [2] 2 20 5 3" xfId="34792"/>
    <cellStyle name="CALC Amount Total [2] 2 20 5 4" xfId="40047"/>
    <cellStyle name="CALC Amount Total [2] 2 20 6" xfId="20292"/>
    <cellStyle name="CALC Amount Total [2] 2 20 6 2" xfId="28614"/>
    <cellStyle name="CALC Amount Total [2] 2 20 6 2 2" xfId="40048"/>
    <cellStyle name="CALC Amount Total [2] 2 20 6 3" xfId="35729"/>
    <cellStyle name="CALC Amount Total [2] 2 20 6 4" xfId="40049"/>
    <cellStyle name="CALC Amount Total [2] 2 20 7" xfId="21753"/>
    <cellStyle name="CALC Amount Total [2] 2 20 7 2" xfId="30054"/>
    <cellStyle name="CALC Amount Total [2] 2 20 7 2 2" xfId="40050"/>
    <cellStyle name="CALC Amount Total [2] 2 20 7 3" xfId="37103"/>
    <cellStyle name="CALC Amount Total [2] 2 20 7 4" xfId="40051"/>
    <cellStyle name="CALC Amount Total [2] 2 20 8" xfId="22681"/>
    <cellStyle name="CALC Amount Total [2] 2 20 8 2" xfId="30977"/>
    <cellStyle name="CALC Amount Total [2] 2 20 8 2 2" xfId="40052"/>
    <cellStyle name="CALC Amount Total [2] 2 20 8 3" xfId="37986"/>
    <cellStyle name="CALC Amount Total [2] 2 20 8 4" xfId="40053"/>
    <cellStyle name="CALC Amount Total [2] 2 20 9" xfId="23623"/>
    <cellStyle name="CALC Amount Total [2] 2 20 9 2" xfId="40054"/>
    <cellStyle name="CALC Amount Total [2] 2 21" xfId="15282"/>
    <cellStyle name="CALC Amount Total [2] 2 21 10" xfId="40055"/>
    <cellStyle name="CALC Amount Total [2] 2 21 11" xfId="40056"/>
    <cellStyle name="CALC Amount Total [2] 2 21 2" xfId="16362"/>
    <cellStyle name="CALC Amount Total [2] 2 21 2 2" xfId="24675"/>
    <cellStyle name="CALC Amount Total [2] 2 21 2 2 2" xfId="40057"/>
    <cellStyle name="CALC Amount Total [2] 2 21 2 3" xfId="31942"/>
    <cellStyle name="CALC Amount Total [2] 2 21 2 4" xfId="40058"/>
    <cellStyle name="CALC Amount Total [2] 2 21 3" xfId="17328"/>
    <cellStyle name="CALC Amount Total [2] 2 21 3 2" xfId="25649"/>
    <cellStyle name="CALC Amount Total [2] 2 21 3 2 2" xfId="40059"/>
    <cellStyle name="CALC Amount Total [2] 2 21 3 3" xfId="32875"/>
    <cellStyle name="CALC Amount Total [2] 2 21 3 4" xfId="40060"/>
    <cellStyle name="CALC Amount Total [2] 2 21 4" xfId="18356"/>
    <cellStyle name="CALC Amount Total [2] 2 21 4 2" xfId="26676"/>
    <cellStyle name="CALC Amount Total [2] 2 21 4 2 2" xfId="40061"/>
    <cellStyle name="CALC Amount Total [2] 2 21 4 3" xfId="33853"/>
    <cellStyle name="CALC Amount Total [2] 2 21 4 4" xfId="40062"/>
    <cellStyle name="CALC Amount Total [2] 2 21 5" xfId="19340"/>
    <cellStyle name="CALC Amount Total [2] 2 21 5 2" xfId="27660"/>
    <cellStyle name="CALC Amount Total [2] 2 21 5 2 2" xfId="40063"/>
    <cellStyle name="CALC Amount Total [2] 2 21 5 3" xfId="34808"/>
    <cellStyle name="CALC Amount Total [2] 2 21 5 4" xfId="40064"/>
    <cellStyle name="CALC Amount Total [2] 2 21 6" xfId="20308"/>
    <cellStyle name="CALC Amount Total [2] 2 21 6 2" xfId="28630"/>
    <cellStyle name="CALC Amount Total [2] 2 21 6 2 2" xfId="40065"/>
    <cellStyle name="CALC Amount Total [2] 2 21 6 3" xfId="35745"/>
    <cellStyle name="CALC Amount Total [2] 2 21 6 4" xfId="40066"/>
    <cellStyle name="CALC Amount Total [2] 2 21 7" xfId="21769"/>
    <cellStyle name="CALC Amount Total [2] 2 21 7 2" xfId="30070"/>
    <cellStyle name="CALC Amount Total [2] 2 21 7 2 2" xfId="40067"/>
    <cellStyle name="CALC Amount Total [2] 2 21 7 3" xfId="37119"/>
    <cellStyle name="CALC Amount Total [2] 2 21 7 4" xfId="40068"/>
    <cellStyle name="CALC Amount Total [2] 2 21 8" xfId="22697"/>
    <cellStyle name="CALC Amount Total [2] 2 21 8 2" xfId="30993"/>
    <cellStyle name="CALC Amount Total [2] 2 21 8 2 2" xfId="40069"/>
    <cellStyle name="CALC Amount Total [2] 2 21 8 3" xfId="38002"/>
    <cellStyle name="CALC Amount Total [2] 2 21 8 4" xfId="40070"/>
    <cellStyle name="CALC Amount Total [2] 2 21 9" xfId="23639"/>
    <cellStyle name="CALC Amount Total [2] 2 21 9 2" xfId="40071"/>
    <cellStyle name="CALC Amount Total [2] 2 22" xfId="15291"/>
    <cellStyle name="CALC Amount Total [2] 2 22 10" xfId="40072"/>
    <cellStyle name="CALC Amount Total [2] 2 22 11" xfId="40073"/>
    <cellStyle name="CALC Amount Total [2] 2 22 2" xfId="16371"/>
    <cellStyle name="CALC Amount Total [2] 2 22 2 2" xfId="24684"/>
    <cellStyle name="CALC Amount Total [2] 2 22 2 2 2" xfId="40074"/>
    <cellStyle name="CALC Amount Total [2] 2 22 2 3" xfId="31950"/>
    <cellStyle name="CALC Amount Total [2] 2 22 2 4" xfId="40075"/>
    <cellStyle name="CALC Amount Total [2] 2 22 3" xfId="17337"/>
    <cellStyle name="CALC Amount Total [2] 2 22 3 2" xfId="25658"/>
    <cellStyle name="CALC Amount Total [2] 2 22 3 2 2" xfId="40076"/>
    <cellStyle name="CALC Amount Total [2] 2 22 3 3" xfId="32883"/>
    <cellStyle name="CALC Amount Total [2] 2 22 3 4" xfId="40077"/>
    <cellStyle name="CALC Amount Total [2] 2 22 4" xfId="18365"/>
    <cellStyle name="CALC Amount Total [2] 2 22 4 2" xfId="26685"/>
    <cellStyle name="CALC Amount Total [2] 2 22 4 2 2" xfId="40078"/>
    <cellStyle name="CALC Amount Total [2] 2 22 4 3" xfId="33861"/>
    <cellStyle name="CALC Amount Total [2] 2 22 4 4" xfId="40079"/>
    <cellStyle name="CALC Amount Total [2] 2 22 5" xfId="19348"/>
    <cellStyle name="CALC Amount Total [2] 2 22 5 2" xfId="27669"/>
    <cellStyle name="CALC Amount Total [2] 2 22 5 2 2" xfId="40080"/>
    <cellStyle name="CALC Amount Total [2] 2 22 5 3" xfId="34817"/>
    <cellStyle name="CALC Amount Total [2] 2 22 5 4" xfId="40081"/>
    <cellStyle name="CALC Amount Total [2] 2 22 6" xfId="20317"/>
    <cellStyle name="CALC Amount Total [2] 2 22 6 2" xfId="28639"/>
    <cellStyle name="CALC Amount Total [2] 2 22 6 2 2" xfId="40082"/>
    <cellStyle name="CALC Amount Total [2] 2 22 6 3" xfId="35753"/>
    <cellStyle name="CALC Amount Total [2] 2 22 6 4" xfId="40083"/>
    <cellStyle name="CALC Amount Total [2] 2 22 7" xfId="21778"/>
    <cellStyle name="CALC Amount Total [2] 2 22 7 2" xfId="30079"/>
    <cellStyle name="CALC Amount Total [2] 2 22 7 2 2" xfId="40084"/>
    <cellStyle name="CALC Amount Total [2] 2 22 7 3" xfId="37127"/>
    <cellStyle name="CALC Amount Total [2] 2 22 7 4" xfId="40085"/>
    <cellStyle name="CALC Amount Total [2] 2 22 8" xfId="22706"/>
    <cellStyle name="CALC Amount Total [2] 2 22 8 2" xfId="31002"/>
    <cellStyle name="CALC Amount Total [2] 2 22 8 2 2" xfId="40086"/>
    <cellStyle name="CALC Amount Total [2] 2 22 8 3" xfId="38010"/>
    <cellStyle name="CALC Amount Total [2] 2 22 8 4" xfId="40087"/>
    <cellStyle name="CALC Amount Total [2] 2 22 9" xfId="23648"/>
    <cellStyle name="CALC Amount Total [2] 2 22 9 2" xfId="40088"/>
    <cellStyle name="CALC Amount Total [2] 2 23" xfId="15328"/>
    <cellStyle name="CALC Amount Total [2] 2 23 10" xfId="40089"/>
    <cellStyle name="CALC Amount Total [2] 2 23 11" xfId="40090"/>
    <cellStyle name="CALC Amount Total [2] 2 23 2" xfId="16408"/>
    <cellStyle name="CALC Amount Total [2] 2 23 2 2" xfId="24721"/>
    <cellStyle name="CALC Amount Total [2] 2 23 2 2 2" xfId="40091"/>
    <cellStyle name="CALC Amount Total [2] 2 23 2 3" xfId="31986"/>
    <cellStyle name="CALC Amount Total [2] 2 23 2 4" xfId="40092"/>
    <cellStyle name="CALC Amount Total [2] 2 23 3" xfId="17374"/>
    <cellStyle name="CALC Amount Total [2] 2 23 3 2" xfId="25695"/>
    <cellStyle name="CALC Amount Total [2] 2 23 3 2 2" xfId="40093"/>
    <cellStyle name="CALC Amount Total [2] 2 23 3 3" xfId="32919"/>
    <cellStyle name="CALC Amount Total [2] 2 23 3 4" xfId="40094"/>
    <cellStyle name="CALC Amount Total [2] 2 23 4" xfId="18402"/>
    <cellStyle name="CALC Amount Total [2] 2 23 4 2" xfId="26722"/>
    <cellStyle name="CALC Amount Total [2] 2 23 4 2 2" xfId="40095"/>
    <cellStyle name="CALC Amount Total [2] 2 23 4 3" xfId="33897"/>
    <cellStyle name="CALC Amount Total [2] 2 23 4 4" xfId="40096"/>
    <cellStyle name="CALC Amount Total [2] 2 23 5" xfId="19385"/>
    <cellStyle name="CALC Amount Total [2] 2 23 5 2" xfId="27706"/>
    <cellStyle name="CALC Amount Total [2] 2 23 5 2 2" xfId="40097"/>
    <cellStyle name="CALC Amount Total [2] 2 23 5 3" xfId="34854"/>
    <cellStyle name="CALC Amount Total [2] 2 23 5 4" xfId="40098"/>
    <cellStyle name="CALC Amount Total [2] 2 23 6" xfId="20354"/>
    <cellStyle name="CALC Amount Total [2] 2 23 6 2" xfId="28676"/>
    <cellStyle name="CALC Amount Total [2] 2 23 6 2 2" xfId="40099"/>
    <cellStyle name="CALC Amount Total [2] 2 23 6 3" xfId="35789"/>
    <cellStyle name="CALC Amount Total [2] 2 23 6 4" xfId="40100"/>
    <cellStyle name="CALC Amount Total [2] 2 23 7" xfId="21815"/>
    <cellStyle name="CALC Amount Total [2] 2 23 7 2" xfId="30116"/>
    <cellStyle name="CALC Amount Total [2] 2 23 7 2 2" xfId="40101"/>
    <cellStyle name="CALC Amount Total [2] 2 23 7 3" xfId="37163"/>
    <cellStyle name="CALC Amount Total [2] 2 23 7 4" xfId="40102"/>
    <cellStyle name="CALC Amount Total [2] 2 23 8" xfId="22743"/>
    <cellStyle name="CALC Amount Total [2] 2 23 8 2" xfId="31039"/>
    <cellStyle name="CALC Amount Total [2] 2 23 8 2 2" xfId="40103"/>
    <cellStyle name="CALC Amount Total [2] 2 23 8 3" xfId="38046"/>
    <cellStyle name="CALC Amount Total [2] 2 23 8 4" xfId="40104"/>
    <cellStyle name="CALC Amount Total [2] 2 23 9" xfId="23685"/>
    <cellStyle name="CALC Amount Total [2] 2 23 9 2" xfId="40105"/>
    <cellStyle name="CALC Amount Total [2] 2 24" xfId="15389"/>
    <cellStyle name="CALC Amount Total [2] 2 24 10" xfId="40106"/>
    <cellStyle name="CALC Amount Total [2] 2 24 11" xfId="40107"/>
    <cellStyle name="CALC Amount Total [2] 2 24 2" xfId="16469"/>
    <cellStyle name="CALC Amount Total [2] 2 24 2 2" xfId="24782"/>
    <cellStyle name="CALC Amount Total [2] 2 24 2 2 2" xfId="40108"/>
    <cellStyle name="CALC Amount Total [2] 2 24 2 3" xfId="32046"/>
    <cellStyle name="CALC Amount Total [2] 2 24 2 4" xfId="40109"/>
    <cellStyle name="CALC Amount Total [2] 2 24 3" xfId="17435"/>
    <cellStyle name="CALC Amount Total [2] 2 24 3 2" xfId="25756"/>
    <cellStyle name="CALC Amount Total [2] 2 24 3 2 2" xfId="40110"/>
    <cellStyle name="CALC Amount Total [2] 2 24 3 3" xfId="32979"/>
    <cellStyle name="CALC Amount Total [2] 2 24 3 4" xfId="40111"/>
    <cellStyle name="CALC Amount Total [2] 2 24 4" xfId="18463"/>
    <cellStyle name="CALC Amount Total [2] 2 24 4 2" xfId="26783"/>
    <cellStyle name="CALC Amount Total [2] 2 24 4 2 2" xfId="40112"/>
    <cellStyle name="CALC Amount Total [2] 2 24 4 3" xfId="33957"/>
    <cellStyle name="CALC Amount Total [2] 2 24 4 4" xfId="40113"/>
    <cellStyle name="CALC Amount Total [2] 2 24 5" xfId="19446"/>
    <cellStyle name="CALC Amount Total [2] 2 24 5 2" xfId="27767"/>
    <cellStyle name="CALC Amount Total [2] 2 24 5 2 2" xfId="40114"/>
    <cellStyle name="CALC Amount Total [2] 2 24 5 3" xfId="34915"/>
    <cellStyle name="CALC Amount Total [2] 2 24 5 4" xfId="40115"/>
    <cellStyle name="CALC Amount Total [2] 2 24 6" xfId="20415"/>
    <cellStyle name="CALC Amount Total [2] 2 24 6 2" xfId="28737"/>
    <cellStyle name="CALC Amount Total [2] 2 24 6 2 2" xfId="40116"/>
    <cellStyle name="CALC Amount Total [2] 2 24 6 3" xfId="35849"/>
    <cellStyle name="CALC Amount Total [2] 2 24 6 4" xfId="40117"/>
    <cellStyle name="CALC Amount Total [2] 2 24 7" xfId="21876"/>
    <cellStyle name="CALC Amount Total [2] 2 24 7 2" xfId="30177"/>
    <cellStyle name="CALC Amount Total [2] 2 24 7 2 2" xfId="40118"/>
    <cellStyle name="CALC Amount Total [2] 2 24 7 3" xfId="37222"/>
    <cellStyle name="CALC Amount Total [2] 2 24 7 4" xfId="40119"/>
    <cellStyle name="CALC Amount Total [2] 2 24 8" xfId="22804"/>
    <cellStyle name="CALC Amount Total [2] 2 24 8 2" xfId="31100"/>
    <cellStyle name="CALC Amount Total [2] 2 24 8 2 2" xfId="40120"/>
    <cellStyle name="CALC Amount Total [2] 2 24 8 3" xfId="38106"/>
    <cellStyle name="CALC Amount Total [2] 2 24 8 4" xfId="40121"/>
    <cellStyle name="CALC Amount Total [2] 2 24 9" xfId="23746"/>
    <cellStyle name="CALC Amount Total [2] 2 24 9 2" xfId="40122"/>
    <cellStyle name="CALC Amount Total [2] 2 25" xfId="15405"/>
    <cellStyle name="CALC Amount Total [2] 2 25 10" xfId="40123"/>
    <cellStyle name="CALC Amount Total [2] 2 25 11" xfId="40124"/>
    <cellStyle name="CALC Amount Total [2] 2 25 2" xfId="16485"/>
    <cellStyle name="CALC Amount Total [2] 2 25 2 2" xfId="24798"/>
    <cellStyle name="CALC Amount Total [2] 2 25 2 2 2" xfId="40125"/>
    <cellStyle name="CALC Amount Total [2] 2 25 2 3" xfId="32060"/>
    <cellStyle name="CALC Amount Total [2] 2 25 2 4" xfId="40126"/>
    <cellStyle name="CALC Amount Total [2] 2 25 3" xfId="17451"/>
    <cellStyle name="CALC Amount Total [2] 2 25 3 2" xfId="25772"/>
    <cellStyle name="CALC Amount Total [2] 2 25 3 2 2" xfId="40127"/>
    <cellStyle name="CALC Amount Total [2] 2 25 3 3" xfId="32993"/>
    <cellStyle name="CALC Amount Total [2] 2 25 3 4" xfId="40128"/>
    <cellStyle name="CALC Amount Total [2] 2 25 4" xfId="18479"/>
    <cellStyle name="CALC Amount Total [2] 2 25 4 2" xfId="26799"/>
    <cellStyle name="CALC Amount Total [2] 2 25 4 2 2" xfId="40129"/>
    <cellStyle name="CALC Amount Total [2] 2 25 4 3" xfId="33971"/>
    <cellStyle name="CALC Amount Total [2] 2 25 4 4" xfId="40130"/>
    <cellStyle name="CALC Amount Total [2] 2 25 5" xfId="19462"/>
    <cellStyle name="CALC Amount Total [2] 2 25 5 2" xfId="27783"/>
    <cellStyle name="CALC Amount Total [2] 2 25 5 2 2" xfId="40131"/>
    <cellStyle name="CALC Amount Total [2] 2 25 5 3" xfId="34931"/>
    <cellStyle name="CALC Amount Total [2] 2 25 5 4" xfId="40132"/>
    <cellStyle name="CALC Amount Total [2] 2 25 6" xfId="20431"/>
    <cellStyle name="CALC Amount Total [2] 2 25 6 2" xfId="28753"/>
    <cellStyle name="CALC Amount Total [2] 2 25 6 2 2" xfId="40133"/>
    <cellStyle name="CALC Amount Total [2] 2 25 6 3" xfId="35863"/>
    <cellStyle name="CALC Amount Total [2] 2 25 6 4" xfId="40134"/>
    <cellStyle name="CALC Amount Total [2] 2 25 7" xfId="21892"/>
    <cellStyle name="CALC Amount Total [2] 2 25 7 2" xfId="30193"/>
    <cellStyle name="CALC Amount Total [2] 2 25 7 2 2" xfId="40135"/>
    <cellStyle name="CALC Amount Total [2] 2 25 7 3" xfId="37236"/>
    <cellStyle name="CALC Amount Total [2] 2 25 7 4" xfId="40136"/>
    <cellStyle name="CALC Amount Total [2] 2 25 8" xfId="22820"/>
    <cellStyle name="CALC Amount Total [2] 2 25 8 2" xfId="31116"/>
    <cellStyle name="CALC Amount Total [2] 2 25 8 2 2" xfId="40137"/>
    <cellStyle name="CALC Amount Total [2] 2 25 8 3" xfId="38120"/>
    <cellStyle name="CALC Amount Total [2] 2 25 8 4" xfId="40138"/>
    <cellStyle name="CALC Amount Total [2] 2 25 9" xfId="23762"/>
    <cellStyle name="CALC Amount Total [2] 2 25 9 2" xfId="40139"/>
    <cellStyle name="CALC Amount Total [2] 2 26" xfId="15421"/>
    <cellStyle name="CALC Amount Total [2] 2 26 10" xfId="40140"/>
    <cellStyle name="CALC Amount Total [2] 2 26 11" xfId="40141"/>
    <cellStyle name="CALC Amount Total [2] 2 26 2" xfId="16501"/>
    <cellStyle name="CALC Amount Total [2] 2 26 2 2" xfId="24814"/>
    <cellStyle name="CALC Amount Total [2] 2 26 2 2 2" xfId="40142"/>
    <cellStyle name="CALC Amount Total [2] 2 26 2 3" xfId="32075"/>
    <cellStyle name="CALC Amount Total [2] 2 26 2 4" xfId="40143"/>
    <cellStyle name="CALC Amount Total [2] 2 26 3" xfId="17467"/>
    <cellStyle name="CALC Amount Total [2] 2 26 3 2" xfId="25788"/>
    <cellStyle name="CALC Amount Total [2] 2 26 3 2 2" xfId="40144"/>
    <cellStyle name="CALC Amount Total [2] 2 26 3 3" xfId="33008"/>
    <cellStyle name="CALC Amount Total [2] 2 26 3 4" xfId="40145"/>
    <cellStyle name="CALC Amount Total [2] 2 26 4" xfId="18495"/>
    <cellStyle name="CALC Amount Total [2] 2 26 4 2" xfId="26815"/>
    <cellStyle name="CALC Amount Total [2] 2 26 4 2 2" xfId="40146"/>
    <cellStyle name="CALC Amount Total [2] 2 26 4 3" xfId="33986"/>
    <cellStyle name="CALC Amount Total [2] 2 26 4 4" xfId="40147"/>
    <cellStyle name="CALC Amount Total [2] 2 26 5" xfId="19478"/>
    <cellStyle name="CALC Amount Total [2] 2 26 5 2" xfId="27799"/>
    <cellStyle name="CALC Amount Total [2] 2 26 5 2 2" xfId="40148"/>
    <cellStyle name="CALC Amount Total [2] 2 26 5 3" xfId="34947"/>
    <cellStyle name="CALC Amount Total [2] 2 26 5 4" xfId="40149"/>
    <cellStyle name="CALC Amount Total [2] 2 26 6" xfId="20447"/>
    <cellStyle name="CALC Amount Total [2] 2 26 6 2" xfId="28769"/>
    <cellStyle name="CALC Amount Total [2] 2 26 6 2 2" xfId="40150"/>
    <cellStyle name="CALC Amount Total [2] 2 26 6 3" xfId="35878"/>
    <cellStyle name="CALC Amount Total [2] 2 26 6 4" xfId="40151"/>
    <cellStyle name="CALC Amount Total [2] 2 26 7" xfId="21908"/>
    <cellStyle name="CALC Amount Total [2] 2 26 7 2" xfId="30209"/>
    <cellStyle name="CALC Amount Total [2] 2 26 7 2 2" xfId="40152"/>
    <cellStyle name="CALC Amount Total [2] 2 26 7 3" xfId="37251"/>
    <cellStyle name="CALC Amount Total [2] 2 26 7 4" xfId="40153"/>
    <cellStyle name="CALC Amount Total [2] 2 26 8" xfId="22836"/>
    <cellStyle name="CALC Amount Total [2] 2 26 8 2" xfId="31132"/>
    <cellStyle name="CALC Amount Total [2] 2 26 8 2 2" xfId="40154"/>
    <cellStyle name="CALC Amount Total [2] 2 26 8 3" xfId="38135"/>
    <cellStyle name="CALC Amount Total [2] 2 26 8 4" xfId="40155"/>
    <cellStyle name="CALC Amount Total [2] 2 26 9" xfId="23778"/>
    <cellStyle name="CALC Amount Total [2] 2 26 9 2" xfId="40156"/>
    <cellStyle name="CALC Amount Total [2] 2 27" xfId="15435"/>
    <cellStyle name="CALC Amount Total [2] 2 27 10" xfId="40157"/>
    <cellStyle name="CALC Amount Total [2] 2 27 11" xfId="40158"/>
    <cellStyle name="CALC Amount Total [2] 2 27 2" xfId="16515"/>
    <cellStyle name="CALC Amount Total [2] 2 27 2 2" xfId="24828"/>
    <cellStyle name="CALC Amount Total [2] 2 27 2 2 2" xfId="40159"/>
    <cellStyle name="CALC Amount Total [2] 2 27 2 3" xfId="32089"/>
    <cellStyle name="CALC Amount Total [2] 2 27 2 4" xfId="40160"/>
    <cellStyle name="CALC Amount Total [2] 2 27 3" xfId="17481"/>
    <cellStyle name="CALC Amount Total [2] 2 27 3 2" xfId="25802"/>
    <cellStyle name="CALC Amount Total [2] 2 27 3 2 2" xfId="40161"/>
    <cellStyle name="CALC Amount Total [2] 2 27 3 3" xfId="33022"/>
    <cellStyle name="CALC Amount Total [2] 2 27 3 4" xfId="40162"/>
    <cellStyle name="CALC Amount Total [2] 2 27 4" xfId="18509"/>
    <cellStyle name="CALC Amount Total [2] 2 27 4 2" xfId="26829"/>
    <cellStyle name="CALC Amount Total [2] 2 27 4 2 2" xfId="40163"/>
    <cellStyle name="CALC Amount Total [2] 2 27 4 3" xfId="34000"/>
    <cellStyle name="CALC Amount Total [2] 2 27 4 4" xfId="40164"/>
    <cellStyle name="CALC Amount Total [2] 2 27 5" xfId="19492"/>
    <cellStyle name="CALC Amount Total [2] 2 27 5 2" xfId="27813"/>
    <cellStyle name="CALC Amount Total [2] 2 27 5 2 2" xfId="40165"/>
    <cellStyle name="CALC Amount Total [2] 2 27 5 3" xfId="34961"/>
    <cellStyle name="CALC Amount Total [2] 2 27 5 4" xfId="40166"/>
    <cellStyle name="CALC Amount Total [2] 2 27 6" xfId="20461"/>
    <cellStyle name="CALC Amount Total [2] 2 27 6 2" xfId="28783"/>
    <cellStyle name="CALC Amount Total [2] 2 27 6 2 2" xfId="40167"/>
    <cellStyle name="CALC Amount Total [2] 2 27 6 3" xfId="35892"/>
    <cellStyle name="CALC Amount Total [2] 2 27 6 4" xfId="40168"/>
    <cellStyle name="CALC Amount Total [2] 2 27 7" xfId="21922"/>
    <cellStyle name="CALC Amount Total [2] 2 27 7 2" xfId="30223"/>
    <cellStyle name="CALC Amount Total [2] 2 27 7 2 2" xfId="40169"/>
    <cellStyle name="CALC Amount Total [2] 2 27 7 3" xfId="37265"/>
    <cellStyle name="CALC Amount Total [2] 2 27 7 4" xfId="40170"/>
    <cellStyle name="CALC Amount Total [2] 2 27 8" xfId="22850"/>
    <cellStyle name="CALC Amount Total [2] 2 27 8 2" xfId="31146"/>
    <cellStyle name="CALC Amount Total [2] 2 27 8 2 2" xfId="40171"/>
    <cellStyle name="CALC Amount Total [2] 2 27 8 3" xfId="38149"/>
    <cellStyle name="CALC Amount Total [2] 2 27 8 4" xfId="40172"/>
    <cellStyle name="CALC Amount Total [2] 2 27 9" xfId="23792"/>
    <cellStyle name="CALC Amount Total [2] 2 27 9 2" xfId="40173"/>
    <cellStyle name="CALC Amount Total [2] 2 28" xfId="15449"/>
    <cellStyle name="CALC Amount Total [2] 2 28 10" xfId="40174"/>
    <cellStyle name="CALC Amount Total [2] 2 28 11" xfId="40175"/>
    <cellStyle name="CALC Amount Total [2] 2 28 2" xfId="16529"/>
    <cellStyle name="CALC Amount Total [2] 2 28 2 2" xfId="24842"/>
    <cellStyle name="CALC Amount Total [2] 2 28 2 2 2" xfId="40176"/>
    <cellStyle name="CALC Amount Total [2] 2 28 2 3" xfId="32103"/>
    <cellStyle name="CALC Amount Total [2] 2 28 2 4" xfId="40177"/>
    <cellStyle name="CALC Amount Total [2] 2 28 3" xfId="17495"/>
    <cellStyle name="CALC Amount Total [2] 2 28 3 2" xfId="25816"/>
    <cellStyle name="CALC Amount Total [2] 2 28 3 2 2" xfId="40178"/>
    <cellStyle name="CALC Amount Total [2] 2 28 3 3" xfId="33036"/>
    <cellStyle name="CALC Amount Total [2] 2 28 3 4" xfId="40179"/>
    <cellStyle name="CALC Amount Total [2] 2 28 4" xfId="18523"/>
    <cellStyle name="CALC Amount Total [2] 2 28 4 2" xfId="26843"/>
    <cellStyle name="CALC Amount Total [2] 2 28 4 2 2" xfId="40180"/>
    <cellStyle name="CALC Amount Total [2] 2 28 4 3" xfId="34014"/>
    <cellStyle name="CALC Amount Total [2] 2 28 4 4" xfId="40181"/>
    <cellStyle name="CALC Amount Total [2] 2 28 5" xfId="19506"/>
    <cellStyle name="CALC Amount Total [2] 2 28 5 2" xfId="27827"/>
    <cellStyle name="CALC Amount Total [2] 2 28 5 2 2" xfId="40182"/>
    <cellStyle name="CALC Amount Total [2] 2 28 5 3" xfId="34975"/>
    <cellStyle name="CALC Amount Total [2] 2 28 5 4" xfId="40183"/>
    <cellStyle name="CALC Amount Total [2] 2 28 6" xfId="20475"/>
    <cellStyle name="CALC Amount Total [2] 2 28 6 2" xfId="28797"/>
    <cellStyle name="CALC Amount Total [2] 2 28 6 2 2" xfId="40184"/>
    <cellStyle name="CALC Amount Total [2] 2 28 6 3" xfId="35906"/>
    <cellStyle name="CALC Amount Total [2] 2 28 6 4" xfId="40185"/>
    <cellStyle name="CALC Amount Total [2] 2 28 7" xfId="21936"/>
    <cellStyle name="CALC Amount Total [2] 2 28 7 2" xfId="30237"/>
    <cellStyle name="CALC Amount Total [2] 2 28 7 2 2" xfId="40186"/>
    <cellStyle name="CALC Amount Total [2] 2 28 7 3" xfId="37279"/>
    <cellStyle name="CALC Amount Total [2] 2 28 7 4" xfId="40187"/>
    <cellStyle name="CALC Amount Total [2] 2 28 8" xfId="22864"/>
    <cellStyle name="CALC Amount Total [2] 2 28 8 2" xfId="31160"/>
    <cellStyle name="CALC Amount Total [2] 2 28 8 2 2" xfId="40188"/>
    <cellStyle name="CALC Amount Total [2] 2 28 8 3" xfId="38163"/>
    <cellStyle name="CALC Amount Total [2] 2 28 8 4" xfId="40189"/>
    <cellStyle name="CALC Amount Total [2] 2 28 9" xfId="23806"/>
    <cellStyle name="CALC Amount Total [2] 2 28 9 2" xfId="40190"/>
    <cellStyle name="CALC Amount Total [2] 2 29" xfId="15481"/>
    <cellStyle name="CALC Amount Total [2] 2 29 2" xfId="17527"/>
    <cellStyle name="CALC Amount Total [2] 2 29 2 2" xfId="25847"/>
    <cellStyle name="CALC Amount Total [2] 2 29 2 2 2" xfId="40191"/>
    <cellStyle name="CALC Amount Total [2] 2 29 2 3" xfId="33065"/>
    <cellStyle name="CALC Amount Total [2] 2 29 2 4" xfId="40192"/>
    <cellStyle name="CALC Amount Total [2] 2 29 3" xfId="19538"/>
    <cellStyle name="CALC Amount Total [2] 2 29 3 2" xfId="27859"/>
    <cellStyle name="CALC Amount Total [2] 2 29 3 2 2" xfId="40193"/>
    <cellStyle name="CALC Amount Total [2] 2 29 3 3" xfId="35007"/>
    <cellStyle name="CALC Amount Total [2] 2 29 3 4" xfId="40194"/>
    <cellStyle name="CALC Amount Total [2] 2 29 4" xfId="40195"/>
    <cellStyle name="CALC Amount Total [2] 2 29 4 2" xfId="40196"/>
    <cellStyle name="CALC Amount Total [2] 2 3" xfId="14511"/>
    <cellStyle name="CALC Amount Total [2] 2 3 2" xfId="15573"/>
    <cellStyle name="CALC Amount Total [2] 2 3 2 2" xfId="40197"/>
    <cellStyle name="CALC Amount Total [2] 2 3 2 2 2" xfId="40198"/>
    <cellStyle name="CALC Amount Total [2] 2 3 3" xfId="23899"/>
    <cellStyle name="CALC Amount Total [2] 2 3 3 2" xfId="40199"/>
    <cellStyle name="CALC Amount Total [2] 2 30" xfId="40200"/>
    <cellStyle name="CALC Amount Total [2] 2 30 2" xfId="40201"/>
    <cellStyle name="CALC Amount Total [2] 2 4" xfId="14542"/>
    <cellStyle name="CALC Amount Total [2] 2 4 2" xfId="15621"/>
    <cellStyle name="CALC Amount Total [2] 2 4 2 2" xfId="23935"/>
    <cellStyle name="CALC Amount Total [2] 2 4 2 2 2" xfId="40202"/>
    <cellStyle name="CALC Amount Total [2] 2 4 2 3" xfId="40203"/>
    <cellStyle name="CALC Amount Total [2] 2 4 2 4" xfId="40204"/>
    <cellStyle name="CALC Amount Total [2] 2 4 3" xfId="16589"/>
    <cellStyle name="CALC Amount Total [2] 2 4 3 2" xfId="24906"/>
    <cellStyle name="CALC Amount Total [2] 2 4 3 2 2" xfId="40205"/>
    <cellStyle name="CALC Amount Total [2] 2 4 3 3" xfId="32166"/>
    <cellStyle name="CALC Amount Total [2] 2 4 3 4" xfId="40206"/>
    <cellStyle name="CALC Amount Total [2] 2 4 4" xfId="17608"/>
    <cellStyle name="CALC Amount Total [2] 2 4 4 2" xfId="25931"/>
    <cellStyle name="CALC Amount Total [2] 2 4 4 2 2" xfId="40207"/>
    <cellStyle name="CALC Amount Total [2] 2 4 4 3" xfId="33143"/>
    <cellStyle name="CALC Amount Total [2] 2 4 4 4" xfId="40208"/>
    <cellStyle name="CALC Amount Total [2] 2 4 5" xfId="18590"/>
    <cellStyle name="CALC Amount Total [2] 2 4 5 2" xfId="26909"/>
    <cellStyle name="CALC Amount Total [2] 2 4 5 2 2" xfId="40209"/>
    <cellStyle name="CALC Amount Total [2] 2 4 5 3" xfId="34078"/>
    <cellStyle name="CALC Amount Total [2] 2 4 5 4" xfId="40210"/>
    <cellStyle name="CALC Amount Total [2] 2 4 6" xfId="19558"/>
    <cellStyle name="CALC Amount Total [2] 2 4 6 2" xfId="27879"/>
    <cellStyle name="CALC Amount Total [2] 2 4 6 2 2" xfId="40211"/>
    <cellStyle name="CALC Amount Total [2] 2 4 6 3" xfId="35026"/>
    <cellStyle name="CALC Amount Total [2] 2 4 6 4" xfId="40212"/>
    <cellStyle name="CALC Amount Total [2] 2 4 7" xfId="20516"/>
    <cellStyle name="CALC Amount Total [2] 2 4 7 2" xfId="28838"/>
    <cellStyle name="CALC Amount Total [2] 2 4 7 2 2" xfId="40213"/>
    <cellStyle name="CALC Amount Total [2] 2 4 7 3" xfId="35943"/>
    <cellStyle name="CALC Amount Total [2] 2 4 7 4" xfId="40214"/>
    <cellStyle name="CALC Amount Total [2] 2 4 8" xfId="22899"/>
    <cellStyle name="CALC Amount Total [2] 2 4 8 2" xfId="40215"/>
    <cellStyle name="CALC Amount Total [2] 2 5" xfId="14603"/>
    <cellStyle name="CALC Amount Total [2] 2 5 10" xfId="22964"/>
    <cellStyle name="CALC Amount Total [2] 2 5 10 2" xfId="40216"/>
    <cellStyle name="CALC Amount Total [2] 2 5 11" xfId="40217"/>
    <cellStyle name="CALC Amount Total [2] 2 5 2" xfId="15683"/>
    <cellStyle name="CALC Amount Total [2] 2 5 2 2" xfId="23999"/>
    <cellStyle name="CALC Amount Total [2] 2 5 2 2 2" xfId="40218"/>
    <cellStyle name="CALC Amount Total [2] 2 5 2 3" xfId="31294"/>
    <cellStyle name="CALC Amount Total [2] 2 5 2 4" xfId="40219"/>
    <cellStyle name="CALC Amount Total [2] 2 5 3" xfId="16650"/>
    <cellStyle name="CALC Amount Total [2] 2 5 3 2" xfId="24970"/>
    <cellStyle name="CALC Amount Total [2] 2 5 3 2 2" xfId="40220"/>
    <cellStyle name="CALC Amount Total [2] 2 5 3 3" xfId="32227"/>
    <cellStyle name="CALC Amount Total [2] 2 5 3 4" xfId="40221"/>
    <cellStyle name="CALC Amount Total [2] 2 5 4" xfId="17672"/>
    <cellStyle name="CALC Amount Total [2] 2 5 4 2" xfId="25996"/>
    <cellStyle name="CALC Amount Total [2] 2 5 4 2 2" xfId="40222"/>
    <cellStyle name="CALC Amount Total [2] 2 5 4 3" xfId="33204"/>
    <cellStyle name="CALC Amount Total [2] 2 5 4 4" xfId="40223"/>
    <cellStyle name="CALC Amount Total [2] 2 5 5" xfId="18655"/>
    <cellStyle name="CALC Amount Total [2] 2 5 5 2" xfId="26976"/>
    <cellStyle name="CALC Amount Total [2] 2 5 5 2 2" xfId="40224"/>
    <cellStyle name="CALC Amount Total [2] 2 5 5 3" xfId="34142"/>
    <cellStyle name="CALC Amount Total [2] 2 5 5 4" xfId="40225"/>
    <cellStyle name="CALC Amount Total [2] 2 5 6" xfId="19624"/>
    <cellStyle name="CALC Amount Total [2] 2 5 6 2" xfId="27945"/>
    <cellStyle name="CALC Amount Total [2] 2 5 6 2 2" xfId="40226"/>
    <cellStyle name="CALC Amount Total [2] 2 5 6 3" xfId="35088"/>
    <cellStyle name="CALC Amount Total [2] 2 5 6 4" xfId="40227"/>
    <cellStyle name="CALC Amount Total [2] 2 5 7" xfId="20581"/>
    <cellStyle name="CALC Amount Total [2] 2 5 7 2" xfId="28903"/>
    <cellStyle name="CALC Amount Total [2] 2 5 7 2 2" xfId="40228"/>
    <cellStyle name="CALC Amount Total [2] 2 5 7 3" xfId="36004"/>
    <cellStyle name="CALC Amount Total [2] 2 5 7 4" xfId="40229"/>
    <cellStyle name="CALC Amount Total [2] 2 5 8" xfId="21146"/>
    <cellStyle name="CALC Amount Total [2] 2 5 8 2" xfId="29458"/>
    <cellStyle name="CALC Amount Total [2] 2 5 8 2 2" xfId="40230"/>
    <cellStyle name="CALC Amount Total [2] 2 5 8 3" xfId="36530"/>
    <cellStyle name="CALC Amount Total [2] 2 5 8 4" xfId="40231"/>
    <cellStyle name="CALC Amount Total [2] 2 5 9" xfId="22018"/>
    <cellStyle name="CALC Amount Total [2] 2 5 9 2" xfId="30317"/>
    <cellStyle name="CALC Amount Total [2] 2 5 9 2 2" xfId="40232"/>
    <cellStyle name="CALC Amount Total [2] 2 5 9 3" xfId="37355"/>
    <cellStyle name="CALC Amount Total [2] 2 5 9 4" xfId="40233"/>
    <cellStyle name="CALC Amount Total [2] 2 6" xfId="14623"/>
    <cellStyle name="CALC Amount Total [2] 2 6 10" xfId="22985"/>
    <cellStyle name="CALC Amount Total [2] 2 6 10 2" xfId="40234"/>
    <cellStyle name="CALC Amount Total [2] 2 6 11" xfId="40235"/>
    <cellStyle name="CALC Amount Total [2] 2 6 2" xfId="15704"/>
    <cellStyle name="CALC Amount Total [2] 2 6 2 2" xfId="24020"/>
    <cellStyle name="CALC Amount Total [2] 2 6 2 2 2" xfId="40236"/>
    <cellStyle name="CALC Amount Total [2] 2 6 2 3" xfId="31314"/>
    <cellStyle name="CALC Amount Total [2] 2 6 2 4" xfId="40237"/>
    <cellStyle name="CALC Amount Total [2] 2 6 3" xfId="16671"/>
    <cellStyle name="CALC Amount Total [2] 2 6 3 2" xfId="24991"/>
    <cellStyle name="CALC Amount Total [2] 2 6 3 2 2" xfId="40238"/>
    <cellStyle name="CALC Amount Total [2] 2 6 3 3" xfId="32247"/>
    <cellStyle name="CALC Amount Total [2] 2 6 3 4" xfId="40239"/>
    <cellStyle name="CALC Amount Total [2] 2 6 4" xfId="17694"/>
    <cellStyle name="CALC Amount Total [2] 2 6 4 2" xfId="26017"/>
    <cellStyle name="CALC Amount Total [2] 2 6 4 2 2" xfId="40240"/>
    <cellStyle name="CALC Amount Total [2] 2 6 4 3" xfId="33224"/>
    <cellStyle name="CALC Amount Total [2] 2 6 4 4" xfId="40241"/>
    <cellStyle name="CALC Amount Total [2] 2 6 5" xfId="18677"/>
    <cellStyle name="CALC Amount Total [2] 2 6 5 2" xfId="26998"/>
    <cellStyle name="CALC Amount Total [2] 2 6 5 2 2" xfId="40242"/>
    <cellStyle name="CALC Amount Total [2] 2 6 5 3" xfId="34163"/>
    <cellStyle name="CALC Amount Total [2] 2 6 5 4" xfId="40243"/>
    <cellStyle name="CALC Amount Total [2] 2 6 6" xfId="19646"/>
    <cellStyle name="CALC Amount Total [2] 2 6 6 2" xfId="27967"/>
    <cellStyle name="CALC Amount Total [2] 2 6 6 2 2" xfId="40244"/>
    <cellStyle name="CALC Amount Total [2] 2 6 6 3" xfId="35109"/>
    <cellStyle name="CALC Amount Total [2] 2 6 6 4" xfId="40245"/>
    <cellStyle name="CALC Amount Total [2] 2 6 7" xfId="20603"/>
    <cellStyle name="CALC Amount Total [2] 2 6 7 2" xfId="28924"/>
    <cellStyle name="CALC Amount Total [2] 2 6 7 2 2" xfId="40246"/>
    <cellStyle name="CALC Amount Total [2] 2 6 7 3" xfId="36024"/>
    <cellStyle name="CALC Amount Total [2] 2 6 7 4" xfId="40247"/>
    <cellStyle name="CALC Amount Total [2] 2 6 8" xfId="21134"/>
    <cellStyle name="CALC Amount Total [2] 2 6 8 2" xfId="29448"/>
    <cellStyle name="CALC Amount Total [2] 2 6 8 2 2" xfId="40248"/>
    <cellStyle name="CALC Amount Total [2] 2 6 8 3" xfId="36520"/>
    <cellStyle name="CALC Amount Total [2] 2 6 8 4" xfId="40249"/>
    <cellStyle name="CALC Amount Total [2] 2 6 9" xfId="22040"/>
    <cellStyle name="CALC Amount Total [2] 2 6 9 2" xfId="30338"/>
    <cellStyle name="CALC Amount Total [2] 2 6 9 2 2" xfId="40250"/>
    <cellStyle name="CALC Amount Total [2] 2 6 9 3" xfId="37375"/>
    <cellStyle name="CALC Amount Total [2] 2 6 9 4" xfId="40251"/>
    <cellStyle name="CALC Amount Total [2] 2 7" xfId="14642"/>
    <cellStyle name="CALC Amount Total [2] 2 7 10" xfId="23004"/>
    <cellStyle name="CALC Amount Total [2] 2 7 10 2" xfId="40252"/>
    <cellStyle name="CALC Amount Total [2] 2 7 11" xfId="40253"/>
    <cellStyle name="CALC Amount Total [2] 2 7 2" xfId="15723"/>
    <cellStyle name="CALC Amount Total [2] 2 7 2 2" xfId="24039"/>
    <cellStyle name="CALC Amount Total [2] 2 7 2 2 2" xfId="40254"/>
    <cellStyle name="CALC Amount Total [2] 2 7 2 3" xfId="31332"/>
    <cellStyle name="CALC Amount Total [2] 2 7 2 4" xfId="40255"/>
    <cellStyle name="CALC Amount Total [2] 2 7 3" xfId="16689"/>
    <cellStyle name="CALC Amount Total [2] 2 7 3 2" xfId="25010"/>
    <cellStyle name="CALC Amount Total [2] 2 7 3 2 2" xfId="40256"/>
    <cellStyle name="CALC Amount Total [2] 2 7 3 3" xfId="32265"/>
    <cellStyle name="CALC Amount Total [2] 2 7 3 4" xfId="40257"/>
    <cellStyle name="CALC Amount Total [2] 2 7 4" xfId="17713"/>
    <cellStyle name="CALC Amount Total [2] 2 7 4 2" xfId="26036"/>
    <cellStyle name="CALC Amount Total [2] 2 7 4 2 2" xfId="40258"/>
    <cellStyle name="CALC Amount Total [2] 2 7 4 3" xfId="33242"/>
    <cellStyle name="CALC Amount Total [2] 2 7 4 4" xfId="40259"/>
    <cellStyle name="CALC Amount Total [2] 2 7 5" xfId="18696"/>
    <cellStyle name="CALC Amount Total [2] 2 7 5 2" xfId="27017"/>
    <cellStyle name="CALC Amount Total [2] 2 7 5 2 2" xfId="40260"/>
    <cellStyle name="CALC Amount Total [2] 2 7 5 3" xfId="34181"/>
    <cellStyle name="CALC Amount Total [2] 2 7 5 4" xfId="40261"/>
    <cellStyle name="CALC Amount Total [2] 2 7 6" xfId="19665"/>
    <cellStyle name="CALC Amount Total [2] 2 7 6 2" xfId="27986"/>
    <cellStyle name="CALC Amount Total [2] 2 7 6 2 2" xfId="40262"/>
    <cellStyle name="CALC Amount Total [2] 2 7 6 3" xfId="35127"/>
    <cellStyle name="CALC Amount Total [2] 2 7 6 4" xfId="40263"/>
    <cellStyle name="CALC Amount Total [2] 2 7 7" xfId="20622"/>
    <cellStyle name="CALC Amount Total [2] 2 7 7 2" xfId="28943"/>
    <cellStyle name="CALC Amount Total [2] 2 7 7 2 2" xfId="40264"/>
    <cellStyle name="CALC Amount Total [2] 2 7 7 3" xfId="36042"/>
    <cellStyle name="CALC Amount Total [2] 2 7 7 4" xfId="40265"/>
    <cellStyle name="CALC Amount Total [2] 2 7 8" xfId="21298"/>
    <cellStyle name="CALC Amount Total [2] 2 7 8 2" xfId="29605"/>
    <cellStyle name="CALC Amount Total [2] 2 7 8 2 2" xfId="40266"/>
    <cellStyle name="CALC Amount Total [2] 2 7 8 3" xfId="36672"/>
    <cellStyle name="CALC Amount Total [2] 2 7 8 4" xfId="40267"/>
    <cellStyle name="CALC Amount Total [2] 2 7 9" xfId="22059"/>
    <cellStyle name="CALC Amount Total [2] 2 7 9 2" xfId="30357"/>
    <cellStyle name="CALC Amount Total [2] 2 7 9 2 2" xfId="40268"/>
    <cellStyle name="CALC Amount Total [2] 2 7 9 3" xfId="37393"/>
    <cellStyle name="CALC Amount Total [2] 2 7 9 4" xfId="40269"/>
    <cellStyle name="CALC Amount Total [2] 2 8" xfId="14664"/>
    <cellStyle name="CALC Amount Total [2] 2 8 10" xfId="23026"/>
    <cellStyle name="CALC Amount Total [2] 2 8 10 2" xfId="40270"/>
    <cellStyle name="CALC Amount Total [2] 2 8 11" xfId="40271"/>
    <cellStyle name="CALC Amount Total [2] 2 8 2" xfId="15745"/>
    <cellStyle name="CALC Amount Total [2] 2 8 2 2" xfId="24061"/>
    <cellStyle name="CALC Amount Total [2] 2 8 2 2 2" xfId="40272"/>
    <cellStyle name="CALC Amount Total [2] 2 8 2 3" xfId="31353"/>
    <cellStyle name="CALC Amount Total [2] 2 8 2 4" xfId="40273"/>
    <cellStyle name="CALC Amount Total [2] 2 8 3" xfId="16711"/>
    <cellStyle name="CALC Amount Total [2] 2 8 3 2" xfId="25032"/>
    <cellStyle name="CALC Amount Total [2] 2 8 3 2 2" xfId="40274"/>
    <cellStyle name="CALC Amount Total [2] 2 8 3 3" xfId="32286"/>
    <cellStyle name="CALC Amount Total [2] 2 8 3 4" xfId="40275"/>
    <cellStyle name="CALC Amount Total [2] 2 8 4" xfId="17735"/>
    <cellStyle name="CALC Amount Total [2] 2 8 4 2" xfId="26058"/>
    <cellStyle name="CALC Amount Total [2] 2 8 4 2 2" xfId="40276"/>
    <cellStyle name="CALC Amount Total [2] 2 8 4 3" xfId="33263"/>
    <cellStyle name="CALC Amount Total [2] 2 8 4 4" xfId="40277"/>
    <cellStyle name="CALC Amount Total [2] 2 8 5" xfId="18718"/>
    <cellStyle name="CALC Amount Total [2] 2 8 5 2" xfId="27039"/>
    <cellStyle name="CALC Amount Total [2] 2 8 5 2 2" xfId="40278"/>
    <cellStyle name="CALC Amount Total [2] 2 8 5 3" xfId="34202"/>
    <cellStyle name="CALC Amount Total [2] 2 8 5 4" xfId="40279"/>
    <cellStyle name="CALC Amount Total [2] 2 8 6" xfId="19687"/>
    <cellStyle name="CALC Amount Total [2] 2 8 6 2" xfId="28008"/>
    <cellStyle name="CALC Amount Total [2] 2 8 6 2 2" xfId="40280"/>
    <cellStyle name="CALC Amount Total [2] 2 8 6 3" xfId="35148"/>
    <cellStyle name="CALC Amount Total [2] 2 8 6 4" xfId="40281"/>
    <cellStyle name="CALC Amount Total [2] 2 8 7" xfId="20644"/>
    <cellStyle name="CALC Amount Total [2] 2 8 7 2" xfId="28965"/>
    <cellStyle name="CALC Amount Total [2] 2 8 7 2 2" xfId="40282"/>
    <cellStyle name="CALC Amount Total [2] 2 8 7 3" xfId="36063"/>
    <cellStyle name="CALC Amount Total [2] 2 8 7 4" xfId="40283"/>
    <cellStyle name="CALC Amount Total [2] 2 8 8" xfId="21274"/>
    <cellStyle name="CALC Amount Total [2] 2 8 8 2" xfId="29582"/>
    <cellStyle name="CALC Amount Total [2] 2 8 8 2 2" xfId="40284"/>
    <cellStyle name="CALC Amount Total [2] 2 8 8 3" xfId="36649"/>
    <cellStyle name="CALC Amount Total [2] 2 8 8 4" xfId="40285"/>
    <cellStyle name="CALC Amount Total [2] 2 8 9" xfId="22081"/>
    <cellStyle name="CALC Amount Total [2] 2 8 9 2" xfId="30379"/>
    <cellStyle name="CALC Amount Total [2] 2 8 9 2 2" xfId="40286"/>
    <cellStyle name="CALC Amount Total [2] 2 8 9 3" xfId="37414"/>
    <cellStyle name="CALC Amount Total [2] 2 8 9 4" xfId="40287"/>
    <cellStyle name="CALC Amount Total [2] 2 9" xfId="14763"/>
    <cellStyle name="CALC Amount Total [2] 2 9 10" xfId="23127"/>
    <cellStyle name="CALC Amount Total [2] 2 9 10 2" xfId="40288"/>
    <cellStyle name="CALC Amount Total [2] 2 9 11" xfId="40289"/>
    <cellStyle name="CALC Amount Total [2] 2 9 12" xfId="40290"/>
    <cellStyle name="CALC Amount Total [2] 2 9 2" xfId="15844"/>
    <cellStyle name="CALC Amount Total [2] 2 9 2 2" xfId="24162"/>
    <cellStyle name="CALC Amount Total [2] 2 9 2 2 2" xfId="40291"/>
    <cellStyle name="CALC Amount Total [2] 2 9 2 3" xfId="31450"/>
    <cellStyle name="CALC Amount Total [2] 2 9 2 4" xfId="40292"/>
    <cellStyle name="CALC Amount Total [2] 2 9 3" xfId="16810"/>
    <cellStyle name="CALC Amount Total [2] 2 9 3 2" xfId="25134"/>
    <cellStyle name="CALC Amount Total [2] 2 9 3 2 2" xfId="40293"/>
    <cellStyle name="CALC Amount Total [2] 2 9 3 3" xfId="32383"/>
    <cellStyle name="CALC Amount Total [2] 2 9 3 4" xfId="40294"/>
    <cellStyle name="CALC Amount Total [2] 2 9 4" xfId="17836"/>
    <cellStyle name="CALC Amount Total [2] 2 9 4 2" xfId="26160"/>
    <cellStyle name="CALC Amount Total [2] 2 9 4 2 2" xfId="40295"/>
    <cellStyle name="CALC Amount Total [2] 2 9 4 3" xfId="33360"/>
    <cellStyle name="CALC Amount Total [2] 2 9 4 4" xfId="40296"/>
    <cellStyle name="CALC Amount Total [2] 2 9 5" xfId="18820"/>
    <cellStyle name="CALC Amount Total [2] 2 9 5 2" xfId="27141"/>
    <cellStyle name="CALC Amount Total [2] 2 9 5 2 2" xfId="40297"/>
    <cellStyle name="CALC Amount Total [2] 2 9 5 3" xfId="34300"/>
    <cellStyle name="CALC Amount Total [2] 2 9 5 4" xfId="40298"/>
    <cellStyle name="CALC Amount Total [2] 2 9 6" xfId="19788"/>
    <cellStyle name="CALC Amount Total [2] 2 9 6 2" xfId="28110"/>
    <cellStyle name="CALC Amount Total [2] 2 9 6 2 2" xfId="40299"/>
    <cellStyle name="CALC Amount Total [2] 2 9 6 3" xfId="35246"/>
    <cellStyle name="CALC Amount Total [2] 2 9 6 4" xfId="40300"/>
    <cellStyle name="CALC Amount Total [2] 2 9 7" xfId="20746"/>
    <cellStyle name="CALC Amount Total [2] 2 9 7 2" xfId="29067"/>
    <cellStyle name="CALC Amount Total [2] 2 9 7 2 2" xfId="40301"/>
    <cellStyle name="CALC Amount Total [2] 2 9 7 3" xfId="36159"/>
    <cellStyle name="CALC Amount Total [2] 2 9 7 4" xfId="40302"/>
    <cellStyle name="CALC Amount Total [2] 2 9 8" xfId="21288"/>
    <cellStyle name="CALC Amount Total [2] 2 9 8 2" xfId="29595"/>
    <cellStyle name="CALC Amount Total [2] 2 9 8 2 2" xfId="40303"/>
    <cellStyle name="CALC Amount Total [2] 2 9 8 3" xfId="36662"/>
    <cellStyle name="CALC Amount Total [2] 2 9 8 4" xfId="40304"/>
    <cellStyle name="CALC Amount Total [2] 2 9 9" xfId="22182"/>
    <cellStyle name="CALC Amount Total [2] 2 9 9 2" xfId="30480"/>
    <cellStyle name="CALC Amount Total [2] 2 9 9 2 2" xfId="40305"/>
    <cellStyle name="CALC Amount Total [2] 2 9 9 3" xfId="37511"/>
    <cellStyle name="CALC Amount Total [2] 2 9 9 4" xfId="40306"/>
    <cellStyle name="CALC Amount Total [2] 20" xfId="15274"/>
    <cellStyle name="CALC Amount Total [2] 20 10" xfId="40307"/>
    <cellStyle name="CALC Amount Total [2] 20 11" xfId="40308"/>
    <cellStyle name="CALC Amount Total [2] 20 2" xfId="16354"/>
    <cellStyle name="CALC Amount Total [2] 20 2 2" xfId="24667"/>
    <cellStyle name="CALC Amount Total [2] 20 2 2 2" xfId="40309"/>
    <cellStyle name="CALC Amount Total [2] 20 2 3" xfId="31934"/>
    <cellStyle name="CALC Amount Total [2] 20 2 4" xfId="40310"/>
    <cellStyle name="CALC Amount Total [2] 20 3" xfId="17320"/>
    <cellStyle name="CALC Amount Total [2] 20 3 2" xfId="25641"/>
    <cellStyle name="CALC Amount Total [2] 20 3 2 2" xfId="40311"/>
    <cellStyle name="CALC Amount Total [2] 20 3 3" xfId="32867"/>
    <cellStyle name="CALC Amount Total [2] 20 3 4" xfId="40312"/>
    <cellStyle name="CALC Amount Total [2] 20 4" xfId="18348"/>
    <cellStyle name="CALC Amount Total [2] 20 4 2" xfId="26668"/>
    <cellStyle name="CALC Amount Total [2] 20 4 2 2" xfId="40313"/>
    <cellStyle name="CALC Amount Total [2] 20 4 3" xfId="33845"/>
    <cellStyle name="CALC Amount Total [2] 20 4 4" xfId="40314"/>
    <cellStyle name="CALC Amount Total [2] 20 5" xfId="19332"/>
    <cellStyle name="CALC Amount Total [2] 20 5 2" xfId="27652"/>
    <cellStyle name="CALC Amount Total [2] 20 5 2 2" xfId="40315"/>
    <cellStyle name="CALC Amount Total [2] 20 5 3" xfId="34800"/>
    <cellStyle name="CALC Amount Total [2] 20 5 4" xfId="40316"/>
    <cellStyle name="CALC Amount Total [2] 20 6" xfId="20300"/>
    <cellStyle name="CALC Amount Total [2] 20 6 2" xfId="28622"/>
    <cellStyle name="CALC Amount Total [2] 20 6 2 2" xfId="40317"/>
    <cellStyle name="CALC Amount Total [2] 20 6 3" xfId="35737"/>
    <cellStyle name="CALC Amount Total [2] 20 6 4" xfId="40318"/>
    <cellStyle name="CALC Amount Total [2] 20 7" xfId="21761"/>
    <cellStyle name="CALC Amount Total [2] 20 7 2" xfId="30062"/>
    <cellStyle name="CALC Amount Total [2] 20 7 2 2" xfId="40319"/>
    <cellStyle name="CALC Amount Total [2] 20 7 3" xfId="37111"/>
    <cellStyle name="CALC Amount Total [2] 20 7 4" xfId="40320"/>
    <cellStyle name="CALC Amount Total [2] 20 8" xfId="22689"/>
    <cellStyle name="CALC Amount Total [2] 20 8 2" xfId="30985"/>
    <cellStyle name="CALC Amount Total [2] 20 8 2 2" xfId="40321"/>
    <cellStyle name="CALC Amount Total [2] 20 8 3" xfId="37994"/>
    <cellStyle name="CALC Amount Total [2] 20 8 4" xfId="40322"/>
    <cellStyle name="CALC Amount Total [2] 20 9" xfId="23631"/>
    <cellStyle name="CALC Amount Total [2] 20 9 2" xfId="40323"/>
    <cellStyle name="CALC Amount Total [2] 21" xfId="15375"/>
    <cellStyle name="CALC Amount Total [2] 21 10" xfId="40324"/>
    <cellStyle name="CALC Amount Total [2] 21 11" xfId="40325"/>
    <cellStyle name="CALC Amount Total [2] 21 2" xfId="16455"/>
    <cellStyle name="CALC Amount Total [2] 21 2 2" xfId="24768"/>
    <cellStyle name="CALC Amount Total [2] 21 2 2 2" xfId="40326"/>
    <cellStyle name="CALC Amount Total [2] 21 2 3" xfId="32032"/>
    <cellStyle name="CALC Amount Total [2] 21 2 4" xfId="40327"/>
    <cellStyle name="CALC Amount Total [2] 21 3" xfId="17421"/>
    <cellStyle name="CALC Amount Total [2] 21 3 2" xfId="25742"/>
    <cellStyle name="CALC Amount Total [2] 21 3 2 2" xfId="40328"/>
    <cellStyle name="CALC Amount Total [2] 21 3 3" xfId="32965"/>
    <cellStyle name="CALC Amount Total [2] 21 3 4" xfId="40329"/>
    <cellStyle name="CALC Amount Total [2] 21 4" xfId="18449"/>
    <cellStyle name="CALC Amount Total [2] 21 4 2" xfId="26769"/>
    <cellStyle name="CALC Amount Total [2] 21 4 2 2" xfId="40330"/>
    <cellStyle name="CALC Amount Total [2] 21 4 3" xfId="33943"/>
    <cellStyle name="CALC Amount Total [2] 21 4 4" xfId="40331"/>
    <cellStyle name="CALC Amount Total [2] 21 5" xfId="19432"/>
    <cellStyle name="CALC Amount Total [2] 21 5 2" xfId="27753"/>
    <cellStyle name="CALC Amount Total [2] 21 5 2 2" xfId="40332"/>
    <cellStyle name="CALC Amount Total [2] 21 5 3" xfId="34901"/>
    <cellStyle name="CALC Amount Total [2] 21 5 4" xfId="40333"/>
    <cellStyle name="CALC Amount Total [2] 21 6" xfId="20401"/>
    <cellStyle name="CALC Amount Total [2] 21 6 2" xfId="28723"/>
    <cellStyle name="CALC Amount Total [2] 21 6 2 2" xfId="40334"/>
    <cellStyle name="CALC Amount Total [2] 21 6 3" xfId="35835"/>
    <cellStyle name="CALC Amount Total [2] 21 6 4" xfId="40335"/>
    <cellStyle name="CALC Amount Total [2] 21 7" xfId="21862"/>
    <cellStyle name="CALC Amount Total [2] 21 7 2" xfId="30163"/>
    <cellStyle name="CALC Amount Total [2] 21 7 2 2" xfId="40336"/>
    <cellStyle name="CALC Amount Total [2] 21 7 3" xfId="37208"/>
    <cellStyle name="CALC Amount Total [2] 21 7 4" xfId="40337"/>
    <cellStyle name="CALC Amount Total [2] 21 8" xfId="22790"/>
    <cellStyle name="CALC Amount Total [2] 21 8 2" xfId="31086"/>
    <cellStyle name="CALC Amount Total [2] 21 8 2 2" xfId="40338"/>
    <cellStyle name="CALC Amount Total [2] 21 8 3" xfId="38092"/>
    <cellStyle name="CALC Amount Total [2] 21 8 4" xfId="40339"/>
    <cellStyle name="CALC Amount Total [2] 21 9" xfId="23732"/>
    <cellStyle name="CALC Amount Total [2] 21 9 2" xfId="40340"/>
    <cellStyle name="CALC Amount Total [2] 22" xfId="15466"/>
    <cellStyle name="CALC Amount Total [2] 22 2" xfId="17512"/>
    <cellStyle name="CALC Amount Total [2] 22 2 2" xfId="25832"/>
    <cellStyle name="CALC Amount Total [2] 22 2 2 2" xfId="40341"/>
    <cellStyle name="CALC Amount Total [2] 22 2 3" xfId="33051"/>
    <cellStyle name="CALC Amount Total [2] 22 2 4" xfId="40342"/>
    <cellStyle name="CALC Amount Total [2] 22 3" xfId="19523"/>
    <cellStyle name="CALC Amount Total [2] 22 3 2" xfId="27844"/>
    <cellStyle name="CALC Amount Total [2] 22 3 2 2" xfId="40343"/>
    <cellStyle name="CALC Amount Total [2] 22 3 3" xfId="34992"/>
    <cellStyle name="CALC Amount Total [2] 22 3 4" xfId="40344"/>
    <cellStyle name="CALC Amount Total [2] 22 4" xfId="40345"/>
    <cellStyle name="CALC Amount Total [2] 22 4 2" xfId="40346"/>
    <cellStyle name="CALC Amount Total [2] 23" xfId="40347"/>
    <cellStyle name="CALC Amount Total [2] 23 2" xfId="40348"/>
    <cellStyle name="CALC Amount Total [2] 3" xfId="14531"/>
    <cellStyle name="CALC Amount Total [2] 3 2" xfId="15607"/>
    <cellStyle name="CALC Amount Total [2] 3 2 2" xfId="23921"/>
    <cellStyle name="CALC Amount Total [2] 3 2 2 2" xfId="40349"/>
    <cellStyle name="CALC Amount Total [2] 3 2 3" xfId="40350"/>
    <cellStyle name="CALC Amount Total [2] 3 2 4" xfId="40351"/>
    <cellStyle name="CALC Amount Total [2] 3 3" xfId="16576"/>
    <cellStyle name="CALC Amount Total [2] 3 3 2" xfId="24892"/>
    <cellStyle name="CALC Amount Total [2] 3 3 2 2" xfId="40352"/>
    <cellStyle name="CALC Amount Total [2] 3 3 3" xfId="32152"/>
    <cellStyle name="CALC Amount Total [2] 3 3 4" xfId="40353"/>
    <cellStyle name="CALC Amount Total [2] 3 4" xfId="17594"/>
    <cellStyle name="CALC Amount Total [2] 3 4 2" xfId="25916"/>
    <cellStyle name="CALC Amount Total [2] 3 4 2 2" xfId="40354"/>
    <cellStyle name="CALC Amount Total [2] 3 4 3" xfId="33129"/>
    <cellStyle name="CALC Amount Total [2] 3 4 4" xfId="40355"/>
    <cellStyle name="CALC Amount Total [2] 3 5" xfId="18575"/>
    <cellStyle name="CALC Amount Total [2] 3 5 2" xfId="26894"/>
    <cellStyle name="CALC Amount Total [2] 3 5 2 2" xfId="40356"/>
    <cellStyle name="CALC Amount Total [2] 3 5 3" xfId="34063"/>
    <cellStyle name="CALC Amount Total [2] 3 5 4" xfId="40357"/>
    <cellStyle name="CALC Amount Total [2] 3 6" xfId="17548"/>
    <cellStyle name="CALC Amount Total [2] 3 6 2" xfId="25867"/>
    <cellStyle name="CALC Amount Total [2] 3 6 2 2" xfId="40358"/>
    <cellStyle name="CALC Amount Total [2] 3 6 3" xfId="33084"/>
    <cellStyle name="CALC Amount Total [2] 3 6 4" xfId="40359"/>
    <cellStyle name="CALC Amount Total [2] 3 7" xfId="18750"/>
    <cellStyle name="CALC Amount Total [2] 3 7 2" xfId="27071"/>
    <cellStyle name="CALC Amount Total [2] 3 7 2 2" xfId="40360"/>
    <cellStyle name="CALC Amount Total [2] 3 7 3" xfId="34233"/>
    <cellStyle name="CALC Amount Total [2] 3 7 4" xfId="40361"/>
    <cellStyle name="CALC Amount Total [2] 3 8" xfId="22885"/>
    <cellStyle name="CALC Amount Total [2] 3 8 2" xfId="40362"/>
    <cellStyle name="CALC Amount Total [2] 4" xfId="14578"/>
    <cellStyle name="CALC Amount Total [2] 4 10" xfId="22937"/>
    <cellStyle name="CALC Amount Total [2] 4 10 2" xfId="40363"/>
    <cellStyle name="CALC Amount Total [2] 4 11" xfId="40364"/>
    <cellStyle name="CALC Amount Total [2] 4 2" xfId="15659"/>
    <cellStyle name="CALC Amount Total [2] 4 2 2" xfId="23973"/>
    <cellStyle name="CALC Amount Total [2] 4 2 2 2" xfId="40365"/>
    <cellStyle name="CALC Amount Total [2] 4 2 3" xfId="31270"/>
    <cellStyle name="CALC Amount Total [2] 4 2 4" xfId="40366"/>
    <cellStyle name="CALC Amount Total [2] 4 3" xfId="16626"/>
    <cellStyle name="CALC Amount Total [2] 4 3 2" xfId="24944"/>
    <cellStyle name="CALC Amount Total [2] 4 3 2 2" xfId="40367"/>
    <cellStyle name="CALC Amount Total [2] 4 3 3" xfId="32203"/>
    <cellStyle name="CALC Amount Total [2] 4 3 4" xfId="40368"/>
    <cellStyle name="CALC Amount Total [2] 4 4" xfId="17647"/>
    <cellStyle name="CALC Amount Total [2] 4 4 2" xfId="25970"/>
    <cellStyle name="CALC Amount Total [2] 4 4 2 2" xfId="40369"/>
    <cellStyle name="CALC Amount Total [2] 4 4 3" xfId="33180"/>
    <cellStyle name="CALC Amount Total [2] 4 4 4" xfId="40370"/>
    <cellStyle name="CALC Amount Total [2] 4 5" xfId="18629"/>
    <cellStyle name="CALC Amount Total [2] 4 5 2" xfId="26949"/>
    <cellStyle name="CALC Amount Total [2] 4 5 2 2" xfId="40371"/>
    <cellStyle name="CALC Amount Total [2] 4 5 3" xfId="34117"/>
    <cellStyle name="CALC Amount Total [2] 4 5 4" xfId="40372"/>
    <cellStyle name="CALC Amount Total [2] 4 6" xfId="19598"/>
    <cellStyle name="CALC Amount Total [2] 4 6 2" xfId="27918"/>
    <cellStyle name="CALC Amount Total [2] 4 6 2 2" xfId="40373"/>
    <cellStyle name="CALC Amount Total [2] 4 6 3" xfId="35063"/>
    <cellStyle name="CALC Amount Total [2] 4 6 4" xfId="40374"/>
    <cellStyle name="CALC Amount Total [2] 4 7" xfId="20555"/>
    <cellStyle name="CALC Amount Total [2] 4 7 2" xfId="28877"/>
    <cellStyle name="CALC Amount Total [2] 4 7 2 2" xfId="40375"/>
    <cellStyle name="CALC Amount Total [2] 4 7 3" xfId="35980"/>
    <cellStyle name="CALC Amount Total [2] 4 7 4" xfId="40376"/>
    <cellStyle name="CALC Amount Total [2] 4 8" xfId="21250"/>
    <cellStyle name="CALC Amount Total [2] 4 8 2" xfId="29559"/>
    <cellStyle name="CALC Amount Total [2] 4 8 2 2" xfId="40377"/>
    <cellStyle name="CALC Amount Total [2] 4 8 3" xfId="36627"/>
    <cellStyle name="CALC Amount Total [2] 4 8 4" xfId="40378"/>
    <cellStyle name="CALC Amount Total [2] 4 9" xfId="21991"/>
    <cellStyle name="CALC Amount Total [2] 4 9 2" xfId="30291"/>
    <cellStyle name="CALC Amount Total [2] 4 9 2 2" xfId="40379"/>
    <cellStyle name="CALC Amount Total [2] 4 9 3" xfId="37331"/>
    <cellStyle name="CALC Amount Total [2] 4 9 4" xfId="40380"/>
    <cellStyle name="CALC Amount Total [2] 5" xfId="14619"/>
    <cellStyle name="CALC Amount Total [2] 5 10" xfId="22981"/>
    <cellStyle name="CALC Amount Total [2] 5 10 2" xfId="40381"/>
    <cellStyle name="CALC Amount Total [2] 5 11" xfId="40382"/>
    <cellStyle name="CALC Amount Total [2] 5 2" xfId="15700"/>
    <cellStyle name="CALC Amount Total [2] 5 2 2" xfId="24016"/>
    <cellStyle name="CALC Amount Total [2] 5 2 2 2" xfId="40383"/>
    <cellStyle name="CALC Amount Total [2] 5 2 3" xfId="31310"/>
    <cellStyle name="CALC Amount Total [2] 5 2 4" xfId="40384"/>
    <cellStyle name="CALC Amount Total [2] 5 3" xfId="16667"/>
    <cellStyle name="CALC Amount Total [2] 5 3 2" xfId="24987"/>
    <cellStyle name="CALC Amount Total [2] 5 3 2 2" xfId="40385"/>
    <cellStyle name="CALC Amount Total [2] 5 3 3" xfId="32243"/>
    <cellStyle name="CALC Amount Total [2] 5 3 4" xfId="40386"/>
    <cellStyle name="CALC Amount Total [2] 5 4" xfId="17690"/>
    <cellStyle name="CALC Amount Total [2] 5 4 2" xfId="26013"/>
    <cellStyle name="CALC Amount Total [2] 5 4 2 2" xfId="40387"/>
    <cellStyle name="CALC Amount Total [2] 5 4 3" xfId="33220"/>
    <cellStyle name="CALC Amount Total [2] 5 4 4" xfId="40388"/>
    <cellStyle name="CALC Amount Total [2] 5 5" xfId="18673"/>
    <cellStyle name="CALC Amount Total [2] 5 5 2" xfId="26994"/>
    <cellStyle name="CALC Amount Total [2] 5 5 2 2" xfId="40389"/>
    <cellStyle name="CALC Amount Total [2] 5 5 3" xfId="34159"/>
    <cellStyle name="CALC Amount Total [2] 5 5 4" xfId="40390"/>
    <cellStyle name="CALC Amount Total [2] 5 6" xfId="19642"/>
    <cellStyle name="CALC Amount Total [2] 5 6 2" xfId="27963"/>
    <cellStyle name="CALC Amount Total [2] 5 6 2 2" xfId="40391"/>
    <cellStyle name="CALC Amount Total [2] 5 6 3" xfId="35105"/>
    <cellStyle name="CALC Amount Total [2] 5 6 4" xfId="40392"/>
    <cellStyle name="CALC Amount Total [2] 5 7" xfId="20599"/>
    <cellStyle name="CALC Amount Total [2] 5 7 2" xfId="28920"/>
    <cellStyle name="CALC Amount Total [2] 5 7 2 2" xfId="40393"/>
    <cellStyle name="CALC Amount Total [2] 5 7 3" xfId="36020"/>
    <cellStyle name="CALC Amount Total [2] 5 7 4" xfId="40394"/>
    <cellStyle name="CALC Amount Total [2] 5 8" xfId="21208"/>
    <cellStyle name="CALC Amount Total [2] 5 8 2" xfId="29520"/>
    <cellStyle name="CALC Amount Total [2] 5 8 2 2" xfId="40395"/>
    <cellStyle name="CALC Amount Total [2] 5 8 3" xfId="36589"/>
    <cellStyle name="CALC Amount Total [2] 5 8 4" xfId="40396"/>
    <cellStyle name="CALC Amount Total [2] 5 9" xfId="22036"/>
    <cellStyle name="CALC Amount Total [2] 5 9 2" xfId="30334"/>
    <cellStyle name="CALC Amount Total [2] 5 9 2 2" xfId="40397"/>
    <cellStyle name="CALC Amount Total [2] 5 9 3" xfId="37371"/>
    <cellStyle name="CALC Amount Total [2] 5 9 4" xfId="40398"/>
    <cellStyle name="CALC Amount Total [2] 6" xfId="14612"/>
    <cellStyle name="CALC Amount Total [2] 6 10" xfId="22973"/>
    <cellStyle name="CALC Amount Total [2] 6 10 2" xfId="40399"/>
    <cellStyle name="CALC Amount Total [2] 6 11" xfId="40400"/>
    <cellStyle name="CALC Amount Total [2] 6 2" xfId="15692"/>
    <cellStyle name="CALC Amount Total [2] 6 2 2" xfId="24008"/>
    <cellStyle name="CALC Amount Total [2] 6 2 2 2" xfId="40401"/>
    <cellStyle name="CALC Amount Total [2] 6 2 3" xfId="31302"/>
    <cellStyle name="CALC Amount Total [2] 6 2 4" xfId="40402"/>
    <cellStyle name="CALC Amount Total [2] 6 3" xfId="16659"/>
    <cellStyle name="CALC Amount Total [2] 6 3 2" xfId="24979"/>
    <cellStyle name="CALC Amount Total [2] 6 3 2 2" xfId="40403"/>
    <cellStyle name="CALC Amount Total [2] 6 3 3" xfId="32235"/>
    <cellStyle name="CALC Amount Total [2] 6 3 4" xfId="40404"/>
    <cellStyle name="CALC Amount Total [2] 6 4" xfId="17681"/>
    <cellStyle name="CALC Amount Total [2] 6 4 2" xfId="26005"/>
    <cellStyle name="CALC Amount Total [2] 6 4 2 2" xfId="40405"/>
    <cellStyle name="CALC Amount Total [2] 6 4 3" xfId="33212"/>
    <cellStyle name="CALC Amount Total [2] 6 4 4" xfId="40406"/>
    <cellStyle name="CALC Amount Total [2] 6 5" xfId="18664"/>
    <cellStyle name="CALC Amount Total [2] 6 5 2" xfId="26985"/>
    <cellStyle name="CALC Amount Total [2] 6 5 2 2" xfId="40407"/>
    <cellStyle name="CALC Amount Total [2] 6 5 3" xfId="34150"/>
    <cellStyle name="CALC Amount Total [2] 6 5 4" xfId="40408"/>
    <cellStyle name="CALC Amount Total [2] 6 6" xfId="19633"/>
    <cellStyle name="CALC Amount Total [2] 6 6 2" xfId="27954"/>
    <cellStyle name="CALC Amount Total [2] 6 6 2 2" xfId="40409"/>
    <cellStyle name="CALC Amount Total [2] 6 6 3" xfId="35096"/>
    <cellStyle name="CALC Amount Total [2] 6 6 4" xfId="40410"/>
    <cellStyle name="CALC Amount Total [2] 6 7" xfId="20590"/>
    <cellStyle name="CALC Amount Total [2] 6 7 2" xfId="28912"/>
    <cellStyle name="CALC Amount Total [2] 6 7 2 2" xfId="40411"/>
    <cellStyle name="CALC Amount Total [2] 6 7 3" xfId="36012"/>
    <cellStyle name="CALC Amount Total [2] 6 7 4" xfId="40412"/>
    <cellStyle name="CALC Amount Total [2] 6 8" xfId="21376"/>
    <cellStyle name="CALC Amount Total [2] 6 8 2" xfId="29679"/>
    <cellStyle name="CALC Amount Total [2] 6 8 2 2" xfId="40413"/>
    <cellStyle name="CALC Amount Total [2] 6 8 3" xfId="36743"/>
    <cellStyle name="CALC Amount Total [2] 6 8 4" xfId="40414"/>
    <cellStyle name="CALC Amount Total [2] 6 9" xfId="22027"/>
    <cellStyle name="CALC Amount Total [2] 6 9 2" xfId="30326"/>
    <cellStyle name="CALC Amount Total [2] 6 9 2 2" xfId="40415"/>
    <cellStyle name="CALC Amount Total [2] 6 9 3" xfId="37363"/>
    <cellStyle name="CALC Amount Total [2] 6 9 4" xfId="40416"/>
    <cellStyle name="CALC Amount Total [2] 7" xfId="14677"/>
    <cellStyle name="CALC Amount Total [2] 7 10" xfId="23039"/>
    <cellStyle name="CALC Amount Total [2] 7 10 2" xfId="40417"/>
    <cellStyle name="CALC Amount Total [2] 7 11" xfId="40418"/>
    <cellStyle name="CALC Amount Total [2] 7 2" xfId="15758"/>
    <cellStyle name="CALC Amount Total [2] 7 2 2" xfId="24074"/>
    <cellStyle name="CALC Amount Total [2] 7 2 2 2" xfId="40419"/>
    <cellStyle name="CALC Amount Total [2] 7 2 3" xfId="31365"/>
    <cellStyle name="CALC Amount Total [2] 7 2 4" xfId="40420"/>
    <cellStyle name="CALC Amount Total [2] 7 3" xfId="16724"/>
    <cellStyle name="CALC Amount Total [2] 7 3 2" xfId="25045"/>
    <cellStyle name="CALC Amount Total [2] 7 3 2 2" xfId="40421"/>
    <cellStyle name="CALC Amount Total [2] 7 3 3" xfId="32298"/>
    <cellStyle name="CALC Amount Total [2] 7 3 4" xfId="40422"/>
    <cellStyle name="CALC Amount Total [2] 7 4" xfId="17748"/>
    <cellStyle name="CALC Amount Total [2] 7 4 2" xfId="26071"/>
    <cellStyle name="CALC Amount Total [2] 7 4 2 2" xfId="40423"/>
    <cellStyle name="CALC Amount Total [2] 7 4 3" xfId="33275"/>
    <cellStyle name="CALC Amount Total [2] 7 4 4" xfId="40424"/>
    <cellStyle name="CALC Amount Total [2] 7 5" xfId="18731"/>
    <cellStyle name="CALC Amount Total [2] 7 5 2" xfId="27052"/>
    <cellStyle name="CALC Amount Total [2] 7 5 2 2" xfId="40425"/>
    <cellStyle name="CALC Amount Total [2] 7 5 3" xfId="34214"/>
    <cellStyle name="CALC Amount Total [2] 7 5 4" xfId="40426"/>
    <cellStyle name="CALC Amount Total [2] 7 6" xfId="19700"/>
    <cellStyle name="CALC Amount Total [2] 7 6 2" xfId="28021"/>
    <cellStyle name="CALC Amount Total [2] 7 6 2 2" xfId="40427"/>
    <cellStyle name="CALC Amount Total [2] 7 6 3" xfId="35160"/>
    <cellStyle name="CALC Amount Total [2] 7 6 4" xfId="40428"/>
    <cellStyle name="CALC Amount Total [2] 7 7" xfId="20657"/>
    <cellStyle name="CALC Amount Total [2] 7 7 2" xfId="28978"/>
    <cellStyle name="CALC Amount Total [2] 7 7 2 2" xfId="40429"/>
    <cellStyle name="CALC Amount Total [2] 7 7 3" xfId="36075"/>
    <cellStyle name="CALC Amount Total [2] 7 7 4" xfId="40430"/>
    <cellStyle name="CALC Amount Total [2] 7 8" xfId="21195"/>
    <cellStyle name="CALC Amount Total [2] 7 8 2" xfId="29507"/>
    <cellStyle name="CALC Amount Total [2] 7 8 2 2" xfId="40431"/>
    <cellStyle name="CALC Amount Total [2] 7 8 3" xfId="36578"/>
    <cellStyle name="CALC Amount Total [2] 7 8 4" xfId="40432"/>
    <cellStyle name="CALC Amount Total [2] 7 9" xfId="22094"/>
    <cellStyle name="CALC Amount Total [2] 7 9 2" xfId="30392"/>
    <cellStyle name="CALC Amount Total [2] 7 9 2 2" xfId="40433"/>
    <cellStyle name="CALC Amount Total [2] 7 9 3" xfId="37426"/>
    <cellStyle name="CALC Amount Total [2] 7 9 4" xfId="40434"/>
    <cellStyle name="CALC Amount Total [2] 8" xfId="14757"/>
    <cellStyle name="CALC Amount Total [2] 8 10" xfId="23121"/>
    <cellStyle name="CALC Amount Total [2] 8 10 2" xfId="40435"/>
    <cellStyle name="CALC Amount Total [2] 8 11" xfId="40436"/>
    <cellStyle name="CALC Amount Total [2] 8 12" xfId="40437"/>
    <cellStyle name="CALC Amount Total [2] 8 2" xfId="15838"/>
    <cellStyle name="CALC Amount Total [2] 8 2 2" xfId="24156"/>
    <cellStyle name="CALC Amount Total [2] 8 2 2 2" xfId="40438"/>
    <cellStyle name="CALC Amount Total [2] 8 2 3" xfId="31444"/>
    <cellStyle name="CALC Amount Total [2] 8 2 4" xfId="40439"/>
    <cellStyle name="CALC Amount Total [2] 8 3" xfId="16804"/>
    <cellStyle name="CALC Amount Total [2] 8 3 2" xfId="25128"/>
    <cellStyle name="CALC Amount Total [2] 8 3 2 2" xfId="40440"/>
    <cellStyle name="CALC Amount Total [2] 8 3 3" xfId="32377"/>
    <cellStyle name="CALC Amount Total [2] 8 3 4" xfId="40441"/>
    <cellStyle name="CALC Amount Total [2] 8 4" xfId="17830"/>
    <cellStyle name="CALC Amount Total [2] 8 4 2" xfId="26154"/>
    <cellStyle name="CALC Amount Total [2] 8 4 2 2" xfId="40442"/>
    <cellStyle name="CALC Amount Total [2] 8 4 3" xfId="33354"/>
    <cellStyle name="CALC Amount Total [2] 8 4 4" xfId="40443"/>
    <cellStyle name="CALC Amount Total [2] 8 5" xfId="18814"/>
    <cellStyle name="CALC Amount Total [2] 8 5 2" xfId="27135"/>
    <cellStyle name="CALC Amount Total [2] 8 5 2 2" xfId="40444"/>
    <cellStyle name="CALC Amount Total [2] 8 5 3" xfId="34294"/>
    <cellStyle name="CALC Amount Total [2] 8 5 4" xfId="40445"/>
    <cellStyle name="CALC Amount Total [2] 8 6" xfId="19782"/>
    <cellStyle name="CALC Amount Total [2] 8 6 2" xfId="28104"/>
    <cellStyle name="CALC Amount Total [2] 8 6 2 2" xfId="40446"/>
    <cellStyle name="CALC Amount Total [2] 8 6 3" xfId="35240"/>
    <cellStyle name="CALC Amount Total [2] 8 6 4" xfId="40447"/>
    <cellStyle name="CALC Amount Total [2] 8 7" xfId="20740"/>
    <cellStyle name="CALC Amount Total [2] 8 7 2" xfId="29061"/>
    <cellStyle name="CALC Amount Total [2] 8 7 2 2" xfId="40448"/>
    <cellStyle name="CALC Amount Total [2] 8 7 3" xfId="36153"/>
    <cellStyle name="CALC Amount Total [2] 8 7 4" xfId="40449"/>
    <cellStyle name="CALC Amount Total [2] 8 8" xfId="15552"/>
    <cellStyle name="CALC Amount Total [2] 8 8 2" xfId="23882"/>
    <cellStyle name="CALC Amount Total [2] 8 8 2 2" xfId="40450"/>
    <cellStyle name="CALC Amount Total [2] 8 8 3" xfId="31226"/>
    <cellStyle name="CALC Amount Total [2] 8 8 4" xfId="40451"/>
    <cellStyle name="CALC Amount Total [2] 8 9" xfId="22176"/>
    <cellStyle name="CALC Amount Total [2] 8 9 2" xfId="30474"/>
    <cellStyle name="CALC Amount Total [2] 8 9 2 2" xfId="40452"/>
    <cellStyle name="CALC Amount Total [2] 8 9 3" xfId="37505"/>
    <cellStyle name="CALC Amount Total [2] 8 9 4" xfId="40453"/>
    <cellStyle name="CALC Amount Total [2] 9" xfId="14741"/>
    <cellStyle name="CALC Amount Total [2] 9 10" xfId="23105"/>
    <cellStyle name="CALC Amount Total [2] 9 10 2" xfId="40454"/>
    <cellStyle name="CALC Amount Total [2] 9 11" xfId="40455"/>
    <cellStyle name="CALC Amount Total [2] 9 12" xfId="40456"/>
    <cellStyle name="CALC Amount Total [2] 9 2" xfId="15822"/>
    <cellStyle name="CALC Amount Total [2] 9 2 2" xfId="24140"/>
    <cellStyle name="CALC Amount Total [2] 9 2 2 2" xfId="40457"/>
    <cellStyle name="CALC Amount Total [2] 9 2 3" xfId="31428"/>
    <cellStyle name="CALC Amount Total [2] 9 2 4" xfId="40458"/>
    <cellStyle name="CALC Amount Total [2] 9 3" xfId="16788"/>
    <cellStyle name="CALC Amount Total [2] 9 3 2" xfId="25112"/>
    <cellStyle name="CALC Amount Total [2] 9 3 2 2" xfId="40459"/>
    <cellStyle name="CALC Amount Total [2] 9 3 3" xfId="32361"/>
    <cellStyle name="CALC Amount Total [2] 9 3 4" xfId="40460"/>
    <cellStyle name="CALC Amount Total [2] 9 4" xfId="17814"/>
    <cellStyle name="CALC Amount Total [2] 9 4 2" xfId="26138"/>
    <cellStyle name="CALC Amount Total [2] 9 4 2 2" xfId="40461"/>
    <cellStyle name="CALC Amount Total [2] 9 4 3" xfId="33338"/>
    <cellStyle name="CALC Amount Total [2] 9 4 4" xfId="40462"/>
    <cellStyle name="CALC Amount Total [2] 9 5" xfId="18798"/>
    <cellStyle name="CALC Amount Total [2] 9 5 2" xfId="27119"/>
    <cellStyle name="CALC Amount Total [2] 9 5 2 2" xfId="40463"/>
    <cellStyle name="CALC Amount Total [2] 9 5 3" xfId="34278"/>
    <cellStyle name="CALC Amount Total [2] 9 5 4" xfId="40464"/>
    <cellStyle name="CALC Amount Total [2] 9 6" xfId="19766"/>
    <cellStyle name="CALC Amount Total [2] 9 6 2" xfId="28088"/>
    <cellStyle name="CALC Amount Total [2] 9 6 2 2" xfId="40465"/>
    <cellStyle name="CALC Amount Total [2] 9 6 3" xfId="35224"/>
    <cellStyle name="CALC Amount Total [2] 9 6 4" xfId="40466"/>
    <cellStyle name="CALC Amount Total [2] 9 7" xfId="20724"/>
    <cellStyle name="CALC Amount Total [2] 9 7 2" xfId="29045"/>
    <cellStyle name="CALC Amount Total [2] 9 7 2 2" xfId="40467"/>
    <cellStyle name="CALC Amount Total [2] 9 7 3" xfId="36137"/>
    <cellStyle name="CALC Amount Total [2] 9 7 4" xfId="40468"/>
    <cellStyle name="CALC Amount Total [2] 9 8" xfId="21256"/>
    <cellStyle name="CALC Amount Total [2] 9 8 2" xfId="29565"/>
    <cellStyle name="CALC Amount Total [2] 9 8 2 2" xfId="40469"/>
    <cellStyle name="CALC Amount Total [2] 9 8 3" xfId="36633"/>
    <cellStyle name="CALC Amount Total [2] 9 8 4" xfId="40470"/>
    <cellStyle name="CALC Amount Total [2] 9 9" xfId="22160"/>
    <cellStyle name="CALC Amount Total [2] 9 9 2" xfId="30458"/>
    <cellStyle name="CALC Amount Total [2] 9 9 2 2" xfId="40471"/>
    <cellStyle name="CALC Amount Total [2] 9 9 3" xfId="37489"/>
    <cellStyle name="CALC Amount Total [2] 9 9 4" xfId="40472"/>
    <cellStyle name="CALC Amount Total 10" xfId="14656"/>
    <cellStyle name="CALC Amount Total 10 10" xfId="23018"/>
    <cellStyle name="CALC Amount Total 10 10 2" xfId="40473"/>
    <cellStyle name="CALC Amount Total 10 11" xfId="40474"/>
    <cellStyle name="CALC Amount Total 10 2" xfId="15737"/>
    <cellStyle name="CALC Amount Total 10 2 2" xfId="24053"/>
    <cellStyle name="CALC Amount Total 10 2 2 2" xfId="40475"/>
    <cellStyle name="CALC Amount Total 10 2 3" xfId="31345"/>
    <cellStyle name="CALC Amount Total 10 2 4" xfId="40476"/>
    <cellStyle name="CALC Amount Total 10 3" xfId="16703"/>
    <cellStyle name="CALC Amount Total 10 3 2" xfId="25024"/>
    <cellStyle name="CALC Amount Total 10 3 2 2" xfId="40477"/>
    <cellStyle name="CALC Amount Total 10 3 3" xfId="32278"/>
    <cellStyle name="CALC Amount Total 10 3 4" xfId="40478"/>
    <cellStyle name="CALC Amount Total 10 4" xfId="17727"/>
    <cellStyle name="CALC Amount Total 10 4 2" xfId="26050"/>
    <cellStyle name="CALC Amount Total 10 4 2 2" xfId="40479"/>
    <cellStyle name="CALC Amount Total 10 4 3" xfId="33255"/>
    <cellStyle name="CALC Amount Total 10 4 4" xfId="40480"/>
    <cellStyle name="CALC Amount Total 10 5" xfId="18710"/>
    <cellStyle name="CALC Amount Total 10 5 2" xfId="27031"/>
    <cellStyle name="CALC Amount Total 10 5 2 2" xfId="40481"/>
    <cellStyle name="CALC Amount Total 10 5 3" xfId="34194"/>
    <cellStyle name="CALC Amount Total 10 5 4" xfId="40482"/>
    <cellStyle name="CALC Amount Total 10 6" xfId="19679"/>
    <cellStyle name="CALC Amount Total 10 6 2" xfId="28000"/>
    <cellStyle name="CALC Amount Total 10 6 2 2" xfId="40483"/>
    <cellStyle name="CALC Amount Total 10 6 3" xfId="35140"/>
    <cellStyle name="CALC Amount Total 10 6 4" xfId="40484"/>
    <cellStyle name="CALC Amount Total 10 7" xfId="20636"/>
    <cellStyle name="CALC Amount Total 10 7 2" xfId="28957"/>
    <cellStyle name="CALC Amount Total 10 7 2 2" xfId="40485"/>
    <cellStyle name="CALC Amount Total 10 7 3" xfId="36055"/>
    <cellStyle name="CALC Amount Total 10 7 4" xfId="40486"/>
    <cellStyle name="CALC Amount Total 10 8" xfId="21102"/>
    <cellStyle name="CALC Amount Total 10 8 2" xfId="29419"/>
    <cellStyle name="CALC Amount Total 10 8 2 2" xfId="40487"/>
    <cellStyle name="CALC Amount Total 10 8 3" xfId="36493"/>
    <cellStyle name="CALC Amount Total 10 8 4" xfId="40488"/>
    <cellStyle name="CALC Amount Total 10 9" xfId="22073"/>
    <cellStyle name="CALC Amount Total 10 9 2" xfId="30371"/>
    <cellStyle name="CALC Amount Total 10 9 2 2" xfId="40489"/>
    <cellStyle name="CALC Amount Total 10 9 3" xfId="37406"/>
    <cellStyle name="CALC Amount Total 10 9 4" xfId="40490"/>
    <cellStyle name="CALC Amount Total 100" xfId="15464"/>
    <cellStyle name="CALC Amount Total 100 2" xfId="17510"/>
    <cellStyle name="CALC Amount Total 100 2 2" xfId="25831"/>
    <cellStyle name="CALC Amount Total 100 2 2 2" xfId="40491"/>
    <cellStyle name="CALC Amount Total 100 2 3" xfId="33050"/>
    <cellStyle name="CALC Amount Total 100 2 4" xfId="40492"/>
    <cellStyle name="CALC Amount Total 100 3" xfId="19521"/>
    <cellStyle name="CALC Amount Total 100 3 2" xfId="27842"/>
    <cellStyle name="CALC Amount Total 100 3 2 2" xfId="40493"/>
    <cellStyle name="CALC Amount Total 100 3 3" xfId="34990"/>
    <cellStyle name="CALC Amount Total 100 3 4" xfId="40494"/>
    <cellStyle name="CALC Amount Total 100 4" xfId="40495"/>
    <cellStyle name="CALC Amount Total 100 4 2" xfId="40496"/>
    <cellStyle name="CALC Amount Total 101" xfId="15516"/>
    <cellStyle name="CALC Amount Total 101 2" xfId="40497"/>
    <cellStyle name="CALC Amount Total 101 2 2" xfId="40498"/>
    <cellStyle name="CALC Amount Total 102" xfId="15549"/>
    <cellStyle name="CALC Amount Total 102 2" xfId="40499"/>
    <cellStyle name="CALC Amount Total 102 2 2" xfId="40500"/>
    <cellStyle name="CALC Amount Total 103" xfId="15538"/>
    <cellStyle name="CALC Amount Total 103 2" xfId="40501"/>
    <cellStyle name="CALC Amount Total 103 2 2" xfId="40502"/>
    <cellStyle name="CALC Amount Total 104" xfId="15562"/>
    <cellStyle name="CALC Amount Total 104 2" xfId="40503"/>
    <cellStyle name="CALC Amount Total 104 2 2" xfId="40504"/>
    <cellStyle name="CALC Amount Total 105" xfId="18539"/>
    <cellStyle name="CALC Amount Total 105 2" xfId="40505"/>
    <cellStyle name="CALC Amount Total 105 2 2" xfId="40506"/>
    <cellStyle name="CALC Amount Total 106" xfId="19583"/>
    <cellStyle name="CALC Amount Total 106 2" xfId="40507"/>
    <cellStyle name="CALC Amount Total 106 2 2" xfId="40508"/>
    <cellStyle name="CALC Amount Total 107" xfId="21320"/>
    <cellStyle name="CALC Amount Total 107 2" xfId="40509"/>
    <cellStyle name="CALC Amount Total 107 2 2" xfId="40510"/>
    <cellStyle name="CALC Amount Total 108" xfId="21139"/>
    <cellStyle name="CALC Amount Total 108 2" xfId="40511"/>
    <cellStyle name="CALC Amount Total 108 2 2" xfId="40512"/>
    <cellStyle name="CALC Amount Total 109" xfId="14579"/>
    <cellStyle name="CALC Amount Total 109 2" xfId="40513"/>
    <cellStyle name="CALC Amount Total 11" xfId="14661"/>
    <cellStyle name="CALC Amount Total 11 10" xfId="23023"/>
    <cellStyle name="CALC Amount Total 11 10 2" xfId="40514"/>
    <cellStyle name="CALC Amount Total 11 11" xfId="40515"/>
    <cellStyle name="CALC Amount Total 11 2" xfId="15742"/>
    <cellStyle name="CALC Amount Total 11 2 2" xfId="24058"/>
    <cellStyle name="CALC Amount Total 11 2 2 2" xfId="40516"/>
    <cellStyle name="CALC Amount Total 11 2 3" xfId="31350"/>
    <cellStyle name="CALC Amount Total 11 2 4" xfId="40517"/>
    <cellStyle name="CALC Amount Total 11 3" xfId="16708"/>
    <cellStyle name="CALC Amount Total 11 3 2" xfId="25029"/>
    <cellStyle name="CALC Amount Total 11 3 2 2" xfId="40518"/>
    <cellStyle name="CALC Amount Total 11 3 3" xfId="32283"/>
    <cellStyle name="CALC Amount Total 11 3 4" xfId="40519"/>
    <cellStyle name="CALC Amount Total 11 4" xfId="17732"/>
    <cellStyle name="CALC Amount Total 11 4 2" xfId="26055"/>
    <cellStyle name="CALC Amount Total 11 4 2 2" xfId="40520"/>
    <cellStyle name="CALC Amount Total 11 4 3" xfId="33260"/>
    <cellStyle name="CALC Amount Total 11 4 4" xfId="40521"/>
    <cellStyle name="CALC Amount Total 11 5" xfId="18715"/>
    <cellStyle name="CALC Amount Total 11 5 2" xfId="27036"/>
    <cellStyle name="CALC Amount Total 11 5 2 2" xfId="40522"/>
    <cellStyle name="CALC Amount Total 11 5 3" xfId="34199"/>
    <cellStyle name="CALC Amount Total 11 5 4" xfId="40523"/>
    <cellStyle name="CALC Amount Total 11 6" xfId="19684"/>
    <cellStyle name="CALC Amount Total 11 6 2" xfId="28005"/>
    <cellStyle name="CALC Amount Total 11 6 2 2" xfId="40524"/>
    <cellStyle name="CALC Amount Total 11 6 3" xfId="35145"/>
    <cellStyle name="CALC Amount Total 11 6 4" xfId="40525"/>
    <cellStyle name="CALC Amount Total 11 7" xfId="20641"/>
    <cellStyle name="CALC Amount Total 11 7 2" xfId="28962"/>
    <cellStyle name="CALC Amount Total 11 7 2 2" xfId="40526"/>
    <cellStyle name="CALC Amount Total 11 7 3" xfId="36060"/>
    <cellStyle name="CALC Amount Total 11 7 4" xfId="40527"/>
    <cellStyle name="CALC Amount Total 11 8" xfId="17570"/>
    <cellStyle name="CALC Amount Total 11 8 2" xfId="25889"/>
    <cellStyle name="CALC Amount Total 11 8 2 2" xfId="40528"/>
    <cellStyle name="CALC Amount Total 11 8 3" xfId="33102"/>
    <cellStyle name="CALC Amount Total 11 8 4" xfId="40529"/>
    <cellStyle name="CALC Amount Total 11 9" xfId="22078"/>
    <cellStyle name="CALC Amount Total 11 9 2" xfId="30376"/>
    <cellStyle name="CALC Amount Total 11 9 2 2" xfId="40530"/>
    <cellStyle name="CALC Amount Total 11 9 3" xfId="37411"/>
    <cellStyle name="CALC Amount Total 11 9 4" xfId="40531"/>
    <cellStyle name="CALC Amount Total 110" xfId="22947"/>
    <cellStyle name="CALC Amount Total 111" xfId="40532"/>
    <cellStyle name="CALC Amount Total 112" xfId="40533"/>
    <cellStyle name="CALC Amount Total 12" xfId="14673"/>
    <cellStyle name="CALC Amount Total 12 10" xfId="23035"/>
    <cellStyle name="CALC Amount Total 12 10 2" xfId="40534"/>
    <cellStyle name="CALC Amount Total 12 11" xfId="40535"/>
    <cellStyle name="CALC Amount Total 12 2" xfId="15754"/>
    <cellStyle name="CALC Amount Total 12 2 2" xfId="24070"/>
    <cellStyle name="CALC Amount Total 12 2 2 2" xfId="40536"/>
    <cellStyle name="CALC Amount Total 12 2 3" xfId="31361"/>
    <cellStyle name="CALC Amount Total 12 2 4" xfId="40537"/>
    <cellStyle name="CALC Amount Total 12 3" xfId="16720"/>
    <cellStyle name="CALC Amount Total 12 3 2" xfId="25041"/>
    <cellStyle name="CALC Amount Total 12 3 2 2" xfId="40538"/>
    <cellStyle name="CALC Amount Total 12 3 3" xfId="32294"/>
    <cellStyle name="CALC Amount Total 12 3 4" xfId="40539"/>
    <cellStyle name="CALC Amount Total 12 4" xfId="17744"/>
    <cellStyle name="CALC Amount Total 12 4 2" xfId="26067"/>
    <cellStyle name="CALC Amount Total 12 4 2 2" xfId="40540"/>
    <cellStyle name="CALC Amount Total 12 4 3" xfId="33271"/>
    <cellStyle name="CALC Amount Total 12 4 4" xfId="40541"/>
    <cellStyle name="CALC Amount Total 12 5" xfId="18727"/>
    <cellStyle name="CALC Amount Total 12 5 2" xfId="27048"/>
    <cellStyle name="CALC Amount Total 12 5 2 2" xfId="40542"/>
    <cellStyle name="CALC Amount Total 12 5 3" xfId="34210"/>
    <cellStyle name="CALC Amount Total 12 5 4" xfId="40543"/>
    <cellStyle name="CALC Amount Total 12 6" xfId="19696"/>
    <cellStyle name="CALC Amount Total 12 6 2" xfId="28017"/>
    <cellStyle name="CALC Amount Total 12 6 2 2" xfId="40544"/>
    <cellStyle name="CALC Amount Total 12 6 3" xfId="35156"/>
    <cellStyle name="CALC Amount Total 12 6 4" xfId="40545"/>
    <cellStyle name="CALC Amount Total 12 7" xfId="20653"/>
    <cellStyle name="CALC Amount Total 12 7 2" xfId="28974"/>
    <cellStyle name="CALC Amount Total 12 7 2 2" xfId="40546"/>
    <cellStyle name="CALC Amount Total 12 7 3" xfId="36071"/>
    <cellStyle name="CALC Amount Total 12 7 4" xfId="40547"/>
    <cellStyle name="CALC Amount Total 12 8" xfId="21248"/>
    <cellStyle name="CALC Amount Total 12 8 2" xfId="29557"/>
    <cellStyle name="CALC Amount Total 12 8 2 2" xfId="40548"/>
    <cellStyle name="CALC Amount Total 12 8 3" xfId="36625"/>
    <cellStyle name="CALC Amount Total 12 8 4" xfId="40549"/>
    <cellStyle name="CALC Amount Total 12 9" xfId="22090"/>
    <cellStyle name="CALC Amount Total 12 9 2" xfId="30388"/>
    <cellStyle name="CALC Amount Total 12 9 2 2" xfId="40550"/>
    <cellStyle name="CALC Amount Total 12 9 3" xfId="37422"/>
    <cellStyle name="CALC Amount Total 12 9 4" xfId="40551"/>
    <cellStyle name="CALC Amount Total 13" xfId="14680"/>
    <cellStyle name="CALC Amount Total 13 10" xfId="23042"/>
    <cellStyle name="CALC Amount Total 13 10 2" xfId="40552"/>
    <cellStyle name="CALC Amount Total 13 11" xfId="40553"/>
    <cellStyle name="CALC Amount Total 13 2" xfId="15761"/>
    <cellStyle name="CALC Amount Total 13 2 2" xfId="24077"/>
    <cellStyle name="CALC Amount Total 13 2 2 2" xfId="40554"/>
    <cellStyle name="CALC Amount Total 13 2 3" xfId="31368"/>
    <cellStyle name="CALC Amount Total 13 2 4" xfId="40555"/>
    <cellStyle name="CALC Amount Total 13 3" xfId="16727"/>
    <cellStyle name="CALC Amount Total 13 3 2" xfId="25048"/>
    <cellStyle name="CALC Amount Total 13 3 2 2" xfId="40556"/>
    <cellStyle name="CALC Amount Total 13 3 3" xfId="32301"/>
    <cellStyle name="CALC Amount Total 13 3 4" xfId="40557"/>
    <cellStyle name="CALC Amount Total 13 4" xfId="17751"/>
    <cellStyle name="CALC Amount Total 13 4 2" xfId="26074"/>
    <cellStyle name="CALC Amount Total 13 4 2 2" xfId="40558"/>
    <cellStyle name="CALC Amount Total 13 4 3" xfId="33278"/>
    <cellStyle name="CALC Amount Total 13 4 4" xfId="40559"/>
    <cellStyle name="CALC Amount Total 13 5" xfId="18734"/>
    <cellStyle name="CALC Amount Total 13 5 2" xfId="27055"/>
    <cellStyle name="CALC Amount Total 13 5 2 2" xfId="40560"/>
    <cellStyle name="CALC Amount Total 13 5 3" xfId="34217"/>
    <cellStyle name="CALC Amount Total 13 5 4" xfId="40561"/>
    <cellStyle name="CALC Amount Total 13 6" xfId="19703"/>
    <cellStyle name="CALC Amount Total 13 6 2" xfId="28024"/>
    <cellStyle name="CALC Amount Total 13 6 2 2" xfId="40562"/>
    <cellStyle name="CALC Amount Total 13 6 3" xfId="35163"/>
    <cellStyle name="CALC Amount Total 13 6 4" xfId="40563"/>
    <cellStyle name="CALC Amount Total 13 7" xfId="20660"/>
    <cellStyle name="CALC Amount Total 13 7 2" xfId="28981"/>
    <cellStyle name="CALC Amount Total 13 7 2 2" xfId="40564"/>
    <cellStyle name="CALC Amount Total 13 7 3" xfId="36078"/>
    <cellStyle name="CALC Amount Total 13 7 4" xfId="40565"/>
    <cellStyle name="CALC Amount Total 13 8" xfId="21234"/>
    <cellStyle name="CALC Amount Total 13 8 2" xfId="29544"/>
    <cellStyle name="CALC Amount Total 13 8 2 2" xfId="40566"/>
    <cellStyle name="CALC Amount Total 13 8 3" xfId="36613"/>
    <cellStyle name="CALC Amount Total 13 8 4" xfId="40567"/>
    <cellStyle name="CALC Amount Total 13 9" xfId="22097"/>
    <cellStyle name="CALC Amount Total 13 9 2" xfId="30395"/>
    <cellStyle name="CALC Amount Total 13 9 2 2" xfId="40568"/>
    <cellStyle name="CALC Amount Total 13 9 3" xfId="37429"/>
    <cellStyle name="CALC Amount Total 13 9 4" xfId="40569"/>
    <cellStyle name="CALC Amount Total 14" xfId="14696"/>
    <cellStyle name="CALC Amount Total 14 10" xfId="23058"/>
    <cellStyle name="CALC Amount Total 14 10 2" xfId="40570"/>
    <cellStyle name="CALC Amount Total 14 11" xfId="40571"/>
    <cellStyle name="CALC Amount Total 14 2" xfId="15777"/>
    <cellStyle name="CALC Amount Total 14 2 2" xfId="24093"/>
    <cellStyle name="CALC Amount Total 14 2 2 2" xfId="40572"/>
    <cellStyle name="CALC Amount Total 14 2 3" xfId="31384"/>
    <cellStyle name="CALC Amount Total 14 2 4" xfId="40573"/>
    <cellStyle name="CALC Amount Total 14 3" xfId="16743"/>
    <cellStyle name="CALC Amount Total 14 3 2" xfId="25065"/>
    <cellStyle name="CALC Amount Total 14 3 2 2" xfId="40574"/>
    <cellStyle name="CALC Amount Total 14 3 3" xfId="32317"/>
    <cellStyle name="CALC Amount Total 14 3 4" xfId="40575"/>
    <cellStyle name="CALC Amount Total 14 4" xfId="17767"/>
    <cellStyle name="CALC Amount Total 14 4 2" xfId="26091"/>
    <cellStyle name="CALC Amount Total 14 4 2 2" xfId="40576"/>
    <cellStyle name="CALC Amount Total 14 4 3" xfId="33294"/>
    <cellStyle name="CALC Amount Total 14 4 4" xfId="40577"/>
    <cellStyle name="CALC Amount Total 14 5" xfId="18751"/>
    <cellStyle name="CALC Amount Total 14 5 2" xfId="27072"/>
    <cellStyle name="CALC Amount Total 14 5 2 2" xfId="40578"/>
    <cellStyle name="CALC Amount Total 14 5 3" xfId="34234"/>
    <cellStyle name="CALC Amount Total 14 5 4" xfId="40579"/>
    <cellStyle name="CALC Amount Total 14 6" xfId="19720"/>
    <cellStyle name="CALC Amount Total 14 6 2" xfId="28041"/>
    <cellStyle name="CALC Amount Total 14 6 2 2" xfId="40580"/>
    <cellStyle name="CALC Amount Total 14 6 3" xfId="35180"/>
    <cellStyle name="CALC Amount Total 14 6 4" xfId="40581"/>
    <cellStyle name="CALC Amount Total 14 7" xfId="20677"/>
    <cellStyle name="CALC Amount Total 14 7 2" xfId="28998"/>
    <cellStyle name="CALC Amount Total 14 7 2 2" xfId="40582"/>
    <cellStyle name="CALC Amount Total 14 7 3" xfId="36094"/>
    <cellStyle name="CALC Amount Total 14 7 4" xfId="40583"/>
    <cellStyle name="CALC Amount Total 14 8" xfId="21257"/>
    <cellStyle name="CALC Amount Total 14 8 2" xfId="29566"/>
    <cellStyle name="CALC Amount Total 14 8 2 2" xfId="40584"/>
    <cellStyle name="CALC Amount Total 14 8 3" xfId="36634"/>
    <cellStyle name="CALC Amount Total 14 8 4" xfId="40585"/>
    <cellStyle name="CALC Amount Total 14 9" xfId="22113"/>
    <cellStyle name="CALC Amount Total 14 9 2" xfId="30411"/>
    <cellStyle name="CALC Amount Total 14 9 2 2" xfId="40586"/>
    <cellStyle name="CALC Amount Total 14 9 3" xfId="37445"/>
    <cellStyle name="CALC Amount Total 14 9 4" xfId="40587"/>
    <cellStyle name="CALC Amount Total 15" xfId="14732"/>
    <cellStyle name="CALC Amount Total 15 10" xfId="23096"/>
    <cellStyle name="CALC Amount Total 15 10 2" xfId="40588"/>
    <cellStyle name="CALC Amount Total 15 11" xfId="40589"/>
    <cellStyle name="CALC Amount Total 15 2" xfId="15813"/>
    <cellStyle name="CALC Amount Total 15 2 2" xfId="24131"/>
    <cellStyle name="CALC Amount Total 15 2 2 2" xfId="40590"/>
    <cellStyle name="CALC Amount Total 15 2 3" xfId="31419"/>
    <cellStyle name="CALC Amount Total 15 2 4" xfId="40591"/>
    <cellStyle name="CALC Amount Total 15 3" xfId="16779"/>
    <cellStyle name="CALC Amount Total 15 3 2" xfId="25103"/>
    <cellStyle name="CALC Amount Total 15 3 2 2" xfId="40592"/>
    <cellStyle name="CALC Amount Total 15 3 3" xfId="32352"/>
    <cellStyle name="CALC Amount Total 15 3 4" xfId="40593"/>
    <cellStyle name="CALC Amount Total 15 4" xfId="17805"/>
    <cellStyle name="CALC Amount Total 15 4 2" xfId="26129"/>
    <cellStyle name="CALC Amount Total 15 4 2 2" xfId="40594"/>
    <cellStyle name="CALC Amount Total 15 4 3" xfId="33329"/>
    <cellStyle name="CALC Amount Total 15 4 4" xfId="40595"/>
    <cellStyle name="CALC Amount Total 15 5" xfId="18789"/>
    <cellStyle name="CALC Amount Total 15 5 2" xfId="27110"/>
    <cellStyle name="CALC Amount Total 15 5 2 2" xfId="40596"/>
    <cellStyle name="CALC Amount Total 15 5 3" xfId="34269"/>
    <cellStyle name="CALC Amount Total 15 5 4" xfId="40597"/>
    <cellStyle name="CALC Amount Total 15 6" xfId="19757"/>
    <cellStyle name="CALC Amount Total 15 6 2" xfId="28079"/>
    <cellStyle name="CALC Amount Total 15 6 2 2" xfId="40598"/>
    <cellStyle name="CALC Amount Total 15 6 3" xfId="35215"/>
    <cellStyle name="CALC Amount Total 15 6 4" xfId="40599"/>
    <cellStyle name="CALC Amount Total 15 7" xfId="20715"/>
    <cellStyle name="CALC Amount Total 15 7 2" xfId="29036"/>
    <cellStyle name="CALC Amount Total 15 7 2 2" xfId="40600"/>
    <cellStyle name="CALC Amount Total 15 7 3" xfId="36129"/>
    <cellStyle name="CALC Amount Total 15 7 4" xfId="40601"/>
    <cellStyle name="CALC Amount Total 15 8" xfId="21286"/>
    <cellStyle name="CALC Amount Total 15 8 2" xfId="29593"/>
    <cellStyle name="CALC Amount Total 15 8 2 2" xfId="40602"/>
    <cellStyle name="CALC Amount Total 15 8 3" xfId="36660"/>
    <cellStyle name="CALC Amount Total 15 8 4" xfId="40603"/>
    <cellStyle name="CALC Amount Total 15 9" xfId="22151"/>
    <cellStyle name="CALC Amount Total 15 9 2" xfId="30449"/>
    <cellStyle name="CALC Amount Total 15 9 2 2" xfId="40604"/>
    <cellStyle name="CALC Amount Total 15 9 3" xfId="37480"/>
    <cellStyle name="CALC Amount Total 15 9 4" xfId="40605"/>
    <cellStyle name="CALC Amount Total 16" xfId="14745"/>
    <cellStyle name="CALC Amount Total 16 10" xfId="23109"/>
    <cellStyle name="CALC Amount Total 16 10 2" xfId="40606"/>
    <cellStyle name="CALC Amount Total 16 11" xfId="40607"/>
    <cellStyle name="CALC Amount Total 16 2" xfId="15826"/>
    <cellStyle name="CALC Amount Total 16 2 2" xfId="24144"/>
    <cellStyle name="CALC Amount Total 16 2 2 2" xfId="40608"/>
    <cellStyle name="CALC Amount Total 16 2 3" xfId="31432"/>
    <cellStyle name="CALC Amount Total 16 2 4" xfId="40609"/>
    <cellStyle name="CALC Amount Total 16 3" xfId="16792"/>
    <cellStyle name="CALC Amount Total 16 3 2" xfId="25116"/>
    <cellStyle name="CALC Amount Total 16 3 2 2" xfId="40610"/>
    <cellStyle name="CALC Amount Total 16 3 3" xfId="32365"/>
    <cellStyle name="CALC Amount Total 16 3 4" xfId="40611"/>
    <cellStyle name="CALC Amount Total 16 4" xfId="17818"/>
    <cellStyle name="CALC Amount Total 16 4 2" xfId="26142"/>
    <cellStyle name="CALC Amount Total 16 4 2 2" xfId="40612"/>
    <cellStyle name="CALC Amount Total 16 4 3" xfId="33342"/>
    <cellStyle name="CALC Amount Total 16 4 4" xfId="40613"/>
    <cellStyle name="CALC Amount Total 16 5" xfId="18802"/>
    <cellStyle name="CALC Amount Total 16 5 2" xfId="27123"/>
    <cellStyle name="CALC Amount Total 16 5 2 2" xfId="40614"/>
    <cellStyle name="CALC Amount Total 16 5 3" xfId="34282"/>
    <cellStyle name="CALC Amount Total 16 5 4" xfId="40615"/>
    <cellStyle name="CALC Amount Total 16 6" xfId="19770"/>
    <cellStyle name="CALC Amount Total 16 6 2" xfId="28092"/>
    <cellStyle name="CALC Amount Total 16 6 2 2" xfId="40616"/>
    <cellStyle name="CALC Amount Total 16 6 3" xfId="35228"/>
    <cellStyle name="CALC Amount Total 16 6 4" xfId="40617"/>
    <cellStyle name="CALC Amount Total 16 7" xfId="20728"/>
    <cellStyle name="CALC Amount Total 16 7 2" xfId="29049"/>
    <cellStyle name="CALC Amount Total 16 7 2 2" xfId="40618"/>
    <cellStyle name="CALC Amount Total 16 7 3" xfId="36141"/>
    <cellStyle name="CALC Amount Total 16 7 4" xfId="40619"/>
    <cellStyle name="CALC Amount Total 16 8" xfId="17561"/>
    <cellStyle name="CALC Amount Total 16 8 2" xfId="25880"/>
    <cellStyle name="CALC Amount Total 16 8 2 2" xfId="40620"/>
    <cellStyle name="CALC Amount Total 16 8 3" xfId="33095"/>
    <cellStyle name="CALC Amount Total 16 8 4" xfId="40621"/>
    <cellStyle name="CALC Amount Total 16 9" xfId="22164"/>
    <cellStyle name="CALC Amount Total 16 9 2" xfId="30462"/>
    <cellStyle name="CALC Amount Total 16 9 2 2" xfId="40622"/>
    <cellStyle name="CALC Amount Total 16 9 3" xfId="37493"/>
    <cellStyle name="CALC Amount Total 16 9 4" xfId="40623"/>
    <cellStyle name="CALC Amount Total 17" xfId="14739"/>
    <cellStyle name="CALC Amount Total 17 10" xfId="23103"/>
    <cellStyle name="CALC Amount Total 17 10 2" xfId="40624"/>
    <cellStyle name="CALC Amount Total 17 11" xfId="40625"/>
    <cellStyle name="CALC Amount Total 17 2" xfId="15820"/>
    <cellStyle name="CALC Amount Total 17 2 2" xfId="24138"/>
    <cellStyle name="CALC Amount Total 17 2 2 2" xfId="40626"/>
    <cellStyle name="CALC Amount Total 17 2 3" xfId="31426"/>
    <cellStyle name="CALC Amount Total 17 2 4" xfId="40627"/>
    <cellStyle name="CALC Amount Total 17 3" xfId="16786"/>
    <cellStyle name="CALC Amount Total 17 3 2" xfId="25110"/>
    <cellStyle name="CALC Amount Total 17 3 2 2" xfId="40628"/>
    <cellStyle name="CALC Amount Total 17 3 3" xfId="32359"/>
    <cellStyle name="CALC Amount Total 17 3 4" xfId="40629"/>
    <cellStyle name="CALC Amount Total 17 4" xfId="17812"/>
    <cellStyle name="CALC Amount Total 17 4 2" xfId="26136"/>
    <cellStyle name="CALC Amount Total 17 4 2 2" xfId="40630"/>
    <cellStyle name="CALC Amount Total 17 4 3" xfId="33336"/>
    <cellStyle name="CALC Amount Total 17 4 4" xfId="40631"/>
    <cellStyle name="CALC Amount Total 17 5" xfId="18796"/>
    <cellStyle name="CALC Amount Total 17 5 2" xfId="27117"/>
    <cellStyle name="CALC Amount Total 17 5 2 2" xfId="40632"/>
    <cellStyle name="CALC Amount Total 17 5 3" xfId="34276"/>
    <cellStyle name="CALC Amount Total 17 5 4" xfId="40633"/>
    <cellStyle name="CALC Amount Total 17 6" xfId="19764"/>
    <cellStyle name="CALC Amount Total 17 6 2" xfId="28086"/>
    <cellStyle name="CALC Amount Total 17 6 2 2" xfId="40634"/>
    <cellStyle name="CALC Amount Total 17 6 3" xfId="35222"/>
    <cellStyle name="CALC Amount Total 17 6 4" xfId="40635"/>
    <cellStyle name="CALC Amount Total 17 7" xfId="20722"/>
    <cellStyle name="CALC Amount Total 17 7 2" xfId="29043"/>
    <cellStyle name="CALC Amount Total 17 7 2 2" xfId="40636"/>
    <cellStyle name="CALC Amount Total 17 7 3" xfId="36135"/>
    <cellStyle name="CALC Amount Total 17 7 4" xfId="40637"/>
    <cellStyle name="CALC Amount Total 17 8" xfId="21315"/>
    <cellStyle name="CALC Amount Total 17 8 2" xfId="29621"/>
    <cellStyle name="CALC Amount Total 17 8 2 2" xfId="40638"/>
    <cellStyle name="CALC Amount Total 17 8 3" xfId="36688"/>
    <cellStyle name="CALC Amount Total 17 8 4" xfId="40639"/>
    <cellStyle name="CALC Amount Total 17 9" xfId="22158"/>
    <cellStyle name="CALC Amount Total 17 9 2" xfId="30456"/>
    <cellStyle name="CALC Amount Total 17 9 2 2" xfId="40640"/>
    <cellStyle name="CALC Amount Total 17 9 3" xfId="37487"/>
    <cellStyle name="CALC Amount Total 17 9 4" xfId="40641"/>
    <cellStyle name="CALC Amount Total 18" xfId="14758"/>
    <cellStyle name="CALC Amount Total 18 10" xfId="23122"/>
    <cellStyle name="CALC Amount Total 18 10 2" xfId="40642"/>
    <cellStyle name="CALC Amount Total 18 11" xfId="40643"/>
    <cellStyle name="CALC Amount Total 18 12" xfId="40644"/>
    <cellStyle name="CALC Amount Total 18 2" xfId="15839"/>
    <cellStyle name="CALC Amount Total 18 2 2" xfId="24157"/>
    <cellStyle name="CALC Amount Total 18 2 2 2" xfId="40645"/>
    <cellStyle name="CALC Amount Total 18 2 3" xfId="31445"/>
    <cellStyle name="CALC Amount Total 18 2 4" xfId="40646"/>
    <cellStyle name="CALC Amount Total 18 3" xfId="16805"/>
    <cellStyle name="CALC Amount Total 18 3 2" xfId="25129"/>
    <cellStyle name="CALC Amount Total 18 3 2 2" xfId="40647"/>
    <cellStyle name="CALC Amount Total 18 3 3" xfId="32378"/>
    <cellStyle name="CALC Amount Total 18 3 4" xfId="40648"/>
    <cellStyle name="CALC Amount Total 18 4" xfId="17831"/>
    <cellStyle name="CALC Amount Total 18 4 2" xfId="26155"/>
    <cellStyle name="CALC Amount Total 18 4 2 2" xfId="40649"/>
    <cellStyle name="CALC Amount Total 18 4 3" xfId="33355"/>
    <cellStyle name="CALC Amount Total 18 4 4" xfId="40650"/>
    <cellStyle name="CALC Amount Total 18 5" xfId="18815"/>
    <cellStyle name="CALC Amount Total 18 5 2" xfId="27136"/>
    <cellStyle name="CALC Amount Total 18 5 2 2" xfId="40651"/>
    <cellStyle name="CALC Amount Total 18 5 3" xfId="34295"/>
    <cellStyle name="CALC Amount Total 18 5 4" xfId="40652"/>
    <cellStyle name="CALC Amount Total 18 6" xfId="19783"/>
    <cellStyle name="CALC Amount Total 18 6 2" xfId="28105"/>
    <cellStyle name="CALC Amount Total 18 6 2 2" xfId="40653"/>
    <cellStyle name="CALC Amount Total 18 6 3" xfId="35241"/>
    <cellStyle name="CALC Amount Total 18 6 4" xfId="40654"/>
    <cellStyle name="CALC Amount Total 18 7" xfId="20741"/>
    <cellStyle name="CALC Amount Total 18 7 2" xfId="29062"/>
    <cellStyle name="CALC Amount Total 18 7 2 2" xfId="40655"/>
    <cellStyle name="CALC Amount Total 18 7 3" xfId="36154"/>
    <cellStyle name="CALC Amount Total 18 7 4" xfId="40656"/>
    <cellStyle name="CALC Amount Total 18 8" xfId="15529"/>
    <cellStyle name="CALC Amount Total 18 8 2" xfId="23865"/>
    <cellStyle name="CALC Amount Total 18 8 2 2" xfId="40657"/>
    <cellStyle name="CALC Amount Total 18 8 3" xfId="31211"/>
    <cellStyle name="CALC Amount Total 18 8 4" xfId="40658"/>
    <cellStyle name="CALC Amount Total 18 9" xfId="22177"/>
    <cellStyle name="CALC Amount Total 18 9 2" xfId="30475"/>
    <cellStyle name="CALC Amount Total 18 9 2 2" xfId="40659"/>
    <cellStyle name="CALC Amount Total 18 9 3" xfId="37506"/>
    <cellStyle name="CALC Amount Total 18 9 4" xfId="40660"/>
    <cellStyle name="CALC Amount Total 19" xfId="14729"/>
    <cellStyle name="CALC Amount Total 19 10" xfId="23093"/>
    <cellStyle name="CALC Amount Total 19 10 2" xfId="40661"/>
    <cellStyle name="CALC Amount Total 19 11" xfId="40662"/>
    <cellStyle name="CALC Amount Total 19 12" xfId="40663"/>
    <cellStyle name="CALC Amount Total 19 2" xfId="15810"/>
    <cellStyle name="CALC Amount Total 19 2 2" xfId="24128"/>
    <cellStyle name="CALC Amount Total 19 2 2 2" xfId="40664"/>
    <cellStyle name="CALC Amount Total 19 2 3" xfId="31416"/>
    <cellStyle name="CALC Amount Total 19 2 4" xfId="40665"/>
    <cellStyle name="CALC Amount Total 19 3" xfId="16776"/>
    <cellStyle name="CALC Amount Total 19 3 2" xfId="25100"/>
    <cellStyle name="CALC Amount Total 19 3 2 2" xfId="40666"/>
    <cellStyle name="CALC Amount Total 19 3 3" xfId="32349"/>
    <cellStyle name="CALC Amount Total 19 3 4" xfId="40667"/>
    <cellStyle name="CALC Amount Total 19 4" xfId="17802"/>
    <cellStyle name="CALC Amount Total 19 4 2" xfId="26126"/>
    <cellStyle name="CALC Amount Total 19 4 2 2" xfId="40668"/>
    <cellStyle name="CALC Amount Total 19 4 3" xfId="33326"/>
    <cellStyle name="CALC Amount Total 19 4 4" xfId="40669"/>
    <cellStyle name="CALC Amount Total 19 5" xfId="18786"/>
    <cellStyle name="CALC Amount Total 19 5 2" xfId="27107"/>
    <cellStyle name="CALC Amount Total 19 5 2 2" xfId="40670"/>
    <cellStyle name="CALC Amount Total 19 5 3" xfId="34266"/>
    <cellStyle name="CALC Amount Total 19 5 4" xfId="40671"/>
    <cellStyle name="CALC Amount Total 19 6" xfId="19754"/>
    <cellStyle name="CALC Amount Total 19 6 2" xfId="28076"/>
    <cellStyle name="CALC Amount Total 19 6 2 2" xfId="40672"/>
    <cellStyle name="CALC Amount Total 19 6 3" xfId="35212"/>
    <cellStyle name="CALC Amount Total 19 6 4" xfId="40673"/>
    <cellStyle name="CALC Amount Total 19 7" xfId="20712"/>
    <cellStyle name="CALC Amount Total 19 7 2" xfId="29033"/>
    <cellStyle name="CALC Amount Total 19 7 2 2" xfId="40674"/>
    <cellStyle name="CALC Amount Total 19 7 3" xfId="36126"/>
    <cellStyle name="CALC Amount Total 19 7 4" xfId="40675"/>
    <cellStyle name="CALC Amount Total 19 8" xfId="21100"/>
    <cellStyle name="CALC Amount Total 19 8 2" xfId="29417"/>
    <cellStyle name="CALC Amount Total 19 8 2 2" xfId="40676"/>
    <cellStyle name="CALC Amount Total 19 8 3" xfId="36491"/>
    <cellStyle name="CALC Amount Total 19 8 4" xfId="40677"/>
    <cellStyle name="CALC Amount Total 19 9" xfId="22148"/>
    <cellStyle name="CALC Amount Total 19 9 2" xfId="30446"/>
    <cellStyle name="CALC Amount Total 19 9 2 2" xfId="40678"/>
    <cellStyle name="CALC Amount Total 19 9 3" xfId="37477"/>
    <cellStyle name="CALC Amount Total 19 9 4" xfId="40679"/>
    <cellStyle name="CALC Amount Total 2" xfId="14456"/>
    <cellStyle name="CALC Amount Total 2 10" xfId="14724"/>
    <cellStyle name="CALC Amount Total 2 10 10" xfId="23086"/>
    <cellStyle name="CALC Amount Total 2 10 10 2" xfId="40680"/>
    <cellStyle name="CALC Amount Total 2 10 11" xfId="40681"/>
    <cellStyle name="CALC Amount Total 2 10 12" xfId="40682"/>
    <cellStyle name="CALC Amount Total 2 10 2" xfId="15805"/>
    <cellStyle name="CALC Amount Total 2 10 2 2" xfId="24121"/>
    <cellStyle name="CALC Amount Total 2 10 2 2 2" xfId="40683"/>
    <cellStyle name="CALC Amount Total 2 10 2 3" xfId="31409"/>
    <cellStyle name="CALC Amount Total 2 10 2 4" xfId="40684"/>
    <cellStyle name="CALC Amount Total 2 10 3" xfId="16771"/>
    <cellStyle name="CALC Amount Total 2 10 3 2" xfId="25093"/>
    <cellStyle name="CALC Amount Total 2 10 3 2 2" xfId="40685"/>
    <cellStyle name="CALC Amount Total 2 10 3 3" xfId="32342"/>
    <cellStyle name="CALC Amount Total 2 10 3 4" xfId="40686"/>
    <cellStyle name="CALC Amount Total 2 10 4" xfId="17795"/>
    <cellStyle name="CALC Amount Total 2 10 4 2" xfId="26119"/>
    <cellStyle name="CALC Amount Total 2 10 4 2 2" xfId="40687"/>
    <cellStyle name="CALC Amount Total 2 10 4 3" xfId="33319"/>
    <cellStyle name="CALC Amount Total 2 10 4 4" xfId="40688"/>
    <cellStyle name="CALC Amount Total 2 10 5" xfId="18779"/>
    <cellStyle name="CALC Amount Total 2 10 5 2" xfId="27100"/>
    <cellStyle name="CALC Amount Total 2 10 5 2 2" xfId="40689"/>
    <cellStyle name="CALC Amount Total 2 10 5 3" xfId="34259"/>
    <cellStyle name="CALC Amount Total 2 10 5 4" xfId="40690"/>
    <cellStyle name="CALC Amount Total 2 10 6" xfId="19748"/>
    <cellStyle name="CALC Amount Total 2 10 6 2" xfId="28069"/>
    <cellStyle name="CALC Amount Total 2 10 6 2 2" xfId="40691"/>
    <cellStyle name="CALC Amount Total 2 10 6 3" xfId="35205"/>
    <cellStyle name="CALC Amount Total 2 10 6 4" xfId="40692"/>
    <cellStyle name="CALC Amount Total 2 10 7" xfId="20705"/>
    <cellStyle name="CALC Amount Total 2 10 7 2" xfId="29026"/>
    <cellStyle name="CALC Amount Total 2 10 7 2 2" xfId="40693"/>
    <cellStyle name="CALC Amount Total 2 10 7 3" xfId="36119"/>
    <cellStyle name="CALC Amount Total 2 10 7 4" xfId="40694"/>
    <cellStyle name="CALC Amount Total 2 10 8" xfId="21131"/>
    <cellStyle name="CALC Amount Total 2 10 8 2" xfId="29445"/>
    <cellStyle name="CALC Amount Total 2 10 8 2 2" xfId="40695"/>
    <cellStyle name="CALC Amount Total 2 10 8 3" xfId="36518"/>
    <cellStyle name="CALC Amount Total 2 10 8 4" xfId="40696"/>
    <cellStyle name="CALC Amount Total 2 10 9" xfId="22141"/>
    <cellStyle name="CALC Amount Total 2 10 9 2" xfId="30439"/>
    <cellStyle name="CALC Amount Total 2 10 9 2 2" xfId="40697"/>
    <cellStyle name="CALC Amount Total 2 10 9 3" xfId="37470"/>
    <cellStyle name="CALC Amount Total 2 10 9 4" xfId="40698"/>
    <cellStyle name="CALC Amount Total 2 11" xfId="14876"/>
    <cellStyle name="CALC Amount Total 2 11 10" xfId="23239"/>
    <cellStyle name="CALC Amount Total 2 11 10 2" xfId="40699"/>
    <cellStyle name="CALC Amount Total 2 11 11" xfId="40700"/>
    <cellStyle name="CALC Amount Total 2 11 12" xfId="40701"/>
    <cellStyle name="CALC Amount Total 2 11 2" xfId="15957"/>
    <cellStyle name="CALC Amount Total 2 11 2 2" xfId="24274"/>
    <cellStyle name="CALC Amount Total 2 11 2 2 2" xfId="40702"/>
    <cellStyle name="CALC Amount Total 2 11 2 3" xfId="31557"/>
    <cellStyle name="CALC Amount Total 2 11 2 4" xfId="40703"/>
    <cellStyle name="CALC Amount Total 2 11 3" xfId="16923"/>
    <cellStyle name="CALC Amount Total 2 11 3 2" xfId="25246"/>
    <cellStyle name="CALC Amount Total 2 11 3 2 2" xfId="40704"/>
    <cellStyle name="CALC Amount Total 2 11 3 3" xfId="32490"/>
    <cellStyle name="CALC Amount Total 2 11 3 4" xfId="40705"/>
    <cellStyle name="CALC Amount Total 2 11 4" xfId="17950"/>
    <cellStyle name="CALC Amount Total 2 11 4 2" xfId="26272"/>
    <cellStyle name="CALC Amount Total 2 11 4 2 2" xfId="40706"/>
    <cellStyle name="CALC Amount Total 2 11 4 3" xfId="33467"/>
    <cellStyle name="CALC Amount Total 2 11 4 4" xfId="40707"/>
    <cellStyle name="CALC Amount Total 2 11 5" xfId="18934"/>
    <cellStyle name="CALC Amount Total 2 11 5 2" xfId="27254"/>
    <cellStyle name="CALC Amount Total 2 11 5 2 2" xfId="40708"/>
    <cellStyle name="CALC Amount Total 2 11 5 3" xfId="34408"/>
    <cellStyle name="CALC Amount Total 2 11 5 4" xfId="40709"/>
    <cellStyle name="CALC Amount Total 2 11 6" xfId="19902"/>
    <cellStyle name="CALC Amount Total 2 11 6 2" xfId="28224"/>
    <cellStyle name="CALC Amount Total 2 11 6 2 2" xfId="40710"/>
    <cellStyle name="CALC Amount Total 2 11 6 3" xfId="35355"/>
    <cellStyle name="CALC Amount Total 2 11 6 4" xfId="40711"/>
    <cellStyle name="CALC Amount Total 2 11 7" xfId="20860"/>
    <cellStyle name="CALC Amount Total 2 11 7 2" xfId="29179"/>
    <cellStyle name="CALC Amount Total 2 11 7 2 2" xfId="40712"/>
    <cellStyle name="CALC Amount Total 2 11 7 3" xfId="36265"/>
    <cellStyle name="CALC Amount Total 2 11 7 4" xfId="40713"/>
    <cellStyle name="CALC Amount Total 2 11 8" xfId="15531"/>
    <cellStyle name="CALC Amount Total 2 11 8 2" xfId="23867"/>
    <cellStyle name="CALC Amount Total 2 11 8 2 2" xfId="40714"/>
    <cellStyle name="CALC Amount Total 2 11 8 3" xfId="31213"/>
    <cellStyle name="CALC Amount Total 2 11 8 4" xfId="40715"/>
    <cellStyle name="CALC Amount Total 2 11 9" xfId="22295"/>
    <cellStyle name="CALC Amount Total 2 11 9 2" xfId="30593"/>
    <cellStyle name="CALC Amount Total 2 11 9 2 2" xfId="40716"/>
    <cellStyle name="CALC Amount Total 2 11 9 3" xfId="37618"/>
    <cellStyle name="CALC Amount Total 2 11 9 4" xfId="40717"/>
    <cellStyle name="CALC Amount Total 2 12" xfId="14892"/>
    <cellStyle name="CALC Amount Total 2 12 10" xfId="23255"/>
    <cellStyle name="CALC Amount Total 2 12 10 2" xfId="40718"/>
    <cellStyle name="CALC Amount Total 2 12 11" xfId="40719"/>
    <cellStyle name="CALC Amount Total 2 12 12" xfId="40720"/>
    <cellStyle name="CALC Amount Total 2 12 2" xfId="15973"/>
    <cellStyle name="CALC Amount Total 2 12 2 2" xfId="24290"/>
    <cellStyle name="CALC Amount Total 2 12 2 2 2" xfId="40721"/>
    <cellStyle name="CALC Amount Total 2 12 2 3" xfId="31571"/>
    <cellStyle name="CALC Amount Total 2 12 2 4" xfId="40722"/>
    <cellStyle name="CALC Amount Total 2 12 3" xfId="16939"/>
    <cellStyle name="CALC Amount Total 2 12 3 2" xfId="25262"/>
    <cellStyle name="CALC Amount Total 2 12 3 2 2" xfId="40723"/>
    <cellStyle name="CALC Amount Total 2 12 3 3" xfId="32504"/>
    <cellStyle name="CALC Amount Total 2 12 3 4" xfId="40724"/>
    <cellStyle name="CALC Amount Total 2 12 4" xfId="17966"/>
    <cellStyle name="CALC Amount Total 2 12 4 2" xfId="26288"/>
    <cellStyle name="CALC Amount Total 2 12 4 2 2" xfId="40725"/>
    <cellStyle name="CALC Amount Total 2 12 4 3" xfId="33481"/>
    <cellStyle name="CALC Amount Total 2 12 4 4" xfId="40726"/>
    <cellStyle name="CALC Amount Total 2 12 5" xfId="18950"/>
    <cellStyle name="CALC Amount Total 2 12 5 2" xfId="27270"/>
    <cellStyle name="CALC Amount Total 2 12 5 2 2" xfId="40727"/>
    <cellStyle name="CALC Amount Total 2 12 5 3" xfId="34422"/>
    <cellStyle name="CALC Amount Total 2 12 5 4" xfId="40728"/>
    <cellStyle name="CALC Amount Total 2 12 6" xfId="19918"/>
    <cellStyle name="CALC Amount Total 2 12 6 2" xfId="28240"/>
    <cellStyle name="CALC Amount Total 2 12 6 2 2" xfId="40729"/>
    <cellStyle name="CALC Amount Total 2 12 6 3" xfId="35369"/>
    <cellStyle name="CALC Amount Total 2 12 6 4" xfId="40730"/>
    <cellStyle name="CALC Amount Total 2 12 7" xfId="20876"/>
    <cellStyle name="CALC Amount Total 2 12 7 2" xfId="29195"/>
    <cellStyle name="CALC Amount Total 2 12 7 2 2" xfId="40731"/>
    <cellStyle name="CALC Amount Total 2 12 7 3" xfId="36279"/>
    <cellStyle name="CALC Amount Total 2 12 7 4" xfId="40732"/>
    <cellStyle name="CALC Amount Total 2 12 8" xfId="21383"/>
    <cellStyle name="CALC Amount Total 2 12 8 2" xfId="29686"/>
    <cellStyle name="CALC Amount Total 2 12 8 2 2" xfId="40733"/>
    <cellStyle name="CALC Amount Total 2 12 8 3" xfId="36749"/>
    <cellStyle name="CALC Amount Total 2 12 8 4" xfId="40734"/>
    <cellStyle name="CALC Amount Total 2 12 9" xfId="22311"/>
    <cellStyle name="CALC Amount Total 2 12 9 2" xfId="30609"/>
    <cellStyle name="CALC Amount Total 2 12 9 2 2" xfId="40735"/>
    <cellStyle name="CALC Amount Total 2 12 9 3" xfId="37632"/>
    <cellStyle name="CALC Amount Total 2 12 9 4" xfId="40736"/>
    <cellStyle name="CALC Amount Total 2 13" xfId="14938"/>
    <cellStyle name="CALC Amount Total 2 13 10" xfId="23301"/>
    <cellStyle name="CALC Amount Total 2 13 10 2" xfId="40737"/>
    <cellStyle name="CALC Amount Total 2 13 11" xfId="40738"/>
    <cellStyle name="CALC Amount Total 2 13 12" xfId="40739"/>
    <cellStyle name="CALC Amount Total 2 13 2" xfId="16019"/>
    <cellStyle name="CALC Amount Total 2 13 2 2" xfId="24336"/>
    <cellStyle name="CALC Amount Total 2 13 2 2 2" xfId="40740"/>
    <cellStyle name="CALC Amount Total 2 13 2 3" xfId="31616"/>
    <cellStyle name="CALC Amount Total 2 13 2 4" xfId="40741"/>
    <cellStyle name="CALC Amount Total 2 13 3" xfId="16985"/>
    <cellStyle name="CALC Amount Total 2 13 3 2" xfId="25308"/>
    <cellStyle name="CALC Amount Total 2 13 3 2 2" xfId="40742"/>
    <cellStyle name="CALC Amount Total 2 13 3 3" xfId="32549"/>
    <cellStyle name="CALC Amount Total 2 13 3 4" xfId="40743"/>
    <cellStyle name="CALC Amount Total 2 13 4" xfId="18012"/>
    <cellStyle name="CALC Amount Total 2 13 4 2" xfId="26334"/>
    <cellStyle name="CALC Amount Total 2 13 4 2 2" xfId="40744"/>
    <cellStyle name="CALC Amount Total 2 13 4 3" xfId="33526"/>
    <cellStyle name="CALC Amount Total 2 13 4 4" xfId="40745"/>
    <cellStyle name="CALC Amount Total 2 13 5" xfId="18996"/>
    <cellStyle name="CALC Amount Total 2 13 5 2" xfId="27316"/>
    <cellStyle name="CALC Amount Total 2 13 5 2 2" xfId="40746"/>
    <cellStyle name="CALC Amount Total 2 13 5 3" xfId="34467"/>
    <cellStyle name="CALC Amount Total 2 13 5 4" xfId="40747"/>
    <cellStyle name="CALC Amount Total 2 13 6" xfId="19964"/>
    <cellStyle name="CALC Amount Total 2 13 6 2" xfId="28286"/>
    <cellStyle name="CALC Amount Total 2 13 6 2 2" xfId="40748"/>
    <cellStyle name="CALC Amount Total 2 13 6 3" xfId="35414"/>
    <cellStyle name="CALC Amount Total 2 13 6 4" xfId="40749"/>
    <cellStyle name="CALC Amount Total 2 13 7" xfId="20922"/>
    <cellStyle name="CALC Amount Total 2 13 7 2" xfId="29241"/>
    <cellStyle name="CALC Amount Total 2 13 7 2 2" xfId="40750"/>
    <cellStyle name="CALC Amount Total 2 13 7 3" xfId="36324"/>
    <cellStyle name="CALC Amount Total 2 13 7 4" xfId="40751"/>
    <cellStyle name="CALC Amount Total 2 13 8" xfId="21429"/>
    <cellStyle name="CALC Amount Total 2 13 8 2" xfId="29732"/>
    <cellStyle name="CALC Amount Total 2 13 8 2 2" xfId="40752"/>
    <cellStyle name="CALC Amount Total 2 13 8 3" xfId="36794"/>
    <cellStyle name="CALC Amount Total 2 13 8 4" xfId="40753"/>
    <cellStyle name="CALC Amount Total 2 13 9" xfId="22357"/>
    <cellStyle name="CALC Amount Total 2 13 9 2" xfId="30655"/>
    <cellStyle name="CALC Amount Total 2 13 9 2 2" xfId="40754"/>
    <cellStyle name="CALC Amount Total 2 13 9 3" xfId="37677"/>
    <cellStyle name="CALC Amount Total 2 13 9 4" xfId="40755"/>
    <cellStyle name="CALC Amount Total 2 14" xfId="14977"/>
    <cellStyle name="CALC Amount Total 2 14 10" xfId="23338"/>
    <cellStyle name="CALC Amount Total 2 14 10 2" xfId="40756"/>
    <cellStyle name="CALC Amount Total 2 14 11" xfId="40757"/>
    <cellStyle name="CALC Amount Total 2 14 12" xfId="40758"/>
    <cellStyle name="CALC Amount Total 2 14 2" xfId="16058"/>
    <cellStyle name="CALC Amount Total 2 14 2 2" xfId="24373"/>
    <cellStyle name="CALC Amount Total 2 14 2 2 2" xfId="40759"/>
    <cellStyle name="CALC Amount Total 2 14 2 3" xfId="31652"/>
    <cellStyle name="CALC Amount Total 2 14 2 4" xfId="40760"/>
    <cellStyle name="CALC Amount Total 2 14 3" xfId="17024"/>
    <cellStyle name="CALC Amount Total 2 14 3 2" xfId="25345"/>
    <cellStyle name="CALC Amount Total 2 14 3 2 2" xfId="40761"/>
    <cellStyle name="CALC Amount Total 2 14 3 3" xfId="32585"/>
    <cellStyle name="CALC Amount Total 2 14 3 4" xfId="40762"/>
    <cellStyle name="CALC Amount Total 2 14 4" xfId="18051"/>
    <cellStyle name="CALC Amount Total 2 14 4 2" xfId="26371"/>
    <cellStyle name="CALC Amount Total 2 14 4 2 2" xfId="40763"/>
    <cellStyle name="CALC Amount Total 2 14 4 3" xfId="33562"/>
    <cellStyle name="CALC Amount Total 2 14 4 4" xfId="40764"/>
    <cellStyle name="CALC Amount Total 2 14 5" xfId="19035"/>
    <cellStyle name="CALC Amount Total 2 14 5 2" xfId="27355"/>
    <cellStyle name="CALC Amount Total 2 14 5 2 2" xfId="40765"/>
    <cellStyle name="CALC Amount Total 2 14 5 3" xfId="34505"/>
    <cellStyle name="CALC Amount Total 2 14 5 4" xfId="40766"/>
    <cellStyle name="CALC Amount Total 2 14 6" xfId="20003"/>
    <cellStyle name="CALC Amount Total 2 14 6 2" xfId="28325"/>
    <cellStyle name="CALC Amount Total 2 14 6 2 2" xfId="40767"/>
    <cellStyle name="CALC Amount Total 2 14 6 3" xfId="35452"/>
    <cellStyle name="CALC Amount Total 2 14 6 4" xfId="40768"/>
    <cellStyle name="CALC Amount Total 2 14 7" xfId="20961"/>
    <cellStyle name="CALC Amount Total 2 14 7 2" xfId="29278"/>
    <cellStyle name="CALC Amount Total 2 14 7 2 2" xfId="40769"/>
    <cellStyle name="CALC Amount Total 2 14 7 3" xfId="36360"/>
    <cellStyle name="CALC Amount Total 2 14 7 4" xfId="40770"/>
    <cellStyle name="CALC Amount Total 2 14 8" xfId="21468"/>
    <cellStyle name="CALC Amount Total 2 14 8 2" xfId="29769"/>
    <cellStyle name="CALC Amount Total 2 14 8 2 2" xfId="40771"/>
    <cellStyle name="CALC Amount Total 2 14 8 3" xfId="36830"/>
    <cellStyle name="CALC Amount Total 2 14 8 4" xfId="40772"/>
    <cellStyle name="CALC Amount Total 2 14 9" xfId="22396"/>
    <cellStyle name="CALC Amount Total 2 14 9 2" xfId="30692"/>
    <cellStyle name="CALC Amount Total 2 14 9 2 2" xfId="40773"/>
    <cellStyle name="CALC Amount Total 2 14 9 3" xfId="37713"/>
    <cellStyle name="CALC Amount Total 2 14 9 4" xfId="40774"/>
    <cellStyle name="CALC Amount Total 2 15" xfId="15056"/>
    <cellStyle name="CALC Amount Total 2 15 10" xfId="23416"/>
    <cellStyle name="CALC Amount Total 2 15 10 2" xfId="40775"/>
    <cellStyle name="CALC Amount Total 2 15 11" xfId="40776"/>
    <cellStyle name="CALC Amount Total 2 15 12" xfId="40777"/>
    <cellStyle name="CALC Amount Total 2 15 2" xfId="16136"/>
    <cellStyle name="CALC Amount Total 2 15 2 2" xfId="24451"/>
    <cellStyle name="CALC Amount Total 2 15 2 2 2" xfId="40778"/>
    <cellStyle name="CALC Amount Total 2 15 2 3" xfId="31728"/>
    <cellStyle name="CALC Amount Total 2 15 2 4" xfId="40779"/>
    <cellStyle name="CALC Amount Total 2 15 3" xfId="17103"/>
    <cellStyle name="CALC Amount Total 2 15 3 2" xfId="25424"/>
    <cellStyle name="CALC Amount Total 2 15 3 2 2" xfId="40780"/>
    <cellStyle name="CALC Amount Total 2 15 3 3" xfId="32662"/>
    <cellStyle name="CALC Amount Total 2 15 3 4" xfId="40781"/>
    <cellStyle name="CALC Amount Total 2 15 4" xfId="18130"/>
    <cellStyle name="CALC Amount Total 2 15 4 2" xfId="26450"/>
    <cellStyle name="CALC Amount Total 2 15 4 2 2" xfId="40782"/>
    <cellStyle name="CALC Amount Total 2 15 4 3" xfId="33639"/>
    <cellStyle name="CALC Amount Total 2 15 4 4" xfId="40783"/>
    <cellStyle name="CALC Amount Total 2 15 5" xfId="19114"/>
    <cellStyle name="CALC Amount Total 2 15 5 2" xfId="27434"/>
    <cellStyle name="CALC Amount Total 2 15 5 2 2" xfId="40784"/>
    <cellStyle name="CALC Amount Total 2 15 5 3" xfId="34582"/>
    <cellStyle name="CALC Amount Total 2 15 5 4" xfId="40785"/>
    <cellStyle name="CALC Amount Total 2 15 6" xfId="20082"/>
    <cellStyle name="CALC Amount Total 2 15 6 2" xfId="28404"/>
    <cellStyle name="CALC Amount Total 2 15 6 2 2" xfId="40786"/>
    <cellStyle name="CALC Amount Total 2 15 6 3" xfId="35529"/>
    <cellStyle name="CALC Amount Total 2 15 6 4" xfId="40787"/>
    <cellStyle name="CALC Amount Total 2 15 7" xfId="21039"/>
    <cellStyle name="CALC Amount Total 2 15 7 2" xfId="29356"/>
    <cellStyle name="CALC Amount Total 2 15 7 2 2" xfId="40788"/>
    <cellStyle name="CALC Amount Total 2 15 7 3" xfId="36436"/>
    <cellStyle name="CALC Amount Total 2 15 7 4" xfId="40789"/>
    <cellStyle name="CALC Amount Total 2 15 8" xfId="21546"/>
    <cellStyle name="CALC Amount Total 2 15 8 2" xfId="29847"/>
    <cellStyle name="CALC Amount Total 2 15 8 2 2" xfId="40790"/>
    <cellStyle name="CALC Amount Total 2 15 8 3" xfId="36906"/>
    <cellStyle name="CALC Amount Total 2 15 8 4" xfId="40791"/>
    <cellStyle name="CALC Amount Total 2 15 9" xfId="22474"/>
    <cellStyle name="CALC Amount Total 2 15 9 2" xfId="30770"/>
    <cellStyle name="CALC Amount Total 2 15 9 2 2" xfId="40792"/>
    <cellStyle name="CALC Amount Total 2 15 9 3" xfId="37789"/>
    <cellStyle name="CALC Amount Total 2 15 9 4" xfId="40793"/>
    <cellStyle name="CALC Amount Total 2 16" xfId="15141"/>
    <cellStyle name="CALC Amount Total 2 16 10" xfId="40794"/>
    <cellStyle name="CALC Amount Total 2 16 11" xfId="40795"/>
    <cellStyle name="CALC Amount Total 2 16 2" xfId="16221"/>
    <cellStyle name="CALC Amount Total 2 16 2 2" xfId="24534"/>
    <cellStyle name="CALC Amount Total 2 16 2 2 2" xfId="40796"/>
    <cellStyle name="CALC Amount Total 2 16 2 3" xfId="31809"/>
    <cellStyle name="CALC Amount Total 2 16 2 4" xfId="40797"/>
    <cellStyle name="CALC Amount Total 2 16 3" xfId="17187"/>
    <cellStyle name="CALC Amount Total 2 16 3 2" xfId="25508"/>
    <cellStyle name="CALC Amount Total 2 16 3 2 2" xfId="40798"/>
    <cellStyle name="CALC Amount Total 2 16 3 3" xfId="32742"/>
    <cellStyle name="CALC Amount Total 2 16 3 4" xfId="40799"/>
    <cellStyle name="CALC Amount Total 2 16 4" xfId="18215"/>
    <cellStyle name="CALC Amount Total 2 16 4 2" xfId="26535"/>
    <cellStyle name="CALC Amount Total 2 16 4 2 2" xfId="40800"/>
    <cellStyle name="CALC Amount Total 2 16 4 3" xfId="33720"/>
    <cellStyle name="CALC Amount Total 2 16 4 4" xfId="40801"/>
    <cellStyle name="CALC Amount Total 2 16 5" xfId="19199"/>
    <cellStyle name="CALC Amount Total 2 16 5 2" xfId="27519"/>
    <cellStyle name="CALC Amount Total 2 16 5 2 2" xfId="40802"/>
    <cellStyle name="CALC Amount Total 2 16 5 3" xfId="34667"/>
    <cellStyle name="CALC Amount Total 2 16 5 4" xfId="40803"/>
    <cellStyle name="CALC Amount Total 2 16 6" xfId="20167"/>
    <cellStyle name="CALC Amount Total 2 16 6 2" xfId="28489"/>
    <cellStyle name="CALC Amount Total 2 16 6 2 2" xfId="40804"/>
    <cellStyle name="CALC Amount Total 2 16 6 3" xfId="35612"/>
    <cellStyle name="CALC Amount Total 2 16 6 4" xfId="40805"/>
    <cellStyle name="CALC Amount Total 2 16 7" xfId="21628"/>
    <cellStyle name="CALC Amount Total 2 16 7 2" xfId="29929"/>
    <cellStyle name="CALC Amount Total 2 16 7 2 2" xfId="40806"/>
    <cellStyle name="CALC Amount Total 2 16 7 3" xfId="36986"/>
    <cellStyle name="CALC Amount Total 2 16 7 4" xfId="40807"/>
    <cellStyle name="CALC Amount Total 2 16 8" xfId="22556"/>
    <cellStyle name="CALC Amount Total 2 16 8 2" xfId="30852"/>
    <cellStyle name="CALC Amount Total 2 16 8 2 2" xfId="40808"/>
    <cellStyle name="CALC Amount Total 2 16 8 3" xfId="37869"/>
    <cellStyle name="CALC Amount Total 2 16 8 4" xfId="40809"/>
    <cellStyle name="CALC Amount Total 2 16 9" xfId="23498"/>
    <cellStyle name="CALC Amount Total 2 16 9 2" xfId="40810"/>
    <cellStyle name="CALC Amount Total 2 17" xfId="15161"/>
    <cellStyle name="CALC Amount Total 2 17 10" xfId="40811"/>
    <cellStyle name="CALC Amount Total 2 17 11" xfId="40812"/>
    <cellStyle name="CALC Amount Total 2 17 2" xfId="16241"/>
    <cellStyle name="CALC Amount Total 2 17 2 2" xfId="24554"/>
    <cellStyle name="CALC Amount Total 2 17 2 2 2" xfId="40813"/>
    <cellStyle name="CALC Amount Total 2 17 2 3" xfId="31827"/>
    <cellStyle name="CALC Amount Total 2 17 2 4" xfId="40814"/>
    <cellStyle name="CALC Amount Total 2 17 3" xfId="17207"/>
    <cellStyle name="CALC Amount Total 2 17 3 2" xfId="25528"/>
    <cellStyle name="CALC Amount Total 2 17 3 2 2" xfId="40815"/>
    <cellStyle name="CALC Amount Total 2 17 3 3" xfId="32760"/>
    <cellStyle name="CALC Amount Total 2 17 3 4" xfId="40816"/>
    <cellStyle name="CALC Amount Total 2 17 4" xfId="18235"/>
    <cellStyle name="CALC Amount Total 2 17 4 2" xfId="26555"/>
    <cellStyle name="CALC Amount Total 2 17 4 2 2" xfId="40817"/>
    <cellStyle name="CALC Amount Total 2 17 4 3" xfId="33738"/>
    <cellStyle name="CALC Amount Total 2 17 4 4" xfId="40818"/>
    <cellStyle name="CALC Amount Total 2 17 5" xfId="19219"/>
    <cellStyle name="CALC Amount Total 2 17 5 2" xfId="27539"/>
    <cellStyle name="CALC Amount Total 2 17 5 2 2" xfId="40819"/>
    <cellStyle name="CALC Amount Total 2 17 5 3" xfId="34687"/>
    <cellStyle name="CALC Amount Total 2 17 5 4" xfId="40820"/>
    <cellStyle name="CALC Amount Total 2 17 6" xfId="20187"/>
    <cellStyle name="CALC Amount Total 2 17 6 2" xfId="28509"/>
    <cellStyle name="CALC Amount Total 2 17 6 2 2" xfId="40821"/>
    <cellStyle name="CALC Amount Total 2 17 6 3" xfId="35630"/>
    <cellStyle name="CALC Amount Total 2 17 6 4" xfId="40822"/>
    <cellStyle name="CALC Amount Total 2 17 7" xfId="21648"/>
    <cellStyle name="CALC Amount Total 2 17 7 2" xfId="29949"/>
    <cellStyle name="CALC Amount Total 2 17 7 2 2" xfId="40823"/>
    <cellStyle name="CALC Amount Total 2 17 7 3" xfId="37004"/>
    <cellStyle name="CALC Amount Total 2 17 7 4" xfId="40824"/>
    <cellStyle name="CALC Amount Total 2 17 8" xfId="22576"/>
    <cellStyle name="CALC Amount Total 2 17 8 2" xfId="30872"/>
    <cellStyle name="CALC Amount Total 2 17 8 2 2" xfId="40825"/>
    <cellStyle name="CALC Amount Total 2 17 8 3" xfId="37887"/>
    <cellStyle name="CALC Amount Total 2 17 8 4" xfId="40826"/>
    <cellStyle name="CALC Amount Total 2 17 9" xfId="23518"/>
    <cellStyle name="CALC Amount Total 2 17 9 2" xfId="40827"/>
    <cellStyle name="CALC Amount Total 2 18" xfId="15152"/>
    <cellStyle name="CALC Amount Total 2 18 10" xfId="40828"/>
    <cellStyle name="CALC Amount Total 2 18 11" xfId="40829"/>
    <cellStyle name="CALC Amount Total 2 18 2" xfId="16232"/>
    <cellStyle name="CALC Amount Total 2 18 2 2" xfId="24545"/>
    <cellStyle name="CALC Amount Total 2 18 2 2 2" xfId="40830"/>
    <cellStyle name="CALC Amount Total 2 18 2 3" xfId="31819"/>
    <cellStyle name="CALC Amount Total 2 18 2 4" xfId="40831"/>
    <cellStyle name="CALC Amount Total 2 18 3" xfId="17198"/>
    <cellStyle name="CALC Amount Total 2 18 3 2" xfId="25519"/>
    <cellStyle name="CALC Amount Total 2 18 3 2 2" xfId="40832"/>
    <cellStyle name="CALC Amount Total 2 18 3 3" xfId="32752"/>
    <cellStyle name="CALC Amount Total 2 18 3 4" xfId="40833"/>
    <cellStyle name="CALC Amount Total 2 18 4" xfId="18226"/>
    <cellStyle name="CALC Amount Total 2 18 4 2" xfId="26546"/>
    <cellStyle name="CALC Amount Total 2 18 4 2 2" xfId="40834"/>
    <cellStyle name="CALC Amount Total 2 18 4 3" xfId="33730"/>
    <cellStyle name="CALC Amount Total 2 18 4 4" xfId="40835"/>
    <cellStyle name="CALC Amount Total 2 18 5" xfId="19210"/>
    <cellStyle name="CALC Amount Total 2 18 5 2" xfId="27530"/>
    <cellStyle name="CALC Amount Total 2 18 5 2 2" xfId="40836"/>
    <cellStyle name="CALC Amount Total 2 18 5 3" xfId="34678"/>
    <cellStyle name="CALC Amount Total 2 18 5 4" xfId="40837"/>
    <cellStyle name="CALC Amount Total 2 18 6" xfId="20178"/>
    <cellStyle name="CALC Amount Total 2 18 6 2" xfId="28500"/>
    <cellStyle name="CALC Amount Total 2 18 6 2 2" xfId="40838"/>
    <cellStyle name="CALC Amount Total 2 18 6 3" xfId="35622"/>
    <cellStyle name="CALC Amount Total 2 18 6 4" xfId="40839"/>
    <cellStyle name="CALC Amount Total 2 18 7" xfId="21639"/>
    <cellStyle name="CALC Amount Total 2 18 7 2" xfId="29940"/>
    <cellStyle name="CALC Amount Total 2 18 7 2 2" xfId="40840"/>
    <cellStyle name="CALC Amount Total 2 18 7 3" xfId="36996"/>
    <cellStyle name="CALC Amount Total 2 18 7 4" xfId="40841"/>
    <cellStyle name="CALC Amount Total 2 18 8" xfId="22567"/>
    <cellStyle name="CALC Amount Total 2 18 8 2" xfId="30863"/>
    <cellStyle name="CALC Amount Total 2 18 8 2 2" xfId="40842"/>
    <cellStyle name="CALC Amount Total 2 18 8 3" xfId="37879"/>
    <cellStyle name="CALC Amount Total 2 18 8 4" xfId="40843"/>
    <cellStyle name="CALC Amount Total 2 18 9" xfId="23509"/>
    <cellStyle name="CALC Amount Total 2 18 9 2" xfId="40844"/>
    <cellStyle name="CALC Amount Total 2 19" xfId="15199"/>
    <cellStyle name="CALC Amount Total 2 19 10" xfId="40845"/>
    <cellStyle name="CALC Amount Total 2 19 11" xfId="40846"/>
    <cellStyle name="CALC Amount Total 2 19 2" xfId="16279"/>
    <cellStyle name="CALC Amount Total 2 19 2 2" xfId="24592"/>
    <cellStyle name="CALC Amount Total 2 19 2 2 2" xfId="40847"/>
    <cellStyle name="CALC Amount Total 2 19 2 3" xfId="31862"/>
    <cellStyle name="CALC Amount Total 2 19 2 4" xfId="40848"/>
    <cellStyle name="CALC Amount Total 2 19 3" xfId="17245"/>
    <cellStyle name="CALC Amount Total 2 19 3 2" xfId="25566"/>
    <cellStyle name="CALC Amount Total 2 19 3 2 2" xfId="40849"/>
    <cellStyle name="CALC Amount Total 2 19 3 3" xfId="32795"/>
    <cellStyle name="CALC Amount Total 2 19 3 4" xfId="40850"/>
    <cellStyle name="CALC Amount Total 2 19 4" xfId="18273"/>
    <cellStyle name="CALC Amount Total 2 19 4 2" xfId="26593"/>
    <cellStyle name="CALC Amount Total 2 19 4 2 2" xfId="40851"/>
    <cellStyle name="CALC Amount Total 2 19 4 3" xfId="33773"/>
    <cellStyle name="CALC Amount Total 2 19 4 4" xfId="40852"/>
    <cellStyle name="CALC Amount Total 2 19 5" xfId="19257"/>
    <cellStyle name="CALC Amount Total 2 19 5 2" xfId="27577"/>
    <cellStyle name="CALC Amount Total 2 19 5 2 2" xfId="40853"/>
    <cellStyle name="CALC Amount Total 2 19 5 3" xfId="34725"/>
    <cellStyle name="CALC Amount Total 2 19 5 4" xfId="40854"/>
    <cellStyle name="CALC Amount Total 2 19 6" xfId="20225"/>
    <cellStyle name="CALC Amount Total 2 19 6 2" xfId="28547"/>
    <cellStyle name="CALC Amount Total 2 19 6 2 2" xfId="40855"/>
    <cellStyle name="CALC Amount Total 2 19 6 3" xfId="35665"/>
    <cellStyle name="CALC Amount Total 2 19 6 4" xfId="40856"/>
    <cellStyle name="CALC Amount Total 2 19 7" xfId="21686"/>
    <cellStyle name="CALC Amount Total 2 19 7 2" xfId="29987"/>
    <cellStyle name="CALC Amount Total 2 19 7 2 2" xfId="40857"/>
    <cellStyle name="CALC Amount Total 2 19 7 3" xfId="37039"/>
    <cellStyle name="CALC Amount Total 2 19 7 4" xfId="40858"/>
    <cellStyle name="CALC Amount Total 2 19 8" xfId="22614"/>
    <cellStyle name="CALC Amount Total 2 19 8 2" xfId="30910"/>
    <cellStyle name="CALC Amount Total 2 19 8 2 2" xfId="40859"/>
    <cellStyle name="CALC Amount Total 2 19 8 3" xfId="37922"/>
    <cellStyle name="CALC Amount Total 2 19 8 4" xfId="40860"/>
    <cellStyle name="CALC Amount Total 2 19 9" xfId="23556"/>
    <cellStyle name="CALC Amount Total 2 19 9 2" xfId="40861"/>
    <cellStyle name="CALC Amount Total 2 2" xfId="14512"/>
    <cellStyle name="CALC Amount Total 2 2 2" xfId="15574"/>
    <cellStyle name="CALC Amount Total 2 2 2 2" xfId="40862"/>
    <cellStyle name="CALC Amount Total 2 2 2 2 2" xfId="40863"/>
    <cellStyle name="CALC Amount Total 2 2 3" xfId="14444"/>
    <cellStyle name="CALC Amount Total 2 2 3 2" xfId="40864"/>
    <cellStyle name="CALC Amount Total 2 20" xfId="15264"/>
    <cellStyle name="CALC Amount Total 2 20 10" xfId="40865"/>
    <cellStyle name="CALC Amount Total 2 20 11" xfId="40866"/>
    <cellStyle name="CALC Amount Total 2 20 2" xfId="16344"/>
    <cellStyle name="CALC Amount Total 2 20 2 2" xfId="24657"/>
    <cellStyle name="CALC Amount Total 2 20 2 2 2" xfId="40867"/>
    <cellStyle name="CALC Amount Total 2 20 2 3" xfId="31924"/>
    <cellStyle name="CALC Amount Total 2 20 2 4" xfId="40868"/>
    <cellStyle name="CALC Amount Total 2 20 3" xfId="17310"/>
    <cellStyle name="CALC Amount Total 2 20 3 2" xfId="25631"/>
    <cellStyle name="CALC Amount Total 2 20 3 2 2" xfId="40869"/>
    <cellStyle name="CALC Amount Total 2 20 3 3" xfId="32857"/>
    <cellStyle name="CALC Amount Total 2 20 3 4" xfId="40870"/>
    <cellStyle name="CALC Amount Total 2 20 4" xfId="18338"/>
    <cellStyle name="CALC Amount Total 2 20 4 2" xfId="26658"/>
    <cellStyle name="CALC Amount Total 2 20 4 2 2" xfId="40871"/>
    <cellStyle name="CALC Amount Total 2 20 4 3" xfId="33835"/>
    <cellStyle name="CALC Amount Total 2 20 4 4" xfId="40872"/>
    <cellStyle name="CALC Amount Total 2 20 5" xfId="19322"/>
    <cellStyle name="CALC Amount Total 2 20 5 2" xfId="27642"/>
    <cellStyle name="CALC Amount Total 2 20 5 2 2" xfId="40873"/>
    <cellStyle name="CALC Amount Total 2 20 5 3" xfId="34790"/>
    <cellStyle name="CALC Amount Total 2 20 5 4" xfId="40874"/>
    <cellStyle name="CALC Amount Total 2 20 6" xfId="20290"/>
    <cellStyle name="CALC Amount Total 2 20 6 2" xfId="28612"/>
    <cellStyle name="CALC Amount Total 2 20 6 2 2" xfId="40875"/>
    <cellStyle name="CALC Amount Total 2 20 6 3" xfId="35727"/>
    <cellStyle name="CALC Amount Total 2 20 6 4" xfId="40876"/>
    <cellStyle name="CALC Amount Total 2 20 7" xfId="21751"/>
    <cellStyle name="CALC Amount Total 2 20 7 2" xfId="30052"/>
    <cellStyle name="CALC Amount Total 2 20 7 2 2" xfId="40877"/>
    <cellStyle name="CALC Amount Total 2 20 7 3" xfId="37101"/>
    <cellStyle name="CALC Amount Total 2 20 7 4" xfId="40878"/>
    <cellStyle name="CALC Amount Total 2 20 8" xfId="22679"/>
    <cellStyle name="CALC Amount Total 2 20 8 2" xfId="30975"/>
    <cellStyle name="CALC Amount Total 2 20 8 2 2" xfId="40879"/>
    <cellStyle name="CALC Amount Total 2 20 8 3" xfId="37984"/>
    <cellStyle name="CALC Amount Total 2 20 8 4" xfId="40880"/>
    <cellStyle name="CALC Amount Total 2 20 9" xfId="23621"/>
    <cellStyle name="CALC Amount Total 2 20 9 2" xfId="40881"/>
    <cellStyle name="CALC Amount Total 2 21" xfId="15224"/>
    <cellStyle name="CALC Amount Total 2 21 10" xfId="40882"/>
    <cellStyle name="CALC Amount Total 2 21 11" xfId="40883"/>
    <cellStyle name="CALC Amount Total 2 21 2" xfId="16304"/>
    <cellStyle name="CALC Amount Total 2 21 2 2" xfId="24617"/>
    <cellStyle name="CALC Amount Total 2 21 2 2 2" xfId="40884"/>
    <cellStyle name="CALC Amount Total 2 21 2 3" xfId="31885"/>
    <cellStyle name="CALC Amount Total 2 21 2 4" xfId="40885"/>
    <cellStyle name="CALC Amount Total 2 21 3" xfId="17270"/>
    <cellStyle name="CALC Amount Total 2 21 3 2" xfId="25591"/>
    <cellStyle name="CALC Amount Total 2 21 3 2 2" xfId="40886"/>
    <cellStyle name="CALC Amount Total 2 21 3 3" xfId="32818"/>
    <cellStyle name="CALC Amount Total 2 21 3 4" xfId="40887"/>
    <cellStyle name="CALC Amount Total 2 21 4" xfId="18298"/>
    <cellStyle name="CALC Amount Total 2 21 4 2" xfId="26618"/>
    <cellStyle name="CALC Amount Total 2 21 4 2 2" xfId="40888"/>
    <cellStyle name="CALC Amount Total 2 21 4 3" xfId="33796"/>
    <cellStyle name="CALC Amount Total 2 21 4 4" xfId="40889"/>
    <cellStyle name="CALC Amount Total 2 21 5" xfId="19282"/>
    <cellStyle name="CALC Amount Total 2 21 5 2" xfId="27602"/>
    <cellStyle name="CALC Amount Total 2 21 5 2 2" xfId="40890"/>
    <cellStyle name="CALC Amount Total 2 21 5 3" xfId="34750"/>
    <cellStyle name="CALC Amount Total 2 21 5 4" xfId="40891"/>
    <cellStyle name="CALC Amount Total 2 21 6" xfId="20250"/>
    <cellStyle name="CALC Amount Total 2 21 6 2" xfId="28572"/>
    <cellStyle name="CALC Amount Total 2 21 6 2 2" xfId="40892"/>
    <cellStyle name="CALC Amount Total 2 21 6 3" xfId="35688"/>
    <cellStyle name="CALC Amount Total 2 21 6 4" xfId="40893"/>
    <cellStyle name="CALC Amount Total 2 21 7" xfId="21711"/>
    <cellStyle name="CALC Amount Total 2 21 7 2" xfId="30012"/>
    <cellStyle name="CALC Amount Total 2 21 7 2 2" xfId="40894"/>
    <cellStyle name="CALC Amount Total 2 21 7 3" xfId="37062"/>
    <cellStyle name="CALC Amount Total 2 21 7 4" xfId="40895"/>
    <cellStyle name="CALC Amount Total 2 21 8" xfId="22639"/>
    <cellStyle name="CALC Amount Total 2 21 8 2" xfId="30935"/>
    <cellStyle name="CALC Amount Total 2 21 8 2 2" xfId="40896"/>
    <cellStyle name="CALC Amount Total 2 21 8 3" xfId="37945"/>
    <cellStyle name="CALC Amount Total 2 21 8 4" xfId="40897"/>
    <cellStyle name="CALC Amount Total 2 21 9" xfId="23581"/>
    <cellStyle name="CALC Amount Total 2 21 9 2" xfId="40898"/>
    <cellStyle name="CALC Amount Total 2 22" xfId="15233"/>
    <cellStyle name="CALC Amount Total 2 22 10" xfId="40899"/>
    <cellStyle name="CALC Amount Total 2 22 11" xfId="40900"/>
    <cellStyle name="CALC Amount Total 2 22 2" xfId="16313"/>
    <cellStyle name="CALC Amount Total 2 22 2 2" xfId="24626"/>
    <cellStyle name="CALC Amount Total 2 22 2 2 2" xfId="40901"/>
    <cellStyle name="CALC Amount Total 2 22 2 3" xfId="31893"/>
    <cellStyle name="CALC Amount Total 2 22 2 4" xfId="40902"/>
    <cellStyle name="CALC Amount Total 2 22 3" xfId="17279"/>
    <cellStyle name="CALC Amount Total 2 22 3 2" xfId="25600"/>
    <cellStyle name="CALC Amount Total 2 22 3 2 2" xfId="40903"/>
    <cellStyle name="CALC Amount Total 2 22 3 3" xfId="32826"/>
    <cellStyle name="CALC Amount Total 2 22 3 4" xfId="40904"/>
    <cellStyle name="CALC Amount Total 2 22 4" xfId="18307"/>
    <cellStyle name="CALC Amount Total 2 22 4 2" xfId="26627"/>
    <cellStyle name="CALC Amount Total 2 22 4 2 2" xfId="40905"/>
    <cellStyle name="CALC Amount Total 2 22 4 3" xfId="33804"/>
    <cellStyle name="CALC Amount Total 2 22 4 4" xfId="40906"/>
    <cellStyle name="CALC Amount Total 2 22 5" xfId="19291"/>
    <cellStyle name="CALC Amount Total 2 22 5 2" xfId="27611"/>
    <cellStyle name="CALC Amount Total 2 22 5 2 2" xfId="40907"/>
    <cellStyle name="CALC Amount Total 2 22 5 3" xfId="34759"/>
    <cellStyle name="CALC Amount Total 2 22 5 4" xfId="40908"/>
    <cellStyle name="CALC Amount Total 2 22 6" xfId="20259"/>
    <cellStyle name="CALC Amount Total 2 22 6 2" xfId="28581"/>
    <cellStyle name="CALC Amount Total 2 22 6 2 2" xfId="40909"/>
    <cellStyle name="CALC Amount Total 2 22 6 3" xfId="35696"/>
    <cellStyle name="CALC Amount Total 2 22 6 4" xfId="40910"/>
    <cellStyle name="CALC Amount Total 2 22 7" xfId="21720"/>
    <cellStyle name="CALC Amount Total 2 22 7 2" xfId="30021"/>
    <cellStyle name="CALC Amount Total 2 22 7 2 2" xfId="40911"/>
    <cellStyle name="CALC Amount Total 2 22 7 3" xfId="37070"/>
    <cellStyle name="CALC Amount Total 2 22 7 4" xfId="40912"/>
    <cellStyle name="CALC Amount Total 2 22 8" xfId="22648"/>
    <cellStyle name="CALC Amount Total 2 22 8 2" xfId="30944"/>
    <cellStyle name="CALC Amount Total 2 22 8 2 2" xfId="40913"/>
    <cellStyle name="CALC Amount Total 2 22 8 3" xfId="37953"/>
    <cellStyle name="CALC Amount Total 2 22 8 4" xfId="40914"/>
    <cellStyle name="CALC Amount Total 2 22 9" xfId="23590"/>
    <cellStyle name="CALC Amount Total 2 22 9 2" xfId="40915"/>
    <cellStyle name="CALC Amount Total 2 23" xfId="15330"/>
    <cellStyle name="CALC Amount Total 2 23 10" xfId="40916"/>
    <cellStyle name="CALC Amount Total 2 23 11" xfId="40917"/>
    <cellStyle name="CALC Amount Total 2 23 2" xfId="16410"/>
    <cellStyle name="CALC Amount Total 2 23 2 2" xfId="24723"/>
    <cellStyle name="CALC Amount Total 2 23 2 2 2" xfId="40918"/>
    <cellStyle name="CALC Amount Total 2 23 2 3" xfId="31988"/>
    <cellStyle name="CALC Amount Total 2 23 2 4" xfId="40919"/>
    <cellStyle name="CALC Amount Total 2 23 3" xfId="17376"/>
    <cellStyle name="CALC Amount Total 2 23 3 2" xfId="25697"/>
    <cellStyle name="CALC Amount Total 2 23 3 2 2" xfId="40920"/>
    <cellStyle name="CALC Amount Total 2 23 3 3" xfId="32921"/>
    <cellStyle name="CALC Amount Total 2 23 3 4" xfId="40921"/>
    <cellStyle name="CALC Amount Total 2 23 4" xfId="18404"/>
    <cellStyle name="CALC Amount Total 2 23 4 2" xfId="26724"/>
    <cellStyle name="CALC Amount Total 2 23 4 2 2" xfId="40922"/>
    <cellStyle name="CALC Amount Total 2 23 4 3" xfId="33899"/>
    <cellStyle name="CALC Amount Total 2 23 4 4" xfId="40923"/>
    <cellStyle name="CALC Amount Total 2 23 5" xfId="19387"/>
    <cellStyle name="CALC Amount Total 2 23 5 2" xfId="27708"/>
    <cellStyle name="CALC Amount Total 2 23 5 2 2" xfId="40924"/>
    <cellStyle name="CALC Amount Total 2 23 5 3" xfId="34856"/>
    <cellStyle name="CALC Amount Total 2 23 5 4" xfId="40925"/>
    <cellStyle name="CALC Amount Total 2 23 6" xfId="20356"/>
    <cellStyle name="CALC Amount Total 2 23 6 2" xfId="28678"/>
    <cellStyle name="CALC Amount Total 2 23 6 2 2" xfId="40926"/>
    <cellStyle name="CALC Amount Total 2 23 6 3" xfId="35791"/>
    <cellStyle name="CALC Amount Total 2 23 6 4" xfId="40927"/>
    <cellStyle name="CALC Amount Total 2 23 7" xfId="21817"/>
    <cellStyle name="CALC Amount Total 2 23 7 2" xfId="30118"/>
    <cellStyle name="CALC Amount Total 2 23 7 2 2" xfId="40928"/>
    <cellStyle name="CALC Amount Total 2 23 7 3" xfId="37165"/>
    <cellStyle name="CALC Amount Total 2 23 7 4" xfId="40929"/>
    <cellStyle name="CALC Amount Total 2 23 8" xfId="22745"/>
    <cellStyle name="CALC Amount Total 2 23 8 2" xfId="31041"/>
    <cellStyle name="CALC Amount Total 2 23 8 2 2" xfId="40930"/>
    <cellStyle name="CALC Amount Total 2 23 8 3" xfId="38048"/>
    <cellStyle name="CALC Amount Total 2 23 8 4" xfId="40931"/>
    <cellStyle name="CALC Amount Total 2 23 9" xfId="23687"/>
    <cellStyle name="CALC Amount Total 2 23 9 2" xfId="40932"/>
    <cellStyle name="CALC Amount Total 2 24" xfId="15387"/>
    <cellStyle name="CALC Amount Total 2 24 10" xfId="40933"/>
    <cellStyle name="CALC Amount Total 2 24 11" xfId="40934"/>
    <cellStyle name="CALC Amount Total 2 24 2" xfId="16467"/>
    <cellStyle name="CALC Amount Total 2 24 2 2" xfId="24780"/>
    <cellStyle name="CALC Amount Total 2 24 2 2 2" xfId="40935"/>
    <cellStyle name="CALC Amount Total 2 24 2 3" xfId="32044"/>
    <cellStyle name="CALC Amount Total 2 24 2 4" xfId="40936"/>
    <cellStyle name="CALC Amount Total 2 24 3" xfId="17433"/>
    <cellStyle name="CALC Amount Total 2 24 3 2" xfId="25754"/>
    <cellStyle name="CALC Amount Total 2 24 3 2 2" xfId="40937"/>
    <cellStyle name="CALC Amount Total 2 24 3 3" xfId="32977"/>
    <cellStyle name="CALC Amount Total 2 24 3 4" xfId="40938"/>
    <cellStyle name="CALC Amount Total 2 24 4" xfId="18461"/>
    <cellStyle name="CALC Amount Total 2 24 4 2" xfId="26781"/>
    <cellStyle name="CALC Amount Total 2 24 4 2 2" xfId="40939"/>
    <cellStyle name="CALC Amount Total 2 24 4 3" xfId="33955"/>
    <cellStyle name="CALC Amount Total 2 24 4 4" xfId="40940"/>
    <cellStyle name="CALC Amount Total 2 24 5" xfId="19444"/>
    <cellStyle name="CALC Amount Total 2 24 5 2" xfId="27765"/>
    <cellStyle name="CALC Amount Total 2 24 5 2 2" xfId="40941"/>
    <cellStyle name="CALC Amount Total 2 24 5 3" xfId="34913"/>
    <cellStyle name="CALC Amount Total 2 24 5 4" xfId="40942"/>
    <cellStyle name="CALC Amount Total 2 24 6" xfId="20413"/>
    <cellStyle name="CALC Amount Total 2 24 6 2" xfId="28735"/>
    <cellStyle name="CALC Amount Total 2 24 6 2 2" xfId="40943"/>
    <cellStyle name="CALC Amount Total 2 24 6 3" xfId="35847"/>
    <cellStyle name="CALC Amount Total 2 24 6 4" xfId="40944"/>
    <cellStyle name="CALC Amount Total 2 24 7" xfId="21874"/>
    <cellStyle name="CALC Amount Total 2 24 7 2" xfId="30175"/>
    <cellStyle name="CALC Amount Total 2 24 7 2 2" xfId="40945"/>
    <cellStyle name="CALC Amount Total 2 24 7 3" xfId="37220"/>
    <cellStyle name="CALC Amount Total 2 24 7 4" xfId="40946"/>
    <cellStyle name="CALC Amount Total 2 24 8" xfId="22802"/>
    <cellStyle name="CALC Amount Total 2 24 8 2" xfId="31098"/>
    <cellStyle name="CALC Amount Total 2 24 8 2 2" xfId="40947"/>
    <cellStyle name="CALC Amount Total 2 24 8 3" xfId="38104"/>
    <cellStyle name="CALC Amount Total 2 24 8 4" xfId="40948"/>
    <cellStyle name="CALC Amount Total 2 24 9" xfId="23744"/>
    <cellStyle name="CALC Amount Total 2 24 9 2" xfId="40949"/>
    <cellStyle name="CALC Amount Total 2 25" xfId="15403"/>
    <cellStyle name="CALC Amount Total 2 25 10" xfId="40950"/>
    <cellStyle name="CALC Amount Total 2 25 11" xfId="40951"/>
    <cellStyle name="CALC Amount Total 2 25 2" xfId="16483"/>
    <cellStyle name="CALC Amount Total 2 25 2 2" xfId="24796"/>
    <cellStyle name="CALC Amount Total 2 25 2 2 2" xfId="40952"/>
    <cellStyle name="CALC Amount Total 2 25 2 3" xfId="32058"/>
    <cellStyle name="CALC Amount Total 2 25 2 4" xfId="40953"/>
    <cellStyle name="CALC Amount Total 2 25 3" xfId="17449"/>
    <cellStyle name="CALC Amount Total 2 25 3 2" xfId="25770"/>
    <cellStyle name="CALC Amount Total 2 25 3 2 2" xfId="40954"/>
    <cellStyle name="CALC Amount Total 2 25 3 3" xfId="32991"/>
    <cellStyle name="CALC Amount Total 2 25 3 4" xfId="40955"/>
    <cellStyle name="CALC Amount Total 2 25 4" xfId="18477"/>
    <cellStyle name="CALC Amount Total 2 25 4 2" xfId="26797"/>
    <cellStyle name="CALC Amount Total 2 25 4 2 2" xfId="40956"/>
    <cellStyle name="CALC Amount Total 2 25 4 3" xfId="33969"/>
    <cellStyle name="CALC Amount Total 2 25 4 4" xfId="40957"/>
    <cellStyle name="CALC Amount Total 2 25 5" xfId="19460"/>
    <cellStyle name="CALC Amount Total 2 25 5 2" xfId="27781"/>
    <cellStyle name="CALC Amount Total 2 25 5 2 2" xfId="40958"/>
    <cellStyle name="CALC Amount Total 2 25 5 3" xfId="34929"/>
    <cellStyle name="CALC Amount Total 2 25 5 4" xfId="40959"/>
    <cellStyle name="CALC Amount Total 2 25 6" xfId="20429"/>
    <cellStyle name="CALC Amount Total 2 25 6 2" xfId="28751"/>
    <cellStyle name="CALC Amount Total 2 25 6 2 2" xfId="40960"/>
    <cellStyle name="CALC Amount Total 2 25 6 3" xfId="35861"/>
    <cellStyle name="CALC Amount Total 2 25 6 4" xfId="40961"/>
    <cellStyle name="CALC Amount Total 2 25 7" xfId="21890"/>
    <cellStyle name="CALC Amount Total 2 25 7 2" xfId="30191"/>
    <cellStyle name="CALC Amount Total 2 25 7 2 2" xfId="40962"/>
    <cellStyle name="CALC Amount Total 2 25 7 3" xfId="37234"/>
    <cellStyle name="CALC Amount Total 2 25 7 4" xfId="40963"/>
    <cellStyle name="CALC Amount Total 2 25 8" xfId="22818"/>
    <cellStyle name="CALC Amount Total 2 25 8 2" xfId="31114"/>
    <cellStyle name="CALC Amount Total 2 25 8 2 2" xfId="40964"/>
    <cellStyle name="CALC Amount Total 2 25 8 3" xfId="38118"/>
    <cellStyle name="CALC Amount Total 2 25 8 4" xfId="40965"/>
    <cellStyle name="CALC Amount Total 2 25 9" xfId="23760"/>
    <cellStyle name="CALC Amount Total 2 25 9 2" xfId="40966"/>
    <cellStyle name="CALC Amount Total 2 26" xfId="15419"/>
    <cellStyle name="CALC Amount Total 2 26 10" xfId="40967"/>
    <cellStyle name="CALC Amount Total 2 26 11" xfId="40968"/>
    <cellStyle name="CALC Amount Total 2 26 2" xfId="16499"/>
    <cellStyle name="CALC Amount Total 2 26 2 2" xfId="24812"/>
    <cellStyle name="CALC Amount Total 2 26 2 2 2" xfId="40969"/>
    <cellStyle name="CALC Amount Total 2 26 2 3" xfId="32073"/>
    <cellStyle name="CALC Amount Total 2 26 2 4" xfId="40970"/>
    <cellStyle name="CALC Amount Total 2 26 3" xfId="17465"/>
    <cellStyle name="CALC Amount Total 2 26 3 2" xfId="25786"/>
    <cellStyle name="CALC Amount Total 2 26 3 2 2" xfId="40971"/>
    <cellStyle name="CALC Amount Total 2 26 3 3" xfId="33006"/>
    <cellStyle name="CALC Amount Total 2 26 3 4" xfId="40972"/>
    <cellStyle name="CALC Amount Total 2 26 4" xfId="18493"/>
    <cellStyle name="CALC Amount Total 2 26 4 2" xfId="26813"/>
    <cellStyle name="CALC Amount Total 2 26 4 2 2" xfId="40973"/>
    <cellStyle name="CALC Amount Total 2 26 4 3" xfId="33984"/>
    <cellStyle name="CALC Amount Total 2 26 4 4" xfId="40974"/>
    <cellStyle name="CALC Amount Total 2 26 5" xfId="19476"/>
    <cellStyle name="CALC Amount Total 2 26 5 2" xfId="27797"/>
    <cellStyle name="CALC Amount Total 2 26 5 2 2" xfId="40975"/>
    <cellStyle name="CALC Amount Total 2 26 5 3" xfId="34945"/>
    <cellStyle name="CALC Amount Total 2 26 5 4" xfId="40976"/>
    <cellStyle name="CALC Amount Total 2 26 6" xfId="20445"/>
    <cellStyle name="CALC Amount Total 2 26 6 2" xfId="28767"/>
    <cellStyle name="CALC Amount Total 2 26 6 2 2" xfId="40977"/>
    <cellStyle name="CALC Amount Total 2 26 6 3" xfId="35876"/>
    <cellStyle name="CALC Amount Total 2 26 6 4" xfId="40978"/>
    <cellStyle name="CALC Amount Total 2 26 7" xfId="21906"/>
    <cellStyle name="CALC Amount Total 2 26 7 2" xfId="30207"/>
    <cellStyle name="CALC Amount Total 2 26 7 2 2" xfId="40979"/>
    <cellStyle name="CALC Amount Total 2 26 7 3" xfId="37249"/>
    <cellStyle name="CALC Amount Total 2 26 7 4" xfId="40980"/>
    <cellStyle name="CALC Amount Total 2 26 8" xfId="22834"/>
    <cellStyle name="CALC Amount Total 2 26 8 2" xfId="31130"/>
    <cellStyle name="CALC Amount Total 2 26 8 2 2" xfId="40981"/>
    <cellStyle name="CALC Amount Total 2 26 8 3" xfId="38133"/>
    <cellStyle name="CALC Amount Total 2 26 8 4" xfId="40982"/>
    <cellStyle name="CALC Amount Total 2 26 9" xfId="23776"/>
    <cellStyle name="CALC Amount Total 2 26 9 2" xfId="40983"/>
    <cellStyle name="CALC Amount Total 2 27" xfId="15433"/>
    <cellStyle name="CALC Amount Total 2 27 10" xfId="40984"/>
    <cellStyle name="CALC Amount Total 2 27 11" xfId="40985"/>
    <cellStyle name="CALC Amount Total 2 27 2" xfId="16513"/>
    <cellStyle name="CALC Amount Total 2 27 2 2" xfId="24826"/>
    <cellStyle name="CALC Amount Total 2 27 2 2 2" xfId="40986"/>
    <cellStyle name="CALC Amount Total 2 27 2 3" xfId="32087"/>
    <cellStyle name="CALC Amount Total 2 27 2 4" xfId="40987"/>
    <cellStyle name="CALC Amount Total 2 27 3" xfId="17479"/>
    <cellStyle name="CALC Amount Total 2 27 3 2" xfId="25800"/>
    <cellStyle name="CALC Amount Total 2 27 3 2 2" xfId="40988"/>
    <cellStyle name="CALC Amount Total 2 27 3 3" xfId="33020"/>
    <cellStyle name="CALC Amount Total 2 27 3 4" xfId="40989"/>
    <cellStyle name="CALC Amount Total 2 27 4" xfId="18507"/>
    <cellStyle name="CALC Amount Total 2 27 4 2" xfId="26827"/>
    <cellStyle name="CALC Amount Total 2 27 4 2 2" xfId="40990"/>
    <cellStyle name="CALC Amount Total 2 27 4 3" xfId="33998"/>
    <cellStyle name="CALC Amount Total 2 27 4 4" xfId="40991"/>
    <cellStyle name="CALC Amount Total 2 27 5" xfId="19490"/>
    <cellStyle name="CALC Amount Total 2 27 5 2" xfId="27811"/>
    <cellStyle name="CALC Amount Total 2 27 5 2 2" xfId="40992"/>
    <cellStyle name="CALC Amount Total 2 27 5 3" xfId="34959"/>
    <cellStyle name="CALC Amount Total 2 27 5 4" xfId="40993"/>
    <cellStyle name="CALC Amount Total 2 27 6" xfId="20459"/>
    <cellStyle name="CALC Amount Total 2 27 6 2" xfId="28781"/>
    <cellStyle name="CALC Amount Total 2 27 6 2 2" xfId="40994"/>
    <cellStyle name="CALC Amount Total 2 27 6 3" xfId="35890"/>
    <cellStyle name="CALC Amount Total 2 27 6 4" xfId="40995"/>
    <cellStyle name="CALC Amount Total 2 27 7" xfId="21920"/>
    <cellStyle name="CALC Amount Total 2 27 7 2" xfId="30221"/>
    <cellStyle name="CALC Amount Total 2 27 7 2 2" xfId="40996"/>
    <cellStyle name="CALC Amount Total 2 27 7 3" xfId="37263"/>
    <cellStyle name="CALC Amount Total 2 27 7 4" xfId="40997"/>
    <cellStyle name="CALC Amount Total 2 27 8" xfId="22848"/>
    <cellStyle name="CALC Amount Total 2 27 8 2" xfId="31144"/>
    <cellStyle name="CALC Amount Total 2 27 8 2 2" xfId="40998"/>
    <cellStyle name="CALC Amount Total 2 27 8 3" xfId="38147"/>
    <cellStyle name="CALC Amount Total 2 27 8 4" xfId="40999"/>
    <cellStyle name="CALC Amount Total 2 27 9" xfId="23790"/>
    <cellStyle name="CALC Amount Total 2 27 9 2" xfId="41000"/>
    <cellStyle name="CALC Amount Total 2 28" xfId="15447"/>
    <cellStyle name="CALC Amount Total 2 28 10" xfId="41001"/>
    <cellStyle name="CALC Amount Total 2 28 11" xfId="41002"/>
    <cellStyle name="CALC Amount Total 2 28 2" xfId="16527"/>
    <cellStyle name="CALC Amount Total 2 28 2 2" xfId="24840"/>
    <cellStyle name="CALC Amount Total 2 28 2 2 2" xfId="41003"/>
    <cellStyle name="CALC Amount Total 2 28 2 3" xfId="32101"/>
    <cellStyle name="CALC Amount Total 2 28 2 4" xfId="41004"/>
    <cellStyle name="CALC Amount Total 2 28 3" xfId="17493"/>
    <cellStyle name="CALC Amount Total 2 28 3 2" xfId="25814"/>
    <cellStyle name="CALC Amount Total 2 28 3 2 2" xfId="41005"/>
    <cellStyle name="CALC Amount Total 2 28 3 3" xfId="33034"/>
    <cellStyle name="CALC Amount Total 2 28 3 4" xfId="41006"/>
    <cellStyle name="CALC Amount Total 2 28 4" xfId="18521"/>
    <cellStyle name="CALC Amount Total 2 28 4 2" xfId="26841"/>
    <cellStyle name="CALC Amount Total 2 28 4 2 2" xfId="41007"/>
    <cellStyle name="CALC Amount Total 2 28 4 3" xfId="34012"/>
    <cellStyle name="CALC Amount Total 2 28 4 4" xfId="41008"/>
    <cellStyle name="CALC Amount Total 2 28 5" xfId="19504"/>
    <cellStyle name="CALC Amount Total 2 28 5 2" xfId="27825"/>
    <cellStyle name="CALC Amount Total 2 28 5 2 2" xfId="41009"/>
    <cellStyle name="CALC Amount Total 2 28 5 3" xfId="34973"/>
    <cellStyle name="CALC Amount Total 2 28 5 4" xfId="41010"/>
    <cellStyle name="CALC Amount Total 2 28 6" xfId="20473"/>
    <cellStyle name="CALC Amount Total 2 28 6 2" xfId="28795"/>
    <cellStyle name="CALC Amount Total 2 28 6 2 2" xfId="41011"/>
    <cellStyle name="CALC Amount Total 2 28 6 3" xfId="35904"/>
    <cellStyle name="CALC Amount Total 2 28 6 4" xfId="41012"/>
    <cellStyle name="CALC Amount Total 2 28 7" xfId="21934"/>
    <cellStyle name="CALC Amount Total 2 28 7 2" xfId="30235"/>
    <cellStyle name="CALC Amount Total 2 28 7 2 2" xfId="41013"/>
    <cellStyle name="CALC Amount Total 2 28 7 3" xfId="37277"/>
    <cellStyle name="CALC Amount Total 2 28 7 4" xfId="41014"/>
    <cellStyle name="CALC Amount Total 2 28 8" xfId="22862"/>
    <cellStyle name="CALC Amount Total 2 28 8 2" xfId="31158"/>
    <cellStyle name="CALC Amount Total 2 28 8 2 2" xfId="41015"/>
    <cellStyle name="CALC Amount Total 2 28 8 3" xfId="38161"/>
    <cellStyle name="CALC Amount Total 2 28 8 4" xfId="41016"/>
    <cellStyle name="CALC Amount Total 2 28 9" xfId="23804"/>
    <cellStyle name="CALC Amount Total 2 28 9 2" xfId="41017"/>
    <cellStyle name="CALC Amount Total 2 29" xfId="15479"/>
    <cellStyle name="CALC Amount Total 2 29 2" xfId="17525"/>
    <cellStyle name="CALC Amount Total 2 29 2 2" xfId="25845"/>
    <cellStyle name="CALC Amount Total 2 29 2 2 2" xfId="41018"/>
    <cellStyle name="CALC Amount Total 2 29 2 3" xfId="33063"/>
    <cellStyle name="CALC Amount Total 2 29 2 4" xfId="41019"/>
    <cellStyle name="CALC Amount Total 2 29 3" xfId="19536"/>
    <cellStyle name="CALC Amount Total 2 29 3 2" xfId="27857"/>
    <cellStyle name="CALC Amount Total 2 29 3 2 2" xfId="41020"/>
    <cellStyle name="CALC Amount Total 2 29 3 3" xfId="35005"/>
    <cellStyle name="CALC Amount Total 2 29 3 4" xfId="41021"/>
    <cellStyle name="CALC Amount Total 2 29 4" xfId="41022"/>
    <cellStyle name="CALC Amount Total 2 29 4 2" xfId="41023"/>
    <cellStyle name="CALC Amount Total 2 3" xfId="14513"/>
    <cellStyle name="CALC Amount Total 2 3 2" xfId="15575"/>
    <cellStyle name="CALC Amount Total 2 3 2 2" xfId="41024"/>
    <cellStyle name="CALC Amount Total 2 3 2 2 2" xfId="41025"/>
    <cellStyle name="CALC Amount Total 2 3 3" xfId="23830"/>
    <cellStyle name="CALC Amount Total 2 3 3 2" xfId="41026"/>
    <cellStyle name="CALC Amount Total 2 30" xfId="41027"/>
    <cellStyle name="CALC Amount Total 2 30 2" xfId="41028"/>
    <cellStyle name="CALC Amount Total 2 4" xfId="14540"/>
    <cellStyle name="CALC Amount Total 2 4 2" xfId="15619"/>
    <cellStyle name="CALC Amount Total 2 4 2 2" xfId="23933"/>
    <cellStyle name="CALC Amount Total 2 4 2 2 2" xfId="41029"/>
    <cellStyle name="CALC Amount Total 2 4 2 3" xfId="41030"/>
    <cellStyle name="CALC Amount Total 2 4 2 4" xfId="41031"/>
    <cellStyle name="CALC Amount Total 2 4 3" xfId="16587"/>
    <cellStyle name="CALC Amount Total 2 4 3 2" xfId="24904"/>
    <cellStyle name="CALC Amount Total 2 4 3 2 2" xfId="41032"/>
    <cellStyle name="CALC Amount Total 2 4 3 3" xfId="32164"/>
    <cellStyle name="CALC Amount Total 2 4 3 4" xfId="41033"/>
    <cellStyle name="CALC Amount Total 2 4 4" xfId="17606"/>
    <cellStyle name="CALC Amount Total 2 4 4 2" xfId="25929"/>
    <cellStyle name="CALC Amount Total 2 4 4 2 2" xfId="41034"/>
    <cellStyle name="CALC Amount Total 2 4 4 3" xfId="33141"/>
    <cellStyle name="CALC Amount Total 2 4 4 4" xfId="41035"/>
    <cellStyle name="CALC Amount Total 2 4 5" xfId="18588"/>
    <cellStyle name="CALC Amount Total 2 4 5 2" xfId="26907"/>
    <cellStyle name="CALC Amount Total 2 4 5 2 2" xfId="41036"/>
    <cellStyle name="CALC Amount Total 2 4 5 3" xfId="34076"/>
    <cellStyle name="CALC Amount Total 2 4 5 4" xfId="41037"/>
    <cellStyle name="CALC Amount Total 2 4 6" xfId="19556"/>
    <cellStyle name="CALC Amount Total 2 4 6 2" xfId="27877"/>
    <cellStyle name="CALC Amount Total 2 4 6 2 2" xfId="41038"/>
    <cellStyle name="CALC Amount Total 2 4 6 3" xfId="35024"/>
    <cellStyle name="CALC Amount Total 2 4 6 4" xfId="41039"/>
    <cellStyle name="CALC Amount Total 2 4 7" xfId="20514"/>
    <cellStyle name="CALC Amount Total 2 4 7 2" xfId="28836"/>
    <cellStyle name="CALC Amount Total 2 4 7 2 2" xfId="41040"/>
    <cellStyle name="CALC Amount Total 2 4 7 3" xfId="35941"/>
    <cellStyle name="CALC Amount Total 2 4 7 4" xfId="41041"/>
    <cellStyle name="CALC Amount Total 2 4 8" xfId="22897"/>
    <cellStyle name="CALC Amount Total 2 4 8 2" xfId="41042"/>
    <cellStyle name="CALC Amount Total 2 5" xfId="14601"/>
    <cellStyle name="CALC Amount Total 2 5 10" xfId="22962"/>
    <cellStyle name="CALC Amount Total 2 5 10 2" xfId="41043"/>
    <cellStyle name="CALC Amount Total 2 5 11" xfId="41044"/>
    <cellStyle name="CALC Amount Total 2 5 2" xfId="15681"/>
    <cellStyle name="CALC Amount Total 2 5 2 2" xfId="23997"/>
    <cellStyle name="CALC Amount Total 2 5 2 2 2" xfId="41045"/>
    <cellStyle name="CALC Amount Total 2 5 2 3" xfId="31292"/>
    <cellStyle name="CALC Amount Total 2 5 2 4" xfId="41046"/>
    <cellStyle name="CALC Amount Total 2 5 3" xfId="16648"/>
    <cellStyle name="CALC Amount Total 2 5 3 2" xfId="24968"/>
    <cellStyle name="CALC Amount Total 2 5 3 2 2" xfId="41047"/>
    <cellStyle name="CALC Amount Total 2 5 3 3" xfId="32225"/>
    <cellStyle name="CALC Amount Total 2 5 3 4" xfId="41048"/>
    <cellStyle name="CALC Amount Total 2 5 4" xfId="17670"/>
    <cellStyle name="CALC Amount Total 2 5 4 2" xfId="25994"/>
    <cellStyle name="CALC Amount Total 2 5 4 2 2" xfId="41049"/>
    <cellStyle name="CALC Amount Total 2 5 4 3" xfId="33202"/>
    <cellStyle name="CALC Amount Total 2 5 4 4" xfId="41050"/>
    <cellStyle name="CALC Amount Total 2 5 5" xfId="18653"/>
    <cellStyle name="CALC Amount Total 2 5 5 2" xfId="26974"/>
    <cellStyle name="CALC Amount Total 2 5 5 2 2" xfId="41051"/>
    <cellStyle name="CALC Amount Total 2 5 5 3" xfId="34140"/>
    <cellStyle name="CALC Amount Total 2 5 5 4" xfId="41052"/>
    <cellStyle name="CALC Amount Total 2 5 6" xfId="19622"/>
    <cellStyle name="CALC Amount Total 2 5 6 2" xfId="27943"/>
    <cellStyle name="CALC Amount Total 2 5 6 2 2" xfId="41053"/>
    <cellStyle name="CALC Amount Total 2 5 6 3" xfId="35086"/>
    <cellStyle name="CALC Amount Total 2 5 6 4" xfId="41054"/>
    <cellStyle name="CALC Amount Total 2 5 7" xfId="20579"/>
    <cellStyle name="CALC Amount Total 2 5 7 2" xfId="28901"/>
    <cellStyle name="CALC Amount Total 2 5 7 2 2" xfId="41055"/>
    <cellStyle name="CALC Amount Total 2 5 7 3" xfId="36002"/>
    <cellStyle name="CALC Amount Total 2 5 7 4" xfId="41056"/>
    <cellStyle name="CALC Amount Total 2 5 8" xfId="17562"/>
    <cellStyle name="CALC Amount Total 2 5 8 2" xfId="25881"/>
    <cellStyle name="CALC Amount Total 2 5 8 2 2" xfId="41057"/>
    <cellStyle name="CALC Amount Total 2 5 8 3" xfId="33096"/>
    <cellStyle name="CALC Amount Total 2 5 8 4" xfId="41058"/>
    <cellStyle name="CALC Amount Total 2 5 9" xfId="22016"/>
    <cellStyle name="CALC Amount Total 2 5 9 2" xfId="30315"/>
    <cellStyle name="CALC Amount Total 2 5 9 2 2" xfId="41059"/>
    <cellStyle name="CALC Amount Total 2 5 9 3" xfId="37353"/>
    <cellStyle name="CALC Amount Total 2 5 9 4" xfId="41060"/>
    <cellStyle name="CALC Amount Total 2 6" xfId="14621"/>
    <cellStyle name="CALC Amount Total 2 6 10" xfId="22983"/>
    <cellStyle name="CALC Amount Total 2 6 10 2" xfId="41061"/>
    <cellStyle name="CALC Amount Total 2 6 11" xfId="41062"/>
    <cellStyle name="CALC Amount Total 2 6 2" xfId="15702"/>
    <cellStyle name="CALC Amount Total 2 6 2 2" xfId="24018"/>
    <cellStyle name="CALC Amount Total 2 6 2 2 2" xfId="41063"/>
    <cellStyle name="CALC Amount Total 2 6 2 3" xfId="31312"/>
    <cellStyle name="CALC Amount Total 2 6 2 4" xfId="41064"/>
    <cellStyle name="CALC Amount Total 2 6 3" xfId="16669"/>
    <cellStyle name="CALC Amount Total 2 6 3 2" xfId="24989"/>
    <cellStyle name="CALC Amount Total 2 6 3 2 2" xfId="41065"/>
    <cellStyle name="CALC Amount Total 2 6 3 3" xfId="32245"/>
    <cellStyle name="CALC Amount Total 2 6 3 4" xfId="41066"/>
    <cellStyle name="CALC Amount Total 2 6 4" xfId="17692"/>
    <cellStyle name="CALC Amount Total 2 6 4 2" xfId="26015"/>
    <cellStyle name="CALC Amount Total 2 6 4 2 2" xfId="41067"/>
    <cellStyle name="CALC Amount Total 2 6 4 3" xfId="33222"/>
    <cellStyle name="CALC Amount Total 2 6 4 4" xfId="41068"/>
    <cellStyle name="CALC Amount Total 2 6 5" xfId="18675"/>
    <cellStyle name="CALC Amount Total 2 6 5 2" xfId="26996"/>
    <cellStyle name="CALC Amount Total 2 6 5 2 2" xfId="41069"/>
    <cellStyle name="CALC Amount Total 2 6 5 3" xfId="34161"/>
    <cellStyle name="CALC Amount Total 2 6 5 4" xfId="41070"/>
    <cellStyle name="CALC Amount Total 2 6 6" xfId="19644"/>
    <cellStyle name="CALC Amount Total 2 6 6 2" xfId="27965"/>
    <cellStyle name="CALC Amount Total 2 6 6 2 2" xfId="41071"/>
    <cellStyle name="CALC Amount Total 2 6 6 3" xfId="35107"/>
    <cellStyle name="CALC Amount Total 2 6 6 4" xfId="41072"/>
    <cellStyle name="CALC Amount Total 2 6 7" xfId="20601"/>
    <cellStyle name="CALC Amount Total 2 6 7 2" xfId="28922"/>
    <cellStyle name="CALC Amount Total 2 6 7 2 2" xfId="41073"/>
    <cellStyle name="CALC Amount Total 2 6 7 3" xfId="36022"/>
    <cellStyle name="CALC Amount Total 2 6 7 4" xfId="41074"/>
    <cellStyle name="CALC Amount Total 2 6 8" xfId="21160"/>
    <cellStyle name="CALC Amount Total 2 6 8 2" xfId="29472"/>
    <cellStyle name="CALC Amount Total 2 6 8 2 2" xfId="41075"/>
    <cellStyle name="CALC Amount Total 2 6 8 3" xfId="36544"/>
    <cellStyle name="CALC Amount Total 2 6 8 4" xfId="41076"/>
    <cellStyle name="CALC Amount Total 2 6 9" xfId="22038"/>
    <cellStyle name="CALC Amount Total 2 6 9 2" xfId="30336"/>
    <cellStyle name="CALC Amount Total 2 6 9 2 2" xfId="41077"/>
    <cellStyle name="CALC Amount Total 2 6 9 3" xfId="37373"/>
    <cellStyle name="CALC Amount Total 2 6 9 4" xfId="41078"/>
    <cellStyle name="CALC Amount Total 2 7" xfId="14640"/>
    <cellStyle name="CALC Amount Total 2 7 10" xfId="23002"/>
    <cellStyle name="CALC Amount Total 2 7 10 2" xfId="41079"/>
    <cellStyle name="CALC Amount Total 2 7 11" xfId="41080"/>
    <cellStyle name="CALC Amount Total 2 7 2" xfId="15721"/>
    <cellStyle name="CALC Amount Total 2 7 2 2" xfId="24037"/>
    <cellStyle name="CALC Amount Total 2 7 2 2 2" xfId="41081"/>
    <cellStyle name="CALC Amount Total 2 7 2 3" xfId="31330"/>
    <cellStyle name="CALC Amount Total 2 7 2 4" xfId="41082"/>
    <cellStyle name="CALC Amount Total 2 7 3" xfId="16687"/>
    <cellStyle name="CALC Amount Total 2 7 3 2" xfId="25008"/>
    <cellStyle name="CALC Amount Total 2 7 3 2 2" xfId="41083"/>
    <cellStyle name="CALC Amount Total 2 7 3 3" xfId="32263"/>
    <cellStyle name="CALC Amount Total 2 7 3 4" xfId="41084"/>
    <cellStyle name="CALC Amount Total 2 7 4" xfId="17711"/>
    <cellStyle name="CALC Amount Total 2 7 4 2" xfId="26034"/>
    <cellStyle name="CALC Amount Total 2 7 4 2 2" xfId="41085"/>
    <cellStyle name="CALC Amount Total 2 7 4 3" xfId="33240"/>
    <cellStyle name="CALC Amount Total 2 7 4 4" xfId="41086"/>
    <cellStyle name="CALC Amount Total 2 7 5" xfId="18694"/>
    <cellStyle name="CALC Amount Total 2 7 5 2" xfId="27015"/>
    <cellStyle name="CALC Amount Total 2 7 5 2 2" xfId="41087"/>
    <cellStyle name="CALC Amount Total 2 7 5 3" xfId="34179"/>
    <cellStyle name="CALC Amount Total 2 7 5 4" xfId="41088"/>
    <cellStyle name="CALC Amount Total 2 7 6" xfId="19663"/>
    <cellStyle name="CALC Amount Total 2 7 6 2" xfId="27984"/>
    <cellStyle name="CALC Amount Total 2 7 6 2 2" xfId="41089"/>
    <cellStyle name="CALC Amount Total 2 7 6 3" xfId="35125"/>
    <cellStyle name="CALC Amount Total 2 7 6 4" xfId="41090"/>
    <cellStyle name="CALC Amount Total 2 7 7" xfId="20620"/>
    <cellStyle name="CALC Amount Total 2 7 7 2" xfId="28941"/>
    <cellStyle name="CALC Amount Total 2 7 7 2 2" xfId="41091"/>
    <cellStyle name="CALC Amount Total 2 7 7 3" xfId="36040"/>
    <cellStyle name="CALC Amount Total 2 7 7 4" xfId="41092"/>
    <cellStyle name="CALC Amount Total 2 7 8" xfId="21318"/>
    <cellStyle name="CALC Amount Total 2 7 8 2" xfId="29624"/>
    <cellStyle name="CALC Amount Total 2 7 8 2 2" xfId="41093"/>
    <cellStyle name="CALC Amount Total 2 7 8 3" xfId="36691"/>
    <cellStyle name="CALC Amount Total 2 7 8 4" xfId="41094"/>
    <cellStyle name="CALC Amount Total 2 7 9" xfId="22057"/>
    <cellStyle name="CALC Amount Total 2 7 9 2" xfId="30355"/>
    <cellStyle name="CALC Amount Total 2 7 9 2 2" xfId="41095"/>
    <cellStyle name="CALC Amount Total 2 7 9 3" xfId="37391"/>
    <cellStyle name="CALC Amount Total 2 7 9 4" xfId="41096"/>
    <cellStyle name="CALC Amount Total 2 8" xfId="14666"/>
    <cellStyle name="CALC Amount Total 2 8 10" xfId="23028"/>
    <cellStyle name="CALC Amount Total 2 8 10 2" xfId="41097"/>
    <cellStyle name="CALC Amount Total 2 8 11" xfId="41098"/>
    <cellStyle name="CALC Amount Total 2 8 2" xfId="15747"/>
    <cellStyle name="CALC Amount Total 2 8 2 2" xfId="24063"/>
    <cellStyle name="CALC Amount Total 2 8 2 2 2" xfId="41099"/>
    <cellStyle name="CALC Amount Total 2 8 2 3" xfId="31355"/>
    <cellStyle name="CALC Amount Total 2 8 2 4" xfId="41100"/>
    <cellStyle name="CALC Amount Total 2 8 3" xfId="16713"/>
    <cellStyle name="CALC Amount Total 2 8 3 2" xfId="25034"/>
    <cellStyle name="CALC Amount Total 2 8 3 2 2" xfId="41101"/>
    <cellStyle name="CALC Amount Total 2 8 3 3" xfId="32288"/>
    <cellStyle name="CALC Amount Total 2 8 3 4" xfId="41102"/>
    <cellStyle name="CALC Amount Total 2 8 4" xfId="17737"/>
    <cellStyle name="CALC Amount Total 2 8 4 2" xfId="26060"/>
    <cellStyle name="CALC Amount Total 2 8 4 2 2" xfId="41103"/>
    <cellStyle name="CALC Amount Total 2 8 4 3" xfId="33265"/>
    <cellStyle name="CALC Amount Total 2 8 4 4" xfId="41104"/>
    <cellStyle name="CALC Amount Total 2 8 5" xfId="18720"/>
    <cellStyle name="CALC Amount Total 2 8 5 2" xfId="27041"/>
    <cellStyle name="CALC Amount Total 2 8 5 2 2" xfId="41105"/>
    <cellStyle name="CALC Amount Total 2 8 5 3" xfId="34204"/>
    <cellStyle name="CALC Amount Total 2 8 5 4" xfId="41106"/>
    <cellStyle name="CALC Amount Total 2 8 6" xfId="19689"/>
    <cellStyle name="CALC Amount Total 2 8 6 2" xfId="28010"/>
    <cellStyle name="CALC Amount Total 2 8 6 2 2" xfId="41107"/>
    <cellStyle name="CALC Amount Total 2 8 6 3" xfId="35150"/>
    <cellStyle name="CALC Amount Total 2 8 6 4" xfId="41108"/>
    <cellStyle name="CALC Amount Total 2 8 7" xfId="20646"/>
    <cellStyle name="CALC Amount Total 2 8 7 2" xfId="28967"/>
    <cellStyle name="CALC Amount Total 2 8 7 2 2" xfId="41109"/>
    <cellStyle name="CALC Amount Total 2 8 7 3" xfId="36065"/>
    <cellStyle name="CALC Amount Total 2 8 7 4" xfId="41110"/>
    <cellStyle name="CALC Amount Total 2 8 8" xfId="21267"/>
    <cellStyle name="CALC Amount Total 2 8 8 2" xfId="29575"/>
    <cellStyle name="CALC Amount Total 2 8 8 2 2" xfId="41111"/>
    <cellStyle name="CALC Amount Total 2 8 8 3" xfId="36642"/>
    <cellStyle name="CALC Amount Total 2 8 8 4" xfId="41112"/>
    <cellStyle name="CALC Amount Total 2 8 9" xfId="22083"/>
    <cellStyle name="CALC Amount Total 2 8 9 2" xfId="30381"/>
    <cellStyle name="CALC Amount Total 2 8 9 2 2" xfId="41113"/>
    <cellStyle name="CALC Amount Total 2 8 9 3" xfId="37416"/>
    <cellStyle name="CALC Amount Total 2 8 9 4" xfId="41114"/>
    <cellStyle name="CALC Amount Total 2 9" xfId="14753"/>
    <cellStyle name="CALC Amount Total 2 9 10" xfId="23117"/>
    <cellStyle name="CALC Amount Total 2 9 10 2" xfId="41115"/>
    <cellStyle name="CALC Amount Total 2 9 11" xfId="41116"/>
    <cellStyle name="CALC Amount Total 2 9 12" xfId="41117"/>
    <cellStyle name="CALC Amount Total 2 9 2" xfId="15834"/>
    <cellStyle name="CALC Amount Total 2 9 2 2" xfId="24152"/>
    <cellStyle name="CALC Amount Total 2 9 2 2 2" xfId="41118"/>
    <cellStyle name="CALC Amount Total 2 9 2 3" xfId="31440"/>
    <cellStyle name="CALC Amount Total 2 9 2 4" xfId="41119"/>
    <cellStyle name="CALC Amount Total 2 9 3" xfId="16800"/>
    <cellStyle name="CALC Amount Total 2 9 3 2" xfId="25124"/>
    <cellStyle name="CALC Amount Total 2 9 3 2 2" xfId="41120"/>
    <cellStyle name="CALC Amount Total 2 9 3 3" xfId="32373"/>
    <cellStyle name="CALC Amount Total 2 9 3 4" xfId="41121"/>
    <cellStyle name="CALC Amount Total 2 9 4" xfId="17826"/>
    <cellStyle name="CALC Amount Total 2 9 4 2" xfId="26150"/>
    <cellStyle name="CALC Amount Total 2 9 4 2 2" xfId="41122"/>
    <cellStyle name="CALC Amount Total 2 9 4 3" xfId="33350"/>
    <cellStyle name="CALC Amount Total 2 9 4 4" xfId="41123"/>
    <cellStyle name="CALC Amount Total 2 9 5" xfId="18810"/>
    <cellStyle name="CALC Amount Total 2 9 5 2" xfId="27131"/>
    <cellStyle name="CALC Amount Total 2 9 5 2 2" xfId="41124"/>
    <cellStyle name="CALC Amount Total 2 9 5 3" xfId="34290"/>
    <cellStyle name="CALC Amount Total 2 9 5 4" xfId="41125"/>
    <cellStyle name="CALC Amount Total 2 9 6" xfId="19778"/>
    <cellStyle name="CALC Amount Total 2 9 6 2" xfId="28100"/>
    <cellStyle name="CALC Amount Total 2 9 6 2 2" xfId="41126"/>
    <cellStyle name="CALC Amount Total 2 9 6 3" xfId="35236"/>
    <cellStyle name="CALC Amount Total 2 9 6 4" xfId="41127"/>
    <cellStyle name="CALC Amount Total 2 9 7" xfId="20736"/>
    <cellStyle name="CALC Amount Total 2 9 7 2" xfId="29057"/>
    <cellStyle name="CALC Amount Total 2 9 7 2 2" xfId="41128"/>
    <cellStyle name="CALC Amount Total 2 9 7 3" xfId="36149"/>
    <cellStyle name="CALC Amount Total 2 9 7 4" xfId="41129"/>
    <cellStyle name="CALC Amount Total 2 9 8" xfId="21090"/>
    <cellStyle name="CALC Amount Total 2 9 8 2" xfId="29407"/>
    <cellStyle name="CALC Amount Total 2 9 8 2 2" xfId="41130"/>
    <cellStyle name="CALC Amount Total 2 9 8 3" xfId="36483"/>
    <cellStyle name="CALC Amount Total 2 9 8 4" xfId="41131"/>
    <cellStyle name="CALC Amount Total 2 9 9" xfId="22172"/>
    <cellStyle name="CALC Amount Total 2 9 9 2" xfId="30470"/>
    <cellStyle name="CALC Amount Total 2 9 9 2 2" xfId="41132"/>
    <cellStyle name="CALC Amount Total 2 9 9 3" xfId="37501"/>
    <cellStyle name="CALC Amount Total 2 9 9 4" xfId="41133"/>
    <cellStyle name="CALC Amount Total 20" xfId="14735"/>
    <cellStyle name="CALC Amount Total 20 10" xfId="23099"/>
    <cellStyle name="CALC Amount Total 20 10 2" xfId="41134"/>
    <cellStyle name="CALC Amount Total 20 11" xfId="41135"/>
    <cellStyle name="CALC Amount Total 20 12" xfId="41136"/>
    <cellStyle name="CALC Amount Total 20 2" xfId="15816"/>
    <cellStyle name="CALC Amount Total 20 2 2" xfId="24134"/>
    <cellStyle name="CALC Amount Total 20 2 2 2" xfId="41137"/>
    <cellStyle name="CALC Amount Total 20 2 3" xfId="31422"/>
    <cellStyle name="CALC Amount Total 20 2 4" xfId="41138"/>
    <cellStyle name="CALC Amount Total 20 3" xfId="16782"/>
    <cellStyle name="CALC Amount Total 20 3 2" xfId="25106"/>
    <cellStyle name="CALC Amount Total 20 3 2 2" xfId="41139"/>
    <cellStyle name="CALC Amount Total 20 3 3" xfId="32355"/>
    <cellStyle name="CALC Amount Total 20 3 4" xfId="41140"/>
    <cellStyle name="CALC Amount Total 20 4" xfId="17808"/>
    <cellStyle name="CALC Amount Total 20 4 2" xfId="26132"/>
    <cellStyle name="CALC Amount Total 20 4 2 2" xfId="41141"/>
    <cellStyle name="CALC Amount Total 20 4 3" xfId="33332"/>
    <cellStyle name="CALC Amount Total 20 4 4" xfId="41142"/>
    <cellStyle name="CALC Amount Total 20 5" xfId="18792"/>
    <cellStyle name="CALC Amount Total 20 5 2" xfId="27113"/>
    <cellStyle name="CALC Amount Total 20 5 2 2" xfId="41143"/>
    <cellStyle name="CALC Amount Total 20 5 3" xfId="34272"/>
    <cellStyle name="CALC Amount Total 20 5 4" xfId="41144"/>
    <cellStyle name="CALC Amount Total 20 6" xfId="19760"/>
    <cellStyle name="CALC Amount Total 20 6 2" xfId="28082"/>
    <cellStyle name="CALC Amount Total 20 6 2 2" xfId="41145"/>
    <cellStyle name="CALC Amount Total 20 6 3" xfId="35218"/>
    <cellStyle name="CALC Amount Total 20 6 4" xfId="41146"/>
    <cellStyle name="CALC Amount Total 20 7" xfId="20718"/>
    <cellStyle name="CALC Amount Total 20 7 2" xfId="29039"/>
    <cellStyle name="CALC Amount Total 20 7 2 2" xfId="41147"/>
    <cellStyle name="CALC Amount Total 20 7 3" xfId="36132"/>
    <cellStyle name="CALC Amount Total 20 7 4" xfId="41148"/>
    <cellStyle name="CALC Amount Total 20 8" xfId="21372"/>
    <cellStyle name="CALC Amount Total 20 8 2" xfId="29675"/>
    <cellStyle name="CALC Amount Total 20 8 2 2" xfId="41149"/>
    <cellStyle name="CALC Amount Total 20 8 3" xfId="36739"/>
    <cellStyle name="CALC Amount Total 20 8 4" xfId="41150"/>
    <cellStyle name="CALC Amount Total 20 9" xfId="22154"/>
    <cellStyle name="CALC Amount Total 20 9 2" xfId="30452"/>
    <cellStyle name="CALC Amount Total 20 9 2 2" xfId="41151"/>
    <cellStyle name="CALC Amount Total 20 9 3" xfId="37483"/>
    <cellStyle name="CALC Amount Total 20 9 4" xfId="41152"/>
    <cellStyle name="CALC Amount Total 21" xfId="14798"/>
    <cellStyle name="CALC Amount Total 21 10" xfId="23162"/>
    <cellStyle name="CALC Amount Total 21 10 2" xfId="41153"/>
    <cellStyle name="CALC Amount Total 21 11" xfId="41154"/>
    <cellStyle name="CALC Amount Total 21 12" xfId="41155"/>
    <cellStyle name="CALC Amount Total 21 2" xfId="15879"/>
    <cellStyle name="CALC Amount Total 21 2 2" xfId="24197"/>
    <cellStyle name="CALC Amount Total 21 2 2 2" xfId="41156"/>
    <cellStyle name="CALC Amount Total 21 2 3" xfId="31483"/>
    <cellStyle name="CALC Amount Total 21 2 4" xfId="41157"/>
    <cellStyle name="CALC Amount Total 21 3" xfId="16845"/>
    <cellStyle name="CALC Amount Total 21 3 2" xfId="25169"/>
    <cellStyle name="CALC Amount Total 21 3 2 2" xfId="41158"/>
    <cellStyle name="CALC Amount Total 21 3 3" xfId="32416"/>
    <cellStyle name="CALC Amount Total 21 3 4" xfId="41159"/>
    <cellStyle name="CALC Amount Total 21 4" xfId="17872"/>
    <cellStyle name="CALC Amount Total 21 4 2" xfId="26195"/>
    <cellStyle name="CALC Amount Total 21 4 2 2" xfId="41160"/>
    <cellStyle name="CALC Amount Total 21 4 3" xfId="33393"/>
    <cellStyle name="CALC Amount Total 21 4 4" xfId="41161"/>
    <cellStyle name="CALC Amount Total 21 5" xfId="18856"/>
    <cellStyle name="CALC Amount Total 21 5 2" xfId="27176"/>
    <cellStyle name="CALC Amount Total 21 5 2 2" xfId="41162"/>
    <cellStyle name="CALC Amount Total 21 5 3" xfId="34333"/>
    <cellStyle name="CALC Amount Total 21 5 4" xfId="41163"/>
    <cellStyle name="CALC Amount Total 21 6" xfId="19824"/>
    <cellStyle name="CALC Amount Total 21 6 2" xfId="28146"/>
    <cellStyle name="CALC Amount Total 21 6 2 2" xfId="41164"/>
    <cellStyle name="CALC Amount Total 21 6 3" xfId="35280"/>
    <cellStyle name="CALC Amount Total 21 6 4" xfId="41165"/>
    <cellStyle name="CALC Amount Total 21 7" xfId="20782"/>
    <cellStyle name="CALC Amount Total 21 7 2" xfId="29102"/>
    <cellStyle name="CALC Amount Total 21 7 2 2" xfId="41166"/>
    <cellStyle name="CALC Amount Total 21 7 3" xfId="36192"/>
    <cellStyle name="CALC Amount Total 21 7 4" xfId="41167"/>
    <cellStyle name="CALC Amount Total 21 8" xfId="21152"/>
    <cellStyle name="CALC Amount Total 21 8 2" xfId="29464"/>
    <cellStyle name="CALC Amount Total 21 8 2 2" xfId="41168"/>
    <cellStyle name="CALC Amount Total 21 8 3" xfId="36536"/>
    <cellStyle name="CALC Amount Total 21 8 4" xfId="41169"/>
    <cellStyle name="CALC Amount Total 21 9" xfId="22218"/>
    <cellStyle name="CALC Amount Total 21 9 2" xfId="30516"/>
    <cellStyle name="CALC Amount Total 21 9 2 2" xfId="41170"/>
    <cellStyle name="CALC Amount Total 21 9 3" xfId="37544"/>
    <cellStyle name="CALC Amount Total 21 9 4" xfId="41171"/>
    <cellStyle name="CALC Amount Total 22" xfId="14748"/>
    <cellStyle name="CALC Amount Total 22 10" xfId="23112"/>
    <cellStyle name="CALC Amount Total 22 10 2" xfId="41172"/>
    <cellStyle name="CALC Amount Total 22 11" xfId="41173"/>
    <cellStyle name="CALC Amount Total 22 12" xfId="41174"/>
    <cellStyle name="CALC Amount Total 22 2" xfId="15829"/>
    <cellStyle name="CALC Amount Total 22 2 2" xfId="24147"/>
    <cellStyle name="CALC Amount Total 22 2 2 2" xfId="41175"/>
    <cellStyle name="CALC Amount Total 22 2 3" xfId="31435"/>
    <cellStyle name="CALC Amount Total 22 2 4" xfId="41176"/>
    <cellStyle name="CALC Amount Total 22 3" xfId="16795"/>
    <cellStyle name="CALC Amount Total 22 3 2" xfId="25119"/>
    <cellStyle name="CALC Amount Total 22 3 2 2" xfId="41177"/>
    <cellStyle name="CALC Amount Total 22 3 3" xfId="32368"/>
    <cellStyle name="CALC Amount Total 22 3 4" xfId="41178"/>
    <cellStyle name="CALC Amount Total 22 4" xfId="17821"/>
    <cellStyle name="CALC Amount Total 22 4 2" xfId="26145"/>
    <cellStyle name="CALC Amount Total 22 4 2 2" xfId="41179"/>
    <cellStyle name="CALC Amount Total 22 4 3" xfId="33345"/>
    <cellStyle name="CALC Amount Total 22 4 4" xfId="41180"/>
    <cellStyle name="CALC Amount Total 22 5" xfId="18805"/>
    <cellStyle name="CALC Amount Total 22 5 2" xfId="27126"/>
    <cellStyle name="CALC Amount Total 22 5 2 2" xfId="41181"/>
    <cellStyle name="CALC Amount Total 22 5 3" xfId="34285"/>
    <cellStyle name="CALC Amount Total 22 5 4" xfId="41182"/>
    <cellStyle name="CALC Amount Total 22 6" xfId="19773"/>
    <cellStyle name="CALC Amount Total 22 6 2" xfId="28095"/>
    <cellStyle name="CALC Amount Total 22 6 2 2" xfId="41183"/>
    <cellStyle name="CALC Amount Total 22 6 3" xfId="35231"/>
    <cellStyle name="CALC Amount Total 22 6 4" xfId="41184"/>
    <cellStyle name="CALC Amount Total 22 7" xfId="20731"/>
    <cellStyle name="CALC Amount Total 22 7 2" xfId="29052"/>
    <cellStyle name="CALC Amount Total 22 7 2 2" xfId="41185"/>
    <cellStyle name="CALC Amount Total 22 7 3" xfId="36144"/>
    <cellStyle name="CALC Amount Total 22 7 4" xfId="41186"/>
    <cellStyle name="CALC Amount Total 22 8" xfId="21130"/>
    <cellStyle name="CALC Amount Total 22 8 2" xfId="29444"/>
    <cellStyle name="CALC Amount Total 22 8 2 2" xfId="41187"/>
    <cellStyle name="CALC Amount Total 22 8 3" xfId="36517"/>
    <cellStyle name="CALC Amount Total 22 8 4" xfId="41188"/>
    <cellStyle name="CALC Amount Total 22 9" xfId="22167"/>
    <cellStyle name="CALC Amount Total 22 9 2" xfId="30465"/>
    <cellStyle name="CALC Amount Total 22 9 2 2" xfId="41189"/>
    <cellStyle name="CALC Amount Total 22 9 3" xfId="37496"/>
    <cellStyle name="CALC Amount Total 22 9 4" xfId="41190"/>
    <cellStyle name="CALC Amount Total 23" xfId="14791"/>
    <cellStyle name="CALC Amount Total 23 10" xfId="23156"/>
    <cellStyle name="CALC Amount Total 23 10 2" xfId="41191"/>
    <cellStyle name="CALC Amount Total 23 11" xfId="41192"/>
    <cellStyle name="CALC Amount Total 23 12" xfId="41193"/>
    <cellStyle name="CALC Amount Total 23 2" xfId="15872"/>
    <cellStyle name="CALC Amount Total 23 2 2" xfId="24191"/>
    <cellStyle name="CALC Amount Total 23 2 2 2" xfId="41194"/>
    <cellStyle name="CALC Amount Total 23 2 3" xfId="31477"/>
    <cellStyle name="CALC Amount Total 23 2 4" xfId="41195"/>
    <cellStyle name="CALC Amount Total 23 3" xfId="16838"/>
    <cellStyle name="CALC Amount Total 23 3 2" xfId="25163"/>
    <cellStyle name="CALC Amount Total 23 3 2 2" xfId="41196"/>
    <cellStyle name="CALC Amount Total 23 3 3" xfId="32410"/>
    <cellStyle name="CALC Amount Total 23 3 4" xfId="41197"/>
    <cellStyle name="CALC Amount Total 23 4" xfId="17865"/>
    <cellStyle name="CALC Amount Total 23 4 2" xfId="26189"/>
    <cellStyle name="CALC Amount Total 23 4 2 2" xfId="41198"/>
    <cellStyle name="CALC Amount Total 23 4 3" xfId="33387"/>
    <cellStyle name="CALC Amount Total 23 4 4" xfId="41199"/>
    <cellStyle name="CALC Amount Total 23 5" xfId="18849"/>
    <cellStyle name="CALC Amount Total 23 5 2" xfId="27170"/>
    <cellStyle name="CALC Amount Total 23 5 2 2" xfId="41200"/>
    <cellStyle name="CALC Amount Total 23 5 3" xfId="34327"/>
    <cellStyle name="CALC Amount Total 23 5 4" xfId="41201"/>
    <cellStyle name="CALC Amount Total 23 6" xfId="19817"/>
    <cellStyle name="CALC Amount Total 23 6 2" xfId="28139"/>
    <cellStyle name="CALC Amount Total 23 6 2 2" xfId="41202"/>
    <cellStyle name="CALC Amount Total 23 6 3" xfId="35273"/>
    <cellStyle name="CALC Amount Total 23 6 4" xfId="41203"/>
    <cellStyle name="CALC Amount Total 23 7" xfId="20775"/>
    <cellStyle name="CALC Amount Total 23 7 2" xfId="29096"/>
    <cellStyle name="CALC Amount Total 23 7 2 2" xfId="41204"/>
    <cellStyle name="CALC Amount Total 23 7 3" xfId="36186"/>
    <cellStyle name="CALC Amount Total 23 7 4" xfId="41205"/>
    <cellStyle name="CALC Amount Total 23 8" xfId="21311"/>
    <cellStyle name="CALC Amount Total 23 8 2" xfId="29617"/>
    <cellStyle name="CALC Amount Total 23 8 2 2" xfId="41206"/>
    <cellStyle name="CALC Amount Total 23 8 3" xfId="36684"/>
    <cellStyle name="CALC Amount Total 23 8 4" xfId="41207"/>
    <cellStyle name="CALC Amount Total 23 9" xfId="22211"/>
    <cellStyle name="CALC Amount Total 23 9 2" xfId="30509"/>
    <cellStyle name="CALC Amount Total 23 9 2 2" xfId="41208"/>
    <cellStyle name="CALC Amount Total 23 9 3" xfId="37538"/>
    <cellStyle name="CALC Amount Total 23 9 4" xfId="41209"/>
    <cellStyle name="CALC Amount Total 24" xfId="14756"/>
    <cellStyle name="CALC Amount Total 24 10" xfId="23120"/>
    <cellStyle name="CALC Amount Total 24 10 2" xfId="41210"/>
    <cellStyle name="CALC Amount Total 24 11" xfId="41211"/>
    <cellStyle name="CALC Amount Total 24 12" xfId="41212"/>
    <cellStyle name="CALC Amount Total 24 2" xfId="15837"/>
    <cellStyle name="CALC Amount Total 24 2 2" xfId="24155"/>
    <cellStyle name="CALC Amount Total 24 2 2 2" xfId="41213"/>
    <cellStyle name="CALC Amount Total 24 2 3" xfId="31443"/>
    <cellStyle name="CALC Amount Total 24 2 4" xfId="41214"/>
    <cellStyle name="CALC Amount Total 24 3" xfId="16803"/>
    <cellStyle name="CALC Amount Total 24 3 2" xfId="25127"/>
    <cellStyle name="CALC Amount Total 24 3 2 2" xfId="41215"/>
    <cellStyle name="CALC Amount Total 24 3 3" xfId="32376"/>
    <cellStyle name="CALC Amount Total 24 3 4" xfId="41216"/>
    <cellStyle name="CALC Amount Total 24 4" xfId="17829"/>
    <cellStyle name="CALC Amount Total 24 4 2" xfId="26153"/>
    <cellStyle name="CALC Amount Total 24 4 2 2" xfId="41217"/>
    <cellStyle name="CALC Amount Total 24 4 3" xfId="33353"/>
    <cellStyle name="CALC Amount Total 24 4 4" xfId="41218"/>
    <cellStyle name="CALC Amount Total 24 5" xfId="18813"/>
    <cellStyle name="CALC Amount Total 24 5 2" xfId="27134"/>
    <cellStyle name="CALC Amount Total 24 5 2 2" xfId="41219"/>
    <cellStyle name="CALC Amount Total 24 5 3" xfId="34293"/>
    <cellStyle name="CALC Amount Total 24 5 4" xfId="41220"/>
    <cellStyle name="CALC Amount Total 24 6" xfId="19781"/>
    <cellStyle name="CALC Amount Total 24 6 2" xfId="28103"/>
    <cellStyle name="CALC Amount Total 24 6 2 2" xfId="41221"/>
    <cellStyle name="CALC Amount Total 24 6 3" xfId="35239"/>
    <cellStyle name="CALC Amount Total 24 6 4" xfId="41222"/>
    <cellStyle name="CALC Amount Total 24 7" xfId="20739"/>
    <cellStyle name="CALC Amount Total 24 7 2" xfId="29060"/>
    <cellStyle name="CALC Amount Total 24 7 2 2" xfId="41223"/>
    <cellStyle name="CALC Amount Total 24 7 3" xfId="36152"/>
    <cellStyle name="CALC Amount Total 24 7 4" xfId="41224"/>
    <cellStyle name="CALC Amount Total 24 8" xfId="15548"/>
    <cellStyle name="CALC Amount Total 24 8 2" xfId="23881"/>
    <cellStyle name="CALC Amount Total 24 8 2 2" xfId="41225"/>
    <cellStyle name="CALC Amount Total 24 8 3" xfId="31225"/>
    <cellStyle name="CALC Amount Total 24 8 4" xfId="41226"/>
    <cellStyle name="CALC Amount Total 24 9" xfId="22175"/>
    <cellStyle name="CALC Amount Total 24 9 2" xfId="30473"/>
    <cellStyle name="CALC Amount Total 24 9 2 2" xfId="41227"/>
    <cellStyle name="CALC Amount Total 24 9 3" xfId="37504"/>
    <cellStyle name="CALC Amount Total 24 9 4" xfId="41228"/>
    <cellStyle name="CALC Amount Total 25" xfId="14807"/>
    <cellStyle name="CALC Amount Total 25 10" xfId="23171"/>
    <cellStyle name="CALC Amount Total 25 10 2" xfId="41229"/>
    <cellStyle name="CALC Amount Total 25 11" xfId="41230"/>
    <cellStyle name="CALC Amount Total 25 12" xfId="41231"/>
    <cellStyle name="CALC Amount Total 25 2" xfId="15888"/>
    <cellStyle name="CALC Amount Total 25 2 2" xfId="24206"/>
    <cellStyle name="CALC Amount Total 25 2 2 2" xfId="41232"/>
    <cellStyle name="CALC Amount Total 25 2 3" xfId="31492"/>
    <cellStyle name="CALC Amount Total 25 2 4" xfId="41233"/>
    <cellStyle name="CALC Amount Total 25 3" xfId="16854"/>
    <cellStyle name="CALC Amount Total 25 3 2" xfId="25178"/>
    <cellStyle name="CALC Amount Total 25 3 2 2" xfId="41234"/>
    <cellStyle name="CALC Amount Total 25 3 3" xfId="32425"/>
    <cellStyle name="CALC Amount Total 25 3 4" xfId="41235"/>
    <cellStyle name="CALC Amount Total 25 4" xfId="17881"/>
    <cellStyle name="CALC Amount Total 25 4 2" xfId="26204"/>
    <cellStyle name="CALC Amount Total 25 4 2 2" xfId="41236"/>
    <cellStyle name="CALC Amount Total 25 4 3" xfId="33402"/>
    <cellStyle name="CALC Amount Total 25 4 4" xfId="41237"/>
    <cellStyle name="CALC Amount Total 25 5" xfId="18865"/>
    <cellStyle name="CALC Amount Total 25 5 2" xfId="27185"/>
    <cellStyle name="CALC Amount Total 25 5 2 2" xfId="41238"/>
    <cellStyle name="CALC Amount Total 25 5 3" xfId="34342"/>
    <cellStyle name="CALC Amount Total 25 5 4" xfId="41239"/>
    <cellStyle name="CALC Amount Total 25 6" xfId="19833"/>
    <cellStyle name="CALC Amount Total 25 6 2" xfId="28155"/>
    <cellStyle name="CALC Amount Total 25 6 2 2" xfId="41240"/>
    <cellStyle name="CALC Amount Total 25 6 3" xfId="35289"/>
    <cellStyle name="CALC Amount Total 25 6 4" xfId="41241"/>
    <cellStyle name="CALC Amount Total 25 7" xfId="20791"/>
    <cellStyle name="CALC Amount Total 25 7 2" xfId="29111"/>
    <cellStyle name="CALC Amount Total 25 7 2 2" xfId="41242"/>
    <cellStyle name="CALC Amount Total 25 7 3" xfId="36200"/>
    <cellStyle name="CALC Amount Total 25 7 4" xfId="41243"/>
    <cellStyle name="CALC Amount Total 25 8" xfId="15560"/>
    <cellStyle name="CALC Amount Total 25 8 2" xfId="23887"/>
    <cellStyle name="CALC Amount Total 25 8 2 2" xfId="41244"/>
    <cellStyle name="CALC Amount Total 25 8 3" xfId="31231"/>
    <cellStyle name="CALC Amount Total 25 8 4" xfId="41245"/>
    <cellStyle name="CALC Amount Total 25 9" xfId="22226"/>
    <cellStyle name="CALC Amount Total 25 9 2" xfId="30525"/>
    <cellStyle name="CALC Amount Total 25 9 2 2" xfId="41246"/>
    <cellStyle name="CALC Amount Total 25 9 3" xfId="37553"/>
    <cellStyle name="CALC Amount Total 25 9 4" xfId="41247"/>
    <cellStyle name="CALC Amount Total 26" xfId="14712"/>
    <cellStyle name="CALC Amount Total 26 10" xfId="23074"/>
    <cellStyle name="CALC Amount Total 26 10 2" xfId="41248"/>
    <cellStyle name="CALC Amount Total 26 11" xfId="41249"/>
    <cellStyle name="CALC Amount Total 26 12" xfId="41250"/>
    <cellStyle name="CALC Amount Total 26 2" xfId="15793"/>
    <cellStyle name="CALC Amount Total 26 2 2" xfId="24109"/>
    <cellStyle name="CALC Amount Total 26 2 2 2" xfId="41251"/>
    <cellStyle name="CALC Amount Total 26 2 3" xfId="31397"/>
    <cellStyle name="CALC Amount Total 26 2 4" xfId="41252"/>
    <cellStyle name="CALC Amount Total 26 3" xfId="16759"/>
    <cellStyle name="CALC Amount Total 26 3 2" xfId="25081"/>
    <cellStyle name="CALC Amount Total 26 3 2 2" xfId="41253"/>
    <cellStyle name="CALC Amount Total 26 3 3" xfId="32330"/>
    <cellStyle name="CALC Amount Total 26 3 4" xfId="41254"/>
    <cellStyle name="CALC Amount Total 26 4" xfId="17783"/>
    <cellStyle name="CALC Amount Total 26 4 2" xfId="26107"/>
    <cellStyle name="CALC Amount Total 26 4 2 2" xfId="41255"/>
    <cellStyle name="CALC Amount Total 26 4 3" xfId="33307"/>
    <cellStyle name="CALC Amount Total 26 4 4" xfId="41256"/>
    <cellStyle name="CALC Amount Total 26 5" xfId="18767"/>
    <cellStyle name="CALC Amount Total 26 5 2" xfId="27088"/>
    <cellStyle name="CALC Amount Total 26 5 2 2" xfId="41257"/>
    <cellStyle name="CALC Amount Total 26 5 3" xfId="34247"/>
    <cellStyle name="CALC Amount Total 26 5 4" xfId="41258"/>
    <cellStyle name="CALC Amount Total 26 6" xfId="19736"/>
    <cellStyle name="CALC Amount Total 26 6 2" xfId="28057"/>
    <cellStyle name="CALC Amount Total 26 6 2 2" xfId="41259"/>
    <cellStyle name="CALC Amount Total 26 6 3" xfId="35193"/>
    <cellStyle name="CALC Amount Total 26 6 4" xfId="41260"/>
    <cellStyle name="CALC Amount Total 26 7" xfId="20693"/>
    <cellStyle name="CALC Amount Total 26 7 2" xfId="29014"/>
    <cellStyle name="CALC Amount Total 26 7 2 2" xfId="41261"/>
    <cellStyle name="CALC Amount Total 26 7 3" xfId="36107"/>
    <cellStyle name="CALC Amount Total 26 7 4" xfId="41262"/>
    <cellStyle name="CALC Amount Total 26 8" xfId="21352"/>
    <cellStyle name="CALC Amount Total 26 8 2" xfId="29655"/>
    <cellStyle name="CALC Amount Total 26 8 2 2" xfId="41263"/>
    <cellStyle name="CALC Amount Total 26 8 3" xfId="36720"/>
    <cellStyle name="CALC Amount Total 26 8 4" xfId="41264"/>
    <cellStyle name="CALC Amount Total 26 9" xfId="22129"/>
    <cellStyle name="CALC Amount Total 26 9 2" xfId="30427"/>
    <cellStyle name="CALC Amount Total 26 9 2 2" xfId="41265"/>
    <cellStyle name="CALC Amount Total 26 9 3" xfId="37458"/>
    <cellStyle name="CALC Amount Total 26 9 4" xfId="41266"/>
    <cellStyle name="CALC Amount Total 27" xfId="14784"/>
    <cellStyle name="CALC Amount Total 27 10" xfId="23149"/>
    <cellStyle name="CALC Amount Total 27 10 2" xfId="41267"/>
    <cellStyle name="CALC Amount Total 27 11" xfId="41268"/>
    <cellStyle name="CALC Amount Total 27 12" xfId="41269"/>
    <cellStyle name="CALC Amount Total 27 2" xfId="15865"/>
    <cellStyle name="CALC Amount Total 27 2 2" xfId="24184"/>
    <cellStyle name="CALC Amount Total 27 2 2 2" xfId="41270"/>
    <cellStyle name="CALC Amount Total 27 2 3" xfId="31471"/>
    <cellStyle name="CALC Amount Total 27 2 4" xfId="41271"/>
    <cellStyle name="CALC Amount Total 27 3" xfId="16831"/>
    <cellStyle name="CALC Amount Total 27 3 2" xfId="25156"/>
    <cellStyle name="CALC Amount Total 27 3 2 2" xfId="41272"/>
    <cellStyle name="CALC Amount Total 27 3 3" xfId="32404"/>
    <cellStyle name="CALC Amount Total 27 3 4" xfId="41273"/>
    <cellStyle name="CALC Amount Total 27 4" xfId="17858"/>
    <cellStyle name="CALC Amount Total 27 4 2" xfId="26182"/>
    <cellStyle name="CALC Amount Total 27 4 2 2" xfId="41274"/>
    <cellStyle name="CALC Amount Total 27 4 3" xfId="33381"/>
    <cellStyle name="CALC Amount Total 27 4 4" xfId="41275"/>
    <cellStyle name="CALC Amount Total 27 5" xfId="18842"/>
    <cellStyle name="CALC Amount Total 27 5 2" xfId="27163"/>
    <cellStyle name="CALC Amount Total 27 5 2 2" xfId="41276"/>
    <cellStyle name="CALC Amount Total 27 5 3" xfId="34321"/>
    <cellStyle name="CALC Amount Total 27 5 4" xfId="41277"/>
    <cellStyle name="CALC Amount Total 27 6" xfId="19810"/>
    <cellStyle name="CALC Amount Total 27 6 2" xfId="28132"/>
    <cellStyle name="CALC Amount Total 27 6 2 2" xfId="41278"/>
    <cellStyle name="CALC Amount Total 27 6 3" xfId="35267"/>
    <cellStyle name="CALC Amount Total 27 6 4" xfId="41279"/>
    <cellStyle name="CALC Amount Total 27 7" xfId="20768"/>
    <cellStyle name="CALC Amount Total 27 7 2" xfId="29089"/>
    <cellStyle name="CALC Amount Total 27 7 2 2" xfId="41280"/>
    <cellStyle name="CALC Amount Total 27 7 3" xfId="36180"/>
    <cellStyle name="CALC Amount Total 27 7 4" xfId="41281"/>
    <cellStyle name="CALC Amount Total 27 8" xfId="21093"/>
    <cellStyle name="CALC Amount Total 27 8 2" xfId="29410"/>
    <cellStyle name="CALC Amount Total 27 8 2 2" xfId="41282"/>
    <cellStyle name="CALC Amount Total 27 8 3" xfId="36485"/>
    <cellStyle name="CALC Amount Total 27 8 4" xfId="41283"/>
    <cellStyle name="CALC Amount Total 27 9" xfId="22204"/>
    <cellStyle name="CALC Amount Total 27 9 2" xfId="30502"/>
    <cellStyle name="CALC Amount Total 27 9 2 2" xfId="41284"/>
    <cellStyle name="CALC Amount Total 27 9 3" xfId="37532"/>
    <cellStyle name="CALC Amount Total 27 9 4" xfId="41285"/>
    <cellStyle name="CALC Amount Total 28" xfId="14810"/>
    <cellStyle name="CALC Amount Total 28 10" xfId="23174"/>
    <cellStyle name="CALC Amount Total 28 10 2" xfId="41286"/>
    <cellStyle name="CALC Amount Total 28 11" xfId="41287"/>
    <cellStyle name="CALC Amount Total 28 12" xfId="41288"/>
    <cellStyle name="CALC Amount Total 28 2" xfId="15891"/>
    <cellStyle name="CALC Amount Total 28 2 2" xfId="24209"/>
    <cellStyle name="CALC Amount Total 28 2 2 2" xfId="41289"/>
    <cellStyle name="CALC Amount Total 28 2 3" xfId="31495"/>
    <cellStyle name="CALC Amount Total 28 2 4" xfId="41290"/>
    <cellStyle name="CALC Amount Total 28 3" xfId="16857"/>
    <cellStyle name="CALC Amount Total 28 3 2" xfId="25181"/>
    <cellStyle name="CALC Amount Total 28 3 2 2" xfId="41291"/>
    <cellStyle name="CALC Amount Total 28 3 3" xfId="32428"/>
    <cellStyle name="CALC Amount Total 28 3 4" xfId="41292"/>
    <cellStyle name="CALC Amount Total 28 4" xfId="17884"/>
    <cellStyle name="CALC Amount Total 28 4 2" xfId="26207"/>
    <cellStyle name="CALC Amount Total 28 4 2 2" xfId="41293"/>
    <cellStyle name="CALC Amount Total 28 4 3" xfId="33405"/>
    <cellStyle name="CALC Amount Total 28 4 4" xfId="41294"/>
    <cellStyle name="CALC Amount Total 28 5" xfId="18868"/>
    <cellStyle name="CALC Amount Total 28 5 2" xfId="27188"/>
    <cellStyle name="CALC Amount Total 28 5 2 2" xfId="41295"/>
    <cellStyle name="CALC Amount Total 28 5 3" xfId="34345"/>
    <cellStyle name="CALC Amount Total 28 5 4" xfId="41296"/>
    <cellStyle name="CALC Amount Total 28 6" xfId="19836"/>
    <cellStyle name="CALC Amount Total 28 6 2" xfId="28158"/>
    <cellStyle name="CALC Amount Total 28 6 2 2" xfId="41297"/>
    <cellStyle name="CALC Amount Total 28 6 3" xfId="35292"/>
    <cellStyle name="CALC Amount Total 28 6 4" xfId="41298"/>
    <cellStyle name="CALC Amount Total 28 7" xfId="20794"/>
    <cellStyle name="CALC Amount Total 28 7 2" xfId="29114"/>
    <cellStyle name="CALC Amount Total 28 7 2 2" xfId="41299"/>
    <cellStyle name="CALC Amount Total 28 7 3" xfId="36203"/>
    <cellStyle name="CALC Amount Total 28 7 4" xfId="41300"/>
    <cellStyle name="CALC Amount Total 28 8" xfId="21338"/>
    <cellStyle name="CALC Amount Total 28 8 2" xfId="29642"/>
    <cellStyle name="CALC Amount Total 28 8 2 2" xfId="41301"/>
    <cellStyle name="CALC Amount Total 28 8 3" xfId="36708"/>
    <cellStyle name="CALC Amount Total 28 8 4" xfId="41302"/>
    <cellStyle name="CALC Amount Total 28 9" xfId="22229"/>
    <cellStyle name="CALC Amount Total 28 9 2" xfId="30528"/>
    <cellStyle name="CALC Amount Total 28 9 2 2" xfId="41303"/>
    <cellStyle name="CALC Amount Total 28 9 3" xfId="37556"/>
    <cellStyle name="CALC Amount Total 28 9 4" xfId="41304"/>
    <cellStyle name="CALC Amount Total 29" xfId="14766"/>
    <cellStyle name="CALC Amount Total 29 10" xfId="23130"/>
    <cellStyle name="CALC Amount Total 29 10 2" xfId="41305"/>
    <cellStyle name="CALC Amount Total 29 11" xfId="41306"/>
    <cellStyle name="CALC Amount Total 29 12" xfId="41307"/>
    <cellStyle name="CALC Amount Total 29 2" xfId="15847"/>
    <cellStyle name="CALC Amount Total 29 2 2" xfId="24165"/>
    <cellStyle name="CALC Amount Total 29 2 2 2" xfId="41308"/>
    <cellStyle name="CALC Amount Total 29 2 3" xfId="31453"/>
    <cellStyle name="CALC Amount Total 29 2 4" xfId="41309"/>
    <cellStyle name="CALC Amount Total 29 3" xfId="16813"/>
    <cellStyle name="CALC Amount Total 29 3 2" xfId="25137"/>
    <cellStyle name="CALC Amount Total 29 3 2 2" xfId="41310"/>
    <cellStyle name="CALC Amount Total 29 3 3" xfId="32386"/>
    <cellStyle name="CALC Amount Total 29 3 4" xfId="41311"/>
    <cellStyle name="CALC Amount Total 29 4" xfId="17839"/>
    <cellStyle name="CALC Amount Total 29 4 2" xfId="26163"/>
    <cellStyle name="CALC Amount Total 29 4 2 2" xfId="41312"/>
    <cellStyle name="CALC Amount Total 29 4 3" xfId="33363"/>
    <cellStyle name="CALC Amount Total 29 4 4" xfId="41313"/>
    <cellStyle name="CALC Amount Total 29 5" xfId="18823"/>
    <cellStyle name="CALC Amount Total 29 5 2" xfId="27144"/>
    <cellStyle name="CALC Amount Total 29 5 2 2" xfId="41314"/>
    <cellStyle name="CALC Amount Total 29 5 3" xfId="34303"/>
    <cellStyle name="CALC Amount Total 29 5 4" xfId="41315"/>
    <cellStyle name="CALC Amount Total 29 6" xfId="19791"/>
    <cellStyle name="CALC Amount Total 29 6 2" xfId="28113"/>
    <cellStyle name="CALC Amount Total 29 6 2 2" xfId="41316"/>
    <cellStyle name="CALC Amount Total 29 6 3" xfId="35249"/>
    <cellStyle name="CALC Amount Total 29 6 4" xfId="41317"/>
    <cellStyle name="CALC Amount Total 29 7" xfId="20749"/>
    <cellStyle name="CALC Amount Total 29 7 2" xfId="29070"/>
    <cellStyle name="CALC Amount Total 29 7 2 2" xfId="41318"/>
    <cellStyle name="CALC Amount Total 29 7 3" xfId="36162"/>
    <cellStyle name="CALC Amount Total 29 7 4" xfId="41319"/>
    <cellStyle name="CALC Amount Total 29 8" xfId="21278"/>
    <cellStyle name="CALC Amount Total 29 8 2" xfId="29586"/>
    <cellStyle name="CALC Amount Total 29 8 2 2" xfId="41320"/>
    <cellStyle name="CALC Amount Total 29 8 3" xfId="36653"/>
    <cellStyle name="CALC Amount Total 29 8 4" xfId="41321"/>
    <cellStyle name="CALC Amount Total 29 9" xfId="22185"/>
    <cellStyle name="CALC Amount Total 29 9 2" xfId="30483"/>
    <cellStyle name="CALC Amount Total 29 9 2 2" xfId="41322"/>
    <cellStyle name="CALC Amount Total 29 9 3" xfId="37514"/>
    <cellStyle name="CALC Amount Total 29 9 4" xfId="41323"/>
    <cellStyle name="CALC Amount Total 3" xfId="14529"/>
    <cellStyle name="CALC Amount Total 3 2" xfId="15605"/>
    <cellStyle name="CALC Amount Total 3 2 2" xfId="23919"/>
    <cellStyle name="CALC Amount Total 3 2 2 2" xfId="41324"/>
    <cellStyle name="CALC Amount Total 3 2 3" xfId="41325"/>
    <cellStyle name="CALC Amount Total 3 2 4" xfId="41326"/>
    <cellStyle name="CALC Amount Total 3 3" xfId="16574"/>
    <cellStyle name="CALC Amount Total 3 3 2" xfId="24890"/>
    <cellStyle name="CALC Amount Total 3 3 2 2" xfId="41327"/>
    <cellStyle name="CALC Amount Total 3 3 3" xfId="32150"/>
    <cellStyle name="CALC Amount Total 3 3 4" xfId="41328"/>
    <cellStyle name="CALC Amount Total 3 4" xfId="17592"/>
    <cellStyle name="CALC Amount Total 3 4 2" xfId="25914"/>
    <cellStyle name="CALC Amount Total 3 4 2 2" xfId="41329"/>
    <cellStyle name="CALC Amount Total 3 4 3" xfId="33127"/>
    <cellStyle name="CALC Amount Total 3 4 4" xfId="41330"/>
    <cellStyle name="CALC Amount Total 3 5" xfId="18573"/>
    <cellStyle name="CALC Amount Total 3 5 2" xfId="26892"/>
    <cellStyle name="CALC Amount Total 3 5 2 2" xfId="41331"/>
    <cellStyle name="CALC Amount Total 3 5 3" xfId="34061"/>
    <cellStyle name="CALC Amount Total 3 5 4" xfId="41332"/>
    <cellStyle name="CALC Amount Total 3 6" xfId="17546"/>
    <cellStyle name="CALC Amount Total 3 6 2" xfId="25865"/>
    <cellStyle name="CALC Amount Total 3 6 2 2" xfId="41333"/>
    <cellStyle name="CALC Amount Total 3 6 3" xfId="33082"/>
    <cellStyle name="CALC Amount Total 3 6 4" xfId="41334"/>
    <cellStyle name="CALC Amount Total 3 7" xfId="19469"/>
    <cellStyle name="CALC Amount Total 3 7 2" xfId="27790"/>
    <cellStyle name="CALC Amount Total 3 7 2 2" xfId="41335"/>
    <cellStyle name="CALC Amount Total 3 7 3" xfId="34938"/>
    <cellStyle name="CALC Amount Total 3 7 4" xfId="41336"/>
    <cellStyle name="CALC Amount Total 3 8" xfId="14423"/>
    <cellStyle name="CALC Amount Total 3 8 2" xfId="41337"/>
    <cellStyle name="CALC Amount Total 30" xfId="14817"/>
    <cellStyle name="CALC Amount Total 30 10" xfId="23181"/>
    <cellStyle name="CALC Amount Total 30 10 2" xfId="41338"/>
    <cellStyle name="CALC Amount Total 30 11" xfId="41339"/>
    <cellStyle name="CALC Amount Total 30 12" xfId="41340"/>
    <cellStyle name="CALC Amount Total 30 2" xfId="15898"/>
    <cellStyle name="CALC Amount Total 30 2 2" xfId="24216"/>
    <cellStyle name="CALC Amount Total 30 2 2 2" xfId="41341"/>
    <cellStyle name="CALC Amount Total 30 2 3" xfId="31502"/>
    <cellStyle name="CALC Amount Total 30 2 4" xfId="41342"/>
    <cellStyle name="CALC Amount Total 30 3" xfId="16864"/>
    <cellStyle name="CALC Amount Total 30 3 2" xfId="25188"/>
    <cellStyle name="CALC Amount Total 30 3 2 2" xfId="41343"/>
    <cellStyle name="CALC Amount Total 30 3 3" xfId="32435"/>
    <cellStyle name="CALC Amount Total 30 3 4" xfId="41344"/>
    <cellStyle name="CALC Amount Total 30 4" xfId="17891"/>
    <cellStyle name="CALC Amount Total 30 4 2" xfId="26214"/>
    <cellStyle name="CALC Amount Total 30 4 2 2" xfId="41345"/>
    <cellStyle name="CALC Amount Total 30 4 3" xfId="33412"/>
    <cellStyle name="CALC Amount Total 30 4 4" xfId="41346"/>
    <cellStyle name="CALC Amount Total 30 5" xfId="18875"/>
    <cellStyle name="CALC Amount Total 30 5 2" xfId="27195"/>
    <cellStyle name="CALC Amount Total 30 5 2 2" xfId="41347"/>
    <cellStyle name="CALC Amount Total 30 5 3" xfId="34352"/>
    <cellStyle name="CALC Amount Total 30 5 4" xfId="41348"/>
    <cellStyle name="CALC Amount Total 30 6" xfId="19843"/>
    <cellStyle name="CALC Amount Total 30 6 2" xfId="28165"/>
    <cellStyle name="CALC Amount Total 30 6 2 2" xfId="41349"/>
    <cellStyle name="CALC Amount Total 30 6 3" xfId="35299"/>
    <cellStyle name="CALC Amount Total 30 6 4" xfId="41350"/>
    <cellStyle name="CALC Amount Total 30 7" xfId="20801"/>
    <cellStyle name="CALC Amount Total 30 7 2" xfId="29121"/>
    <cellStyle name="CALC Amount Total 30 7 2 2" xfId="41351"/>
    <cellStyle name="CALC Amount Total 30 7 3" xfId="36210"/>
    <cellStyle name="CALC Amount Total 30 7 4" xfId="41352"/>
    <cellStyle name="CALC Amount Total 30 8" xfId="21202"/>
    <cellStyle name="CALC Amount Total 30 8 2" xfId="29514"/>
    <cellStyle name="CALC Amount Total 30 8 2 2" xfId="41353"/>
    <cellStyle name="CALC Amount Total 30 8 3" xfId="36584"/>
    <cellStyle name="CALC Amount Total 30 8 4" xfId="41354"/>
    <cellStyle name="CALC Amount Total 30 9" xfId="22236"/>
    <cellStyle name="CALC Amount Total 30 9 2" xfId="30535"/>
    <cellStyle name="CALC Amount Total 30 9 2 2" xfId="41355"/>
    <cellStyle name="CALC Amount Total 30 9 3" xfId="37563"/>
    <cellStyle name="CALC Amount Total 30 9 4" xfId="41356"/>
    <cellStyle name="CALC Amount Total 31" xfId="14776"/>
    <cellStyle name="CALC Amount Total 31 10" xfId="23140"/>
    <cellStyle name="CALC Amount Total 31 10 2" xfId="41357"/>
    <cellStyle name="CALC Amount Total 31 11" xfId="41358"/>
    <cellStyle name="CALC Amount Total 31 12" xfId="41359"/>
    <cellStyle name="CALC Amount Total 31 2" xfId="15857"/>
    <cellStyle name="CALC Amount Total 31 2 2" xfId="24175"/>
    <cellStyle name="CALC Amount Total 31 2 2 2" xfId="41360"/>
    <cellStyle name="CALC Amount Total 31 2 3" xfId="31463"/>
    <cellStyle name="CALC Amount Total 31 2 4" xfId="41361"/>
    <cellStyle name="CALC Amount Total 31 3" xfId="16823"/>
    <cellStyle name="CALC Amount Total 31 3 2" xfId="25147"/>
    <cellStyle name="CALC Amount Total 31 3 2 2" xfId="41362"/>
    <cellStyle name="CALC Amount Total 31 3 3" xfId="32396"/>
    <cellStyle name="CALC Amount Total 31 3 4" xfId="41363"/>
    <cellStyle name="CALC Amount Total 31 4" xfId="17849"/>
    <cellStyle name="CALC Amount Total 31 4 2" xfId="26173"/>
    <cellStyle name="CALC Amount Total 31 4 2 2" xfId="41364"/>
    <cellStyle name="CALC Amount Total 31 4 3" xfId="33373"/>
    <cellStyle name="CALC Amount Total 31 4 4" xfId="41365"/>
    <cellStyle name="CALC Amount Total 31 5" xfId="18833"/>
    <cellStyle name="CALC Amount Total 31 5 2" xfId="27154"/>
    <cellStyle name="CALC Amount Total 31 5 2 2" xfId="41366"/>
    <cellStyle name="CALC Amount Total 31 5 3" xfId="34313"/>
    <cellStyle name="CALC Amount Total 31 5 4" xfId="41367"/>
    <cellStyle name="CALC Amount Total 31 6" xfId="19801"/>
    <cellStyle name="CALC Amount Total 31 6 2" xfId="28123"/>
    <cellStyle name="CALC Amount Total 31 6 2 2" xfId="41368"/>
    <cellStyle name="CALC Amount Total 31 6 3" xfId="35259"/>
    <cellStyle name="CALC Amount Total 31 6 4" xfId="41369"/>
    <cellStyle name="CALC Amount Total 31 7" xfId="20759"/>
    <cellStyle name="CALC Amount Total 31 7 2" xfId="29080"/>
    <cellStyle name="CALC Amount Total 31 7 2 2" xfId="41370"/>
    <cellStyle name="CALC Amount Total 31 7 3" xfId="36172"/>
    <cellStyle name="CALC Amount Total 31 7 4" xfId="41371"/>
    <cellStyle name="CALC Amount Total 31 8" xfId="21194"/>
    <cellStyle name="CALC Amount Total 31 8 2" xfId="29506"/>
    <cellStyle name="CALC Amount Total 31 8 2 2" xfId="41372"/>
    <cellStyle name="CALC Amount Total 31 8 3" xfId="36577"/>
    <cellStyle name="CALC Amount Total 31 8 4" xfId="41373"/>
    <cellStyle name="CALC Amount Total 31 9" xfId="22195"/>
    <cellStyle name="CALC Amount Total 31 9 2" xfId="30493"/>
    <cellStyle name="CALC Amount Total 31 9 2 2" xfId="41374"/>
    <cellStyle name="CALC Amount Total 31 9 3" xfId="37524"/>
    <cellStyle name="CALC Amount Total 31 9 4" xfId="41375"/>
    <cellStyle name="CALC Amount Total 32" xfId="14841"/>
    <cellStyle name="CALC Amount Total 32 10" xfId="23204"/>
    <cellStyle name="CALC Amount Total 32 10 2" xfId="41376"/>
    <cellStyle name="CALC Amount Total 32 11" xfId="41377"/>
    <cellStyle name="CALC Amount Total 32 12" xfId="41378"/>
    <cellStyle name="CALC Amount Total 32 2" xfId="15922"/>
    <cellStyle name="CALC Amount Total 32 2 2" xfId="24239"/>
    <cellStyle name="CALC Amount Total 32 2 2 2" xfId="41379"/>
    <cellStyle name="CALC Amount Total 32 2 3" xfId="31523"/>
    <cellStyle name="CALC Amount Total 32 2 4" xfId="41380"/>
    <cellStyle name="CALC Amount Total 32 3" xfId="16888"/>
    <cellStyle name="CALC Amount Total 32 3 2" xfId="25211"/>
    <cellStyle name="CALC Amount Total 32 3 2 2" xfId="41381"/>
    <cellStyle name="CALC Amount Total 32 3 3" xfId="32456"/>
    <cellStyle name="CALC Amount Total 32 3 4" xfId="41382"/>
    <cellStyle name="CALC Amount Total 32 4" xfId="17915"/>
    <cellStyle name="CALC Amount Total 32 4 2" xfId="26237"/>
    <cellStyle name="CALC Amount Total 32 4 2 2" xfId="41383"/>
    <cellStyle name="CALC Amount Total 32 4 3" xfId="33433"/>
    <cellStyle name="CALC Amount Total 32 4 4" xfId="41384"/>
    <cellStyle name="CALC Amount Total 32 5" xfId="18899"/>
    <cellStyle name="CALC Amount Total 32 5 2" xfId="27219"/>
    <cellStyle name="CALC Amount Total 32 5 2 2" xfId="41385"/>
    <cellStyle name="CALC Amount Total 32 5 3" xfId="34374"/>
    <cellStyle name="CALC Amount Total 32 5 4" xfId="41386"/>
    <cellStyle name="CALC Amount Total 32 6" xfId="19867"/>
    <cellStyle name="CALC Amount Total 32 6 2" xfId="28189"/>
    <cellStyle name="CALC Amount Total 32 6 2 2" xfId="41387"/>
    <cellStyle name="CALC Amount Total 32 6 3" xfId="35321"/>
    <cellStyle name="CALC Amount Total 32 6 4" xfId="41388"/>
    <cellStyle name="CALC Amount Total 32 7" xfId="20825"/>
    <cellStyle name="CALC Amount Total 32 7 2" xfId="29144"/>
    <cellStyle name="CALC Amount Total 32 7 2 2" xfId="41389"/>
    <cellStyle name="CALC Amount Total 32 7 3" xfId="36231"/>
    <cellStyle name="CALC Amount Total 32 7 4" xfId="41390"/>
    <cellStyle name="CALC Amount Total 32 8" xfId="21215"/>
    <cellStyle name="CALC Amount Total 32 8 2" xfId="29526"/>
    <cellStyle name="CALC Amount Total 32 8 2 2" xfId="41391"/>
    <cellStyle name="CALC Amount Total 32 8 3" xfId="36595"/>
    <cellStyle name="CALC Amount Total 32 8 4" xfId="41392"/>
    <cellStyle name="CALC Amount Total 32 9" xfId="22260"/>
    <cellStyle name="CALC Amount Total 32 9 2" xfId="30558"/>
    <cellStyle name="CALC Amount Total 32 9 2 2" xfId="41393"/>
    <cellStyle name="CALC Amount Total 32 9 3" xfId="37584"/>
    <cellStyle name="CALC Amount Total 32 9 4" xfId="41394"/>
    <cellStyle name="CALC Amount Total 33" xfId="14859"/>
    <cellStyle name="CALC Amount Total 33 10" xfId="23222"/>
    <cellStyle name="CALC Amount Total 33 10 2" xfId="41395"/>
    <cellStyle name="CALC Amount Total 33 11" xfId="41396"/>
    <cellStyle name="CALC Amount Total 33 12" xfId="41397"/>
    <cellStyle name="CALC Amount Total 33 2" xfId="15940"/>
    <cellStyle name="CALC Amount Total 33 2 2" xfId="24257"/>
    <cellStyle name="CALC Amount Total 33 2 2 2" xfId="41398"/>
    <cellStyle name="CALC Amount Total 33 2 3" xfId="31541"/>
    <cellStyle name="CALC Amount Total 33 2 4" xfId="41399"/>
    <cellStyle name="CALC Amount Total 33 3" xfId="16906"/>
    <cellStyle name="CALC Amount Total 33 3 2" xfId="25229"/>
    <cellStyle name="CALC Amount Total 33 3 2 2" xfId="41400"/>
    <cellStyle name="CALC Amount Total 33 3 3" xfId="32474"/>
    <cellStyle name="CALC Amount Total 33 3 4" xfId="41401"/>
    <cellStyle name="CALC Amount Total 33 4" xfId="17933"/>
    <cellStyle name="CALC Amount Total 33 4 2" xfId="26255"/>
    <cellStyle name="CALC Amount Total 33 4 2 2" xfId="41402"/>
    <cellStyle name="CALC Amount Total 33 4 3" xfId="33451"/>
    <cellStyle name="CALC Amount Total 33 4 4" xfId="41403"/>
    <cellStyle name="CALC Amount Total 33 5" xfId="18917"/>
    <cellStyle name="CALC Amount Total 33 5 2" xfId="27237"/>
    <cellStyle name="CALC Amount Total 33 5 2 2" xfId="41404"/>
    <cellStyle name="CALC Amount Total 33 5 3" xfId="34392"/>
    <cellStyle name="CALC Amount Total 33 5 4" xfId="41405"/>
    <cellStyle name="CALC Amount Total 33 6" xfId="19885"/>
    <cellStyle name="CALC Amount Total 33 6 2" xfId="28207"/>
    <cellStyle name="CALC Amount Total 33 6 2 2" xfId="41406"/>
    <cellStyle name="CALC Amount Total 33 6 3" xfId="35339"/>
    <cellStyle name="CALC Amount Total 33 6 4" xfId="41407"/>
    <cellStyle name="CALC Amount Total 33 7" xfId="20843"/>
    <cellStyle name="CALC Amount Total 33 7 2" xfId="29162"/>
    <cellStyle name="CALC Amount Total 33 7 2 2" xfId="41408"/>
    <cellStyle name="CALC Amount Total 33 7 3" xfId="36249"/>
    <cellStyle name="CALC Amount Total 33 7 4" xfId="41409"/>
    <cellStyle name="CALC Amount Total 33 8" xfId="15569"/>
    <cellStyle name="CALC Amount Total 33 8 2" xfId="23895"/>
    <cellStyle name="CALC Amount Total 33 8 2 2" xfId="41410"/>
    <cellStyle name="CALC Amount Total 33 8 3" xfId="31239"/>
    <cellStyle name="CALC Amount Total 33 8 4" xfId="41411"/>
    <cellStyle name="CALC Amount Total 33 9" xfId="22278"/>
    <cellStyle name="CALC Amount Total 33 9 2" xfId="30576"/>
    <cellStyle name="CALC Amount Total 33 9 2 2" xfId="41412"/>
    <cellStyle name="CALC Amount Total 33 9 3" xfId="37602"/>
    <cellStyle name="CALC Amount Total 33 9 4" xfId="41413"/>
    <cellStyle name="CALC Amount Total 34" xfId="14855"/>
    <cellStyle name="CALC Amount Total 34 10" xfId="23218"/>
    <cellStyle name="CALC Amount Total 34 10 2" xfId="41414"/>
    <cellStyle name="CALC Amount Total 34 11" xfId="41415"/>
    <cellStyle name="CALC Amount Total 34 12" xfId="41416"/>
    <cellStyle name="CALC Amount Total 34 2" xfId="15936"/>
    <cellStyle name="CALC Amount Total 34 2 2" xfId="24253"/>
    <cellStyle name="CALC Amount Total 34 2 2 2" xfId="41417"/>
    <cellStyle name="CALC Amount Total 34 2 3" xfId="31537"/>
    <cellStyle name="CALC Amount Total 34 2 4" xfId="41418"/>
    <cellStyle name="CALC Amount Total 34 3" xfId="16902"/>
    <cellStyle name="CALC Amount Total 34 3 2" xfId="25225"/>
    <cellStyle name="CALC Amount Total 34 3 2 2" xfId="41419"/>
    <cellStyle name="CALC Amount Total 34 3 3" xfId="32470"/>
    <cellStyle name="CALC Amount Total 34 3 4" xfId="41420"/>
    <cellStyle name="CALC Amount Total 34 4" xfId="17929"/>
    <cellStyle name="CALC Amount Total 34 4 2" xfId="26251"/>
    <cellStyle name="CALC Amount Total 34 4 2 2" xfId="41421"/>
    <cellStyle name="CALC Amount Total 34 4 3" xfId="33447"/>
    <cellStyle name="CALC Amount Total 34 4 4" xfId="41422"/>
    <cellStyle name="CALC Amount Total 34 5" xfId="18913"/>
    <cellStyle name="CALC Amount Total 34 5 2" xfId="27233"/>
    <cellStyle name="CALC Amount Total 34 5 2 2" xfId="41423"/>
    <cellStyle name="CALC Amount Total 34 5 3" xfId="34388"/>
    <cellStyle name="CALC Amount Total 34 5 4" xfId="41424"/>
    <cellStyle name="CALC Amount Total 34 6" xfId="19881"/>
    <cellStyle name="CALC Amount Total 34 6 2" xfId="28203"/>
    <cellStyle name="CALC Amount Total 34 6 2 2" xfId="41425"/>
    <cellStyle name="CALC Amount Total 34 6 3" xfId="35335"/>
    <cellStyle name="CALC Amount Total 34 6 4" xfId="41426"/>
    <cellStyle name="CALC Amount Total 34 7" xfId="20839"/>
    <cellStyle name="CALC Amount Total 34 7 2" xfId="29158"/>
    <cellStyle name="CALC Amount Total 34 7 2 2" xfId="41427"/>
    <cellStyle name="CALC Amount Total 34 7 3" xfId="36245"/>
    <cellStyle name="CALC Amount Total 34 7 4" xfId="41428"/>
    <cellStyle name="CALC Amount Total 34 8" xfId="19980"/>
    <cellStyle name="CALC Amount Total 34 8 2" xfId="28302"/>
    <cellStyle name="CALC Amount Total 34 8 2 2" xfId="41429"/>
    <cellStyle name="CALC Amount Total 34 8 3" xfId="35430"/>
    <cellStyle name="CALC Amount Total 34 8 4" xfId="41430"/>
    <cellStyle name="CALC Amount Total 34 9" xfId="22274"/>
    <cellStyle name="CALC Amount Total 34 9 2" xfId="30572"/>
    <cellStyle name="CALC Amount Total 34 9 2 2" xfId="41431"/>
    <cellStyle name="CALC Amount Total 34 9 3" xfId="37598"/>
    <cellStyle name="CALC Amount Total 34 9 4" xfId="41432"/>
    <cellStyle name="CALC Amount Total 35" xfId="14761"/>
    <cellStyle name="CALC Amount Total 35 10" xfId="23125"/>
    <cellStyle name="CALC Amount Total 35 10 2" xfId="41433"/>
    <cellStyle name="CALC Amount Total 35 11" xfId="41434"/>
    <cellStyle name="CALC Amount Total 35 12" xfId="41435"/>
    <cellStyle name="CALC Amount Total 35 2" xfId="15842"/>
    <cellStyle name="CALC Amount Total 35 2 2" xfId="24160"/>
    <cellStyle name="CALC Amount Total 35 2 2 2" xfId="41436"/>
    <cellStyle name="CALC Amount Total 35 2 3" xfId="31448"/>
    <cellStyle name="CALC Amount Total 35 2 4" xfId="41437"/>
    <cellStyle name="CALC Amount Total 35 3" xfId="16808"/>
    <cellStyle name="CALC Amount Total 35 3 2" xfId="25132"/>
    <cellStyle name="CALC Amount Total 35 3 2 2" xfId="41438"/>
    <cellStyle name="CALC Amount Total 35 3 3" xfId="32381"/>
    <cellStyle name="CALC Amount Total 35 3 4" xfId="41439"/>
    <cellStyle name="CALC Amount Total 35 4" xfId="17834"/>
    <cellStyle name="CALC Amount Total 35 4 2" xfId="26158"/>
    <cellStyle name="CALC Amount Total 35 4 2 2" xfId="41440"/>
    <cellStyle name="CALC Amount Total 35 4 3" xfId="33358"/>
    <cellStyle name="CALC Amount Total 35 4 4" xfId="41441"/>
    <cellStyle name="CALC Amount Total 35 5" xfId="18818"/>
    <cellStyle name="CALC Amount Total 35 5 2" xfId="27139"/>
    <cellStyle name="CALC Amount Total 35 5 2 2" xfId="41442"/>
    <cellStyle name="CALC Amount Total 35 5 3" xfId="34298"/>
    <cellStyle name="CALC Amount Total 35 5 4" xfId="41443"/>
    <cellStyle name="CALC Amount Total 35 6" xfId="19786"/>
    <cellStyle name="CALC Amount Total 35 6 2" xfId="28108"/>
    <cellStyle name="CALC Amount Total 35 6 2 2" xfId="41444"/>
    <cellStyle name="CALC Amount Total 35 6 3" xfId="35244"/>
    <cellStyle name="CALC Amount Total 35 6 4" xfId="41445"/>
    <cellStyle name="CALC Amount Total 35 7" xfId="20744"/>
    <cellStyle name="CALC Amount Total 35 7 2" xfId="29065"/>
    <cellStyle name="CALC Amount Total 35 7 2 2" xfId="41446"/>
    <cellStyle name="CALC Amount Total 35 7 3" xfId="36157"/>
    <cellStyle name="CALC Amount Total 35 7 4" xfId="41447"/>
    <cellStyle name="CALC Amount Total 35 8" xfId="21269"/>
    <cellStyle name="CALC Amount Total 35 8 2" xfId="29577"/>
    <cellStyle name="CALC Amount Total 35 8 2 2" xfId="41448"/>
    <cellStyle name="CALC Amount Total 35 8 3" xfId="36644"/>
    <cellStyle name="CALC Amount Total 35 8 4" xfId="41449"/>
    <cellStyle name="CALC Amount Total 35 9" xfId="22180"/>
    <cellStyle name="CALC Amount Total 35 9 2" xfId="30478"/>
    <cellStyle name="CALC Amount Total 35 9 2 2" xfId="41450"/>
    <cellStyle name="CALC Amount Total 35 9 3" xfId="37509"/>
    <cellStyle name="CALC Amount Total 35 9 4" xfId="41451"/>
    <cellStyle name="CALC Amount Total 36" xfId="14703"/>
    <cellStyle name="CALC Amount Total 36 10" xfId="23065"/>
    <cellStyle name="CALC Amount Total 36 10 2" xfId="41452"/>
    <cellStyle name="CALC Amount Total 36 11" xfId="41453"/>
    <cellStyle name="CALC Amount Total 36 12" xfId="41454"/>
    <cellStyle name="CALC Amount Total 36 2" xfId="15784"/>
    <cellStyle name="CALC Amount Total 36 2 2" xfId="24100"/>
    <cellStyle name="CALC Amount Total 36 2 2 2" xfId="41455"/>
    <cellStyle name="CALC Amount Total 36 2 3" xfId="31389"/>
    <cellStyle name="CALC Amount Total 36 2 4" xfId="41456"/>
    <cellStyle name="CALC Amount Total 36 3" xfId="16750"/>
    <cellStyle name="CALC Amount Total 36 3 2" xfId="25072"/>
    <cellStyle name="CALC Amount Total 36 3 2 2" xfId="41457"/>
    <cellStyle name="CALC Amount Total 36 3 3" xfId="32322"/>
    <cellStyle name="CALC Amount Total 36 3 4" xfId="41458"/>
    <cellStyle name="CALC Amount Total 36 4" xfId="17774"/>
    <cellStyle name="CALC Amount Total 36 4 2" xfId="26098"/>
    <cellStyle name="CALC Amount Total 36 4 2 2" xfId="41459"/>
    <cellStyle name="CALC Amount Total 36 4 3" xfId="33299"/>
    <cellStyle name="CALC Amount Total 36 4 4" xfId="41460"/>
    <cellStyle name="CALC Amount Total 36 5" xfId="18758"/>
    <cellStyle name="CALC Amount Total 36 5 2" xfId="27079"/>
    <cellStyle name="CALC Amount Total 36 5 2 2" xfId="41461"/>
    <cellStyle name="CALC Amount Total 36 5 3" xfId="34239"/>
    <cellStyle name="CALC Amount Total 36 5 4" xfId="41462"/>
    <cellStyle name="CALC Amount Total 36 6" xfId="19727"/>
    <cellStyle name="CALC Amount Total 36 6 2" xfId="28048"/>
    <cellStyle name="CALC Amount Total 36 6 2 2" xfId="41463"/>
    <cellStyle name="CALC Amount Total 36 6 3" xfId="35185"/>
    <cellStyle name="CALC Amount Total 36 6 4" xfId="41464"/>
    <cellStyle name="CALC Amount Total 36 7" xfId="20684"/>
    <cellStyle name="CALC Amount Total 36 7 2" xfId="29005"/>
    <cellStyle name="CALC Amount Total 36 7 2 2" xfId="41465"/>
    <cellStyle name="CALC Amount Total 36 7 3" xfId="36099"/>
    <cellStyle name="CALC Amount Total 36 7 4" xfId="41466"/>
    <cellStyle name="CALC Amount Total 36 8" xfId="21129"/>
    <cellStyle name="CALC Amount Total 36 8 2" xfId="29443"/>
    <cellStyle name="CALC Amount Total 36 8 2 2" xfId="41467"/>
    <cellStyle name="CALC Amount Total 36 8 3" xfId="36516"/>
    <cellStyle name="CALC Amount Total 36 8 4" xfId="41468"/>
    <cellStyle name="CALC Amount Total 36 9" xfId="22120"/>
    <cellStyle name="CALC Amount Total 36 9 2" xfId="30418"/>
    <cellStyle name="CALC Amount Total 36 9 2 2" xfId="41469"/>
    <cellStyle name="CALC Amount Total 36 9 3" xfId="37450"/>
    <cellStyle name="CALC Amount Total 36 9 4" xfId="41470"/>
    <cellStyle name="CALC Amount Total 37" xfId="14854"/>
    <cellStyle name="CALC Amount Total 37 10" xfId="23217"/>
    <cellStyle name="CALC Amount Total 37 10 2" xfId="41471"/>
    <cellStyle name="CALC Amount Total 37 11" xfId="41472"/>
    <cellStyle name="CALC Amount Total 37 12" xfId="41473"/>
    <cellStyle name="CALC Amount Total 37 2" xfId="15935"/>
    <cellStyle name="CALC Amount Total 37 2 2" xfId="24252"/>
    <cellStyle name="CALC Amount Total 37 2 2 2" xfId="41474"/>
    <cellStyle name="CALC Amount Total 37 2 3" xfId="31536"/>
    <cellStyle name="CALC Amount Total 37 2 4" xfId="41475"/>
    <cellStyle name="CALC Amount Total 37 3" xfId="16901"/>
    <cellStyle name="CALC Amount Total 37 3 2" xfId="25224"/>
    <cellStyle name="CALC Amount Total 37 3 2 2" xfId="41476"/>
    <cellStyle name="CALC Amount Total 37 3 3" xfId="32469"/>
    <cellStyle name="CALC Amount Total 37 3 4" xfId="41477"/>
    <cellStyle name="CALC Amount Total 37 4" xfId="17928"/>
    <cellStyle name="CALC Amount Total 37 4 2" xfId="26250"/>
    <cellStyle name="CALC Amount Total 37 4 2 2" xfId="41478"/>
    <cellStyle name="CALC Amount Total 37 4 3" xfId="33446"/>
    <cellStyle name="CALC Amount Total 37 4 4" xfId="41479"/>
    <cellStyle name="CALC Amount Total 37 5" xfId="18912"/>
    <cellStyle name="CALC Amount Total 37 5 2" xfId="27232"/>
    <cellStyle name="CALC Amount Total 37 5 2 2" xfId="41480"/>
    <cellStyle name="CALC Amount Total 37 5 3" xfId="34387"/>
    <cellStyle name="CALC Amount Total 37 5 4" xfId="41481"/>
    <cellStyle name="CALC Amount Total 37 6" xfId="19880"/>
    <cellStyle name="CALC Amount Total 37 6 2" xfId="28202"/>
    <cellStyle name="CALC Amount Total 37 6 2 2" xfId="41482"/>
    <cellStyle name="CALC Amount Total 37 6 3" xfId="35334"/>
    <cellStyle name="CALC Amount Total 37 6 4" xfId="41483"/>
    <cellStyle name="CALC Amount Total 37 7" xfId="20838"/>
    <cellStyle name="CALC Amount Total 37 7 2" xfId="29157"/>
    <cellStyle name="CALC Amount Total 37 7 2 2" xfId="41484"/>
    <cellStyle name="CALC Amount Total 37 7 3" xfId="36244"/>
    <cellStyle name="CALC Amount Total 37 7 4" xfId="41485"/>
    <cellStyle name="CALC Amount Total 37 8" xfId="21096"/>
    <cellStyle name="CALC Amount Total 37 8 2" xfId="29413"/>
    <cellStyle name="CALC Amount Total 37 8 2 2" xfId="41486"/>
    <cellStyle name="CALC Amount Total 37 8 3" xfId="36488"/>
    <cellStyle name="CALC Amount Total 37 8 4" xfId="41487"/>
    <cellStyle name="CALC Amount Total 37 9" xfId="22273"/>
    <cellStyle name="CALC Amount Total 37 9 2" xfId="30571"/>
    <cellStyle name="CALC Amount Total 37 9 2 2" xfId="41488"/>
    <cellStyle name="CALC Amount Total 37 9 3" xfId="37597"/>
    <cellStyle name="CALC Amount Total 37 9 4" xfId="41489"/>
    <cellStyle name="CALC Amount Total 38" xfId="14773"/>
    <cellStyle name="CALC Amount Total 38 10" xfId="23137"/>
    <cellStyle name="CALC Amount Total 38 10 2" xfId="41490"/>
    <cellStyle name="CALC Amount Total 38 11" xfId="41491"/>
    <cellStyle name="CALC Amount Total 38 12" xfId="41492"/>
    <cellStyle name="CALC Amount Total 38 2" xfId="15854"/>
    <cellStyle name="CALC Amount Total 38 2 2" xfId="24172"/>
    <cellStyle name="CALC Amount Total 38 2 2 2" xfId="41493"/>
    <cellStyle name="CALC Amount Total 38 2 3" xfId="31460"/>
    <cellStyle name="CALC Amount Total 38 2 4" xfId="41494"/>
    <cellStyle name="CALC Amount Total 38 3" xfId="16820"/>
    <cellStyle name="CALC Amount Total 38 3 2" xfId="25144"/>
    <cellStyle name="CALC Amount Total 38 3 2 2" xfId="41495"/>
    <cellStyle name="CALC Amount Total 38 3 3" xfId="32393"/>
    <cellStyle name="CALC Amount Total 38 3 4" xfId="41496"/>
    <cellStyle name="CALC Amount Total 38 4" xfId="17846"/>
    <cellStyle name="CALC Amount Total 38 4 2" xfId="26170"/>
    <cellStyle name="CALC Amount Total 38 4 2 2" xfId="41497"/>
    <cellStyle name="CALC Amount Total 38 4 3" xfId="33370"/>
    <cellStyle name="CALC Amount Total 38 4 4" xfId="41498"/>
    <cellStyle name="CALC Amount Total 38 5" xfId="18830"/>
    <cellStyle name="CALC Amount Total 38 5 2" xfId="27151"/>
    <cellStyle name="CALC Amount Total 38 5 2 2" xfId="41499"/>
    <cellStyle name="CALC Amount Total 38 5 3" xfId="34310"/>
    <cellStyle name="CALC Amount Total 38 5 4" xfId="41500"/>
    <cellStyle name="CALC Amount Total 38 6" xfId="19798"/>
    <cellStyle name="CALC Amount Total 38 6 2" xfId="28120"/>
    <cellStyle name="CALC Amount Total 38 6 2 2" xfId="41501"/>
    <cellStyle name="CALC Amount Total 38 6 3" xfId="35256"/>
    <cellStyle name="CALC Amount Total 38 6 4" xfId="41502"/>
    <cellStyle name="CALC Amount Total 38 7" xfId="20756"/>
    <cellStyle name="CALC Amount Total 38 7 2" xfId="29077"/>
    <cellStyle name="CALC Amount Total 38 7 2 2" xfId="41503"/>
    <cellStyle name="CALC Amount Total 38 7 3" xfId="36169"/>
    <cellStyle name="CALC Amount Total 38 7 4" xfId="41504"/>
    <cellStyle name="CALC Amount Total 38 8" xfId="21244"/>
    <cellStyle name="CALC Amount Total 38 8 2" xfId="29553"/>
    <cellStyle name="CALC Amount Total 38 8 2 2" xfId="41505"/>
    <cellStyle name="CALC Amount Total 38 8 3" xfId="36621"/>
    <cellStyle name="CALC Amount Total 38 8 4" xfId="41506"/>
    <cellStyle name="CALC Amount Total 38 9" xfId="22192"/>
    <cellStyle name="CALC Amount Total 38 9 2" xfId="30490"/>
    <cellStyle name="CALC Amount Total 38 9 2 2" xfId="41507"/>
    <cellStyle name="CALC Amount Total 38 9 3" xfId="37521"/>
    <cellStyle name="CALC Amount Total 38 9 4" xfId="41508"/>
    <cellStyle name="CALC Amount Total 39" xfId="14909"/>
    <cellStyle name="CALC Amount Total 39 10" xfId="23272"/>
    <cellStyle name="CALC Amount Total 39 10 2" xfId="41509"/>
    <cellStyle name="CALC Amount Total 39 11" xfId="41510"/>
    <cellStyle name="CALC Amount Total 39 12" xfId="41511"/>
    <cellStyle name="CALC Amount Total 39 2" xfId="15990"/>
    <cellStyle name="CALC Amount Total 39 2 2" xfId="24307"/>
    <cellStyle name="CALC Amount Total 39 2 2 2" xfId="41512"/>
    <cellStyle name="CALC Amount Total 39 2 3" xfId="31587"/>
    <cellStyle name="CALC Amount Total 39 2 4" xfId="41513"/>
    <cellStyle name="CALC Amount Total 39 3" xfId="16956"/>
    <cellStyle name="CALC Amount Total 39 3 2" xfId="25279"/>
    <cellStyle name="CALC Amount Total 39 3 2 2" xfId="41514"/>
    <cellStyle name="CALC Amount Total 39 3 3" xfId="32520"/>
    <cellStyle name="CALC Amount Total 39 3 4" xfId="41515"/>
    <cellStyle name="CALC Amount Total 39 4" xfId="17983"/>
    <cellStyle name="CALC Amount Total 39 4 2" xfId="26305"/>
    <cellStyle name="CALC Amount Total 39 4 2 2" xfId="41516"/>
    <cellStyle name="CALC Amount Total 39 4 3" xfId="33497"/>
    <cellStyle name="CALC Amount Total 39 4 4" xfId="41517"/>
    <cellStyle name="CALC Amount Total 39 5" xfId="18967"/>
    <cellStyle name="CALC Amount Total 39 5 2" xfId="27287"/>
    <cellStyle name="CALC Amount Total 39 5 2 2" xfId="41518"/>
    <cellStyle name="CALC Amount Total 39 5 3" xfId="34438"/>
    <cellStyle name="CALC Amount Total 39 5 4" xfId="41519"/>
    <cellStyle name="CALC Amount Total 39 6" xfId="19935"/>
    <cellStyle name="CALC Amount Total 39 6 2" xfId="28257"/>
    <cellStyle name="CALC Amount Total 39 6 2 2" xfId="41520"/>
    <cellStyle name="CALC Amount Total 39 6 3" xfId="35385"/>
    <cellStyle name="CALC Amount Total 39 6 4" xfId="41521"/>
    <cellStyle name="CALC Amount Total 39 7" xfId="20893"/>
    <cellStyle name="CALC Amount Total 39 7 2" xfId="29212"/>
    <cellStyle name="CALC Amount Total 39 7 2 2" xfId="41522"/>
    <cellStyle name="CALC Amount Total 39 7 3" xfId="36295"/>
    <cellStyle name="CALC Amount Total 39 7 4" xfId="41523"/>
    <cellStyle name="CALC Amount Total 39 8" xfId="21400"/>
    <cellStyle name="CALC Amount Total 39 8 2" xfId="29703"/>
    <cellStyle name="CALC Amount Total 39 8 2 2" xfId="41524"/>
    <cellStyle name="CALC Amount Total 39 8 3" xfId="36765"/>
    <cellStyle name="CALC Amount Total 39 8 4" xfId="41525"/>
    <cellStyle name="CALC Amount Total 39 9" xfId="22328"/>
    <cellStyle name="CALC Amount Total 39 9 2" xfId="30626"/>
    <cellStyle name="CALC Amount Total 39 9 2 2" xfId="41526"/>
    <cellStyle name="CALC Amount Total 39 9 3" xfId="37648"/>
    <cellStyle name="CALC Amount Total 39 9 4" xfId="41527"/>
    <cellStyle name="CALC Amount Total 4" xfId="14576"/>
    <cellStyle name="CALC Amount Total 4 10" xfId="22935"/>
    <cellStyle name="CALC Amount Total 4 10 2" xfId="41528"/>
    <cellStyle name="CALC Amount Total 4 11" xfId="41529"/>
    <cellStyle name="CALC Amount Total 4 2" xfId="15657"/>
    <cellStyle name="CALC Amount Total 4 2 2" xfId="23971"/>
    <cellStyle name="CALC Amount Total 4 2 2 2" xfId="41530"/>
    <cellStyle name="CALC Amount Total 4 2 3" xfId="31268"/>
    <cellStyle name="CALC Amount Total 4 2 4" xfId="41531"/>
    <cellStyle name="CALC Amount Total 4 3" xfId="16624"/>
    <cellStyle name="CALC Amount Total 4 3 2" xfId="24942"/>
    <cellStyle name="CALC Amount Total 4 3 2 2" xfId="41532"/>
    <cellStyle name="CALC Amount Total 4 3 3" xfId="32201"/>
    <cellStyle name="CALC Amount Total 4 3 4" xfId="41533"/>
    <cellStyle name="CALC Amount Total 4 4" xfId="17645"/>
    <cellStyle name="CALC Amount Total 4 4 2" xfId="25968"/>
    <cellStyle name="CALC Amount Total 4 4 2 2" xfId="41534"/>
    <cellStyle name="CALC Amount Total 4 4 3" xfId="33178"/>
    <cellStyle name="CALC Amount Total 4 4 4" xfId="41535"/>
    <cellStyle name="CALC Amount Total 4 5" xfId="18627"/>
    <cellStyle name="CALC Amount Total 4 5 2" xfId="26947"/>
    <cellStyle name="CALC Amount Total 4 5 2 2" xfId="41536"/>
    <cellStyle name="CALC Amount Total 4 5 3" xfId="34115"/>
    <cellStyle name="CALC Amount Total 4 5 4" xfId="41537"/>
    <cellStyle name="CALC Amount Total 4 6" xfId="19596"/>
    <cellStyle name="CALC Amount Total 4 6 2" xfId="27916"/>
    <cellStyle name="CALC Amount Total 4 6 2 2" xfId="41538"/>
    <cellStyle name="CALC Amount Total 4 6 3" xfId="35061"/>
    <cellStyle name="CALC Amount Total 4 6 4" xfId="41539"/>
    <cellStyle name="CALC Amount Total 4 7" xfId="20553"/>
    <cellStyle name="CALC Amount Total 4 7 2" xfId="28875"/>
    <cellStyle name="CALC Amount Total 4 7 2 2" xfId="41540"/>
    <cellStyle name="CALC Amount Total 4 7 3" xfId="35978"/>
    <cellStyle name="CALC Amount Total 4 7 4" xfId="41541"/>
    <cellStyle name="CALC Amount Total 4 8" xfId="21247"/>
    <cellStyle name="CALC Amount Total 4 8 2" xfId="29556"/>
    <cellStyle name="CALC Amount Total 4 8 2 2" xfId="41542"/>
    <cellStyle name="CALC Amount Total 4 8 3" xfId="36624"/>
    <cellStyle name="CALC Amount Total 4 8 4" xfId="41543"/>
    <cellStyle name="CALC Amount Total 4 9" xfId="21989"/>
    <cellStyle name="CALC Amount Total 4 9 2" xfId="30289"/>
    <cellStyle name="CALC Amount Total 4 9 2 2" xfId="41544"/>
    <cellStyle name="CALC Amount Total 4 9 3" xfId="37329"/>
    <cellStyle name="CALC Amount Total 4 9 4" xfId="41545"/>
    <cellStyle name="CALC Amount Total 40" xfId="14917"/>
    <cellStyle name="CALC Amount Total 40 10" xfId="23280"/>
    <cellStyle name="CALC Amount Total 40 10 2" xfId="41546"/>
    <cellStyle name="CALC Amount Total 40 11" xfId="41547"/>
    <cellStyle name="CALC Amount Total 40 12" xfId="41548"/>
    <cellStyle name="CALC Amount Total 40 2" xfId="15998"/>
    <cellStyle name="CALC Amount Total 40 2 2" xfId="24315"/>
    <cellStyle name="CALC Amount Total 40 2 2 2" xfId="41549"/>
    <cellStyle name="CALC Amount Total 40 2 3" xfId="31595"/>
    <cellStyle name="CALC Amount Total 40 2 4" xfId="41550"/>
    <cellStyle name="CALC Amount Total 40 3" xfId="16964"/>
    <cellStyle name="CALC Amount Total 40 3 2" xfId="25287"/>
    <cellStyle name="CALC Amount Total 40 3 2 2" xfId="41551"/>
    <cellStyle name="CALC Amount Total 40 3 3" xfId="32528"/>
    <cellStyle name="CALC Amount Total 40 3 4" xfId="41552"/>
    <cellStyle name="CALC Amount Total 40 4" xfId="17991"/>
    <cellStyle name="CALC Amount Total 40 4 2" xfId="26313"/>
    <cellStyle name="CALC Amount Total 40 4 2 2" xfId="41553"/>
    <cellStyle name="CALC Amount Total 40 4 3" xfId="33505"/>
    <cellStyle name="CALC Amount Total 40 4 4" xfId="41554"/>
    <cellStyle name="CALC Amount Total 40 5" xfId="18975"/>
    <cellStyle name="CALC Amount Total 40 5 2" xfId="27295"/>
    <cellStyle name="CALC Amount Total 40 5 2 2" xfId="41555"/>
    <cellStyle name="CALC Amount Total 40 5 3" xfId="34446"/>
    <cellStyle name="CALC Amount Total 40 5 4" xfId="41556"/>
    <cellStyle name="CALC Amount Total 40 6" xfId="19943"/>
    <cellStyle name="CALC Amount Total 40 6 2" xfId="28265"/>
    <cellStyle name="CALC Amount Total 40 6 2 2" xfId="41557"/>
    <cellStyle name="CALC Amount Total 40 6 3" xfId="35393"/>
    <cellStyle name="CALC Amount Total 40 6 4" xfId="41558"/>
    <cellStyle name="CALC Amount Total 40 7" xfId="20901"/>
    <cellStyle name="CALC Amount Total 40 7 2" xfId="29220"/>
    <cellStyle name="CALC Amount Total 40 7 2 2" xfId="41559"/>
    <cellStyle name="CALC Amount Total 40 7 3" xfId="36303"/>
    <cellStyle name="CALC Amount Total 40 7 4" xfId="41560"/>
    <cellStyle name="CALC Amount Total 40 8" xfId="21408"/>
    <cellStyle name="CALC Amount Total 40 8 2" xfId="29711"/>
    <cellStyle name="CALC Amount Total 40 8 2 2" xfId="41561"/>
    <cellStyle name="CALC Amount Total 40 8 3" xfId="36773"/>
    <cellStyle name="CALC Amount Total 40 8 4" xfId="41562"/>
    <cellStyle name="CALC Amount Total 40 9" xfId="22336"/>
    <cellStyle name="CALC Amount Total 40 9 2" xfId="30634"/>
    <cellStyle name="CALC Amount Total 40 9 2 2" xfId="41563"/>
    <cellStyle name="CALC Amount Total 40 9 3" xfId="37656"/>
    <cellStyle name="CALC Amount Total 40 9 4" xfId="41564"/>
    <cellStyle name="CALC Amount Total 41" xfId="14910"/>
    <cellStyle name="CALC Amount Total 41 10" xfId="23273"/>
    <cellStyle name="CALC Amount Total 41 10 2" xfId="41565"/>
    <cellStyle name="CALC Amount Total 41 11" xfId="41566"/>
    <cellStyle name="CALC Amount Total 41 12" xfId="41567"/>
    <cellStyle name="CALC Amount Total 41 2" xfId="15991"/>
    <cellStyle name="CALC Amount Total 41 2 2" xfId="24308"/>
    <cellStyle name="CALC Amount Total 41 2 2 2" xfId="41568"/>
    <cellStyle name="CALC Amount Total 41 2 3" xfId="31588"/>
    <cellStyle name="CALC Amount Total 41 2 4" xfId="41569"/>
    <cellStyle name="CALC Amount Total 41 3" xfId="16957"/>
    <cellStyle name="CALC Amount Total 41 3 2" xfId="25280"/>
    <cellStyle name="CALC Amount Total 41 3 2 2" xfId="41570"/>
    <cellStyle name="CALC Amount Total 41 3 3" xfId="32521"/>
    <cellStyle name="CALC Amount Total 41 3 4" xfId="41571"/>
    <cellStyle name="CALC Amount Total 41 4" xfId="17984"/>
    <cellStyle name="CALC Amount Total 41 4 2" xfId="26306"/>
    <cellStyle name="CALC Amount Total 41 4 2 2" xfId="41572"/>
    <cellStyle name="CALC Amount Total 41 4 3" xfId="33498"/>
    <cellStyle name="CALC Amount Total 41 4 4" xfId="41573"/>
    <cellStyle name="CALC Amount Total 41 5" xfId="18968"/>
    <cellStyle name="CALC Amount Total 41 5 2" xfId="27288"/>
    <cellStyle name="CALC Amount Total 41 5 2 2" xfId="41574"/>
    <cellStyle name="CALC Amount Total 41 5 3" xfId="34439"/>
    <cellStyle name="CALC Amount Total 41 5 4" xfId="41575"/>
    <cellStyle name="CALC Amount Total 41 6" xfId="19936"/>
    <cellStyle name="CALC Amount Total 41 6 2" xfId="28258"/>
    <cellStyle name="CALC Amount Total 41 6 2 2" xfId="41576"/>
    <cellStyle name="CALC Amount Total 41 6 3" xfId="35386"/>
    <cellStyle name="CALC Amount Total 41 6 4" xfId="41577"/>
    <cellStyle name="CALC Amount Total 41 7" xfId="20894"/>
    <cellStyle name="CALC Amount Total 41 7 2" xfId="29213"/>
    <cellStyle name="CALC Amount Total 41 7 2 2" xfId="41578"/>
    <cellStyle name="CALC Amount Total 41 7 3" xfId="36296"/>
    <cellStyle name="CALC Amount Total 41 7 4" xfId="41579"/>
    <cellStyle name="CALC Amount Total 41 8" xfId="21401"/>
    <cellStyle name="CALC Amount Total 41 8 2" xfId="29704"/>
    <cellStyle name="CALC Amount Total 41 8 2 2" xfId="41580"/>
    <cellStyle name="CALC Amount Total 41 8 3" xfId="36766"/>
    <cellStyle name="CALC Amount Total 41 8 4" xfId="41581"/>
    <cellStyle name="CALC Amount Total 41 9" xfId="22329"/>
    <cellStyle name="CALC Amount Total 41 9 2" xfId="30627"/>
    <cellStyle name="CALC Amount Total 41 9 2 2" xfId="41582"/>
    <cellStyle name="CALC Amount Total 41 9 3" xfId="37649"/>
    <cellStyle name="CALC Amount Total 41 9 4" xfId="41583"/>
    <cellStyle name="CALC Amount Total 42" xfId="14919"/>
    <cellStyle name="CALC Amount Total 42 10" xfId="23282"/>
    <cellStyle name="CALC Amount Total 42 10 2" xfId="41584"/>
    <cellStyle name="CALC Amount Total 42 11" xfId="41585"/>
    <cellStyle name="CALC Amount Total 42 12" xfId="41586"/>
    <cellStyle name="CALC Amount Total 42 2" xfId="16000"/>
    <cellStyle name="CALC Amount Total 42 2 2" xfId="24317"/>
    <cellStyle name="CALC Amount Total 42 2 2 2" xfId="41587"/>
    <cellStyle name="CALC Amount Total 42 2 3" xfId="31597"/>
    <cellStyle name="CALC Amount Total 42 2 4" xfId="41588"/>
    <cellStyle name="CALC Amount Total 42 3" xfId="16966"/>
    <cellStyle name="CALC Amount Total 42 3 2" xfId="25289"/>
    <cellStyle name="CALC Amount Total 42 3 2 2" xfId="41589"/>
    <cellStyle name="CALC Amount Total 42 3 3" xfId="32530"/>
    <cellStyle name="CALC Amount Total 42 3 4" xfId="41590"/>
    <cellStyle name="CALC Amount Total 42 4" xfId="17993"/>
    <cellStyle name="CALC Amount Total 42 4 2" xfId="26315"/>
    <cellStyle name="CALC Amount Total 42 4 2 2" xfId="41591"/>
    <cellStyle name="CALC Amount Total 42 4 3" xfId="33507"/>
    <cellStyle name="CALC Amount Total 42 4 4" xfId="41592"/>
    <cellStyle name="CALC Amount Total 42 5" xfId="18977"/>
    <cellStyle name="CALC Amount Total 42 5 2" xfId="27297"/>
    <cellStyle name="CALC Amount Total 42 5 2 2" xfId="41593"/>
    <cellStyle name="CALC Amount Total 42 5 3" xfId="34448"/>
    <cellStyle name="CALC Amount Total 42 5 4" xfId="41594"/>
    <cellStyle name="CALC Amount Total 42 6" xfId="19945"/>
    <cellStyle name="CALC Amount Total 42 6 2" xfId="28267"/>
    <cellStyle name="CALC Amount Total 42 6 2 2" xfId="41595"/>
    <cellStyle name="CALC Amount Total 42 6 3" xfId="35395"/>
    <cellStyle name="CALC Amount Total 42 6 4" xfId="41596"/>
    <cellStyle name="CALC Amount Total 42 7" xfId="20903"/>
    <cellStyle name="CALC Amount Total 42 7 2" xfId="29222"/>
    <cellStyle name="CALC Amount Total 42 7 2 2" xfId="41597"/>
    <cellStyle name="CALC Amount Total 42 7 3" xfId="36305"/>
    <cellStyle name="CALC Amount Total 42 7 4" xfId="41598"/>
    <cellStyle name="CALC Amount Total 42 8" xfId="21410"/>
    <cellStyle name="CALC Amount Total 42 8 2" xfId="29713"/>
    <cellStyle name="CALC Amount Total 42 8 2 2" xfId="41599"/>
    <cellStyle name="CALC Amount Total 42 8 3" xfId="36775"/>
    <cellStyle name="CALC Amount Total 42 8 4" xfId="41600"/>
    <cellStyle name="CALC Amount Total 42 9" xfId="22338"/>
    <cellStyle name="CALC Amount Total 42 9 2" xfId="30636"/>
    <cellStyle name="CALC Amount Total 42 9 2 2" xfId="41601"/>
    <cellStyle name="CALC Amount Total 42 9 3" xfId="37658"/>
    <cellStyle name="CALC Amount Total 42 9 4" xfId="41602"/>
    <cellStyle name="CALC Amount Total 43" xfId="14862"/>
    <cellStyle name="CALC Amount Total 43 10" xfId="23225"/>
    <cellStyle name="CALC Amount Total 43 10 2" xfId="41603"/>
    <cellStyle name="CALC Amount Total 43 11" xfId="41604"/>
    <cellStyle name="CALC Amount Total 43 12" xfId="41605"/>
    <cellStyle name="CALC Amount Total 43 2" xfId="15943"/>
    <cellStyle name="CALC Amount Total 43 2 2" xfId="24260"/>
    <cellStyle name="CALC Amount Total 43 2 2 2" xfId="41606"/>
    <cellStyle name="CALC Amount Total 43 2 3" xfId="31544"/>
    <cellStyle name="CALC Amount Total 43 2 4" xfId="41607"/>
    <cellStyle name="CALC Amount Total 43 3" xfId="16909"/>
    <cellStyle name="CALC Amount Total 43 3 2" xfId="25232"/>
    <cellStyle name="CALC Amount Total 43 3 2 2" xfId="41608"/>
    <cellStyle name="CALC Amount Total 43 3 3" xfId="32477"/>
    <cellStyle name="CALC Amount Total 43 3 4" xfId="41609"/>
    <cellStyle name="CALC Amount Total 43 4" xfId="17936"/>
    <cellStyle name="CALC Amount Total 43 4 2" xfId="26258"/>
    <cellStyle name="CALC Amount Total 43 4 2 2" xfId="41610"/>
    <cellStyle name="CALC Amount Total 43 4 3" xfId="33454"/>
    <cellStyle name="CALC Amount Total 43 4 4" xfId="41611"/>
    <cellStyle name="CALC Amount Total 43 5" xfId="18920"/>
    <cellStyle name="CALC Amount Total 43 5 2" xfId="27240"/>
    <cellStyle name="CALC Amount Total 43 5 2 2" xfId="41612"/>
    <cellStyle name="CALC Amount Total 43 5 3" xfId="34395"/>
    <cellStyle name="CALC Amount Total 43 5 4" xfId="41613"/>
    <cellStyle name="CALC Amount Total 43 6" xfId="19888"/>
    <cellStyle name="CALC Amount Total 43 6 2" xfId="28210"/>
    <cellStyle name="CALC Amount Total 43 6 2 2" xfId="41614"/>
    <cellStyle name="CALC Amount Total 43 6 3" xfId="35342"/>
    <cellStyle name="CALC Amount Total 43 6 4" xfId="41615"/>
    <cellStyle name="CALC Amount Total 43 7" xfId="20846"/>
    <cellStyle name="CALC Amount Total 43 7 2" xfId="29165"/>
    <cellStyle name="CALC Amount Total 43 7 2 2" xfId="41616"/>
    <cellStyle name="CALC Amount Total 43 7 3" xfId="36252"/>
    <cellStyle name="CALC Amount Total 43 7 4" xfId="41617"/>
    <cellStyle name="CALC Amount Total 43 8" xfId="17571"/>
    <cellStyle name="CALC Amount Total 43 8 2" xfId="25890"/>
    <cellStyle name="CALC Amount Total 43 8 2 2" xfId="41618"/>
    <cellStyle name="CALC Amount Total 43 8 3" xfId="33103"/>
    <cellStyle name="CALC Amount Total 43 8 4" xfId="41619"/>
    <cellStyle name="CALC Amount Total 43 9" xfId="22281"/>
    <cellStyle name="CALC Amount Total 43 9 2" xfId="30579"/>
    <cellStyle name="CALC Amount Total 43 9 2 2" xfId="41620"/>
    <cellStyle name="CALC Amount Total 43 9 3" xfId="37605"/>
    <cellStyle name="CALC Amount Total 43 9 4" xfId="41621"/>
    <cellStyle name="CALC Amount Total 44" xfId="14905"/>
    <cellStyle name="CALC Amount Total 44 10" xfId="23268"/>
    <cellStyle name="CALC Amount Total 44 10 2" xfId="41622"/>
    <cellStyle name="CALC Amount Total 44 11" xfId="41623"/>
    <cellStyle name="CALC Amount Total 44 12" xfId="41624"/>
    <cellStyle name="CALC Amount Total 44 2" xfId="15986"/>
    <cellStyle name="CALC Amount Total 44 2 2" xfId="24303"/>
    <cellStyle name="CALC Amount Total 44 2 2 2" xfId="41625"/>
    <cellStyle name="CALC Amount Total 44 2 3" xfId="31583"/>
    <cellStyle name="CALC Amount Total 44 2 4" xfId="41626"/>
    <cellStyle name="CALC Amount Total 44 3" xfId="16952"/>
    <cellStyle name="CALC Amount Total 44 3 2" xfId="25275"/>
    <cellStyle name="CALC Amount Total 44 3 2 2" xfId="41627"/>
    <cellStyle name="CALC Amount Total 44 3 3" xfId="32516"/>
    <cellStyle name="CALC Amount Total 44 3 4" xfId="41628"/>
    <cellStyle name="CALC Amount Total 44 4" xfId="17979"/>
    <cellStyle name="CALC Amount Total 44 4 2" xfId="26301"/>
    <cellStyle name="CALC Amount Total 44 4 2 2" xfId="41629"/>
    <cellStyle name="CALC Amount Total 44 4 3" xfId="33493"/>
    <cellStyle name="CALC Amount Total 44 4 4" xfId="41630"/>
    <cellStyle name="CALC Amount Total 44 5" xfId="18963"/>
    <cellStyle name="CALC Amount Total 44 5 2" xfId="27283"/>
    <cellStyle name="CALC Amount Total 44 5 2 2" xfId="41631"/>
    <cellStyle name="CALC Amount Total 44 5 3" xfId="34434"/>
    <cellStyle name="CALC Amount Total 44 5 4" xfId="41632"/>
    <cellStyle name="CALC Amount Total 44 6" xfId="19931"/>
    <cellStyle name="CALC Amount Total 44 6 2" xfId="28253"/>
    <cellStyle name="CALC Amount Total 44 6 2 2" xfId="41633"/>
    <cellStyle name="CALC Amount Total 44 6 3" xfId="35381"/>
    <cellStyle name="CALC Amount Total 44 6 4" xfId="41634"/>
    <cellStyle name="CALC Amount Total 44 7" xfId="20889"/>
    <cellStyle name="CALC Amount Total 44 7 2" xfId="29208"/>
    <cellStyle name="CALC Amount Total 44 7 2 2" xfId="41635"/>
    <cellStyle name="CALC Amount Total 44 7 3" xfId="36291"/>
    <cellStyle name="CALC Amount Total 44 7 4" xfId="41636"/>
    <cellStyle name="CALC Amount Total 44 8" xfId="21396"/>
    <cellStyle name="CALC Amount Total 44 8 2" xfId="29699"/>
    <cellStyle name="CALC Amount Total 44 8 2 2" xfId="41637"/>
    <cellStyle name="CALC Amount Total 44 8 3" xfId="36761"/>
    <cellStyle name="CALC Amount Total 44 8 4" xfId="41638"/>
    <cellStyle name="CALC Amount Total 44 9" xfId="22324"/>
    <cellStyle name="CALC Amount Total 44 9 2" xfId="30622"/>
    <cellStyle name="CALC Amount Total 44 9 2 2" xfId="41639"/>
    <cellStyle name="CALC Amount Total 44 9 3" xfId="37644"/>
    <cellStyle name="CALC Amount Total 44 9 4" xfId="41640"/>
    <cellStyle name="CALC Amount Total 45" xfId="14925"/>
    <cellStyle name="CALC Amount Total 45 10" xfId="23288"/>
    <cellStyle name="CALC Amount Total 45 10 2" xfId="41641"/>
    <cellStyle name="CALC Amount Total 45 11" xfId="41642"/>
    <cellStyle name="CALC Amount Total 45 12" xfId="41643"/>
    <cellStyle name="CALC Amount Total 45 2" xfId="16006"/>
    <cellStyle name="CALC Amount Total 45 2 2" xfId="24323"/>
    <cellStyle name="CALC Amount Total 45 2 2 2" xfId="41644"/>
    <cellStyle name="CALC Amount Total 45 2 3" xfId="31603"/>
    <cellStyle name="CALC Amount Total 45 2 4" xfId="41645"/>
    <cellStyle name="CALC Amount Total 45 3" xfId="16972"/>
    <cellStyle name="CALC Amount Total 45 3 2" xfId="25295"/>
    <cellStyle name="CALC Amount Total 45 3 2 2" xfId="41646"/>
    <cellStyle name="CALC Amount Total 45 3 3" xfId="32536"/>
    <cellStyle name="CALC Amount Total 45 3 4" xfId="41647"/>
    <cellStyle name="CALC Amount Total 45 4" xfId="17999"/>
    <cellStyle name="CALC Amount Total 45 4 2" xfId="26321"/>
    <cellStyle name="CALC Amount Total 45 4 2 2" xfId="41648"/>
    <cellStyle name="CALC Amount Total 45 4 3" xfId="33513"/>
    <cellStyle name="CALC Amount Total 45 4 4" xfId="41649"/>
    <cellStyle name="CALC Amount Total 45 5" xfId="18983"/>
    <cellStyle name="CALC Amount Total 45 5 2" xfId="27303"/>
    <cellStyle name="CALC Amount Total 45 5 2 2" xfId="41650"/>
    <cellStyle name="CALC Amount Total 45 5 3" xfId="34454"/>
    <cellStyle name="CALC Amount Total 45 5 4" xfId="41651"/>
    <cellStyle name="CALC Amount Total 45 6" xfId="19951"/>
    <cellStyle name="CALC Amount Total 45 6 2" xfId="28273"/>
    <cellStyle name="CALC Amount Total 45 6 2 2" xfId="41652"/>
    <cellStyle name="CALC Amount Total 45 6 3" xfId="35401"/>
    <cellStyle name="CALC Amount Total 45 6 4" xfId="41653"/>
    <cellStyle name="CALC Amount Total 45 7" xfId="20909"/>
    <cellStyle name="CALC Amount Total 45 7 2" xfId="29228"/>
    <cellStyle name="CALC Amount Total 45 7 2 2" xfId="41654"/>
    <cellStyle name="CALC Amount Total 45 7 3" xfId="36311"/>
    <cellStyle name="CALC Amount Total 45 7 4" xfId="41655"/>
    <cellStyle name="CALC Amount Total 45 8" xfId="21416"/>
    <cellStyle name="CALC Amount Total 45 8 2" xfId="29719"/>
    <cellStyle name="CALC Amount Total 45 8 2 2" xfId="41656"/>
    <cellStyle name="CALC Amount Total 45 8 3" xfId="36781"/>
    <cellStyle name="CALC Amount Total 45 8 4" xfId="41657"/>
    <cellStyle name="CALC Amount Total 45 9" xfId="22344"/>
    <cellStyle name="CALC Amount Total 45 9 2" xfId="30642"/>
    <cellStyle name="CALC Amount Total 45 9 2 2" xfId="41658"/>
    <cellStyle name="CALC Amount Total 45 9 3" xfId="37664"/>
    <cellStyle name="CALC Amount Total 45 9 4" xfId="41659"/>
    <cellStyle name="CALC Amount Total 46" xfId="14906"/>
    <cellStyle name="CALC Amount Total 46 10" xfId="23269"/>
    <cellStyle name="CALC Amount Total 46 10 2" xfId="41660"/>
    <cellStyle name="CALC Amount Total 46 11" xfId="41661"/>
    <cellStyle name="CALC Amount Total 46 12" xfId="41662"/>
    <cellStyle name="CALC Amount Total 46 2" xfId="15987"/>
    <cellStyle name="CALC Amount Total 46 2 2" xfId="24304"/>
    <cellStyle name="CALC Amount Total 46 2 2 2" xfId="41663"/>
    <cellStyle name="CALC Amount Total 46 2 3" xfId="31584"/>
    <cellStyle name="CALC Amount Total 46 2 4" xfId="41664"/>
    <cellStyle name="CALC Amount Total 46 3" xfId="16953"/>
    <cellStyle name="CALC Amount Total 46 3 2" xfId="25276"/>
    <cellStyle name="CALC Amount Total 46 3 2 2" xfId="41665"/>
    <cellStyle name="CALC Amount Total 46 3 3" xfId="32517"/>
    <cellStyle name="CALC Amount Total 46 3 4" xfId="41666"/>
    <cellStyle name="CALC Amount Total 46 4" xfId="17980"/>
    <cellStyle name="CALC Amount Total 46 4 2" xfId="26302"/>
    <cellStyle name="CALC Amount Total 46 4 2 2" xfId="41667"/>
    <cellStyle name="CALC Amount Total 46 4 3" xfId="33494"/>
    <cellStyle name="CALC Amount Total 46 4 4" xfId="41668"/>
    <cellStyle name="CALC Amount Total 46 5" xfId="18964"/>
    <cellStyle name="CALC Amount Total 46 5 2" xfId="27284"/>
    <cellStyle name="CALC Amount Total 46 5 2 2" xfId="41669"/>
    <cellStyle name="CALC Amount Total 46 5 3" xfId="34435"/>
    <cellStyle name="CALC Amount Total 46 5 4" xfId="41670"/>
    <cellStyle name="CALC Amount Total 46 6" xfId="19932"/>
    <cellStyle name="CALC Amount Total 46 6 2" xfId="28254"/>
    <cellStyle name="CALC Amount Total 46 6 2 2" xfId="41671"/>
    <cellStyle name="CALC Amount Total 46 6 3" xfId="35382"/>
    <cellStyle name="CALC Amount Total 46 6 4" xfId="41672"/>
    <cellStyle name="CALC Amount Total 46 7" xfId="20890"/>
    <cellStyle name="CALC Amount Total 46 7 2" xfId="29209"/>
    <cellStyle name="CALC Amount Total 46 7 2 2" xfId="41673"/>
    <cellStyle name="CALC Amount Total 46 7 3" xfId="36292"/>
    <cellStyle name="CALC Amount Total 46 7 4" xfId="41674"/>
    <cellStyle name="CALC Amount Total 46 8" xfId="21397"/>
    <cellStyle name="CALC Amount Total 46 8 2" xfId="29700"/>
    <cellStyle name="CALC Amount Total 46 8 2 2" xfId="41675"/>
    <cellStyle name="CALC Amount Total 46 8 3" xfId="36762"/>
    <cellStyle name="CALC Amount Total 46 8 4" xfId="41676"/>
    <cellStyle name="CALC Amount Total 46 9" xfId="22325"/>
    <cellStyle name="CALC Amount Total 46 9 2" xfId="30623"/>
    <cellStyle name="CALC Amount Total 46 9 2 2" xfId="41677"/>
    <cellStyle name="CALC Amount Total 46 9 3" xfId="37645"/>
    <cellStyle name="CALC Amount Total 46 9 4" xfId="41678"/>
    <cellStyle name="CALC Amount Total 47" xfId="14932"/>
    <cellStyle name="CALC Amount Total 47 10" xfId="23295"/>
    <cellStyle name="CALC Amount Total 47 10 2" xfId="41679"/>
    <cellStyle name="CALC Amount Total 47 11" xfId="41680"/>
    <cellStyle name="CALC Amount Total 47 12" xfId="41681"/>
    <cellStyle name="CALC Amount Total 47 2" xfId="16013"/>
    <cellStyle name="CALC Amount Total 47 2 2" xfId="24330"/>
    <cellStyle name="CALC Amount Total 47 2 2 2" xfId="41682"/>
    <cellStyle name="CALC Amount Total 47 2 3" xfId="31610"/>
    <cellStyle name="CALC Amount Total 47 2 4" xfId="41683"/>
    <cellStyle name="CALC Amount Total 47 3" xfId="16979"/>
    <cellStyle name="CALC Amount Total 47 3 2" xfId="25302"/>
    <cellStyle name="CALC Amount Total 47 3 2 2" xfId="41684"/>
    <cellStyle name="CALC Amount Total 47 3 3" xfId="32543"/>
    <cellStyle name="CALC Amount Total 47 3 4" xfId="41685"/>
    <cellStyle name="CALC Amount Total 47 4" xfId="18006"/>
    <cellStyle name="CALC Amount Total 47 4 2" xfId="26328"/>
    <cellStyle name="CALC Amount Total 47 4 2 2" xfId="41686"/>
    <cellStyle name="CALC Amount Total 47 4 3" xfId="33520"/>
    <cellStyle name="CALC Amount Total 47 4 4" xfId="41687"/>
    <cellStyle name="CALC Amount Total 47 5" xfId="18990"/>
    <cellStyle name="CALC Amount Total 47 5 2" xfId="27310"/>
    <cellStyle name="CALC Amount Total 47 5 2 2" xfId="41688"/>
    <cellStyle name="CALC Amount Total 47 5 3" xfId="34461"/>
    <cellStyle name="CALC Amount Total 47 5 4" xfId="41689"/>
    <cellStyle name="CALC Amount Total 47 6" xfId="19958"/>
    <cellStyle name="CALC Amount Total 47 6 2" xfId="28280"/>
    <cellStyle name="CALC Amount Total 47 6 2 2" xfId="41690"/>
    <cellStyle name="CALC Amount Total 47 6 3" xfId="35408"/>
    <cellStyle name="CALC Amount Total 47 6 4" xfId="41691"/>
    <cellStyle name="CALC Amount Total 47 7" xfId="20916"/>
    <cellStyle name="CALC Amount Total 47 7 2" xfId="29235"/>
    <cellStyle name="CALC Amount Total 47 7 2 2" xfId="41692"/>
    <cellStyle name="CALC Amount Total 47 7 3" xfId="36318"/>
    <cellStyle name="CALC Amount Total 47 7 4" xfId="41693"/>
    <cellStyle name="CALC Amount Total 47 8" xfId="21423"/>
    <cellStyle name="CALC Amount Total 47 8 2" xfId="29726"/>
    <cellStyle name="CALC Amount Total 47 8 2 2" xfId="41694"/>
    <cellStyle name="CALC Amount Total 47 8 3" xfId="36788"/>
    <cellStyle name="CALC Amount Total 47 8 4" xfId="41695"/>
    <cellStyle name="CALC Amount Total 47 9" xfId="22351"/>
    <cellStyle name="CALC Amount Total 47 9 2" xfId="30649"/>
    <cellStyle name="CALC Amount Total 47 9 2 2" xfId="41696"/>
    <cellStyle name="CALC Amount Total 47 9 3" xfId="37671"/>
    <cellStyle name="CALC Amount Total 47 9 4" xfId="41697"/>
    <cellStyle name="CALC Amount Total 48" xfId="14946"/>
    <cellStyle name="CALC Amount Total 48 10" xfId="23309"/>
    <cellStyle name="CALC Amount Total 48 10 2" xfId="41698"/>
    <cellStyle name="CALC Amount Total 48 11" xfId="41699"/>
    <cellStyle name="CALC Amount Total 48 12" xfId="41700"/>
    <cellStyle name="CALC Amount Total 48 2" xfId="16027"/>
    <cellStyle name="CALC Amount Total 48 2 2" xfId="24344"/>
    <cellStyle name="CALC Amount Total 48 2 2 2" xfId="41701"/>
    <cellStyle name="CALC Amount Total 48 2 3" xfId="31624"/>
    <cellStyle name="CALC Amount Total 48 2 4" xfId="41702"/>
    <cellStyle name="CALC Amount Total 48 3" xfId="16993"/>
    <cellStyle name="CALC Amount Total 48 3 2" xfId="25316"/>
    <cellStyle name="CALC Amount Total 48 3 2 2" xfId="41703"/>
    <cellStyle name="CALC Amount Total 48 3 3" xfId="32557"/>
    <cellStyle name="CALC Amount Total 48 3 4" xfId="41704"/>
    <cellStyle name="CALC Amount Total 48 4" xfId="18020"/>
    <cellStyle name="CALC Amount Total 48 4 2" xfId="26342"/>
    <cellStyle name="CALC Amount Total 48 4 2 2" xfId="41705"/>
    <cellStyle name="CALC Amount Total 48 4 3" xfId="33534"/>
    <cellStyle name="CALC Amount Total 48 4 4" xfId="41706"/>
    <cellStyle name="CALC Amount Total 48 5" xfId="19004"/>
    <cellStyle name="CALC Amount Total 48 5 2" xfId="27324"/>
    <cellStyle name="CALC Amount Total 48 5 2 2" xfId="41707"/>
    <cellStyle name="CALC Amount Total 48 5 3" xfId="34475"/>
    <cellStyle name="CALC Amount Total 48 5 4" xfId="41708"/>
    <cellStyle name="CALC Amount Total 48 6" xfId="19972"/>
    <cellStyle name="CALC Amount Total 48 6 2" xfId="28294"/>
    <cellStyle name="CALC Amount Total 48 6 2 2" xfId="41709"/>
    <cellStyle name="CALC Amount Total 48 6 3" xfId="35422"/>
    <cellStyle name="CALC Amount Total 48 6 4" xfId="41710"/>
    <cellStyle name="CALC Amount Total 48 7" xfId="20930"/>
    <cellStyle name="CALC Amount Total 48 7 2" xfId="29249"/>
    <cellStyle name="CALC Amount Total 48 7 2 2" xfId="41711"/>
    <cellStyle name="CALC Amount Total 48 7 3" xfId="36332"/>
    <cellStyle name="CALC Amount Total 48 7 4" xfId="41712"/>
    <cellStyle name="CALC Amount Total 48 8" xfId="21437"/>
    <cellStyle name="CALC Amount Total 48 8 2" xfId="29740"/>
    <cellStyle name="CALC Amount Total 48 8 2 2" xfId="41713"/>
    <cellStyle name="CALC Amount Total 48 8 3" xfId="36802"/>
    <cellStyle name="CALC Amount Total 48 8 4" xfId="41714"/>
    <cellStyle name="CALC Amount Total 48 9" xfId="22365"/>
    <cellStyle name="CALC Amount Total 48 9 2" xfId="30663"/>
    <cellStyle name="CALC Amount Total 48 9 2 2" xfId="41715"/>
    <cellStyle name="CALC Amount Total 48 9 3" xfId="37685"/>
    <cellStyle name="CALC Amount Total 48 9 4" xfId="41716"/>
    <cellStyle name="CALC Amount Total 49" xfId="14866"/>
    <cellStyle name="CALC Amount Total 49 10" xfId="23229"/>
    <cellStyle name="CALC Amount Total 49 10 2" xfId="41717"/>
    <cellStyle name="CALC Amount Total 49 11" xfId="41718"/>
    <cellStyle name="CALC Amount Total 49 12" xfId="41719"/>
    <cellStyle name="CALC Amount Total 49 2" xfId="15947"/>
    <cellStyle name="CALC Amount Total 49 2 2" xfId="24264"/>
    <cellStyle name="CALC Amount Total 49 2 2 2" xfId="41720"/>
    <cellStyle name="CALC Amount Total 49 2 3" xfId="31548"/>
    <cellStyle name="CALC Amount Total 49 2 4" xfId="41721"/>
    <cellStyle name="CALC Amount Total 49 3" xfId="16913"/>
    <cellStyle name="CALC Amount Total 49 3 2" xfId="25236"/>
    <cellStyle name="CALC Amount Total 49 3 2 2" xfId="41722"/>
    <cellStyle name="CALC Amount Total 49 3 3" xfId="32481"/>
    <cellStyle name="CALC Amount Total 49 3 4" xfId="41723"/>
    <cellStyle name="CALC Amount Total 49 4" xfId="17940"/>
    <cellStyle name="CALC Amount Total 49 4 2" xfId="26262"/>
    <cellStyle name="CALC Amount Total 49 4 2 2" xfId="41724"/>
    <cellStyle name="CALC Amount Total 49 4 3" xfId="33458"/>
    <cellStyle name="CALC Amount Total 49 4 4" xfId="41725"/>
    <cellStyle name="CALC Amount Total 49 5" xfId="18924"/>
    <cellStyle name="CALC Amount Total 49 5 2" xfId="27244"/>
    <cellStyle name="CALC Amount Total 49 5 2 2" xfId="41726"/>
    <cellStyle name="CALC Amount Total 49 5 3" xfId="34399"/>
    <cellStyle name="CALC Amount Total 49 5 4" xfId="41727"/>
    <cellStyle name="CALC Amount Total 49 6" xfId="19892"/>
    <cellStyle name="CALC Amount Total 49 6 2" xfId="28214"/>
    <cellStyle name="CALC Amount Total 49 6 2 2" xfId="41728"/>
    <cellStyle name="CALC Amount Total 49 6 3" xfId="35346"/>
    <cellStyle name="CALC Amount Total 49 6 4" xfId="41729"/>
    <cellStyle name="CALC Amount Total 49 7" xfId="20850"/>
    <cellStyle name="CALC Amount Total 49 7 2" xfId="29169"/>
    <cellStyle name="CALC Amount Total 49 7 2 2" xfId="41730"/>
    <cellStyle name="CALC Amount Total 49 7 3" xfId="36256"/>
    <cellStyle name="CALC Amount Total 49 7 4" xfId="41731"/>
    <cellStyle name="CALC Amount Total 49 8" xfId="17572"/>
    <cellStyle name="CALC Amount Total 49 8 2" xfId="25891"/>
    <cellStyle name="CALC Amount Total 49 8 2 2" xfId="41732"/>
    <cellStyle name="CALC Amount Total 49 8 3" xfId="33104"/>
    <cellStyle name="CALC Amount Total 49 8 4" xfId="41733"/>
    <cellStyle name="CALC Amount Total 49 9" xfId="22285"/>
    <cellStyle name="CALC Amount Total 49 9 2" xfId="30583"/>
    <cellStyle name="CALC Amount Total 49 9 2 2" xfId="41734"/>
    <cellStyle name="CALC Amount Total 49 9 3" xfId="37609"/>
    <cellStyle name="CALC Amount Total 49 9 4" xfId="41735"/>
    <cellStyle name="CALC Amount Total 5" xfId="14561"/>
    <cellStyle name="CALC Amount Total 5 10" xfId="22917"/>
    <cellStyle name="CALC Amount Total 5 10 2" xfId="41736"/>
    <cellStyle name="CALC Amount Total 5 11" xfId="41737"/>
    <cellStyle name="CALC Amount Total 5 2" xfId="15640"/>
    <cellStyle name="CALC Amount Total 5 2 2" xfId="23953"/>
    <cellStyle name="CALC Amount Total 5 2 2 2" xfId="41738"/>
    <cellStyle name="CALC Amount Total 5 2 3" xfId="31250"/>
    <cellStyle name="CALC Amount Total 5 2 4" xfId="41739"/>
    <cellStyle name="CALC Amount Total 5 3" xfId="16607"/>
    <cellStyle name="CALC Amount Total 5 3 2" xfId="24924"/>
    <cellStyle name="CALC Amount Total 5 3 2 2" xfId="41740"/>
    <cellStyle name="CALC Amount Total 5 3 3" xfId="32183"/>
    <cellStyle name="CALC Amount Total 5 3 4" xfId="41741"/>
    <cellStyle name="CALC Amount Total 5 4" xfId="17627"/>
    <cellStyle name="CALC Amount Total 5 4 2" xfId="25950"/>
    <cellStyle name="CALC Amount Total 5 4 2 2" xfId="41742"/>
    <cellStyle name="CALC Amount Total 5 4 3" xfId="33160"/>
    <cellStyle name="CALC Amount Total 5 4 4" xfId="41743"/>
    <cellStyle name="CALC Amount Total 5 5" xfId="18609"/>
    <cellStyle name="CALC Amount Total 5 5 2" xfId="26928"/>
    <cellStyle name="CALC Amount Total 5 5 2 2" xfId="41744"/>
    <cellStyle name="CALC Amount Total 5 5 3" xfId="34096"/>
    <cellStyle name="CALC Amount Total 5 5 4" xfId="41745"/>
    <cellStyle name="CALC Amount Total 5 6" xfId="19577"/>
    <cellStyle name="CALC Amount Total 5 6 2" xfId="27898"/>
    <cellStyle name="CALC Amount Total 5 6 2 2" xfId="41746"/>
    <cellStyle name="CALC Amount Total 5 6 3" xfId="35043"/>
    <cellStyle name="CALC Amount Total 5 6 4" xfId="41747"/>
    <cellStyle name="CALC Amount Total 5 7" xfId="20535"/>
    <cellStyle name="CALC Amount Total 5 7 2" xfId="28857"/>
    <cellStyle name="CALC Amount Total 5 7 2 2" xfId="41748"/>
    <cellStyle name="CALC Amount Total 5 7 3" xfId="35960"/>
    <cellStyle name="CALC Amount Total 5 7 4" xfId="41749"/>
    <cellStyle name="CALC Amount Total 5 8" xfId="21111"/>
    <cellStyle name="CALC Amount Total 5 8 2" xfId="29425"/>
    <cellStyle name="CALC Amount Total 5 8 2 2" xfId="41750"/>
    <cellStyle name="CALC Amount Total 5 8 3" xfId="36498"/>
    <cellStyle name="CALC Amount Total 5 8 4" xfId="41751"/>
    <cellStyle name="CALC Amount Total 5 9" xfId="21970"/>
    <cellStyle name="CALC Amount Total 5 9 2" xfId="30271"/>
    <cellStyle name="CALC Amount Total 5 9 2 2" xfId="41752"/>
    <cellStyle name="CALC Amount Total 5 9 3" xfId="37311"/>
    <cellStyle name="CALC Amount Total 5 9 4" xfId="41753"/>
    <cellStyle name="CALC Amount Total 50" xfId="14928"/>
    <cellStyle name="CALC Amount Total 50 10" xfId="23291"/>
    <cellStyle name="CALC Amount Total 50 10 2" xfId="41754"/>
    <cellStyle name="CALC Amount Total 50 11" xfId="41755"/>
    <cellStyle name="CALC Amount Total 50 12" xfId="41756"/>
    <cellStyle name="CALC Amount Total 50 2" xfId="16009"/>
    <cellStyle name="CALC Amount Total 50 2 2" xfId="24326"/>
    <cellStyle name="CALC Amount Total 50 2 2 2" xfId="41757"/>
    <cellStyle name="CALC Amount Total 50 2 3" xfId="31606"/>
    <cellStyle name="CALC Amount Total 50 2 4" xfId="41758"/>
    <cellStyle name="CALC Amount Total 50 3" xfId="16975"/>
    <cellStyle name="CALC Amount Total 50 3 2" xfId="25298"/>
    <cellStyle name="CALC Amount Total 50 3 2 2" xfId="41759"/>
    <cellStyle name="CALC Amount Total 50 3 3" xfId="32539"/>
    <cellStyle name="CALC Amount Total 50 3 4" xfId="41760"/>
    <cellStyle name="CALC Amount Total 50 4" xfId="18002"/>
    <cellStyle name="CALC Amount Total 50 4 2" xfId="26324"/>
    <cellStyle name="CALC Amount Total 50 4 2 2" xfId="41761"/>
    <cellStyle name="CALC Amount Total 50 4 3" xfId="33516"/>
    <cellStyle name="CALC Amount Total 50 4 4" xfId="41762"/>
    <cellStyle name="CALC Amount Total 50 5" xfId="18986"/>
    <cellStyle name="CALC Amount Total 50 5 2" xfId="27306"/>
    <cellStyle name="CALC Amount Total 50 5 2 2" xfId="41763"/>
    <cellStyle name="CALC Amount Total 50 5 3" xfId="34457"/>
    <cellStyle name="CALC Amount Total 50 5 4" xfId="41764"/>
    <cellStyle name="CALC Amount Total 50 6" xfId="19954"/>
    <cellStyle name="CALC Amount Total 50 6 2" xfId="28276"/>
    <cellStyle name="CALC Amount Total 50 6 2 2" xfId="41765"/>
    <cellStyle name="CALC Amount Total 50 6 3" xfId="35404"/>
    <cellStyle name="CALC Amount Total 50 6 4" xfId="41766"/>
    <cellStyle name="CALC Amount Total 50 7" xfId="20912"/>
    <cellStyle name="CALC Amount Total 50 7 2" xfId="29231"/>
    <cellStyle name="CALC Amount Total 50 7 2 2" xfId="41767"/>
    <cellStyle name="CALC Amount Total 50 7 3" xfId="36314"/>
    <cellStyle name="CALC Amount Total 50 7 4" xfId="41768"/>
    <cellStyle name="CALC Amount Total 50 8" xfId="21419"/>
    <cellStyle name="CALC Amount Total 50 8 2" xfId="29722"/>
    <cellStyle name="CALC Amount Total 50 8 2 2" xfId="41769"/>
    <cellStyle name="CALC Amount Total 50 8 3" xfId="36784"/>
    <cellStyle name="CALC Amount Total 50 8 4" xfId="41770"/>
    <cellStyle name="CALC Amount Total 50 9" xfId="22347"/>
    <cellStyle name="CALC Amount Total 50 9 2" xfId="30645"/>
    <cellStyle name="CALC Amount Total 50 9 2 2" xfId="41771"/>
    <cellStyle name="CALC Amount Total 50 9 3" xfId="37667"/>
    <cellStyle name="CALC Amount Total 50 9 4" xfId="41772"/>
    <cellStyle name="CALC Amount Total 51" xfId="14867"/>
    <cellStyle name="CALC Amount Total 51 10" xfId="23230"/>
    <cellStyle name="CALC Amount Total 51 10 2" xfId="41773"/>
    <cellStyle name="CALC Amount Total 51 11" xfId="41774"/>
    <cellStyle name="CALC Amount Total 51 12" xfId="41775"/>
    <cellStyle name="CALC Amount Total 51 2" xfId="15948"/>
    <cellStyle name="CALC Amount Total 51 2 2" xfId="24265"/>
    <cellStyle name="CALC Amount Total 51 2 2 2" xfId="41776"/>
    <cellStyle name="CALC Amount Total 51 2 3" xfId="31549"/>
    <cellStyle name="CALC Amount Total 51 2 4" xfId="41777"/>
    <cellStyle name="CALC Amount Total 51 3" xfId="16914"/>
    <cellStyle name="CALC Amount Total 51 3 2" xfId="25237"/>
    <cellStyle name="CALC Amount Total 51 3 2 2" xfId="41778"/>
    <cellStyle name="CALC Amount Total 51 3 3" xfId="32482"/>
    <cellStyle name="CALC Amount Total 51 3 4" xfId="41779"/>
    <cellStyle name="CALC Amount Total 51 4" xfId="17941"/>
    <cellStyle name="CALC Amount Total 51 4 2" xfId="26263"/>
    <cellStyle name="CALC Amount Total 51 4 2 2" xfId="41780"/>
    <cellStyle name="CALC Amount Total 51 4 3" xfId="33459"/>
    <cellStyle name="CALC Amount Total 51 4 4" xfId="41781"/>
    <cellStyle name="CALC Amount Total 51 5" xfId="18925"/>
    <cellStyle name="CALC Amount Total 51 5 2" xfId="27245"/>
    <cellStyle name="CALC Amount Total 51 5 2 2" xfId="41782"/>
    <cellStyle name="CALC Amount Total 51 5 3" xfId="34400"/>
    <cellStyle name="CALC Amount Total 51 5 4" xfId="41783"/>
    <cellStyle name="CALC Amount Total 51 6" xfId="19893"/>
    <cellStyle name="CALC Amount Total 51 6 2" xfId="28215"/>
    <cellStyle name="CALC Amount Total 51 6 2 2" xfId="41784"/>
    <cellStyle name="CALC Amount Total 51 6 3" xfId="35347"/>
    <cellStyle name="CALC Amount Total 51 6 4" xfId="41785"/>
    <cellStyle name="CALC Amount Total 51 7" xfId="20851"/>
    <cellStyle name="CALC Amount Total 51 7 2" xfId="29170"/>
    <cellStyle name="CALC Amount Total 51 7 2 2" xfId="41786"/>
    <cellStyle name="CALC Amount Total 51 7 3" xfId="36257"/>
    <cellStyle name="CALC Amount Total 51 7 4" xfId="41787"/>
    <cellStyle name="CALC Amount Total 51 8" xfId="18544"/>
    <cellStyle name="CALC Amount Total 51 8 2" xfId="26861"/>
    <cellStyle name="CALC Amount Total 51 8 2 2" xfId="41788"/>
    <cellStyle name="CALC Amount Total 51 8 3" xfId="34031"/>
    <cellStyle name="CALC Amount Total 51 8 4" xfId="41789"/>
    <cellStyle name="CALC Amount Total 51 9" xfId="22286"/>
    <cellStyle name="CALC Amount Total 51 9 2" xfId="30584"/>
    <cellStyle name="CALC Amount Total 51 9 2 2" xfId="41790"/>
    <cellStyle name="CALC Amount Total 51 9 3" xfId="37610"/>
    <cellStyle name="CALC Amount Total 51 9 4" xfId="41791"/>
    <cellStyle name="CALC Amount Total 52" xfId="14970"/>
    <cellStyle name="CALC Amount Total 52 10" xfId="23331"/>
    <cellStyle name="CALC Amount Total 52 10 2" xfId="41792"/>
    <cellStyle name="CALC Amount Total 52 11" xfId="41793"/>
    <cellStyle name="CALC Amount Total 52 12" xfId="41794"/>
    <cellStyle name="CALC Amount Total 52 2" xfId="16051"/>
    <cellStyle name="CALC Amount Total 52 2 2" xfId="24366"/>
    <cellStyle name="CALC Amount Total 52 2 2 2" xfId="41795"/>
    <cellStyle name="CALC Amount Total 52 2 3" xfId="31645"/>
    <cellStyle name="CALC Amount Total 52 2 4" xfId="41796"/>
    <cellStyle name="CALC Amount Total 52 3" xfId="17017"/>
    <cellStyle name="CALC Amount Total 52 3 2" xfId="25338"/>
    <cellStyle name="CALC Amount Total 52 3 2 2" xfId="41797"/>
    <cellStyle name="CALC Amount Total 52 3 3" xfId="32578"/>
    <cellStyle name="CALC Amount Total 52 3 4" xfId="41798"/>
    <cellStyle name="CALC Amount Total 52 4" xfId="18044"/>
    <cellStyle name="CALC Amount Total 52 4 2" xfId="26364"/>
    <cellStyle name="CALC Amount Total 52 4 2 2" xfId="41799"/>
    <cellStyle name="CALC Amount Total 52 4 3" xfId="33555"/>
    <cellStyle name="CALC Amount Total 52 4 4" xfId="41800"/>
    <cellStyle name="CALC Amount Total 52 5" xfId="19028"/>
    <cellStyle name="CALC Amount Total 52 5 2" xfId="27348"/>
    <cellStyle name="CALC Amount Total 52 5 2 2" xfId="41801"/>
    <cellStyle name="CALC Amount Total 52 5 3" xfId="34498"/>
    <cellStyle name="CALC Amount Total 52 5 4" xfId="41802"/>
    <cellStyle name="CALC Amount Total 52 6" xfId="19996"/>
    <cellStyle name="CALC Amount Total 52 6 2" xfId="28318"/>
    <cellStyle name="CALC Amount Total 52 6 2 2" xfId="41803"/>
    <cellStyle name="CALC Amount Total 52 6 3" xfId="35445"/>
    <cellStyle name="CALC Amount Total 52 6 4" xfId="41804"/>
    <cellStyle name="CALC Amount Total 52 7" xfId="20954"/>
    <cellStyle name="CALC Amount Total 52 7 2" xfId="29271"/>
    <cellStyle name="CALC Amount Total 52 7 2 2" xfId="41805"/>
    <cellStyle name="CALC Amount Total 52 7 3" xfId="36353"/>
    <cellStyle name="CALC Amount Total 52 7 4" xfId="41806"/>
    <cellStyle name="CALC Amount Total 52 8" xfId="21461"/>
    <cellStyle name="CALC Amount Total 52 8 2" xfId="29762"/>
    <cellStyle name="CALC Amount Total 52 8 2 2" xfId="41807"/>
    <cellStyle name="CALC Amount Total 52 8 3" xfId="36823"/>
    <cellStyle name="CALC Amount Total 52 8 4" xfId="41808"/>
    <cellStyle name="CALC Amount Total 52 9" xfId="22389"/>
    <cellStyle name="CALC Amount Total 52 9 2" xfId="30685"/>
    <cellStyle name="CALC Amount Total 52 9 2 2" xfId="41809"/>
    <cellStyle name="CALC Amount Total 52 9 3" xfId="37706"/>
    <cellStyle name="CALC Amount Total 52 9 4" xfId="41810"/>
    <cellStyle name="CALC Amount Total 53" xfId="14997"/>
    <cellStyle name="CALC Amount Total 53 10" xfId="23358"/>
    <cellStyle name="CALC Amount Total 53 10 2" xfId="41811"/>
    <cellStyle name="CALC Amount Total 53 11" xfId="41812"/>
    <cellStyle name="CALC Amount Total 53 12" xfId="41813"/>
    <cellStyle name="CALC Amount Total 53 2" xfId="16078"/>
    <cellStyle name="CALC Amount Total 53 2 2" xfId="24393"/>
    <cellStyle name="CALC Amount Total 53 2 2 2" xfId="41814"/>
    <cellStyle name="CALC Amount Total 53 2 3" xfId="31672"/>
    <cellStyle name="CALC Amount Total 53 2 4" xfId="41815"/>
    <cellStyle name="CALC Amount Total 53 3" xfId="17044"/>
    <cellStyle name="CALC Amount Total 53 3 2" xfId="25365"/>
    <cellStyle name="CALC Amount Total 53 3 2 2" xfId="41816"/>
    <cellStyle name="CALC Amount Total 53 3 3" xfId="32605"/>
    <cellStyle name="CALC Amount Total 53 3 4" xfId="41817"/>
    <cellStyle name="CALC Amount Total 53 4" xfId="18071"/>
    <cellStyle name="CALC Amount Total 53 4 2" xfId="26391"/>
    <cellStyle name="CALC Amount Total 53 4 2 2" xfId="41818"/>
    <cellStyle name="CALC Amount Total 53 4 3" xfId="33582"/>
    <cellStyle name="CALC Amount Total 53 4 4" xfId="41819"/>
    <cellStyle name="CALC Amount Total 53 5" xfId="19055"/>
    <cellStyle name="CALC Amount Total 53 5 2" xfId="27375"/>
    <cellStyle name="CALC Amount Total 53 5 2 2" xfId="41820"/>
    <cellStyle name="CALC Amount Total 53 5 3" xfId="34525"/>
    <cellStyle name="CALC Amount Total 53 5 4" xfId="41821"/>
    <cellStyle name="CALC Amount Total 53 6" xfId="20023"/>
    <cellStyle name="CALC Amount Total 53 6 2" xfId="28345"/>
    <cellStyle name="CALC Amount Total 53 6 2 2" xfId="41822"/>
    <cellStyle name="CALC Amount Total 53 6 3" xfId="35472"/>
    <cellStyle name="CALC Amount Total 53 6 4" xfId="41823"/>
    <cellStyle name="CALC Amount Total 53 7" xfId="20981"/>
    <cellStyle name="CALC Amount Total 53 7 2" xfId="29298"/>
    <cellStyle name="CALC Amount Total 53 7 2 2" xfId="41824"/>
    <cellStyle name="CALC Amount Total 53 7 3" xfId="36380"/>
    <cellStyle name="CALC Amount Total 53 7 4" xfId="41825"/>
    <cellStyle name="CALC Amount Total 53 8" xfId="21488"/>
    <cellStyle name="CALC Amount Total 53 8 2" xfId="29789"/>
    <cellStyle name="CALC Amount Total 53 8 2 2" xfId="41826"/>
    <cellStyle name="CALC Amount Total 53 8 3" xfId="36850"/>
    <cellStyle name="CALC Amount Total 53 8 4" xfId="41827"/>
    <cellStyle name="CALC Amount Total 53 9" xfId="22416"/>
    <cellStyle name="CALC Amount Total 53 9 2" xfId="30712"/>
    <cellStyle name="CALC Amount Total 53 9 2 2" xfId="41828"/>
    <cellStyle name="CALC Amount Total 53 9 3" xfId="37733"/>
    <cellStyle name="CALC Amount Total 53 9 4" xfId="41829"/>
    <cellStyle name="CALC Amount Total 54" xfId="15007"/>
    <cellStyle name="CALC Amount Total 54 10" xfId="23368"/>
    <cellStyle name="CALC Amount Total 54 10 2" xfId="41830"/>
    <cellStyle name="CALC Amount Total 54 11" xfId="41831"/>
    <cellStyle name="CALC Amount Total 54 12" xfId="41832"/>
    <cellStyle name="CALC Amount Total 54 2" xfId="16088"/>
    <cellStyle name="CALC Amount Total 54 2 2" xfId="24403"/>
    <cellStyle name="CALC Amount Total 54 2 2 2" xfId="41833"/>
    <cellStyle name="CALC Amount Total 54 2 3" xfId="31682"/>
    <cellStyle name="CALC Amount Total 54 2 4" xfId="41834"/>
    <cellStyle name="CALC Amount Total 54 3" xfId="17054"/>
    <cellStyle name="CALC Amount Total 54 3 2" xfId="25375"/>
    <cellStyle name="CALC Amount Total 54 3 2 2" xfId="41835"/>
    <cellStyle name="CALC Amount Total 54 3 3" xfId="32615"/>
    <cellStyle name="CALC Amount Total 54 3 4" xfId="41836"/>
    <cellStyle name="CALC Amount Total 54 4" xfId="18081"/>
    <cellStyle name="CALC Amount Total 54 4 2" xfId="26401"/>
    <cellStyle name="CALC Amount Total 54 4 2 2" xfId="41837"/>
    <cellStyle name="CALC Amount Total 54 4 3" xfId="33592"/>
    <cellStyle name="CALC Amount Total 54 4 4" xfId="41838"/>
    <cellStyle name="CALC Amount Total 54 5" xfId="19065"/>
    <cellStyle name="CALC Amount Total 54 5 2" xfId="27385"/>
    <cellStyle name="CALC Amount Total 54 5 2 2" xfId="41839"/>
    <cellStyle name="CALC Amount Total 54 5 3" xfId="34535"/>
    <cellStyle name="CALC Amount Total 54 5 4" xfId="41840"/>
    <cellStyle name="CALC Amount Total 54 6" xfId="20033"/>
    <cellStyle name="CALC Amount Total 54 6 2" xfId="28355"/>
    <cellStyle name="CALC Amount Total 54 6 2 2" xfId="41841"/>
    <cellStyle name="CALC Amount Total 54 6 3" xfId="35482"/>
    <cellStyle name="CALC Amount Total 54 6 4" xfId="41842"/>
    <cellStyle name="CALC Amount Total 54 7" xfId="20991"/>
    <cellStyle name="CALC Amount Total 54 7 2" xfId="29308"/>
    <cellStyle name="CALC Amount Total 54 7 2 2" xfId="41843"/>
    <cellStyle name="CALC Amount Total 54 7 3" xfId="36390"/>
    <cellStyle name="CALC Amount Total 54 7 4" xfId="41844"/>
    <cellStyle name="CALC Amount Total 54 8" xfId="21498"/>
    <cellStyle name="CALC Amount Total 54 8 2" xfId="29799"/>
    <cellStyle name="CALC Amount Total 54 8 2 2" xfId="41845"/>
    <cellStyle name="CALC Amount Total 54 8 3" xfId="36860"/>
    <cellStyle name="CALC Amount Total 54 8 4" xfId="41846"/>
    <cellStyle name="CALC Amount Total 54 9" xfId="22426"/>
    <cellStyle name="CALC Amount Total 54 9 2" xfId="30722"/>
    <cellStyle name="CALC Amount Total 54 9 2 2" xfId="41847"/>
    <cellStyle name="CALC Amount Total 54 9 3" xfId="37743"/>
    <cellStyle name="CALC Amount Total 54 9 4" xfId="41848"/>
    <cellStyle name="CALC Amount Total 55" xfId="15001"/>
    <cellStyle name="CALC Amount Total 55 10" xfId="23362"/>
    <cellStyle name="CALC Amount Total 55 10 2" xfId="41849"/>
    <cellStyle name="CALC Amount Total 55 11" xfId="41850"/>
    <cellStyle name="CALC Amount Total 55 12" xfId="41851"/>
    <cellStyle name="CALC Amount Total 55 2" xfId="16082"/>
    <cellStyle name="CALC Amount Total 55 2 2" xfId="24397"/>
    <cellStyle name="CALC Amount Total 55 2 2 2" xfId="41852"/>
    <cellStyle name="CALC Amount Total 55 2 3" xfId="31676"/>
    <cellStyle name="CALC Amount Total 55 2 4" xfId="41853"/>
    <cellStyle name="CALC Amount Total 55 3" xfId="17048"/>
    <cellStyle name="CALC Amount Total 55 3 2" xfId="25369"/>
    <cellStyle name="CALC Amount Total 55 3 2 2" xfId="41854"/>
    <cellStyle name="CALC Amount Total 55 3 3" xfId="32609"/>
    <cellStyle name="CALC Amount Total 55 3 4" xfId="41855"/>
    <cellStyle name="CALC Amount Total 55 4" xfId="18075"/>
    <cellStyle name="CALC Amount Total 55 4 2" xfId="26395"/>
    <cellStyle name="CALC Amount Total 55 4 2 2" xfId="41856"/>
    <cellStyle name="CALC Amount Total 55 4 3" xfId="33586"/>
    <cellStyle name="CALC Amount Total 55 4 4" xfId="41857"/>
    <cellStyle name="CALC Amount Total 55 5" xfId="19059"/>
    <cellStyle name="CALC Amount Total 55 5 2" xfId="27379"/>
    <cellStyle name="CALC Amount Total 55 5 2 2" xfId="41858"/>
    <cellStyle name="CALC Amount Total 55 5 3" xfId="34529"/>
    <cellStyle name="CALC Amount Total 55 5 4" xfId="41859"/>
    <cellStyle name="CALC Amount Total 55 6" xfId="20027"/>
    <cellStyle name="CALC Amount Total 55 6 2" xfId="28349"/>
    <cellStyle name="CALC Amount Total 55 6 2 2" xfId="41860"/>
    <cellStyle name="CALC Amount Total 55 6 3" xfId="35476"/>
    <cellStyle name="CALC Amount Total 55 6 4" xfId="41861"/>
    <cellStyle name="CALC Amount Total 55 7" xfId="20985"/>
    <cellStyle name="CALC Amount Total 55 7 2" xfId="29302"/>
    <cellStyle name="CALC Amount Total 55 7 2 2" xfId="41862"/>
    <cellStyle name="CALC Amount Total 55 7 3" xfId="36384"/>
    <cellStyle name="CALC Amount Total 55 7 4" xfId="41863"/>
    <cellStyle name="CALC Amount Total 55 8" xfId="21492"/>
    <cellStyle name="CALC Amount Total 55 8 2" xfId="29793"/>
    <cellStyle name="CALC Amount Total 55 8 2 2" xfId="41864"/>
    <cellStyle name="CALC Amount Total 55 8 3" xfId="36854"/>
    <cellStyle name="CALC Amount Total 55 8 4" xfId="41865"/>
    <cellStyle name="CALC Amount Total 55 9" xfId="22420"/>
    <cellStyle name="CALC Amount Total 55 9 2" xfId="30716"/>
    <cellStyle name="CALC Amount Total 55 9 2 2" xfId="41866"/>
    <cellStyle name="CALC Amount Total 55 9 3" xfId="37737"/>
    <cellStyle name="CALC Amount Total 55 9 4" xfId="41867"/>
    <cellStyle name="CALC Amount Total 56" xfId="15026"/>
    <cellStyle name="CALC Amount Total 56 10" xfId="23386"/>
    <cellStyle name="CALC Amount Total 56 10 2" xfId="41868"/>
    <cellStyle name="CALC Amount Total 56 11" xfId="41869"/>
    <cellStyle name="CALC Amount Total 56 12" xfId="41870"/>
    <cellStyle name="CALC Amount Total 56 2" xfId="16106"/>
    <cellStyle name="CALC Amount Total 56 2 2" xfId="24421"/>
    <cellStyle name="CALC Amount Total 56 2 2 2" xfId="41871"/>
    <cellStyle name="CALC Amount Total 56 2 3" xfId="31699"/>
    <cellStyle name="CALC Amount Total 56 2 4" xfId="41872"/>
    <cellStyle name="CALC Amount Total 56 3" xfId="17073"/>
    <cellStyle name="CALC Amount Total 56 3 2" xfId="25394"/>
    <cellStyle name="CALC Amount Total 56 3 2 2" xfId="41873"/>
    <cellStyle name="CALC Amount Total 56 3 3" xfId="32633"/>
    <cellStyle name="CALC Amount Total 56 3 4" xfId="41874"/>
    <cellStyle name="CALC Amount Total 56 4" xfId="18100"/>
    <cellStyle name="CALC Amount Total 56 4 2" xfId="26420"/>
    <cellStyle name="CALC Amount Total 56 4 2 2" xfId="41875"/>
    <cellStyle name="CALC Amount Total 56 4 3" xfId="33610"/>
    <cellStyle name="CALC Amount Total 56 4 4" xfId="41876"/>
    <cellStyle name="CALC Amount Total 56 5" xfId="19084"/>
    <cellStyle name="CALC Amount Total 56 5 2" xfId="27404"/>
    <cellStyle name="CALC Amount Total 56 5 2 2" xfId="41877"/>
    <cellStyle name="CALC Amount Total 56 5 3" xfId="34553"/>
    <cellStyle name="CALC Amount Total 56 5 4" xfId="41878"/>
    <cellStyle name="CALC Amount Total 56 6" xfId="20052"/>
    <cellStyle name="CALC Amount Total 56 6 2" xfId="28374"/>
    <cellStyle name="CALC Amount Total 56 6 2 2" xfId="41879"/>
    <cellStyle name="CALC Amount Total 56 6 3" xfId="35500"/>
    <cellStyle name="CALC Amount Total 56 6 4" xfId="41880"/>
    <cellStyle name="CALC Amount Total 56 7" xfId="21009"/>
    <cellStyle name="CALC Amount Total 56 7 2" xfId="29326"/>
    <cellStyle name="CALC Amount Total 56 7 2 2" xfId="41881"/>
    <cellStyle name="CALC Amount Total 56 7 3" xfId="36407"/>
    <cellStyle name="CALC Amount Total 56 7 4" xfId="41882"/>
    <cellStyle name="CALC Amount Total 56 8" xfId="21516"/>
    <cellStyle name="CALC Amount Total 56 8 2" xfId="29817"/>
    <cellStyle name="CALC Amount Total 56 8 2 2" xfId="41883"/>
    <cellStyle name="CALC Amount Total 56 8 3" xfId="36877"/>
    <cellStyle name="CALC Amount Total 56 8 4" xfId="41884"/>
    <cellStyle name="CALC Amount Total 56 9" xfId="22444"/>
    <cellStyle name="CALC Amount Total 56 9 2" xfId="30740"/>
    <cellStyle name="CALC Amount Total 56 9 2 2" xfId="41885"/>
    <cellStyle name="CALC Amount Total 56 9 3" xfId="37760"/>
    <cellStyle name="CALC Amount Total 56 9 4" xfId="41886"/>
    <cellStyle name="CALC Amount Total 57" xfId="14993"/>
    <cellStyle name="CALC Amount Total 57 10" xfId="23354"/>
    <cellStyle name="CALC Amount Total 57 10 2" xfId="41887"/>
    <cellStyle name="CALC Amount Total 57 11" xfId="41888"/>
    <cellStyle name="CALC Amount Total 57 12" xfId="41889"/>
    <cellStyle name="CALC Amount Total 57 2" xfId="16074"/>
    <cellStyle name="CALC Amount Total 57 2 2" xfId="24389"/>
    <cellStyle name="CALC Amount Total 57 2 2 2" xfId="41890"/>
    <cellStyle name="CALC Amount Total 57 2 3" xfId="31668"/>
    <cellStyle name="CALC Amount Total 57 2 4" xfId="41891"/>
    <cellStyle name="CALC Amount Total 57 3" xfId="17040"/>
    <cellStyle name="CALC Amount Total 57 3 2" xfId="25361"/>
    <cellStyle name="CALC Amount Total 57 3 2 2" xfId="41892"/>
    <cellStyle name="CALC Amount Total 57 3 3" xfId="32601"/>
    <cellStyle name="CALC Amount Total 57 3 4" xfId="41893"/>
    <cellStyle name="CALC Amount Total 57 4" xfId="18067"/>
    <cellStyle name="CALC Amount Total 57 4 2" xfId="26387"/>
    <cellStyle name="CALC Amount Total 57 4 2 2" xfId="41894"/>
    <cellStyle name="CALC Amount Total 57 4 3" xfId="33578"/>
    <cellStyle name="CALC Amount Total 57 4 4" xfId="41895"/>
    <cellStyle name="CALC Amount Total 57 5" xfId="19051"/>
    <cellStyle name="CALC Amount Total 57 5 2" xfId="27371"/>
    <cellStyle name="CALC Amount Total 57 5 2 2" xfId="41896"/>
    <cellStyle name="CALC Amount Total 57 5 3" xfId="34521"/>
    <cellStyle name="CALC Amount Total 57 5 4" xfId="41897"/>
    <cellStyle name="CALC Amount Total 57 6" xfId="20019"/>
    <cellStyle name="CALC Amount Total 57 6 2" xfId="28341"/>
    <cellStyle name="CALC Amount Total 57 6 2 2" xfId="41898"/>
    <cellStyle name="CALC Amount Total 57 6 3" xfId="35468"/>
    <cellStyle name="CALC Amount Total 57 6 4" xfId="41899"/>
    <cellStyle name="CALC Amount Total 57 7" xfId="20977"/>
    <cellStyle name="CALC Amount Total 57 7 2" xfId="29294"/>
    <cellStyle name="CALC Amount Total 57 7 2 2" xfId="41900"/>
    <cellStyle name="CALC Amount Total 57 7 3" xfId="36376"/>
    <cellStyle name="CALC Amount Total 57 7 4" xfId="41901"/>
    <cellStyle name="CALC Amount Total 57 8" xfId="21484"/>
    <cellStyle name="CALC Amount Total 57 8 2" xfId="29785"/>
    <cellStyle name="CALC Amount Total 57 8 2 2" xfId="41902"/>
    <cellStyle name="CALC Amount Total 57 8 3" xfId="36846"/>
    <cellStyle name="CALC Amount Total 57 8 4" xfId="41903"/>
    <cellStyle name="CALC Amount Total 57 9" xfId="22412"/>
    <cellStyle name="CALC Amount Total 57 9 2" xfId="30708"/>
    <cellStyle name="CALC Amount Total 57 9 2 2" xfId="41904"/>
    <cellStyle name="CALC Amount Total 57 9 3" xfId="37729"/>
    <cellStyle name="CALC Amount Total 57 9 4" xfId="41905"/>
    <cellStyle name="CALC Amount Total 58" xfId="15049"/>
    <cellStyle name="CALC Amount Total 58 10" xfId="23409"/>
    <cellStyle name="CALC Amount Total 58 10 2" xfId="41906"/>
    <cellStyle name="CALC Amount Total 58 11" xfId="41907"/>
    <cellStyle name="CALC Amount Total 58 12" xfId="41908"/>
    <cellStyle name="CALC Amount Total 58 2" xfId="16129"/>
    <cellStyle name="CALC Amount Total 58 2 2" xfId="24444"/>
    <cellStyle name="CALC Amount Total 58 2 2 2" xfId="41909"/>
    <cellStyle name="CALC Amount Total 58 2 3" xfId="31721"/>
    <cellStyle name="CALC Amount Total 58 2 4" xfId="41910"/>
    <cellStyle name="CALC Amount Total 58 3" xfId="17096"/>
    <cellStyle name="CALC Amount Total 58 3 2" xfId="25417"/>
    <cellStyle name="CALC Amount Total 58 3 2 2" xfId="41911"/>
    <cellStyle name="CALC Amount Total 58 3 3" xfId="32655"/>
    <cellStyle name="CALC Amount Total 58 3 4" xfId="41912"/>
    <cellStyle name="CALC Amount Total 58 4" xfId="18123"/>
    <cellStyle name="CALC Amount Total 58 4 2" xfId="26443"/>
    <cellStyle name="CALC Amount Total 58 4 2 2" xfId="41913"/>
    <cellStyle name="CALC Amount Total 58 4 3" xfId="33632"/>
    <cellStyle name="CALC Amount Total 58 4 4" xfId="41914"/>
    <cellStyle name="CALC Amount Total 58 5" xfId="19107"/>
    <cellStyle name="CALC Amount Total 58 5 2" xfId="27427"/>
    <cellStyle name="CALC Amount Total 58 5 2 2" xfId="41915"/>
    <cellStyle name="CALC Amount Total 58 5 3" xfId="34575"/>
    <cellStyle name="CALC Amount Total 58 5 4" xfId="41916"/>
    <cellStyle name="CALC Amount Total 58 6" xfId="20075"/>
    <cellStyle name="CALC Amount Total 58 6 2" xfId="28397"/>
    <cellStyle name="CALC Amount Total 58 6 2 2" xfId="41917"/>
    <cellStyle name="CALC Amount Total 58 6 3" xfId="35522"/>
    <cellStyle name="CALC Amount Total 58 6 4" xfId="41918"/>
    <cellStyle name="CALC Amount Total 58 7" xfId="21032"/>
    <cellStyle name="CALC Amount Total 58 7 2" xfId="29349"/>
    <cellStyle name="CALC Amount Total 58 7 2 2" xfId="41919"/>
    <cellStyle name="CALC Amount Total 58 7 3" xfId="36429"/>
    <cellStyle name="CALC Amount Total 58 7 4" xfId="41920"/>
    <cellStyle name="CALC Amount Total 58 8" xfId="21539"/>
    <cellStyle name="CALC Amount Total 58 8 2" xfId="29840"/>
    <cellStyle name="CALC Amount Total 58 8 2 2" xfId="41921"/>
    <cellStyle name="CALC Amount Total 58 8 3" xfId="36899"/>
    <cellStyle name="CALC Amount Total 58 8 4" xfId="41922"/>
    <cellStyle name="CALC Amount Total 58 9" xfId="22467"/>
    <cellStyle name="CALC Amount Total 58 9 2" xfId="30763"/>
    <cellStyle name="CALC Amount Total 58 9 2 2" xfId="41923"/>
    <cellStyle name="CALC Amount Total 58 9 3" xfId="37782"/>
    <cellStyle name="CALC Amount Total 58 9 4" xfId="41924"/>
    <cellStyle name="CALC Amount Total 59" xfId="14988"/>
    <cellStyle name="CALC Amount Total 59 10" xfId="23349"/>
    <cellStyle name="CALC Amount Total 59 10 2" xfId="41925"/>
    <cellStyle name="CALC Amount Total 59 11" xfId="41926"/>
    <cellStyle name="CALC Amount Total 59 12" xfId="41927"/>
    <cellStyle name="CALC Amount Total 59 2" xfId="16069"/>
    <cellStyle name="CALC Amount Total 59 2 2" xfId="24384"/>
    <cellStyle name="CALC Amount Total 59 2 2 2" xfId="41928"/>
    <cellStyle name="CALC Amount Total 59 2 3" xfId="31663"/>
    <cellStyle name="CALC Amount Total 59 2 4" xfId="41929"/>
    <cellStyle name="CALC Amount Total 59 3" xfId="17035"/>
    <cellStyle name="CALC Amount Total 59 3 2" xfId="25356"/>
    <cellStyle name="CALC Amount Total 59 3 2 2" xfId="41930"/>
    <cellStyle name="CALC Amount Total 59 3 3" xfId="32596"/>
    <cellStyle name="CALC Amount Total 59 3 4" xfId="41931"/>
    <cellStyle name="CALC Amount Total 59 4" xfId="18062"/>
    <cellStyle name="CALC Amount Total 59 4 2" xfId="26382"/>
    <cellStyle name="CALC Amount Total 59 4 2 2" xfId="41932"/>
    <cellStyle name="CALC Amount Total 59 4 3" xfId="33573"/>
    <cellStyle name="CALC Amount Total 59 4 4" xfId="41933"/>
    <cellStyle name="CALC Amount Total 59 5" xfId="19046"/>
    <cellStyle name="CALC Amount Total 59 5 2" xfId="27366"/>
    <cellStyle name="CALC Amount Total 59 5 2 2" xfId="41934"/>
    <cellStyle name="CALC Amount Total 59 5 3" xfId="34516"/>
    <cellStyle name="CALC Amount Total 59 5 4" xfId="41935"/>
    <cellStyle name="CALC Amount Total 59 6" xfId="20014"/>
    <cellStyle name="CALC Amount Total 59 6 2" xfId="28336"/>
    <cellStyle name="CALC Amount Total 59 6 2 2" xfId="41936"/>
    <cellStyle name="CALC Amount Total 59 6 3" xfId="35463"/>
    <cellStyle name="CALC Amount Total 59 6 4" xfId="41937"/>
    <cellStyle name="CALC Amount Total 59 7" xfId="20972"/>
    <cellStyle name="CALC Amount Total 59 7 2" xfId="29289"/>
    <cellStyle name="CALC Amount Total 59 7 2 2" xfId="41938"/>
    <cellStyle name="CALC Amount Total 59 7 3" xfId="36371"/>
    <cellStyle name="CALC Amount Total 59 7 4" xfId="41939"/>
    <cellStyle name="CALC Amount Total 59 8" xfId="21479"/>
    <cellStyle name="CALC Amount Total 59 8 2" xfId="29780"/>
    <cellStyle name="CALC Amount Total 59 8 2 2" xfId="41940"/>
    <cellStyle name="CALC Amount Total 59 8 3" xfId="36841"/>
    <cellStyle name="CALC Amount Total 59 8 4" xfId="41941"/>
    <cellStyle name="CALC Amount Total 59 9" xfId="22407"/>
    <cellStyle name="CALC Amount Total 59 9 2" xfId="30703"/>
    <cellStyle name="CALC Amount Total 59 9 2 2" xfId="41942"/>
    <cellStyle name="CALC Amount Total 59 9 3" xfId="37724"/>
    <cellStyle name="CALC Amount Total 59 9 4" xfId="41943"/>
    <cellStyle name="CALC Amount Total 6" xfId="14557"/>
    <cellStyle name="CALC Amount Total 6 10" xfId="22913"/>
    <cellStyle name="CALC Amount Total 6 10 2" xfId="41944"/>
    <cellStyle name="CALC Amount Total 6 11" xfId="41945"/>
    <cellStyle name="CALC Amount Total 6 2" xfId="15636"/>
    <cellStyle name="CALC Amount Total 6 2 2" xfId="23949"/>
    <cellStyle name="CALC Amount Total 6 2 2 2" xfId="41946"/>
    <cellStyle name="CALC Amount Total 6 2 3" xfId="31246"/>
    <cellStyle name="CALC Amount Total 6 2 4" xfId="41947"/>
    <cellStyle name="CALC Amount Total 6 3" xfId="16603"/>
    <cellStyle name="CALC Amount Total 6 3 2" xfId="24920"/>
    <cellStyle name="CALC Amount Total 6 3 2 2" xfId="41948"/>
    <cellStyle name="CALC Amount Total 6 3 3" xfId="32179"/>
    <cellStyle name="CALC Amount Total 6 3 4" xfId="41949"/>
    <cellStyle name="CALC Amount Total 6 4" xfId="17623"/>
    <cellStyle name="CALC Amount Total 6 4 2" xfId="25946"/>
    <cellStyle name="CALC Amount Total 6 4 2 2" xfId="41950"/>
    <cellStyle name="CALC Amount Total 6 4 3" xfId="33156"/>
    <cellStyle name="CALC Amount Total 6 4 4" xfId="41951"/>
    <cellStyle name="CALC Amount Total 6 5" xfId="18605"/>
    <cellStyle name="CALC Amount Total 6 5 2" xfId="26924"/>
    <cellStyle name="CALC Amount Total 6 5 2 2" xfId="41952"/>
    <cellStyle name="CALC Amount Total 6 5 3" xfId="34092"/>
    <cellStyle name="CALC Amount Total 6 5 4" xfId="41953"/>
    <cellStyle name="CALC Amount Total 6 6" xfId="19573"/>
    <cellStyle name="CALC Amount Total 6 6 2" xfId="27894"/>
    <cellStyle name="CALC Amount Total 6 6 2 2" xfId="41954"/>
    <cellStyle name="CALC Amount Total 6 6 3" xfId="35039"/>
    <cellStyle name="CALC Amount Total 6 6 4" xfId="41955"/>
    <cellStyle name="CALC Amount Total 6 7" xfId="20531"/>
    <cellStyle name="CALC Amount Total 6 7 2" xfId="28853"/>
    <cellStyle name="CALC Amount Total 6 7 2 2" xfId="41956"/>
    <cellStyle name="CALC Amount Total 6 7 3" xfId="35956"/>
    <cellStyle name="CALC Amount Total 6 7 4" xfId="41957"/>
    <cellStyle name="CALC Amount Total 6 8" xfId="21150"/>
    <cellStyle name="CALC Amount Total 6 8 2" xfId="29462"/>
    <cellStyle name="CALC Amount Total 6 8 2 2" xfId="41958"/>
    <cellStyle name="CALC Amount Total 6 8 3" xfId="36534"/>
    <cellStyle name="CALC Amount Total 6 8 4" xfId="41959"/>
    <cellStyle name="CALC Amount Total 6 9" xfId="21966"/>
    <cellStyle name="CALC Amount Total 6 9 2" xfId="30267"/>
    <cellStyle name="CALC Amount Total 6 9 2 2" xfId="41960"/>
    <cellStyle name="CALC Amount Total 6 9 3" xfId="37307"/>
    <cellStyle name="CALC Amount Total 6 9 4" xfId="41961"/>
    <cellStyle name="CALC Amount Total 60" xfId="14973"/>
    <cellStyle name="CALC Amount Total 60 10" xfId="23334"/>
    <cellStyle name="CALC Amount Total 60 10 2" xfId="41962"/>
    <cellStyle name="CALC Amount Total 60 11" xfId="41963"/>
    <cellStyle name="CALC Amount Total 60 12" xfId="41964"/>
    <cellStyle name="CALC Amount Total 60 2" xfId="16054"/>
    <cellStyle name="CALC Amount Total 60 2 2" xfId="24369"/>
    <cellStyle name="CALC Amount Total 60 2 2 2" xfId="41965"/>
    <cellStyle name="CALC Amount Total 60 2 3" xfId="31648"/>
    <cellStyle name="CALC Amount Total 60 2 4" xfId="41966"/>
    <cellStyle name="CALC Amount Total 60 3" xfId="17020"/>
    <cellStyle name="CALC Amount Total 60 3 2" xfId="25341"/>
    <cellStyle name="CALC Amount Total 60 3 2 2" xfId="41967"/>
    <cellStyle name="CALC Amount Total 60 3 3" xfId="32581"/>
    <cellStyle name="CALC Amount Total 60 3 4" xfId="41968"/>
    <cellStyle name="CALC Amount Total 60 4" xfId="18047"/>
    <cellStyle name="CALC Amount Total 60 4 2" xfId="26367"/>
    <cellStyle name="CALC Amount Total 60 4 2 2" xfId="41969"/>
    <cellStyle name="CALC Amount Total 60 4 3" xfId="33558"/>
    <cellStyle name="CALC Amount Total 60 4 4" xfId="41970"/>
    <cellStyle name="CALC Amount Total 60 5" xfId="19031"/>
    <cellStyle name="CALC Amount Total 60 5 2" xfId="27351"/>
    <cellStyle name="CALC Amount Total 60 5 2 2" xfId="41971"/>
    <cellStyle name="CALC Amount Total 60 5 3" xfId="34501"/>
    <cellStyle name="CALC Amount Total 60 5 4" xfId="41972"/>
    <cellStyle name="CALC Amount Total 60 6" xfId="19999"/>
    <cellStyle name="CALC Amount Total 60 6 2" xfId="28321"/>
    <cellStyle name="CALC Amount Total 60 6 2 2" xfId="41973"/>
    <cellStyle name="CALC Amount Total 60 6 3" xfId="35448"/>
    <cellStyle name="CALC Amount Total 60 6 4" xfId="41974"/>
    <cellStyle name="CALC Amount Total 60 7" xfId="20957"/>
    <cellStyle name="CALC Amount Total 60 7 2" xfId="29274"/>
    <cellStyle name="CALC Amount Total 60 7 2 2" xfId="41975"/>
    <cellStyle name="CALC Amount Total 60 7 3" xfId="36356"/>
    <cellStyle name="CALC Amount Total 60 7 4" xfId="41976"/>
    <cellStyle name="CALC Amount Total 60 8" xfId="21464"/>
    <cellStyle name="CALC Amount Total 60 8 2" xfId="29765"/>
    <cellStyle name="CALC Amount Total 60 8 2 2" xfId="41977"/>
    <cellStyle name="CALC Amount Total 60 8 3" xfId="36826"/>
    <cellStyle name="CALC Amount Total 60 8 4" xfId="41978"/>
    <cellStyle name="CALC Amount Total 60 9" xfId="22392"/>
    <cellStyle name="CALC Amount Total 60 9 2" xfId="30688"/>
    <cellStyle name="CALC Amount Total 60 9 2 2" xfId="41979"/>
    <cellStyle name="CALC Amount Total 60 9 3" xfId="37709"/>
    <cellStyle name="CALC Amount Total 60 9 4" xfId="41980"/>
    <cellStyle name="CALC Amount Total 61" xfId="15018"/>
    <cellStyle name="CALC Amount Total 61 10" xfId="23378"/>
    <cellStyle name="CALC Amount Total 61 10 2" xfId="41981"/>
    <cellStyle name="CALC Amount Total 61 11" xfId="41982"/>
    <cellStyle name="CALC Amount Total 61 12" xfId="41983"/>
    <cellStyle name="CALC Amount Total 61 2" xfId="16098"/>
    <cellStyle name="CALC Amount Total 61 2 2" xfId="24413"/>
    <cellStyle name="CALC Amount Total 61 2 2 2" xfId="41984"/>
    <cellStyle name="CALC Amount Total 61 2 3" xfId="31691"/>
    <cellStyle name="CALC Amount Total 61 2 4" xfId="41985"/>
    <cellStyle name="CALC Amount Total 61 3" xfId="17065"/>
    <cellStyle name="CALC Amount Total 61 3 2" xfId="25386"/>
    <cellStyle name="CALC Amount Total 61 3 2 2" xfId="41986"/>
    <cellStyle name="CALC Amount Total 61 3 3" xfId="32625"/>
    <cellStyle name="CALC Amount Total 61 3 4" xfId="41987"/>
    <cellStyle name="CALC Amount Total 61 4" xfId="18092"/>
    <cellStyle name="CALC Amount Total 61 4 2" xfId="26412"/>
    <cellStyle name="CALC Amount Total 61 4 2 2" xfId="41988"/>
    <cellStyle name="CALC Amount Total 61 4 3" xfId="33602"/>
    <cellStyle name="CALC Amount Total 61 4 4" xfId="41989"/>
    <cellStyle name="CALC Amount Total 61 5" xfId="19076"/>
    <cellStyle name="CALC Amount Total 61 5 2" xfId="27396"/>
    <cellStyle name="CALC Amount Total 61 5 2 2" xfId="41990"/>
    <cellStyle name="CALC Amount Total 61 5 3" xfId="34545"/>
    <cellStyle name="CALC Amount Total 61 5 4" xfId="41991"/>
    <cellStyle name="CALC Amount Total 61 6" xfId="20044"/>
    <cellStyle name="CALC Amount Total 61 6 2" xfId="28366"/>
    <cellStyle name="CALC Amount Total 61 6 2 2" xfId="41992"/>
    <cellStyle name="CALC Amount Total 61 6 3" xfId="35492"/>
    <cellStyle name="CALC Amount Total 61 6 4" xfId="41993"/>
    <cellStyle name="CALC Amount Total 61 7" xfId="21001"/>
    <cellStyle name="CALC Amount Total 61 7 2" xfId="29318"/>
    <cellStyle name="CALC Amount Total 61 7 2 2" xfId="41994"/>
    <cellStyle name="CALC Amount Total 61 7 3" xfId="36399"/>
    <cellStyle name="CALC Amount Total 61 7 4" xfId="41995"/>
    <cellStyle name="CALC Amount Total 61 8" xfId="21508"/>
    <cellStyle name="CALC Amount Total 61 8 2" xfId="29809"/>
    <cellStyle name="CALC Amount Total 61 8 2 2" xfId="41996"/>
    <cellStyle name="CALC Amount Total 61 8 3" xfId="36869"/>
    <cellStyle name="CALC Amount Total 61 8 4" xfId="41997"/>
    <cellStyle name="CALC Amount Total 61 9" xfId="22436"/>
    <cellStyle name="CALC Amount Total 61 9 2" xfId="30732"/>
    <cellStyle name="CALC Amount Total 61 9 2 2" xfId="41998"/>
    <cellStyle name="CALC Amount Total 61 9 3" xfId="37752"/>
    <cellStyle name="CALC Amount Total 61 9 4" xfId="41999"/>
    <cellStyle name="CALC Amount Total 62" xfId="14986"/>
    <cellStyle name="CALC Amount Total 62 10" xfId="23347"/>
    <cellStyle name="CALC Amount Total 62 10 2" xfId="42000"/>
    <cellStyle name="CALC Amount Total 62 11" xfId="42001"/>
    <cellStyle name="CALC Amount Total 62 12" xfId="42002"/>
    <cellStyle name="CALC Amount Total 62 2" xfId="16067"/>
    <cellStyle name="CALC Amount Total 62 2 2" xfId="24382"/>
    <cellStyle name="CALC Amount Total 62 2 2 2" xfId="42003"/>
    <cellStyle name="CALC Amount Total 62 2 3" xfId="31661"/>
    <cellStyle name="CALC Amount Total 62 2 4" xfId="42004"/>
    <cellStyle name="CALC Amount Total 62 3" xfId="17033"/>
    <cellStyle name="CALC Amount Total 62 3 2" xfId="25354"/>
    <cellStyle name="CALC Amount Total 62 3 2 2" xfId="42005"/>
    <cellStyle name="CALC Amount Total 62 3 3" xfId="32594"/>
    <cellStyle name="CALC Amount Total 62 3 4" xfId="42006"/>
    <cellStyle name="CALC Amount Total 62 4" xfId="18060"/>
    <cellStyle name="CALC Amount Total 62 4 2" xfId="26380"/>
    <cellStyle name="CALC Amount Total 62 4 2 2" xfId="42007"/>
    <cellStyle name="CALC Amount Total 62 4 3" xfId="33571"/>
    <cellStyle name="CALC Amount Total 62 4 4" xfId="42008"/>
    <cellStyle name="CALC Amount Total 62 5" xfId="19044"/>
    <cellStyle name="CALC Amount Total 62 5 2" xfId="27364"/>
    <cellStyle name="CALC Amount Total 62 5 2 2" xfId="42009"/>
    <cellStyle name="CALC Amount Total 62 5 3" xfId="34514"/>
    <cellStyle name="CALC Amount Total 62 5 4" xfId="42010"/>
    <cellStyle name="CALC Amount Total 62 6" xfId="20012"/>
    <cellStyle name="CALC Amount Total 62 6 2" xfId="28334"/>
    <cellStyle name="CALC Amount Total 62 6 2 2" xfId="42011"/>
    <cellStyle name="CALC Amount Total 62 6 3" xfId="35461"/>
    <cellStyle name="CALC Amount Total 62 6 4" xfId="42012"/>
    <cellStyle name="CALC Amount Total 62 7" xfId="20970"/>
    <cellStyle name="CALC Amount Total 62 7 2" xfId="29287"/>
    <cellStyle name="CALC Amount Total 62 7 2 2" xfId="42013"/>
    <cellStyle name="CALC Amount Total 62 7 3" xfId="36369"/>
    <cellStyle name="CALC Amount Total 62 7 4" xfId="42014"/>
    <cellStyle name="CALC Amount Total 62 8" xfId="21477"/>
    <cellStyle name="CALC Amount Total 62 8 2" xfId="29778"/>
    <cellStyle name="CALC Amount Total 62 8 2 2" xfId="42015"/>
    <cellStyle name="CALC Amount Total 62 8 3" xfId="36839"/>
    <cellStyle name="CALC Amount Total 62 8 4" xfId="42016"/>
    <cellStyle name="CALC Amount Total 62 9" xfId="22405"/>
    <cellStyle name="CALC Amount Total 62 9 2" xfId="30701"/>
    <cellStyle name="CALC Amount Total 62 9 2 2" xfId="42017"/>
    <cellStyle name="CALC Amount Total 62 9 3" xfId="37722"/>
    <cellStyle name="CALC Amount Total 62 9 4" xfId="42018"/>
    <cellStyle name="CALC Amount Total 63" xfId="15046"/>
    <cellStyle name="CALC Amount Total 63 10" xfId="23406"/>
    <cellStyle name="CALC Amount Total 63 10 2" xfId="42019"/>
    <cellStyle name="CALC Amount Total 63 11" xfId="42020"/>
    <cellStyle name="CALC Amount Total 63 12" xfId="42021"/>
    <cellStyle name="CALC Amount Total 63 2" xfId="16126"/>
    <cellStyle name="CALC Amount Total 63 2 2" xfId="24441"/>
    <cellStyle name="CALC Amount Total 63 2 2 2" xfId="42022"/>
    <cellStyle name="CALC Amount Total 63 2 3" xfId="31718"/>
    <cellStyle name="CALC Amount Total 63 2 4" xfId="42023"/>
    <cellStyle name="CALC Amount Total 63 3" xfId="17093"/>
    <cellStyle name="CALC Amount Total 63 3 2" xfId="25414"/>
    <cellStyle name="CALC Amount Total 63 3 2 2" xfId="42024"/>
    <cellStyle name="CALC Amount Total 63 3 3" xfId="32652"/>
    <cellStyle name="CALC Amount Total 63 3 4" xfId="42025"/>
    <cellStyle name="CALC Amount Total 63 4" xfId="18120"/>
    <cellStyle name="CALC Amount Total 63 4 2" xfId="26440"/>
    <cellStyle name="CALC Amount Total 63 4 2 2" xfId="42026"/>
    <cellStyle name="CALC Amount Total 63 4 3" xfId="33629"/>
    <cellStyle name="CALC Amount Total 63 4 4" xfId="42027"/>
    <cellStyle name="CALC Amount Total 63 5" xfId="19104"/>
    <cellStyle name="CALC Amount Total 63 5 2" xfId="27424"/>
    <cellStyle name="CALC Amount Total 63 5 2 2" xfId="42028"/>
    <cellStyle name="CALC Amount Total 63 5 3" xfId="34572"/>
    <cellStyle name="CALC Amount Total 63 5 4" xfId="42029"/>
    <cellStyle name="CALC Amount Total 63 6" xfId="20072"/>
    <cellStyle name="CALC Amount Total 63 6 2" xfId="28394"/>
    <cellStyle name="CALC Amount Total 63 6 2 2" xfId="42030"/>
    <cellStyle name="CALC Amount Total 63 6 3" xfId="35519"/>
    <cellStyle name="CALC Amount Total 63 6 4" xfId="42031"/>
    <cellStyle name="CALC Amount Total 63 7" xfId="21029"/>
    <cellStyle name="CALC Amount Total 63 7 2" xfId="29346"/>
    <cellStyle name="CALC Amount Total 63 7 2 2" xfId="42032"/>
    <cellStyle name="CALC Amount Total 63 7 3" xfId="36426"/>
    <cellStyle name="CALC Amount Total 63 7 4" xfId="42033"/>
    <cellStyle name="CALC Amount Total 63 8" xfId="21536"/>
    <cellStyle name="CALC Amount Total 63 8 2" xfId="29837"/>
    <cellStyle name="CALC Amount Total 63 8 2 2" xfId="42034"/>
    <cellStyle name="CALC Amount Total 63 8 3" xfId="36896"/>
    <cellStyle name="CALC Amount Total 63 8 4" xfId="42035"/>
    <cellStyle name="CALC Amount Total 63 9" xfId="22464"/>
    <cellStyle name="CALC Amount Total 63 9 2" xfId="30760"/>
    <cellStyle name="CALC Amount Total 63 9 2 2" xfId="42036"/>
    <cellStyle name="CALC Amount Total 63 9 3" xfId="37779"/>
    <cellStyle name="CALC Amount Total 63 9 4" xfId="42037"/>
    <cellStyle name="CALC Amount Total 64" xfId="15020"/>
    <cellStyle name="CALC Amount Total 64 10" xfId="23380"/>
    <cellStyle name="CALC Amount Total 64 10 2" xfId="42038"/>
    <cellStyle name="CALC Amount Total 64 11" xfId="42039"/>
    <cellStyle name="CALC Amount Total 64 12" xfId="42040"/>
    <cellStyle name="CALC Amount Total 64 2" xfId="16100"/>
    <cellStyle name="CALC Amount Total 64 2 2" xfId="24415"/>
    <cellStyle name="CALC Amount Total 64 2 2 2" xfId="42041"/>
    <cellStyle name="CALC Amount Total 64 2 3" xfId="31693"/>
    <cellStyle name="CALC Amount Total 64 2 4" xfId="42042"/>
    <cellStyle name="CALC Amount Total 64 3" xfId="17067"/>
    <cellStyle name="CALC Amount Total 64 3 2" xfId="25388"/>
    <cellStyle name="CALC Amount Total 64 3 2 2" xfId="42043"/>
    <cellStyle name="CALC Amount Total 64 3 3" xfId="32627"/>
    <cellStyle name="CALC Amount Total 64 3 4" xfId="42044"/>
    <cellStyle name="CALC Amount Total 64 4" xfId="18094"/>
    <cellStyle name="CALC Amount Total 64 4 2" xfId="26414"/>
    <cellStyle name="CALC Amount Total 64 4 2 2" xfId="42045"/>
    <cellStyle name="CALC Amount Total 64 4 3" xfId="33604"/>
    <cellStyle name="CALC Amount Total 64 4 4" xfId="42046"/>
    <cellStyle name="CALC Amount Total 64 5" xfId="19078"/>
    <cellStyle name="CALC Amount Total 64 5 2" xfId="27398"/>
    <cellStyle name="CALC Amount Total 64 5 2 2" xfId="42047"/>
    <cellStyle name="CALC Amount Total 64 5 3" xfId="34547"/>
    <cellStyle name="CALC Amount Total 64 5 4" xfId="42048"/>
    <cellStyle name="CALC Amount Total 64 6" xfId="20046"/>
    <cellStyle name="CALC Amount Total 64 6 2" xfId="28368"/>
    <cellStyle name="CALC Amount Total 64 6 2 2" xfId="42049"/>
    <cellStyle name="CALC Amount Total 64 6 3" xfId="35494"/>
    <cellStyle name="CALC Amount Total 64 6 4" xfId="42050"/>
    <cellStyle name="CALC Amount Total 64 7" xfId="21003"/>
    <cellStyle name="CALC Amount Total 64 7 2" xfId="29320"/>
    <cellStyle name="CALC Amount Total 64 7 2 2" xfId="42051"/>
    <cellStyle name="CALC Amount Total 64 7 3" xfId="36401"/>
    <cellStyle name="CALC Amount Total 64 7 4" xfId="42052"/>
    <cellStyle name="CALC Amount Total 64 8" xfId="21510"/>
    <cellStyle name="CALC Amount Total 64 8 2" xfId="29811"/>
    <cellStyle name="CALC Amount Total 64 8 2 2" xfId="42053"/>
    <cellStyle name="CALC Amount Total 64 8 3" xfId="36871"/>
    <cellStyle name="CALC Amount Total 64 8 4" xfId="42054"/>
    <cellStyle name="CALC Amount Total 64 9" xfId="22438"/>
    <cellStyle name="CALC Amount Total 64 9 2" xfId="30734"/>
    <cellStyle name="CALC Amount Total 64 9 2 2" xfId="42055"/>
    <cellStyle name="CALC Amount Total 64 9 3" xfId="37754"/>
    <cellStyle name="CALC Amount Total 64 9 4" xfId="42056"/>
    <cellStyle name="CALC Amount Total 65" xfId="15072"/>
    <cellStyle name="CALC Amount Total 65 10" xfId="23432"/>
    <cellStyle name="CALC Amount Total 65 10 2" xfId="42057"/>
    <cellStyle name="CALC Amount Total 65 11" xfId="42058"/>
    <cellStyle name="CALC Amount Total 65 12" xfId="42059"/>
    <cellStyle name="CALC Amount Total 65 2" xfId="16152"/>
    <cellStyle name="CALC Amount Total 65 2 2" xfId="24467"/>
    <cellStyle name="CALC Amount Total 65 2 2 2" xfId="42060"/>
    <cellStyle name="CALC Amount Total 65 2 3" xfId="31744"/>
    <cellStyle name="CALC Amount Total 65 2 4" xfId="42061"/>
    <cellStyle name="CALC Amount Total 65 3" xfId="17119"/>
    <cellStyle name="CALC Amount Total 65 3 2" xfId="25440"/>
    <cellStyle name="CALC Amount Total 65 3 2 2" xfId="42062"/>
    <cellStyle name="CALC Amount Total 65 3 3" xfId="32678"/>
    <cellStyle name="CALC Amount Total 65 3 4" xfId="42063"/>
    <cellStyle name="CALC Amount Total 65 4" xfId="18146"/>
    <cellStyle name="CALC Amount Total 65 4 2" xfId="26466"/>
    <cellStyle name="CALC Amount Total 65 4 2 2" xfId="42064"/>
    <cellStyle name="CALC Amount Total 65 4 3" xfId="33655"/>
    <cellStyle name="CALC Amount Total 65 4 4" xfId="42065"/>
    <cellStyle name="CALC Amount Total 65 5" xfId="19130"/>
    <cellStyle name="CALC Amount Total 65 5 2" xfId="27450"/>
    <cellStyle name="CALC Amount Total 65 5 2 2" xfId="42066"/>
    <cellStyle name="CALC Amount Total 65 5 3" xfId="34598"/>
    <cellStyle name="CALC Amount Total 65 5 4" xfId="42067"/>
    <cellStyle name="CALC Amount Total 65 6" xfId="20098"/>
    <cellStyle name="CALC Amount Total 65 6 2" xfId="28420"/>
    <cellStyle name="CALC Amount Total 65 6 2 2" xfId="42068"/>
    <cellStyle name="CALC Amount Total 65 6 3" xfId="35545"/>
    <cellStyle name="CALC Amount Total 65 6 4" xfId="42069"/>
    <cellStyle name="CALC Amount Total 65 7" xfId="21055"/>
    <cellStyle name="CALC Amount Total 65 7 2" xfId="29372"/>
    <cellStyle name="CALC Amount Total 65 7 2 2" xfId="42070"/>
    <cellStyle name="CALC Amount Total 65 7 3" xfId="36452"/>
    <cellStyle name="CALC Amount Total 65 7 4" xfId="42071"/>
    <cellStyle name="CALC Amount Total 65 8" xfId="21562"/>
    <cellStyle name="CALC Amount Total 65 8 2" xfId="29863"/>
    <cellStyle name="CALC Amount Total 65 8 2 2" xfId="42072"/>
    <cellStyle name="CALC Amount Total 65 8 3" xfId="36922"/>
    <cellStyle name="CALC Amount Total 65 8 4" xfId="42073"/>
    <cellStyle name="CALC Amount Total 65 9" xfId="22490"/>
    <cellStyle name="CALC Amount Total 65 9 2" xfId="30786"/>
    <cellStyle name="CALC Amount Total 65 9 2 2" xfId="42074"/>
    <cellStyle name="CALC Amount Total 65 9 3" xfId="37805"/>
    <cellStyle name="CALC Amount Total 65 9 4" xfId="42075"/>
    <cellStyle name="CALC Amount Total 66" xfId="14981"/>
    <cellStyle name="CALC Amount Total 66 10" xfId="23342"/>
    <cellStyle name="CALC Amount Total 66 10 2" xfId="42076"/>
    <cellStyle name="CALC Amount Total 66 11" xfId="42077"/>
    <cellStyle name="CALC Amount Total 66 12" xfId="42078"/>
    <cellStyle name="CALC Amount Total 66 2" xfId="16062"/>
    <cellStyle name="CALC Amount Total 66 2 2" xfId="24377"/>
    <cellStyle name="CALC Amount Total 66 2 2 2" xfId="42079"/>
    <cellStyle name="CALC Amount Total 66 2 3" xfId="31656"/>
    <cellStyle name="CALC Amount Total 66 2 4" xfId="42080"/>
    <cellStyle name="CALC Amount Total 66 3" xfId="17028"/>
    <cellStyle name="CALC Amount Total 66 3 2" xfId="25349"/>
    <cellStyle name="CALC Amount Total 66 3 2 2" xfId="42081"/>
    <cellStyle name="CALC Amount Total 66 3 3" xfId="32589"/>
    <cellStyle name="CALC Amount Total 66 3 4" xfId="42082"/>
    <cellStyle name="CALC Amount Total 66 4" xfId="18055"/>
    <cellStyle name="CALC Amount Total 66 4 2" xfId="26375"/>
    <cellStyle name="CALC Amount Total 66 4 2 2" xfId="42083"/>
    <cellStyle name="CALC Amount Total 66 4 3" xfId="33566"/>
    <cellStyle name="CALC Amount Total 66 4 4" xfId="42084"/>
    <cellStyle name="CALC Amount Total 66 5" xfId="19039"/>
    <cellStyle name="CALC Amount Total 66 5 2" xfId="27359"/>
    <cellStyle name="CALC Amount Total 66 5 2 2" xfId="42085"/>
    <cellStyle name="CALC Amount Total 66 5 3" xfId="34509"/>
    <cellStyle name="CALC Amount Total 66 5 4" xfId="42086"/>
    <cellStyle name="CALC Amount Total 66 6" xfId="20007"/>
    <cellStyle name="CALC Amount Total 66 6 2" xfId="28329"/>
    <cellStyle name="CALC Amount Total 66 6 2 2" xfId="42087"/>
    <cellStyle name="CALC Amount Total 66 6 3" xfId="35456"/>
    <cellStyle name="CALC Amount Total 66 6 4" xfId="42088"/>
    <cellStyle name="CALC Amount Total 66 7" xfId="20965"/>
    <cellStyle name="CALC Amount Total 66 7 2" xfId="29282"/>
    <cellStyle name="CALC Amount Total 66 7 2 2" xfId="42089"/>
    <cellStyle name="CALC Amount Total 66 7 3" xfId="36364"/>
    <cellStyle name="CALC Amount Total 66 7 4" xfId="42090"/>
    <cellStyle name="CALC Amount Total 66 8" xfId="21472"/>
    <cellStyle name="CALC Amount Total 66 8 2" xfId="29773"/>
    <cellStyle name="CALC Amount Total 66 8 2 2" xfId="42091"/>
    <cellStyle name="CALC Amount Total 66 8 3" xfId="36834"/>
    <cellStyle name="CALC Amount Total 66 8 4" xfId="42092"/>
    <cellStyle name="CALC Amount Total 66 9" xfId="22400"/>
    <cellStyle name="CALC Amount Total 66 9 2" xfId="30696"/>
    <cellStyle name="CALC Amount Total 66 9 2 2" xfId="42093"/>
    <cellStyle name="CALC Amount Total 66 9 3" xfId="37717"/>
    <cellStyle name="CALC Amount Total 66 9 4" xfId="42094"/>
    <cellStyle name="CALC Amount Total 67" xfId="15033"/>
    <cellStyle name="CALC Amount Total 67 10" xfId="23393"/>
    <cellStyle name="CALC Amount Total 67 10 2" xfId="42095"/>
    <cellStyle name="CALC Amount Total 67 11" xfId="42096"/>
    <cellStyle name="CALC Amount Total 67 12" xfId="42097"/>
    <cellStyle name="CALC Amount Total 67 2" xfId="16113"/>
    <cellStyle name="CALC Amount Total 67 2 2" xfId="24428"/>
    <cellStyle name="CALC Amount Total 67 2 2 2" xfId="42098"/>
    <cellStyle name="CALC Amount Total 67 2 3" xfId="31706"/>
    <cellStyle name="CALC Amount Total 67 2 4" xfId="42099"/>
    <cellStyle name="CALC Amount Total 67 3" xfId="17080"/>
    <cellStyle name="CALC Amount Total 67 3 2" xfId="25401"/>
    <cellStyle name="CALC Amount Total 67 3 2 2" xfId="42100"/>
    <cellStyle name="CALC Amount Total 67 3 3" xfId="32640"/>
    <cellStyle name="CALC Amount Total 67 3 4" xfId="42101"/>
    <cellStyle name="CALC Amount Total 67 4" xfId="18107"/>
    <cellStyle name="CALC Amount Total 67 4 2" xfId="26427"/>
    <cellStyle name="CALC Amount Total 67 4 2 2" xfId="42102"/>
    <cellStyle name="CALC Amount Total 67 4 3" xfId="33617"/>
    <cellStyle name="CALC Amount Total 67 4 4" xfId="42103"/>
    <cellStyle name="CALC Amount Total 67 5" xfId="19091"/>
    <cellStyle name="CALC Amount Total 67 5 2" xfId="27411"/>
    <cellStyle name="CALC Amount Total 67 5 2 2" xfId="42104"/>
    <cellStyle name="CALC Amount Total 67 5 3" xfId="34560"/>
    <cellStyle name="CALC Amount Total 67 5 4" xfId="42105"/>
    <cellStyle name="CALC Amount Total 67 6" xfId="20059"/>
    <cellStyle name="CALC Amount Total 67 6 2" xfId="28381"/>
    <cellStyle name="CALC Amount Total 67 6 2 2" xfId="42106"/>
    <cellStyle name="CALC Amount Total 67 6 3" xfId="35507"/>
    <cellStyle name="CALC Amount Total 67 6 4" xfId="42107"/>
    <cellStyle name="CALC Amount Total 67 7" xfId="21016"/>
    <cellStyle name="CALC Amount Total 67 7 2" xfId="29333"/>
    <cellStyle name="CALC Amount Total 67 7 2 2" xfId="42108"/>
    <cellStyle name="CALC Amount Total 67 7 3" xfId="36414"/>
    <cellStyle name="CALC Amount Total 67 7 4" xfId="42109"/>
    <cellStyle name="CALC Amount Total 67 8" xfId="21523"/>
    <cellStyle name="CALC Amount Total 67 8 2" xfId="29824"/>
    <cellStyle name="CALC Amount Total 67 8 2 2" xfId="42110"/>
    <cellStyle name="CALC Amount Total 67 8 3" xfId="36884"/>
    <cellStyle name="CALC Amount Total 67 8 4" xfId="42111"/>
    <cellStyle name="CALC Amount Total 67 9" xfId="22451"/>
    <cellStyle name="CALC Amount Total 67 9 2" xfId="30747"/>
    <cellStyle name="CALC Amount Total 67 9 2 2" xfId="42112"/>
    <cellStyle name="CALC Amount Total 67 9 3" xfId="37767"/>
    <cellStyle name="CALC Amount Total 67 9 4" xfId="42113"/>
    <cellStyle name="CALC Amount Total 68" xfId="15067"/>
    <cellStyle name="CALC Amount Total 68 10" xfId="23427"/>
    <cellStyle name="CALC Amount Total 68 10 2" xfId="42114"/>
    <cellStyle name="CALC Amount Total 68 11" xfId="42115"/>
    <cellStyle name="CALC Amount Total 68 12" xfId="42116"/>
    <cellStyle name="CALC Amount Total 68 2" xfId="16147"/>
    <cellStyle name="CALC Amount Total 68 2 2" xfId="24462"/>
    <cellStyle name="CALC Amount Total 68 2 2 2" xfId="42117"/>
    <cellStyle name="CALC Amount Total 68 2 3" xfId="31739"/>
    <cellStyle name="CALC Amount Total 68 2 4" xfId="42118"/>
    <cellStyle name="CALC Amount Total 68 3" xfId="17114"/>
    <cellStyle name="CALC Amount Total 68 3 2" xfId="25435"/>
    <cellStyle name="CALC Amount Total 68 3 2 2" xfId="42119"/>
    <cellStyle name="CALC Amount Total 68 3 3" xfId="32673"/>
    <cellStyle name="CALC Amount Total 68 3 4" xfId="42120"/>
    <cellStyle name="CALC Amount Total 68 4" xfId="18141"/>
    <cellStyle name="CALC Amount Total 68 4 2" xfId="26461"/>
    <cellStyle name="CALC Amount Total 68 4 2 2" xfId="42121"/>
    <cellStyle name="CALC Amount Total 68 4 3" xfId="33650"/>
    <cellStyle name="CALC Amount Total 68 4 4" xfId="42122"/>
    <cellStyle name="CALC Amount Total 68 5" xfId="19125"/>
    <cellStyle name="CALC Amount Total 68 5 2" xfId="27445"/>
    <cellStyle name="CALC Amount Total 68 5 2 2" xfId="42123"/>
    <cellStyle name="CALC Amount Total 68 5 3" xfId="34593"/>
    <cellStyle name="CALC Amount Total 68 5 4" xfId="42124"/>
    <cellStyle name="CALC Amount Total 68 6" xfId="20093"/>
    <cellStyle name="CALC Amount Total 68 6 2" xfId="28415"/>
    <cellStyle name="CALC Amount Total 68 6 2 2" xfId="42125"/>
    <cellStyle name="CALC Amount Total 68 6 3" xfId="35540"/>
    <cellStyle name="CALC Amount Total 68 6 4" xfId="42126"/>
    <cellStyle name="CALC Amount Total 68 7" xfId="21050"/>
    <cellStyle name="CALC Amount Total 68 7 2" xfId="29367"/>
    <cellStyle name="CALC Amount Total 68 7 2 2" xfId="42127"/>
    <cellStyle name="CALC Amount Total 68 7 3" xfId="36447"/>
    <cellStyle name="CALC Amount Total 68 7 4" xfId="42128"/>
    <cellStyle name="CALC Amount Total 68 8" xfId="21557"/>
    <cellStyle name="CALC Amount Total 68 8 2" xfId="29858"/>
    <cellStyle name="CALC Amount Total 68 8 2 2" xfId="42129"/>
    <cellStyle name="CALC Amount Total 68 8 3" xfId="36917"/>
    <cellStyle name="CALC Amount Total 68 8 4" xfId="42130"/>
    <cellStyle name="CALC Amount Total 68 9" xfId="22485"/>
    <cellStyle name="CALC Amount Total 68 9 2" xfId="30781"/>
    <cellStyle name="CALC Amount Total 68 9 2 2" xfId="42131"/>
    <cellStyle name="CALC Amount Total 68 9 3" xfId="37800"/>
    <cellStyle name="CALC Amount Total 68 9 4" xfId="42132"/>
    <cellStyle name="CALC Amount Total 69" xfId="15054"/>
    <cellStyle name="CALC Amount Total 69 10" xfId="23414"/>
    <cellStyle name="CALC Amount Total 69 10 2" xfId="42133"/>
    <cellStyle name="CALC Amount Total 69 11" xfId="42134"/>
    <cellStyle name="CALC Amount Total 69 12" xfId="42135"/>
    <cellStyle name="CALC Amount Total 69 2" xfId="16134"/>
    <cellStyle name="CALC Amount Total 69 2 2" xfId="24449"/>
    <cellStyle name="CALC Amount Total 69 2 2 2" xfId="42136"/>
    <cellStyle name="CALC Amount Total 69 2 3" xfId="31726"/>
    <cellStyle name="CALC Amount Total 69 2 4" xfId="42137"/>
    <cellStyle name="CALC Amount Total 69 3" xfId="17101"/>
    <cellStyle name="CALC Amount Total 69 3 2" xfId="25422"/>
    <cellStyle name="CALC Amount Total 69 3 2 2" xfId="42138"/>
    <cellStyle name="CALC Amount Total 69 3 3" xfId="32660"/>
    <cellStyle name="CALC Amount Total 69 3 4" xfId="42139"/>
    <cellStyle name="CALC Amount Total 69 4" xfId="18128"/>
    <cellStyle name="CALC Amount Total 69 4 2" xfId="26448"/>
    <cellStyle name="CALC Amount Total 69 4 2 2" xfId="42140"/>
    <cellStyle name="CALC Amount Total 69 4 3" xfId="33637"/>
    <cellStyle name="CALC Amount Total 69 4 4" xfId="42141"/>
    <cellStyle name="CALC Amount Total 69 5" xfId="19112"/>
    <cellStyle name="CALC Amount Total 69 5 2" xfId="27432"/>
    <cellStyle name="CALC Amount Total 69 5 2 2" xfId="42142"/>
    <cellStyle name="CALC Amount Total 69 5 3" xfId="34580"/>
    <cellStyle name="CALC Amount Total 69 5 4" xfId="42143"/>
    <cellStyle name="CALC Amount Total 69 6" xfId="20080"/>
    <cellStyle name="CALC Amount Total 69 6 2" xfId="28402"/>
    <cellStyle name="CALC Amount Total 69 6 2 2" xfId="42144"/>
    <cellStyle name="CALC Amount Total 69 6 3" xfId="35527"/>
    <cellStyle name="CALC Amount Total 69 6 4" xfId="42145"/>
    <cellStyle name="CALC Amount Total 69 7" xfId="21037"/>
    <cellStyle name="CALC Amount Total 69 7 2" xfId="29354"/>
    <cellStyle name="CALC Amount Total 69 7 2 2" xfId="42146"/>
    <cellStyle name="CALC Amount Total 69 7 3" xfId="36434"/>
    <cellStyle name="CALC Amount Total 69 7 4" xfId="42147"/>
    <cellStyle name="CALC Amount Total 69 8" xfId="21544"/>
    <cellStyle name="CALC Amount Total 69 8 2" xfId="29845"/>
    <cellStyle name="CALC Amount Total 69 8 2 2" xfId="42148"/>
    <cellStyle name="CALC Amount Total 69 8 3" xfId="36904"/>
    <cellStyle name="CALC Amount Total 69 8 4" xfId="42149"/>
    <cellStyle name="CALC Amount Total 69 9" xfId="22472"/>
    <cellStyle name="CALC Amount Total 69 9 2" xfId="30768"/>
    <cellStyle name="CALC Amount Total 69 9 2 2" xfId="42150"/>
    <cellStyle name="CALC Amount Total 69 9 3" xfId="37787"/>
    <cellStyle name="CALC Amount Total 69 9 4" xfId="42151"/>
    <cellStyle name="CALC Amount Total 7" xfId="14589"/>
    <cellStyle name="CALC Amount Total 7 10" xfId="22948"/>
    <cellStyle name="CALC Amount Total 7 10 2" xfId="42152"/>
    <cellStyle name="CALC Amount Total 7 11" xfId="42153"/>
    <cellStyle name="CALC Amount Total 7 2" xfId="15669"/>
    <cellStyle name="CALC Amount Total 7 2 2" xfId="23983"/>
    <cellStyle name="CALC Amount Total 7 2 2 2" xfId="42154"/>
    <cellStyle name="CALC Amount Total 7 2 3" xfId="31280"/>
    <cellStyle name="CALC Amount Total 7 2 4" xfId="42155"/>
    <cellStyle name="CALC Amount Total 7 3" xfId="16636"/>
    <cellStyle name="CALC Amount Total 7 3 2" xfId="24954"/>
    <cellStyle name="CALC Amount Total 7 3 2 2" xfId="42156"/>
    <cellStyle name="CALC Amount Total 7 3 3" xfId="32213"/>
    <cellStyle name="CALC Amount Total 7 3 4" xfId="42157"/>
    <cellStyle name="CALC Amount Total 7 4" xfId="17657"/>
    <cellStyle name="CALC Amount Total 7 4 2" xfId="25980"/>
    <cellStyle name="CALC Amount Total 7 4 2 2" xfId="42158"/>
    <cellStyle name="CALC Amount Total 7 4 3" xfId="33190"/>
    <cellStyle name="CALC Amount Total 7 4 4" xfId="42159"/>
    <cellStyle name="CALC Amount Total 7 5" xfId="18640"/>
    <cellStyle name="CALC Amount Total 7 5 2" xfId="26960"/>
    <cellStyle name="CALC Amount Total 7 5 2 2" xfId="42160"/>
    <cellStyle name="CALC Amount Total 7 5 3" xfId="34128"/>
    <cellStyle name="CALC Amount Total 7 5 4" xfId="42161"/>
    <cellStyle name="CALC Amount Total 7 6" xfId="19609"/>
    <cellStyle name="CALC Amount Total 7 6 2" xfId="27929"/>
    <cellStyle name="CALC Amount Total 7 6 2 2" xfId="42162"/>
    <cellStyle name="CALC Amount Total 7 6 3" xfId="35074"/>
    <cellStyle name="CALC Amount Total 7 6 4" xfId="42163"/>
    <cellStyle name="CALC Amount Total 7 7" xfId="20566"/>
    <cellStyle name="CALC Amount Total 7 7 2" xfId="28887"/>
    <cellStyle name="CALC Amount Total 7 7 2 2" xfId="42164"/>
    <cellStyle name="CALC Amount Total 7 7 3" xfId="35990"/>
    <cellStyle name="CALC Amount Total 7 7 4" xfId="42165"/>
    <cellStyle name="CALC Amount Total 7 8" xfId="21135"/>
    <cellStyle name="CALC Amount Total 7 8 2" xfId="29449"/>
    <cellStyle name="CALC Amount Total 7 8 2 2" xfId="42166"/>
    <cellStyle name="CALC Amount Total 7 8 3" xfId="36521"/>
    <cellStyle name="CALC Amount Total 7 8 4" xfId="42167"/>
    <cellStyle name="CALC Amount Total 7 9" xfId="22002"/>
    <cellStyle name="CALC Amount Total 7 9 2" xfId="30301"/>
    <cellStyle name="CALC Amount Total 7 9 2 2" xfId="42168"/>
    <cellStyle name="CALC Amount Total 7 9 3" xfId="37341"/>
    <cellStyle name="CALC Amount Total 7 9 4" xfId="42169"/>
    <cellStyle name="CALC Amount Total 70" xfId="15073"/>
    <cellStyle name="CALC Amount Total 70 10" xfId="23433"/>
    <cellStyle name="CALC Amount Total 70 10 2" xfId="42170"/>
    <cellStyle name="CALC Amount Total 70 11" xfId="42171"/>
    <cellStyle name="CALC Amount Total 70 12" xfId="42172"/>
    <cellStyle name="CALC Amount Total 70 2" xfId="16153"/>
    <cellStyle name="CALC Amount Total 70 2 2" xfId="24468"/>
    <cellStyle name="CALC Amount Total 70 2 2 2" xfId="42173"/>
    <cellStyle name="CALC Amount Total 70 2 3" xfId="31745"/>
    <cellStyle name="CALC Amount Total 70 2 4" xfId="42174"/>
    <cellStyle name="CALC Amount Total 70 3" xfId="17120"/>
    <cellStyle name="CALC Amount Total 70 3 2" xfId="25441"/>
    <cellStyle name="CALC Amount Total 70 3 2 2" xfId="42175"/>
    <cellStyle name="CALC Amount Total 70 3 3" xfId="32679"/>
    <cellStyle name="CALC Amount Total 70 3 4" xfId="42176"/>
    <cellStyle name="CALC Amount Total 70 4" xfId="18147"/>
    <cellStyle name="CALC Amount Total 70 4 2" xfId="26467"/>
    <cellStyle name="CALC Amount Total 70 4 2 2" xfId="42177"/>
    <cellStyle name="CALC Amount Total 70 4 3" xfId="33656"/>
    <cellStyle name="CALC Amount Total 70 4 4" xfId="42178"/>
    <cellStyle name="CALC Amount Total 70 5" xfId="19131"/>
    <cellStyle name="CALC Amount Total 70 5 2" xfId="27451"/>
    <cellStyle name="CALC Amount Total 70 5 2 2" xfId="42179"/>
    <cellStyle name="CALC Amount Total 70 5 3" xfId="34599"/>
    <cellStyle name="CALC Amount Total 70 5 4" xfId="42180"/>
    <cellStyle name="CALC Amount Total 70 6" xfId="20099"/>
    <cellStyle name="CALC Amount Total 70 6 2" xfId="28421"/>
    <cellStyle name="CALC Amount Total 70 6 2 2" xfId="42181"/>
    <cellStyle name="CALC Amount Total 70 6 3" xfId="35546"/>
    <cellStyle name="CALC Amount Total 70 6 4" xfId="42182"/>
    <cellStyle name="CALC Amount Total 70 7" xfId="21056"/>
    <cellStyle name="CALC Amount Total 70 7 2" xfId="29373"/>
    <cellStyle name="CALC Amount Total 70 7 2 2" xfId="42183"/>
    <cellStyle name="CALC Amount Total 70 7 3" xfId="36453"/>
    <cellStyle name="CALC Amount Total 70 7 4" xfId="42184"/>
    <cellStyle name="CALC Amount Total 70 8" xfId="21563"/>
    <cellStyle name="CALC Amount Total 70 8 2" xfId="29864"/>
    <cellStyle name="CALC Amount Total 70 8 2 2" xfId="42185"/>
    <cellStyle name="CALC Amount Total 70 8 3" xfId="36923"/>
    <cellStyle name="CALC Amount Total 70 8 4" xfId="42186"/>
    <cellStyle name="CALC Amount Total 70 9" xfId="22491"/>
    <cellStyle name="CALC Amount Total 70 9 2" xfId="30787"/>
    <cellStyle name="CALC Amount Total 70 9 2 2" xfId="42187"/>
    <cellStyle name="CALC Amount Total 70 9 3" xfId="37806"/>
    <cellStyle name="CALC Amount Total 70 9 4" xfId="42188"/>
    <cellStyle name="CALC Amount Total 71" xfId="15040"/>
    <cellStyle name="CALC Amount Total 71 10" xfId="23400"/>
    <cellStyle name="CALC Amount Total 71 10 2" xfId="42189"/>
    <cellStyle name="CALC Amount Total 71 11" xfId="42190"/>
    <cellStyle name="CALC Amount Total 71 12" xfId="42191"/>
    <cellStyle name="CALC Amount Total 71 2" xfId="16120"/>
    <cellStyle name="CALC Amount Total 71 2 2" xfId="24435"/>
    <cellStyle name="CALC Amount Total 71 2 2 2" xfId="42192"/>
    <cellStyle name="CALC Amount Total 71 2 3" xfId="31712"/>
    <cellStyle name="CALC Amount Total 71 2 4" xfId="42193"/>
    <cellStyle name="CALC Amount Total 71 3" xfId="17087"/>
    <cellStyle name="CALC Amount Total 71 3 2" xfId="25408"/>
    <cellStyle name="CALC Amount Total 71 3 2 2" xfId="42194"/>
    <cellStyle name="CALC Amount Total 71 3 3" xfId="32646"/>
    <cellStyle name="CALC Amount Total 71 3 4" xfId="42195"/>
    <cellStyle name="CALC Amount Total 71 4" xfId="18114"/>
    <cellStyle name="CALC Amount Total 71 4 2" xfId="26434"/>
    <cellStyle name="CALC Amount Total 71 4 2 2" xfId="42196"/>
    <cellStyle name="CALC Amount Total 71 4 3" xfId="33623"/>
    <cellStyle name="CALC Amount Total 71 4 4" xfId="42197"/>
    <cellStyle name="CALC Amount Total 71 5" xfId="19098"/>
    <cellStyle name="CALC Amount Total 71 5 2" xfId="27418"/>
    <cellStyle name="CALC Amount Total 71 5 2 2" xfId="42198"/>
    <cellStyle name="CALC Amount Total 71 5 3" xfId="34566"/>
    <cellStyle name="CALC Amount Total 71 5 4" xfId="42199"/>
    <cellStyle name="CALC Amount Total 71 6" xfId="20066"/>
    <cellStyle name="CALC Amount Total 71 6 2" xfId="28388"/>
    <cellStyle name="CALC Amount Total 71 6 2 2" xfId="42200"/>
    <cellStyle name="CALC Amount Total 71 6 3" xfId="35513"/>
    <cellStyle name="CALC Amount Total 71 6 4" xfId="42201"/>
    <cellStyle name="CALC Amount Total 71 7" xfId="21023"/>
    <cellStyle name="CALC Amount Total 71 7 2" xfId="29340"/>
    <cellStyle name="CALC Amount Total 71 7 2 2" xfId="42202"/>
    <cellStyle name="CALC Amount Total 71 7 3" xfId="36420"/>
    <cellStyle name="CALC Amount Total 71 7 4" xfId="42203"/>
    <cellStyle name="CALC Amount Total 71 8" xfId="21530"/>
    <cellStyle name="CALC Amount Total 71 8 2" xfId="29831"/>
    <cellStyle name="CALC Amount Total 71 8 2 2" xfId="42204"/>
    <cellStyle name="CALC Amount Total 71 8 3" xfId="36890"/>
    <cellStyle name="CALC Amount Total 71 8 4" xfId="42205"/>
    <cellStyle name="CALC Amount Total 71 9" xfId="22458"/>
    <cellStyle name="CALC Amount Total 71 9 2" xfId="30754"/>
    <cellStyle name="CALC Amount Total 71 9 2 2" xfId="42206"/>
    <cellStyle name="CALC Amount Total 71 9 3" xfId="37773"/>
    <cellStyle name="CALC Amount Total 71 9 4" xfId="42207"/>
    <cellStyle name="CALC Amount Total 72" xfId="15074"/>
    <cellStyle name="CALC Amount Total 72 10" xfId="23434"/>
    <cellStyle name="CALC Amount Total 72 10 2" xfId="42208"/>
    <cellStyle name="CALC Amount Total 72 11" xfId="42209"/>
    <cellStyle name="CALC Amount Total 72 12" xfId="42210"/>
    <cellStyle name="CALC Amount Total 72 2" xfId="16154"/>
    <cellStyle name="CALC Amount Total 72 2 2" xfId="24469"/>
    <cellStyle name="CALC Amount Total 72 2 2 2" xfId="42211"/>
    <cellStyle name="CALC Amount Total 72 2 3" xfId="31746"/>
    <cellStyle name="CALC Amount Total 72 2 4" xfId="42212"/>
    <cellStyle name="CALC Amount Total 72 3" xfId="17121"/>
    <cellStyle name="CALC Amount Total 72 3 2" xfId="25442"/>
    <cellStyle name="CALC Amount Total 72 3 2 2" xfId="42213"/>
    <cellStyle name="CALC Amount Total 72 3 3" xfId="32680"/>
    <cellStyle name="CALC Amount Total 72 3 4" xfId="42214"/>
    <cellStyle name="CALC Amount Total 72 4" xfId="18148"/>
    <cellStyle name="CALC Amount Total 72 4 2" xfId="26468"/>
    <cellStyle name="CALC Amount Total 72 4 2 2" xfId="42215"/>
    <cellStyle name="CALC Amount Total 72 4 3" xfId="33657"/>
    <cellStyle name="CALC Amount Total 72 4 4" xfId="42216"/>
    <cellStyle name="CALC Amount Total 72 5" xfId="19132"/>
    <cellStyle name="CALC Amount Total 72 5 2" xfId="27452"/>
    <cellStyle name="CALC Amount Total 72 5 2 2" xfId="42217"/>
    <cellStyle name="CALC Amount Total 72 5 3" xfId="34600"/>
    <cellStyle name="CALC Amount Total 72 5 4" xfId="42218"/>
    <cellStyle name="CALC Amount Total 72 6" xfId="20100"/>
    <cellStyle name="CALC Amount Total 72 6 2" xfId="28422"/>
    <cellStyle name="CALC Amount Total 72 6 2 2" xfId="42219"/>
    <cellStyle name="CALC Amount Total 72 6 3" xfId="35547"/>
    <cellStyle name="CALC Amount Total 72 6 4" xfId="42220"/>
    <cellStyle name="CALC Amount Total 72 7" xfId="21057"/>
    <cellStyle name="CALC Amount Total 72 7 2" xfId="29374"/>
    <cellStyle name="CALC Amount Total 72 7 2 2" xfId="42221"/>
    <cellStyle name="CALC Amount Total 72 7 3" xfId="36454"/>
    <cellStyle name="CALC Amount Total 72 7 4" xfId="42222"/>
    <cellStyle name="CALC Amount Total 72 8" xfId="21564"/>
    <cellStyle name="CALC Amount Total 72 8 2" xfId="29865"/>
    <cellStyle name="CALC Amount Total 72 8 2 2" xfId="42223"/>
    <cellStyle name="CALC Amount Total 72 8 3" xfId="36924"/>
    <cellStyle name="CALC Amount Total 72 8 4" xfId="42224"/>
    <cellStyle name="CALC Amount Total 72 9" xfId="22492"/>
    <cellStyle name="CALC Amount Total 72 9 2" xfId="30788"/>
    <cellStyle name="CALC Amount Total 72 9 2 2" xfId="42225"/>
    <cellStyle name="CALC Amount Total 72 9 3" xfId="37807"/>
    <cellStyle name="CALC Amount Total 72 9 4" xfId="42226"/>
    <cellStyle name="CALC Amount Total 73" xfId="15115"/>
    <cellStyle name="CALC Amount Total 73 10" xfId="42227"/>
    <cellStyle name="CALC Amount Total 73 11" xfId="42228"/>
    <cellStyle name="CALC Amount Total 73 2" xfId="16195"/>
    <cellStyle name="CALC Amount Total 73 2 2" xfId="24508"/>
    <cellStyle name="CALC Amount Total 73 2 2 2" xfId="42229"/>
    <cellStyle name="CALC Amount Total 73 2 3" xfId="31785"/>
    <cellStyle name="CALC Amount Total 73 2 4" xfId="42230"/>
    <cellStyle name="CALC Amount Total 73 3" xfId="17161"/>
    <cellStyle name="CALC Amount Total 73 3 2" xfId="25482"/>
    <cellStyle name="CALC Amount Total 73 3 2 2" xfId="42231"/>
    <cellStyle name="CALC Amount Total 73 3 3" xfId="32718"/>
    <cellStyle name="CALC Amount Total 73 3 4" xfId="42232"/>
    <cellStyle name="CALC Amount Total 73 4" xfId="18189"/>
    <cellStyle name="CALC Amount Total 73 4 2" xfId="26509"/>
    <cellStyle name="CALC Amount Total 73 4 2 2" xfId="42233"/>
    <cellStyle name="CALC Amount Total 73 4 3" xfId="33696"/>
    <cellStyle name="CALC Amount Total 73 4 4" xfId="42234"/>
    <cellStyle name="CALC Amount Total 73 5" xfId="19173"/>
    <cellStyle name="CALC Amount Total 73 5 2" xfId="27493"/>
    <cellStyle name="CALC Amount Total 73 5 2 2" xfId="42235"/>
    <cellStyle name="CALC Amount Total 73 5 3" xfId="34641"/>
    <cellStyle name="CALC Amount Total 73 5 4" xfId="42236"/>
    <cellStyle name="CALC Amount Total 73 6" xfId="20141"/>
    <cellStyle name="CALC Amount Total 73 6 2" xfId="28463"/>
    <cellStyle name="CALC Amount Total 73 6 2 2" xfId="42237"/>
    <cellStyle name="CALC Amount Total 73 6 3" xfId="35588"/>
    <cellStyle name="CALC Amount Total 73 6 4" xfId="42238"/>
    <cellStyle name="CALC Amount Total 73 7" xfId="21602"/>
    <cellStyle name="CALC Amount Total 73 7 2" xfId="29903"/>
    <cellStyle name="CALC Amount Total 73 7 2 2" xfId="42239"/>
    <cellStyle name="CALC Amount Total 73 7 3" xfId="36962"/>
    <cellStyle name="CALC Amount Total 73 7 4" xfId="42240"/>
    <cellStyle name="CALC Amount Total 73 8" xfId="22530"/>
    <cellStyle name="CALC Amount Total 73 8 2" xfId="30826"/>
    <cellStyle name="CALC Amount Total 73 8 2 2" xfId="42241"/>
    <cellStyle name="CALC Amount Total 73 8 3" xfId="37845"/>
    <cellStyle name="CALC Amount Total 73 8 4" xfId="42242"/>
    <cellStyle name="CALC Amount Total 73 9" xfId="23472"/>
    <cellStyle name="CALC Amount Total 73 9 2" xfId="42243"/>
    <cellStyle name="CALC Amount Total 74" xfId="15113"/>
    <cellStyle name="CALC Amount Total 74 10" xfId="42244"/>
    <cellStyle name="CALC Amount Total 74 11" xfId="42245"/>
    <cellStyle name="CALC Amount Total 74 2" xfId="16193"/>
    <cellStyle name="CALC Amount Total 74 2 2" xfId="24506"/>
    <cellStyle name="CALC Amount Total 74 2 2 2" xfId="42246"/>
    <cellStyle name="CALC Amount Total 74 2 3" xfId="31783"/>
    <cellStyle name="CALC Amount Total 74 2 4" xfId="42247"/>
    <cellStyle name="CALC Amount Total 74 3" xfId="17159"/>
    <cellStyle name="CALC Amount Total 74 3 2" xfId="25480"/>
    <cellStyle name="CALC Amount Total 74 3 2 2" xfId="42248"/>
    <cellStyle name="CALC Amount Total 74 3 3" xfId="32716"/>
    <cellStyle name="CALC Amount Total 74 3 4" xfId="42249"/>
    <cellStyle name="CALC Amount Total 74 4" xfId="18187"/>
    <cellStyle name="CALC Amount Total 74 4 2" xfId="26507"/>
    <cellStyle name="CALC Amount Total 74 4 2 2" xfId="42250"/>
    <cellStyle name="CALC Amount Total 74 4 3" xfId="33694"/>
    <cellStyle name="CALC Amount Total 74 4 4" xfId="42251"/>
    <cellStyle name="CALC Amount Total 74 5" xfId="19171"/>
    <cellStyle name="CALC Amount Total 74 5 2" xfId="27491"/>
    <cellStyle name="CALC Amount Total 74 5 2 2" xfId="42252"/>
    <cellStyle name="CALC Amount Total 74 5 3" xfId="34639"/>
    <cellStyle name="CALC Amount Total 74 5 4" xfId="42253"/>
    <cellStyle name="CALC Amount Total 74 6" xfId="20139"/>
    <cellStyle name="CALC Amount Total 74 6 2" xfId="28461"/>
    <cellStyle name="CALC Amount Total 74 6 2 2" xfId="42254"/>
    <cellStyle name="CALC Amount Total 74 6 3" xfId="35586"/>
    <cellStyle name="CALC Amount Total 74 6 4" xfId="42255"/>
    <cellStyle name="CALC Amount Total 74 7" xfId="21600"/>
    <cellStyle name="CALC Amount Total 74 7 2" xfId="29901"/>
    <cellStyle name="CALC Amount Total 74 7 2 2" xfId="42256"/>
    <cellStyle name="CALC Amount Total 74 7 3" xfId="36960"/>
    <cellStyle name="CALC Amount Total 74 7 4" xfId="42257"/>
    <cellStyle name="CALC Amount Total 74 8" xfId="22528"/>
    <cellStyle name="CALC Amount Total 74 8 2" xfId="30824"/>
    <cellStyle name="CALC Amount Total 74 8 2 2" xfId="42258"/>
    <cellStyle name="CALC Amount Total 74 8 3" xfId="37843"/>
    <cellStyle name="CALC Amount Total 74 8 4" xfId="42259"/>
    <cellStyle name="CALC Amount Total 74 9" xfId="23470"/>
    <cellStyle name="CALC Amount Total 74 9 2" xfId="42260"/>
    <cellStyle name="CALC Amount Total 75" xfId="15087"/>
    <cellStyle name="CALC Amount Total 75 10" xfId="42261"/>
    <cellStyle name="CALC Amount Total 75 11" xfId="42262"/>
    <cellStyle name="CALC Amount Total 75 2" xfId="16167"/>
    <cellStyle name="CALC Amount Total 75 2 2" xfId="24480"/>
    <cellStyle name="CALC Amount Total 75 2 2 2" xfId="42263"/>
    <cellStyle name="CALC Amount Total 75 2 3" xfId="31757"/>
    <cellStyle name="CALC Amount Total 75 2 4" xfId="42264"/>
    <cellStyle name="CALC Amount Total 75 3" xfId="17133"/>
    <cellStyle name="CALC Amount Total 75 3 2" xfId="25454"/>
    <cellStyle name="CALC Amount Total 75 3 2 2" xfId="42265"/>
    <cellStyle name="CALC Amount Total 75 3 3" xfId="32690"/>
    <cellStyle name="CALC Amount Total 75 3 4" xfId="42266"/>
    <cellStyle name="CALC Amount Total 75 4" xfId="18161"/>
    <cellStyle name="CALC Amount Total 75 4 2" xfId="26481"/>
    <cellStyle name="CALC Amount Total 75 4 2 2" xfId="42267"/>
    <cellStyle name="CALC Amount Total 75 4 3" xfId="33668"/>
    <cellStyle name="CALC Amount Total 75 4 4" xfId="42268"/>
    <cellStyle name="CALC Amount Total 75 5" xfId="19145"/>
    <cellStyle name="CALC Amount Total 75 5 2" xfId="27465"/>
    <cellStyle name="CALC Amount Total 75 5 2 2" xfId="42269"/>
    <cellStyle name="CALC Amount Total 75 5 3" xfId="34613"/>
    <cellStyle name="CALC Amount Total 75 5 4" xfId="42270"/>
    <cellStyle name="CALC Amount Total 75 6" xfId="20113"/>
    <cellStyle name="CALC Amount Total 75 6 2" xfId="28435"/>
    <cellStyle name="CALC Amount Total 75 6 2 2" xfId="42271"/>
    <cellStyle name="CALC Amount Total 75 6 3" xfId="35560"/>
    <cellStyle name="CALC Amount Total 75 6 4" xfId="42272"/>
    <cellStyle name="CALC Amount Total 75 7" xfId="21574"/>
    <cellStyle name="CALC Amount Total 75 7 2" xfId="29875"/>
    <cellStyle name="CALC Amount Total 75 7 2 2" xfId="42273"/>
    <cellStyle name="CALC Amount Total 75 7 3" xfId="36934"/>
    <cellStyle name="CALC Amount Total 75 7 4" xfId="42274"/>
    <cellStyle name="CALC Amount Total 75 8" xfId="22502"/>
    <cellStyle name="CALC Amount Total 75 8 2" xfId="30798"/>
    <cellStyle name="CALC Amount Total 75 8 2 2" xfId="42275"/>
    <cellStyle name="CALC Amount Total 75 8 3" xfId="37817"/>
    <cellStyle name="CALC Amount Total 75 8 4" xfId="42276"/>
    <cellStyle name="CALC Amount Total 75 9" xfId="23444"/>
    <cellStyle name="CALC Amount Total 75 9 2" xfId="42277"/>
    <cellStyle name="CALC Amount Total 76" xfId="15106"/>
    <cellStyle name="CALC Amount Total 76 10" xfId="42278"/>
    <cellStyle name="CALC Amount Total 76 11" xfId="42279"/>
    <cellStyle name="CALC Amount Total 76 2" xfId="16186"/>
    <cellStyle name="CALC Amount Total 76 2 2" xfId="24499"/>
    <cellStyle name="CALC Amount Total 76 2 2 2" xfId="42280"/>
    <cellStyle name="CALC Amount Total 76 2 3" xfId="31776"/>
    <cellStyle name="CALC Amount Total 76 2 4" xfId="42281"/>
    <cellStyle name="CALC Amount Total 76 3" xfId="17152"/>
    <cellStyle name="CALC Amount Total 76 3 2" xfId="25473"/>
    <cellStyle name="CALC Amount Total 76 3 2 2" xfId="42282"/>
    <cellStyle name="CALC Amount Total 76 3 3" xfId="32709"/>
    <cellStyle name="CALC Amount Total 76 3 4" xfId="42283"/>
    <cellStyle name="CALC Amount Total 76 4" xfId="18180"/>
    <cellStyle name="CALC Amount Total 76 4 2" xfId="26500"/>
    <cellStyle name="CALC Amount Total 76 4 2 2" xfId="42284"/>
    <cellStyle name="CALC Amount Total 76 4 3" xfId="33687"/>
    <cellStyle name="CALC Amount Total 76 4 4" xfId="42285"/>
    <cellStyle name="CALC Amount Total 76 5" xfId="19164"/>
    <cellStyle name="CALC Amount Total 76 5 2" xfId="27484"/>
    <cellStyle name="CALC Amount Total 76 5 2 2" xfId="42286"/>
    <cellStyle name="CALC Amount Total 76 5 3" xfId="34632"/>
    <cellStyle name="CALC Amount Total 76 5 4" xfId="42287"/>
    <cellStyle name="CALC Amount Total 76 6" xfId="20132"/>
    <cellStyle name="CALC Amount Total 76 6 2" xfId="28454"/>
    <cellStyle name="CALC Amount Total 76 6 2 2" xfId="42288"/>
    <cellStyle name="CALC Amount Total 76 6 3" xfId="35579"/>
    <cellStyle name="CALC Amount Total 76 6 4" xfId="42289"/>
    <cellStyle name="CALC Amount Total 76 7" xfId="21593"/>
    <cellStyle name="CALC Amount Total 76 7 2" xfId="29894"/>
    <cellStyle name="CALC Amount Total 76 7 2 2" xfId="42290"/>
    <cellStyle name="CALC Amount Total 76 7 3" xfId="36953"/>
    <cellStyle name="CALC Amount Total 76 7 4" xfId="42291"/>
    <cellStyle name="CALC Amount Total 76 8" xfId="22521"/>
    <cellStyle name="CALC Amount Total 76 8 2" xfId="30817"/>
    <cellStyle name="CALC Amount Total 76 8 2 2" xfId="42292"/>
    <cellStyle name="CALC Amount Total 76 8 3" xfId="37836"/>
    <cellStyle name="CALC Amount Total 76 8 4" xfId="42293"/>
    <cellStyle name="CALC Amount Total 76 9" xfId="23463"/>
    <cellStyle name="CALC Amount Total 76 9 2" xfId="42294"/>
    <cellStyle name="CALC Amount Total 77" xfId="15093"/>
    <cellStyle name="CALC Amount Total 77 10" xfId="42295"/>
    <cellStyle name="CALC Amount Total 77 11" xfId="42296"/>
    <cellStyle name="CALC Amount Total 77 2" xfId="16173"/>
    <cellStyle name="CALC Amount Total 77 2 2" xfId="24486"/>
    <cellStyle name="CALC Amount Total 77 2 2 2" xfId="42297"/>
    <cellStyle name="CALC Amount Total 77 2 3" xfId="31763"/>
    <cellStyle name="CALC Amount Total 77 2 4" xfId="42298"/>
    <cellStyle name="CALC Amount Total 77 3" xfId="17139"/>
    <cellStyle name="CALC Amount Total 77 3 2" xfId="25460"/>
    <cellStyle name="CALC Amount Total 77 3 2 2" xfId="42299"/>
    <cellStyle name="CALC Amount Total 77 3 3" xfId="32696"/>
    <cellStyle name="CALC Amount Total 77 3 4" xfId="42300"/>
    <cellStyle name="CALC Amount Total 77 4" xfId="18167"/>
    <cellStyle name="CALC Amount Total 77 4 2" xfId="26487"/>
    <cellStyle name="CALC Amount Total 77 4 2 2" xfId="42301"/>
    <cellStyle name="CALC Amount Total 77 4 3" xfId="33674"/>
    <cellStyle name="CALC Amount Total 77 4 4" xfId="42302"/>
    <cellStyle name="CALC Amount Total 77 5" xfId="19151"/>
    <cellStyle name="CALC Amount Total 77 5 2" xfId="27471"/>
    <cellStyle name="CALC Amount Total 77 5 2 2" xfId="42303"/>
    <cellStyle name="CALC Amount Total 77 5 3" xfId="34619"/>
    <cellStyle name="CALC Amount Total 77 5 4" xfId="42304"/>
    <cellStyle name="CALC Amount Total 77 6" xfId="20119"/>
    <cellStyle name="CALC Amount Total 77 6 2" xfId="28441"/>
    <cellStyle name="CALC Amount Total 77 6 2 2" xfId="42305"/>
    <cellStyle name="CALC Amount Total 77 6 3" xfId="35566"/>
    <cellStyle name="CALC Amount Total 77 6 4" xfId="42306"/>
    <cellStyle name="CALC Amount Total 77 7" xfId="21580"/>
    <cellStyle name="CALC Amount Total 77 7 2" xfId="29881"/>
    <cellStyle name="CALC Amount Total 77 7 2 2" xfId="42307"/>
    <cellStyle name="CALC Amount Total 77 7 3" xfId="36940"/>
    <cellStyle name="CALC Amount Total 77 7 4" xfId="42308"/>
    <cellStyle name="CALC Amount Total 77 8" xfId="22508"/>
    <cellStyle name="CALC Amount Total 77 8 2" xfId="30804"/>
    <cellStyle name="CALC Amount Total 77 8 2 2" xfId="42309"/>
    <cellStyle name="CALC Amount Total 77 8 3" xfId="37823"/>
    <cellStyle name="CALC Amount Total 77 8 4" xfId="42310"/>
    <cellStyle name="CALC Amount Total 77 9" xfId="23450"/>
    <cellStyle name="CALC Amount Total 77 9 2" xfId="42311"/>
    <cellStyle name="CALC Amount Total 78" xfId="15235"/>
    <cellStyle name="CALC Amount Total 78 10" xfId="42312"/>
    <cellStyle name="CALC Amount Total 78 11" xfId="42313"/>
    <cellStyle name="CALC Amount Total 78 2" xfId="16315"/>
    <cellStyle name="CALC Amount Total 78 2 2" xfId="24628"/>
    <cellStyle name="CALC Amount Total 78 2 2 2" xfId="42314"/>
    <cellStyle name="CALC Amount Total 78 2 3" xfId="31895"/>
    <cellStyle name="CALC Amount Total 78 2 4" xfId="42315"/>
    <cellStyle name="CALC Amount Total 78 3" xfId="17281"/>
    <cellStyle name="CALC Amount Total 78 3 2" xfId="25602"/>
    <cellStyle name="CALC Amount Total 78 3 2 2" xfId="42316"/>
    <cellStyle name="CALC Amount Total 78 3 3" xfId="32828"/>
    <cellStyle name="CALC Amount Total 78 3 4" xfId="42317"/>
    <cellStyle name="CALC Amount Total 78 4" xfId="18309"/>
    <cellStyle name="CALC Amount Total 78 4 2" xfId="26629"/>
    <cellStyle name="CALC Amount Total 78 4 2 2" xfId="42318"/>
    <cellStyle name="CALC Amount Total 78 4 3" xfId="33806"/>
    <cellStyle name="CALC Amount Total 78 4 4" xfId="42319"/>
    <cellStyle name="CALC Amount Total 78 5" xfId="19293"/>
    <cellStyle name="CALC Amount Total 78 5 2" xfId="27613"/>
    <cellStyle name="CALC Amount Total 78 5 2 2" xfId="42320"/>
    <cellStyle name="CALC Amount Total 78 5 3" xfId="34761"/>
    <cellStyle name="CALC Amount Total 78 5 4" xfId="42321"/>
    <cellStyle name="CALC Amount Total 78 6" xfId="20261"/>
    <cellStyle name="CALC Amount Total 78 6 2" xfId="28583"/>
    <cellStyle name="CALC Amount Total 78 6 2 2" xfId="42322"/>
    <cellStyle name="CALC Amount Total 78 6 3" xfId="35698"/>
    <cellStyle name="CALC Amount Total 78 6 4" xfId="42323"/>
    <cellStyle name="CALC Amount Total 78 7" xfId="21722"/>
    <cellStyle name="CALC Amount Total 78 7 2" xfId="30023"/>
    <cellStyle name="CALC Amount Total 78 7 2 2" xfId="42324"/>
    <cellStyle name="CALC Amount Total 78 7 3" xfId="37072"/>
    <cellStyle name="CALC Amount Total 78 7 4" xfId="42325"/>
    <cellStyle name="CALC Amount Total 78 8" xfId="22650"/>
    <cellStyle name="CALC Amount Total 78 8 2" xfId="30946"/>
    <cellStyle name="CALC Amount Total 78 8 2 2" xfId="42326"/>
    <cellStyle name="CALC Amount Total 78 8 3" xfId="37955"/>
    <cellStyle name="CALC Amount Total 78 8 4" xfId="42327"/>
    <cellStyle name="CALC Amount Total 78 9" xfId="23592"/>
    <cellStyle name="CALC Amount Total 78 9 2" xfId="42328"/>
    <cellStyle name="CALC Amount Total 79" xfId="15242"/>
    <cellStyle name="CALC Amount Total 79 10" xfId="42329"/>
    <cellStyle name="CALC Amount Total 79 11" xfId="42330"/>
    <cellStyle name="CALC Amount Total 79 2" xfId="16322"/>
    <cellStyle name="CALC Amount Total 79 2 2" xfId="24635"/>
    <cellStyle name="CALC Amount Total 79 2 2 2" xfId="42331"/>
    <cellStyle name="CALC Amount Total 79 2 3" xfId="31902"/>
    <cellStyle name="CALC Amount Total 79 2 4" xfId="42332"/>
    <cellStyle name="CALC Amount Total 79 3" xfId="17288"/>
    <cellStyle name="CALC Amount Total 79 3 2" xfId="25609"/>
    <cellStyle name="CALC Amount Total 79 3 2 2" xfId="42333"/>
    <cellStyle name="CALC Amount Total 79 3 3" xfId="32835"/>
    <cellStyle name="CALC Amount Total 79 3 4" xfId="42334"/>
    <cellStyle name="CALC Amount Total 79 4" xfId="18316"/>
    <cellStyle name="CALC Amount Total 79 4 2" xfId="26636"/>
    <cellStyle name="CALC Amount Total 79 4 2 2" xfId="42335"/>
    <cellStyle name="CALC Amount Total 79 4 3" xfId="33813"/>
    <cellStyle name="CALC Amount Total 79 4 4" xfId="42336"/>
    <cellStyle name="CALC Amount Total 79 5" xfId="19300"/>
    <cellStyle name="CALC Amount Total 79 5 2" xfId="27620"/>
    <cellStyle name="CALC Amount Total 79 5 2 2" xfId="42337"/>
    <cellStyle name="CALC Amount Total 79 5 3" xfId="34768"/>
    <cellStyle name="CALC Amount Total 79 5 4" xfId="42338"/>
    <cellStyle name="CALC Amount Total 79 6" xfId="20268"/>
    <cellStyle name="CALC Amount Total 79 6 2" xfId="28590"/>
    <cellStyle name="CALC Amount Total 79 6 2 2" xfId="42339"/>
    <cellStyle name="CALC Amount Total 79 6 3" xfId="35705"/>
    <cellStyle name="CALC Amount Total 79 6 4" xfId="42340"/>
    <cellStyle name="CALC Amount Total 79 7" xfId="21729"/>
    <cellStyle name="CALC Amount Total 79 7 2" xfId="30030"/>
    <cellStyle name="CALC Amount Total 79 7 2 2" xfId="42341"/>
    <cellStyle name="CALC Amount Total 79 7 3" xfId="37079"/>
    <cellStyle name="CALC Amount Total 79 7 4" xfId="42342"/>
    <cellStyle name="CALC Amount Total 79 8" xfId="22657"/>
    <cellStyle name="CALC Amount Total 79 8 2" xfId="30953"/>
    <cellStyle name="CALC Amount Total 79 8 2 2" xfId="42343"/>
    <cellStyle name="CALC Amount Total 79 8 3" xfId="37962"/>
    <cellStyle name="CALC Amount Total 79 8 4" xfId="42344"/>
    <cellStyle name="CALC Amount Total 79 9" xfId="23599"/>
    <cellStyle name="CALC Amount Total 79 9 2" xfId="42345"/>
    <cellStyle name="CALC Amount Total 8" xfId="14637"/>
    <cellStyle name="CALC Amount Total 8 10" xfId="22999"/>
    <cellStyle name="CALC Amount Total 8 10 2" xfId="42346"/>
    <cellStyle name="CALC Amount Total 8 11" xfId="42347"/>
    <cellStyle name="CALC Amount Total 8 2" xfId="15718"/>
    <cellStyle name="CALC Amount Total 8 2 2" xfId="24034"/>
    <cellStyle name="CALC Amount Total 8 2 2 2" xfId="42348"/>
    <cellStyle name="CALC Amount Total 8 2 3" xfId="31327"/>
    <cellStyle name="CALC Amount Total 8 2 4" xfId="42349"/>
    <cellStyle name="CALC Amount Total 8 3" xfId="16684"/>
    <cellStyle name="CALC Amount Total 8 3 2" xfId="25005"/>
    <cellStyle name="CALC Amount Total 8 3 2 2" xfId="42350"/>
    <cellStyle name="CALC Amount Total 8 3 3" xfId="32260"/>
    <cellStyle name="CALC Amount Total 8 3 4" xfId="42351"/>
    <cellStyle name="CALC Amount Total 8 4" xfId="17708"/>
    <cellStyle name="CALC Amount Total 8 4 2" xfId="26031"/>
    <cellStyle name="CALC Amount Total 8 4 2 2" xfId="42352"/>
    <cellStyle name="CALC Amount Total 8 4 3" xfId="33237"/>
    <cellStyle name="CALC Amount Total 8 4 4" xfId="42353"/>
    <cellStyle name="CALC Amount Total 8 5" xfId="18691"/>
    <cellStyle name="CALC Amount Total 8 5 2" xfId="27012"/>
    <cellStyle name="CALC Amount Total 8 5 2 2" xfId="42354"/>
    <cellStyle name="CALC Amount Total 8 5 3" xfId="34176"/>
    <cellStyle name="CALC Amount Total 8 5 4" xfId="42355"/>
    <cellStyle name="CALC Amount Total 8 6" xfId="19660"/>
    <cellStyle name="CALC Amount Total 8 6 2" xfId="27981"/>
    <cellStyle name="CALC Amount Total 8 6 2 2" xfId="42356"/>
    <cellStyle name="CALC Amount Total 8 6 3" xfId="35122"/>
    <cellStyle name="CALC Amount Total 8 6 4" xfId="42357"/>
    <cellStyle name="CALC Amount Total 8 7" xfId="20617"/>
    <cellStyle name="CALC Amount Total 8 7 2" xfId="28938"/>
    <cellStyle name="CALC Amount Total 8 7 2 2" xfId="42358"/>
    <cellStyle name="CALC Amount Total 8 7 3" xfId="36037"/>
    <cellStyle name="CALC Amount Total 8 7 4" xfId="42359"/>
    <cellStyle name="CALC Amount Total 8 8" xfId="21354"/>
    <cellStyle name="CALC Amount Total 8 8 2" xfId="29657"/>
    <cellStyle name="CALC Amount Total 8 8 2 2" xfId="42360"/>
    <cellStyle name="CALC Amount Total 8 8 3" xfId="36722"/>
    <cellStyle name="CALC Amount Total 8 8 4" xfId="42361"/>
    <cellStyle name="CALC Amount Total 8 9" xfId="22054"/>
    <cellStyle name="CALC Amount Total 8 9 2" xfId="30352"/>
    <cellStyle name="CALC Amount Total 8 9 2 2" xfId="42362"/>
    <cellStyle name="CALC Amount Total 8 9 3" xfId="37388"/>
    <cellStyle name="CALC Amount Total 8 9 4" xfId="42363"/>
    <cellStyle name="CALC Amount Total 80" xfId="15219"/>
    <cellStyle name="CALC Amount Total 80 10" xfId="42364"/>
    <cellStyle name="CALC Amount Total 80 11" xfId="42365"/>
    <cellStyle name="CALC Amount Total 80 2" xfId="16299"/>
    <cellStyle name="CALC Amount Total 80 2 2" xfId="24612"/>
    <cellStyle name="CALC Amount Total 80 2 2 2" xfId="42366"/>
    <cellStyle name="CALC Amount Total 80 2 3" xfId="31881"/>
    <cellStyle name="CALC Amount Total 80 2 4" xfId="42367"/>
    <cellStyle name="CALC Amount Total 80 3" xfId="17265"/>
    <cellStyle name="CALC Amount Total 80 3 2" xfId="25586"/>
    <cellStyle name="CALC Amount Total 80 3 2 2" xfId="42368"/>
    <cellStyle name="CALC Amount Total 80 3 3" xfId="32814"/>
    <cellStyle name="CALC Amount Total 80 3 4" xfId="42369"/>
    <cellStyle name="CALC Amount Total 80 4" xfId="18293"/>
    <cellStyle name="CALC Amount Total 80 4 2" xfId="26613"/>
    <cellStyle name="CALC Amount Total 80 4 2 2" xfId="42370"/>
    <cellStyle name="CALC Amount Total 80 4 3" xfId="33792"/>
    <cellStyle name="CALC Amount Total 80 4 4" xfId="42371"/>
    <cellStyle name="CALC Amount Total 80 5" xfId="19277"/>
    <cellStyle name="CALC Amount Total 80 5 2" xfId="27597"/>
    <cellStyle name="CALC Amount Total 80 5 2 2" xfId="42372"/>
    <cellStyle name="CALC Amount Total 80 5 3" xfId="34745"/>
    <cellStyle name="CALC Amount Total 80 5 4" xfId="42373"/>
    <cellStyle name="CALC Amount Total 80 6" xfId="20245"/>
    <cellStyle name="CALC Amount Total 80 6 2" xfId="28567"/>
    <cellStyle name="CALC Amount Total 80 6 2 2" xfId="42374"/>
    <cellStyle name="CALC Amount Total 80 6 3" xfId="35684"/>
    <cellStyle name="CALC Amount Total 80 6 4" xfId="42375"/>
    <cellStyle name="CALC Amount Total 80 7" xfId="21706"/>
    <cellStyle name="CALC Amount Total 80 7 2" xfId="30007"/>
    <cellStyle name="CALC Amount Total 80 7 2 2" xfId="42376"/>
    <cellStyle name="CALC Amount Total 80 7 3" xfId="37058"/>
    <cellStyle name="CALC Amount Total 80 7 4" xfId="42377"/>
    <cellStyle name="CALC Amount Total 80 8" xfId="22634"/>
    <cellStyle name="CALC Amount Total 80 8 2" xfId="30930"/>
    <cellStyle name="CALC Amount Total 80 8 2 2" xfId="42378"/>
    <cellStyle name="CALC Amount Total 80 8 3" xfId="37941"/>
    <cellStyle name="CALC Amount Total 80 8 4" xfId="42379"/>
    <cellStyle name="CALC Amount Total 80 9" xfId="23576"/>
    <cellStyle name="CALC Amount Total 80 9 2" xfId="42380"/>
    <cellStyle name="CALC Amount Total 81" xfId="15251"/>
    <cellStyle name="CALC Amount Total 81 10" xfId="42381"/>
    <cellStyle name="CALC Amount Total 81 11" xfId="42382"/>
    <cellStyle name="CALC Amount Total 81 2" xfId="16331"/>
    <cellStyle name="CALC Amount Total 81 2 2" xfId="24644"/>
    <cellStyle name="CALC Amount Total 81 2 2 2" xfId="42383"/>
    <cellStyle name="CALC Amount Total 81 2 3" xfId="31911"/>
    <cellStyle name="CALC Amount Total 81 2 4" xfId="42384"/>
    <cellStyle name="CALC Amount Total 81 3" xfId="17297"/>
    <cellStyle name="CALC Amount Total 81 3 2" xfId="25618"/>
    <cellStyle name="CALC Amount Total 81 3 2 2" xfId="42385"/>
    <cellStyle name="CALC Amount Total 81 3 3" xfId="32844"/>
    <cellStyle name="CALC Amount Total 81 3 4" xfId="42386"/>
    <cellStyle name="CALC Amount Total 81 4" xfId="18325"/>
    <cellStyle name="CALC Amount Total 81 4 2" xfId="26645"/>
    <cellStyle name="CALC Amount Total 81 4 2 2" xfId="42387"/>
    <cellStyle name="CALC Amount Total 81 4 3" xfId="33822"/>
    <cellStyle name="CALC Amount Total 81 4 4" xfId="42388"/>
    <cellStyle name="CALC Amount Total 81 5" xfId="19309"/>
    <cellStyle name="CALC Amount Total 81 5 2" xfId="27629"/>
    <cellStyle name="CALC Amount Total 81 5 2 2" xfId="42389"/>
    <cellStyle name="CALC Amount Total 81 5 3" xfId="34777"/>
    <cellStyle name="CALC Amount Total 81 5 4" xfId="42390"/>
    <cellStyle name="CALC Amount Total 81 6" xfId="20277"/>
    <cellStyle name="CALC Amount Total 81 6 2" xfId="28599"/>
    <cellStyle name="CALC Amount Total 81 6 2 2" xfId="42391"/>
    <cellStyle name="CALC Amount Total 81 6 3" xfId="35714"/>
    <cellStyle name="CALC Amount Total 81 6 4" xfId="42392"/>
    <cellStyle name="CALC Amount Total 81 7" xfId="21738"/>
    <cellStyle name="CALC Amount Total 81 7 2" xfId="30039"/>
    <cellStyle name="CALC Amount Total 81 7 2 2" xfId="42393"/>
    <cellStyle name="CALC Amount Total 81 7 3" xfId="37088"/>
    <cellStyle name="CALC Amount Total 81 7 4" xfId="42394"/>
    <cellStyle name="CALC Amount Total 81 8" xfId="22666"/>
    <cellStyle name="CALC Amount Total 81 8 2" xfId="30962"/>
    <cellStyle name="CALC Amount Total 81 8 2 2" xfId="42395"/>
    <cellStyle name="CALC Amount Total 81 8 3" xfId="37971"/>
    <cellStyle name="CALC Amount Total 81 8 4" xfId="42396"/>
    <cellStyle name="CALC Amount Total 81 9" xfId="23608"/>
    <cellStyle name="CALC Amount Total 81 9 2" xfId="42397"/>
    <cellStyle name="CALC Amount Total 82" xfId="15249"/>
    <cellStyle name="CALC Amount Total 82 10" xfId="42398"/>
    <cellStyle name="CALC Amount Total 82 11" xfId="42399"/>
    <cellStyle name="CALC Amount Total 82 2" xfId="16329"/>
    <cellStyle name="CALC Amount Total 82 2 2" xfId="24642"/>
    <cellStyle name="CALC Amount Total 82 2 2 2" xfId="42400"/>
    <cellStyle name="CALC Amount Total 82 2 3" xfId="31909"/>
    <cellStyle name="CALC Amount Total 82 2 4" xfId="42401"/>
    <cellStyle name="CALC Amount Total 82 3" xfId="17295"/>
    <cellStyle name="CALC Amount Total 82 3 2" xfId="25616"/>
    <cellStyle name="CALC Amount Total 82 3 2 2" xfId="42402"/>
    <cellStyle name="CALC Amount Total 82 3 3" xfId="32842"/>
    <cellStyle name="CALC Amount Total 82 3 4" xfId="42403"/>
    <cellStyle name="CALC Amount Total 82 4" xfId="18323"/>
    <cellStyle name="CALC Amount Total 82 4 2" xfId="26643"/>
    <cellStyle name="CALC Amount Total 82 4 2 2" xfId="42404"/>
    <cellStyle name="CALC Amount Total 82 4 3" xfId="33820"/>
    <cellStyle name="CALC Amount Total 82 4 4" xfId="42405"/>
    <cellStyle name="CALC Amount Total 82 5" xfId="19307"/>
    <cellStyle name="CALC Amount Total 82 5 2" xfId="27627"/>
    <cellStyle name="CALC Amount Total 82 5 2 2" xfId="42406"/>
    <cellStyle name="CALC Amount Total 82 5 3" xfId="34775"/>
    <cellStyle name="CALC Amount Total 82 5 4" xfId="42407"/>
    <cellStyle name="CALC Amount Total 82 6" xfId="20275"/>
    <cellStyle name="CALC Amount Total 82 6 2" xfId="28597"/>
    <cellStyle name="CALC Amount Total 82 6 2 2" xfId="42408"/>
    <cellStyle name="CALC Amount Total 82 6 3" xfId="35712"/>
    <cellStyle name="CALC Amount Total 82 6 4" xfId="42409"/>
    <cellStyle name="CALC Amount Total 82 7" xfId="21736"/>
    <cellStyle name="CALC Amount Total 82 7 2" xfId="30037"/>
    <cellStyle name="CALC Amount Total 82 7 2 2" xfId="42410"/>
    <cellStyle name="CALC Amount Total 82 7 3" xfId="37086"/>
    <cellStyle name="CALC Amount Total 82 7 4" xfId="42411"/>
    <cellStyle name="CALC Amount Total 82 8" xfId="22664"/>
    <cellStyle name="CALC Amount Total 82 8 2" xfId="30960"/>
    <cellStyle name="CALC Amount Total 82 8 2 2" xfId="42412"/>
    <cellStyle name="CALC Amount Total 82 8 3" xfId="37969"/>
    <cellStyle name="CALC Amount Total 82 8 4" xfId="42413"/>
    <cellStyle name="CALC Amount Total 82 9" xfId="23606"/>
    <cellStyle name="CALC Amount Total 82 9 2" xfId="42414"/>
    <cellStyle name="CALC Amount Total 83" xfId="15252"/>
    <cellStyle name="CALC Amount Total 83 10" xfId="42415"/>
    <cellStyle name="CALC Amount Total 83 11" xfId="42416"/>
    <cellStyle name="CALC Amount Total 83 2" xfId="16332"/>
    <cellStyle name="CALC Amount Total 83 2 2" xfId="24645"/>
    <cellStyle name="CALC Amount Total 83 2 2 2" xfId="42417"/>
    <cellStyle name="CALC Amount Total 83 2 3" xfId="31912"/>
    <cellStyle name="CALC Amount Total 83 2 4" xfId="42418"/>
    <cellStyle name="CALC Amount Total 83 3" xfId="17298"/>
    <cellStyle name="CALC Amount Total 83 3 2" xfId="25619"/>
    <cellStyle name="CALC Amount Total 83 3 2 2" xfId="42419"/>
    <cellStyle name="CALC Amount Total 83 3 3" xfId="32845"/>
    <cellStyle name="CALC Amount Total 83 3 4" xfId="42420"/>
    <cellStyle name="CALC Amount Total 83 4" xfId="18326"/>
    <cellStyle name="CALC Amount Total 83 4 2" xfId="26646"/>
    <cellStyle name="CALC Amount Total 83 4 2 2" xfId="42421"/>
    <cellStyle name="CALC Amount Total 83 4 3" xfId="33823"/>
    <cellStyle name="CALC Amount Total 83 4 4" xfId="42422"/>
    <cellStyle name="CALC Amount Total 83 5" xfId="19310"/>
    <cellStyle name="CALC Amount Total 83 5 2" xfId="27630"/>
    <cellStyle name="CALC Amount Total 83 5 2 2" xfId="42423"/>
    <cellStyle name="CALC Amount Total 83 5 3" xfId="34778"/>
    <cellStyle name="CALC Amount Total 83 5 4" xfId="42424"/>
    <cellStyle name="CALC Amount Total 83 6" xfId="20278"/>
    <cellStyle name="CALC Amount Total 83 6 2" xfId="28600"/>
    <cellStyle name="CALC Amount Total 83 6 2 2" xfId="42425"/>
    <cellStyle name="CALC Amount Total 83 6 3" xfId="35715"/>
    <cellStyle name="CALC Amount Total 83 6 4" xfId="42426"/>
    <cellStyle name="CALC Amount Total 83 7" xfId="21739"/>
    <cellStyle name="CALC Amount Total 83 7 2" xfId="30040"/>
    <cellStyle name="CALC Amount Total 83 7 2 2" xfId="42427"/>
    <cellStyle name="CALC Amount Total 83 7 3" xfId="37089"/>
    <cellStyle name="CALC Amount Total 83 7 4" xfId="42428"/>
    <cellStyle name="CALC Amount Total 83 8" xfId="22667"/>
    <cellStyle name="CALC Amount Total 83 8 2" xfId="30963"/>
    <cellStyle name="CALC Amount Total 83 8 2 2" xfId="42429"/>
    <cellStyle name="CALC Amount Total 83 8 3" xfId="37972"/>
    <cellStyle name="CALC Amount Total 83 8 4" xfId="42430"/>
    <cellStyle name="CALC Amount Total 83 9" xfId="23609"/>
    <cellStyle name="CALC Amount Total 83 9 2" xfId="42431"/>
    <cellStyle name="CALC Amount Total 84" xfId="15230"/>
    <cellStyle name="CALC Amount Total 84 10" xfId="42432"/>
    <cellStyle name="CALC Amount Total 84 11" xfId="42433"/>
    <cellStyle name="CALC Amount Total 84 2" xfId="16310"/>
    <cellStyle name="CALC Amount Total 84 2 2" xfId="24623"/>
    <cellStyle name="CALC Amount Total 84 2 2 2" xfId="42434"/>
    <cellStyle name="CALC Amount Total 84 2 3" xfId="31890"/>
    <cellStyle name="CALC Amount Total 84 2 4" xfId="42435"/>
    <cellStyle name="CALC Amount Total 84 3" xfId="17276"/>
    <cellStyle name="CALC Amount Total 84 3 2" xfId="25597"/>
    <cellStyle name="CALC Amount Total 84 3 2 2" xfId="42436"/>
    <cellStyle name="CALC Amount Total 84 3 3" xfId="32823"/>
    <cellStyle name="CALC Amount Total 84 3 4" xfId="42437"/>
    <cellStyle name="CALC Amount Total 84 4" xfId="18304"/>
    <cellStyle name="CALC Amount Total 84 4 2" xfId="26624"/>
    <cellStyle name="CALC Amount Total 84 4 2 2" xfId="42438"/>
    <cellStyle name="CALC Amount Total 84 4 3" xfId="33801"/>
    <cellStyle name="CALC Amount Total 84 4 4" xfId="42439"/>
    <cellStyle name="CALC Amount Total 84 5" xfId="19288"/>
    <cellStyle name="CALC Amount Total 84 5 2" xfId="27608"/>
    <cellStyle name="CALC Amount Total 84 5 2 2" xfId="42440"/>
    <cellStyle name="CALC Amount Total 84 5 3" xfId="34756"/>
    <cellStyle name="CALC Amount Total 84 5 4" xfId="42441"/>
    <cellStyle name="CALC Amount Total 84 6" xfId="20256"/>
    <cellStyle name="CALC Amount Total 84 6 2" xfId="28578"/>
    <cellStyle name="CALC Amount Total 84 6 2 2" xfId="42442"/>
    <cellStyle name="CALC Amount Total 84 6 3" xfId="35693"/>
    <cellStyle name="CALC Amount Total 84 6 4" xfId="42443"/>
    <cellStyle name="CALC Amount Total 84 7" xfId="21717"/>
    <cellStyle name="CALC Amount Total 84 7 2" xfId="30018"/>
    <cellStyle name="CALC Amount Total 84 7 2 2" xfId="42444"/>
    <cellStyle name="CALC Amount Total 84 7 3" xfId="37067"/>
    <cellStyle name="CALC Amount Total 84 7 4" xfId="42445"/>
    <cellStyle name="CALC Amount Total 84 8" xfId="22645"/>
    <cellStyle name="CALC Amount Total 84 8 2" xfId="30941"/>
    <cellStyle name="CALC Amount Total 84 8 2 2" xfId="42446"/>
    <cellStyle name="CALC Amount Total 84 8 3" xfId="37950"/>
    <cellStyle name="CALC Amount Total 84 8 4" xfId="42447"/>
    <cellStyle name="CALC Amount Total 84 9" xfId="23587"/>
    <cellStyle name="CALC Amount Total 84 9 2" xfId="42448"/>
    <cellStyle name="CALC Amount Total 85" xfId="15229"/>
    <cellStyle name="CALC Amount Total 85 10" xfId="42449"/>
    <cellStyle name="CALC Amount Total 85 11" xfId="42450"/>
    <cellStyle name="CALC Amount Total 85 2" xfId="16309"/>
    <cellStyle name="CALC Amount Total 85 2 2" xfId="24622"/>
    <cellStyle name="CALC Amount Total 85 2 2 2" xfId="42451"/>
    <cellStyle name="CALC Amount Total 85 2 3" xfId="31889"/>
    <cellStyle name="CALC Amount Total 85 2 4" xfId="42452"/>
    <cellStyle name="CALC Amount Total 85 3" xfId="17275"/>
    <cellStyle name="CALC Amount Total 85 3 2" xfId="25596"/>
    <cellStyle name="CALC Amount Total 85 3 2 2" xfId="42453"/>
    <cellStyle name="CALC Amount Total 85 3 3" xfId="32822"/>
    <cellStyle name="CALC Amount Total 85 3 4" xfId="42454"/>
    <cellStyle name="CALC Amount Total 85 4" xfId="18303"/>
    <cellStyle name="CALC Amount Total 85 4 2" xfId="26623"/>
    <cellStyle name="CALC Amount Total 85 4 2 2" xfId="42455"/>
    <cellStyle name="CALC Amount Total 85 4 3" xfId="33800"/>
    <cellStyle name="CALC Amount Total 85 4 4" xfId="42456"/>
    <cellStyle name="CALC Amount Total 85 5" xfId="19287"/>
    <cellStyle name="CALC Amount Total 85 5 2" xfId="27607"/>
    <cellStyle name="CALC Amount Total 85 5 2 2" xfId="42457"/>
    <cellStyle name="CALC Amount Total 85 5 3" xfId="34755"/>
    <cellStyle name="CALC Amount Total 85 5 4" xfId="42458"/>
    <cellStyle name="CALC Amount Total 85 6" xfId="20255"/>
    <cellStyle name="CALC Amount Total 85 6 2" xfId="28577"/>
    <cellStyle name="CALC Amount Total 85 6 2 2" xfId="42459"/>
    <cellStyle name="CALC Amount Total 85 6 3" xfId="35692"/>
    <cellStyle name="CALC Amount Total 85 6 4" xfId="42460"/>
    <cellStyle name="CALC Amount Total 85 7" xfId="21716"/>
    <cellStyle name="CALC Amount Total 85 7 2" xfId="30017"/>
    <cellStyle name="CALC Amount Total 85 7 2 2" xfId="42461"/>
    <cellStyle name="CALC Amount Total 85 7 3" xfId="37066"/>
    <cellStyle name="CALC Amount Total 85 7 4" xfId="42462"/>
    <cellStyle name="CALC Amount Total 85 8" xfId="22644"/>
    <cellStyle name="CALC Amount Total 85 8 2" xfId="30940"/>
    <cellStyle name="CALC Amount Total 85 8 2 2" xfId="42463"/>
    <cellStyle name="CALC Amount Total 85 8 3" xfId="37949"/>
    <cellStyle name="CALC Amount Total 85 8 4" xfId="42464"/>
    <cellStyle name="CALC Amount Total 85 9" xfId="23586"/>
    <cellStyle name="CALC Amount Total 85 9 2" xfId="42465"/>
    <cellStyle name="CALC Amount Total 86" xfId="15314"/>
    <cellStyle name="CALC Amount Total 86 10" xfId="42466"/>
    <cellStyle name="CALC Amount Total 86 11" xfId="42467"/>
    <cellStyle name="CALC Amount Total 86 2" xfId="16394"/>
    <cellStyle name="CALC Amount Total 86 2 2" xfId="24707"/>
    <cellStyle name="CALC Amount Total 86 2 2 2" xfId="42468"/>
    <cellStyle name="CALC Amount Total 86 2 3" xfId="31972"/>
    <cellStyle name="CALC Amount Total 86 2 4" xfId="42469"/>
    <cellStyle name="CALC Amount Total 86 3" xfId="17360"/>
    <cellStyle name="CALC Amount Total 86 3 2" xfId="25681"/>
    <cellStyle name="CALC Amount Total 86 3 2 2" xfId="42470"/>
    <cellStyle name="CALC Amount Total 86 3 3" xfId="32905"/>
    <cellStyle name="CALC Amount Total 86 3 4" xfId="42471"/>
    <cellStyle name="CALC Amount Total 86 4" xfId="18388"/>
    <cellStyle name="CALC Amount Total 86 4 2" xfId="26708"/>
    <cellStyle name="CALC Amount Total 86 4 2 2" xfId="42472"/>
    <cellStyle name="CALC Amount Total 86 4 3" xfId="33883"/>
    <cellStyle name="CALC Amount Total 86 4 4" xfId="42473"/>
    <cellStyle name="CALC Amount Total 86 5" xfId="19371"/>
    <cellStyle name="CALC Amount Total 86 5 2" xfId="27692"/>
    <cellStyle name="CALC Amount Total 86 5 2 2" xfId="42474"/>
    <cellStyle name="CALC Amount Total 86 5 3" xfId="34840"/>
    <cellStyle name="CALC Amount Total 86 5 4" xfId="42475"/>
    <cellStyle name="CALC Amount Total 86 6" xfId="20340"/>
    <cellStyle name="CALC Amount Total 86 6 2" xfId="28662"/>
    <cellStyle name="CALC Amount Total 86 6 2 2" xfId="42476"/>
    <cellStyle name="CALC Amount Total 86 6 3" xfId="35775"/>
    <cellStyle name="CALC Amount Total 86 6 4" xfId="42477"/>
    <cellStyle name="CALC Amount Total 86 7" xfId="21801"/>
    <cellStyle name="CALC Amount Total 86 7 2" xfId="30102"/>
    <cellStyle name="CALC Amount Total 86 7 2 2" xfId="42478"/>
    <cellStyle name="CALC Amount Total 86 7 3" xfId="37149"/>
    <cellStyle name="CALC Amount Total 86 7 4" xfId="42479"/>
    <cellStyle name="CALC Amount Total 86 8" xfId="22729"/>
    <cellStyle name="CALC Amount Total 86 8 2" xfId="31025"/>
    <cellStyle name="CALC Amount Total 86 8 2 2" xfId="42480"/>
    <cellStyle name="CALC Amount Total 86 8 3" xfId="38032"/>
    <cellStyle name="CALC Amount Total 86 8 4" xfId="42481"/>
    <cellStyle name="CALC Amount Total 86 9" xfId="23671"/>
    <cellStyle name="CALC Amount Total 86 9 2" xfId="42482"/>
    <cellStyle name="CALC Amount Total 87" xfId="15319"/>
    <cellStyle name="CALC Amount Total 87 10" xfId="42483"/>
    <cellStyle name="CALC Amount Total 87 11" xfId="42484"/>
    <cellStyle name="CALC Amount Total 87 2" xfId="16399"/>
    <cellStyle name="CALC Amount Total 87 2 2" xfId="24712"/>
    <cellStyle name="CALC Amount Total 87 2 2 2" xfId="42485"/>
    <cellStyle name="CALC Amount Total 87 2 3" xfId="31977"/>
    <cellStyle name="CALC Amount Total 87 2 4" xfId="42486"/>
    <cellStyle name="CALC Amount Total 87 3" xfId="17365"/>
    <cellStyle name="CALC Amount Total 87 3 2" xfId="25686"/>
    <cellStyle name="CALC Amount Total 87 3 2 2" xfId="42487"/>
    <cellStyle name="CALC Amount Total 87 3 3" xfId="32910"/>
    <cellStyle name="CALC Amount Total 87 3 4" xfId="42488"/>
    <cellStyle name="CALC Amount Total 87 4" xfId="18393"/>
    <cellStyle name="CALC Amount Total 87 4 2" xfId="26713"/>
    <cellStyle name="CALC Amount Total 87 4 2 2" xfId="42489"/>
    <cellStyle name="CALC Amount Total 87 4 3" xfId="33888"/>
    <cellStyle name="CALC Amount Total 87 4 4" xfId="42490"/>
    <cellStyle name="CALC Amount Total 87 5" xfId="19376"/>
    <cellStyle name="CALC Amount Total 87 5 2" xfId="27697"/>
    <cellStyle name="CALC Amount Total 87 5 2 2" xfId="42491"/>
    <cellStyle name="CALC Amount Total 87 5 3" xfId="34845"/>
    <cellStyle name="CALC Amount Total 87 5 4" xfId="42492"/>
    <cellStyle name="CALC Amount Total 87 6" xfId="20345"/>
    <cellStyle name="CALC Amount Total 87 6 2" xfId="28667"/>
    <cellStyle name="CALC Amount Total 87 6 2 2" xfId="42493"/>
    <cellStyle name="CALC Amount Total 87 6 3" xfId="35780"/>
    <cellStyle name="CALC Amount Total 87 6 4" xfId="42494"/>
    <cellStyle name="CALC Amount Total 87 7" xfId="21806"/>
    <cellStyle name="CALC Amount Total 87 7 2" xfId="30107"/>
    <cellStyle name="CALC Amount Total 87 7 2 2" xfId="42495"/>
    <cellStyle name="CALC Amount Total 87 7 3" xfId="37154"/>
    <cellStyle name="CALC Amount Total 87 7 4" xfId="42496"/>
    <cellStyle name="CALC Amount Total 87 8" xfId="22734"/>
    <cellStyle name="CALC Amount Total 87 8 2" xfId="31030"/>
    <cellStyle name="CALC Amount Total 87 8 2 2" xfId="42497"/>
    <cellStyle name="CALC Amount Total 87 8 3" xfId="38037"/>
    <cellStyle name="CALC Amount Total 87 8 4" xfId="42498"/>
    <cellStyle name="CALC Amount Total 87 9" xfId="23676"/>
    <cellStyle name="CALC Amount Total 87 9 2" xfId="42499"/>
    <cellStyle name="CALC Amount Total 88" xfId="15323"/>
    <cellStyle name="CALC Amount Total 88 10" xfId="42500"/>
    <cellStyle name="CALC Amount Total 88 11" xfId="42501"/>
    <cellStyle name="CALC Amount Total 88 2" xfId="16403"/>
    <cellStyle name="CALC Amount Total 88 2 2" xfId="24716"/>
    <cellStyle name="CALC Amount Total 88 2 2 2" xfId="42502"/>
    <cellStyle name="CALC Amount Total 88 2 3" xfId="31981"/>
    <cellStyle name="CALC Amount Total 88 2 4" xfId="42503"/>
    <cellStyle name="CALC Amount Total 88 3" xfId="17369"/>
    <cellStyle name="CALC Amount Total 88 3 2" xfId="25690"/>
    <cellStyle name="CALC Amount Total 88 3 2 2" xfId="42504"/>
    <cellStyle name="CALC Amount Total 88 3 3" xfId="32914"/>
    <cellStyle name="CALC Amount Total 88 3 4" xfId="42505"/>
    <cellStyle name="CALC Amount Total 88 4" xfId="18397"/>
    <cellStyle name="CALC Amount Total 88 4 2" xfId="26717"/>
    <cellStyle name="CALC Amount Total 88 4 2 2" xfId="42506"/>
    <cellStyle name="CALC Amount Total 88 4 3" xfId="33892"/>
    <cellStyle name="CALC Amount Total 88 4 4" xfId="42507"/>
    <cellStyle name="CALC Amount Total 88 5" xfId="19380"/>
    <cellStyle name="CALC Amount Total 88 5 2" xfId="27701"/>
    <cellStyle name="CALC Amount Total 88 5 2 2" xfId="42508"/>
    <cellStyle name="CALC Amount Total 88 5 3" xfId="34849"/>
    <cellStyle name="CALC Amount Total 88 5 4" xfId="42509"/>
    <cellStyle name="CALC Amount Total 88 6" xfId="20349"/>
    <cellStyle name="CALC Amount Total 88 6 2" xfId="28671"/>
    <cellStyle name="CALC Amount Total 88 6 2 2" xfId="42510"/>
    <cellStyle name="CALC Amount Total 88 6 3" xfId="35784"/>
    <cellStyle name="CALC Amount Total 88 6 4" xfId="42511"/>
    <cellStyle name="CALC Amount Total 88 7" xfId="21810"/>
    <cellStyle name="CALC Amount Total 88 7 2" xfId="30111"/>
    <cellStyle name="CALC Amount Total 88 7 2 2" xfId="42512"/>
    <cellStyle name="CALC Amount Total 88 7 3" xfId="37158"/>
    <cellStyle name="CALC Amount Total 88 7 4" xfId="42513"/>
    <cellStyle name="CALC Amount Total 88 8" xfId="22738"/>
    <cellStyle name="CALC Amount Total 88 8 2" xfId="31034"/>
    <cellStyle name="CALC Amount Total 88 8 2 2" xfId="42514"/>
    <cellStyle name="CALC Amount Total 88 8 3" xfId="38041"/>
    <cellStyle name="CALC Amount Total 88 8 4" xfId="42515"/>
    <cellStyle name="CALC Amount Total 88 9" xfId="23680"/>
    <cellStyle name="CALC Amount Total 88 9 2" xfId="42516"/>
    <cellStyle name="CALC Amount Total 89" xfId="15324"/>
    <cellStyle name="CALC Amount Total 89 10" xfId="42517"/>
    <cellStyle name="CALC Amount Total 89 11" xfId="42518"/>
    <cellStyle name="CALC Amount Total 89 2" xfId="16404"/>
    <cellStyle name="CALC Amount Total 89 2 2" xfId="24717"/>
    <cellStyle name="CALC Amount Total 89 2 2 2" xfId="42519"/>
    <cellStyle name="CALC Amount Total 89 2 3" xfId="31982"/>
    <cellStyle name="CALC Amount Total 89 2 4" xfId="42520"/>
    <cellStyle name="CALC Amount Total 89 3" xfId="17370"/>
    <cellStyle name="CALC Amount Total 89 3 2" xfId="25691"/>
    <cellStyle name="CALC Amount Total 89 3 2 2" xfId="42521"/>
    <cellStyle name="CALC Amount Total 89 3 3" xfId="32915"/>
    <cellStyle name="CALC Amount Total 89 3 4" xfId="42522"/>
    <cellStyle name="CALC Amount Total 89 4" xfId="18398"/>
    <cellStyle name="CALC Amount Total 89 4 2" xfId="26718"/>
    <cellStyle name="CALC Amount Total 89 4 2 2" xfId="42523"/>
    <cellStyle name="CALC Amount Total 89 4 3" xfId="33893"/>
    <cellStyle name="CALC Amount Total 89 4 4" xfId="42524"/>
    <cellStyle name="CALC Amount Total 89 5" xfId="19381"/>
    <cellStyle name="CALC Amount Total 89 5 2" xfId="27702"/>
    <cellStyle name="CALC Amount Total 89 5 2 2" xfId="42525"/>
    <cellStyle name="CALC Amount Total 89 5 3" xfId="34850"/>
    <cellStyle name="CALC Amount Total 89 5 4" xfId="42526"/>
    <cellStyle name="CALC Amount Total 89 6" xfId="20350"/>
    <cellStyle name="CALC Amount Total 89 6 2" xfId="28672"/>
    <cellStyle name="CALC Amount Total 89 6 2 2" xfId="42527"/>
    <cellStyle name="CALC Amount Total 89 6 3" xfId="35785"/>
    <cellStyle name="CALC Amount Total 89 6 4" xfId="42528"/>
    <cellStyle name="CALC Amount Total 89 7" xfId="21811"/>
    <cellStyle name="CALC Amount Total 89 7 2" xfId="30112"/>
    <cellStyle name="CALC Amount Total 89 7 2 2" xfId="42529"/>
    <cellStyle name="CALC Amount Total 89 7 3" xfId="37159"/>
    <cellStyle name="CALC Amount Total 89 7 4" xfId="42530"/>
    <cellStyle name="CALC Amount Total 89 8" xfId="22739"/>
    <cellStyle name="CALC Amount Total 89 8 2" xfId="31035"/>
    <cellStyle name="CALC Amount Total 89 8 2 2" xfId="42531"/>
    <cellStyle name="CALC Amount Total 89 8 3" xfId="38042"/>
    <cellStyle name="CALC Amount Total 89 8 4" xfId="42532"/>
    <cellStyle name="CALC Amount Total 89 9" xfId="23681"/>
    <cellStyle name="CALC Amount Total 89 9 2" xfId="42533"/>
    <cellStyle name="CALC Amount Total 9" xfId="14650"/>
    <cellStyle name="CALC Amount Total 9 10" xfId="23012"/>
    <cellStyle name="CALC Amount Total 9 10 2" xfId="42534"/>
    <cellStyle name="CALC Amount Total 9 11" xfId="42535"/>
    <cellStyle name="CALC Amount Total 9 2" xfId="15731"/>
    <cellStyle name="CALC Amount Total 9 2 2" xfId="24047"/>
    <cellStyle name="CALC Amount Total 9 2 2 2" xfId="42536"/>
    <cellStyle name="CALC Amount Total 9 2 3" xfId="31339"/>
    <cellStyle name="CALC Amount Total 9 2 4" xfId="42537"/>
    <cellStyle name="CALC Amount Total 9 3" xfId="16697"/>
    <cellStyle name="CALC Amount Total 9 3 2" xfId="25018"/>
    <cellStyle name="CALC Amount Total 9 3 2 2" xfId="42538"/>
    <cellStyle name="CALC Amount Total 9 3 3" xfId="32272"/>
    <cellStyle name="CALC Amount Total 9 3 4" xfId="42539"/>
    <cellStyle name="CALC Amount Total 9 4" xfId="17721"/>
    <cellStyle name="CALC Amount Total 9 4 2" xfId="26044"/>
    <cellStyle name="CALC Amount Total 9 4 2 2" xfId="42540"/>
    <cellStyle name="CALC Amount Total 9 4 3" xfId="33249"/>
    <cellStyle name="CALC Amount Total 9 4 4" xfId="42541"/>
    <cellStyle name="CALC Amount Total 9 5" xfId="18704"/>
    <cellStyle name="CALC Amount Total 9 5 2" xfId="27025"/>
    <cellStyle name="CALC Amount Total 9 5 2 2" xfId="42542"/>
    <cellStyle name="CALC Amount Total 9 5 3" xfId="34188"/>
    <cellStyle name="CALC Amount Total 9 5 4" xfId="42543"/>
    <cellStyle name="CALC Amount Total 9 6" xfId="19673"/>
    <cellStyle name="CALC Amount Total 9 6 2" xfId="27994"/>
    <cellStyle name="CALC Amount Total 9 6 2 2" xfId="42544"/>
    <cellStyle name="CALC Amount Total 9 6 3" xfId="35134"/>
    <cellStyle name="CALC Amount Total 9 6 4" xfId="42545"/>
    <cellStyle name="CALC Amount Total 9 7" xfId="20630"/>
    <cellStyle name="CALC Amount Total 9 7 2" xfId="28951"/>
    <cellStyle name="CALC Amount Total 9 7 2 2" xfId="42546"/>
    <cellStyle name="CALC Amount Total 9 7 3" xfId="36049"/>
    <cellStyle name="CALC Amount Total 9 7 4" xfId="42547"/>
    <cellStyle name="CALC Amount Total 9 8" xfId="21120"/>
    <cellStyle name="CALC Amount Total 9 8 2" xfId="29434"/>
    <cellStyle name="CALC Amount Total 9 8 2 2" xfId="42548"/>
    <cellStyle name="CALC Amount Total 9 8 3" xfId="36507"/>
    <cellStyle name="CALC Amount Total 9 8 4" xfId="42549"/>
    <cellStyle name="CALC Amount Total 9 9" xfId="22067"/>
    <cellStyle name="CALC Amount Total 9 9 2" xfId="30365"/>
    <cellStyle name="CALC Amount Total 9 9 2 2" xfId="42550"/>
    <cellStyle name="CALC Amount Total 9 9 3" xfId="37400"/>
    <cellStyle name="CALC Amount Total 9 9 4" xfId="42551"/>
    <cellStyle name="CALC Amount Total 90" xfId="15255"/>
    <cellStyle name="CALC Amount Total 90 10" xfId="42552"/>
    <cellStyle name="CALC Amount Total 90 11" xfId="42553"/>
    <cellStyle name="CALC Amount Total 90 2" xfId="16335"/>
    <cellStyle name="CALC Amount Total 90 2 2" xfId="24648"/>
    <cellStyle name="CALC Amount Total 90 2 2 2" xfId="42554"/>
    <cellStyle name="CALC Amount Total 90 2 3" xfId="31915"/>
    <cellStyle name="CALC Amount Total 90 2 4" xfId="42555"/>
    <cellStyle name="CALC Amount Total 90 3" xfId="17301"/>
    <cellStyle name="CALC Amount Total 90 3 2" xfId="25622"/>
    <cellStyle name="CALC Amount Total 90 3 2 2" xfId="42556"/>
    <cellStyle name="CALC Amount Total 90 3 3" xfId="32848"/>
    <cellStyle name="CALC Amount Total 90 3 4" xfId="42557"/>
    <cellStyle name="CALC Amount Total 90 4" xfId="18329"/>
    <cellStyle name="CALC Amount Total 90 4 2" xfId="26649"/>
    <cellStyle name="CALC Amount Total 90 4 2 2" xfId="42558"/>
    <cellStyle name="CALC Amount Total 90 4 3" xfId="33826"/>
    <cellStyle name="CALC Amount Total 90 4 4" xfId="42559"/>
    <cellStyle name="CALC Amount Total 90 5" xfId="19313"/>
    <cellStyle name="CALC Amount Total 90 5 2" xfId="27633"/>
    <cellStyle name="CALC Amount Total 90 5 2 2" xfId="42560"/>
    <cellStyle name="CALC Amount Total 90 5 3" xfId="34781"/>
    <cellStyle name="CALC Amount Total 90 5 4" xfId="42561"/>
    <cellStyle name="CALC Amount Total 90 6" xfId="20281"/>
    <cellStyle name="CALC Amount Total 90 6 2" xfId="28603"/>
    <cellStyle name="CALC Amount Total 90 6 2 2" xfId="42562"/>
    <cellStyle name="CALC Amount Total 90 6 3" xfId="35718"/>
    <cellStyle name="CALC Amount Total 90 6 4" xfId="42563"/>
    <cellStyle name="CALC Amount Total 90 7" xfId="21742"/>
    <cellStyle name="CALC Amount Total 90 7 2" xfId="30043"/>
    <cellStyle name="CALC Amount Total 90 7 2 2" xfId="42564"/>
    <cellStyle name="CALC Amount Total 90 7 3" xfId="37092"/>
    <cellStyle name="CALC Amount Total 90 7 4" xfId="42565"/>
    <cellStyle name="CALC Amount Total 90 8" xfId="22670"/>
    <cellStyle name="CALC Amount Total 90 8 2" xfId="30966"/>
    <cellStyle name="CALC Amount Total 90 8 2 2" xfId="42566"/>
    <cellStyle name="CALC Amount Total 90 8 3" xfId="37975"/>
    <cellStyle name="CALC Amount Total 90 8 4" xfId="42567"/>
    <cellStyle name="CALC Amount Total 90 9" xfId="23612"/>
    <cellStyle name="CALC Amount Total 90 9 2" xfId="42568"/>
    <cellStyle name="CALC Amount Total 91" xfId="15354"/>
    <cellStyle name="CALC Amount Total 91 10" xfId="42569"/>
    <cellStyle name="CALC Amount Total 91 11" xfId="42570"/>
    <cellStyle name="CALC Amount Total 91 2" xfId="16434"/>
    <cellStyle name="CALC Amount Total 91 2 2" xfId="24747"/>
    <cellStyle name="CALC Amount Total 91 2 2 2" xfId="42571"/>
    <cellStyle name="CALC Amount Total 91 2 3" xfId="32011"/>
    <cellStyle name="CALC Amount Total 91 2 4" xfId="42572"/>
    <cellStyle name="CALC Amount Total 91 3" xfId="17400"/>
    <cellStyle name="CALC Amount Total 91 3 2" xfId="25721"/>
    <cellStyle name="CALC Amount Total 91 3 2 2" xfId="42573"/>
    <cellStyle name="CALC Amount Total 91 3 3" xfId="32944"/>
    <cellStyle name="CALC Amount Total 91 3 4" xfId="42574"/>
    <cellStyle name="CALC Amount Total 91 4" xfId="18428"/>
    <cellStyle name="CALC Amount Total 91 4 2" xfId="26748"/>
    <cellStyle name="CALC Amount Total 91 4 2 2" xfId="42575"/>
    <cellStyle name="CALC Amount Total 91 4 3" xfId="33922"/>
    <cellStyle name="CALC Amount Total 91 4 4" xfId="42576"/>
    <cellStyle name="CALC Amount Total 91 5" xfId="19411"/>
    <cellStyle name="CALC Amount Total 91 5 2" xfId="27732"/>
    <cellStyle name="CALC Amount Total 91 5 2 2" xfId="42577"/>
    <cellStyle name="CALC Amount Total 91 5 3" xfId="34880"/>
    <cellStyle name="CALC Amount Total 91 5 4" xfId="42578"/>
    <cellStyle name="CALC Amount Total 91 6" xfId="20380"/>
    <cellStyle name="CALC Amount Total 91 6 2" xfId="28702"/>
    <cellStyle name="CALC Amount Total 91 6 2 2" xfId="42579"/>
    <cellStyle name="CALC Amount Total 91 6 3" xfId="35814"/>
    <cellStyle name="CALC Amount Total 91 6 4" xfId="42580"/>
    <cellStyle name="CALC Amount Total 91 7" xfId="21841"/>
    <cellStyle name="CALC Amount Total 91 7 2" xfId="30142"/>
    <cellStyle name="CALC Amount Total 91 7 2 2" xfId="42581"/>
    <cellStyle name="CALC Amount Total 91 7 3" xfId="37188"/>
    <cellStyle name="CALC Amount Total 91 7 4" xfId="42582"/>
    <cellStyle name="CALC Amount Total 91 8" xfId="22769"/>
    <cellStyle name="CALC Amount Total 91 8 2" xfId="31065"/>
    <cellStyle name="CALC Amount Total 91 8 2 2" xfId="42583"/>
    <cellStyle name="CALC Amount Total 91 8 3" xfId="38071"/>
    <cellStyle name="CALC Amount Total 91 8 4" xfId="42584"/>
    <cellStyle name="CALC Amount Total 91 9" xfId="23711"/>
    <cellStyle name="CALC Amount Total 91 9 2" xfId="42585"/>
    <cellStyle name="CALC Amount Total 92" xfId="15362"/>
    <cellStyle name="CALC Amount Total 92 10" xfId="42586"/>
    <cellStyle name="CALC Amount Total 92 11" xfId="42587"/>
    <cellStyle name="CALC Amount Total 92 2" xfId="16442"/>
    <cellStyle name="CALC Amount Total 92 2 2" xfId="24755"/>
    <cellStyle name="CALC Amount Total 92 2 2 2" xfId="42588"/>
    <cellStyle name="CALC Amount Total 92 2 3" xfId="32019"/>
    <cellStyle name="CALC Amount Total 92 2 4" xfId="42589"/>
    <cellStyle name="CALC Amount Total 92 3" xfId="17408"/>
    <cellStyle name="CALC Amount Total 92 3 2" xfId="25729"/>
    <cellStyle name="CALC Amount Total 92 3 2 2" xfId="42590"/>
    <cellStyle name="CALC Amount Total 92 3 3" xfId="32952"/>
    <cellStyle name="CALC Amount Total 92 3 4" xfId="42591"/>
    <cellStyle name="CALC Amount Total 92 4" xfId="18436"/>
    <cellStyle name="CALC Amount Total 92 4 2" xfId="26756"/>
    <cellStyle name="CALC Amount Total 92 4 2 2" xfId="42592"/>
    <cellStyle name="CALC Amount Total 92 4 3" xfId="33930"/>
    <cellStyle name="CALC Amount Total 92 4 4" xfId="42593"/>
    <cellStyle name="CALC Amount Total 92 5" xfId="19419"/>
    <cellStyle name="CALC Amount Total 92 5 2" xfId="27740"/>
    <cellStyle name="CALC Amount Total 92 5 2 2" xfId="42594"/>
    <cellStyle name="CALC Amount Total 92 5 3" xfId="34888"/>
    <cellStyle name="CALC Amount Total 92 5 4" xfId="42595"/>
    <cellStyle name="CALC Amount Total 92 6" xfId="20388"/>
    <cellStyle name="CALC Amount Total 92 6 2" xfId="28710"/>
    <cellStyle name="CALC Amount Total 92 6 2 2" xfId="42596"/>
    <cellStyle name="CALC Amount Total 92 6 3" xfId="35822"/>
    <cellStyle name="CALC Amount Total 92 6 4" xfId="42597"/>
    <cellStyle name="CALC Amount Total 92 7" xfId="21849"/>
    <cellStyle name="CALC Amount Total 92 7 2" xfId="30150"/>
    <cellStyle name="CALC Amount Total 92 7 2 2" xfId="42598"/>
    <cellStyle name="CALC Amount Total 92 7 3" xfId="37195"/>
    <cellStyle name="CALC Amount Total 92 7 4" xfId="42599"/>
    <cellStyle name="CALC Amount Total 92 8" xfId="22777"/>
    <cellStyle name="CALC Amount Total 92 8 2" xfId="31073"/>
    <cellStyle name="CALC Amount Total 92 8 2 2" xfId="42600"/>
    <cellStyle name="CALC Amount Total 92 8 3" xfId="38079"/>
    <cellStyle name="CALC Amount Total 92 8 4" xfId="42601"/>
    <cellStyle name="CALC Amount Total 92 9" xfId="23719"/>
    <cellStyle name="CALC Amount Total 92 9 2" xfId="42602"/>
    <cellStyle name="CALC Amount Total 93" xfId="15357"/>
    <cellStyle name="CALC Amount Total 93 10" xfId="42603"/>
    <cellStyle name="CALC Amount Total 93 11" xfId="42604"/>
    <cellStyle name="CALC Amount Total 93 2" xfId="16437"/>
    <cellStyle name="CALC Amount Total 93 2 2" xfId="24750"/>
    <cellStyle name="CALC Amount Total 93 2 2 2" xfId="42605"/>
    <cellStyle name="CALC Amount Total 93 2 3" xfId="32014"/>
    <cellStyle name="CALC Amount Total 93 2 4" xfId="42606"/>
    <cellStyle name="CALC Amount Total 93 3" xfId="17403"/>
    <cellStyle name="CALC Amount Total 93 3 2" xfId="25724"/>
    <cellStyle name="CALC Amount Total 93 3 2 2" xfId="42607"/>
    <cellStyle name="CALC Amount Total 93 3 3" xfId="32947"/>
    <cellStyle name="CALC Amount Total 93 3 4" xfId="42608"/>
    <cellStyle name="CALC Amount Total 93 4" xfId="18431"/>
    <cellStyle name="CALC Amount Total 93 4 2" xfId="26751"/>
    <cellStyle name="CALC Amount Total 93 4 2 2" xfId="42609"/>
    <cellStyle name="CALC Amount Total 93 4 3" xfId="33925"/>
    <cellStyle name="CALC Amount Total 93 4 4" xfId="42610"/>
    <cellStyle name="CALC Amount Total 93 5" xfId="19414"/>
    <cellStyle name="CALC Amount Total 93 5 2" xfId="27735"/>
    <cellStyle name="CALC Amount Total 93 5 2 2" xfId="42611"/>
    <cellStyle name="CALC Amount Total 93 5 3" xfId="34883"/>
    <cellStyle name="CALC Amount Total 93 5 4" xfId="42612"/>
    <cellStyle name="CALC Amount Total 93 6" xfId="20383"/>
    <cellStyle name="CALC Amount Total 93 6 2" xfId="28705"/>
    <cellStyle name="CALC Amount Total 93 6 2 2" xfId="42613"/>
    <cellStyle name="CALC Amount Total 93 6 3" xfId="35817"/>
    <cellStyle name="CALC Amount Total 93 6 4" xfId="42614"/>
    <cellStyle name="CALC Amount Total 93 7" xfId="21844"/>
    <cellStyle name="CALC Amount Total 93 7 2" xfId="30145"/>
    <cellStyle name="CALC Amount Total 93 7 2 2" xfId="42615"/>
    <cellStyle name="CALC Amount Total 93 7 3" xfId="37191"/>
    <cellStyle name="CALC Amount Total 93 7 4" xfId="42616"/>
    <cellStyle name="CALC Amount Total 93 8" xfId="22772"/>
    <cellStyle name="CALC Amount Total 93 8 2" xfId="31068"/>
    <cellStyle name="CALC Amount Total 93 8 2 2" xfId="42617"/>
    <cellStyle name="CALC Amount Total 93 8 3" xfId="38074"/>
    <cellStyle name="CALC Amount Total 93 8 4" xfId="42618"/>
    <cellStyle name="CALC Amount Total 93 9" xfId="23714"/>
    <cellStyle name="CALC Amount Total 93 9 2" xfId="42619"/>
    <cellStyle name="CALC Amount Total 94" xfId="15359"/>
    <cellStyle name="CALC Amount Total 94 10" xfId="42620"/>
    <cellStyle name="CALC Amount Total 94 11" xfId="42621"/>
    <cellStyle name="CALC Amount Total 94 2" xfId="16439"/>
    <cellStyle name="CALC Amount Total 94 2 2" xfId="24752"/>
    <cellStyle name="CALC Amount Total 94 2 2 2" xfId="42622"/>
    <cellStyle name="CALC Amount Total 94 2 3" xfId="32016"/>
    <cellStyle name="CALC Amount Total 94 2 4" xfId="42623"/>
    <cellStyle name="CALC Amount Total 94 3" xfId="17405"/>
    <cellStyle name="CALC Amount Total 94 3 2" xfId="25726"/>
    <cellStyle name="CALC Amount Total 94 3 2 2" xfId="42624"/>
    <cellStyle name="CALC Amount Total 94 3 3" xfId="32949"/>
    <cellStyle name="CALC Amount Total 94 3 4" xfId="42625"/>
    <cellStyle name="CALC Amount Total 94 4" xfId="18433"/>
    <cellStyle name="CALC Amount Total 94 4 2" xfId="26753"/>
    <cellStyle name="CALC Amount Total 94 4 2 2" xfId="42626"/>
    <cellStyle name="CALC Amount Total 94 4 3" xfId="33927"/>
    <cellStyle name="CALC Amount Total 94 4 4" xfId="42627"/>
    <cellStyle name="CALC Amount Total 94 5" xfId="19416"/>
    <cellStyle name="CALC Amount Total 94 5 2" xfId="27737"/>
    <cellStyle name="CALC Amount Total 94 5 2 2" xfId="42628"/>
    <cellStyle name="CALC Amount Total 94 5 3" xfId="34885"/>
    <cellStyle name="CALC Amount Total 94 5 4" xfId="42629"/>
    <cellStyle name="CALC Amount Total 94 6" xfId="20385"/>
    <cellStyle name="CALC Amount Total 94 6 2" xfId="28707"/>
    <cellStyle name="CALC Amount Total 94 6 2 2" xfId="42630"/>
    <cellStyle name="CALC Amount Total 94 6 3" xfId="35819"/>
    <cellStyle name="CALC Amount Total 94 6 4" xfId="42631"/>
    <cellStyle name="CALC Amount Total 94 7" xfId="21846"/>
    <cellStyle name="CALC Amount Total 94 7 2" xfId="30147"/>
    <cellStyle name="CALC Amount Total 94 7 2 2" xfId="42632"/>
    <cellStyle name="CALC Amount Total 94 7 3" xfId="37192"/>
    <cellStyle name="CALC Amount Total 94 7 4" xfId="42633"/>
    <cellStyle name="CALC Amount Total 94 8" xfId="22774"/>
    <cellStyle name="CALC Amount Total 94 8 2" xfId="31070"/>
    <cellStyle name="CALC Amount Total 94 8 2 2" xfId="42634"/>
    <cellStyle name="CALC Amount Total 94 8 3" xfId="38076"/>
    <cellStyle name="CALC Amount Total 94 8 4" xfId="42635"/>
    <cellStyle name="CALC Amount Total 94 9" xfId="23716"/>
    <cellStyle name="CALC Amount Total 94 9 2" xfId="42636"/>
    <cellStyle name="CALC Amount Total 95" xfId="15340"/>
    <cellStyle name="CALC Amount Total 95 10" xfId="42637"/>
    <cellStyle name="CALC Amount Total 95 11" xfId="42638"/>
    <cellStyle name="CALC Amount Total 95 2" xfId="16420"/>
    <cellStyle name="CALC Amount Total 95 2 2" xfId="24733"/>
    <cellStyle name="CALC Amount Total 95 2 2 2" xfId="42639"/>
    <cellStyle name="CALC Amount Total 95 2 3" xfId="31998"/>
    <cellStyle name="CALC Amount Total 95 2 4" xfId="42640"/>
    <cellStyle name="CALC Amount Total 95 3" xfId="17386"/>
    <cellStyle name="CALC Amount Total 95 3 2" xfId="25707"/>
    <cellStyle name="CALC Amount Total 95 3 2 2" xfId="42641"/>
    <cellStyle name="CALC Amount Total 95 3 3" xfId="32931"/>
    <cellStyle name="CALC Amount Total 95 3 4" xfId="42642"/>
    <cellStyle name="CALC Amount Total 95 4" xfId="18414"/>
    <cellStyle name="CALC Amount Total 95 4 2" xfId="26734"/>
    <cellStyle name="CALC Amount Total 95 4 2 2" xfId="42643"/>
    <cellStyle name="CALC Amount Total 95 4 3" xfId="33909"/>
    <cellStyle name="CALC Amount Total 95 4 4" xfId="42644"/>
    <cellStyle name="CALC Amount Total 95 5" xfId="19397"/>
    <cellStyle name="CALC Amount Total 95 5 2" xfId="27718"/>
    <cellStyle name="CALC Amount Total 95 5 2 2" xfId="42645"/>
    <cellStyle name="CALC Amount Total 95 5 3" xfId="34866"/>
    <cellStyle name="CALC Amount Total 95 5 4" xfId="42646"/>
    <cellStyle name="CALC Amount Total 95 6" xfId="20366"/>
    <cellStyle name="CALC Amount Total 95 6 2" xfId="28688"/>
    <cellStyle name="CALC Amount Total 95 6 2 2" xfId="42647"/>
    <cellStyle name="CALC Amount Total 95 6 3" xfId="35801"/>
    <cellStyle name="CALC Amount Total 95 6 4" xfId="42648"/>
    <cellStyle name="CALC Amount Total 95 7" xfId="21827"/>
    <cellStyle name="CALC Amount Total 95 7 2" xfId="30128"/>
    <cellStyle name="CALC Amount Total 95 7 2 2" xfId="42649"/>
    <cellStyle name="CALC Amount Total 95 7 3" xfId="37175"/>
    <cellStyle name="CALC Amount Total 95 7 4" xfId="42650"/>
    <cellStyle name="CALC Amount Total 95 8" xfId="22755"/>
    <cellStyle name="CALC Amount Total 95 8 2" xfId="31051"/>
    <cellStyle name="CALC Amount Total 95 8 2 2" xfId="42651"/>
    <cellStyle name="CALC Amount Total 95 8 3" xfId="38058"/>
    <cellStyle name="CALC Amount Total 95 8 4" xfId="42652"/>
    <cellStyle name="CALC Amount Total 95 9" xfId="23697"/>
    <cellStyle name="CALC Amount Total 95 9 2" xfId="42653"/>
    <cellStyle name="CALC Amount Total 96" xfId="15368"/>
    <cellStyle name="CALC Amount Total 96 10" xfId="42654"/>
    <cellStyle name="CALC Amount Total 96 11" xfId="42655"/>
    <cellStyle name="CALC Amount Total 96 2" xfId="16448"/>
    <cellStyle name="CALC Amount Total 96 2 2" xfId="24761"/>
    <cellStyle name="CALC Amount Total 96 2 2 2" xfId="42656"/>
    <cellStyle name="CALC Amount Total 96 2 3" xfId="32025"/>
    <cellStyle name="CALC Amount Total 96 2 4" xfId="42657"/>
    <cellStyle name="CALC Amount Total 96 3" xfId="17414"/>
    <cellStyle name="CALC Amount Total 96 3 2" xfId="25735"/>
    <cellStyle name="CALC Amount Total 96 3 2 2" xfId="42658"/>
    <cellStyle name="CALC Amount Total 96 3 3" xfId="32958"/>
    <cellStyle name="CALC Amount Total 96 3 4" xfId="42659"/>
    <cellStyle name="CALC Amount Total 96 4" xfId="18442"/>
    <cellStyle name="CALC Amount Total 96 4 2" xfId="26762"/>
    <cellStyle name="CALC Amount Total 96 4 2 2" xfId="42660"/>
    <cellStyle name="CALC Amount Total 96 4 3" xfId="33936"/>
    <cellStyle name="CALC Amount Total 96 4 4" xfId="42661"/>
    <cellStyle name="CALC Amount Total 96 5" xfId="19425"/>
    <cellStyle name="CALC Amount Total 96 5 2" xfId="27746"/>
    <cellStyle name="CALC Amount Total 96 5 2 2" xfId="42662"/>
    <cellStyle name="CALC Amount Total 96 5 3" xfId="34894"/>
    <cellStyle name="CALC Amount Total 96 5 4" xfId="42663"/>
    <cellStyle name="CALC Amount Total 96 6" xfId="20394"/>
    <cellStyle name="CALC Amount Total 96 6 2" xfId="28716"/>
    <cellStyle name="CALC Amount Total 96 6 2 2" xfId="42664"/>
    <cellStyle name="CALC Amount Total 96 6 3" xfId="35828"/>
    <cellStyle name="CALC Amount Total 96 6 4" xfId="42665"/>
    <cellStyle name="CALC Amount Total 96 7" xfId="21855"/>
    <cellStyle name="CALC Amount Total 96 7 2" xfId="30156"/>
    <cellStyle name="CALC Amount Total 96 7 2 2" xfId="42666"/>
    <cellStyle name="CALC Amount Total 96 7 3" xfId="37201"/>
    <cellStyle name="CALC Amount Total 96 7 4" xfId="42667"/>
    <cellStyle name="CALC Amount Total 96 8" xfId="22783"/>
    <cellStyle name="CALC Amount Total 96 8 2" xfId="31079"/>
    <cellStyle name="CALC Amount Total 96 8 2 2" xfId="42668"/>
    <cellStyle name="CALC Amount Total 96 8 3" xfId="38085"/>
    <cellStyle name="CALC Amount Total 96 8 4" xfId="42669"/>
    <cellStyle name="CALC Amount Total 96 9" xfId="23725"/>
    <cellStyle name="CALC Amount Total 96 9 2" xfId="42670"/>
    <cellStyle name="CALC Amount Total 97" xfId="15339"/>
    <cellStyle name="CALC Amount Total 97 10" xfId="42671"/>
    <cellStyle name="CALC Amount Total 97 11" xfId="42672"/>
    <cellStyle name="CALC Amount Total 97 2" xfId="16419"/>
    <cellStyle name="CALC Amount Total 97 2 2" xfId="24732"/>
    <cellStyle name="CALC Amount Total 97 2 2 2" xfId="42673"/>
    <cellStyle name="CALC Amount Total 97 2 3" xfId="31997"/>
    <cellStyle name="CALC Amount Total 97 2 4" xfId="42674"/>
    <cellStyle name="CALC Amount Total 97 3" xfId="17385"/>
    <cellStyle name="CALC Amount Total 97 3 2" xfId="25706"/>
    <cellStyle name="CALC Amount Total 97 3 2 2" xfId="42675"/>
    <cellStyle name="CALC Amount Total 97 3 3" xfId="32930"/>
    <cellStyle name="CALC Amount Total 97 3 4" xfId="42676"/>
    <cellStyle name="CALC Amount Total 97 4" xfId="18413"/>
    <cellStyle name="CALC Amount Total 97 4 2" xfId="26733"/>
    <cellStyle name="CALC Amount Total 97 4 2 2" xfId="42677"/>
    <cellStyle name="CALC Amount Total 97 4 3" xfId="33908"/>
    <cellStyle name="CALC Amount Total 97 4 4" xfId="42678"/>
    <cellStyle name="CALC Amount Total 97 5" xfId="19396"/>
    <cellStyle name="CALC Amount Total 97 5 2" xfId="27717"/>
    <cellStyle name="CALC Amount Total 97 5 2 2" xfId="42679"/>
    <cellStyle name="CALC Amount Total 97 5 3" xfId="34865"/>
    <cellStyle name="CALC Amount Total 97 5 4" xfId="42680"/>
    <cellStyle name="CALC Amount Total 97 6" xfId="20365"/>
    <cellStyle name="CALC Amount Total 97 6 2" xfId="28687"/>
    <cellStyle name="CALC Amount Total 97 6 2 2" xfId="42681"/>
    <cellStyle name="CALC Amount Total 97 6 3" xfId="35800"/>
    <cellStyle name="CALC Amount Total 97 6 4" xfId="42682"/>
    <cellStyle name="CALC Amount Total 97 7" xfId="21826"/>
    <cellStyle name="CALC Amount Total 97 7 2" xfId="30127"/>
    <cellStyle name="CALC Amount Total 97 7 2 2" xfId="42683"/>
    <cellStyle name="CALC Amount Total 97 7 3" xfId="37174"/>
    <cellStyle name="CALC Amount Total 97 7 4" xfId="42684"/>
    <cellStyle name="CALC Amount Total 97 8" xfId="22754"/>
    <cellStyle name="CALC Amount Total 97 8 2" xfId="31050"/>
    <cellStyle name="CALC Amount Total 97 8 2 2" xfId="42685"/>
    <cellStyle name="CALC Amount Total 97 8 3" xfId="38057"/>
    <cellStyle name="CALC Amount Total 97 8 4" xfId="42686"/>
    <cellStyle name="CALC Amount Total 97 9" xfId="23696"/>
    <cellStyle name="CALC Amount Total 97 9 2" xfId="42687"/>
    <cellStyle name="CALC Amount Total 98" xfId="15343"/>
    <cellStyle name="CALC Amount Total 98 10" xfId="42688"/>
    <cellStyle name="CALC Amount Total 98 11" xfId="42689"/>
    <cellStyle name="CALC Amount Total 98 2" xfId="16423"/>
    <cellStyle name="CALC Amount Total 98 2 2" xfId="24736"/>
    <cellStyle name="CALC Amount Total 98 2 2 2" xfId="42690"/>
    <cellStyle name="CALC Amount Total 98 2 3" xfId="32001"/>
    <cellStyle name="CALC Amount Total 98 2 4" xfId="42691"/>
    <cellStyle name="CALC Amount Total 98 3" xfId="17389"/>
    <cellStyle name="CALC Amount Total 98 3 2" xfId="25710"/>
    <cellStyle name="CALC Amount Total 98 3 2 2" xfId="42692"/>
    <cellStyle name="CALC Amount Total 98 3 3" xfId="32934"/>
    <cellStyle name="CALC Amount Total 98 3 4" xfId="42693"/>
    <cellStyle name="CALC Amount Total 98 4" xfId="18417"/>
    <cellStyle name="CALC Amount Total 98 4 2" xfId="26737"/>
    <cellStyle name="CALC Amount Total 98 4 2 2" xfId="42694"/>
    <cellStyle name="CALC Amount Total 98 4 3" xfId="33912"/>
    <cellStyle name="CALC Amount Total 98 4 4" xfId="42695"/>
    <cellStyle name="CALC Amount Total 98 5" xfId="19400"/>
    <cellStyle name="CALC Amount Total 98 5 2" xfId="27721"/>
    <cellStyle name="CALC Amount Total 98 5 2 2" xfId="42696"/>
    <cellStyle name="CALC Amount Total 98 5 3" xfId="34869"/>
    <cellStyle name="CALC Amount Total 98 5 4" xfId="42697"/>
    <cellStyle name="CALC Amount Total 98 6" xfId="20369"/>
    <cellStyle name="CALC Amount Total 98 6 2" xfId="28691"/>
    <cellStyle name="CALC Amount Total 98 6 2 2" xfId="42698"/>
    <cellStyle name="CALC Amount Total 98 6 3" xfId="35804"/>
    <cellStyle name="CALC Amount Total 98 6 4" xfId="42699"/>
    <cellStyle name="CALC Amount Total 98 7" xfId="21830"/>
    <cellStyle name="CALC Amount Total 98 7 2" xfId="30131"/>
    <cellStyle name="CALC Amount Total 98 7 2 2" xfId="42700"/>
    <cellStyle name="CALC Amount Total 98 7 3" xfId="37178"/>
    <cellStyle name="CALC Amount Total 98 7 4" xfId="42701"/>
    <cellStyle name="CALC Amount Total 98 8" xfId="22758"/>
    <cellStyle name="CALC Amount Total 98 8 2" xfId="31054"/>
    <cellStyle name="CALC Amount Total 98 8 2 2" xfId="42702"/>
    <cellStyle name="CALC Amount Total 98 8 3" xfId="38061"/>
    <cellStyle name="CALC Amount Total 98 8 4" xfId="42703"/>
    <cellStyle name="CALC Amount Total 98 9" xfId="23700"/>
    <cellStyle name="CALC Amount Total 98 9 2" xfId="42704"/>
    <cellStyle name="CALC Amount Total 99" xfId="15413"/>
    <cellStyle name="CALC Amount Total 99 10" xfId="42705"/>
    <cellStyle name="CALC Amount Total 99 11" xfId="42706"/>
    <cellStyle name="CALC Amount Total 99 2" xfId="16493"/>
    <cellStyle name="CALC Amount Total 99 2 2" xfId="24806"/>
    <cellStyle name="CALC Amount Total 99 2 2 2" xfId="42707"/>
    <cellStyle name="CALC Amount Total 99 2 3" xfId="32067"/>
    <cellStyle name="CALC Amount Total 99 2 4" xfId="42708"/>
    <cellStyle name="CALC Amount Total 99 3" xfId="17459"/>
    <cellStyle name="CALC Amount Total 99 3 2" xfId="25780"/>
    <cellStyle name="CALC Amount Total 99 3 2 2" xfId="42709"/>
    <cellStyle name="CALC Amount Total 99 3 3" xfId="33000"/>
    <cellStyle name="CALC Amount Total 99 3 4" xfId="42710"/>
    <cellStyle name="CALC Amount Total 99 4" xfId="18487"/>
    <cellStyle name="CALC Amount Total 99 4 2" xfId="26807"/>
    <cellStyle name="CALC Amount Total 99 4 2 2" xfId="42711"/>
    <cellStyle name="CALC Amount Total 99 4 3" xfId="33978"/>
    <cellStyle name="CALC Amount Total 99 4 4" xfId="42712"/>
    <cellStyle name="CALC Amount Total 99 5" xfId="19470"/>
    <cellStyle name="CALC Amount Total 99 5 2" xfId="27791"/>
    <cellStyle name="CALC Amount Total 99 5 2 2" xfId="42713"/>
    <cellStyle name="CALC Amount Total 99 5 3" xfId="34939"/>
    <cellStyle name="CALC Amount Total 99 5 4" xfId="42714"/>
    <cellStyle name="CALC Amount Total 99 6" xfId="20439"/>
    <cellStyle name="CALC Amount Total 99 6 2" xfId="28761"/>
    <cellStyle name="CALC Amount Total 99 6 2 2" xfId="42715"/>
    <cellStyle name="CALC Amount Total 99 6 3" xfId="35870"/>
    <cellStyle name="CALC Amount Total 99 6 4" xfId="42716"/>
    <cellStyle name="CALC Amount Total 99 7" xfId="21900"/>
    <cellStyle name="CALC Amount Total 99 7 2" xfId="30201"/>
    <cellStyle name="CALC Amount Total 99 7 2 2" xfId="42717"/>
    <cellStyle name="CALC Amount Total 99 7 3" xfId="37243"/>
    <cellStyle name="CALC Amount Total 99 7 4" xfId="42718"/>
    <cellStyle name="CALC Amount Total 99 8" xfId="22828"/>
    <cellStyle name="CALC Amount Total 99 8 2" xfId="31124"/>
    <cellStyle name="CALC Amount Total 99 8 2 2" xfId="42719"/>
    <cellStyle name="CALC Amount Total 99 8 3" xfId="38127"/>
    <cellStyle name="CALC Amount Total 99 8 4" xfId="42720"/>
    <cellStyle name="CALC Amount Total 99 9" xfId="23770"/>
    <cellStyle name="CALC Amount Total 99 9 2" xfId="42721"/>
    <cellStyle name="CALC Currency" xfId="14457"/>
    <cellStyle name="CALC Currency [1]" xfId="14458"/>
    <cellStyle name="CALC Currency [2]" xfId="14459"/>
    <cellStyle name="CALC Currency Total" xfId="14460"/>
    <cellStyle name="CALC Currency Total [1]" xfId="14461"/>
    <cellStyle name="CALC Currency Total [1] 10" xfId="14716"/>
    <cellStyle name="CALC Currency Total [1] 10 10" xfId="23078"/>
    <cellStyle name="CALC Currency Total [1] 10 10 2" xfId="42722"/>
    <cellStyle name="CALC Currency Total [1] 10 11" xfId="42723"/>
    <cellStyle name="CALC Currency Total [1] 10 12" xfId="42724"/>
    <cellStyle name="CALC Currency Total [1] 10 2" xfId="15797"/>
    <cellStyle name="CALC Currency Total [1] 10 2 2" xfId="24113"/>
    <cellStyle name="CALC Currency Total [1] 10 2 2 2" xfId="42725"/>
    <cellStyle name="CALC Currency Total [1] 10 2 3" xfId="31401"/>
    <cellStyle name="CALC Currency Total [1] 10 2 4" xfId="42726"/>
    <cellStyle name="CALC Currency Total [1] 10 3" xfId="16763"/>
    <cellStyle name="CALC Currency Total [1] 10 3 2" xfId="25085"/>
    <cellStyle name="CALC Currency Total [1] 10 3 2 2" xfId="42727"/>
    <cellStyle name="CALC Currency Total [1] 10 3 3" xfId="32334"/>
    <cellStyle name="CALC Currency Total [1] 10 3 4" xfId="42728"/>
    <cellStyle name="CALC Currency Total [1] 10 4" xfId="17787"/>
    <cellStyle name="CALC Currency Total [1] 10 4 2" xfId="26111"/>
    <cellStyle name="CALC Currency Total [1] 10 4 2 2" xfId="42729"/>
    <cellStyle name="CALC Currency Total [1] 10 4 3" xfId="33311"/>
    <cellStyle name="CALC Currency Total [1] 10 4 4" xfId="42730"/>
    <cellStyle name="CALC Currency Total [1] 10 5" xfId="18771"/>
    <cellStyle name="CALC Currency Total [1] 10 5 2" xfId="27092"/>
    <cellStyle name="CALC Currency Total [1] 10 5 2 2" xfId="42731"/>
    <cellStyle name="CALC Currency Total [1] 10 5 3" xfId="34251"/>
    <cellStyle name="CALC Currency Total [1] 10 5 4" xfId="42732"/>
    <cellStyle name="CALC Currency Total [1] 10 6" xfId="19740"/>
    <cellStyle name="CALC Currency Total [1] 10 6 2" xfId="28061"/>
    <cellStyle name="CALC Currency Total [1] 10 6 2 2" xfId="42733"/>
    <cellStyle name="CALC Currency Total [1] 10 6 3" xfId="35197"/>
    <cellStyle name="CALC Currency Total [1] 10 6 4" xfId="42734"/>
    <cellStyle name="CALC Currency Total [1] 10 7" xfId="20697"/>
    <cellStyle name="CALC Currency Total [1] 10 7 2" xfId="29018"/>
    <cellStyle name="CALC Currency Total [1] 10 7 2 2" xfId="42735"/>
    <cellStyle name="CALC Currency Total [1] 10 7 3" xfId="36111"/>
    <cellStyle name="CALC Currency Total [1] 10 7 4" xfId="42736"/>
    <cellStyle name="CALC Currency Total [1] 10 8" xfId="21305"/>
    <cellStyle name="CALC Currency Total [1] 10 8 2" xfId="29612"/>
    <cellStyle name="CALC Currency Total [1] 10 8 2 2" xfId="42737"/>
    <cellStyle name="CALC Currency Total [1] 10 8 3" xfId="36679"/>
    <cellStyle name="CALC Currency Total [1] 10 8 4" xfId="42738"/>
    <cellStyle name="CALC Currency Total [1] 10 9" xfId="22133"/>
    <cellStyle name="CALC Currency Total [1] 10 9 2" xfId="30431"/>
    <cellStyle name="CALC Currency Total [1] 10 9 2 2" xfId="42739"/>
    <cellStyle name="CALC Currency Total [1] 10 9 3" xfId="37462"/>
    <cellStyle name="CALC Currency Total [1] 10 9 4" xfId="42740"/>
    <cellStyle name="CALC Currency Total [1] 11" xfId="14857"/>
    <cellStyle name="CALC Currency Total [1] 11 10" xfId="23220"/>
    <cellStyle name="CALC Currency Total [1] 11 10 2" xfId="42741"/>
    <cellStyle name="CALC Currency Total [1] 11 11" xfId="42742"/>
    <cellStyle name="CALC Currency Total [1] 11 12" xfId="42743"/>
    <cellStyle name="CALC Currency Total [1] 11 2" xfId="15938"/>
    <cellStyle name="CALC Currency Total [1] 11 2 2" xfId="24255"/>
    <cellStyle name="CALC Currency Total [1] 11 2 2 2" xfId="42744"/>
    <cellStyle name="CALC Currency Total [1] 11 2 3" xfId="31539"/>
    <cellStyle name="CALC Currency Total [1] 11 2 4" xfId="42745"/>
    <cellStyle name="CALC Currency Total [1] 11 3" xfId="16904"/>
    <cellStyle name="CALC Currency Total [1] 11 3 2" xfId="25227"/>
    <cellStyle name="CALC Currency Total [1] 11 3 2 2" xfId="42746"/>
    <cellStyle name="CALC Currency Total [1] 11 3 3" xfId="32472"/>
    <cellStyle name="CALC Currency Total [1] 11 3 4" xfId="42747"/>
    <cellStyle name="CALC Currency Total [1] 11 4" xfId="17931"/>
    <cellStyle name="CALC Currency Total [1] 11 4 2" xfId="26253"/>
    <cellStyle name="CALC Currency Total [1] 11 4 2 2" xfId="42748"/>
    <cellStyle name="CALC Currency Total [1] 11 4 3" xfId="33449"/>
    <cellStyle name="CALC Currency Total [1] 11 4 4" xfId="42749"/>
    <cellStyle name="CALC Currency Total [1] 11 5" xfId="18915"/>
    <cellStyle name="CALC Currency Total [1] 11 5 2" xfId="27235"/>
    <cellStyle name="CALC Currency Total [1] 11 5 2 2" xfId="42750"/>
    <cellStyle name="CALC Currency Total [1] 11 5 3" xfId="34390"/>
    <cellStyle name="CALC Currency Total [1] 11 5 4" xfId="42751"/>
    <cellStyle name="CALC Currency Total [1] 11 6" xfId="19883"/>
    <cellStyle name="CALC Currency Total [1] 11 6 2" xfId="28205"/>
    <cellStyle name="CALC Currency Total [1] 11 6 2 2" xfId="42752"/>
    <cellStyle name="CALC Currency Total [1] 11 6 3" xfId="35337"/>
    <cellStyle name="CALC Currency Total [1] 11 6 4" xfId="42753"/>
    <cellStyle name="CALC Currency Total [1] 11 7" xfId="20841"/>
    <cellStyle name="CALC Currency Total [1] 11 7 2" xfId="29160"/>
    <cellStyle name="CALC Currency Total [1] 11 7 2 2" xfId="42754"/>
    <cellStyle name="CALC Currency Total [1] 11 7 3" xfId="36247"/>
    <cellStyle name="CALC Currency Total [1] 11 7 4" xfId="42755"/>
    <cellStyle name="CALC Currency Total [1] 11 8" xfId="19857"/>
    <cellStyle name="CALC Currency Total [1] 11 8 2" xfId="28179"/>
    <cellStyle name="CALC Currency Total [1] 11 8 2 2" xfId="42756"/>
    <cellStyle name="CALC Currency Total [1] 11 8 3" xfId="35311"/>
    <cellStyle name="CALC Currency Total [1] 11 8 4" xfId="42757"/>
    <cellStyle name="CALC Currency Total [1] 11 9" xfId="22276"/>
    <cellStyle name="CALC Currency Total [1] 11 9 2" xfId="30574"/>
    <cellStyle name="CALC Currency Total [1] 11 9 2 2" xfId="42758"/>
    <cellStyle name="CALC Currency Total [1] 11 9 3" xfId="37600"/>
    <cellStyle name="CALC Currency Total [1] 11 9 4" xfId="42759"/>
    <cellStyle name="CALC Currency Total [1] 12" xfId="14951"/>
    <cellStyle name="CALC Currency Total [1] 12 10" xfId="23314"/>
    <cellStyle name="CALC Currency Total [1] 12 10 2" xfId="42760"/>
    <cellStyle name="CALC Currency Total [1] 12 11" xfId="42761"/>
    <cellStyle name="CALC Currency Total [1] 12 12" xfId="42762"/>
    <cellStyle name="CALC Currency Total [1] 12 2" xfId="16032"/>
    <cellStyle name="CALC Currency Total [1] 12 2 2" xfId="24349"/>
    <cellStyle name="CALC Currency Total [1] 12 2 2 2" xfId="42763"/>
    <cellStyle name="CALC Currency Total [1] 12 2 3" xfId="31629"/>
    <cellStyle name="CALC Currency Total [1] 12 2 4" xfId="42764"/>
    <cellStyle name="CALC Currency Total [1] 12 3" xfId="16998"/>
    <cellStyle name="CALC Currency Total [1] 12 3 2" xfId="25321"/>
    <cellStyle name="CALC Currency Total [1] 12 3 2 2" xfId="42765"/>
    <cellStyle name="CALC Currency Total [1] 12 3 3" xfId="32562"/>
    <cellStyle name="CALC Currency Total [1] 12 3 4" xfId="42766"/>
    <cellStyle name="CALC Currency Total [1] 12 4" xfId="18025"/>
    <cellStyle name="CALC Currency Total [1] 12 4 2" xfId="26347"/>
    <cellStyle name="CALC Currency Total [1] 12 4 2 2" xfId="42767"/>
    <cellStyle name="CALC Currency Total [1] 12 4 3" xfId="33539"/>
    <cellStyle name="CALC Currency Total [1] 12 4 4" xfId="42768"/>
    <cellStyle name="CALC Currency Total [1] 12 5" xfId="19009"/>
    <cellStyle name="CALC Currency Total [1] 12 5 2" xfId="27329"/>
    <cellStyle name="CALC Currency Total [1] 12 5 2 2" xfId="42769"/>
    <cellStyle name="CALC Currency Total [1] 12 5 3" xfId="34480"/>
    <cellStyle name="CALC Currency Total [1] 12 5 4" xfId="42770"/>
    <cellStyle name="CALC Currency Total [1] 12 6" xfId="19977"/>
    <cellStyle name="CALC Currency Total [1] 12 6 2" xfId="28299"/>
    <cellStyle name="CALC Currency Total [1] 12 6 2 2" xfId="42771"/>
    <cellStyle name="CALC Currency Total [1] 12 6 3" xfId="35427"/>
    <cellStyle name="CALC Currency Total [1] 12 6 4" xfId="42772"/>
    <cellStyle name="CALC Currency Total [1] 12 7" xfId="20935"/>
    <cellStyle name="CALC Currency Total [1] 12 7 2" xfId="29254"/>
    <cellStyle name="CALC Currency Total [1] 12 7 2 2" xfId="42773"/>
    <cellStyle name="CALC Currency Total [1] 12 7 3" xfId="36337"/>
    <cellStyle name="CALC Currency Total [1] 12 7 4" xfId="42774"/>
    <cellStyle name="CALC Currency Total [1] 12 8" xfId="21442"/>
    <cellStyle name="CALC Currency Total [1] 12 8 2" xfId="29745"/>
    <cellStyle name="CALC Currency Total [1] 12 8 2 2" xfId="42775"/>
    <cellStyle name="CALC Currency Total [1] 12 8 3" xfId="36807"/>
    <cellStyle name="CALC Currency Total [1] 12 8 4" xfId="42776"/>
    <cellStyle name="CALC Currency Total [1] 12 9" xfId="22370"/>
    <cellStyle name="CALC Currency Total [1] 12 9 2" xfId="30668"/>
    <cellStyle name="CALC Currency Total [1] 12 9 2 2" xfId="42777"/>
    <cellStyle name="CALC Currency Total [1] 12 9 3" xfId="37690"/>
    <cellStyle name="CALC Currency Total [1] 12 9 4" xfId="42778"/>
    <cellStyle name="CALC Currency Total [1] 13" xfId="15003"/>
    <cellStyle name="CALC Currency Total [1] 13 10" xfId="23364"/>
    <cellStyle name="CALC Currency Total [1] 13 10 2" xfId="42779"/>
    <cellStyle name="CALC Currency Total [1] 13 11" xfId="42780"/>
    <cellStyle name="CALC Currency Total [1] 13 12" xfId="42781"/>
    <cellStyle name="CALC Currency Total [1] 13 2" xfId="16084"/>
    <cellStyle name="CALC Currency Total [1] 13 2 2" xfId="24399"/>
    <cellStyle name="CALC Currency Total [1] 13 2 2 2" xfId="42782"/>
    <cellStyle name="CALC Currency Total [1] 13 2 3" xfId="31678"/>
    <cellStyle name="CALC Currency Total [1] 13 2 4" xfId="42783"/>
    <cellStyle name="CALC Currency Total [1] 13 3" xfId="17050"/>
    <cellStyle name="CALC Currency Total [1] 13 3 2" xfId="25371"/>
    <cellStyle name="CALC Currency Total [1] 13 3 2 2" xfId="42784"/>
    <cellStyle name="CALC Currency Total [1] 13 3 3" xfId="32611"/>
    <cellStyle name="CALC Currency Total [1] 13 3 4" xfId="42785"/>
    <cellStyle name="CALC Currency Total [1] 13 4" xfId="18077"/>
    <cellStyle name="CALC Currency Total [1] 13 4 2" xfId="26397"/>
    <cellStyle name="CALC Currency Total [1] 13 4 2 2" xfId="42786"/>
    <cellStyle name="CALC Currency Total [1] 13 4 3" xfId="33588"/>
    <cellStyle name="CALC Currency Total [1] 13 4 4" xfId="42787"/>
    <cellStyle name="CALC Currency Total [1] 13 5" xfId="19061"/>
    <cellStyle name="CALC Currency Total [1] 13 5 2" xfId="27381"/>
    <cellStyle name="CALC Currency Total [1] 13 5 2 2" xfId="42788"/>
    <cellStyle name="CALC Currency Total [1] 13 5 3" xfId="34531"/>
    <cellStyle name="CALC Currency Total [1] 13 5 4" xfId="42789"/>
    <cellStyle name="CALC Currency Total [1] 13 6" xfId="20029"/>
    <cellStyle name="CALC Currency Total [1] 13 6 2" xfId="28351"/>
    <cellStyle name="CALC Currency Total [1] 13 6 2 2" xfId="42790"/>
    <cellStyle name="CALC Currency Total [1] 13 6 3" xfId="35478"/>
    <cellStyle name="CALC Currency Total [1] 13 6 4" xfId="42791"/>
    <cellStyle name="CALC Currency Total [1] 13 7" xfId="20987"/>
    <cellStyle name="CALC Currency Total [1] 13 7 2" xfId="29304"/>
    <cellStyle name="CALC Currency Total [1] 13 7 2 2" xfId="42792"/>
    <cellStyle name="CALC Currency Total [1] 13 7 3" xfId="36386"/>
    <cellStyle name="CALC Currency Total [1] 13 7 4" xfId="42793"/>
    <cellStyle name="CALC Currency Total [1] 13 8" xfId="21494"/>
    <cellStyle name="CALC Currency Total [1] 13 8 2" xfId="29795"/>
    <cellStyle name="CALC Currency Total [1] 13 8 2 2" xfId="42794"/>
    <cellStyle name="CALC Currency Total [1] 13 8 3" xfId="36856"/>
    <cellStyle name="CALC Currency Total [1] 13 8 4" xfId="42795"/>
    <cellStyle name="CALC Currency Total [1] 13 9" xfId="22422"/>
    <cellStyle name="CALC Currency Total [1] 13 9 2" xfId="30718"/>
    <cellStyle name="CALC Currency Total [1] 13 9 2 2" xfId="42796"/>
    <cellStyle name="CALC Currency Total [1] 13 9 3" xfId="37739"/>
    <cellStyle name="CALC Currency Total [1] 13 9 4" xfId="42797"/>
    <cellStyle name="CALC Currency Total [1] 14" xfId="15014"/>
    <cellStyle name="CALC Currency Total [1] 14 10" xfId="23374"/>
    <cellStyle name="CALC Currency Total [1] 14 10 2" xfId="42798"/>
    <cellStyle name="CALC Currency Total [1] 14 11" xfId="42799"/>
    <cellStyle name="CALC Currency Total [1] 14 12" xfId="42800"/>
    <cellStyle name="CALC Currency Total [1] 14 2" xfId="16094"/>
    <cellStyle name="CALC Currency Total [1] 14 2 2" xfId="24409"/>
    <cellStyle name="CALC Currency Total [1] 14 2 2 2" xfId="42801"/>
    <cellStyle name="CALC Currency Total [1] 14 2 3" xfId="31687"/>
    <cellStyle name="CALC Currency Total [1] 14 2 4" xfId="42802"/>
    <cellStyle name="CALC Currency Total [1] 14 3" xfId="17061"/>
    <cellStyle name="CALC Currency Total [1] 14 3 2" xfId="25382"/>
    <cellStyle name="CALC Currency Total [1] 14 3 2 2" xfId="42803"/>
    <cellStyle name="CALC Currency Total [1] 14 3 3" xfId="32621"/>
    <cellStyle name="CALC Currency Total [1] 14 3 4" xfId="42804"/>
    <cellStyle name="CALC Currency Total [1] 14 4" xfId="18088"/>
    <cellStyle name="CALC Currency Total [1] 14 4 2" xfId="26408"/>
    <cellStyle name="CALC Currency Total [1] 14 4 2 2" xfId="42805"/>
    <cellStyle name="CALC Currency Total [1] 14 4 3" xfId="33598"/>
    <cellStyle name="CALC Currency Total [1] 14 4 4" xfId="42806"/>
    <cellStyle name="CALC Currency Total [1] 14 5" xfId="19072"/>
    <cellStyle name="CALC Currency Total [1] 14 5 2" xfId="27392"/>
    <cellStyle name="CALC Currency Total [1] 14 5 2 2" xfId="42807"/>
    <cellStyle name="CALC Currency Total [1] 14 5 3" xfId="34541"/>
    <cellStyle name="CALC Currency Total [1] 14 5 4" xfId="42808"/>
    <cellStyle name="CALC Currency Total [1] 14 6" xfId="20040"/>
    <cellStyle name="CALC Currency Total [1] 14 6 2" xfId="28362"/>
    <cellStyle name="CALC Currency Total [1] 14 6 2 2" xfId="42809"/>
    <cellStyle name="CALC Currency Total [1] 14 6 3" xfId="35488"/>
    <cellStyle name="CALC Currency Total [1] 14 6 4" xfId="42810"/>
    <cellStyle name="CALC Currency Total [1] 14 7" xfId="20997"/>
    <cellStyle name="CALC Currency Total [1] 14 7 2" xfId="29314"/>
    <cellStyle name="CALC Currency Total [1] 14 7 2 2" xfId="42811"/>
    <cellStyle name="CALC Currency Total [1] 14 7 3" xfId="36395"/>
    <cellStyle name="CALC Currency Total [1] 14 7 4" xfId="42812"/>
    <cellStyle name="CALC Currency Total [1] 14 8" xfId="21504"/>
    <cellStyle name="CALC Currency Total [1] 14 8 2" xfId="29805"/>
    <cellStyle name="CALC Currency Total [1] 14 8 2 2" xfId="42813"/>
    <cellStyle name="CALC Currency Total [1] 14 8 3" xfId="36865"/>
    <cellStyle name="CALC Currency Total [1] 14 8 4" xfId="42814"/>
    <cellStyle name="CALC Currency Total [1] 14 9" xfId="22432"/>
    <cellStyle name="CALC Currency Total [1] 14 9 2" xfId="30728"/>
    <cellStyle name="CALC Currency Total [1] 14 9 2 2" xfId="42815"/>
    <cellStyle name="CALC Currency Total [1] 14 9 3" xfId="37748"/>
    <cellStyle name="CALC Currency Total [1] 14 9 4" xfId="42816"/>
    <cellStyle name="CALC Currency Total [1] 15" xfId="15119"/>
    <cellStyle name="CALC Currency Total [1] 15 10" xfId="42817"/>
    <cellStyle name="CALC Currency Total [1] 15 11" xfId="42818"/>
    <cellStyle name="CALC Currency Total [1] 15 2" xfId="16199"/>
    <cellStyle name="CALC Currency Total [1] 15 2 2" xfId="24512"/>
    <cellStyle name="CALC Currency Total [1] 15 2 2 2" xfId="42819"/>
    <cellStyle name="CALC Currency Total [1] 15 2 3" xfId="31789"/>
    <cellStyle name="CALC Currency Total [1] 15 2 4" xfId="42820"/>
    <cellStyle name="CALC Currency Total [1] 15 3" xfId="17165"/>
    <cellStyle name="CALC Currency Total [1] 15 3 2" xfId="25486"/>
    <cellStyle name="CALC Currency Total [1] 15 3 2 2" xfId="42821"/>
    <cellStyle name="CALC Currency Total [1] 15 3 3" xfId="32722"/>
    <cellStyle name="CALC Currency Total [1] 15 3 4" xfId="42822"/>
    <cellStyle name="CALC Currency Total [1] 15 4" xfId="18193"/>
    <cellStyle name="CALC Currency Total [1] 15 4 2" xfId="26513"/>
    <cellStyle name="CALC Currency Total [1] 15 4 2 2" xfId="42823"/>
    <cellStyle name="CALC Currency Total [1] 15 4 3" xfId="33700"/>
    <cellStyle name="CALC Currency Total [1] 15 4 4" xfId="42824"/>
    <cellStyle name="CALC Currency Total [1] 15 5" xfId="19177"/>
    <cellStyle name="CALC Currency Total [1] 15 5 2" xfId="27497"/>
    <cellStyle name="CALC Currency Total [1] 15 5 2 2" xfId="42825"/>
    <cellStyle name="CALC Currency Total [1] 15 5 3" xfId="34645"/>
    <cellStyle name="CALC Currency Total [1] 15 5 4" xfId="42826"/>
    <cellStyle name="CALC Currency Total [1] 15 6" xfId="20145"/>
    <cellStyle name="CALC Currency Total [1] 15 6 2" xfId="28467"/>
    <cellStyle name="CALC Currency Total [1] 15 6 2 2" xfId="42827"/>
    <cellStyle name="CALC Currency Total [1] 15 6 3" xfId="35592"/>
    <cellStyle name="CALC Currency Total [1] 15 6 4" xfId="42828"/>
    <cellStyle name="CALC Currency Total [1] 15 7" xfId="21606"/>
    <cellStyle name="CALC Currency Total [1] 15 7 2" xfId="29907"/>
    <cellStyle name="CALC Currency Total [1] 15 7 2 2" xfId="42829"/>
    <cellStyle name="CALC Currency Total [1] 15 7 3" xfId="36966"/>
    <cellStyle name="CALC Currency Total [1] 15 7 4" xfId="42830"/>
    <cellStyle name="CALC Currency Total [1] 15 8" xfId="22534"/>
    <cellStyle name="CALC Currency Total [1] 15 8 2" xfId="30830"/>
    <cellStyle name="CALC Currency Total [1] 15 8 2 2" xfId="42831"/>
    <cellStyle name="CALC Currency Total [1] 15 8 3" xfId="37849"/>
    <cellStyle name="CALC Currency Total [1] 15 8 4" xfId="42832"/>
    <cellStyle name="CALC Currency Total [1] 15 9" xfId="23476"/>
    <cellStyle name="CALC Currency Total [1] 15 9 2" xfId="42833"/>
    <cellStyle name="CALC Currency Total [1] 16" xfId="15096"/>
    <cellStyle name="CALC Currency Total [1] 16 10" xfId="42834"/>
    <cellStyle name="CALC Currency Total [1] 16 11" xfId="42835"/>
    <cellStyle name="CALC Currency Total [1] 16 2" xfId="16176"/>
    <cellStyle name="CALC Currency Total [1] 16 2 2" xfId="24489"/>
    <cellStyle name="CALC Currency Total [1] 16 2 2 2" xfId="42836"/>
    <cellStyle name="CALC Currency Total [1] 16 2 3" xfId="31766"/>
    <cellStyle name="CALC Currency Total [1] 16 2 4" xfId="42837"/>
    <cellStyle name="CALC Currency Total [1] 16 3" xfId="17142"/>
    <cellStyle name="CALC Currency Total [1] 16 3 2" xfId="25463"/>
    <cellStyle name="CALC Currency Total [1] 16 3 2 2" xfId="42838"/>
    <cellStyle name="CALC Currency Total [1] 16 3 3" xfId="32699"/>
    <cellStyle name="CALC Currency Total [1] 16 3 4" xfId="42839"/>
    <cellStyle name="CALC Currency Total [1] 16 4" xfId="18170"/>
    <cellStyle name="CALC Currency Total [1] 16 4 2" xfId="26490"/>
    <cellStyle name="CALC Currency Total [1] 16 4 2 2" xfId="42840"/>
    <cellStyle name="CALC Currency Total [1] 16 4 3" xfId="33677"/>
    <cellStyle name="CALC Currency Total [1] 16 4 4" xfId="42841"/>
    <cellStyle name="CALC Currency Total [1] 16 5" xfId="19154"/>
    <cellStyle name="CALC Currency Total [1] 16 5 2" xfId="27474"/>
    <cellStyle name="CALC Currency Total [1] 16 5 2 2" xfId="42842"/>
    <cellStyle name="CALC Currency Total [1] 16 5 3" xfId="34622"/>
    <cellStyle name="CALC Currency Total [1] 16 5 4" xfId="42843"/>
    <cellStyle name="CALC Currency Total [1] 16 6" xfId="20122"/>
    <cellStyle name="CALC Currency Total [1] 16 6 2" xfId="28444"/>
    <cellStyle name="CALC Currency Total [1] 16 6 2 2" xfId="42844"/>
    <cellStyle name="CALC Currency Total [1] 16 6 3" xfId="35569"/>
    <cellStyle name="CALC Currency Total [1] 16 6 4" xfId="42845"/>
    <cellStyle name="CALC Currency Total [1] 16 7" xfId="21583"/>
    <cellStyle name="CALC Currency Total [1] 16 7 2" xfId="29884"/>
    <cellStyle name="CALC Currency Total [1] 16 7 2 2" xfId="42846"/>
    <cellStyle name="CALC Currency Total [1] 16 7 3" xfId="36943"/>
    <cellStyle name="CALC Currency Total [1] 16 7 4" xfId="42847"/>
    <cellStyle name="CALC Currency Total [1] 16 8" xfId="22511"/>
    <cellStyle name="CALC Currency Total [1] 16 8 2" xfId="30807"/>
    <cellStyle name="CALC Currency Total [1] 16 8 2 2" xfId="42848"/>
    <cellStyle name="CALC Currency Total [1] 16 8 3" xfId="37826"/>
    <cellStyle name="CALC Currency Total [1] 16 8 4" xfId="42849"/>
    <cellStyle name="CALC Currency Total [1] 16 9" xfId="23453"/>
    <cellStyle name="CALC Currency Total [1] 16 9 2" xfId="42850"/>
    <cellStyle name="CALC Currency Total [1] 17" xfId="15110"/>
    <cellStyle name="CALC Currency Total [1] 17 10" xfId="42851"/>
    <cellStyle name="CALC Currency Total [1] 17 11" xfId="42852"/>
    <cellStyle name="CALC Currency Total [1] 17 2" xfId="16190"/>
    <cellStyle name="CALC Currency Total [1] 17 2 2" xfId="24503"/>
    <cellStyle name="CALC Currency Total [1] 17 2 2 2" xfId="42853"/>
    <cellStyle name="CALC Currency Total [1] 17 2 3" xfId="31780"/>
    <cellStyle name="CALC Currency Total [1] 17 2 4" xfId="42854"/>
    <cellStyle name="CALC Currency Total [1] 17 3" xfId="17156"/>
    <cellStyle name="CALC Currency Total [1] 17 3 2" xfId="25477"/>
    <cellStyle name="CALC Currency Total [1] 17 3 2 2" xfId="42855"/>
    <cellStyle name="CALC Currency Total [1] 17 3 3" xfId="32713"/>
    <cellStyle name="CALC Currency Total [1] 17 3 4" xfId="42856"/>
    <cellStyle name="CALC Currency Total [1] 17 4" xfId="18184"/>
    <cellStyle name="CALC Currency Total [1] 17 4 2" xfId="26504"/>
    <cellStyle name="CALC Currency Total [1] 17 4 2 2" xfId="42857"/>
    <cellStyle name="CALC Currency Total [1] 17 4 3" xfId="33691"/>
    <cellStyle name="CALC Currency Total [1] 17 4 4" xfId="42858"/>
    <cellStyle name="CALC Currency Total [1] 17 5" xfId="19168"/>
    <cellStyle name="CALC Currency Total [1] 17 5 2" xfId="27488"/>
    <cellStyle name="CALC Currency Total [1] 17 5 2 2" xfId="42859"/>
    <cellStyle name="CALC Currency Total [1] 17 5 3" xfId="34636"/>
    <cellStyle name="CALC Currency Total [1] 17 5 4" xfId="42860"/>
    <cellStyle name="CALC Currency Total [1] 17 6" xfId="20136"/>
    <cellStyle name="CALC Currency Total [1] 17 6 2" xfId="28458"/>
    <cellStyle name="CALC Currency Total [1] 17 6 2 2" xfId="42861"/>
    <cellStyle name="CALC Currency Total [1] 17 6 3" xfId="35583"/>
    <cellStyle name="CALC Currency Total [1] 17 6 4" xfId="42862"/>
    <cellStyle name="CALC Currency Total [1] 17 7" xfId="21597"/>
    <cellStyle name="CALC Currency Total [1] 17 7 2" xfId="29898"/>
    <cellStyle name="CALC Currency Total [1] 17 7 2 2" xfId="42863"/>
    <cellStyle name="CALC Currency Total [1] 17 7 3" xfId="36957"/>
    <cellStyle name="CALC Currency Total [1] 17 7 4" xfId="42864"/>
    <cellStyle name="CALC Currency Total [1] 17 8" xfId="22525"/>
    <cellStyle name="CALC Currency Total [1] 17 8 2" xfId="30821"/>
    <cellStyle name="CALC Currency Total [1] 17 8 2 2" xfId="42865"/>
    <cellStyle name="CALC Currency Total [1] 17 8 3" xfId="37840"/>
    <cellStyle name="CALC Currency Total [1] 17 8 4" xfId="42866"/>
    <cellStyle name="CALC Currency Total [1] 17 9" xfId="23467"/>
    <cellStyle name="CALC Currency Total [1] 17 9 2" xfId="42867"/>
    <cellStyle name="CALC Currency Total [1] 18" xfId="15094"/>
    <cellStyle name="CALC Currency Total [1] 18 10" xfId="42868"/>
    <cellStyle name="CALC Currency Total [1] 18 11" xfId="42869"/>
    <cellStyle name="CALC Currency Total [1] 18 2" xfId="16174"/>
    <cellStyle name="CALC Currency Total [1] 18 2 2" xfId="24487"/>
    <cellStyle name="CALC Currency Total [1] 18 2 2 2" xfId="42870"/>
    <cellStyle name="CALC Currency Total [1] 18 2 3" xfId="31764"/>
    <cellStyle name="CALC Currency Total [1] 18 2 4" xfId="42871"/>
    <cellStyle name="CALC Currency Total [1] 18 3" xfId="17140"/>
    <cellStyle name="CALC Currency Total [1] 18 3 2" xfId="25461"/>
    <cellStyle name="CALC Currency Total [1] 18 3 2 2" xfId="42872"/>
    <cellStyle name="CALC Currency Total [1] 18 3 3" xfId="32697"/>
    <cellStyle name="CALC Currency Total [1] 18 3 4" xfId="42873"/>
    <cellStyle name="CALC Currency Total [1] 18 4" xfId="18168"/>
    <cellStyle name="CALC Currency Total [1] 18 4 2" xfId="26488"/>
    <cellStyle name="CALC Currency Total [1] 18 4 2 2" xfId="42874"/>
    <cellStyle name="CALC Currency Total [1] 18 4 3" xfId="33675"/>
    <cellStyle name="CALC Currency Total [1] 18 4 4" xfId="42875"/>
    <cellStyle name="CALC Currency Total [1] 18 5" xfId="19152"/>
    <cellStyle name="CALC Currency Total [1] 18 5 2" xfId="27472"/>
    <cellStyle name="CALC Currency Total [1] 18 5 2 2" xfId="42876"/>
    <cellStyle name="CALC Currency Total [1] 18 5 3" xfId="34620"/>
    <cellStyle name="CALC Currency Total [1] 18 5 4" xfId="42877"/>
    <cellStyle name="CALC Currency Total [1] 18 6" xfId="20120"/>
    <cellStyle name="CALC Currency Total [1] 18 6 2" xfId="28442"/>
    <cellStyle name="CALC Currency Total [1] 18 6 2 2" xfId="42878"/>
    <cellStyle name="CALC Currency Total [1] 18 6 3" xfId="35567"/>
    <cellStyle name="CALC Currency Total [1] 18 6 4" xfId="42879"/>
    <cellStyle name="CALC Currency Total [1] 18 7" xfId="21581"/>
    <cellStyle name="CALC Currency Total [1] 18 7 2" xfId="29882"/>
    <cellStyle name="CALC Currency Total [1] 18 7 2 2" xfId="42880"/>
    <cellStyle name="CALC Currency Total [1] 18 7 3" xfId="36941"/>
    <cellStyle name="CALC Currency Total [1] 18 7 4" xfId="42881"/>
    <cellStyle name="CALC Currency Total [1] 18 8" xfId="22509"/>
    <cellStyle name="CALC Currency Total [1] 18 8 2" xfId="30805"/>
    <cellStyle name="CALC Currency Total [1] 18 8 2 2" xfId="42882"/>
    <cellStyle name="CALC Currency Total [1] 18 8 3" xfId="37824"/>
    <cellStyle name="CALC Currency Total [1] 18 8 4" xfId="42883"/>
    <cellStyle name="CALC Currency Total [1] 18 9" xfId="23451"/>
    <cellStyle name="CALC Currency Total [1] 18 9 2" xfId="42884"/>
    <cellStyle name="CALC Currency Total [1] 19" xfId="15237"/>
    <cellStyle name="CALC Currency Total [1] 19 10" xfId="42885"/>
    <cellStyle name="CALC Currency Total [1] 19 11" xfId="42886"/>
    <cellStyle name="CALC Currency Total [1] 19 2" xfId="16317"/>
    <cellStyle name="CALC Currency Total [1] 19 2 2" xfId="24630"/>
    <cellStyle name="CALC Currency Total [1] 19 2 2 2" xfId="42887"/>
    <cellStyle name="CALC Currency Total [1] 19 2 3" xfId="31897"/>
    <cellStyle name="CALC Currency Total [1] 19 2 4" xfId="42888"/>
    <cellStyle name="CALC Currency Total [1] 19 3" xfId="17283"/>
    <cellStyle name="CALC Currency Total [1] 19 3 2" xfId="25604"/>
    <cellStyle name="CALC Currency Total [1] 19 3 2 2" xfId="42889"/>
    <cellStyle name="CALC Currency Total [1] 19 3 3" xfId="32830"/>
    <cellStyle name="CALC Currency Total [1] 19 3 4" xfId="42890"/>
    <cellStyle name="CALC Currency Total [1] 19 4" xfId="18311"/>
    <cellStyle name="CALC Currency Total [1] 19 4 2" xfId="26631"/>
    <cellStyle name="CALC Currency Total [1] 19 4 2 2" xfId="42891"/>
    <cellStyle name="CALC Currency Total [1] 19 4 3" xfId="33808"/>
    <cellStyle name="CALC Currency Total [1] 19 4 4" xfId="42892"/>
    <cellStyle name="CALC Currency Total [1] 19 5" xfId="19295"/>
    <cellStyle name="CALC Currency Total [1] 19 5 2" xfId="27615"/>
    <cellStyle name="CALC Currency Total [1] 19 5 2 2" xfId="42893"/>
    <cellStyle name="CALC Currency Total [1] 19 5 3" xfId="34763"/>
    <cellStyle name="CALC Currency Total [1] 19 5 4" xfId="42894"/>
    <cellStyle name="CALC Currency Total [1] 19 6" xfId="20263"/>
    <cellStyle name="CALC Currency Total [1] 19 6 2" xfId="28585"/>
    <cellStyle name="CALC Currency Total [1] 19 6 2 2" xfId="42895"/>
    <cellStyle name="CALC Currency Total [1] 19 6 3" xfId="35700"/>
    <cellStyle name="CALC Currency Total [1] 19 6 4" xfId="42896"/>
    <cellStyle name="CALC Currency Total [1] 19 7" xfId="21724"/>
    <cellStyle name="CALC Currency Total [1] 19 7 2" xfId="30025"/>
    <cellStyle name="CALC Currency Total [1] 19 7 2 2" xfId="42897"/>
    <cellStyle name="CALC Currency Total [1] 19 7 3" xfId="37074"/>
    <cellStyle name="CALC Currency Total [1] 19 7 4" xfId="42898"/>
    <cellStyle name="CALC Currency Total [1] 19 8" xfId="22652"/>
    <cellStyle name="CALC Currency Total [1] 19 8 2" xfId="30948"/>
    <cellStyle name="CALC Currency Total [1] 19 8 2 2" xfId="42899"/>
    <cellStyle name="CALC Currency Total [1] 19 8 3" xfId="37957"/>
    <cellStyle name="CALC Currency Total [1] 19 8 4" xfId="42900"/>
    <cellStyle name="CALC Currency Total [1] 19 9" xfId="23594"/>
    <cellStyle name="CALC Currency Total [1] 19 9 2" xfId="42901"/>
    <cellStyle name="CALC Currency Total [1] 2" xfId="14462"/>
    <cellStyle name="CALC Currency Total [1] 2 10" xfId="14822"/>
    <cellStyle name="CALC Currency Total [1] 2 10 10" xfId="23186"/>
    <cellStyle name="CALC Currency Total [1] 2 10 10 2" xfId="42902"/>
    <cellStyle name="CALC Currency Total [1] 2 10 11" xfId="42903"/>
    <cellStyle name="CALC Currency Total [1] 2 10 12" xfId="42904"/>
    <cellStyle name="CALC Currency Total [1] 2 10 2" xfId="15903"/>
    <cellStyle name="CALC Currency Total [1] 2 10 2 2" xfId="24221"/>
    <cellStyle name="CALC Currency Total [1] 2 10 2 2 2" xfId="42905"/>
    <cellStyle name="CALC Currency Total [1] 2 10 2 3" xfId="31507"/>
    <cellStyle name="CALC Currency Total [1] 2 10 2 4" xfId="42906"/>
    <cellStyle name="CALC Currency Total [1] 2 10 3" xfId="16869"/>
    <cellStyle name="CALC Currency Total [1] 2 10 3 2" xfId="25193"/>
    <cellStyle name="CALC Currency Total [1] 2 10 3 2 2" xfId="42907"/>
    <cellStyle name="CALC Currency Total [1] 2 10 3 3" xfId="32440"/>
    <cellStyle name="CALC Currency Total [1] 2 10 3 4" xfId="42908"/>
    <cellStyle name="CALC Currency Total [1] 2 10 4" xfId="17896"/>
    <cellStyle name="CALC Currency Total [1] 2 10 4 2" xfId="26219"/>
    <cellStyle name="CALC Currency Total [1] 2 10 4 2 2" xfId="42909"/>
    <cellStyle name="CALC Currency Total [1] 2 10 4 3" xfId="33417"/>
    <cellStyle name="CALC Currency Total [1] 2 10 4 4" xfId="42910"/>
    <cellStyle name="CALC Currency Total [1] 2 10 5" xfId="18880"/>
    <cellStyle name="CALC Currency Total [1] 2 10 5 2" xfId="27200"/>
    <cellStyle name="CALC Currency Total [1] 2 10 5 2 2" xfId="42911"/>
    <cellStyle name="CALC Currency Total [1] 2 10 5 3" xfId="34357"/>
    <cellStyle name="CALC Currency Total [1] 2 10 5 4" xfId="42912"/>
    <cellStyle name="CALC Currency Total [1] 2 10 6" xfId="19848"/>
    <cellStyle name="CALC Currency Total [1] 2 10 6 2" xfId="28170"/>
    <cellStyle name="CALC Currency Total [1] 2 10 6 2 2" xfId="42913"/>
    <cellStyle name="CALC Currency Total [1] 2 10 6 3" xfId="35304"/>
    <cellStyle name="CALC Currency Total [1] 2 10 6 4" xfId="42914"/>
    <cellStyle name="CALC Currency Total [1] 2 10 7" xfId="20806"/>
    <cellStyle name="CALC Currency Total [1] 2 10 7 2" xfId="29126"/>
    <cellStyle name="CALC Currency Total [1] 2 10 7 2 2" xfId="42915"/>
    <cellStyle name="CALC Currency Total [1] 2 10 7 3" xfId="36215"/>
    <cellStyle name="CALC Currency Total [1] 2 10 7 4" xfId="42916"/>
    <cellStyle name="CALC Currency Total [1] 2 10 8" xfId="21115"/>
    <cellStyle name="CALC Currency Total [1] 2 10 8 2" xfId="29429"/>
    <cellStyle name="CALC Currency Total [1] 2 10 8 2 2" xfId="42917"/>
    <cellStyle name="CALC Currency Total [1] 2 10 8 3" xfId="36502"/>
    <cellStyle name="CALC Currency Total [1] 2 10 8 4" xfId="42918"/>
    <cellStyle name="CALC Currency Total [1] 2 10 9" xfId="22241"/>
    <cellStyle name="CALC Currency Total [1] 2 10 9 2" xfId="30540"/>
    <cellStyle name="CALC Currency Total [1] 2 10 9 2 2" xfId="42919"/>
    <cellStyle name="CALC Currency Total [1] 2 10 9 3" xfId="37568"/>
    <cellStyle name="CALC Currency Total [1] 2 10 9 4" xfId="42920"/>
    <cellStyle name="CALC Currency Total [1] 2 11" xfId="14880"/>
    <cellStyle name="CALC Currency Total [1] 2 11 10" xfId="23243"/>
    <cellStyle name="CALC Currency Total [1] 2 11 10 2" xfId="42921"/>
    <cellStyle name="CALC Currency Total [1] 2 11 11" xfId="42922"/>
    <cellStyle name="CALC Currency Total [1] 2 11 12" xfId="42923"/>
    <cellStyle name="CALC Currency Total [1] 2 11 2" xfId="15961"/>
    <cellStyle name="CALC Currency Total [1] 2 11 2 2" xfId="24278"/>
    <cellStyle name="CALC Currency Total [1] 2 11 2 2 2" xfId="42924"/>
    <cellStyle name="CALC Currency Total [1] 2 11 2 3" xfId="31561"/>
    <cellStyle name="CALC Currency Total [1] 2 11 2 4" xfId="42925"/>
    <cellStyle name="CALC Currency Total [1] 2 11 3" xfId="16927"/>
    <cellStyle name="CALC Currency Total [1] 2 11 3 2" xfId="25250"/>
    <cellStyle name="CALC Currency Total [1] 2 11 3 2 2" xfId="42926"/>
    <cellStyle name="CALC Currency Total [1] 2 11 3 3" xfId="32494"/>
    <cellStyle name="CALC Currency Total [1] 2 11 3 4" xfId="42927"/>
    <cellStyle name="CALC Currency Total [1] 2 11 4" xfId="17954"/>
    <cellStyle name="CALC Currency Total [1] 2 11 4 2" xfId="26276"/>
    <cellStyle name="CALC Currency Total [1] 2 11 4 2 2" xfId="42928"/>
    <cellStyle name="CALC Currency Total [1] 2 11 4 3" xfId="33471"/>
    <cellStyle name="CALC Currency Total [1] 2 11 4 4" xfId="42929"/>
    <cellStyle name="CALC Currency Total [1] 2 11 5" xfId="18938"/>
    <cellStyle name="CALC Currency Total [1] 2 11 5 2" xfId="27258"/>
    <cellStyle name="CALC Currency Total [1] 2 11 5 2 2" xfId="42930"/>
    <cellStyle name="CALC Currency Total [1] 2 11 5 3" xfId="34412"/>
    <cellStyle name="CALC Currency Total [1] 2 11 5 4" xfId="42931"/>
    <cellStyle name="CALC Currency Total [1] 2 11 6" xfId="19906"/>
    <cellStyle name="CALC Currency Total [1] 2 11 6 2" xfId="28228"/>
    <cellStyle name="CALC Currency Total [1] 2 11 6 2 2" xfId="42932"/>
    <cellStyle name="CALC Currency Total [1] 2 11 6 3" xfId="35359"/>
    <cellStyle name="CALC Currency Total [1] 2 11 6 4" xfId="42933"/>
    <cellStyle name="CALC Currency Total [1] 2 11 7" xfId="20864"/>
    <cellStyle name="CALC Currency Total [1] 2 11 7 2" xfId="29183"/>
    <cellStyle name="CALC Currency Total [1] 2 11 7 2 2" xfId="42934"/>
    <cellStyle name="CALC Currency Total [1] 2 11 7 3" xfId="36269"/>
    <cellStyle name="CALC Currency Total [1] 2 11 7 4" xfId="42935"/>
    <cellStyle name="CALC Currency Total [1] 2 11 8" xfId="15496"/>
    <cellStyle name="CALC Currency Total [1] 2 11 8 2" xfId="23836"/>
    <cellStyle name="CALC Currency Total [1] 2 11 8 2 2" xfId="42936"/>
    <cellStyle name="CALC Currency Total [1] 2 11 8 3" xfId="31185"/>
    <cellStyle name="CALC Currency Total [1] 2 11 8 4" xfId="42937"/>
    <cellStyle name="CALC Currency Total [1] 2 11 9" xfId="22299"/>
    <cellStyle name="CALC Currency Total [1] 2 11 9 2" xfId="30597"/>
    <cellStyle name="CALC Currency Total [1] 2 11 9 2 2" xfId="42938"/>
    <cellStyle name="CALC Currency Total [1] 2 11 9 3" xfId="37622"/>
    <cellStyle name="CALC Currency Total [1] 2 11 9 4" xfId="42939"/>
    <cellStyle name="CALC Currency Total [1] 2 12" xfId="14896"/>
    <cellStyle name="CALC Currency Total [1] 2 12 10" xfId="23259"/>
    <cellStyle name="CALC Currency Total [1] 2 12 10 2" xfId="42940"/>
    <cellStyle name="CALC Currency Total [1] 2 12 11" xfId="42941"/>
    <cellStyle name="CALC Currency Total [1] 2 12 12" xfId="42942"/>
    <cellStyle name="CALC Currency Total [1] 2 12 2" xfId="15977"/>
    <cellStyle name="CALC Currency Total [1] 2 12 2 2" xfId="24294"/>
    <cellStyle name="CALC Currency Total [1] 2 12 2 2 2" xfId="42943"/>
    <cellStyle name="CALC Currency Total [1] 2 12 2 3" xfId="31575"/>
    <cellStyle name="CALC Currency Total [1] 2 12 2 4" xfId="42944"/>
    <cellStyle name="CALC Currency Total [1] 2 12 3" xfId="16943"/>
    <cellStyle name="CALC Currency Total [1] 2 12 3 2" xfId="25266"/>
    <cellStyle name="CALC Currency Total [1] 2 12 3 2 2" xfId="42945"/>
    <cellStyle name="CALC Currency Total [1] 2 12 3 3" xfId="32508"/>
    <cellStyle name="CALC Currency Total [1] 2 12 3 4" xfId="42946"/>
    <cellStyle name="CALC Currency Total [1] 2 12 4" xfId="17970"/>
    <cellStyle name="CALC Currency Total [1] 2 12 4 2" xfId="26292"/>
    <cellStyle name="CALC Currency Total [1] 2 12 4 2 2" xfId="42947"/>
    <cellStyle name="CALC Currency Total [1] 2 12 4 3" xfId="33485"/>
    <cellStyle name="CALC Currency Total [1] 2 12 4 4" xfId="42948"/>
    <cellStyle name="CALC Currency Total [1] 2 12 5" xfId="18954"/>
    <cellStyle name="CALC Currency Total [1] 2 12 5 2" xfId="27274"/>
    <cellStyle name="CALC Currency Total [1] 2 12 5 2 2" xfId="42949"/>
    <cellStyle name="CALC Currency Total [1] 2 12 5 3" xfId="34426"/>
    <cellStyle name="CALC Currency Total [1] 2 12 5 4" xfId="42950"/>
    <cellStyle name="CALC Currency Total [1] 2 12 6" xfId="19922"/>
    <cellStyle name="CALC Currency Total [1] 2 12 6 2" xfId="28244"/>
    <cellStyle name="CALC Currency Total [1] 2 12 6 2 2" xfId="42951"/>
    <cellStyle name="CALC Currency Total [1] 2 12 6 3" xfId="35373"/>
    <cellStyle name="CALC Currency Total [1] 2 12 6 4" xfId="42952"/>
    <cellStyle name="CALC Currency Total [1] 2 12 7" xfId="20880"/>
    <cellStyle name="CALC Currency Total [1] 2 12 7 2" xfId="29199"/>
    <cellStyle name="CALC Currency Total [1] 2 12 7 2 2" xfId="42953"/>
    <cellStyle name="CALC Currency Total [1] 2 12 7 3" xfId="36283"/>
    <cellStyle name="CALC Currency Total [1] 2 12 7 4" xfId="42954"/>
    <cellStyle name="CALC Currency Total [1] 2 12 8" xfId="21387"/>
    <cellStyle name="CALC Currency Total [1] 2 12 8 2" xfId="29690"/>
    <cellStyle name="CALC Currency Total [1] 2 12 8 2 2" xfId="42955"/>
    <cellStyle name="CALC Currency Total [1] 2 12 8 3" xfId="36753"/>
    <cellStyle name="CALC Currency Total [1] 2 12 8 4" xfId="42956"/>
    <cellStyle name="CALC Currency Total [1] 2 12 9" xfId="22315"/>
    <cellStyle name="CALC Currency Total [1] 2 12 9 2" xfId="30613"/>
    <cellStyle name="CALC Currency Total [1] 2 12 9 2 2" xfId="42957"/>
    <cellStyle name="CALC Currency Total [1] 2 12 9 3" xfId="37636"/>
    <cellStyle name="CALC Currency Total [1] 2 12 9 4" xfId="42958"/>
    <cellStyle name="CALC Currency Total [1] 2 13" xfId="14903"/>
    <cellStyle name="CALC Currency Total [1] 2 13 10" xfId="23266"/>
    <cellStyle name="CALC Currency Total [1] 2 13 10 2" xfId="42959"/>
    <cellStyle name="CALC Currency Total [1] 2 13 11" xfId="42960"/>
    <cellStyle name="CALC Currency Total [1] 2 13 12" xfId="42961"/>
    <cellStyle name="CALC Currency Total [1] 2 13 2" xfId="15984"/>
    <cellStyle name="CALC Currency Total [1] 2 13 2 2" xfId="24301"/>
    <cellStyle name="CALC Currency Total [1] 2 13 2 2 2" xfId="42962"/>
    <cellStyle name="CALC Currency Total [1] 2 13 2 3" xfId="31581"/>
    <cellStyle name="CALC Currency Total [1] 2 13 2 4" xfId="42963"/>
    <cellStyle name="CALC Currency Total [1] 2 13 3" xfId="16950"/>
    <cellStyle name="CALC Currency Total [1] 2 13 3 2" xfId="25273"/>
    <cellStyle name="CALC Currency Total [1] 2 13 3 2 2" xfId="42964"/>
    <cellStyle name="CALC Currency Total [1] 2 13 3 3" xfId="32514"/>
    <cellStyle name="CALC Currency Total [1] 2 13 3 4" xfId="42965"/>
    <cellStyle name="CALC Currency Total [1] 2 13 4" xfId="17977"/>
    <cellStyle name="CALC Currency Total [1] 2 13 4 2" xfId="26299"/>
    <cellStyle name="CALC Currency Total [1] 2 13 4 2 2" xfId="42966"/>
    <cellStyle name="CALC Currency Total [1] 2 13 4 3" xfId="33491"/>
    <cellStyle name="CALC Currency Total [1] 2 13 4 4" xfId="42967"/>
    <cellStyle name="CALC Currency Total [1] 2 13 5" xfId="18961"/>
    <cellStyle name="CALC Currency Total [1] 2 13 5 2" xfId="27281"/>
    <cellStyle name="CALC Currency Total [1] 2 13 5 2 2" xfId="42968"/>
    <cellStyle name="CALC Currency Total [1] 2 13 5 3" xfId="34432"/>
    <cellStyle name="CALC Currency Total [1] 2 13 5 4" xfId="42969"/>
    <cellStyle name="CALC Currency Total [1] 2 13 6" xfId="19929"/>
    <cellStyle name="CALC Currency Total [1] 2 13 6 2" xfId="28251"/>
    <cellStyle name="CALC Currency Total [1] 2 13 6 2 2" xfId="42970"/>
    <cellStyle name="CALC Currency Total [1] 2 13 6 3" xfId="35379"/>
    <cellStyle name="CALC Currency Total [1] 2 13 6 4" xfId="42971"/>
    <cellStyle name="CALC Currency Total [1] 2 13 7" xfId="20887"/>
    <cellStyle name="CALC Currency Total [1] 2 13 7 2" xfId="29206"/>
    <cellStyle name="CALC Currency Total [1] 2 13 7 2 2" xfId="42972"/>
    <cellStyle name="CALC Currency Total [1] 2 13 7 3" xfId="36289"/>
    <cellStyle name="CALC Currency Total [1] 2 13 7 4" xfId="42973"/>
    <cellStyle name="CALC Currency Total [1] 2 13 8" xfId="21394"/>
    <cellStyle name="CALC Currency Total [1] 2 13 8 2" xfId="29697"/>
    <cellStyle name="CALC Currency Total [1] 2 13 8 2 2" xfId="42974"/>
    <cellStyle name="CALC Currency Total [1] 2 13 8 3" xfId="36759"/>
    <cellStyle name="CALC Currency Total [1] 2 13 8 4" xfId="42975"/>
    <cellStyle name="CALC Currency Total [1] 2 13 9" xfId="22322"/>
    <cellStyle name="CALC Currency Total [1] 2 13 9 2" xfId="30620"/>
    <cellStyle name="CALC Currency Total [1] 2 13 9 2 2" xfId="42976"/>
    <cellStyle name="CALC Currency Total [1] 2 13 9 3" xfId="37642"/>
    <cellStyle name="CALC Currency Total [1] 2 13 9 4" xfId="42977"/>
    <cellStyle name="CALC Currency Total [1] 2 14" xfId="14991"/>
    <cellStyle name="CALC Currency Total [1] 2 14 10" xfId="23352"/>
    <cellStyle name="CALC Currency Total [1] 2 14 10 2" xfId="42978"/>
    <cellStyle name="CALC Currency Total [1] 2 14 11" xfId="42979"/>
    <cellStyle name="CALC Currency Total [1] 2 14 12" xfId="42980"/>
    <cellStyle name="CALC Currency Total [1] 2 14 2" xfId="16072"/>
    <cellStyle name="CALC Currency Total [1] 2 14 2 2" xfId="24387"/>
    <cellStyle name="CALC Currency Total [1] 2 14 2 2 2" xfId="42981"/>
    <cellStyle name="CALC Currency Total [1] 2 14 2 3" xfId="31666"/>
    <cellStyle name="CALC Currency Total [1] 2 14 2 4" xfId="42982"/>
    <cellStyle name="CALC Currency Total [1] 2 14 3" xfId="17038"/>
    <cellStyle name="CALC Currency Total [1] 2 14 3 2" xfId="25359"/>
    <cellStyle name="CALC Currency Total [1] 2 14 3 2 2" xfId="42983"/>
    <cellStyle name="CALC Currency Total [1] 2 14 3 3" xfId="32599"/>
    <cellStyle name="CALC Currency Total [1] 2 14 3 4" xfId="42984"/>
    <cellStyle name="CALC Currency Total [1] 2 14 4" xfId="18065"/>
    <cellStyle name="CALC Currency Total [1] 2 14 4 2" xfId="26385"/>
    <cellStyle name="CALC Currency Total [1] 2 14 4 2 2" xfId="42985"/>
    <cellStyle name="CALC Currency Total [1] 2 14 4 3" xfId="33576"/>
    <cellStyle name="CALC Currency Total [1] 2 14 4 4" xfId="42986"/>
    <cellStyle name="CALC Currency Total [1] 2 14 5" xfId="19049"/>
    <cellStyle name="CALC Currency Total [1] 2 14 5 2" xfId="27369"/>
    <cellStyle name="CALC Currency Total [1] 2 14 5 2 2" xfId="42987"/>
    <cellStyle name="CALC Currency Total [1] 2 14 5 3" xfId="34519"/>
    <cellStyle name="CALC Currency Total [1] 2 14 5 4" xfId="42988"/>
    <cellStyle name="CALC Currency Total [1] 2 14 6" xfId="20017"/>
    <cellStyle name="CALC Currency Total [1] 2 14 6 2" xfId="28339"/>
    <cellStyle name="CALC Currency Total [1] 2 14 6 2 2" xfId="42989"/>
    <cellStyle name="CALC Currency Total [1] 2 14 6 3" xfId="35466"/>
    <cellStyle name="CALC Currency Total [1] 2 14 6 4" xfId="42990"/>
    <cellStyle name="CALC Currency Total [1] 2 14 7" xfId="20975"/>
    <cellStyle name="CALC Currency Total [1] 2 14 7 2" xfId="29292"/>
    <cellStyle name="CALC Currency Total [1] 2 14 7 2 2" xfId="42991"/>
    <cellStyle name="CALC Currency Total [1] 2 14 7 3" xfId="36374"/>
    <cellStyle name="CALC Currency Total [1] 2 14 7 4" xfId="42992"/>
    <cellStyle name="CALC Currency Total [1] 2 14 8" xfId="21482"/>
    <cellStyle name="CALC Currency Total [1] 2 14 8 2" xfId="29783"/>
    <cellStyle name="CALC Currency Total [1] 2 14 8 2 2" xfId="42993"/>
    <cellStyle name="CALC Currency Total [1] 2 14 8 3" xfId="36844"/>
    <cellStyle name="CALC Currency Total [1] 2 14 8 4" xfId="42994"/>
    <cellStyle name="CALC Currency Total [1] 2 14 9" xfId="22410"/>
    <cellStyle name="CALC Currency Total [1] 2 14 9 2" xfId="30706"/>
    <cellStyle name="CALC Currency Total [1] 2 14 9 2 2" xfId="42995"/>
    <cellStyle name="CALC Currency Total [1] 2 14 9 3" xfId="37727"/>
    <cellStyle name="CALC Currency Total [1] 2 14 9 4" xfId="42996"/>
    <cellStyle name="CALC Currency Total [1] 2 15" xfId="15060"/>
    <cellStyle name="CALC Currency Total [1] 2 15 10" xfId="23420"/>
    <cellStyle name="CALC Currency Total [1] 2 15 10 2" xfId="42997"/>
    <cellStyle name="CALC Currency Total [1] 2 15 11" xfId="42998"/>
    <cellStyle name="CALC Currency Total [1] 2 15 12" xfId="42999"/>
    <cellStyle name="CALC Currency Total [1] 2 15 2" xfId="16140"/>
    <cellStyle name="CALC Currency Total [1] 2 15 2 2" xfId="24455"/>
    <cellStyle name="CALC Currency Total [1] 2 15 2 2 2" xfId="43000"/>
    <cellStyle name="CALC Currency Total [1] 2 15 2 3" xfId="31732"/>
    <cellStyle name="CALC Currency Total [1] 2 15 2 4" xfId="43001"/>
    <cellStyle name="CALC Currency Total [1] 2 15 3" xfId="17107"/>
    <cellStyle name="CALC Currency Total [1] 2 15 3 2" xfId="25428"/>
    <cellStyle name="CALC Currency Total [1] 2 15 3 2 2" xfId="43002"/>
    <cellStyle name="CALC Currency Total [1] 2 15 3 3" xfId="32666"/>
    <cellStyle name="CALC Currency Total [1] 2 15 3 4" xfId="43003"/>
    <cellStyle name="CALC Currency Total [1] 2 15 4" xfId="18134"/>
    <cellStyle name="CALC Currency Total [1] 2 15 4 2" xfId="26454"/>
    <cellStyle name="CALC Currency Total [1] 2 15 4 2 2" xfId="43004"/>
    <cellStyle name="CALC Currency Total [1] 2 15 4 3" xfId="33643"/>
    <cellStyle name="CALC Currency Total [1] 2 15 4 4" xfId="43005"/>
    <cellStyle name="CALC Currency Total [1] 2 15 5" xfId="19118"/>
    <cellStyle name="CALC Currency Total [1] 2 15 5 2" xfId="27438"/>
    <cellStyle name="CALC Currency Total [1] 2 15 5 2 2" xfId="43006"/>
    <cellStyle name="CALC Currency Total [1] 2 15 5 3" xfId="34586"/>
    <cellStyle name="CALC Currency Total [1] 2 15 5 4" xfId="43007"/>
    <cellStyle name="CALC Currency Total [1] 2 15 6" xfId="20086"/>
    <cellStyle name="CALC Currency Total [1] 2 15 6 2" xfId="28408"/>
    <cellStyle name="CALC Currency Total [1] 2 15 6 2 2" xfId="43008"/>
    <cellStyle name="CALC Currency Total [1] 2 15 6 3" xfId="35533"/>
    <cellStyle name="CALC Currency Total [1] 2 15 6 4" xfId="43009"/>
    <cellStyle name="CALC Currency Total [1] 2 15 7" xfId="21043"/>
    <cellStyle name="CALC Currency Total [1] 2 15 7 2" xfId="29360"/>
    <cellStyle name="CALC Currency Total [1] 2 15 7 2 2" xfId="43010"/>
    <cellStyle name="CALC Currency Total [1] 2 15 7 3" xfId="36440"/>
    <cellStyle name="CALC Currency Total [1] 2 15 7 4" xfId="43011"/>
    <cellStyle name="CALC Currency Total [1] 2 15 8" xfId="21550"/>
    <cellStyle name="CALC Currency Total [1] 2 15 8 2" xfId="29851"/>
    <cellStyle name="CALC Currency Total [1] 2 15 8 2 2" xfId="43012"/>
    <cellStyle name="CALC Currency Total [1] 2 15 8 3" xfId="36910"/>
    <cellStyle name="CALC Currency Total [1] 2 15 8 4" xfId="43013"/>
    <cellStyle name="CALC Currency Total [1] 2 15 9" xfId="22478"/>
    <cellStyle name="CALC Currency Total [1] 2 15 9 2" xfId="30774"/>
    <cellStyle name="CALC Currency Total [1] 2 15 9 2 2" xfId="43014"/>
    <cellStyle name="CALC Currency Total [1] 2 15 9 3" xfId="37793"/>
    <cellStyle name="CALC Currency Total [1] 2 15 9 4" xfId="43015"/>
    <cellStyle name="CALC Currency Total [1] 2 16" xfId="15145"/>
    <cellStyle name="CALC Currency Total [1] 2 16 10" xfId="43016"/>
    <cellStyle name="CALC Currency Total [1] 2 16 11" xfId="43017"/>
    <cellStyle name="CALC Currency Total [1] 2 16 2" xfId="16225"/>
    <cellStyle name="CALC Currency Total [1] 2 16 2 2" xfId="24538"/>
    <cellStyle name="CALC Currency Total [1] 2 16 2 2 2" xfId="43018"/>
    <cellStyle name="CALC Currency Total [1] 2 16 2 3" xfId="31813"/>
    <cellStyle name="CALC Currency Total [1] 2 16 2 4" xfId="43019"/>
    <cellStyle name="CALC Currency Total [1] 2 16 3" xfId="17191"/>
    <cellStyle name="CALC Currency Total [1] 2 16 3 2" xfId="25512"/>
    <cellStyle name="CALC Currency Total [1] 2 16 3 2 2" xfId="43020"/>
    <cellStyle name="CALC Currency Total [1] 2 16 3 3" xfId="32746"/>
    <cellStyle name="CALC Currency Total [1] 2 16 3 4" xfId="43021"/>
    <cellStyle name="CALC Currency Total [1] 2 16 4" xfId="18219"/>
    <cellStyle name="CALC Currency Total [1] 2 16 4 2" xfId="26539"/>
    <cellStyle name="CALC Currency Total [1] 2 16 4 2 2" xfId="43022"/>
    <cellStyle name="CALC Currency Total [1] 2 16 4 3" xfId="33724"/>
    <cellStyle name="CALC Currency Total [1] 2 16 4 4" xfId="43023"/>
    <cellStyle name="CALC Currency Total [1] 2 16 5" xfId="19203"/>
    <cellStyle name="CALC Currency Total [1] 2 16 5 2" xfId="27523"/>
    <cellStyle name="CALC Currency Total [1] 2 16 5 2 2" xfId="43024"/>
    <cellStyle name="CALC Currency Total [1] 2 16 5 3" xfId="34671"/>
    <cellStyle name="CALC Currency Total [1] 2 16 5 4" xfId="43025"/>
    <cellStyle name="CALC Currency Total [1] 2 16 6" xfId="20171"/>
    <cellStyle name="CALC Currency Total [1] 2 16 6 2" xfId="28493"/>
    <cellStyle name="CALC Currency Total [1] 2 16 6 2 2" xfId="43026"/>
    <cellStyle name="CALC Currency Total [1] 2 16 6 3" xfId="35616"/>
    <cellStyle name="CALC Currency Total [1] 2 16 6 4" xfId="43027"/>
    <cellStyle name="CALC Currency Total [1] 2 16 7" xfId="21632"/>
    <cellStyle name="CALC Currency Total [1] 2 16 7 2" xfId="29933"/>
    <cellStyle name="CALC Currency Total [1] 2 16 7 2 2" xfId="43028"/>
    <cellStyle name="CALC Currency Total [1] 2 16 7 3" xfId="36990"/>
    <cellStyle name="CALC Currency Total [1] 2 16 7 4" xfId="43029"/>
    <cellStyle name="CALC Currency Total [1] 2 16 8" xfId="22560"/>
    <cellStyle name="CALC Currency Total [1] 2 16 8 2" xfId="30856"/>
    <cellStyle name="CALC Currency Total [1] 2 16 8 2 2" xfId="43030"/>
    <cellStyle name="CALC Currency Total [1] 2 16 8 3" xfId="37873"/>
    <cellStyle name="CALC Currency Total [1] 2 16 8 4" xfId="43031"/>
    <cellStyle name="CALC Currency Total [1] 2 16 9" xfId="23502"/>
    <cellStyle name="CALC Currency Total [1] 2 16 9 2" xfId="43032"/>
    <cellStyle name="CALC Currency Total [1] 2 17" xfId="15165"/>
    <cellStyle name="CALC Currency Total [1] 2 17 10" xfId="43033"/>
    <cellStyle name="CALC Currency Total [1] 2 17 11" xfId="43034"/>
    <cellStyle name="CALC Currency Total [1] 2 17 2" xfId="16245"/>
    <cellStyle name="CALC Currency Total [1] 2 17 2 2" xfId="24558"/>
    <cellStyle name="CALC Currency Total [1] 2 17 2 2 2" xfId="43035"/>
    <cellStyle name="CALC Currency Total [1] 2 17 2 3" xfId="31831"/>
    <cellStyle name="CALC Currency Total [1] 2 17 2 4" xfId="43036"/>
    <cellStyle name="CALC Currency Total [1] 2 17 3" xfId="17211"/>
    <cellStyle name="CALC Currency Total [1] 2 17 3 2" xfId="25532"/>
    <cellStyle name="CALC Currency Total [1] 2 17 3 2 2" xfId="43037"/>
    <cellStyle name="CALC Currency Total [1] 2 17 3 3" xfId="32764"/>
    <cellStyle name="CALC Currency Total [1] 2 17 3 4" xfId="43038"/>
    <cellStyle name="CALC Currency Total [1] 2 17 4" xfId="18239"/>
    <cellStyle name="CALC Currency Total [1] 2 17 4 2" xfId="26559"/>
    <cellStyle name="CALC Currency Total [1] 2 17 4 2 2" xfId="43039"/>
    <cellStyle name="CALC Currency Total [1] 2 17 4 3" xfId="33742"/>
    <cellStyle name="CALC Currency Total [1] 2 17 4 4" xfId="43040"/>
    <cellStyle name="CALC Currency Total [1] 2 17 5" xfId="19223"/>
    <cellStyle name="CALC Currency Total [1] 2 17 5 2" xfId="27543"/>
    <cellStyle name="CALC Currency Total [1] 2 17 5 2 2" xfId="43041"/>
    <cellStyle name="CALC Currency Total [1] 2 17 5 3" xfId="34691"/>
    <cellStyle name="CALC Currency Total [1] 2 17 5 4" xfId="43042"/>
    <cellStyle name="CALC Currency Total [1] 2 17 6" xfId="20191"/>
    <cellStyle name="CALC Currency Total [1] 2 17 6 2" xfId="28513"/>
    <cellStyle name="CALC Currency Total [1] 2 17 6 2 2" xfId="43043"/>
    <cellStyle name="CALC Currency Total [1] 2 17 6 3" xfId="35634"/>
    <cellStyle name="CALC Currency Total [1] 2 17 6 4" xfId="43044"/>
    <cellStyle name="CALC Currency Total [1] 2 17 7" xfId="21652"/>
    <cellStyle name="CALC Currency Total [1] 2 17 7 2" xfId="29953"/>
    <cellStyle name="CALC Currency Total [1] 2 17 7 2 2" xfId="43045"/>
    <cellStyle name="CALC Currency Total [1] 2 17 7 3" xfId="37008"/>
    <cellStyle name="CALC Currency Total [1] 2 17 7 4" xfId="43046"/>
    <cellStyle name="CALC Currency Total [1] 2 17 8" xfId="22580"/>
    <cellStyle name="CALC Currency Total [1] 2 17 8 2" xfId="30876"/>
    <cellStyle name="CALC Currency Total [1] 2 17 8 2 2" xfId="43047"/>
    <cellStyle name="CALC Currency Total [1] 2 17 8 3" xfId="37891"/>
    <cellStyle name="CALC Currency Total [1] 2 17 8 4" xfId="43048"/>
    <cellStyle name="CALC Currency Total [1] 2 17 9" xfId="23522"/>
    <cellStyle name="CALC Currency Total [1] 2 17 9 2" xfId="43049"/>
    <cellStyle name="CALC Currency Total [1] 2 18" xfId="15187"/>
    <cellStyle name="CALC Currency Total [1] 2 18 10" xfId="43050"/>
    <cellStyle name="CALC Currency Total [1] 2 18 11" xfId="43051"/>
    <cellStyle name="CALC Currency Total [1] 2 18 2" xfId="16267"/>
    <cellStyle name="CALC Currency Total [1] 2 18 2 2" xfId="24580"/>
    <cellStyle name="CALC Currency Total [1] 2 18 2 2 2" xfId="43052"/>
    <cellStyle name="CALC Currency Total [1] 2 18 2 3" xfId="31852"/>
    <cellStyle name="CALC Currency Total [1] 2 18 2 4" xfId="43053"/>
    <cellStyle name="CALC Currency Total [1] 2 18 3" xfId="17233"/>
    <cellStyle name="CALC Currency Total [1] 2 18 3 2" xfId="25554"/>
    <cellStyle name="CALC Currency Total [1] 2 18 3 2 2" xfId="43054"/>
    <cellStyle name="CALC Currency Total [1] 2 18 3 3" xfId="32785"/>
    <cellStyle name="CALC Currency Total [1] 2 18 3 4" xfId="43055"/>
    <cellStyle name="CALC Currency Total [1] 2 18 4" xfId="18261"/>
    <cellStyle name="CALC Currency Total [1] 2 18 4 2" xfId="26581"/>
    <cellStyle name="CALC Currency Total [1] 2 18 4 2 2" xfId="43056"/>
    <cellStyle name="CALC Currency Total [1] 2 18 4 3" xfId="33763"/>
    <cellStyle name="CALC Currency Total [1] 2 18 4 4" xfId="43057"/>
    <cellStyle name="CALC Currency Total [1] 2 18 5" xfId="19245"/>
    <cellStyle name="CALC Currency Total [1] 2 18 5 2" xfId="27565"/>
    <cellStyle name="CALC Currency Total [1] 2 18 5 2 2" xfId="43058"/>
    <cellStyle name="CALC Currency Total [1] 2 18 5 3" xfId="34713"/>
    <cellStyle name="CALC Currency Total [1] 2 18 5 4" xfId="43059"/>
    <cellStyle name="CALC Currency Total [1] 2 18 6" xfId="20213"/>
    <cellStyle name="CALC Currency Total [1] 2 18 6 2" xfId="28535"/>
    <cellStyle name="CALC Currency Total [1] 2 18 6 2 2" xfId="43060"/>
    <cellStyle name="CALC Currency Total [1] 2 18 6 3" xfId="35655"/>
    <cellStyle name="CALC Currency Total [1] 2 18 6 4" xfId="43061"/>
    <cellStyle name="CALC Currency Total [1] 2 18 7" xfId="21674"/>
    <cellStyle name="CALC Currency Total [1] 2 18 7 2" xfId="29975"/>
    <cellStyle name="CALC Currency Total [1] 2 18 7 2 2" xfId="43062"/>
    <cellStyle name="CALC Currency Total [1] 2 18 7 3" xfId="37029"/>
    <cellStyle name="CALC Currency Total [1] 2 18 7 4" xfId="43063"/>
    <cellStyle name="CALC Currency Total [1] 2 18 8" xfId="22602"/>
    <cellStyle name="CALC Currency Total [1] 2 18 8 2" xfId="30898"/>
    <cellStyle name="CALC Currency Total [1] 2 18 8 2 2" xfId="43064"/>
    <cellStyle name="CALC Currency Total [1] 2 18 8 3" xfId="37912"/>
    <cellStyle name="CALC Currency Total [1] 2 18 8 4" xfId="43065"/>
    <cellStyle name="CALC Currency Total [1] 2 18 9" xfId="23544"/>
    <cellStyle name="CALC Currency Total [1] 2 18 9 2" xfId="43066"/>
    <cellStyle name="CALC Currency Total [1] 2 19" xfId="15203"/>
    <cellStyle name="CALC Currency Total [1] 2 19 10" xfId="43067"/>
    <cellStyle name="CALC Currency Total [1] 2 19 11" xfId="43068"/>
    <cellStyle name="CALC Currency Total [1] 2 19 2" xfId="16283"/>
    <cellStyle name="CALC Currency Total [1] 2 19 2 2" xfId="24596"/>
    <cellStyle name="CALC Currency Total [1] 2 19 2 2 2" xfId="43069"/>
    <cellStyle name="CALC Currency Total [1] 2 19 2 3" xfId="31866"/>
    <cellStyle name="CALC Currency Total [1] 2 19 2 4" xfId="43070"/>
    <cellStyle name="CALC Currency Total [1] 2 19 3" xfId="17249"/>
    <cellStyle name="CALC Currency Total [1] 2 19 3 2" xfId="25570"/>
    <cellStyle name="CALC Currency Total [1] 2 19 3 2 2" xfId="43071"/>
    <cellStyle name="CALC Currency Total [1] 2 19 3 3" xfId="32799"/>
    <cellStyle name="CALC Currency Total [1] 2 19 3 4" xfId="43072"/>
    <cellStyle name="CALC Currency Total [1] 2 19 4" xfId="18277"/>
    <cellStyle name="CALC Currency Total [1] 2 19 4 2" xfId="26597"/>
    <cellStyle name="CALC Currency Total [1] 2 19 4 2 2" xfId="43073"/>
    <cellStyle name="CALC Currency Total [1] 2 19 4 3" xfId="33777"/>
    <cellStyle name="CALC Currency Total [1] 2 19 4 4" xfId="43074"/>
    <cellStyle name="CALC Currency Total [1] 2 19 5" xfId="19261"/>
    <cellStyle name="CALC Currency Total [1] 2 19 5 2" xfId="27581"/>
    <cellStyle name="CALC Currency Total [1] 2 19 5 2 2" xfId="43075"/>
    <cellStyle name="CALC Currency Total [1] 2 19 5 3" xfId="34729"/>
    <cellStyle name="CALC Currency Total [1] 2 19 5 4" xfId="43076"/>
    <cellStyle name="CALC Currency Total [1] 2 19 6" xfId="20229"/>
    <cellStyle name="CALC Currency Total [1] 2 19 6 2" xfId="28551"/>
    <cellStyle name="CALC Currency Total [1] 2 19 6 2 2" xfId="43077"/>
    <cellStyle name="CALC Currency Total [1] 2 19 6 3" xfId="35669"/>
    <cellStyle name="CALC Currency Total [1] 2 19 6 4" xfId="43078"/>
    <cellStyle name="CALC Currency Total [1] 2 19 7" xfId="21690"/>
    <cellStyle name="CALC Currency Total [1] 2 19 7 2" xfId="29991"/>
    <cellStyle name="CALC Currency Total [1] 2 19 7 2 2" xfId="43079"/>
    <cellStyle name="CALC Currency Total [1] 2 19 7 3" xfId="37043"/>
    <cellStyle name="CALC Currency Total [1] 2 19 7 4" xfId="43080"/>
    <cellStyle name="CALC Currency Total [1] 2 19 8" xfId="22618"/>
    <cellStyle name="CALC Currency Total [1] 2 19 8 2" xfId="30914"/>
    <cellStyle name="CALC Currency Total [1] 2 19 8 2 2" xfId="43081"/>
    <cellStyle name="CALC Currency Total [1] 2 19 8 3" xfId="37926"/>
    <cellStyle name="CALC Currency Total [1] 2 19 8 4" xfId="43082"/>
    <cellStyle name="CALC Currency Total [1] 2 19 9" xfId="23560"/>
    <cellStyle name="CALC Currency Total [1] 2 19 9 2" xfId="43083"/>
    <cellStyle name="CALC Currency Total [1] 2 2" xfId="14514"/>
    <cellStyle name="CALC Currency Total [1] 2 2 2" xfId="15576"/>
    <cellStyle name="CALC Currency Total [1] 2 2 2 2" xfId="43084"/>
    <cellStyle name="CALC Currency Total [1] 2 2 2 2 2" xfId="43085"/>
    <cellStyle name="CALC Currency Total [1] 2 2 3" xfId="23898"/>
    <cellStyle name="CALC Currency Total [1] 2 2 3 2" xfId="43086"/>
    <cellStyle name="CALC Currency Total [1] 2 20" xfId="15268"/>
    <cellStyle name="CALC Currency Total [1] 2 20 10" xfId="43087"/>
    <cellStyle name="CALC Currency Total [1] 2 20 11" xfId="43088"/>
    <cellStyle name="CALC Currency Total [1] 2 20 2" xfId="16348"/>
    <cellStyle name="CALC Currency Total [1] 2 20 2 2" xfId="24661"/>
    <cellStyle name="CALC Currency Total [1] 2 20 2 2 2" xfId="43089"/>
    <cellStyle name="CALC Currency Total [1] 2 20 2 3" xfId="31928"/>
    <cellStyle name="CALC Currency Total [1] 2 20 2 4" xfId="43090"/>
    <cellStyle name="CALC Currency Total [1] 2 20 3" xfId="17314"/>
    <cellStyle name="CALC Currency Total [1] 2 20 3 2" xfId="25635"/>
    <cellStyle name="CALC Currency Total [1] 2 20 3 2 2" xfId="43091"/>
    <cellStyle name="CALC Currency Total [1] 2 20 3 3" xfId="32861"/>
    <cellStyle name="CALC Currency Total [1] 2 20 3 4" xfId="43092"/>
    <cellStyle name="CALC Currency Total [1] 2 20 4" xfId="18342"/>
    <cellStyle name="CALC Currency Total [1] 2 20 4 2" xfId="26662"/>
    <cellStyle name="CALC Currency Total [1] 2 20 4 2 2" xfId="43093"/>
    <cellStyle name="CALC Currency Total [1] 2 20 4 3" xfId="33839"/>
    <cellStyle name="CALC Currency Total [1] 2 20 4 4" xfId="43094"/>
    <cellStyle name="CALC Currency Total [1] 2 20 5" xfId="19326"/>
    <cellStyle name="CALC Currency Total [1] 2 20 5 2" xfId="27646"/>
    <cellStyle name="CALC Currency Total [1] 2 20 5 2 2" xfId="43095"/>
    <cellStyle name="CALC Currency Total [1] 2 20 5 3" xfId="34794"/>
    <cellStyle name="CALC Currency Total [1] 2 20 5 4" xfId="43096"/>
    <cellStyle name="CALC Currency Total [1] 2 20 6" xfId="20294"/>
    <cellStyle name="CALC Currency Total [1] 2 20 6 2" xfId="28616"/>
    <cellStyle name="CALC Currency Total [1] 2 20 6 2 2" xfId="43097"/>
    <cellStyle name="CALC Currency Total [1] 2 20 6 3" xfId="35731"/>
    <cellStyle name="CALC Currency Total [1] 2 20 6 4" xfId="43098"/>
    <cellStyle name="CALC Currency Total [1] 2 20 7" xfId="21755"/>
    <cellStyle name="CALC Currency Total [1] 2 20 7 2" xfId="30056"/>
    <cellStyle name="CALC Currency Total [1] 2 20 7 2 2" xfId="43099"/>
    <cellStyle name="CALC Currency Total [1] 2 20 7 3" xfId="37105"/>
    <cellStyle name="CALC Currency Total [1] 2 20 7 4" xfId="43100"/>
    <cellStyle name="CALC Currency Total [1] 2 20 8" xfId="22683"/>
    <cellStyle name="CALC Currency Total [1] 2 20 8 2" xfId="30979"/>
    <cellStyle name="CALC Currency Total [1] 2 20 8 2 2" xfId="43101"/>
    <cellStyle name="CALC Currency Total [1] 2 20 8 3" xfId="37988"/>
    <cellStyle name="CALC Currency Total [1] 2 20 8 4" xfId="43102"/>
    <cellStyle name="CALC Currency Total [1] 2 20 9" xfId="23625"/>
    <cellStyle name="CALC Currency Total [1] 2 20 9 2" xfId="43103"/>
    <cellStyle name="CALC Currency Total [1] 2 21" xfId="15284"/>
    <cellStyle name="CALC Currency Total [1] 2 21 10" xfId="43104"/>
    <cellStyle name="CALC Currency Total [1] 2 21 11" xfId="43105"/>
    <cellStyle name="CALC Currency Total [1] 2 21 2" xfId="16364"/>
    <cellStyle name="CALC Currency Total [1] 2 21 2 2" xfId="24677"/>
    <cellStyle name="CALC Currency Total [1] 2 21 2 2 2" xfId="43106"/>
    <cellStyle name="CALC Currency Total [1] 2 21 2 3" xfId="31944"/>
    <cellStyle name="CALC Currency Total [1] 2 21 2 4" xfId="43107"/>
    <cellStyle name="CALC Currency Total [1] 2 21 3" xfId="17330"/>
    <cellStyle name="CALC Currency Total [1] 2 21 3 2" xfId="25651"/>
    <cellStyle name="CALC Currency Total [1] 2 21 3 2 2" xfId="43108"/>
    <cellStyle name="CALC Currency Total [1] 2 21 3 3" xfId="32877"/>
    <cellStyle name="CALC Currency Total [1] 2 21 3 4" xfId="43109"/>
    <cellStyle name="CALC Currency Total [1] 2 21 4" xfId="18358"/>
    <cellStyle name="CALC Currency Total [1] 2 21 4 2" xfId="26678"/>
    <cellStyle name="CALC Currency Total [1] 2 21 4 2 2" xfId="43110"/>
    <cellStyle name="CALC Currency Total [1] 2 21 4 3" xfId="33855"/>
    <cellStyle name="CALC Currency Total [1] 2 21 4 4" xfId="43111"/>
    <cellStyle name="CALC Currency Total [1] 2 21 5" xfId="19342"/>
    <cellStyle name="CALC Currency Total [1] 2 21 5 2" xfId="27662"/>
    <cellStyle name="CALC Currency Total [1] 2 21 5 2 2" xfId="43112"/>
    <cellStyle name="CALC Currency Total [1] 2 21 5 3" xfId="34810"/>
    <cellStyle name="CALC Currency Total [1] 2 21 5 4" xfId="43113"/>
    <cellStyle name="CALC Currency Total [1] 2 21 6" xfId="20310"/>
    <cellStyle name="CALC Currency Total [1] 2 21 6 2" xfId="28632"/>
    <cellStyle name="CALC Currency Total [1] 2 21 6 2 2" xfId="43114"/>
    <cellStyle name="CALC Currency Total [1] 2 21 6 3" xfId="35747"/>
    <cellStyle name="CALC Currency Total [1] 2 21 6 4" xfId="43115"/>
    <cellStyle name="CALC Currency Total [1] 2 21 7" xfId="21771"/>
    <cellStyle name="CALC Currency Total [1] 2 21 7 2" xfId="30072"/>
    <cellStyle name="CALC Currency Total [1] 2 21 7 2 2" xfId="43116"/>
    <cellStyle name="CALC Currency Total [1] 2 21 7 3" xfId="37121"/>
    <cellStyle name="CALC Currency Total [1] 2 21 7 4" xfId="43117"/>
    <cellStyle name="CALC Currency Total [1] 2 21 8" xfId="22699"/>
    <cellStyle name="CALC Currency Total [1] 2 21 8 2" xfId="30995"/>
    <cellStyle name="CALC Currency Total [1] 2 21 8 2 2" xfId="43118"/>
    <cellStyle name="CALC Currency Total [1] 2 21 8 3" xfId="38004"/>
    <cellStyle name="CALC Currency Total [1] 2 21 8 4" xfId="43119"/>
    <cellStyle name="CALC Currency Total [1] 2 21 9" xfId="23641"/>
    <cellStyle name="CALC Currency Total [1] 2 21 9 2" xfId="43120"/>
    <cellStyle name="CALC Currency Total [1] 2 22" xfId="15292"/>
    <cellStyle name="CALC Currency Total [1] 2 22 10" xfId="43121"/>
    <cellStyle name="CALC Currency Total [1] 2 22 11" xfId="43122"/>
    <cellStyle name="CALC Currency Total [1] 2 22 2" xfId="16372"/>
    <cellStyle name="CALC Currency Total [1] 2 22 2 2" xfId="24685"/>
    <cellStyle name="CALC Currency Total [1] 2 22 2 2 2" xfId="43123"/>
    <cellStyle name="CALC Currency Total [1] 2 22 2 3" xfId="31951"/>
    <cellStyle name="CALC Currency Total [1] 2 22 2 4" xfId="43124"/>
    <cellStyle name="CALC Currency Total [1] 2 22 3" xfId="17338"/>
    <cellStyle name="CALC Currency Total [1] 2 22 3 2" xfId="25659"/>
    <cellStyle name="CALC Currency Total [1] 2 22 3 2 2" xfId="43125"/>
    <cellStyle name="CALC Currency Total [1] 2 22 3 3" xfId="32884"/>
    <cellStyle name="CALC Currency Total [1] 2 22 3 4" xfId="43126"/>
    <cellStyle name="CALC Currency Total [1] 2 22 4" xfId="18366"/>
    <cellStyle name="CALC Currency Total [1] 2 22 4 2" xfId="26686"/>
    <cellStyle name="CALC Currency Total [1] 2 22 4 2 2" xfId="43127"/>
    <cellStyle name="CALC Currency Total [1] 2 22 4 3" xfId="33862"/>
    <cellStyle name="CALC Currency Total [1] 2 22 4 4" xfId="43128"/>
    <cellStyle name="CALC Currency Total [1] 2 22 5" xfId="19349"/>
    <cellStyle name="CALC Currency Total [1] 2 22 5 2" xfId="27670"/>
    <cellStyle name="CALC Currency Total [1] 2 22 5 2 2" xfId="43129"/>
    <cellStyle name="CALC Currency Total [1] 2 22 5 3" xfId="34818"/>
    <cellStyle name="CALC Currency Total [1] 2 22 5 4" xfId="43130"/>
    <cellStyle name="CALC Currency Total [1] 2 22 6" xfId="20318"/>
    <cellStyle name="CALC Currency Total [1] 2 22 6 2" xfId="28640"/>
    <cellStyle name="CALC Currency Total [1] 2 22 6 2 2" xfId="43131"/>
    <cellStyle name="CALC Currency Total [1] 2 22 6 3" xfId="35754"/>
    <cellStyle name="CALC Currency Total [1] 2 22 6 4" xfId="43132"/>
    <cellStyle name="CALC Currency Total [1] 2 22 7" xfId="21779"/>
    <cellStyle name="CALC Currency Total [1] 2 22 7 2" xfId="30080"/>
    <cellStyle name="CALC Currency Total [1] 2 22 7 2 2" xfId="43133"/>
    <cellStyle name="CALC Currency Total [1] 2 22 7 3" xfId="37128"/>
    <cellStyle name="CALC Currency Total [1] 2 22 7 4" xfId="43134"/>
    <cellStyle name="CALC Currency Total [1] 2 22 8" xfId="22707"/>
    <cellStyle name="CALC Currency Total [1] 2 22 8 2" xfId="31003"/>
    <cellStyle name="CALC Currency Total [1] 2 22 8 2 2" xfId="43135"/>
    <cellStyle name="CALC Currency Total [1] 2 22 8 3" xfId="38011"/>
    <cellStyle name="CALC Currency Total [1] 2 22 8 4" xfId="43136"/>
    <cellStyle name="CALC Currency Total [1] 2 22 9" xfId="23649"/>
    <cellStyle name="CALC Currency Total [1] 2 22 9 2" xfId="43137"/>
    <cellStyle name="CALC Currency Total [1] 2 23" xfId="15326"/>
    <cellStyle name="CALC Currency Total [1] 2 23 10" xfId="43138"/>
    <cellStyle name="CALC Currency Total [1] 2 23 11" xfId="43139"/>
    <cellStyle name="CALC Currency Total [1] 2 23 2" xfId="16406"/>
    <cellStyle name="CALC Currency Total [1] 2 23 2 2" xfId="24719"/>
    <cellStyle name="CALC Currency Total [1] 2 23 2 2 2" xfId="43140"/>
    <cellStyle name="CALC Currency Total [1] 2 23 2 3" xfId="31984"/>
    <cellStyle name="CALC Currency Total [1] 2 23 2 4" xfId="43141"/>
    <cellStyle name="CALC Currency Total [1] 2 23 3" xfId="17372"/>
    <cellStyle name="CALC Currency Total [1] 2 23 3 2" xfId="25693"/>
    <cellStyle name="CALC Currency Total [1] 2 23 3 2 2" xfId="43142"/>
    <cellStyle name="CALC Currency Total [1] 2 23 3 3" xfId="32917"/>
    <cellStyle name="CALC Currency Total [1] 2 23 3 4" xfId="43143"/>
    <cellStyle name="CALC Currency Total [1] 2 23 4" xfId="18400"/>
    <cellStyle name="CALC Currency Total [1] 2 23 4 2" xfId="26720"/>
    <cellStyle name="CALC Currency Total [1] 2 23 4 2 2" xfId="43144"/>
    <cellStyle name="CALC Currency Total [1] 2 23 4 3" xfId="33895"/>
    <cellStyle name="CALC Currency Total [1] 2 23 4 4" xfId="43145"/>
    <cellStyle name="CALC Currency Total [1] 2 23 5" xfId="19383"/>
    <cellStyle name="CALC Currency Total [1] 2 23 5 2" xfId="27704"/>
    <cellStyle name="CALC Currency Total [1] 2 23 5 2 2" xfId="43146"/>
    <cellStyle name="CALC Currency Total [1] 2 23 5 3" xfId="34852"/>
    <cellStyle name="CALC Currency Total [1] 2 23 5 4" xfId="43147"/>
    <cellStyle name="CALC Currency Total [1] 2 23 6" xfId="20352"/>
    <cellStyle name="CALC Currency Total [1] 2 23 6 2" xfId="28674"/>
    <cellStyle name="CALC Currency Total [1] 2 23 6 2 2" xfId="43148"/>
    <cellStyle name="CALC Currency Total [1] 2 23 6 3" xfId="35787"/>
    <cellStyle name="CALC Currency Total [1] 2 23 6 4" xfId="43149"/>
    <cellStyle name="CALC Currency Total [1] 2 23 7" xfId="21813"/>
    <cellStyle name="CALC Currency Total [1] 2 23 7 2" xfId="30114"/>
    <cellStyle name="CALC Currency Total [1] 2 23 7 2 2" xfId="43150"/>
    <cellStyle name="CALC Currency Total [1] 2 23 7 3" xfId="37161"/>
    <cellStyle name="CALC Currency Total [1] 2 23 7 4" xfId="43151"/>
    <cellStyle name="CALC Currency Total [1] 2 23 8" xfId="22741"/>
    <cellStyle name="CALC Currency Total [1] 2 23 8 2" xfId="31037"/>
    <cellStyle name="CALC Currency Total [1] 2 23 8 2 2" xfId="43152"/>
    <cellStyle name="CALC Currency Total [1] 2 23 8 3" xfId="38044"/>
    <cellStyle name="CALC Currency Total [1] 2 23 8 4" xfId="43153"/>
    <cellStyle name="CALC Currency Total [1] 2 23 9" xfId="23683"/>
    <cellStyle name="CALC Currency Total [1] 2 23 9 2" xfId="43154"/>
    <cellStyle name="CALC Currency Total [1] 2 24" xfId="15391"/>
    <cellStyle name="CALC Currency Total [1] 2 24 10" xfId="43155"/>
    <cellStyle name="CALC Currency Total [1] 2 24 11" xfId="43156"/>
    <cellStyle name="CALC Currency Total [1] 2 24 2" xfId="16471"/>
    <cellStyle name="CALC Currency Total [1] 2 24 2 2" xfId="24784"/>
    <cellStyle name="CALC Currency Total [1] 2 24 2 2 2" xfId="43157"/>
    <cellStyle name="CALC Currency Total [1] 2 24 2 3" xfId="32048"/>
    <cellStyle name="CALC Currency Total [1] 2 24 2 4" xfId="43158"/>
    <cellStyle name="CALC Currency Total [1] 2 24 3" xfId="17437"/>
    <cellStyle name="CALC Currency Total [1] 2 24 3 2" xfId="25758"/>
    <cellStyle name="CALC Currency Total [1] 2 24 3 2 2" xfId="43159"/>
    <cellStyle name="CALC Currency Total [1] 2 24 3 3" xfId="32981"/>
    <cellStyle name="CALC Currency Total [1] 2 24 3 4" xfId="43160"/>
    <cellStyle name="CALC Currency Total [1] 2 24 4" xfId="18465"/>
    <cellStyle name="CALC Currency Total [1] 2 24 4 2" xfId="26785"/>
    <cellStyle name="CALC Currency Total [1] 2 24 4 2 2" xfId="43161"/>
    <cellStyle name="CALC Currency Total [1] 2 24 4 3" xfId="33959"/>
    <cellStyle name="CALC Currency Total [1] 2 24 4 4" xfId="43162"/>
    <cellStyle name="CALC Currency Total [1] 2 24 5" xfId="19448"/>
    <cellStyle name="CALC Currency Total [1] 2 24 5 2" xfId="27769"/>
    <cellStyle name="CALC Currency Total [1] 2 24 5 2 2" xfId="43163"/>
    <cellStyle name="CALC Currency Total [1] 2 24 5 3" xfId="34917"/>
    <cellStyle name="CALC Currency Total [1] 2 24 5 4" xfId="43164"/>
    <cellStyle name="CALC Currency Total [1] 2 24 6" xfId="20417"/>
    <cellStyle name="CALC Currency Total [1] 2 24 6 2" xfId="28739"/>
    <cellStyle name="CALC Currency Total [1] 2 24 6 2 2" xfId="43165"/>
    <cellStyle name="CALC Currency Total [1] 2 24 6 3" xfId="35851"/>
    <cellStyle name="CALC Currency Total [1] 2 24 6 4" xfId="43166"/>
    <cellStyle name="CALC Currency Total [1] 2 24 7" xfId="21878"/>
    <cellStyle name="CALC Currency Total [1] 2 24 7 2" xfId="30179"/>
    <cellStyle name="CALC Currency Total [1] 2 24 7 2 2" xfId="43167"/>
    <cellStyle name="CALC Currency Total [1] 2 24 7 3" xfId="37224"/>
    <cellStyle name="CALC Currency Total [1] 2 24 7 4" xfId="43168"/>
    <cellStyle name="CALC Currency Total [1] 2 24 8" xfId="22806"/>
    <cellStyle name="CALC Currency Total [1] 2 24 8 2" xfId="31102"/>
    <cellStyle name="CALC Currency Total [1] 2 24 8 2 2" xfId="43169"/>
    <cellStyle name="CALC Currency Total [1] 2 24 8 3" xfId="38108"/>
    <cellStyle name="CALC Currency Total [1] 2 24 8 4" xfId="43170"/>
    <cellStyle name="CALC Currency Total [1] 2 24 9" xfId="23748"/>
    <cellStyle name="CALC Currency Total [1] 2 24 9 2" xfId="43171"/>
    <cellStyle name="CALC Currency Total [1] 2 25" xfId="15407"/>
    <cellStyle name="CALC Currency Total [1] 2 25 10" xfId="43172"/>
    <cellStyle name="CALC Currency Total [1] 2 25 11" xfId="43173"/>
    <cellStyle name="CALC Currency Total [1] 2 25 2" xfId="16487"/>
    <cellStyle name="CALC Currency Total [1] 2 25 2 2" xfId="24800"/>
    <cellStyle name="CALC Currency Total [1] 2 25 2 2 2" xfId="43174"/>
    <cellStyle name="CALC Currency Total [1] 2 25 2 3" xfId="32062"/>
    <cellStyle name="CALC Currency Total [1] 2 25 2 4" xfId="43175"/>
    <cellStyle name="CALC Currency Total [1] 2 25 3" xfId="17453"/>
    <cellStyle name="CALC Currency Total [1] 2 25 3 2" xfId="25774"/>
    <cellStyle name="CALC Currency Total [1] 2 25 3 2 2" xfId="43176"/>
    <cellStyle name="CALC Currency Total [1] 2 25 3 3" xfId="32995"/>
    <cellStyle name="CALC Currency Total [1] 2 25 3 4" xfId="43177"/>
    <cellStyle name="CALC Currency Total [1] 2 25 4" xfId="18481"/>
    <cellStyle name="CALC Currency Total [1] 2 25 4 2" xfId="26801"/>
    <cellStyle name="CALC Currency Total [1] 2 25 4 2 2" xfId="43178"/>
    <cellStyle name="CALC Currency Total [1] 2 25 4 3" xfId="33973"/>
    <cellStyle name="CALC Currency Total [1] 2 25 4 4" xfId="43179"/>
    <cellStyle name="CALC Currency Total [1] 2 25 5" xfId="19464"/>
    <cellStyle name="CALC Currency Total [1] 2 25 5 2" xfId="27785"/>
    <cellStyle name="CALC Currency Total [1] 2 25 5 2 2" xfId="43180"/>
    <cellStyle name="CALC Currency Total [1] 2 25 5 3" xfId="34933"/>
    <cellStyle name="CALC Currency Total [1] 2 25 5 4" xfId="43181"/>
    <cellStyle name="CALC Currency Total [1] 2 25 6" xfId="20433"/>
    <cellStyle name="CALC Currency Total [1] 2 25 6 2" xfId="28755"/>
    <cellStyle name="CALC Currency Total [1] 2 25 6 2 2" xfId="43182"/>
    <cellStyle name="CALC Currency Total [1] 2 25 6 3" xfId="35865"/>
    <cellStyle name="CALC Currency Total [1] 2 25 6 4" xfId="43183"/>
    <cellStyle name="CALC Currency Total [1] 2 25 7" xfId="21894"/>
    <cellStyle name="CALC Currency Total [1] 2 25 7 2" xfId="30195"/>
    <cellStyle name="CALC Currency Total [1] 2 25 7 2 2" xfId="43184"/>
    <cellStyle name="CALC Currency Total [1] 2 25 7 3" xfId="37238"/>
    <cellStyle name="CALC Currency Total [1] 2 25 7 4" xfId="43185"/>
    <cellStyle name="CALC Currency Total [1] 2 25 8" xfId="22822"/>
    <cellStyle name="CALC Currency Total [1] 2 25 8 2" xfId="31118"/>
    <cellStyle name="CALC Currency Total [1] 2 25 8 2 2" xfId="43186"/>
    <cellStyle name="CALC Currency Total [1] 2 25 8 3" xfId="38122"/>
    <cellStyle name="CALC Currency Total [1] 2 25 8 4" xfId="43187"/>
    <cellStyle name="CALC Currency Total [1] 2 25 9" xfId="23764"/>
    <cellStyle name="CALC Currency Total [1] 2 25 9 2" xfId="43188"/>
    <cellStyle name="CALC Currency Total [1] 2 26" xfId="15423"/>
    <cellStyle name="CALC Currency Total [1] 2 26 10" xfId="43189"/>
    <cellStyle name="CALC Currency Total [1] 2 26 11" xfId="43190"/>
    <cellStyle name="CALC Currency Total [1] 2 26 2" xfId="16503"/>
    <cellStyle name="CALC Currency Total [1] 2 26 2 2" xfId="24816"/>
    <cellStyle name="CALC Currency Total [1] 2 26 2 2 2" xfId="43191"/>
    <cellStyle name="CALC Currency Total [1] 2 26 2 3" xfId="32077"/>
    <cellStyle name="CALC Currency Total [1] 2 26 2 4" xfId="43192"/>
    <cellStyle name="CALC Currency Total [1] 2 26 3" xfId="17469"/>
    <cellStyle name="CALC Currency Total [1] 2 26 3 2" xfId="25790"/>
    <cellStyle name="CALC Currency Total [1] 2 26 3 2 2" xfId="43193"/>
    <cellStyle name="CALC Currency Total [1] 2 26 3 3" xfId="33010"/>
    <cellStyle name="CALC Currency Total [1] 2 26 3 4" xfId="43194"/>
    <cellStyle name="CALC Currency Total [1] 2 26 4" xfId="18497"/>
    <cellStyle name="CALC Currency Total [1] 2 26 4 2" xfId="26817"/>
    <cellStyle name="CALC Currency Total [1] 2 26 4 2 2" xfId="43195"/>
    <cellStyle name="CALC Currency Total [1] 2 26 4 3" xfId="33988"/>
    <cellStyle name="CALC Currency Total [1] 2 26 4 4" xfId="43196"/>
    <cellStyle name="CALC Currency Total [1] 2 26 5" xfId="19480"/>
    <cellStyle name="CALC Currency Total [1] 2 26 5 2" xfId="27801"/>
    <cellStyle name="CALC Currency Total [1] 2 26 5 2 2" xfId="43197"/>
    <cellStyle name="CALC Currency Total [1] 2 26 5 3" xfId="34949"/>
    <cellStyle name="CALC Currency Total [1] 2 26 5 4" xfId="43198"/>
    <cellStyle name="CALC Currency Total [1] 2 26 6" xfId="20449"/>
    <cellStyle name="CALC Currency Total [1] 2 26 6 2" xfId="28771"/>
    <cellStyle name="CALC Currency Total [1] 2 26 6 2 2" xfId="43199"/>
    <cellStyle name="CALC Currency Total [1] 2 26 6 3" xfId="35880"/>
    <cellStyle name="CALC Currency Total [1] 2 26 6 4" xfId="43200"/>
    <cellStyle name="CALC Currency Total [1] 2 26 7" xfId="21910"/>
    <cellStyle name="CALC Currency Total [1] 2 26 7 2" xfId="30211"/>
    <cellStyle name="CALC Currency Total [1] 2 26 7 2 2" xfId="43201"/>
    <cellStyle name="CALC Currency Total [1] 2 26 7 3" xfId="37253"/>
    <cellStyle name="CALC Currency Total [1] 2 26 7 4" xfId="43202"/>
    <cellStyle name="CALC Currency Total [1] 2 26 8" xfId="22838"/>
    <cellStyle name="CALC Currency Total [1] 2 26 8 2" xfId="31134"/>
    <cellStyle name="CALC Currency Total [1] 2 26 8 2 2" xfId="43203"/>
    <cellStyle name="CALC Currency Total [1] 2 26 8 3" xfId="38137"/>
    <cellStyle name="CALC Currency Total [1] 2 26 8 4" xfId="43204"/>
    <cellStyle name="CALC Currency Total [1] 2 26 9" xfId="23780"/>
    <cellStyle name="CALC Currency Total [1] 2 26 9 2" xfId="43205"/>
    <cellStyle name="CALC Currency Total [1] 2 27" xfId="15437"/>
    <cellStyle name="CALC Currency Total [1] 2 27 10" xfId="43206"/>
    <cellStyle name="CALC Currency Total [1] 2 27 11" xfId="43207"/>
    <cellStyle name="CALC Currency Total [1] 2 27 2" xfId="16517"/>
    <cellStyle name="CALC Currency Total [1] 2 27 2 2" xfId="24830"/>
    <cellStyle name="CALC Currency Total [1] 2 27 2 2 2" xfId="43208"/>
    <cellStyle name="CALC Currency Total [1] 2 27 2 3" xfId="32091"/>
    <cellStyle name="CALC Currency Total [1] 2 27 2 4" xfId="43209"/>
    <cellStyle name="CALC Currency Total [1] 2 27 3" xfId="17483"/>
    <cellStyle name="CALC Currency Total [1] 2 27 3 2" xfId="25804"/>
    <cellStyle name="CALC Currency Total [1] 2 27 3 2 2" xfId="43210"/>
    <cellStyle name="CALC Currency Total [1] 2 27 3 3" xfId="33024"/>
    <cellStyle name="CALC Currency Total [1] 2 27 3 4" xfId="43211"/>
    <cellStyle name="CALC Currency Total [1] 2 27 4" xfId="18511"/>
    <cellStyle name="CALC Currency Total [1] 2 27 4 2" xfId="26831"/>
    <cellStyle name="CALC Currency Total [1] 2 27 4 2 2" xfId="43212"/>
    <cellStyle name="CALC Currency Total [1] 2 27 4 3" xfId="34002"/>
    <cellStyle name="CALC Currency Total [1] 2 27 4 4" xfId="43213"/>
    <cellStyle name="CALC Currency Total [1] 2 27 5" xfId="19494"/>
    <cellStyle name="CALC Currency Total [1] 2 27 5 2" xfId="27815"/>
    <cellStyle name="CALC Currency Total [1] 2 27 5 2 2" xfId="43214"/>
    <cellStyle name="CALC Currency Total [1] 2 27 5 3" xfId="34963"/>
    <cellStyle name="CALC Currency Total [1] 2 27 5 4" xfId="43215"/>
    <cellStyle name="CALC Currency Total [1] 2 27 6" xfId="20463"/>
    <cellStyle name="CALC Currency Total [1] 2 27 6 2" xfId="28785"/>
    <cellStyle name="CALC Currency Total [1] 2 27 6 2 2" xfId="43216"/>
    <cellStyle name="CALC Currency Total [1] 2 27 6 3" xfId="35894"/>
    <cellStyle name="CALC Currency Total [1] 2 27 6 4" xfId="43217"/>
    <cellStyle name="CALC Currency Total [1] 2 27 7" xfId="21924"/>
    <cellStyle name="CALC Currency Total [1] 2 27 7 2" xfId="30225"/>
    <cellStyle name="CALC Currency Total [1] 2 27 7 2 2" xfId="43218"/>
    <cellStyle name="CALC Currency Total [1] 2 27 7 3" xfId="37267"/>
    <cellStyle name="CALC Currency Total [1] 2 27 7 4" xfId="43219"/>
    <cellStyle name="CALC Currency Total [1] 2 27 8" xfId="22852"/>
    <cellStyle name="CALC Currency Total [1] 2 27 8 2" xfId="31148"/>
    <cellStyle name="CALC Currency Total [1] 2 27 8 2 2" xfId="43220"/>
    <cellStyle name="CALC Currency Total [1] 2 27 8 3" xfId="38151"/>
    <cellStyle name="CALC Currency Total [1] 2 27 8 4" xfId="43221"/>
    <cellStyle name="CALC Currency Total [1] 2 27 9" xfId="23794"/>
    <cellStyle name="CALC Currency Total [1] 2 27 9 2" xfId="43222"/>
    <cellStyle name="CALC Currency Total [1] 2 28" xfId="15451"/>
    <cellStyle name="CALC Currency Total [1] 2 28 10" xfId="43223"/>
    <cellStyle name="CALC Currency Total [1] 2 28 11" xfId="43224"/>
    <cellStyle name="CALC Currency Total [1] 2 28 2" xfId="16531"/>
    <cellStyle name="CALC Currency Total [1] 2 28 2 2" xfId="24844"/>
    <cellStyle name="CALC Currency Total [1] 2 28 2 2 2" xfId="43225"/>
    <cellStyle name="CALC Currency Total [1] 2 28 2 3" xfId="32105"/>
    <cellStyle name="CALC Currency Total [1] 2 28 2 4" xfId="43226"/>
    <cellStyle name="CALC Currency Total [1] 2 28 3" xfId="17497"/>
    <cellStyle name="CALC Currency Total [1] 2 28 3 2" xfId="25818"/>
    <cellStyle name="CALC Currency Total [1] 2 28 3 2 2" xfId="43227"/>
    <cellStyle name="CALC Currency Total [1] 2 28 3 3" xfId="33038"/>
    <cellStyle name="CALC Currency Total [1] 2 28 3 4" xfId="43228"/>
    <cellStyle name="CALC Currency Total [1] 2 28 4" xfId="18525"/>
    <cellStyle name="CALC Currency Total [1] 2 28 4 2" xfId="26845"/>
    <cellStyle name="CALC Currency Total [1] 2 28 4 2 2" xfId="43229"/>
    <cellStyle name="CALC Currency Total [1] 2 28 4 3" xfId="34016"/>
    <cellStyle name="CALC Currency Total [1] 2 28 4 4" xfId="43230"/>
    <cellStyle name="CALC Currency Total [1] 2 28 5" xfId="19508"/>
    <cellStyle name="CALC Currency Total [1] 2 28 5 2" xfId="27829"/>
    <cellStyle name="CALC Currency Total [1] 2 28 5 2 2" xfId="43231"/>
    <cellStyle name="CALC Currency Total [1] 2 28 5 3" xfId="34977"/>
    <cellStyle name="CALC Currency Total [1] 2 28 5 4" xfId="43232"/>
    <cellStyle name="CALC Currency Total [1] 2 28 6" xfId="20477"/>
    <cellStyle name="CALC Currency Total [1] 2 28 6 2" xfId="28799"/>
    <cellStyle name="CALC Currency Total [1] 2 28 6 2 2" xfId="43233"/>
    <cellStyle name="CALC Currency Total [1] 2 28 6 3" xfId="35908"/>
    <cellStyle name="CALC Currency Total [1] 2 28 6 4" xfId="43234"/>
    <cellStyle name="CALC Currency Total [1] 2 28 7" xfId="21938"/>
    <cellStyle name="CALC Currency Total [1] 2 28 7 2" xfId="30239"/>
    <cellStyle name="CALC Currency Total [1] 2 28 7 2 2" xfId="43235"/>
    <cellStyle name="CALC Currency Total [1] 2 28 7 3" xfId="37281"/>
    <cellStyle name="CALC Currency Total [1] 2 28 7 4" xfId="43236"/>
    <cellStyle name="CALC Currency Total [1] 2 28 8" xfId="22866"/>
    <cellStyle name="CALC Currency Total [1] 2 28 8 2" xfId="31162"/>
    <cellStyle name="CALC Currency Total [1] 2 28 8 2 2" xfId="43237"/>
    <cellStyle name="CALC Currency Total [1] 2 28 8 3" xfId="38165"/>
    <cellStyle name="CALC Currency Total [1] 2 28 8 4" xfId="43238"/>
    <cellStyle name="CALC Currency Total [1] 2 28 9" xfId="23808"/>
    <cellStyle name="CALC Currency Total [1] 2 28 9 2" xfId="43239"/>
    <cellStyle name="CALC Currency Total [1] 2 29" xfId="15483"/>
    <cellStyle name="CALC Currency Total [1] 2 29 2" xfId="17529"/>
    <cellStyle name="CALC Currency Total [1] 2 29 2 2" xfId="25849"/>
    <cellStyle name="CALC Currency Total [1] 2 29 2 2 2" xfId="43240"/>
    <cellStyle name="CALC Currency Total [1] 2 29 2 3" xfId="33067"/>
    <cellStyle name="CALC Currency Total [1] 2 29 2 4" xfId="43241"/>
    <cellStyle name="CALC Currency Total [1] 2 29 3" xfId="19540"/>
    <cellStyle name="CALC Currency Total [1] 2 29 3 2" xfId="27861"/>
    <cellStyle name="CALC Currency Total [1] 2 29 3 2 2" xfId="43242"/>
    <cellStyle name="CALC Currency Total [1] 2 29 3 3" xfId="35009"/>
    <cellStyle name="CALC Currency Total [1] 2 29 3 4" xfId="43243"/>
    <cellStyle name="CALC Currency Total [1] 2 29 4" xfId="43244"/>
    <cellStyle name="CALC Currency Total [1] 2 29 4 2" xfId="43245"/>
    <cellStyle name="CALC Currency Total [1] 2 3" xfId="14515"/>
    <cellStyle name="CALC Currency Total [1] 2 3 2" xfId="15577"/>
    <cellStyle name="CALC Currency Total [1] 2 3 2 2" xfId="43246"/>
    <cellStyle name="CALC Currency Total [1] 2 3 2 2 2" xfId="43247"/>
    <cellStyle name="CALC Currency Total [1] 2 3 3" xfId="14445"/>
    <cellStyle name="CALC Currency Total [1] 2 3 3 2" xfId="43248"/>
    <cellStyle name="CALC Currency Total [1] 2 30" xfId="43249"/>
    <cellStyle name="CALC Currency Total [1] 2 30 2" xfId="43250"/>
    <cellStyle name="CALC Currency Total [1] 2 4" xfId="14544"/>
    <cellStyle name="CALC Currency Total [1] 2 4 2" xfId="15623"/>
    <cellStyle name="CALC Currency Total [1] 2 4 2 2" xfId="23937"/>
    <cellStyle name="CALC Currency Total [1] 2 4 2 2 2" xfId="43251"/>
    <cellStyle name="CALC Currency Total [1] 2 4 2 3" xfId="43252"/>
    <cellStyle name="CALC Currency Total [1] 2 4 2 4" xfId="43253"/>
    <cellStyle name="CALC Currency Total [1] 2 4 3" xfId="16591"/>
    <cellStyle name="CALC Currency Total [1] 2 4 3 2" xfId="24908"/>
    <cellStyle name="CALC Currency Total [1] 2 4 3 2 2" xfId="43254"/>
    <cellStyle name="CALC Currency Total [1] 2 4 3 3" xfId="32168"/>
    <cellStyle name="CALC Currency Total [1] 2 4 3 4" xfId="43255"/>
    <cellStyle name="CALC Currency Total [1] 2 4 4" xfId="17610"/>
    <cellStyle name="CALC Currency Total [1] 2 4 4 2" xfId="25933"/>
    <cellStyle name="CALC Currency Total [1] 2 4 4 2 2" xfId="43256"/>
    <cellStyle name="CALC Currency Total [1] 2 4 4 3" xfId="33145"/>
    <cellStyle name="CALC Currency Total [1] 2 4 4 4" xfId="43257"/>
    <cellStyle name="CALC Currency Total [1] 2 4 5" xfId="18592"/>
    <cellStyle name="CALC Currency Total [1] 2 4 5 2" xfId="26911"/>
    <cellStyle name="CALC Currency Total [1] 2 4 5 2 2" xfId="43258"/>
    <cellStyle name="CALC Currency Total [1] 2 4 5 3" xfId="34080"/>
    <cellStyle name="CALC Currency Total [1] 2 4 5 4" xfId="43259"/>
    <cellStyle name="CALC Currency Total [1] 2 4 6" xfId="19560"/>
    <cellStyle name="CALC Currency Total [1] 2 4 6 2" xfId="27881"/>
    <cellStyle name="CALC Currency Total [1] 2 4 6 2 2" xfId="43260"/>
    <cellStyle name="CALC Currency Total [1] 2 4 6 3" xfId="35028"/>
    <cellStyle name="CALC Currency Total [1] 2 4 6 4" xfId="43261"/>
    <cellStyle name="CALC Currency Total [1] 2 4 7" xfId="20518"/>
    <cellStyle name="CALC Currency Total [1] 2 4 7 2" xfId="28840"/>
    <cellStyle name="CALC Currency Total [1] 2 4 7 2 2" xfId="43262"/>
    <cellStyle name="CALC Currency Total [1] 2 4 7 3" xfId="35945"/>
    <cellStyle name="CALC Currency Total [1] 2 4 7 4" xfId="43263"/>
    <cellStyle name="CALC Currency Total [1] 2 4 8" xfId="22901"/>
    <cellStyle name="CALC Currency Total [1] 2 4 8 2" xfId="43264"/>
    <cellStyle name="CALC Currency Total [1] 2 5" xfId="14605"/>
    <cellStyle name="CALC Currency Total [1] 2 5 10" xfId="22966"/>
    <cellStyle name="CALC Currency Total [1] 2 5 10 2" xfId="43265"/>
    <cellStyle name="CALC Currency Total [1] 2 5 11" xfId="43266"/>
    <cellStyle name="CALC Currency Total [1] 2 5 2" xfId="15685"/>
    <cellStyle name="CALC Currency Total [1] 2 5 2 2" xfId="24001"/>
    <cellStyle name="CALC Currency Total [1] 2 5 2 2 2" xfId="43267"/>
    <cellStyle name="CALC Currency Total [1] 2 5 2 3" xfId="31296"/>
    <cellStyle name="CALC Currency Total [1] 2 5 2 4" xfId="43268"/>
    <cellStyle name="CALC Currency Total [1] 2 5 3" xfId="16652"/>
    <cellStyle name="CALC Currency Total [1] 2 5 3 2" xfId="24972"/>
    <cellStyle name="CALC Currency Total [1] 2 5 3 2 2" xfId="43269"/>
    <cellStyle name="CALC Currency Total [1] 2 5 3 3" xfId="32229"/>
    <cellStyle name="CALC Currency Total [1] 2 5 3 4" xfId="43270"/>
    <cellStyle name="CALC Currency Total [1] 2 5 4" xfId="17674"/>
    <cellStyle name="CALC Currency Total [1] 2 5 4 2" xfId="25998"/>
    <cellStyle name="CALC Currency Total [1] 2 5 4 2 2" xfId="43271"/>
    <cellStyle name="CALC Currency Total [1] 2 5 4 3" xfId="33206"/>
    <cellStyle name="CALC Currency Total [1] 2 5 4 4" xfId="43272"/>
    <cellStyle name="CALC Currency Total [1] 2 5 5" xfId="18657"/>
    <cellStyle name="CALC Currency Total [1] 2 5 5 2" xfId="26978"/>
    <cellStyle name="CALC Currency Total [1] 2 5 5 2 2" xfId="43273"/>
    <cellStyle name="CALC Currency Total [1] 2 5 5 3" xfId="34144"/>
    <cellStyle name="CALC Currency Total [1] 2 5 5 4" xfId="43274"/>
    <cellStyle name="CALC Currency Total [1] 2 5 6" xfId="19626"/>
    <cellStyle name="CALC Currency Total [1] 2 5 6 2" xfId="27947"/>
    <cellStyle name="CALC Currency Total [1] 2 5 6 2 2" xfId="43275"/>
    <cellStyle name="CALC Currency Total [1] 2 5 6 3" xfId="35090"/>
    <cellStyle name="CALC Currency Total [1] 2 5 6 4" xfId="43276"/>
    <cellStyle name="CALC Currency Total [1] 2 5 7" xfId="20583"/>
    <cellStyle name="CALC Currency Total [1] 2 5 7 2" xfId="28905"/>
    <cellStyle name="CALC Currency Total [1] 2 5 7 2 2" xfId="43277"/>
    <cellStyle name="CALC Currency Total [1] 2 5 7 3" xfId="36006"/>
    <cellStyle name="CALC Currency Total [1] 2 5 7 4" xfId="43278"/>
    <cellStyle name="CALC Currency Total [1] 2 5 8" xfId="21119"/>
    <cellStyle name="CALC Currency Total [1] 2 5 8 2" xfId="29433"/>
    <cellStyle name="CALC Currency Total [1] 2 5 8 2 2" xfId="43279"/>
    <cellStyle name="CALC Currency Total [1] 2 5 8 3" xfId="36506"/>
    <cellStyle name="CALC Currency Total [1] 2 5 8 4" xfId="43280"/>
    <cellStyle name="CALC Currency Total [1] 2 5 9" xfId="22020"/>
    <cellStyle name="CALC Currency Total [1] 2 5 9 2" xfId="30319"/>
    <cellStyle name="CALC Currency Total [1] 2 5 9 2 2" xfId="43281"/>
    <cellStyle name="CALC Currency Total [1] 2 5 9 3" xfId="37357"/>
    <cellStyle name="CALC Currency Total [1] 2 5 9 4" xfId="43282"/>
    <cellStyle name="CALC Currency Total [1] 2 6" xfId="14625"/>
    <cellStyle name="CALC Currency Total [1] 2 6 10" xfId="22987"/>
    <cellStyle name="CALC Currency Total [1] 2 6 10 2" xfId="43283"/>
    <cellStyle name="CALC Currency Total [1] 2 6 11" xfId="43284"/>
    <cellStyle name="CALC Currency Total [1] 2 6 2" xfId="15706"/>
    <cellStyle name="CALC Currency Total [1] 2 6 2 2" xfId="24022"/>
    <cellStyle name="CALC Currency Total [1] 2 6 2 2 2" xfId="43285"/>
    <cellStyle name="CALC Currency Total [1] 2 6 2 3" xfId="31316"/>
    <cellStyle name="CALC Currency Total [1] 2 6 2 4" xfId="43286"/>
    <cellStyle name="CALC Currency Total [1] 2 6 3" xfId="16673"/>
    <cellStyle name="CALC Currency Total [1] 2 6 3 2" xfId="24993"/>
    <cellStyle name="CALC Currency Total [1] 2 6 3 2 2" xfId="43287"/>
    <cellStyle name="CALC Currency Total [1] 2 6 3 3" xfId="32249"/>
    <cellStyle name="CALC Currency Total [1] 2 6 3 4" xfId="43288"/>
    <cellStyle name="CALC Currency Total [1] 2 6 4" xfId="17696"/>
    <cellStyle name="CALC Currency Total [1] 2 6 4 2" xfId="26019"/>
    <cellStyle name="CALC Currency Total [1] 2 6 4 2 2" xfId="43289"/>
    <cellStyle name="CALC Currency Total [1] 2 6 4 3" xfId="33226"/>
    <cellStyle name="CALC Currency Total [1] 2 6 4 4" xfId="43290"/>
    <cellStyle name="CALC Currency Total [1] 2 6 5" xfId="18679"/>
    <cellStyle name="CALC Currency Total [1] 2 6 5 2" xfId="27000"/>
    <cellStyle name="CALC Currency Total [1] 2 6 5 2 2" xfId="43291"/>
    <cellStyle name="CALC Currency Total [1] 2 6 5 3" xfId="34165"/>
    <cellStyle name="CALC Currency Total [1] 2 6 5 4" xfId="43292"/>
    <cellStyle name="CALC Currency Total [1] 2 6 6" xfId="19648"/>
    <cellStyle name="CALC Currency Total [1] 2 6 6 2" xfId="27969"/>
    <cellStyle name="CALC Currency Total [1] 2 6 6 2 2" xfId="43293"/>
    <cellStyle name="CALC Currency Total [1] 2 6 6 3" xfId="35111"/>
    <cellStyle name="CALC Currency Total [1] 2 6 6 4" xfId="43294"/>
    <cellStyle name="CALC Currency Total [1] 2 6 7" xfId="20605"/>
    <cellStyle name="CALC Currency Total [1] 2 6 7 2" xfId="28926"/>
    <cellStyle name="CALC Currency Total [1] 2 6 7 2 2" xfId="43295"/>
    <cellStyle name="CALC Currency Total [1] 2 6 7 3" xfId="36026"/>
    <cellStyle name="CALC Currency Total [1] 2 6 7 4" xfId="43296"/>
    <cellStyle name="CALC Currency Total [1] 2 6 8" xfId="17567"/>
    <cellStyle name="CALC Currency Total [1] 2 6 8 2" xfId="25886"/>
    <cellStyle name="CALC Currency Total [1] 2 6 8 2 2" xfId="43297"/>
    <cellStyle name="CALC Currency Total [1] 2 6 8 3" xfId="33099"/>
    <cellStyle name="CALC Currency Total [1] 2 6 8 4" xfId="43298"/>
    <cellStyle name="CALC Currency Total [1] 2 6 9" xfId="22042"/>
    <cellStyle name="CALC Currency Total [1] 2 6 9 2" xfId="30340"/>
    <cellStyle name="CALC Currency Total [1] 2 6 9 2 2" xfId="43299"/>
    <cellStyle name="CALC Currency Total [1] 2 6 9 3" xfId="37377"/>
    <cellStyle name="CALC Currency Total [1] 2 6 9 4" xfId="43300"/>
    <cellStyle name="CALC Currency Total [1] 2 7" xfId="14644"/>
    <cellStyle name="CALC Currency Total [1] 2 7 10" xfId="23006"/>
    <cellStyle name="CALC Currency Total [1] 2 7 10 2" xfId="43301"/>
    <cellStyle name="CALC Currency Total [1] 2 7 11" xfId="43302"/>
    <cellStyle name="CALC Currency Total [1] 2 7 2" xfId="15725"/>
    <cellStyle name="CALC Currency Total [1] 2 7 2 2" xfId="24041"/>
    <cellStyle name="CALC Currency Total [1] 2 7 2 2 2" xfId="43303"/>
    <cellStyle name="CALC Currency Total [1] 2 7 2 3" xfId="31334"/>
    <cellStyle name="CALC Currency Total [1] 2 7 2 4" xfId="43304"/>
    <cellStyle name="CALC Currency Total [1] 2 7 3" xfId="16691"/>
    <cellStyle name="CALC Currency Total [1] 2 7 3 2" xfId="25012"/>
    <cellStyle name="CALC Currency Total [1] 2 7 3 2 2" xfId="43305"/>
    <cellStyle name="CALC Currency Total [1] 2 7 3 3" xfId="32267"/>
    <cellStyle name="CALC Currency Total [1] 2 7 3 4" xfId="43306"/>
    <cellStyle name="CALC Currency Total [1] 2 7 4" xfId="17715"/>
    <cellStyle name="CALC Currency Total [1] 2 7 4 2" xfId="26038"/>
    <cellStyle name="CALC Currency Total [1] 2 7 4 2 2" xfId="43307"/>
    <cellStyle name="CALC Currency Total [1] 2 7 4 3" xfId="33244"/>
    <cellStyle name="CALC Currency Total [1] 2 7 4 4" xfId="43308"/>
    <cellStyle name="CALC Currency Total [1] 2 7 5" xfId="18698"/>
    <cellStyle name="CALC Currency Total [1] 2 7 5 2" xfId="27019"/>
    <cellStyle name="CALC Currency Total [1] 2 7 5 2 2" xfId="43309"/>
    <cellStyle name="CALC Currency Total [1] 2 7 5 3" xfId="34183"/>
    <cellStyle name="CALC Currency Total [1] 2 7 5 4" xfId="43310"/>
    <cellStyle name="CALC Currency Total [1] 2 7 6" xfId="19667"/>
    <cellStyle name="CALC Currency Total [1] 2 7 6 2" xfId="27988"/>
    <cellStyle name="CALC Currency Total [1] 2 7 6 2 2" xfId="43311"/>
    <cellStyle name="CALC Currency Total [1] 2 7 6 3" xfId="35129"/>
    <cellStyle name="CALC Currency Total [1] 2 7 6 4" xfId="43312"/>
    <cellStyle name="CALC Currency Total [1] 2 7 7" xfId="20624"/>
    <cellStyle name="CALC Currency Total [1] 2 7 7 2" xfId="28945"/>
    <cellStyle name="CALC Currency Total [1] 2 7 7 2 2" xfId="43313"/>
    <cellStyle name="CALC Currency Total [1] 2 7 7 3" xfId="36044"/>
    <cellStyle name="CALC Currency Total [1] 2 7 7 4" xfId="43314"/>
    <cellStyle name="CALC Currency Total [1] 2 7 8" xfId="21222"/>
    <cellStyle name="CALC Currency Total [1] 2 7 8 2" xfId="29533"/>
    <cellStyle name="CALC Currency Total [1] 2 7 8 2 2" xfId="43315"/>
    <cellStyle name="CALC Currency Total [1] 2 7 8 3" xfId="36602"/>
    <cellStyle name="CALC Currency Total [1] 2 7 8 4" xfId="43316"/>
    <cellStyle name="CALC Currency Total [1] 2 7 9" xfId="22061"/>
    <cellStyle name="CALC Currency Total [1] 2 7 9 2" xfId="30359"/>
    <cellStyle name="CALC Currency Total [1] 2 7 9 2 2" xfId="43317"/>
    <cellStyle name="CALC Currency Total [1] 2 7 9 3" xfId="37395"/>
    <cellStyle name="CALC Currency Total [1] 2 7 9 4" xfId="43318"/>
    <cellStyle name="CALC Currency Total [1] 2 8" xfId="14662"/>
    <cellStyle name="CALC Currency Total [1] 2 8 10" xfId="23024"/>
    <cellStyle name="CALC Currency Total [1] 2 8 10 2" xfId="43319"/>
    <cellStyle name="CALC Currency Total [1] 2 8 11" xfId="43320"/>
    <cellStyle name="CALC Currency Total [1] 2 8 2" xfId="15743"/>
    <cellStyle name="CALC Currency Total [1] 2 8 2 2" xfId="24059"/>
    <cellStyle name="CALC Currency Total [1] 2 8 2 2 2" xfId="43321"/>
    <cellStyle name="CALC Currency Total [1] 2 8 2 3" xfId="31351"/>
    <cellStyle name="CALC Currency Total [1] 2 8 2 4" xfId="43322"/>
    <cellStyle name="CALC Currency Total [1] 2 8 3" xfId="16709"/>
    <cellStyle name="CALC Currency Total [1] 2 8 3 2" xfId="25030"/>
    <cellStyle name="CALC Currency Total [1] 2 8 3 2 2" xfId="43323"/>
    <cellStyle name="CALC Currency Total [1] 2 8 3 3" xfId="32284"/>
    <cellStyle name="CALC Currency Total [1] 2 8 3 4" xfId="43324"/>
    <cellStyle name="CALC Currency Total [1] 2 8 4" xfId="17733"/>
    <cellStyle name="CALC Currency Total [1] 2 8 4 2" xfId="26056"/>
    <cellStyle name="CALC Currency Total [1] 2 8 4 2 2" xfId="43325"/>
    <cellStyle name="CALC Currency Total [1] 2 8 4 3" xfId="33261"/>
    <cellStyle name="CALC Currency Total [1] 2 8 4 4" xfId="43326"/>
    <cellStyle name="CALC Currency Total [1] 2 8 5" xfId="18716"/>
    <cellStyle name="CALC Currency Total [1] 2 8 5 2" xfId="27037"/>
    <cellStyle name="CALC Currency Total [1] 2 8 5 2 2" xfId="43327"/>
    <cellStyle name="CALC Currency Total [1] 2 8 5 3" xfId="34200"/>
    <cellStyle name="CALC Currency Total [1] 2 8 5 4" xfId="43328"/>
    <cellStyle name="CALC Currency Total [1] 2 8 6" xfId="19685"/>
    <cellStyle name="CALC Currency Total [1] 2 8 6 2" xfId="28006"/>
    <cellStyle name="CALC Currency Total [1] 2 8 6 2 2" xfId="43329"/>
    <cellStyle name="CALC Currency Total [1] 2 8 6 3" xfId="35146"/>
    <cellStyle name="CALC Currency Total [1] 2 8 6 4" xfId="43330"/>
    <cellStyle name="CALC Currency Total [1] 2 8 7" xfId="20642"/>
    <cellStyle name="CALC Currency Total [1] 2 8 7 2" xfId="28963"/>
    <cellStyle name="CALC Currency Total [1] 2 8 7 2 2" xfId="43331"/>
    <cellStyle name="CALC Currency Total [1] 2 8 7 3" xfId="36061"/>
    <cellStyle name="CALC Currency Total [1] 2 8 7 4" xfId="43332"/>
    <cellStyle name="CALC Currency Total [1] 2 8 8" xfId="15506"/>
    <cellStyle name="CALC Currency Total [1] 2 8 8 2" xfId="23846"/>
    <cellStyle name="CALC Currency Total [1] 2 8 8 2 2" xfId="43333"/>
    <cellStyle name="CALC Currency Total [1] 2 8 8 3" xfId="31195"/>
    <cellStyle name="CALC Currency Total [1] 2 8 8 4" xfId="43334"/>
    <cellStyle name="CALC Currency Total [1] 2 8 9" xfId="22079"/>
    <cellStyle name="CALC Currency Total [1] 2 8 9 2" xfId="30377"/>
    <cellStyle name="CALC Currency Total [1] 2 8 9 2 2" xfId="43335"/>
    <cellStyle name="CALC Currency Total [1] 2 8 9 3" xfId="37412"/>
    <cellStyle name="CALC Currency Total [1] 2 8 9 4" xfId="43336"/>
    <cellStyle name="CALC Currency Total [1] 2 9" xfId="14728"/>
    <cellStyle name="CALC Currency Total [1] 2 9 10" xfId="23092"/>
    <cellStyle name="CALC Currency Total [1] 2 9 10 2" xfId="43337"/>
    <cellStyle name="CALC Currency Total [1] 2 9 11" xfId="43338"/>
    <cellStyle name="CALC Currency Total [1] 2 9 12" xfId="43339"/>
    <cellStyle name="CALC Currency Total [1] 2 9 2" xfId="15809"/>
    <cellStyle name="CALC Currency Total [1] 2 9 2 2" xfId="24127"/>
    <cellStyle name="CALC Currency Total [1] 2 9 2 2 2" xfId="43340"/>
    <cellStyle name="CALC Currency Total [1] 2 9 2 3" xfId="31415"/>
    <cellStyle name="CALC Currency Total [1] 2 9 2 4" xfId="43341"/>
    <cellStyle name="CALC Currency Total [1] 2 9 3" xfId="16775"/>
    <cellStyle name="CALC Currency Total [1] 2 9 3 2" xfId="25099"/>
    <cellStyle name="CALC Currency Total [1] 2 9 3 2 2" xfId="43342"/>
    <cellStyle name="CALC Currency Total [1] 2 9 3 3" xfId="32348"/>
    <cellStyle name="CALC Currency Total [1] 2 9 3 4" xfId="43343"/>
    <cellStyle name="CALC Currency Total [1] 2 9 4" xfId="17801"/>
    <cellStyle name="CALC Currency Total [1] 2 9 4 2" xfId="26125"/>
    <cellStyle name="CALC Currency Total [1] 2 9 4 2 2" xfId="43344"/>
    <cellStyle name="CALC Currency Total [1] 2 9 4 3" xfId="33325"/>
    <cellStyle name="CALC Currency Total [1] 2 9 4 4" xfId="43345"/>
    <cellStyle name="CALC Currency Total [1] 2 9 5" xfId="18785"/>
    <cellStyle name="CALC Currency Total [1] 2 9 5 2" xfId="27106"/>
    <cellStyle name="CALC Currency Total [1] 2 9 5 2 2" xfId="43346"/>
    <cellStyle name="CALC Currency Total [1] 2 9 5 3" xfId="34265"/>
    <cellStyle name="CALC Currency Total [1] 2 9 5 4" xfId="43347"/>
    <cellStyle name="CALC Currency Total [1] 2 9 6" xfId="19753"/>
    <cellStyle name="CALC Currency Total [1] 2 9 6 2" xfId="28075"/>
    <cellStyle name="CALC Currency Total [1] 2 9 6 2 2" xfId="43348"/>
    <cellStyle name="CALC Currency Total [1] 2 9 6 3" xfId="35211"/>
    <cellStyle name="CALC Currency Total [1] 2 9 6 4" xfId="43349"/>
    <cellStyle name="CALC Currency Total [1] 2 9 7" xfId="20711"/>
    <cellStyle name="CALC Currency Total [1] 2 9 7 2" xfId="29032"/>
    <cellStyle name="CALC Currency Total [1] 2 9 7 2 2" xfId="43350"/>
    <cellStyle name="CALC Currency Total [1] 2 9 7 3" xfId="36125"/>
    <cellStyle name="CALC Currency Total [1] 2 9 7 4" xfId="43351"/>
    <cellStyle name="CALC Currency Total [1] 2 9 8" xfId="21076"/>
    <cellStyle name="CALC Currency Total [1] 2 9 8 2" xfId="29393"/>
    <cellStyle name="CALC Currency Total [1] 2 9 8 2 2" xfId="43352"/>
    <cellStyle name="CALC Currency Total [1] 2 9 8 3" xfId="36469"/>
    <cellStyle name="CALC Currency Total [1] 2 9 8 4" xfId="43353"/>
    <cellStyle name="CALC Currency Total [1] 2 9 9" xfId="22147"/>
    <cellStyle name="CALC Currency Total [1] 2 9 9 2" xfId="30445"/>
    <cellStyle name="CALC Currency Total [1] 2 9 9 2 2" xfId="43354"/>
    <cellStyle name="CALC Currency Total [1] 2 9 9 3" xfId="37476"/>
    <cellStyle name="CALC Currency Total [1] 2 9 9 4" xfId="43355"/>
    <cellStyle name="CALC Currency Total [1] 20" xfId="15250"/>
    <cellStyle name="CALC Currency Total [1] 20 10" xfId="43356"/>
    <cellStyle name="CALC Currency Total [1] 20 11" xfId="43357"/>
    <cellStyle name="CALC Currency Total [1] 20 2" xfId="16330"/>
    <cellStyle name="CALC Currency Total [1] 20 2 2" xfId="24643"/>
    <cellStyle name="CALC Currency Total [1] 20 2 2 2" xfId="43358"/>
    <cellStyle name="CALC Currency Total [1] 20 2 3" xfId="31910"/>
    <cellStyle name="CALC Currency Total [1] 20 2 4" xfId="43359"/>
    <cellStyle name="CALC Currency Total [1] 20 3" xfId="17296"/>
    <cellStyle name="CALC Currency Total [1] 20 3 2" xfId="25617"/>
    <cellStyle name="CALC Currency Total [1] 20 3 2 2" xfId="43360"/>
    <cellStyle name="CALC Currency Total [1] 20 3 3" xfId="32843"/>
    <cellStyle name="CALC Currency Total [1] 20 3 4" xfId="43361"/>
    <cellStyle name="CALC Currency Total [1] 20 4" xfId="18324"/>
    <cellStyle name="CALC Currency Total [1] 20 4 2" xfId="26644"/>
    <cellStyle name="CALC Currency Total [1] 20 4 2 2" xfId="43362"/>
    <cellStyle name="CALC Currency Total [1] 20 4 3" xfId="33821"/>
    <cellStyle name="CALC Currency Total [1] 20 4 4" xfId="43363"/>
    <cellStyle name="CALC Currency Total [1] 20 5" xfId="19308"/>
    <cellStyle name="CALC Currency Total [1] 20 5 2" xfId="27628"/>
    <cellStyle name="CALC Currency Total [1] 20 5 2 2" xfId="43364"/>
    <cellStyle name="CALC Currency Total [1] 20 5 3" xfId="34776"/>
    <cellStyle name="CALC Currency Total [1] 20 5 4" xfId="43365"/>
    <cellStyle name="CALC Currency Total [1] 20 6" xfId="20276"/>
    <cellStyle name="CALC Currency Total [1] 20 6 2" xfId="28598"/>
    <cellStyle name="CALC Currency Total [1] 20 6 2 2" xfId="43366"/>
    <cellStyle name="CALC Currency Total [1] 20 6 3" xfId="35713"/>
    <cellStyle name="CALC Currency Total [1] 20 6 4" xfId="43367"/>
    <cellStyle name="CALC Currency Total [1] 20 7" xfId="21737"/>
    <cellStyle name="CALC Currency Total [1] 20 7 2" xfId="30038"/>
    <cellStyle name="CALC Currency Total [1] 20 7 2 2" xfId="43368"/>
    <cellStyle name="CALC Currency Total [1] 20 7 3" xfId="37087"/>
    <cellStyle name="CALC Currency Total [1] 20 7 4" xfId="43369"/>
    <cellStyle name="CALC Currency Total [1] 20 8" xfId="22665"/>
    <cellStyle name="CALC Currency Total [1] 20 8 2" xfId="30961"/>
    <cellStyle name="CALC Currency Total [1] 20 8 2 2" xfId="43370"/>
    <cellStyle name="CALC Currency Total [1] 20 8 3" xfId="37970"/>
    <cellStyle name="CALC Currency Total [1] 20 8 4" xfId="43371"/>
    <cellStyle name="CALC Currency Total [1] 20 9" xfId="23607"/>
    <cellStyle name="CALC Currency Total [1] 20 9 2" xfId="43372"/>
    <cellStyle name="CALC Currency Total [1] 21" xfId="15366"/>
    <cellStyle name="CALC Currency Total [1] 21 10" xfId="43373"/>
    <cellStyle name="CALC Currency Total [1] 21 11" xfId="43374"/>
    <cellStyle name="CALC Currency Total [1] 21 2" xfId="16446"/>
    <cellStyle name="CALC Currency Total [1] 21 2 2" xfId="24759"/>
    <cellStyle name="CALC Currency Total [1] 21 2 2 2" xfId="43375"/>
    <cellStyle name="CALC Currency Total [1] 21 2 3" xfId="32023"/>
    <cellStyle name="CALC Currency Total [1] 21 2 4" xfId="43376"/>
    <cellStyle name="CALC Currency Total [1] 21 3" xfId="17412"/>
    <cellStyle name="CALC Currency Total [1] 21 3 2" xfId="25733"/>
    <cellStyle name="CALC Currency Total [1] 21 3 2 2" xfId="43377"/>
    <cellStyle name="CALC Currency Total [1] 21 3 3" xfId="32956"/>
    <cellStyle name="CALC Currency Total [1] 21 3 4" xfId="43378"/>
    <cellStyle name="CALC Currency Total [1] 21 4" xfId="18440"/>
    <cellStyle name="CALC Currency Total [1] 21 4 2" xfId="26760"/>
    <cellStyle name="CALC Currency Total [1] 21 4 2 2" xfId="43379"/>
    <cellStyle name="CALC Currency Total [1] 21 4 3" xfId="33934"/>
    <cellStyle name="CALC Currency Total [1] 21 4 4" xfId="43380"/>
    <cellStyle name="CALC Currency Total [1] 21 5" xfId="19423"/>
    <cellStyle name="CALC Currency Total [1] 21 5 2" xfId="27744"/>
    <cellStyle name="CALC Currency Total [1] 21 5 2 2" xfId="43381"/>
    <cellStyle name="CALC Currency Total [1] 21 5 3" xfId="34892"/>
    <cellStyle name="CALC Currency Total [1] 21 5 4" xfId="43382"/>
    <cellStyle name="CALC Currency Total [1] 21 6" xfId="20392"/>
    <cellStyle name="CALC Currency Total [1] 21 6 2" xfId="28714"/>
    <cellStyle name="CALC Currency Total [1] 21 6 2 2" xfId="43383"/>
    <cellStyle name="CALC Currency Total [1] 21 6 3" xfId="35826"/>
    <cellStyle name="CALC Currency Total [1] 21 6 4" xfId="43384"/>
    <cellStyle name="CALC Currency Total [1] 21 7" xfId="21853"/>
    <cellStyle name="CALC Currency Total [1] 21 7 2" xfId="30154"/>
    <cellStyle name="CALC Currency Total [1] 21 7 2 2" xfId="43385"/>
    <cellStyle name="CALC Currency Total [1] 21 7 3" xfId="37199"/>
    <cellStyle name="CALC Currency Total [1] 21 7 4" xfId="43386"/>
    <cellStyle name="CALC Currency Total [1] 21 8" xfId="22781"/>
    <cellStyle name="CALC Currency Total [1] 21 8 2" xfId="31077"/>
    <cellStyle name="CALC Currency Total [1] 21 8 2 2" xfId="43387"/>
    <cellStyle name="CALC Currency Total [1] 21 8 3" xfId="38083"/>
    <cellStyle name="CALC Currency Total [1] 21 8 4" xfId="43388"/>
    <cellStyle name="CALC Currency Total [1] 21 9" xfId="23723"/>
    <cellStyle name="CALC Currency Total [1] 21 9 2" xfId="43389"/>
    <cellStyle name="CALC Currency Total [1] 22" xfId="15468"/>
    <cellStyle name="CALC Currency Total [1] 22 2" xfId="17514"/>
    <cellStyle name="CALC Currency Total [1] 22 2 2" xfId="25834"/>
    <cellStyle name="CALC Currency Total [1] 22 2 2 2" xfId="43390"/>
    <cellStyle name="CALC Currency Total [1] 22 2 3" xfId="33053"/>
    <cellStyle name="CALC Currency Total [1] 22 2 4" xfId="43391"/>
    <cellStyle name="CALC Currency Total [1] 22 3" xfId="19525"/>
    <cellStyle name="CALC Currency Total [1] 22 3 2" xfId="27846"/>
    <cellStyle name="CALC Currency Total [1] 22 3 2 2" xfId="43392"/>
    <cellStyle name="CALC Currency Total [1] 22 3 3" xfId="34994"/>
    <cellStyle name="CALC Currency Total [1] 22 3 4" xfId="43393"/>
    <cellStyle name="CALC Currency Total [1] 22 4" xfId="43394"/>
    <cellStyle name="CALC Currency Total [1] 22 4 2" xfId="43395"/>
    <cellStyle name="CALC Currency Total [1] 23" xfId="43396"/>
    <cellStyle name="CALC Currency Total [1] 23 2" xfId="43397"/>
    <cellStyle name="CALC Currency Total [1] 3" xfId="14533"/>
    <cellStyle name="CALC Currency Total [1] 3 2" xfId="15609"/>
    <cellStyle name="CALC Currency Total [1] 3 2 2" xfId="23923"/>
    <cellStyle name="CALC Currency Total [1] 3 2 2 2" xfId="43398"/>
    <cellStyle name="CALC Currency Total [1] 3 2 3" xfId="43399"/>
    <cellStyle name="CALC Currency Total [1] 3 2 4" xfId="43400"/>
    <cellStyle name="CALC Currency Total [1] 3 3" xfId="16578"/>
    <cellStyle name="CALC Currency Total [1] 3 3 2" xfId="24894"/>
    <cellStyle name="CALC Currency Total [1] 3 3 2 2" xfId="43401"/>
    <cellStyle name="CALC Currency Total [1] 3 3 3" xfId="32154"/>
    <cellStyle name="CALC Currency Total [1] 3 3 4" xfId="43402"/>
    <cellStyle name="CALC Currency Total [1] 3 4" xfId="17596"/>
    <cellStyle name="CALC Currency Total [1] 3 4 2" xfId="25918"/>
    <cellStyle name="CALC Currency Total [1] 3 4 2 2" xfId="43403"/>
    <cellStyle name="CALC Currency Total [1] 3 4 3" xfId="33131"/>
    <cellStyle name="CALC Currency Total [1] 3 4 4" xfId="43404"/>
    <cellStyle name="CALC Currency Total [1] 3 5" xfId="18577"/>
    <cellStyle name="CALC Currency Total [1] 3 5 2" xfId="26896"/>
    <cellStyle name="CALC Currency Total [1] 3 5 2 2" xfId="43405"/>
    <cellStyle name="CALC Currency Total [1] 3 5 3" xfId="34065"/>
    <cellStyle name="CALC Currency Total [1] 3 5 4" xfId="43406"/>
    <cellStyle name="CALC Currency Total [1] 3 6" xfId="15524"/>
    <cellStyle name="CALC Currency Total [1] 3 6 2" xfId="23860"/>
    <cellStyle name="CALC Currency Total [1] 3 6 2 2" xfId="43407"/>
    <cellStyle name="CALC Currency Total [1] 3 6 3" xfId="31207"/>
    <cellStyle name="CALC Currency Total [1] 3 6 4" xfId="43408"/>
    <cellStyle name="CALC Currency Total [1] 3 7" xfId="19280"/>
    <cellStyle name="CALC Currency Total [1] 3 7 2" xfId="27600"/>
    <cellStyle name="CALC Currency Total [1] 3 7 2 2" xfId="43409"/>
    <cellStyle name="CALC Currency Total [1] 3 7 3" xfId="34748"/>
    <cellStyle name="CALC Currency Total [1] 3 7 4" xfId="43410"/>
    <cellStyle name="CALC Currency Total [1] 3 8" xfId="22887"/>
    <cellStyle name="CALC Currency Total [1] 3 8 2" xfId="43411"/>
    <cellStyle name="CALC Currency Total [1] 4" xfId="14581"/>
    <cellStyle name="CALC Currency Total [1] 4 10" xfId="22940"/>
    <cellStyle name="CALC Currency Total [1] 4 10 2" xfId="43412"/>
    <cellStyle name="CALC Currency Total [1] 4 11" xfId="43413"/>
    <cellStyle name="CALC Currency Total [1] 4 2" xfId="15661"/>
    <cellStyle name="CALC Currency Total [1] 4 2 2" xfId="23976"/>
    <cellStyle name="CALC Currency Total [1] 4 2 2 2" xfId="43414"/>
    <cellStyle name="CALC Currency Total [1] 4 2 3" xfId="31273"/>
    <cellStyle name="CALC Currency Total [1] 4 2 4" xfId="43415"/>
    <cellStyle name="CALC Currency Total [1] 4 3" xfId="16628"/>
    <cellStyle name="CALC Currency Total [1] 4 3 2" xfId="24947"/>
    <cellStyle name="CALC Currency Total [1] 4 3 2 2" xfId="43416"/>
    <cellStyle name="CALC Currency Total [1] 4 3 3" xfId="32206"/>
    <cellStyle name="CALC Currency Total [1] 4 3 4" xfId="43417"/>
    <cellStyle name="CALC Currency Total [1] 4 4" xfId="17649"/>
    <cellStyle name="CALC Currency Total [1] 4 4 2" xfId="25973"/>
    <cellStyle name="CALC Currency Total [1] 4 4 2 2" xfId="43418"/>
    <cellStyle name="CALC Currency Total [1] 4 4 3" xfId="33183"/>
    <cellStyle name="CALC Currency Total [1] 4 4 4" xfId="43419"/>
    <cellStyle name="CALC Currency Total [1] 4 5" xfId="18632"/>
    <cellStyle name="CALC Currency Total [1] 4 5 2" xfId="26952"/>
    <cellStyle name="CALC Currency Total [1] 4 5 2 2" xfId="43420"/>
    <cellStyle name="CALC Currency Total [1] 4 5 3" xfId="34120"/>
    <cellStyle name="CALC Currency Total [1] 4 5 4" xfId="43421"/>
    <cellStyle name="CALC Currency Total [1] 4 6" xfId="19601"/>
    <cellStyle name="CALC Currency Total [1] 4 6 2" xfId="27921"/>
    <cellStyle name="CALC Currency Total [1] 4 6 2 2" xfId="43422"/>
    <cellStyle name="CALC Currency Total [1] 4 6 3" xfId="35066"/>
    <cellStyle name="CALC Currency Total [1] 4 6 4" xfId="43423"/>
    <cellStyle name="CALC Currency Total [1] 4 7" xfId="20558"/>
    <cellStyle name="CALC Currency Total [1] 4 7 2" xfId="28880"/>
    <cellStyle name="CALC Currency Total [1] 4 7 2 2" xfId="43424"/>
    <cellStyle name="CALC Currency Total [1] 4 7 3" xfId="35983"/>
    <cellStyle name="CALC Currency Total [1] 4 7 4" xfId="43425"/>
    <cellStyle name="CALC Currency Total [1] 4 8" xfId="21235"/>
    <cellStyle name="CALC Currency Total [1] 4 8 2" xfId="29545"/>
    <cellStyle name="CALC Currency Total [1] 4 8 2 2" xfId="43426"/>
    <cellStyle name="CALC Currency Total [1] 4 8 3" xfId="36614"/>
    <cellStyle name="CALC Currency Total [1] 4 8 4" xfId="43427"/>
    <cellStyle name="CALC Currency Total [1] 4 9" xfId="21994"/>
    <cellStyle name="CALC Currency Total [1] 4 9 2" xfId="30294"/>
    <cellStyle name="CALC Currency Total [1] 4 9 2 2" xfId="43428"/>
    <cellStyle name="CALC Currency Total [1] 4 9 3" xfId="37334"/>
    <cellStyle name="CALC Currency Total [1] 4 9 4" xfId="43429"/>
    <cellStyle name="CALC Currency Total [1] 5" xfId="14574"/>
    <cellStyle name="CALC Currency Total [1] 5 10" xfId="22933"/>
    <cellStyle name="CALC Currency Total [1] 5 10 2" xfId="43430"/>
    <cellStyle name="CALC Currency Total [1] 5 11" xfId="43431"/>
    <cellStyle name="CALC Currency Total [1] 5 2" xfId="15655"/>
    <cellStyle name="CALC Currency Total [1] 5 2 2" xfId="23969"/>
    <cellStyle name="CALC Currency Total [1] 5 2 2 2" xfId="43432"/>
    <cellStyle name="CALC Currency Total [1] 5 2 3" xfId="31266"/>
    <cellStyle name="CALC Currency Total [1] 5 2 4" xfId="43433"/>
    <cellStyle name="CALC Currency Total [1] 5 3" xfId="16622"/>
    <cellStyle name="CALC Currency Total [1] 5 3 2" xfId="24940"/>
    <cellStyle name="CALC Currency Total [1] 5 3 2 2" xfId="43434"/>
    <cellStyle name="CALC Currency Total [1] 5 3 3" xfId="32199"/>
    <cellStyle name="CALC Currency Total [1] 5 3 4" xfId="43435"/>
    <cellStyle name="CALC Currency Total [1] 5 4" xfId="17643"/>
    <cellStyle name="CALC Currency Total [1] 5 4 2" xfId="25966"/>
    <cellStyle name="CALC Currency Total [1] 5 4 2 2" xfId="43436"/>
    <cellStyle name="CALC Currency Total [1] 5 4 3" xfId="33176"/>
    <cellStyle name="CALC Currency Total [1] 5 4 4" xfId="43437"/>
    <cellStyle name="CALC Currency Total [1] 5 5" xfId="18625"/>
    <cellStyle name="CALC Currency Total [1] 5 5 2" xfId="26945"/>
    <cellStyle name="CALC Currency Total [1] 5 5 2 2" xfId="43438"/>
    <cellStyle name="CALC Currency Total [1] 5 5 3" xfId="34113"/>
    <cellStyle name="CALC Currency Total [1] 5 5 4" xfId="43439"/>
    <cellStyle name="CALC Currency Total [1] 5 6" xfId="19594"/>
    <cellStyle name="CALC Currency Total [1] 5 6 2" xfId="27914"/>
    <cellStyle name="CALC Currency Total [1] 5 6 2 2" xfId="43440"/>
    <cellStyle name="CALC Currency Total [1] 5 6 3" xfId="35059"/>
    <cellStyle name="CALC Currency Total [1] 5 6 4" xfId="43441"/>
    <cellStyle name="CALC Currency Total [1] 5 7" xfId="20551"/>
    <cellStyle name="CALC Currency Total [1] 5 7 2" xfId="28873"/>
    <cellStyle name="CALC Currency Total [1] 5 7 2 2" xfId="43442"/>
    <cellStyle name="CALC Currency Total [1] 5 7 3" xfId="35976"/>
    <cellStyle name="CALC Currency Total [1] 5 7 4" xfId="43443"/>
    <cellStyle name="CALC Currency Total [1] 5 8" xfId="21255"/>
    <cellStyle name="CALC Currency Total [1] 5 8 2" xfId="29564"/>
    <cellStyle name="CALC Currency Total [1] 5 8 2 2" xfId="43444"/>
    <cellStyle name="CALC Currency Total [1] 5 8 3" xfId="36632"/>
    <cellStyle name="CALC Currency Total [1] 5 8 4" xfId="43445"/>
    <cellStyle name="CALC Currency Total [1] 5 9" xfId="21987"/>
    <cellStyle name="CALC Currency Total [1] 5 9 2" xfId="30287"/>
    <cellStyle name="CALC Currency Total [1] 5 9 2 2" xfId="43446"/>
    <cellStyle name="CALC Currency Total [1] 5 9 3" xfId="37327"/>
    <cellStyle name="CALC Currency Total [1] 5 9 4" xfId="43447"/>
    <cellStyle name="CALC Currency Total [1] 6" xfId="14583"/>
    <cellStyle name="CALC Currency Total [1] 6 10" xfId="22942"/>
    <cellStyle name="CALC Currency Total [1] 6 10 2" xfId="43448"/>
    <cellStyle name="CALC Currency Total [1] 6 11" xfId="43449"/>
    <cellStyle name="CALC Currency Total [1] 6 2" xfId="15663"/>
    <cellStyle name="CALC Currency Total [1] 6 2 2" xfId="23978"/>
    <cellStyle name="CALC Currency Total [1] 6 2 2 2" xfId="43450"/>
    <cellStyle name="CALC Currency Total [1] 6 2 3" xfId="31275"/>
    <cellStyle name="CALC Currency Total [1] 6 2 4" xfId="43451"/>
    <cellStyle name="CALC Currency Total [1] 6 3" xfId="16630"/>
    <cellStyle name="CALC Currency Total [1] 6 3 2" xfId="24949"/>
    <cellStyle name="CALC Currency Total [1] 6 3 2 2" xfId="43452"/>
    <cellStyle name="CALC Currency Total [1] 6 3 3" xfId="32208"/>
    <cellStyle name="CALC Currency Total [1] 6 3 4" xfId="43453"/>
    <cellStyle name="CALC Currency Total [1] 6 4" xfId="17651"/>
    <cellStyle name="CALC Currency Total [1] 6 4 2" xfId="25975"/>
    <cellStyle name="CALC Currency Total [1] 6 4 2 2" xfId="43454"/>
    <cellStyle name="CALC Currency Total [1] 6 4 3" xfId="33185"/>
    <cellStyle name="CALC Currency Total [1] 6 4 4" xfId="43455"/>
    <cellStyle name="CALC Currency Total [1] 6 5" xfId="18634"/>
    <cellStyle name="CALC Currency Total [1] 6 5 2" xfId="26954"/>
    <cellStyle name="CALC Currency Total [1] 6 5 2 2" xfId="43456"/>
    <cellStyle name="CALC Currency Total [1] 6 5 3" xfId="34122"/>
    <cellStyle name="CALC Currency Total [1] 6 5 4" xfId="43457"/>
    <cellStyle name="CALC Currency Total [1] 6 6" xfId="19603"/>
    <cellStyle name="CALC Currency Total [1] 6 6 2" xfId="27923"/>
    <cellStyle name="CALC Currency Total [1] 6 6 2 2" xfId="43458"/>
    <cellStyle name="CALC Currency Total [1] 6 6 3" xfId="35068"/>
    <cellStyle name="CALC Currency Total [1] 6 6 4" xfId="43459"/>
    <cellStyle name="CALC Currency Total [1] 6 7" xfId="20560"/>
    <cellStyle name="CALC Currency Total [1] 6 7 2" xfId="28882"/>
    <cellStyle name="CALC Currency Total [1] 6 7 2 2" xfId="43460"/>
    <cellStyle name="CALC Currency Total [1] 6 7 3" xfId="35985"/>
    <cellStyle name="CALC Currency Total [1] 6 7 4" xfId="43461"/>
    <cellStyle name="CALC Currency Total [1] 6 8" xfId="21171"/>
    <cellStyle name="CALC Currency Total [1] 6 8 2" xfId="29483"/>
    <cellStyle name="CALC Currency Total [1] 6 8 2 2" xfId="43462"/>
    <cellStyle name="CALC Currency Total [1] 6 8 3" xfId="36554"/>
    <cellStyle name="CALC Currency Total [1] 6 8 4" xfId="43463"/>
    <cellStyle name="CALC Currency Total [1] 6 9" xfId="21996"/>
    <cellStyle name="CALC Currency Total [1] 6 9 2" xfId="30296"/>
    <cellStyle name="CALC Currency Total [1] 6 9 2 2" xfId="43464"/>
    <cellStyle name="CALC Currency Total [1] 6 9 3" xfId="37336"/>
    <cellStyle name="CALC Currency Total [1] 6 9 4" xfId="43465"/>
    <cellStyle name="CALC Currency Total [1] 7" xfId="14690"/>
    <cellStyle name="CALC Currency Total [1] 7 10" xfId="23053"/>
    <cellStyle name="CALC Currency Total [1] 7 10 2" xfId="43466"/>
    <cellStyle name="CALC Currency Total [1] 7 11" xfId="43467"/>
    <cellStyle name="CALC Currency Total [1] 7 2" xfId="15771"/>
    <cellStyle name="CALC Currency Total [1] 7 2 2" xfId="24088"/>
    <cellStyle name="CALC Currency Total [1] 7 2 2 2" xfId="43468"/>
    <cellStyle name="CALC Currency Total [1] 7 2 3" xfId="31379"/>
    <cellStyle name="CALC Currency Total [1] 7 2 4" xfId="43469"/>
    <cellStyle name="CALC Currency Total [1] 7 3" xfId="16737"/>
    <cellStyle name="CALC Currency Total [1] 7 3 2" xfId="25059"/>
    <cellStyle name="CALC Currency Total [1] 7 3 2 2" xfId="43470"/>
    <cellStyle name="CALC Currency Total [1] 7 3 3" xfId="32312"/>
    <cellStyle name="CALC Currency Total [1] 7 3 4" xfId="43471"/>
    <cellStyle name="CALC Currency Total [1] 7 4" xfId="17761"/>
    <cellStyle name="CALC Currency Total [1] 7 4 2" xfId="26085"/>
    <cellStyle name="CALC Currency Total [1] 7 4 2 2" xfId="43472"/>
    <cellStyle name="CALC Currency Total [1] 7 4 3" xfId="33289"/>
    <cellStyle name="CALC Currency Total [1] 7 4 4" xfId="43473"/>
    <cellStyle name="CALC Currency Total [1] 7 5" xfId="18745"/>
    <cellStyle name="CALC Currency Total [1] 7 5 2" xfId="27066"/>
    <cellStyle name="CALC Currency Total [1] 7 5 2 2" xfId="43474"/>
    <cellStyle name="CALC Currency Total [1] 7 5 3" xfId="34228"/>
    <cellStyle name="CALC Currency Total [1] 7 5 4" xfId="43475"/>
    <cellStyle name="CALC Currency Total [1] 7 6" xfId="19714"/>
    <cellStyle name="CALC Currency Total [1] 7 6 2" xfId="28035"/>
    <cellStyle name="CALC Currency Total [1] 7 6 2 2" xfId="43476"/>
    <cellStyle name="CALC Currency Total [1] 7 6 3" xfId="35174"/>
    <cellStyle name="CALC Currency Total [1] 7 6 4" xfId="43477"/>
    <cellStyle name="CALC Currency Total [1] 7 7" xfId="20671"/>
    <cellStyle name="CALC Currency Total [1] 7 7 2" xfId="28992"/>
    <cellStyle name="CALC Currency Total [1] 7 7 2 2" xfId="43478"/>
    <cellStyle name="CALC Currency Total [1] 7 7 3" xfId="36089"/>
    <cellStyle name="CALC Currency Total [1] 7 7 4" xfId="43479"/>
    <cellStyle name="CALC Currency Total [1] 7 8" xfId="21371"/>
    <cellStyle name="CALC Currency Total [1] 7 8 2" xfId="29674"/>
    <cellStyle name="CALC Currency Total [1] 7 8 2 2" xfId="43480"/>
    <cellStyle name="CALC Currency Total [1] 7 8 3" xfId="36738"/>
    <cellStyle name="CALC Currency Total [1] 7 8 4" xfId="43481"/>
    <cellStyle name="CALC Currency Total [1] 7 9" xfId="22108"/>
    <cellStyle name="CALC Currency Total [1] 7 9 2" xfId="30406"/>
    <cellStyle name="CALC Currency Total [1] 7 9 2 2" xfId="43482"/>
    <cellStyle name="CALC Currency Total [1] 7 9 3" xfId="37440"/>
    <cellStyle name="CALC Currency Total [1] 7 9 4" xfId="43483"/>
    <cellStyle name="CALC Currency Total [1] 8" xfId="14769"/>
    <cellStyle name="CALC Currency Total [1] 8 10" xfId="23133"/>
    <cellStyle name="CALC Currency Total [1] 8 10 2" xfId="43484"/>
    <cellStyle name="CALC Currency Total [1] 8 11" xfId="43485"/>
    <cellStyle name="CALC Currency Total [1] 8 12" xfId="43486"/>
    <cellStyle name="CALC Currency Total [1] 8 2" xfId="15850"/>
    <cellStyle name="CALC Currency Total [1] 8 2 2" xfId="24168"/>
    <cellStyle name="CALC Currency Total [1] 8 2 2 2" xfId="43487"/>
    <cellStyle name="CALC Currency Total [1] 8 2 3" xfId="31456"/>
    <cellStyle name="CALC Currency Total [1] 8 2 4" xfId="43488"/>
    <cellStyle name="CALC Currency Total [1] 8 3" xfId="16816"/>
    <cellStyle name="CALC Currency Total [1] 8 3 2" xfId="25140"/>
    <cellStyle name="CALC Currency Total [1] 8 3 2 2" xfId="43489"/>
    <cellStyle name="CALC Currency Total [1] 8 3 3" xfId="32389"/>
    <cellStyle name="CALC Currency Total [1] 8 3 4" xfId="43490"/>
    <cellStyle name="CALC Currency Total [1] 8 4" xfId="17842"/>
    <cellStyle name="CALC Currency Total [1] 8 4 2" xfId="26166"/>
    <cellStyle name="CALC Currency Total [1] 8 4 2 2" xfId="43491"/>
    <cellStyle name="CALC Currency Total [1] 8 4 3" xfId="33366"/>
    <cellStyle name="CALC Currency Total [1] 8 4 4" xfId="43492"/>
    <cellStyle name="CALC Currency Total [1] 8 5" xfId="18826"/>
    <cellStyle name="CALC Currency Total [1] 8 5 2" xfId="27147"/>
    <cellStyle name="CALC Currency Total [1] 8 5 2 2" xfId="43493"/>
    <cellStyle name="CALC Currency Total [1] 8 5 3" xfId="34306"/>
    <cellStyle name="CALC Currency Total [1] 8 5 4" xfId="43494"/>
    <cellStyle name="CALC Currency Total [1] 8 6" xfId="19794"/>
    <cellStyle name="CALC Currency Total [1] 8 6 2" xfId="28116"/>
    <cellStyle name="CALC Currency Total [1] 8 6 2 2" xfId="43495"/>
    <cellStyle name="CALC Currency Total [1] 8 6 3" xfId="35252"/>
    <cellStyle name="CALC Currency Total [1] 8 6 4" xfId="43496"/>
    <cellStyle name="CALC Currency Total [1] 8 7" xfId="20752"/>
    <cellStyle name="CALC Currency Total [1] 8 7 2" xfId="29073"/>
    <cellStyle name="CALC Currency Total [1] 8 7 2 2" xfId="43497"/>
    <cellStyle name="CALC Currency Total [1] 8 7 3" xfId="36165"/>
    <cellStyle name="CALC Currency Total [1] 8 7 4" xfId="43498"/>
    <cellStyle name="CALC Currency Total [1] 8 8" xfId="21197"/>
    <cellStyle name="CALC Currency Total [1] 8 8 2" xfId="29509"/>
    <cellStyle name="CALC Currency Total [1] 8 8 2 2" xfId="43499"/>
    <cellStyle name="CALC Currency Total [1] 8 8 3" xfId="36579"/>
    <cellStyle name="CALC Currency Total [1] 8 8 4" xfId="43500"/>
    <cellStyle name="CALC Currency Total [1] 8 9" xfId="22188"/>
    <cellStyle name="CALC Currency Total [1] 8 9 2" xfId="30486"/>
    <cellStyle name="CALC Currency Total [1] 8 9 2 2" xfId="43501"/>
    <cellStyle name="CALC Currency Total [1] 8 9 3" xfId="37517"/>
    <cellStyle name="CALC Currency Total [1] 8 9 4" xfId="43502"/>
    <cellStyle name="CALC Currency Total [1] 9" xfId="14820"/>
    <cellStyle name="CALC Currency Total [1] 9 10" xfId="23184"/>
    <cellStyle name="CALC Currency Total [1] 9 10 2" xfId="43503"/>
    <cellStyle name="CALC Currency Total [1] 9 11" xfId="43504"/>
    <cellStyle name="CALC Currency Total [1] 9 12" xfId="43505"/>
    <cellStyle name="CALC Currency Total [1] 9 2" xfId="15901"/>
    <cellStyle name="CALC Currency Total [1] 9 2 2" xfId="24219"/>
    <cellStyle name="CALC Currency Total [1] 9 2 2 2" xfId="43506"/>
    <cellStyle name="CALC Currency Total [1] 9 2 3" xfId="31505"/>
    <cellStyle name="CALC Currency Total [1] 9 2 4" xfId="43507"/>
    <cellStyle name="CALC Currency Total [1] 9 3" xfId="16867"/>
    <cellStyle name="CALC Currency Total [1] 9 3 2" xfId="25191"/>
    <cellStyle name="CALC Currency Total [1] 9 3 2 2" xfId="43508"/>
    <cellStyle name="CALC Currency Total [1] 9 3 3" xfId="32438"/>
    <cellStyle name="CALC Currency Total [1] 9 3 4" xfId="43509"/>
    <cellStyle name="CALC Currency Total [1] 9 4" xfId="17894"/>
    <cellStyle name="CALC Currency Total [1] 9 4 2" xfId="26217"/>
    <cellStyle name="CALC Currency Total [1] 9 4 2 2" xfId="43510"/>
    <cellStyle name="CALC Currency Total [1] 9 4 3" xfId="33415"/>
    <cellStyle name="CALC Currency Total [1] 9 4 4" xfId="43511"/>
    <cellStyle name="CALC Currency Total [1] 9 5" xfId="18878"/>
    <cellStyle name="CALC Currency Total [1] 9 5 2" xfId="27198"/>
    <cellStyle name="CALC Currency Total [1] 9 5 2 2" xfId="43512"/>
    <cellStyle name="CALC Currency Total [1] 9 5 3" xfId="34355"/>
    <cellStyle name="CALC Currency Total [1] 9 5 4" xfId="43513"/>
    <cellStyle name="CALC Currency Total [1] 9 6" xfId="19846"/>
    <cellStyle name="CALC Currency Total [1] 9 6 2" xfId="28168"/>
    <cellStyle name="CALC Currency Total [1] 9 6 2 2" xfId="43514"/>
    <cellStyle name="CALC Currency Total [1] 9 6 3" xfId="35302"/>
    <cellStyle name="CALC Currency Total [1] 9 6 4" xfId="43515"/>
    <cellStyle name="CALC Currency Total [1] 9 7" xfId="20804"/>
    <cellStyle name="CALC Currency Total [1] 9 7 2" xfId="29124"/>
    <cellStyle name="CALC Currency Total [1] 9 7 2 2" xfId="43516"/>
    <cellStyle name="CALC Currency Total [1] 9 7 3" xfId="36213"/>
    <cellStyle name="CALC Currency Total [1] 9 7 4" xfId="43517"/>
    <cellStyle name="CALC Currency Total [1] 9 8" xfId="21142"/>
    <cellStyle name="CALC Currency Total [1] 9 8 2" xfId="29454"/>
    <cellStyle name="CALC Currency Total [1] 9 8 2 2" xfId="43518"/>
    <cellStyle name="CALC Currency Total [1] 9 8 3" xfId="36526"/>
    <cellStyle name="CALC Currency Total [1] 9 8 4" xfId="43519"/>
    <cellStyle name="CALC Currency Total [1] 9 9" xfId="22239"/>
    <cellStyle name="CALC Currency Total [1] 9 9 2" xfId="30538"/>
    <cellStyle name="CALC Currency Total [1] 9 9 2 2" xfId="43520"/>
    <cellStyle name="CALC Currency Total [1] 9 9 3" xfId="37566"/>
    <cellStyle name="CALC Currency Total [1] 9 9 4" xfId="43521"/>
    <cellStyle name="CALC Currency Total [2]" xfId="14463"/>
    <cellStyle name="CALC Currency Total [2] 10" xfId="14832"/>
    <cellStyle name="CALC Currency Total [2] 10 10" xfId="23195"/>
    <cellStyle name="CALC Currency Total [2] 10 10 2" xfId="43522"/>
    <cellStyle name="CALC Currency Total [2] 10 11" xfId="43523"/>
    <cellStyle name="CALC Currency Total [2] 10 12" xfId="43524"/>
    <cellStyle name="CALC Currency Total [2] 10 2" xfId="15913"/>
    <cellStyle name="CALC Currency Total [2] 10 2 2" xfId="24230"/>
    <cellStyle name="CALC Currency Total [2] 10 2 2 2" xfId="43525"/>
    <cellStyle name="CALC Currency Total [2] 10 2 3" xfId="31514"/>
    <cellStyle name="CALC Currency Total [2] 10 2 4" xfId="43526"/>
    <cellStyle name="CALC Currency Total [2] 10 3" xfId="16879"/>
    <cellStyle name="CALC Currency Total [2] 10 3 2" xfId="25202"/>
    <cellStyle name="CALC Currency Total [2] 10 3 2 2" xfId="43527"/>
    <cellStyle name="CALC Currency Total [2] 10 3 3" xfId="32447"/>
    <cellStyle name="CALC Currency Total [2] 10 3 4" xfId="43528"/>
    <cellStyle name="CALC Currency Total [2] 10 4" xfId="17906"/>
    <cellStyle name="CALC Currency Total [2] 10 4 2" xfId="26228"/>
    <cellStyle name="CALC Currency Total [2] 10 4 2 2" xfId="43529"/>
    <cellStyle name="CALC Currency Total [2] 10 4 3" xfId="33424"/>
    <cellStyle name="CALC Currency Total [2] 10 4 4" xfId="43530"/>
    <cellStyle name="CALC Currency Total [2] 10 5" xfId="18890"/>
    <cellStyle name="CALC Currency Total [2] 10 5 2" xfId="27210"/>
    <cellStyle name="CALC Currency Total [2] 10 5 2 2" xfId="43531"/>
    <cellStyle name="CALC Currency Total [2] 10 5 3" xfId="34365"/>
    <cellStyle name="CALC Currency Total [2] 10 5 4" xfId="43532"/>
    <cellStyle name="CALC Currency Total [2] 10 6" xfId="19858"/>
    <cellStyle name="CALC Currency Total [2] 10 6 2" xfId="28180"/>
    <cellStyle name="CALC Currency Total [2] 10 6 2 2" xfId="43533"/>
    <cellStyle name="CALC Currency Total [2] 10 6 3" xfId="35312"/>
    <cellStyle name="CALC Currency Total [2] 10 6 4" xfId="43534"/>
    <cellStyle name="CALC Currency Total [2] 10 7" xfId="20816"/>
    <cellStyle name="CALC Currency Total [2] 10 7 2" xfId="29135"/>
    <cellStyle name="CALC Currency Total [2] 10 7 2 2" xfId="43535"/>
    <cellStyle name="CALC Currency Total [2] 10 7 3" xfId="36222"/>
    <cellStyle name="CALC Currency Total [2] 10 7 4" xfId="43536"/>
    <cellStyle name="CALC Currency Total [2] 10 8" xfId="21238"/>
    <cellStyle name="CALC Currency Total [2] 10 8 2" xfId="29548"/>
    <cellStyle name="CALC Currency Total [2] 10 8 2 2" xfId="43537"/>
    <cellStyle name="CALC Currency Total [2] 10 8 3" xfId="36616"/>
    <cellStyle name="CALC Currency Total [2] 10 8 4" xfId="43538"/>
    <cellStyle name="CALC Currency Total [2] 10 9" xfId="22251"/>
    <cellStyle name="CALC Currency Total [2] 10 9 2" xfId="30549"/>
    <cellStyle name="CALC Currency Total [2] 10 9 2 2" xfId="43539"/>
    <cellStyle name="CALC Currency Total [2] 10 9 3" xfId="37575"/>
    <cellStyle name="CALC Currency Total [2] 10 9 4" xfId="43540"/>
    <cellStyle name="CALC Currency Total [2] 11" xfId="14726"/>
    <cellStyle name="CALC Currency Total [2] 11 10" xfId="23089"/>
    <cellStyle name="CALC Currency Total [2] 11 10 2" xfId="43541"/>
    <cellStyle name="CALC Currency Total [2] 11 11" xfId="43542"/>
    <cellStyle name="CALC Currency Total [2] 11 12" xfId="43543"/>
    <cellStyle name="CALC Currency Total [2] 11 2" xfId="15807"/>
    <cellStyle name="CALC Currency Total [2] 11 2 2" xfId="24124"/>
    <cellStyle name="CALC Currency Total [2] 11 2 2 2" xfId="43544"/>
    <cellStyle name="CALC Currency Total [2] 11 2 3" xfId="31412"/>
    <cellStyle name="CALC Currency Total [2] 11 2 4" xfId="43545"/>
    <cellStyle name="CALC Currency Total [2] 11 3" xfId="16773"/>
    <cellStyle name="CALC Currency Total [2] 11 3 2" xfId="25096"/>
    <cellStyle name="CALC Currency Total [2] 11 3 2 2" xfId="43546"/>
    <cellStyle name="CALC Currency Total [2] 11 3 3" xfId="32345"/>
    <cellStyle name="CALC Currency Total [2] 11 3 4" xfId="43547"/>
    <cellStyle name="CALC Currency Total [2] 11 4" xfId="17798"/>
    <cellStyle name="CALC Currency Total [2] 11 4 2" xfId="26122"/>
    <cellStyle name="CALC Currency Total [2] 11 4 2 2" xfId="43548"/>
    <cellStyle name="CALC Currency Total [2] 11 4 3" xfId="33322"/>
    <cellStyle name="CALC Currency Total [2] 11 4 4" xfId="43549"/>
    <cellStyle name="CALC Currency Total [2] 11 5" xfId="18782"/>
    <cellStyle name="CALC Currency Total [2] 11 5 2" xfId="27103"/>
    <cellStyle name="CALC Currency Total [2] 11 5 2 2" xfId="43550"/>
    <cellStyle name="CALC Currency Total [2] 11 5 3" xfId="34262"/>
    <cellStyle name="CALC Currency Total [2] 11 5 4" xfId="43551"/>
    <cellStyle name="CALC Currency Total [2] 11 6" xfId="19750"/>
    <cellStyle name="CALC Currency Total [2] 11 6 2" xfId="28072"/>
    <cellStyle name="CALC Currency Total [2] 11 6 2 2" xfId="43552"/>
    <cellStyle name="CALC Currency Total [2] 11 6 3" xfId="35208"/>
    <cellStyle name="CALC Currency Total [2] 11 6 4" xfId="43553"/>
    <cellStyle name="CALC Currency Total [2] 11 7" xfId="20708"/>
    <cellStyle name="CALC Currency Total [2] 11 7 2" xfId="29029"/>
    <cellStyle name="CALC Currency Total [2] 11 7 2 2" xfId="43554"/>
    <cellStyle name="CALC Currency Total [2] 11 7 3" xfId="36122"/>
    <cellStyle name="CALC Currency Total [2] 11 7 4" xfId="43555"/>
    <cellStyle name="CALC Currency Total [2] 11 8" xfId="21182"/>
    <cellStyle name="CALC Currency Total [2] 11 8 2" xfId="29494"/>
    <cellStyle name="CALC Currency Total [2] 11 8 2 2" xfId="43556"/>
    <cellStyle name="CALC Currency Total [2] 11 8 3" xfId="36565"/>
    <cellStyle name="CALC Currency Total [2] 11 8 4" xfId="43557"/>
    <cellStyle name="CALC Currency Total [2] 11 9" xfId="22144"/>
    <cellStyle name="CALC Currency Total [2] 11 9 2" xfId="30442"/>
    <cellStyle name="CALC Currency Total [2] 11 9 2 2" xfId="43558"/>
    <cellStyle name="CALC Currency Total [2] 11 9 3" xfId="37473"/>
    <cellStyle name="CALC Currency Total [2] 11 9 4" xfId="43559"/>
    <cellStyle name="CALC Currency Total [2] 12" xfId="14955"/>
    <cellStyle name="CALC Currency Total [2] 12 10" xfId="23317"/>
    <cellStyle name="CALC Currency Total [2] 12 10 2" xfId="43560"/>
    <cellStyle name="CALC Currency Total [2] 12 11" xfId="43561"/>
    <cellStyle name="CALC Currency Total [2] 12 12" xfId="43562"/>
    <cellStyle name="CALC Currency Total [2] 12 2" xfId="16036"/>
    <cellStyle name="CALC Currency Total [2] 12 2 2" xfId="24352"/>
    <cellStyle name="CALC Currency Total [2] 12 2 2 2" xfId="43563"/>
    <cellStyle name="CALC Currency Total [2] 12 2 3" xfId="31632"/>
    <cellStyle name="CALC Currency Total [2] 12 2 4" xfId="43564"/>
    <cellStyle name="CALC Currency Total [2] 12 3" xfId="17002"/>
    <cellStyle name="CALC Currency Total [2] 12 3 2" xfId="25324"/>
    <cellStyle name="CALC Currency Total [2] 12 3 2 2" xfId="43565"/>
    <cellStyle name="CALC Currency Total [2] 12 3 3" xfId="32565"/>
    <cellStyle name="CALC Currency Total [2] 12 3 4" xfId="43566"/>
    <cellStyle name="CALC Currency Total [2] 12 4" xfId="18029"/>
    <cellStyle name="CALC Currency Total [2] 12 4 2" xfId="26350"/>
    <cellStyle name="CALC Currency Total [2] 12 4 2 2" xfId="43567"/>
    <cellStyle name="CALC Currency Total [2] 12 4 3" xfId="33542"/>
    <cellStyle name="CALC Currency Total [2] 12 4 4" xfId="43568"/>
    <cellStyle name="CALC Currency Total [2] 12 5" xfId="19013"/>
    <cellStyle name="CALC Currency Total [2] 12 5 2" xfId="27333"/>
    <cellStyle name="CALC Currency Total [2] 12 5 2 2" xfId="43569"/>
    <cellStyle name="CALC Currency Total [2] 12 5 3" xfId="34484"/>
    <cellStyle name="CALC Currency Total [2] 12 5 4" xfId="43570"/>
    <cellStyle name="CALC Currency Total [2] 12 6" xfId="19981"/>
    <cellStyle name="CALC Currency Total [2] 12 6 2" xfId="28303"/>
    <cellStyle name="CALC Currency Total [2] 12 6 2 2" xfId="43571"/>
    <cellStyle name="CALC Currency Total [2] 12 6 3" xfId="35431"/>
    <cellStyle name="CALC Currency Total [2] 12 6 4" xfId="43572"/>
    <cellStyle name="CALC Currency Total [2] 12 7" xfId="20939"/>
    <cellStyle name="CALC Currency Total [2] 12 7 2" xfId="29257"/>
    <cellStyle name="CALC Currency Total [2] 12 7 2 2" xfId="43573"/>
    <cellStyle name="CALC Currency Total [2] 12 7 3" xfId="36340"/>
    <cellStyle name="CALC Currency Total [2] 12 7 4" xfId="43574"/>
    <cellStyle name="CALC Currency Total [2] 12 8" xfId="21446"/>
    <cellStyle name="CALC Currency Total [2] 12 8 2" xfId="29748"/>
    <cellStyle name="CALC Currency Total [2] 12 8 2 2" xfId="43575"/>
    <cellStyle name="CALC Currency Total [2] 12 8 3" xfId="36810"/>
    <cellStyle name="CALC Currency Total [2] 12 8 4" xfId="43576"/>
    <cellStyle name="CALC Currency Total [2] 12 9" xfId="22374"/>
    <cellStyle name="CALC Currency Total [2] 12 9 2" xfId="30671"/>
    <cellStyle name="CALC Currency Total [2] 12 9 2 2" xfId="43577"/>
    <cellStyle name="CALC Currency Total [2] 12 9 3" xfId="37693"/>
    <cellStyle name="CALC Currency Total [2] 12 9 4" xfId="43578"/>
    <cellStyle name="CALC Currency Total [2] 13" xfId="15030"/>
    <cellStyle name="CALC Currency Total [2] 13 10" xfId="23390"/>
    <cellStyle name="CALC Currency Total [2] 13 10 2" xfId="43579"/>
    <cellStyle name="CALC Currency Total [2] 13 11" xfId="43580"/>
    <cellStyle name="CALC Currency Total [2] 13 12" xfId="43581"/>
    <cellStyle name="CALC Currency Total [2] 13 2" xfId="16110"/>
    <cellStyle name="CALC Currency Total [2] 13 2 2" xfId="24425"/>
    <cellStyle name="CALC Currency Total [2] 13 2 2 2" xfId="43582"/>
    <cellStyle name="CALC Currency Total [2] 13 2 3" xfId="31703"/>
    <cellStyle name="CALC Currency Total [2] 13 2 4" xfId="43583"/>
    <cellStyle name="CALC Currency Total [2] 13 3" xfId="17077"/>
    <cellStyle name="CALC Currency Total [2] 13 3 2" xfId="25398"/>
    <cellStyle name="CALC Currency Total [2] 13 3 2 2" xfId="43584"/>
    <cellStyle name="CALC Currency Total [2] 13 3 3" xfId="32637"/>
    <cellStyle name="CALC Currency Total [2] 13 3 4" xfId="43585"/>
    <cellStyle name="CALC Currency Total [2] 13 4" xfId="18104"/>
    <cellStyle name="CALC Currency Total [2] 13 4 2" xfId="26424"/>
    <cellStyle name="CALC Currency Total [2] 13 4 2 2" xfId="43586"/>
    <cellStyle name="CALC Currency Total [2] 13 4 3" xfId="33614"/>
    <cellStyle name="CALC Currency Total [2] 13 4 4" xfId="43587"/>
    <cellStyle name="CALC Currency Total [2] 13 5" xfId="19088"/>
    <cellStyle name="CALC Currency Total [2] 13 5 2" xfId="27408"/>
    <cellStyle name="CALC Currency Total [2] 13 5 2 2" xfId="43588"/>
    <cellStyle name="CALC Currency Total [2] 13 5 3" xfId="34557"/>
    <cellStyle name="CALC Currency Total [2] 13 5 4" xfId="43589"/>
    <cellStyle name="CALC Currency Total [2] 13 6" xfId="20056"/>
    <cellStyle name="CALC Currency Total [2] 13 6 2" xfId="28378"/>
    <cellStyle name="CALC Currency Total [2] 13 6 2 2" xfId="43590"/>
    <cellStyle name="CALC Currency Total [2] 13 6 3" xfId="35504"/>
    <cellStyle name="CALC Currency Total [2] 13 6 4" xfId="43591"/>
    <cellStyle name="CALC Currency Total [2] 13 7" xfId="21013"/>
    <cellStyle name="CALC Currency Total [2] 13 7 2" xfId="29330"/>
    <cellStyle name="CALC Currency Total [2] 13 7 2 2" xfId="43592"/>
    <cellStyle name="CALC Currency Total [2] 13 7 3" xfId="36411"/>
    <cellStyle name="CALC Currency Total [2] 13 7 4" xfId="43593"/>
    <cellStyle name="CALC Currency Total [2] 13 8" xfId="21520"/>
    <cellStyle name="CALC Currency Total [2] 13 8 2" xfId="29821"/>
    <cellStyle name="CALC Currency Total [2] 13 8 2 2" xfId="43594"/>
    <cellStyle name="CALC Currency Total [2] 13 8 3" xfId="36881"/>
    <cellStyle name="CALC Currency Total [2] 13 8 4" xfId="43595"/>
    <cellStyle name="CALC Currency Total [2] 13 9" xfId="22448"/>
    <cellStyle name="CALC Currency Total [2] 13 9 2" xfId="30744"/>
    <cellStyle name="CALC Currency Total [2] 13 9 2 2" xfId="43596"/>
    <cellStyle name="CALC Currency Total [2] 13 9 3" xfId="37764"/>
    <cellStyle name="CALC Currency Total [2] 13 9 4" xfId="43597"/>
    <cellStyle name="CALC Currency Total [2] 14" xfId="15052"/>
    <cellStyle name="CALC Currency Total [2] 14 10" xfId="23412"/>
    <cellStyle name="CALC Currency Total [2] 14 10 2" xfId="43598"/>
    <cellStyle name="CALC Currency Total [2] 14 11" xfId="43599"/>
    <cellStyle name="CALC Currency Total [2] 14 12" xfId="43600"/>
    <cellStyle name="CALC Currency Total [2] 14 2" xfId="16132"/>
    <cellStyle name="CALC Currency Total [2] 14 2 2" xfId="24447"/>
    <cellStyle name="CALC Currency Total [2] 14 2 2 2" xfId="43601"/>
    <cellStyle name="CALC Currency Total [2] 14 2 3" xfId="31724"/>
    <cellStyle name="CALC Currency Total [2] 14 2 4" xfId="43602"/>
    <cellStyle name="CALC Currency Total [2] 14 3" xfId="17099"/>
    <cellStyle name="CALC Currency Total [2] 14 3 2" xfId="25420"/>
    <cellStyle name="CALC Currency Total [2] 14 3 2 2" xfId="43603"/>
    <cellStyle name="CALC Currency Total [2] 14 3 3" xfId="32658"/>
    <cellStyle name="CALC Currency Total [2] 14 3 4" xfId="43604"/>
    <cellStyle name="CALC Currency Total [2] 14 4" xfId="18126"/>
    <cellStyle name="CALC Currency Total [2] 14 4 2" xfId="26446"/>
    <cellStyle name="CALC Currency Total [2] 14 4 2 2" xfId="43605"/>
    <cellStyle name="CALC Currency Total [2] 14 4 3" xfId="33635"/>
    <cellStyle name="CALC Currency Total [2] 14 4 4" xfId="43606"/>
    <cellStyle name="CALC Currency Total [2] 14 5" xfId="19110"/>
    <cellStyle name="CALC Currency Total [2] 14 5 2" xfId="27430"/>
    <cellStyle name="CALC Currency Total [2] 14 5 2 2" xfId="43607"/>
    <cellStyle name="CALC Currency Total [2] 14 5 3" xfId="34578"/>
    <cellStyle name="CALC Currency Total [2] 14 5 4" xfId="43608"/>
    <cellStyle name="CALC Currency Total [2] 14 6" xfId="20078"/>
    <cellStyle name="CALC Currency Total [2] 14 6 2" xfId="28400"/>
    <cellStyle name="CALC Currency Total [2] 14 6 2 2" xfId="43609"/>
    <cellStyle name="CALC Currency Total [2] 14 6 3" xfId="35525"/>
    <cellStyle name="CALC Currency Total [2] 14 6 4" xfId="43610"/>
    <cellStyle name="CALC Currency Total [2] 14 7" xfId="21035"/>
    <cellStyle name="CALC Currency Total [2] 14 7 2" xfId="29352"/>
    <cellStyle name="CALC Currency Total [2] 14 7 2 2" xfId="43611"/>
    <cellStyle name="CALC Currency Total [2] 14 7 3" xfId="36432"/>
    <cellStyle name="CALC Currency Total [2] 14 7 4" xfId="43612"/>
    <cellStyle name="CALC Currency Total [2] 14 8" xfId="21542"/>
    <cellStyle name="CALC Currency Total [2] 14 8 2" xfId="29843"/>
    <cellStyle name="CALC Currency Total [2] 14 8 2 2" xfId="43613"/>
    <cellStyle name="CALC Currency Total [2] 14 8 3" xfId="36902"/>
    <cellStyle name="CALC Currency Total [2] 14 8 4" xfId="43614"/>
    <cellStyle name="CALC Currency Total [2] 14 9" xfId="22470"/>
    <cellStyle name="CALC Currency Total [2] 14 9 2" xfId="30766"/>
    <cellStyle name="CALC Currency Total [2] 14 9 2 2" xfId="43615"/>
    <cellStyle name="CALC Currency Total [2] 14 9 3" xfId="37785"/>
    <cellStyle name="CALC Currency Total [2] 14 9 4" xfId="43616"/>
    <cellStyle name="CALC Currency Total [2] 15" xfId="15120"/>
    <cellStyle name="CALC Currency Total [2] 15 10" xfId="43617"/>
    <cellStyle name="CALC Currency Total [2] 15 11" xfId="43618"/>
    <cellStyle name="CALC Currency Total [2] 15 2" xfId="16200"/>
    <cellStyle name="CALC Currency Total [2] 15 2 2" xfId="24513"/>
    <cellStyle name="CALC Currency Total [2] 15 2 2 2" xfId="43619"/>
    <cellStyle name="CALC Currency Total [2] 15 2 3" xfId="31790"/>
    <cellStyle name="CALC Currency Total [2] 15 2 4" xfId="43620"/>
    <cellStyle name="CALC Currency Total [2] 15 3" xfId="17166"/>
    <cellStyle name="CALC Currency Total [2] 15 3 2" xfId="25487"/>
    <cellStyle name="CALC Currency Total [2] 15 3 2 2" xfId="43621"/>
    <cellStyle name="CALC Currency Total [2] 15 3 3" xfId="32723"/>
    <cellStyle name="CALC Currency Total [2] 15 3 4" xfId="43622"/>
    <cellStyle name="CALC Currency Total [2] 15 4" xfId="18194"/>
    <cellStyle name="CALC Currency Total [2] 15 4 2" xfId="26514"/>
    <cellStyle name="CALC Currency Total [2] 15 4 2 2" xfId="43623"/>
    <cellStyle name="CALC Currency Total [2] 15 4 3" xfId="33701"/>
    <cellStyle name="CALC Currency Total [2] 15 4 4" xfId="43624"/>
    <cellStyle name="CALC Currency Total [2] 15 5" xfId="19178"/>
    <cellStyle name="CALC Currency Total [2] 15 5 2" xfId="27498"/>
    <cellStyle name="CALC Currency Total [2] 15 5 2 2" xfId="43625"/>
    <cellStyle name="CALC Currency Total [2] 15 5 3" xfId="34646"/>
    <cellStyle name="CALC Currency Total [2] 15 5 4" xfId="43626"/>
    <cellStyle name="CALC Currency Total [2] 15 6" xfId="20146"/>
    <cellStyle name="CALC Currency Total [2] 15 6 2" xfId="28468"/>
    <cellStyle name="CALC Currency Total [2] 15 6 2 2" xfId="43627"/>
    <cellStyle name="CALC Currency Total [2] 15 6 3" xfId="35593"/>
    <cellStyle name="CALC Currency Total [2] 15 6 4" xfId="43628"/>
    <cellStyle name="CALC Currency Total [2] 15 7" xfId="21607"/>
    <cellStyle name="CALC Currency Total [2] 15 7 2" xfId="29908"/>
    <cellStyle name="CALC Currency Total [2] 15 7 2 2" xfId="43629"/>
    <cellStyle name="CALC Currency Total [2] 15 7 3" xfId="36967"/>
    <cellStyle name="CALC Currency Total [2] 15 7 4" xfId="43630"/>
    <cellStyle name="CALC Currency Total [2] 15 8" xfId="22535"/>
    <cellStyle name="CALC Currency Total [2] 15 8 2" xfId="30831"/>
    <cellStyle name="CALC Currency Total [2] 15 8 2 2" xfId="43631"/>
    <cellStyle name="CALC Currency Total [2] 15 8 3" xfId="37850"/>
    <cellStyle name="CALC Currency Total [2] 15 8 4" xfId="43632"/>
    <cellStyle name="CALC Currency Total [2] 15 9" xfId="23477"/>
    <cellStyle name="CALC Currency Total [2] 15 9 2" xfId="43633"/>
    <cellStyle name="CALC Currency Total [2] 16" xfId="15095"/>
    <cellStyle name="CALC Currency Total [2] 16 10" xfId="43634"/>
    <cellStyle name="CALC Currency Total [2] 16 11" xfId="43635"/>
    <cellStyle name="CALC Currency Total [2] 16 2" xfId="16175"/>
    <cellStyle name="CALC Currency Total [2] 16 2 2" xfId="24488"/>
    <cellStyle name="CALC Currency Total [2] 16 2 2 2" xfId="43636"/>
    <cellStyle name="CALC Currency Total [2] 16 2 3" xfId="31765"/>
    <cellStyle name="CALC Currency Total [2] 16 2 4" xfId="43637"/>
    <cellStyle name="CALC Currency Total [2] 16 3" xfId="17141"/>
    <cellStyle name="CALC Currency Total [2] 16 3 2" xfId="25462"/>
    <cellStyle name="CALC Currency Total [2] 16 3 2 2" xfId="43638"/>
    <cellStyle name="CALC Currency Total [2] 16 3 3" xfId="32698"/>
    <cellStyle name="CALC Currency Total [2] 16 3 4" xfId="43639"/>
    <cellStyle name="CALC Currency Total [2] 16 4" xfId="18169"/>
    <cellStyle name="CALC Currency Total [2] 16 4 2" xfId="26489"/>
    <cellStyle name="CALC Currency Total [2] 16 4 2 2" xfId="43640"/>
    <cellStyle name="CALC Currency Total [2] 16 4 3" xfId="33676"/>
    <cellStyle name="CALC Currency Total [2] 16 4 4" xfId="43641"/>
    <cellStyle name="CALC Currency Total [2] 16 5" xfId="19153"/>
    <cellStyle name="CALC Currency Total [2] 16 5 2" xfId="27473"/>
    <cellStyle name="CALC Currency Total [2] 16 5 2 2" xfId="43642"/>
    <cellStyle name="CALC Currency Total [2] 16 5 3" xfId="34621"/>
    <cellStyle name="CALC Currency Total [2] 16 5 4" xfId="43643"/>
    <cellStyle name="CALC Currency Total [2] 16 6" xfId="20121"/>
    <cellStyle name="CALC Currency Total [2] 16 6 2" xfId="28443"/>
    <cellStyle name="CALC Currency Total [2] 16 6 2 2" xfId="43644"/>
    <cellStyle name="CALC Currency Total [2] 16 6 3" xfId="35568"/>
    <cellStyle name="CALC Currency Total [2] 16 6 4" xfId="43645"/>
    <cellStyle name="CALC Currency Total [2] 16 7" xfId="21582"/>
    <cellStyle name="CALC Currency Total [2] 16 7 2" xfId="29883"/>
    <cellStyle name="CALC Currency Total [2] 16 7 2 2" xfId="43646"/>
    <cellStyle name="CALC Currency Total [2] 16 7 3" xfId="36942"/>
    <cellStyle name="CALC Currency Total [2] 16 7 4" xfId="43647"/>
    <cellStyle name="CALC Currency Total [2] 16 8" xfId="22510"/>
    <cellStyle name="CALC Currency Total [2] 16 8 2" xfId="30806"/>
    <cellStyle name="CALC Currency Total [2] 16 8 2 2" xfId="43648"/>
    <cellStyle name="CALC Currency Total [2] 16 8 3" xfId="37825"/>
    <cellStyle name="CALC Currency Total [2] 16 8 4" xfId="43649"/>
    <cellStyle name="CALC Currency Total [2] 16 9" xfId="23452"/>
    <cellStyle name="CALC Currency Total [2] 16 9 2" xfId="43650"/>
    <cellStyle name="CALC Currency Total [2] 17" xfId="15104"/>
    <cellStyle name="CALC Currency Total [2] 17 10" xfId="43651"/>
    <cellStyle name="CALC Currency Total [2] 17 11" xfId="43652"/>
    <cellStyle name="CALC Currency Total [2] 17 2" xfId="16184"/>
    <cellStyle name="CALC Currency Total [2] 17 2 2" xfId="24497"/>
    <cellStyle name="CALC Currency Total [2] 17 2 2 2" xfId="43653"/>
    <cellStyle name="CALC Currency Total [2] 17 2 3" xfId="31774"/>
    <cellStyle name="CALC Currency Total [2] 17 2 4" xfId="43654"/>
    <cellStyle name="CALC Currency Total [2] 17 3" xfId="17150"/>
    <cellStyle name="CALC Currency Total [2] 17 3 2" xfId="25471"/>
    <cellStyle name="CALC Currency Total [2] 17 3 2 2" xfId="43655"/>
    <cellStyle name="CALC Currency Total [2] 17 3 3" xfId="32707"/>
    <cellStyle name="CALC Currency Total [2] 17 3 4" xfId="43656"/>
    <cellStyle name="CALC Currency Total [2] 17 4" xfId="18178"/>
    <cellStyle name="CALC Currency Total [2] 17 4 2" xfId="26498"/>
    <cellStyle name="CALC Currency Total [2] 17 4 2 2" xfId="43657"/>
    <cellStyle name="CALC Currency Total [2] 17 4 3" xfId="33685"/>
    <cellStyle name="CALC Currency Total [2] 17 4 4" xfId="43658"/>
    <cellStyle name="CALC Currency Total [2] 17 5" xfId="19162"/>
    <cellStyle name="CALC Currency Total [2] 17 5 2" xfId="27482"/>
    <cellStyle name="CALC Currency Total [2] 17 5 2 2" xfId="43659"/>
    <cellStyle name="CALC Currency Total [2] 17 5 3" xfId="34630"/>
    <cellStyle name="CALC Currency Total [2] 17 5 4" xfId="43660"/>
    <cellStyle name="CALC Currency Total [2] 17 6" xfId="20130"/>
    <cellStyle name="CALC Currency Total [2] 17 6 2" xfId="28452"/>
    <cellStyle name="CALC Currency Total [2] 17 6 2 2" xfId="43661"/>
    <cellStyle name="CALC Currency Total [2] 17 6 3" xfId="35577"/>
    <cellStyle name="CALC Currency Total [2] 17 6 4" xfId="43662"/>
    <cellStyle name="CALC Currency Total [2] 17 7" xfId="21591"/>
    <cellStyle name="CALC Currency Total [2] 17 7 2" xfId="29892"/>
    <cellStyle name="CALC Currency Total [2] 17 7 2 2" xfId="43663"/>
    <cellStyle name="CALC Currency Total [2] 17 7 3" xfId="36951"/>
    <cellStyle name="CALC Currency Total [2] 17 7 4" xfId="43664"/>
    <cellStyle name="CALC Currency Total [2] 17 8" xfId="22519"/>
    <cellStyle name="CALC Currency Total [2] 17 8 2" xfId="30815"/>
    <cellStyle name="CALC Currency Total [2] 17 8 2 2" xfId="43665"/>
    <cellStyle name="CALC Currency Total [2] 17 8 3" xfId="37834"/>
    <cellStyle name="CALC Currency Total [2] 17 8 4" xfId="43666"/>
    <cellStyle name="CALC Currency Total [2] 17 9" xfId="23461"/>
    <cellStyle name="CALC Currency Total [2] 17 9 2" xfId="43667"/>
    <cellStyle name="CALC Currency Total [2] 18" xfId="15098"/>
    <cellStyle name="CALC Currency Total [2] 18 10" xfId="43668"/>
    <cellStyle name="CALC Currency Total [2] 18 11" xfId="43669"/>
    <cellStyle name="CALC Currency Total [2] 18 2" xfId="16178"/>
    <cellStyle name="CALC Currency Total [2] 18 2 2" xfId="24491"/>
    <cellStyle name="CALC Currency Total [2] 18 2 2 2" xfId="43670"/>
    <cellStyle name="CALC Currency Total [2] 18 2 3" xfId="31768"/>
    <cellStyle name="CALC Currency Total [2] 18 2 4" xfId="43671"/>
    <cellStyle name="CALC Currency Total [2] 18 3" xfId="17144"/>
    <cellStyle name="CALC Currency Total [2] 18 3 2" xfId="25465"/>
    <cellStyle name="CALC Currency Total [2] 18 3 2 2" xfId="43672"/>
    <cellStyle name="CALC Currency Total [2] 18 3 3" xfId="32701"/>
    <cellStyle name="CALC Currency Total [2] 18 3 4" xfId="43673"/>
    <cellStyle name="CALC Currency Total [2] 18 4" xfId="18172"/>
    <cellStyle name="CALC Currency Total [2] 18 4 2" xfId="26492"/>
    <cellStyle name="CALC Currency Total [2] 18 4 2 2" xfId="43674"/>
    <cellStyle name="CALC Currency Total [2] 18 4 3" xfId="33679"/>
    <cellStyle name="CALC Currency Total [2] 18 4 4" xfId="43675"/>
    <cellStyle name="CALC Currency Total [2] 18 5" xfId="19156"/>
    <cellStyle name="CALC Currency Total [2] 18 5 2" xfId="27476"/>
    <cellStyle name="CALC Currency Total [2] 18 5 2 2" xfId="43676"/>
    <cellStyle name="CALC Currency Total [2] 18 5 3" xfId="34624"/>
    <cellStyle name="CALC Currency Total [2] 18 5 4" xfId="43677"/>
    <cellStyle name="CALC Currency Total [2] 18 6" xfId="20124"/>
    <cellStyle name="CALC Currency Total [2] 18 6 2" xfId="28446"/>
    <cellStyle name="CALC Currency Total [2] 18 6 2 2" xfId="43678"/>
    <cellStyle name="CALC Currency Total [2] 18 6 3" xfId="35571"/>
    <cellStyle name="CALC Currency Total [2] 18 6 4" xfId="43679"/>
    <cellStyle name="CALC Currency Total [2] 18 7" xfId="21585"/>
    <cellStyle name="CALC Currency Total [2] 18 7 2" xfId="29886"/>
    <cellStyle name="CALC Currency Total [2] 18 7 2 2" xfId="43680"/>
    <cellStyle name="CALC Currency Total [2] 18 7 3" xfId="36945"/>
    <cellStyle name="CALC Currency Total [2] 18 7 4" xfId="43681"/>
    <cellStyle name="CALC Currency Total [2] 18 8" xfId="22513"/>
    <cellStyle name="CALC Currency Total [2] 18 8 2" xfId="30809"/>
    <cellStyle name="CALC Currency Total [2] 18 8 2 2" xfId="43682"/>
    <cellStyle name="CALC Currency Total [2] 18 8 3" xfId="37828"/>
    <cellStyle name="CALC Currency Total [2] 18 8 4" xfId="43683"/>
    <cellStyle name="CALC Currency Total [2] 18 9" xfId="23455"/>
    <cellStyle name="CALC Currency Total [2] 18 9 2" xfId="43684"/>
    <cellStyle name="CALC Currency Total [2] 19" xfId="15238"/>
    <cellStyle name="CALC Currency Total [2] 19 10" xfId="43685"/>
    <cellStyle name="CALC Currency Total [2] 19 11" xfId="43686"/>
    <cellStyle name="CALC Currency Total [2] 19 2" xfId="16318"/>
    <cellStyle name="CALC Currency Total [2] 19 2 2" xfId="24631"/>
    <cellStyle name="CALC Currency Total [2] 19 2 2 2" xfId="43687"/>
    <cellStyle name="CALC Currency Total [2] 19 2 3" xfId="31898"/>
    <cellStyle name="CALC Currency Total [2] 19 2 4" xfId="43688"/>
    <cellStyle name="CALC Currency Total [2] 19 3" xfId="17284"/>
    <cellStyle name="CALC Currency Total [2] 19 3 2" xfId="25605"/>
    <cellStyle name="CALC Currency Total [2] 19 3 2 2" xfId="43689"/>
    <cellStyle name="CALC Currency Total [2] 19 3 3" xfId="32831"/>
    <cellStyle name="CALC Currency Total [2] 19 3 4" xfId="43690"/>
    <cellStyle name="CALC Currency Total [2] 19 4" xfId="18312"/>
    <cellStyle name="CALC Currency Total [2] 19 4 2" xfId="26632"/>
    <cellStyle name="CALC Currency Total [2] 19 4 2 2" xfId="43691"/>
    <cellStyle name="CALC Currency Total [2] 19 4 3" xfId="33809"/>
    <cellStyle name="CALC Currency Total [2] 19 4 4" xfId="43692"/>
    <cellStyle name="CALC Currency Total [2] 19 5" xfId="19296"/>
    <cellStyle name="CALC Currency Total [2] 19 5 2" xfId="27616"/>
    <cellStyle name="CALC Currency Total [2] 19 5 2 2" xfId="43693"/>
    <cellStyle name="CALC Currency Total [2] 19 5 3" xfId="34764"/>
    <cellStyle name="CALC Currency Total [2] 19 5 4" xfId="43694"/>
    <cellStyle name="CALC Currency Total [2] 19 6" xfId="20264"/>
    <cellStyle name="CALC Currency Total [2] 19 6 2" xfId="28586"/>
    <cellStyle name="CALC Currency Total [2] 19 6 2 2" xfId="43695"/>
    <cellStyle name="CALC Currency Total [2] 19 6 3" xfId="35701"/>
    <cellStyle name="CALC Currency Total [2] 19 6 4" xfId="43696"/>
    <cellStyle name="CALC Currency Total [2] 19 7" xfId="21725"/>
    <cellStyle name="CALC Currency Total [2] 19 7 2" xfId="30026"/>
    <cellStyle name="CALC Currency Total [2] 19 7 2 2" xfId="43697"/>
    <cellStyle name="CALC Currency Total [2] 19 7 3" xfId="37075"/>
    <cellStyle name="CALC Currency Total [2] 19 7 4" xfId="43698"/>
    <cellStyle name="CALC Currency Total [2] 19 8" xfId="22653"/>
    <cellStyle name="CALC Currency Total [2] 19 8 2" xfId="30949"/>
    <cellStyle name="CALC Currency Total [2] 19 8 2 2" xfId="43699"/>
    <cellStyle name="CALC Currency Total [2] 19 8 3" xfId="37958"/>
    <cellStyle name="CALC Currency Total [2] 19 8 4" xfId="43700"/>
    <cellStyle name="CALC Currency Total [2] 19 9" xfId="23595"/>
    <cellStyle name="CALC Currency Total [2] 19 9 2" xfId="43701"/>
    <cellStyle name="CALC Currency Total [2] 2" xfId="14464"/>
    <cellStyle name="CALC Currency Total [2] 2 10" xfId="14790"/>
    <cellStyle name="CALC Currency Total [2] 2 10 10" xfId="23155"/>
    <cellStyle name="CALC Currency Total [2] 2 10 10 2" xfId="43702"/>
    <cellStyle name="CALC Currency Total [2] 2 10 11" xfId="43703"/>
    <cellStyle name="CALC Currency Total [2] 2 10 12" xfId="43704"/>
    <cellStyle name="CALC Currency Total [2] 2 10 2" xfId="15871"/>
    <cellStyle name="CALC Currency Total [2] 2 10 2 2" xfId="24190"/>
    <cellStyle name="CALC Currency Total [2] 2 10 2 2 2" xfId="43705"/>
    <cellStyle name="CALC Currency Total [2] 2 10 2 3" xfId="31476"/>
    <cellStyle name="CALC Currency Total [2] 2 10 2 4" xfId="43706"/>
    <cellStyle name="CALC Currency Total [2] 2 10 3" xfId="16837"/>
    <cellStyle name="CALC Currency Total [2] 2 10 3 2" xfId="25162"/>
    <cellStyle name="CALC Currency Total [2] 2 10 3 2 2" xfId="43707"/>
    <cellStyle name="CALC Currency Total [2] 2 10 3 3" xfId="32409"/>
    <cellStyle name="CALC Currency Total [2] 2 10 3 4" xfId="43708"/>
    <cellStyle name="CALC Currency Total [2] 2 10 4" xfId="17864"/>
    <cellStyle name="CALC Currency Total [2] 2 10 4 2" xfId="26188"/>
    <cellStyle name="CALC Currency Total [2] 2 10 4 2 2" xfId="43709"/>
    <cellStyle name="CALC Currency Total [2] 2 10 4 3" xfId="33386"/>
    <cellStyle name="CALC Currency Total [2] 2 10 4 4" xfId="43710"/>
    <cellStyle name="CALC Currency Total [2] 2 10 5" xfId="18848"/>
    <cellStyle name="CALC Currency Total [2] 2 10 5 2" xfId="27169"/>
    <cellStyle name="CALC Currency Total [2] 2 10 5 2 2" xfId="43711"/>
    <cellStyle name="CALC Currency Total [2] 2 10 5 3" xfId="34326"/>
    <cellStyle name="CALC Currency Total [2] 2 10 5 4" xfId="43712"/>
    <cellStyle name="CALC Currency Total [2] 2 10 6" xfId="19816"/>
    <cellStyle name="CALC Currency Total [2] 2 10 6 2" xfId="28138"/>
    <cellStyle name="CALC Currency Total [2] 2 10 6 2 2" xfId="43713"/>
    <cellStyle name="CALC Currency Total [2] 2 10 6 3" xfId="35272"/>
    <cellStyle name="CALC Currency Total [2] 2 10 6 4" xfId="43714"/>
    <cellStyle name="CALC Currency Total [2] 2 10 7" xfId="20774"/>
    <cellStyle name="CALC Currency Total [2] 2 10 7 2" xfId="29095"/>
    <cellStyle name="CALC Currency Total [2] 2 10 7 2 2" xfId="43715"/>
    <cellStyle name="CALC Currency Total [2] 2 10 7 3" xfId="36185"/>
    <cellStyle name="CALC Currency Total [2] 2 10 7 4" xfId="43716"/>
    <cellStyle name="CALC Currency Total [2] 2 10 8" xfId="21325"/>
    <cellStyle name="CALC Currency Total [2] 2 10 8 2" xfId="29630"/>
    <cellStyle name="CALC Currency Total [2] 2 10 8 2 2" xfId="43717"/>
    <cellStyle name="CALC Currency Total [2] 2 10 8 3" xfId="36696"/>
    <cellStyle name="CALC Currency Total [2] 2 10 8 4" xfId="43718"/>
    <cellStyle name="CALC Currency Total [2] 2 10 9" xfId="22210"/>
    <cellStyle name="CALC Currency Total [2] 2 10 9 2" xfId="30508"/>
    <cellStyle name="CALC Currency Total [2] 2 10 9 2 2" xfId="43719"/>
    <cellStyle name="CALC Currency Total [2] 2 10 9 3" xfId="37537"/>
    <cellStyle name="CALC Currency Total [2] 2 10 9 4" xfId="43720"/>
    <cellStyle name="CALC Currency Total [2] 2 11" xfId="14881"/>
    <cellStyle name="CALC Currency Total [2] 2 11 10" xfId="23244"/>
    <cellStyle name="CALC Currency Total [2] 2 11 10 2" xfId="43721"/>
    <cellStyle name="CALC Currency Total [2] 2 11 11" xfId="43722"/>
    <cellStyle name="CALC Currency Total [2] 2 11 12" xfId="43723"/>
    <cellStyle name="CALC Currency Total [2] 2 11 2" xfId="15962"/>
    <cellStyle name="CALC Currency Total [2] 2 11 2 2" xfId="24279"/>
    <cellStyle name="CALC Currency Total [2] 2 11 2 2 2" xfId="43724"/>
    <cellStyle name="CALC Currency Total [2] 2 11 2 3" xfId="31562"/>
    <cellStyle name="CALC Currency Total [2] 2 11 2 4" xfId="43725"/>
    <cellStyle name="CALC Currency Total [2] 2 11 3" xfId="16928"/>
    <cellStyle name="CALC Currency Total [2] 2 11 3 2" xfId="25251"/>
    <cellStyle name="CALC Currency Total [2] 2 11 3 2 2" xfId="43726"/>
    <cellStyle name="CALC Currency Total [2] 2 11 3 3" xfId="32495"/>
    <cellStyle name="CALC Currency Total [2] 2 11 3 4" xfId="43727"/>
    <cellStyle name="CALC Currency Total [2] 2 11 4" xfId="17955"/>
    <cellStyle name="CALC Currency Total [2] 2 11 4 2" xfId="26277"/>
    <cellStyle name="CALC Currency Total [2] 2 11 4 2 2" xfId="43728"/>
    <cellStyle name="CALC Currency Total [2] 2 11 4 3" xfId="33472"/>
    <cellStyle name="CALC Currency Total [2] 2 11 4 4" xfId="43729"/>
    <cellStyle name="CALC Currency Total [2] 2 11 5" xfId="18939"/>
    <cellStyle name="CALC Currency Total [2] 2 11 5 2" xfId="27259"/>
    <cellStyle name="CALC Currency Total [2] 2 11 5 2 2" xfId="43730"/>
    <cellStyle name="CALC Currency Total [2] 2 11 5 3" xfId="34413"/>
    <cellStyle name="CALC Currency Total [2] 2 11 5 4" xfId="43731"/>
    <cellStyle name="CALC Currency Total [2] 2 11 6" xfId="19907"/>
    <cellStyle name="CALC Currency Total [2] 2 11 6 2" xfId="28229"/>
    <cellStyle name="CALC Currency Total [2] 2 11 6 2 2" xfId="43732"/>
    <cellStyle name="CALC Currency Total [2] 2 11 6 3" xfId="35360"/>
    <cellStyle name="CALC Currency Total [2] 2 11 6 4" xfId="43733"/>
    <cellStyle name="CALC Currency Total [2] 2 11 7" xfId="20865"/>
    <cellStyle name="CALC Currency Total [2] 2 11 7 2" xfId="29184"/>
    <cellStyle name="CALC Currency Total [2] 2 11 7 2 2" xfId="43734"/>
    <cellStyle name="CALC Currency Total [2] 2 11 7 3" xfId="36270"/>
    <cellStyle name="CALC Currency Total [2] 2 11 7 4" xfId="43735"/>
    <cellStyle name="CALC Currency Total [2] 2 11 8" xfId="20111"/>
    <cellStyle name="CALC Currency Total [2] 2 11 8 2" xfId="28433"/>
    <cellStyle name="CALC Currency Total [2] 2 11 8 2 2" xfId="43736"/>
    <cellStyle name="CALC Currency Total [2] 2 11 8 3" xfId="35558"/>
    <cellStyle name="CALC Currency Total [2] 2 11 8 4" xfId="43737"/>
    <cellStyle name="CALC Currency Total [2] 2 11 9" xfId="22300"/>
    <cellStyle name="CALC Currency Total [2] 2 11 9 2" xfId="30598"/>
    <cellStyle name="CALC Currency Total [2] 2 11 9 2 2" xfId="43738"/>
    <cellStyle name="CALC Currency Total [2] 2 11 9 3" xfId="37623"/>
    <cellStyle name="CALC Currency Total [2] 2 11 9 4" xfId="43739"/>
    <cellStyle name="CALC Currency Total [2] 2 12" xfId="14897"/>
    <cellStyle name="CALC Currency Total [2] 2 12 10" xfId="23260"/>
    <cellStyle name="CALC Currency Total [2] 2 12 10 2" xfId="43740"/>
    <cellStyle name="CALC Currency Total [2] 2 12 11" xfId="43741"/>
    <cellStyle name="CALC Currency Total [2] 2 12 12" xfId="43742"/>
    <cellStyle name="CALC Currency Total [2] 2 12 2" xfId="15978"/>
    <cellStyle name="CALC Currency Total [2] 2 12 2 2" xfId="24295"/>
    <cellStyle name="CALC Currency Total [2] 2 12 2 2 2" xfId="43743"/>
    <cellStyle name="CALC Currency Total [2] 2 12 2 3" xfId="31576"/>
    <cellStyle name="CALC Currency Total [2] 2 12 2 4" xfId="43744"/>
    <cellStyle name="CALC Currency Total [2] 2 12 3" xfId="16944"/>
    <cellStyle name="CALC Currency Total [2] 2 12 3 2" xfId="25267"/>
    <cellStyle name="CALC Currency Total [2] 2 12 3 2 2" xfId="43745"/>
    <cellStyle name="CALC Currency Total [2] 2 12 3 3" xfId="32509"/>
    <cellStyle name="CALC Currency Total [2] 2 12 3 4" xfId="43746"/>
    <cellStyle name="CALC Currency Total [2] 2 12 4" xfId="17971"/>
    <cellStyle name="CALC Currency Total [2] 2 12 4 2" xfId="26293"/>
    <cellStyle name="CALC Currency Total [2] 2 12 4 2 2" xfId="43747"/>
    <cellStyle name="CALC Currency Total [2] 2 12 4 3" xfId="33486"/>
    <cellStyle name="CALC Currency Total [2] 2 12 4 4" xfId="43748"/>
    <cellStyle name="CALC Currency Total [2] 2 12 5" xfId="18955"/>
    <cellStyle name="CALC Currency Total [2] 2 12 5 2" xfId="27275"/>
    <cellStyle name="CALC Currency Total [2] 2 12 5 2 2" xfId="43749"/>
    <cellStyle name="CALC Currency Total [2] 2 12 5 3" xfId="34427"/>
    <cellStyle name="CALC Currency Total [2] 2 12 5 4" xfId="43750"/>
    <cellStyle name="CALC Currency Total [2] 2 12 6" xfId="19923"/>
    <cellStyle name="CALC Currency Total [2] 2 12 6 2" xfId="28245"/>
    <cellStyle name="CALC Currency Total [2] 2 12 6 2 2" xfId="43751"/>
    <cellStyle name="CALC Currency Total [2] 2 12 6 3" xfId="35374"/>
    <cellStyle name="CALC Currency Total [2] 2 12 6 4" xfId="43752"/>
    <cellStyle name="CALC Currency Total [2] 2 12 7" xfId="20881"/>
    <cellStyle name="CALC Currency Total [2] 2 12 7 2" xfId="29200"/>
    <cellStyle name="CALC Currency Total [2] 2 12 7 2 2" xfId="43753"/>
    <cellStyle name="CALC Currency Total [2] 2 12 7 3" xfId="36284"/>
    <cellStyle name="CALC Currency Total [2] 2 12 7 4" xfId="43754"/>
    <cellStyle name="CALC Currency Total [2] 2 12 8" xfId="21388"/>
    <cellStyle name="CALC Currency Total [2] 2 12 8 2" xfId="29691"/>
    <cellStyle name="CALC Currency Total [2] 2 12 8 2 2" xfId="43755"/>
    <cellStyle name="CALC Currency Total [2] 2 12 8 3" xfId="36754"/>
    <cellStyle name="CALC Currency Total [2] 2 12 8 4" xfId="43756"/>
    <cellStyle name="CALC Currency Total [2] 2 12 9" xfId="22316"/>
    <cellStyle name="CALC Currency Total [2] 2 12 9 2" xfId="30614"/>
    <cellStyle name="CALC Currency Total [2] 2 12 9 2 2" xfId="43757"/>
    <cellStyle name="CALC Currency Total [2] 2 12 9 3" xfId="37637"/>
    <cellStyle name="CALC Currency Total [2] 2 12 9 4" xfId="43758"/>
    <cellStyle name="CALC Currency Total [2] 2 13" xfId="14864"/>
    <cellStyle name="CALC Currency Total [2] 2 13 10" xfId="23227"/>
    <cellStyle name="CALC Currency Total [2] 2 13 10 2" xfId="43759"/>
    <cellStyle name="CALC Currency Total [2] 2 13 11" xfId="43760"/>
    <cellStyle name="CALC Currency Total [2] 2 13 12" xfId="43761"/>
    <cellStyle name="CALC Currency Total [2] 2 13 2" xfId="15945"/>
    <cellStyle name="CALC Currency Total [2] 2 13 2 2" xfId="24262"/>
    <cellStyle name="CALC Currency Total [2] 2 13 2 2 2" xfId="43762"/>
    <cellStyle name="CALC Currency Total [2] 2 13 2 3" xfId="31546"/>
    <cellStyle name="CALC Currency Total [2] 2 13 2 4" xfId="43763"/>
    <cellStyle name="CALC Currency Total [2] 2 13 3" xfId="16911"/>
    <cellStyle name="CALC Currency Total [2] 2 13 3 2" xfId="25234"/>
    <cellStyle name="CALC Currency Total [2] 2 13 3 2 2" xfId="43764"/>
    <cellStyle name="CALC Currency Total [2] 2 13 3 3" xfId="32479"/>
    <cellStyle name="CALC Currency Total [2] 2 13 3 4" xfId="43765"/>
    <cellStyle name="CALC Currency Total [2] 2 13 4" xfId="17938"/>
    <cellStyle name="CALC Currency Total [2] 2 13 4 2" xfId="26260"/>
    <cellStyle name="CALC Currency Total [2] 2 13 4 2 2" xfId="43766"/>
    <cellStyle name="CALC Currency Total [2] 2 13 4 3" xfId="33456"/>
    <cellStyle name="CALC Currency Total [2] 2 13 4 4" xfId="43767"/>
    <cellStyle name="CALC Currency Total [2] 2 13 5" xfId="18922"/>
    <cellStyle name="CALC Currency Total [2] 2 13 5 2" xfId="27242"/>
    <cellStyle name="CALC Currency Total [2] 2 13 5 2 2" xfId="43768"/>
    <cellStyle name="CALC Currency Total [2] 2 13 5 3" xfId="34397"/>
    <cellStyle name="CALC Currency Total [2] 2 13 5 4" xfId="43769"/>
    <cellStyle name="CALC Currency Total [2] 2 13 6" xfId="19890"/>
    <cellStyle name="CALC Currency Total [2] 2 13 6 2" xfId="28212"/>
    <cellStyle name="CALC Currency Total [2] 2 13 6 2 2" xfId="43770"/>
    <cellStyle name="CALC Currency Total [2] 2 13 6 3" xfId="35344"/>
    <cellStyle name="CALC Currency Total [2] 2 13 6 4" xfId="43771"/>
    <cellStyle name="CALC Currency Total [2] 2 13 7" xfId="20848"/>
    <cellStyle name="CALC Currency Total [2] 2 13 7 2" xfId="29167"/>
    <cellStyle name="CALC Currency Total [2] 2 13 7 2 2" xfId="43772"/>
    <cellStyle name="CALC Currency Total [2] 2 13 7 3" xfId="36254"/>
    <cellStyle name="CALC Currency Total [2] 2 13 7 4" xfId="43773"/>
    <cellStyle name="CALC Currency Total [2] 2 13 8" xfId="16555"/>
    <cellStyle name="CALC Currency Total [2] 2 13 8 2" xfId="24868"/>
    <cellStyle name="CALC Currency Total [2] 2 13 8 2 2" xfId="43774"/>
    <cellStyle name="CALC Currency Total [2] 2 13 8 3" xfId="32128"/>
    <cellStyle name="CALC Currency Total [2] 2 13 8 4" xfId="43775"/>
    <cellStyle name="CALC Currency Total [2] 2 13 9" xfId="22283"/>
    <cellStyle name="CALC Currency Total [2] 2 13 9 2" xfId="30581"/>
    <cellStyle name="CALC Currency Total [2] 2 13 9 2 2" xfId="43776"/>
    <cellStyle name="CALC Currency Total [2] 2 13 9 3" xfId="37607"/>
    <cellStyle name="CALC Currency Total [2] 2 13 9 4" xfId="43777"/>
    <cellStyle name="CALC Currency Total [2] 2 14" xfId="14980"/>
    <cellStyle name="CALC Currency Total [2] 2 14 10" xfId="23341"/>
    <cellStyle name="CALC Currency Total [2] 2 14 10 2" xfId="43778"/>
    <cellStyle name="CALC Currency Total [2] 2 14 11" xfId="43779"/>
    <cellStyle name="CALC Currency Total [2] 2 14 12" xfId="43780"/>
    <cellStyle name="CALC Currency Total [2] 2 14 2" xfId="16061"/>
    <cellStyle name="CALC Currency Total [2] 2 14 2 2" xfId="24376"/>
    <cellStyle name="CALC Currency Total [2] 2 14 2 2 2" xfId="43781"/>
    <cellStyle name="CALC Currency Total [2] 2 14 2 3" xfId="31655"/>
    <cellStyle name="CALC Currency Total [2] 2 14 2 4" xfId="43782"/>
    <cellStyle name="CALC Currency Total [2] 2 14 3" xfId="17027"/>
    <cellStyle name="CALC Currency Total [2] 2 14 3 2" xfId="25348"/>
    <cellStyle name="CALC Currency Total [2] 2 14 3 2 2" xfId="43783"/>
    <cellStyle name="CALC Currency Total [2] 2 14 3 3" xfId="32588"/>
    <cellStyle name="CALC Currency Total [2] 2 14 3 4" xfId="43784"/>
    <cellStyle name="CALC Currency Total [2] 2 14 4" xfId="18054"/>
    <cellStyle name="CALC Currency Total [2] 2 14 4 2" xfId="26374"/>
    <cellStyle name="CALC Currency Total [2] 2 14 4 2 2" xfId="43785"/>
    <cellStyle name="CALC Currency Total [2] 2 14 4 3" xfId="33565"/>
    <cellStyle name="CALC Currency Total [2] 2 14 4 4" xfId="43786"/>
    <cellStyle name="CALC Currency Total [2] 2 14 5" xfId="19038"/>
    <cellStyle name="CALC Currency Total [2] 2 14 5 2" xfId="27358"/>
    <cellStyle name="CALC Currency Total [2] 2 14 5 2 2" xfId="43787"/>
    <cellStyle name="CALC Currency Total [2] 2 14 5 3" xfId="34508"/>
    <cellStyle name="CALC Currency Total [2] 2 14 5 4" xfId="43788"/>
    <cellStyle name="CALC Currency Total [2] 2 14 6" xfId="20006"/>
    <cellStyle name="CALC Currency Total [2] 2 14 6 2" xfId="28328"/>
    <cellStyle name="CALC Currency Total [2] 2 14 6 2 2" xfId="43789"/>
    <cellStyle name="CALC Currency Total [2] 2 14 6 3" xfId="35455"/>
    <cellStyle name="CALC Currency Total [2] 2 14 6 4" xfId="43790"/>
    <cellStyle name="CALC Currency Total [2] 2 14 7" xfId="20964"/>
    <cellStyle name="CALC Currency Total [2] 2 14 7 2" xfId="29281"/>
    <cellStyle name="CALC Currency Total [2] 2 14 7 2 2" xfId="43791"/>
    <cellStyle name="CALC Currency Total [2] 2 14 7 3" xfId="36363"/>
    <cellStyle name="CALC Currency Total [2] 2 14 7 4" xfId="43792"/>
    <cellStyle name="CALC Currency Total [2] 2 14 8" xfId="21471"/>
    <cellStyle name="CALC Currency Total [2] 2 14 8 2" xfId="29772"/>
    <cellStyle name="CALC Currency Total [2] 2 14 8 2 2" xfId="43793"/>
    <cellStyle name="CALC Currency Total [2] 2 14 8 3" xfId="36833"/>
    <cellStyle name="CALC Currency Total [2] 2 14 8 4" xfId="43794"/>
    <cellStyle name="CALC Currency Total [2] 2 14 9" xfId="22399"/>
    <cellStyle name="CALC Currency Total [2] 2 14 9 2" xfId="30695"/>
    <cellStyle name="CALC Currency Total [2] 2 14 9 2 2" xfId="43795"/>
    <cellStyle name="CALC Currency Total [2] 2 14 9 3" xfId="37716"/>
    <cellStyle name="CALC Currency Total [2] 2 14 9 4" xfId="43796"/>
    <cellStyle name="CALC Currency Total [2] 2 15" xfId="15061"/>
    <cellStyle name="CALC Currency Total [2] 2 15 10" xfId="23421"/>
    <cellStyle name="CALC Currency Total [2] 2 15 10 2" xfId="43797"/>
    <cellStyle name="CALC Currency Total [2] 2 15 11" xfId="43798"/>
    <cellStyle name="CALC Currency Total [2] 2 15 12" xfId="43799"/>
    <cellStyle name="CALC Currency Total [2] 2 15 2" xfId="16141"/>
    <cellStyle name="CALC Currency Total [2] 2 15 2 2" xfId="24456"/>
    <cellStyle name="CALC Currency Total [2] 2 15 2 2 2" xfId="43800"/>
    <cellStyle name="CALC Currency Total [2] 2 15 2 3" xfId="31733"/>
    <cellStyle name="CALC Currency Total [2] 2 15 2 4" xfId="43801"/>
    <cellStyle name="CALC Currency Total [2] 2 15 3" xfId="17108"/>
    <cellStyle name="CALC Currency Total [2] 2 15 3 2" xfId="25429"/>
    <cellStyle name="CALC Currency Total [2] 2 15 3 2 2" xfId="43802"/>
    <cellStyle name="CALC Currency Total [2] 2 15 3 3" xfId="32667"/>
    <cellStyle name="CALC Currency Total [2] 2 15 3 4" xfId="43803"/>
    <cellStyle name="CALC Currency Total [2] 2 15 4" xfId="18135"/>
    <cellStyle name="CALC Currency Total [2] 2 15 4 2" xfId="26455"/>
    <cellStyle name="CALC Currency Total [2] 2 15 4 2 2" xfId="43804"/>
    <cellStyle name="CALC Currency Total [2] 2 15 4 3" xfId="33644"/>
    <cellStyle name="CALC Currency Total [2] 2 15 4 4" xfId="43805"/>
    <cellStyle name="CALC Currency Total [2] 2 15 5" xfId="19119"/>
    <cellStyle name="CALC Currency Total [2] 2 15 5 2" xfId="27439"/>
    <cellStyle name="CALC Currency Total [2] 2 15 5 2 2" xfId="43806"/>
    <cellStyle name="CALC Currency Total [2] 2 15 5 3" xfId="34587"/>
    <cellStyle name="CALC Currency Total [2] 2 15 5 4" xfId="43807"/>
    <cellStyle name="CALC Currency Total [2] 2 15 6" xfId="20087"/>
    <cellStyle name="CALC Currency Total [2] 2 15 6 2" xfId="28409"/>
    <cellStyle name="CALC Currency Total [2] 2 15 6 2 2" xfId="43808"/>
    <cellStyle name="CALC Currency Total [2] 2 15 6 3" xfId="35534"/>
    <cellStyle name="CALC Currency Total [2] 2 15 6 4" xfId="43809"/>
    <cellStyle name="CALC Currency Total [2] 2 15 7" xfId="21044"/>
    <cellStyle name="CALC Currency Total [2] 2 15 7 2" xfId="29361"/>
    <cellStyle name="CALC Currency Total [2] 2 15 7 2 2" xfId="43810"/>
    <cellStyle name="CALC Currency Total [2] 2 15 7 3" xfId="36441"/>
    <cellStyle name="CALC Currency Total [2] 2 15 7 4" xfId="43811"/>
    <cellStyle name="CALC Currency Total [2] 2 15 8" xfId="21551"/>
    <cellStyle name="CALC Currency Total [2] 2 15 8 2" xfId="29852"/>
    <cellStyle name="CALC Currency Total [2] 2 15 8 2 2" xfId="43812"/>
    <cellStyle name="CALC Currency Total [2] 2 15 8 3" xfId="36911"/>
    <cellStyle name="CALC Currency Total [2] 2 15 8 4" xfId="43813"/>
    <cellStyle name="CALC Currency Total [2] 2 15 9" xfId="22479"/>
    <cellStyle name="CALC Currency Total [2] 2 15 9 2" xfId="30775"/>
    <cellStyle name="CALC Currency Total [2] 2 15 9 2 2" xfId="43814"/>
    <cellStyle name="CALC Currency Total [2] 2 15 9 3" xfId="37794"/>
    <cellStyle name="CALC Currency Total [2] 2 15 9 4" xfId="43815"/>
    <cellStyle name="CALC Currency Total [2] 2 16" xfId="15146"/>
    <cellStyle name="CALC Currency Total [2] 2 16 10" xfId="43816"/>
    <cellStyle name="CALC Currency Total [2] 2 16 11" xfId="43817"/>
    <cellStyle name="CALC Currency Total [2] 2 16 2" xfId="16226"/>
    <cellStyle name="CALC Currency Total [2] 2 16 2 2" xfId="24539"/>
    <cellStyle name="CALC Currency Total [2] 2 16 2 2 2" xfId="43818"/>
    <cellStyle name="CALC Currency Total [2] 2 16 2 3" xfId="31814"/>
    <cellStyle name="CALC Currency Total [2] 2 16 2 4" xfId="43819"/>
    <cellStyle name="CALC Currency Total [2] 2 16 3" xfId="17192"/>
    <cellStyle name="CALC Currency Total [2] 2 16 3 2" xfId="25513"/>
    <cellStyle name="CALC Currency Total [2] 2 16 3 2 2" xfId="43820"/>
    <cellStyle name="CALC Currency Total [2] 2 16 3 3" xfId="32747"/>
    <cellStyle name="CALC Currency Total [2] 2 16 3 4" xfId="43821"/>
    <cellStyle name="CALC Currency Total [2] 2 16 4" xfId="18220"/>
    <cellStyle name="CALC Currency Total [2] 2 16 4 2" xfId="26540"/>
    <cellStyle name="CALC Currency Total [2] 2 16 4 2 2" xfId="43822"/>
    <cellStyle name="CALC Currency Total [2] 2 16 4 3" xfId="33725"/>
    <cellStyle name="CALC Currency Total [2] 2 16 4 4" xfId="43823"/>
    <cellStyle name="CALC Currency Total [2] 2 16 5" xfId="19204"/>
    <cellStyle name="CALC Currency Total [2] 2 16 5 2" xfId="27524"/>
    <cellStyle name="CALC Currency Total [2] 2 16 5 2 2" xfId="43824"/>
    <cellStyle name="CALC Currency Total [2] 2 16 5 3" xfId="34672"/>
    <cellStyle name="CALC Currency Total [2] 2 16 5 4" xfId="43825"/>
    <cellStyle name="CALC Currency Total [2] 2 16 6" xfId="20172"/>
    <cellStyle name="CALC Currency Total [2] 2 16 6 2" xfId="28494"/>
    <cellStyle name="CALC Currency Total [2] 2 16 6 2 2" xfId="43826"/>
    <cellStyle name="CALC Currency Total [2] 2 16 6 3" xfId="35617"/>
    <cellStyle name="CALC Currency Total [2] 2 16 6 4" xfId="43827"/>
    <cellStyle name="CALC Currency Total [2] 2 16 7" xfId="21633"/>
    <cellStyle name="CALC Currency Total [2] 2 16 7 2" xfId="29934"/>
    <cellStyle name="CALC Currency Total [2] 2 16 7 2 2" xfId="43828"/>
    <cellStyle name="CALC Currency Total [2] 2 16 7 3" xfId="36991"/>
    <cellStyle name="CALC Currency Total [2] 2 16 7 4" xfId="43829"/>
    <cellStyle name="CALC Currency Total [2] 2 16 8" xfId="22561"/>
    <cellStyle name="CALC Currency Total [2] 2 16 8 2" xfId="30857"/>
    <cellStyle name="CALC Currency Total [2] 2 16 8 2 2" xfId="43830"/>
    <cellStyle name="CALC Currency Total [2] 2 16 8 3" xfId="37874"/>
    <cellStyle name="CALC Currency Total [2] 2 16 8 4" xfId="43831"/>
    <cellStyle name="CALC Currency Total [2] 2 16 9" xfId="23503"/>
    <cellStyle name="CALC Currency Total [2] 2 16 9 2" xfId="43832"/>
    <cellStyle name="CALC Currency Total [2] 2 17" xfId="15166"/>
    <cellStyle name="CALC Currency Total [2] 2 17 10" xfId="43833"/>
    <cellStyle name="CALC Currency Total [2] 2 17 11" xfId="43834"/>
    <cellStyle name="CALC Currency Total [2] 2 17 2" xfId="16246"/>
    <cellStyle name="CALC Currency Total [2] 2 17 2 2" xfId="24559"/>
    <cellStyle name="CALC Currency Total [2] 2 17 2 2 2" xfId="43835"/>
    <cellStyle name="CALC Currency Total [2] 2 17 2 3" xfId="31832"/>
    <cellStyle name="CALC Currency Total [2] 2 17 2 4" xfId="43836"/>
    <cellStyle name="CALC Currency Total [2] 2 17 3" xfId="17212"/>
    <cellStyle name="CALC Currency Total [2] 2 17 3 2" xfId="25533"/>
    <cellStyle name="CALC Currency Total [2] 2 17 3 2 2" xfId="43837"/>
    <cellStyle name="CALC Currency Total [2] 2 17 3 3" xfId="32765"/>
    <cellStyle name="CALC Currency Total [2] 2 17 3 4" xfId="43838"/>
    <cellStyle name="CALC Currency Total [2] 2 17 4" xfId="18240"/>
    <cellStyle name="CALC Currency Total [2] 2 17 4 2" xfId="26560"/>
    <cellStyle name="CALC Currency Total [2] 2 17 4 2 2" xfId="43839"/>
    <cellStyle name="CALC Currency Total [2] 2 17 4 3" xfId="33743"/>
    <cellStyle name="CALC Currency Total [2] 2 17 4 4" xfId="43840"/>
    <cellStyle name="CALC Currency Total [2] 2 17 5" xfId="19224"/>
    <cellStyle name="CALC Currency Total [2] 2 17 5 2" xfId="27544"/>
    <cellStyle name="CALC Currency Total [2] 2 17 5 2 2" xfId="43841"/>
    <cellStyle name="CALC Currency Total [2] 2 17 5 3" xfId="34692"/>
    <cellStyle name="CALC Currency Total [2] 2 17 5 4" xfId="43842"/>
    <cellStyle name="CALC Currency Total [2] 2 17 6" xfId="20192"/>
    <cellStyle name="CALC Currency Total [2] 2 17 6 2" xfId="28514"/>
    <cellStyle name="CALC Currency Total [2] 2 17 6 2 2" xfId="43843"/>
    <cellStyle name="CALC Currency Total [2] 2 17 6 3" xfId="35635"/>
    <cellStyle name="CALC Currency Total [2] 2 17 6 4" xfId="43844"/>
    <cellStyle name="CALC Currency Total [2] 2 17 7" xfId="21653"/>
    <cellStyle name="CALC Currency Total [2] 2 17 7 2" xfId="29954"/>
    <cellStyle name="CALC Currency Total [2] 2 17 7 2 2" xfId="43845"/>
    <cellStyle name="CALC Currency Total [2] 2 17 7 3" xfId="37009"/>
    <cellStyle name="CALC Currency Total [2] 2 17 7 4" xfId="43846"/>
    <cellStyle name="CALC Currency Total [2] 2 17 8" xfId="22581"/>
    <cellStyle name="CALC Currency Total [2] 2 17 8 2" xfId="30877"/>
    <cellStyle name="CALC Currency Total [2] 2 17 8 2 2" xfId="43847"/>
    <cellStyle name="CALC Currency Total [2] 2 17 8 3" xfId="37892"/>
    <cellStyle name="CALC Currency Total [2] 2 17 8 4" xfId="43848"/>
    <cellStyle name="CALC Currency Total [2] 2 17 9" xfId="23523"/>
    <cellStyle name="CALC Currency Total [2] 2 17 9 2" xfId="43849"/>
    <cellStyle name="CALC Currency Total [2] 2 18" xfId="15188"/>
    <cellStyle name="CALC Currency Total [2] 2 18 10" xfId="43850"/>
    <cellStyle name="CALC Currency Total [2] 2 18 11" xfId="43851"/>
    <cellStyle name="CALC Currency Total [2] 2 18 2" xfId="16268"/>
    <cellStyle name="CALC Currency Total [2] 2 18 2 2" xfId="24581"/>
    <cellStyle name="CALC Currency Total [2] 2 18 2 2 2" xfId="43852"/>
    <cellStyle name="CALC Currency Total [2] 2 18 2 3" xfId="31853"/>
    <cellStyle name="CALC Currency Total [2] 2 18 2 4" xfId="43853"/>
    <cellStyle name="CALC Currency Total [2] 2 18 3" xfId="17234"/>
    <cellStyle name="CALC Currency Total [2] 2 18 3 2" xfId="25555"/>
    <cellStyle name="CALC Currency Total [2] 2 18 3 2 2" xfId="43854"/>
    <cellStyle name="CALC Currency Total [2] 2 18 3 3" xfId="32786"/>
    <cellStyle name="CALC Currency Total [2] 2 18 3 4" xfId="43855"/>
    <cellStyle name="CALC Currency Total [2] 2 18 4" xfId="18262"/>
    <cellStyle name="CALC Currency Total [2] 2 18 4 2" xfId="26582"/>
    <cellStyle name="CALC Currency Total [2] 2 18 4 2 2" xfId="43856"/>
    <cellStyle name="CALC Currency Total [2] 2 18 4 3" xfId="33764"/>
    <cellStyle name="CALC Currency Total [2] 2 18 4 4" xfId="43857"/>
    <cellStyle name="CALC Currency Total [2] 2 18 5" xfId="19246"/>
    <cellStyle name="CALC Currency Total [2] 2 18 5 2" xfId="27566"/>
    <cellStyle name="CALC Currency Total [2] 2 18 5 2 2" xfId="43858"/>
    <cellStyle name="CALC Currency Total [2] 2 18 5 3" xfId="34714"/>
    <cellStyle name="CALC Currency Total [2] 2 18 5 4" xfId="43859"/>
    <cellStyle name="CALC Currency Total [2] 2 18 6" xfId="20214"/>
    <cellStyle name="CALC Currency Total [2] 2 18 6 2" xfId="28536"/>
    <cellStyle name="CALC Currency Total [2] 2 18 6 2 2" xfId="43860"/>
    <cellStyle name="CALC Currency Total [2] 2 18 6 3" xfId="35656"/>
    <cellStyle name="CALC Currency Total [2] 2 18 6 4" xfId="43861"/>
    <cellStyle name="CALC Currency Total [2] 2 18 7" xfId="21675"/>
    <cellStyle name="CALC Currency Total [2] 2 18 7 2" xfId="29976"/>
    <cellStyle name="CALC Currency Total [2] 2 18 7 2 2" xfId="43862"/>
    <cellStyle name="CALC Currency Total [2] 2 18 7 3" xfId="37030"/>
    <cellStyle name="CALC Currency Total [2] 2 18 7 4" xfId="43863"/>
    <cellStyle name="CALC Currency Total [2] 2 18 8" xfId="22603"/>
    <cellStyle name="CALC Currency Total [2] 2 18 8 2" xfId="30899"/>
    <cellStyle name="CALC Currency Total [2] 2 18 8 2 2" xfId="43864"/>
    <cellStyle name="CALC Currency Total [2] 2 18 8 3" xfId="37913"/>
    <cellStyle name="CALC Currency Total [2] 2 18 8 4" xfId="43865"/>
    <cellStyle name="CALC Currency Total [2] 2 18 9" xfId="23545"/>
    <cellStyle name="CALC Currency Total [2] 2 18 9 2" xfId="43866"/>
    <cellStyle name="CALC Currency Total [2] 2 19" xfId="15204"/>
    <cellStyle name="CALC Currency Total [2] 2 19 10" xfId="43867"/>
    <cellStyle name="CALC Currency Total [2] 2 19 11" xfId="43868"/>
    <cellStyle name="CALC Currency Total [2] 2 19 2" xfId="16284"/>
    <cellStyle name="CALC Currency Total [2] 2 19 2 2" xfId="24597"/>
    <cellStyle name="CALC Currency Total [2] 2 19 2 2 2" xfId="43869"/>
    <cellStyle name="CALC Currency Total [2] 2 19 2 3" xfId="31867"/>
    <cellStyle name="CALC Currency Total [2] 2 19 2 4" xfId="43870"/>
    <cellStyle name="CALC Currency Total [2] 2 19 3" xfId="17250"/>
    <cellStyle name="CALC Currency Total [2] 2 19 3 2" xfId="25571"/>
    <cellStyle name="CALC Currency Total [2] 2 19 3 2 2" xfId="43871"/>
    <cellStyle name="CALC Currency Total [2] 2 19 3 3" xfId="32800"/>
    <cellStyle name="CALC Currency Total [2] 2 19 3 4" xfId="43872"/>
    <cellStyle name="CALC Currency Total [2] 2 19 4" xfId="18278"/>
    <cellStyle name="CALC Currency Total [2] 2 19 4 2" xfId="26598"/>
    <cellStyle name="CALC Currency Total [2] 2 19 4 2 2" xfId="43873"/>
    <cellStyle name="CALC Currency Total [2] 2 19 4 3" xfId="33778"/>
    <cellStyle name="CALC Currency Total [2] 2 19 4 4" xfId="43874"/>
    <cellStyle name="CALC Currency Total [2] 2 19 5" xfId="19262"/>
    <cellStyle name="CALC Currency Total [2] 2 19 5 2" xfId="27582"/>
    <cellStyle name="CALC Currency Total [2] 2 19 5 2 2" xfId="43875"/>
    <cellStyle name="CALC Currency Total [2] 2 19 5 3" xfId="34730"/>
    <cellStyle name="CALC Currency Total [2] 2 19 5 4" xfId="43876"/>
    <cellStyle name="CALC Currency Total [2] 2 19 6" xfId="20230"/>
    <cellStyle name="CALC Currency Total [2] 2 19 6 2" xfId="28552"/>
    <cellStyle name="CALC Currency Total [2] 2 19 6 2 2" xfId="43877"/>
    <cellStyle name="CALC Currency Total [2] 2 19 6 3" xfId="35670"/>
    <cellStyle name="CALC Currency Total [2] 2 19 6 4" xfId="43878"/>
    <cellStyle name="CALC Currency Total [2] 2 19 7" xfId="21691"/>
    <cellStyle name="CALC Currency Total [2] 2 19 7 2" xfId="29992"/>
    <cellStyle name="CALC Currency Total [2] 2 19 7 2 2" xfId="43879"/>
    <cellStyle name="CALC Currency Total [2] 2 19 7 3" xfId="37044"/>
    <cellStyle name="CALC Currency Total [2] 2 19 7 4" xfId="43880"/>
    <cellStyle name="CALC Currency Total [2] 2 19 8" xfId="22619"/>
    <cellStyle name="CALC Currency Total [2] 2 19 8 2" xfId="30915"/>
    <cellStyle name="CALC Currency Total [2] 2 19 8 2 2" xfId="43881"/>
    <cellStyle name="CALC Currency Total [2] 2 19 8 3" xfId="37927"/>
    <cellStyle name="CALC Currency Total [2] 2 19 8 4" xfId="43882"/>
    <cellStyle name="CALC Currency Total [2] 2 19 9" xfId="23561"/>
    <cellStyle name="CALC Currency Total [2] 2 19 9 2" xfId="43883"/>
    <cellStyle name="CALC Currency Total [2] 2 2" xfId="14516"/>
    <cellStyle name="CALC Currency Total [2] 2 2 2" xfId="15578"/>
    <cellStyle name="CALC Currency Total [2] 2 2 2 2" xfId="43884"/>
    <cellStyle name="CALC Currency Total [2] 2 2 2 2 2" xfId="43885"/>
    <cellStyle name="CALC Currency Total [2] 2 2 3" xfId="17704"/>
    <cellStyle name="CALC Currency Total [2] 2 2 3 2" xfId="43886"/>
    <cellStyle name="CALC Currency Total [2] 2 20" xfId="15269"/>
    <cellStyle name="CALC Currency Total [2] 2 20 10" xfId="43887"/>
    <cellStyle name="CALC Currency Total [2] 2 20 11" xfId="43888"/>
    <cellStyle name="CALC Currency Total [2] 2 20 2" xfId="16349"/>
    <cellStyle name="CALC Currency Total [2] 2 20 2 2" xfId="24662"/>
    <cellStyle name="CALC Currency Total [2] 2 20 2 2 2" xfId="43889"/>
    <cellStyle name="CALC Currency Total [2] 2 20 2 3" xfId="31929"/>
    <cellStyle name="CALC Currency Total [2] 2 20 2 4" xfId="43890"/>
    <cellStyle name="CALC Currency Total [2] 2 20 3" xfId="17315"/>
    <cellStyle name="CALC Currency Total [2] 2 20 3 2" xfId="25636"/>
    <cellStyle name="CALC Currency Total [2] 2 20 3 2 2" xfId="43891"/>
    <cellStyle name="CALC Currency Total [2] 2 20 3 3" xfId="32862"/>
    <cellStyle name="CALC Currency Total [2] 2 20 3 4" xfId="43892"/>
    <cellStyle name="CALC Currency Total [2] 2 20 4" xfId="18343"/>
    <cellStyle name="CALC Currency Total [2] 2 20 4 2" xfId="26663"/>
    <cellStyle name="CALC Currency Total [2] 2 20 4 2 2" xfId="43893"/>
    <cellStyle name="CALC Currency Total [2] 2 20 4 3" xfId="33840"/>
    <cellStyle name="CALC Currency Total [2] 2 20 4 4" xfId="43894"/>
    <cellStyle name="CALC Currency Total [2] 2 20 5" xfId="19327"/>
    <cellStyle name="CALC Currency Total [2] 2 20 5 2" xfId="27647"/>
    <cellStyle name="CALC Currency Total [2] 2 20 5 2 2" xfId="43895"/>
    <cellStyle name="CALC Currency Total [2] 2 20 5 3" xfId="34795"/>
    <cellStyle name="CALC Currency Total [2] 2 20 5 4" xfId="43896"/>
    <cellStyle name="CALC Currency Total [2] 2 20 6" xfId="20295"/>
    <cellStyle name="CALC Currency Total [2] 2 20 6 2" xfId="28617"/>
    <cellStyle name="CALC Currency Total [2] 2 20 6 2 2" xfId="43897"/>
    <cellStyle name="CALC Currency Total [2] 2 20 6 3" xfId="35732"/>
    <cellStyle name="CALC Currency Total [2] 2 20 6 4" xfId="43898"/>
    <cellStyle name="CALC Currency Total [2] 2 20 7" xfId="21756"/>
    <cellStyle name="CALC Currency Total [2] 2 20 7 2" xfId="30057"/>
    <cellStyle name="CALC Currency Total [2] 2 20 7 2 2" xfId="43899"/>
    <cellStyle name="CALC Currency Total [2] 2 20 7 3" xfId="37106"/>
    <cellStyle name="CALC Currency Total [2] 2 20 7 4" xfId="43900"/>
    <cellStyle name="CALC Currency Total [2] 2 20 8" xfId="22684"/>
    <cellStyle name="CALC Currency Total [2] 2 20 8 2" xfId="30980"/>
    <cellStyle name="CALC Currency Total [2] 2 20 8 2 2" xfId="43901"/>
    <cellStyle name="CALC Currency Total [2] 2 20 8 3" xfId="37989"/>
    <cellStyle name="CALC Currency Total [2] 2 20 8 4" xfId="43902"/>
    <cellStyle name="CALC Currency Total [2] 2 20 9" xfId="23626"/>
    <cellStyle name="CALC Currency Total [2] 2 20 9 2" xfId="43903"/>
    <cellStyle name="CALC Currency Total [2] 2 21" xfId="15285"/>
    <cellStyle name="CALC Currency Total [2] 2 21 10" xfId="43904"/>
    <cellStyle name="CALC Currency Total [2] 2 21 11" xfId="43905"/>
    <cellStyle name="CALC Currency Total [2] 2 21 2" xfId="16365"/>
    <cellStyle name="CALC Currency Total [2] 2 21 2 2" xfId="24678"/>
    <cellStyle name="CALC Currency Total [2] 2 21 2 2 2" xfId="43906"/>
    <cellStyle name="CALC Currency Total [2] 2 21 2 3" xfId="31945"/>
    <cellStyle name="CALC Currency Total [2] 2 21 2 4" xfId="43907"/>
    <cellStyle name="CALC Currency Total [2] 2 21 3" xfId="17331"/>
    <cellStyle name="CALC Currency Total [2] 2 21 3 2" xfId="25652"/>
    <cellStyle name="CALC Currency Total [2] 2 21 3 2 2" xfId="43908"/>
    <cellStyle name="CALC Currency Total [2] 2 21 3 3" xfId="32878"/>
    <cellStyle name="CALC Currency Total [2] 2 21 3 4" xfId="43909"/>
    <cellStyle name="CALC Currency Total [2] 2 21 4" xfId="18359"/>
    <cellStyle name="CALC Currency Total [2] 2 21 4 2" xfId="26679"/>
    <cellStyle name="CALC Currency Total [2] 2 21 4 2 2" xfId="43910"/>
    <cellStyle name="CALC Currency Total [2] 2 21 4 3" xfId="33856"/>
    <cellStyle name="CALC Currency Total [2] 2 21 4 4" xfId="43911"/>
    <cellStyle name="CALC Currency Total [2] 2 21 5" xfId="19343"/>
    <cellStyle name="CALC Currency Total [2] 2 21 5 2" xfId="27663"/>
    <cellStyle name="CALC Currency Total [2] 2 21 5 2 2" xfId="43912"/>
    <cellStyle name="CALC Currency Total [2] 2 21 5 3" xfId="34811"/>
    <cellStyle name="CALC Currency Total [2] 2 21 5 4" xfId="43913"/>
    <cellStyle name="CALC Currency Total [2] 2 21 6" xfId="20311"/>
    <cellStyle name="CALC Currency Total [2] 2 21 6 2" xfId="28633"/>
    <cellStyle name="CALC Currency Total [2] 2 21 6 2 2" xfId="43914"/>
    <cellStyle name="CALC Currency Total [2] 2 21 6 3" xfId="35748"/>
    <cellStyle name="CALC Currency Total [2] 2 21 6 4" xfId="43915"/>
    <cellStyle name="CALC Currency Total [2] 2 21 7" xfId="21772"/>
    <cellStyle name="CALC Currency Total [2] 2 21 7 2" xfId="30073"/>
    <cellStyle name="CALC Currency Total [2] 2 21 7 2 2" xfId="43916"/>
    <cellStyle name="CALC Currency Total [2] 2 21 7 3" xfId="37122"/>
    <cellStyle name="CALC Currency Total [2] 2 21 7 4" xfId="43917"/>
    <cellStyle name="CALC Currency Total [2] 2 21 8" xfId="22700"/>
    <cellStyle name="CALC Currency Total [2] 2 21 8 2" xfId="30996"/>
    <cellStyle name="CALC Currency Total [2] 2 21 8 2 2" xfId="43918"/>
    <cellStyle name="CALC Currency Total [2] 2 21 8 3" xfId="38005"/>
    <cellStyle name="CALC Currency Total [2] 2 21 8 4" xfId="43919"/>
    <cellStyle name="CALC Currency Total [2] 2 21 9" xfId="23642"/>
    <cellStyle name="CALC Currency Total [2] 2 21 9 2" xfId="43920"/>
    <cellStyle name="CALC Currency Total [2] 2 22" xfId="15293"/>
    <cellStyle name="CALC Currency Total [2] 2 22 10" xfId="43921"/>
    <cellStyle name="CALC Currency Total [2] 2 22 11" xfId="43922"/>
    <cellStyle name="CALC Currency Total [2] 2 22 2" xfId="16373"/>
    <cellStyle name="CALC Currency Total [2] 2 22 2 2" xfId="24686"/>
    <cellStyle name="CALC Currency Total [2] 2 22 2 2 2" xfId="43923"/>
    <cellStyle name="CALC Currency Total [2] 2 22 2 3" xfId="31952"/>
    <cellStyle name="CALC Currency Total [2] 2 22 2 4" xfId="43924"/>
    <cellStyle name="CALC Currency Total [2] 2 22 3" xfId="17339"/>
    <cellStyle name="CALC Currency Total [2] 2 22 3 2" xfId="25660"/>
    <cellStyle name="CALC Currency Total [2] 2 22 3 2 2" xfId="43925"/>
    <cellStyle name="CALC Currency Total [2] 2 22 3 3" xfId="32885"/>
    <cellStyle name="CALC Currency Total [2] 2 22 3 4" xfId="43926"/>
    <cellStyle name="CALC Currency Total [2] 2 22 4" xfId="18367"/>
    <cellStyle name="CALC Currency Total [2] 2 22 4 2" xfId="26687"/>
    <cellStyle name="CALC Currency Total [2] 2 22 4 2 2" xfId="43927"/>
    <cellStyle name="CALC Currency Total [2] 2 22 4 3" xfId="33863"/>
    <cellStyle name="CALC Currency Total [2] 2 22 4 4" xfId="43928"/>
    <cellStyle name="CALC Currency Total [2] 2 22 5" xfId="19350"/>
    <cellStyle name="CALC Currency Total [2] 2 22 5 2" xfId="27671"/>
    <cellStyle name="CALC Currency Total [2] 2 22 5 2 2" xfId="43929"/>
    <cellStyle name="CALC Currency Total [2] 2 22 5 3" xfId="34819"/>
    <cellStyle name="CALC Currency Total [2] 2 22 5 4" xfId="43930"/>
    <cellStyle name="CALC Currency Total [2] 2 22 6" xfId="20319"/>
    <cellStyle name="CALC Currency Total [2] 2 22 6 2" xfId="28641"/>
    <cellStyle name="CALC Currency Total [2] 2 22 6 2 2" xfId="43931"/>
    <cellStyle name="CALC Currency Total [2] 2 22 6 3" xfId="35755"/>
    <cellStyle name="CALC Currency Total [2] 2 22 6 4" xfId="43932"/>
    <cellStyle name="CALC Currency Total [2] 2 22 7" xfId="21780"/>
    <cellStyle name="CALC Currency Total [2] 2 22 7 2" xfId="30081"/>
    <cellStyle name="CALC Currency Total [2] 2 22 7 2 2" xfId="43933"/>
    <cellStyle name="CALC Currency Total [2] 2 22 7 3" xfId="37129"/>
    <cellStyle name="CALC Currency Total [2] 2 22 7 4" xfId="43934"/>
    <cellStyle name="CALC Currency Total [2] 2 22 8" xfId="22708"/>
    <cellStyle name="CALC Currency Total [2] 2 22 8 2" xfId="31004"/>
    <cellStyle name="CALC Currency Total [2] 2 22 8 2 2" xfId="43935"/>
    <cellStyle name="CALC Currency Total [2] 2 22 8 3" xfId="38012"/>
    <cellStyle name="CALC Currency Total [2] 2 22 8 4" xfId="43936"/>
    <cellStyle name="CALC Currency Total [2] 2 22 9" xfId="23650"/>
    <cellStyle name="CALC Currency Total [2] 2 22 9 2" xfId="43937"/>
    <cellStyle name="CALC Currency Total [2] 2 23" xfId="15378"/>
    <cellStyle name="CALC Currency Total [2] 2 23 10" xfId="43938"/>
    <cellStyle name="CALC Currency Total [2] 2 23 11" xfId="43939"/>
    <cellStyle name="CALC Currency Total [2] 2 23 2" xfId="16458"/>
    <cellStyle name="CALC Currency Total [2] 2 23 2 2" xfId="24771"/>
    <cellStyle name="CALC Currency Total [2] 2 23 2 2 2" xfId="43940"/>
    <cellStyle name="CALC Currency Total [2] 2 23 2 3" xfId="32035"/>
    <cellStyle name="CALC Currency Total [2] 2 23 2 4" xfId="43941"/>
    <cellStyle name="CALC Currency Total [2] 2 23 3" xfId="17424"/>
    <cellStyle name="CALC Currency Total [2] 2 23 3 2" xfId="25745"/>
    <cellStyle name="CALC Currency Total [2] 2 23 3 2 2" xfId="43942"/>
    <cellStyle name="CALC Currency Total [2] 2 23 3 3" xfId="32968"/>
    <cellStyle name="CALC Currency Total [2] 2 23 3 4" xfId="43943"/>
    <cellStyle name="CALC Currency Total [2] 2 23 4" xfId="18452"/>
    <cellStyle name="CALC Currency Total [2] 2 23 4 2" xfId="26772"/>
    <cellStyle name="CALC Currency Total [2] 2 23 4 2 2" xfId="43944"/>
    <cellStyle name="CALC Currency Total [2] 2 23 4 3" xfId="33946"/>
    <cellStyle name="CALC Currency Total [2] 2 23 4 4" xfId="43945"/>
    <cellStyle name="CALC Currency Total [2] 2 23 5" xfId="19435"/>
    <cellStyle name="CALC Currency Total [2] 2 23 5 2" xfId="27756"/>
    <cellStyle name="CALC Currency Total [2] 2 23 5 2 2" xfId="43946"/>
    <cellStyle name="CALC Currency Total [2] 2 23 5 3" xfId="34904"/>
    <cellStyle name="CALC Currency Total [2] 2 23 5 4" xfId="43947"/>
    <cellStyle name="CALC Currency Total [2] 2 23 6" xfId="20404"/>
    <cellStyle name="CALC Currency Total [2] 2 23 6 2" xfId="28726"/>
    <cellStyle name="CALC Currency Total [2] 2 23 6 2 2" xfId="43948"/>
    <cellStyle name="CALC Currency Total [2] 2 23 6 3" xfId="35838"/>
    <cellStyle name="CALC Currency Total [2] 2 23 6 4" xfId="43949"/>
    <cellStyle name="CALC Currency Total [2] 2 23 7" xfId="21865"/>
    <cellStyle name="CALC Currency Total [2] 2 23 7 2" xfId="30166"/>
    <cellStyle name="CALC Currency Total [2] 2 23 7 2 2" xfId="43950"/>
    <cellStyle name="CALC Currency Total [2] 2 23 7 3" xfId="37211"/>
    <cellStyle name="CALC Currency Total [2] 2 23 7 4" xfId="43951"/>
    <cellStyle name="CALC Currency Total [2] 2 23 8" xfId="22793"/>
    <cellStyle name="CALC Currency Total [2] 2 23 8 2" xfId="31089"/>
    <cellStyle name="CALC Currency Total [2] 2 23 8 2 2" xfId="43952"/>
    <cellStyle name="CALC Currency Total [2] 2 23 8 3" xfId="38095"/>
    <cellStyle name="CALC Currency Total [2] 2 23 8 4" xfId="43953"/>
    <cellStyle name="CALC Currency Total [2] 2 23 9" xfId="23735"/>
    <cellStyle name="CALC Currency Total [2] 2 23 9 2" xfId="43954"/>
    <cellStyle name="CALC Currency Total [2] 2 24" xfId="15392"/>
    <cellStyle name="CALC Currency Total [2] 2 24 10" xfId="43955"/>
    <cellStyle name="CALC Currency Total [2] 2 24 11" xfId="43956"/>
    <cellStyle name="CALC Currency Total [2] 2 24 2" xfId="16472"/>
    <cellStyle name="CALC Currency Total [2] 2 24 2 2" xfId="24785"/>
    <cellStyle name="CALC Currency Total [2] 2 24 2 2 2" xfId="43957"/>
    <cellStyle name="CALC Currency Total [2] 2 24 2 3" xfId="32049"/>
    <cellStyle name="CALC Currency Total [2] 2 24 2 4" xfId="43958"/>
    <cellStyle name="CALC Currency Total [2] 2 24 3" xfId="17438"/>
    <cellStyle name="CALC Currency Total [2] 2 24 3 2" xfId="25759"/>
    <cellStyle name="CALC Currency Total [2] 2 24 3 2 2" xfId="43959"/>
    <cellStyle name="CALC Currency Total [2] 2 24 3 3" xfId="32982"/>
    <cellStyle name="CALC Currency Total [2] 2 24 3 4" xfId="43960"/>
    <cellStyle name="CALC Currency Total [2] 2 24 4" xfId="18466"/>
    <cellStyle name="CALC Currency Total [2] 2 24 4 2" xfId="26786"/>
    <cellStyle name="CALC Currency Total [2] 2 24 4 2 2" xfId="43961"/>
    <cellStyle name="CALC Currency Total [2] 2 24 4 3" xfId="33960"/>
    <cellStyle name="CALC Currency Total [2] 2 24 4 4" xfId="43962"/>
    <cellStyle name="CALC Currency Total [2] 2 24 5" xfId="19449"/>
    <cellStyle name="CALC Currency Total [2] 2 24 5 2" xfId="27770"/>
    <cellStyle name="CALC Currency Total [2] 2 24 5 2 2" xfId="43963"/>
    <cellStyle name="CALC Currency Total [2] 2 24 5 3" xfId="34918"/>
    <cellStyle name="CALC Currency Total [2] 2 24 5 4" xfId="43964"/>
    <cellStyle name="CALC Currency Total [2] 2 24 6" xfId="20418"/>
    <cellStyle name="CALC Currency Total [2] 2 24 6 2" xfId="28740"/>
    <cellStyle name="CALC Currency Total [2] 2 24 6 2 2" xfId="43965"/>
    <cellStyle name="CALC Currency Total [2] 2 24 6 3" xfId="35852"/>
    <cellStyle name="CALC Currency Total [2] 2 24 6 4" xfId="43966"/>
    <cellStyle name="CALC Currency Total [2] 2 24 7" xfId="21879"/>
    <cellStyle name="CALC Currency Total [2] 2 24 7 2" xfId="30180"/>
    <cellStyle name="CALC Currency Total [2] 2 24 7 2 2" xfId="43967"/>
    <cellStyle name="CALC Currency Total [2] 2 24 7 3" xfId="37225"/>
    <cellStyle name="CALC Currency Total [2] 2 24 7 4" xfId="43968"/>
    <cellStyle name="CALC Currency Total [2] 2 24 8" xfId="22807"/>
    <cellStyle name="CALC Currency Total [2] 2 24 8 2" xfId="31103"/>
    <cellStyle name="CALC Currency Total [2] 2 24 8 2 2" xfId="43969"/>
    <cellStyle name="CALC Currency Total [2] 2 24 8 3" xfId="38109"/>
    <cellStyle name="CALC Currency Total [2] 2 24 8 4" xfId="43970"/>
    <cellStyle name="CALC Currency Total [2] 2 24 9" xfId="23749"/>
    <cellStyle name="CALC Currency Total [2] 2 24 9 2" xfId="43971"/>
    <cellStyle name="CALC Currency Total [2] 2 25" xfId="15408"/>
    <cellStyle name="CALC Currency Total [2] 2 25 10" xfId="43972"/>
    <cellStyle name="CALC Currency Total [2] 2 25 11" xfId="43973"/>
    <cellStyle name="CALC Currency Total [2] 2 25 2" xfId="16488"/>
    <cellStyle name="CALC Currency Total [2] 2 25 2 2" xfId="24801"/>
    <cellStyle name="CALC Currency Total [2] 2 25 2 2 2" xfId="43974"/>
    <cellStyle name="CALC Currency Total [2] 2 25 2 3" xfId="32063"/>
    <cellStyle name="CALC Currency Total [2] 2 25 2 4" xfId="43975"/>
    <cellStyle name="CALC Currency Total [2] 2 25 3" xfId="17454"/>
    <cellStyle name="CALC Currency Total [2] 2 25 3 2" xfId="25775"/>
    <cellStyle name="CALC Currency Total [2] 2 25 3 2 2" xfId="43976"/>
    <cellStyle name="CALC Currency Total [2] 2 25 3 3" xfId="32996"/>
    <cellStyle name="CALC Currency Total [2] 2 25 3 4" xfId="43977"/>
    <cellStyle name="CALC Currency Total [2] 2 25 4" xfId="18482"/>
    <cellStyle name="CALC Currency Total [2] 2 25 4 2" xfId="26802"/>
    <cellStyle name="CALC Currency Total [2] 2 25 4 2 2" xfId="43978"/>
    <cellStyle name="CALC Currency Total [2] 2 25 4 3" xfId="33974"/>
    <cellStyle name="CALC Currency Total [2] 2 25 4 4" xfId="43979"/>
    <cellStyle name="CALC Currency Total [2] 2 25 5" xfId="19465"/>
    <cellStyle name="CALC Currency Total [2] 2 25 5 2" xfId="27786"/>
    <cellStyle name="CALC Currency Total [2] 2 25 5 2 2" xfId="43980"/>
    <cellStyle name="CALC Currency Total [2] 2 25 5 3" xfId="34934"/>
    <cellStyle name="CALC Currency Total [2] 2 25 5 4" xfId="43981"/>
    <cellStyle name="CALC Currency Total [2] 2 25 6" xfId="20434"/>
    <cellStyle name="CALC Currency Total [2] 2 25 6 2" xfId="28756"/>
    <cellStyle name="CALC Currency Total [2] 2 25 6 2 2" xfId="43982"/>
    <cellStyle name="CALC Currency Total [2] 2 25 6 3" xfId="35866"/>
    <cellStyle name="CALC Currency Total [2] 2 25 6 4" xfId="43983"/>
    <cellStyle name="CALC Currency Total [2] 2 25 7" xfId="21895"/>
    <cellStyle name="CALC Currency Total [2] 2 25 7 2" xfId="30196"/>
    <cellStyle name="CALC Currency Total [2] 2 25 7 2 2" xfId="43984"/>
    <cellStyle name="CALC Currency Total [2] 2 25 7 3" xfId="37239"/>
    <cellStyle name="CALC Currency Total [2] 2 25 7 4" xfId="43985"/>
    <cellStyle name="CALC Currency Total [2] 2 25 8" xfId="22823"/>
    <cellStyle name="CALC Currency Total [2] 2 25 8 2" xfId="31119"/>
    <cellStyle name="CALC Currency Total [2] 2 25 8 2 2" xfId="43986"/>
    <cellStyle name="CALC Currency Total [2] 2 25 8 3" xfId="38123"/>
    <cellStyle name="CALC Currency Total [2] 2 25 8 4" xfId="43987"/>
    <cellStyle name="CALC Currency Total [2] 2 25 9" xfId="23765"/>
    <cellStyle name="CALC Currency Total [2] 2 25 9 2" xfId="43988"/>
    <cellStyle name="CALC Currency Total [2] 2 26" xfId="15424"/>
    <cellStyle name="CALC Currency Total [2] 2 26 10" xfId="43989"/>
    <cellStyle name="CALC Currency Total [2] 2 26 11" xfId="43990"/>
    <cellStyle name="CALC Currency Total [2] 2 26 2" xfId="16504"/>
    <cellStyle name="CALC Currency Total [2] 2 26 2 2" xfId="24817"/>
    <cellStyle name="CALC Currency Total [2] 2 26 2 2 2" xfId="43991"/>
    <cellStyle name="CALC Currency Total [2] 2 26 2 3" xfId="32078"/>
    <cellStyle name="CALC Currency Total [2] 2 26 2 4" xfId="43992"/>
    <cellStyle name="CALC Currency Total [2] 2 26 3" xfId="17470"/>
    <cellStyle name="CALC Currency Total [2] 2 26 3 2" xfId="25791"/>
    <cellStyle name="CALC Currency Total [2] 2 26 3 2 2" xfId="43993"/>
    <cellStyle name="CALC Currency Total [2] 2 26 3 3" xfId="33011"/>
    <cellStyle name="CALC Currency Total [2] 2 26 3 4" xfId="43994"/>
    <cellStyle name="CALC Currency Total [2] 2 26 4" xfId="18498"/>
    <cellStyle name="CALC Currency Total [2] 2 26 4 2" xfId="26818"/>
    <cellStyle name="CALC Currency Total [2] 2 26 4 2 2" xfId="43995"/>
    <cellStyle name="CALC Currency Total [2] 2 26 4 3" xfId="33989"/>
    <cellStyle name="CALC Currency Total [2] 2 26 4 4" xfId="43996"/>
    <cellStyle name="CALC Currency Total [2] 2 26 5" xfId="19481"/>
    <cellStyle name="CALC Currency Total [2] 2 26 5 2" xfId="27802"/>
    <cellStyle name="CALC Currency Total [2] 2 26 5 2 2" xfId="43997"/>
    <cellStyle name="CALC Currency Total [2] 2 26 5 3" xfId="34950"/>
    <cellStyle name="CALC Currency Total [2] 2 26 5 4" xfId="43998"/>
    <cellStyle name="CALC Currency Total [2] 2 26 6" xfId="20450"/>
    <cellStyle name="CALC Currency Total [2] 2 26 6 2" xfId="28772"/>
    <cellStyle name="CALC Currency Total [2] 2 26 6 2 2" xfId="43999"/>
    <cellStyle name="CALC Currency Total [2] 2 26 6 3" xfId="35881"/>
    <cellStyle name="CALC Currency Total [2] 2 26 6 4" xfId="44000"/>
    <cellStyle name="CALC Currency Total [2] 2 26 7" xfId="21911"/>
    <cellStyle name="CALC Currency Total [2] 2 26 7 2" xfId="30212"/>
    <cellStyle name="CALC Currency Total [2] 2 26 7 2 2" xfId="44001"/>
    <cellStyle name="CALC Currency Total [2] 2 26 7 3" xfId="37254"/>
    <cellStyle name="CALC Currency Total [2] 2 26 7 4" xfId="44002"/>
    <cellStyle name="CALC Currency Total [2] 2 26 8" xfId="22839"/>
    <cellStyle name="CALC Currency Total [2] 2 26 8 2" xfId="31135"/>
    <cellStyle name="CALC Currency Total [2] 2 26 8 2 2" xfId="44003"/>
    <cellStyle name="CALC Currency Total [2] 2 26 8 3" xfId="38138"/>
    <cellStyle name="CALC Currency Total [2] 2 26 8 4" xfId="44004"/>
    <cellStyle name="CALC Currency Total [2] 2 26 9" xfId="23781"/>
    <cellStyle name="CALC Currency Total [2] 2 26 9 2" xfId="44005"/>
    <cellStyle name="CALC Currency Total [2] 2 27" xfId="15438"/>
    <cellStyle name="CALC Currency Total [2] 2 27 10" xfId="44006"/>
    <cellStyle name="CALC Currency Total [2] 2 27 11" xfId="44007"/>
    <cellStyle name="CALC Currency Total [2] 2 27 2" xfId="16518"/>
    <cellStyle name="CALC Currency Total [2] 2 27 2 2" xfId="24831"/>
    <cellStyle name="CALC Currency Total [2] 2 27 2 2 2" xfId="44008"/>
    <cellStyle name="CALC Currency Total [2] 2 27 2 3" xfId="32092"/>
    <cellStyle name="CALC Currency Total [2] 2 27 2 4" xfId="44009"/>
    <cellStyle name="CALC Currency Total [2] 2 27 3" xfId="17484"/>
    <cellStyle name="CALC Currency Total [2] 2 27 3 2" xfId="25805"/>
    <cellStyle name="CALC Currency Total [2] 2 27 3 2 2" xfId="44010"/>
    <cellStyle name="CALC Currency Total [2] 2 27 3 3" xfId="33025"/>
    <cellStyle name="CALC Currency Total [2] 2 27 3 4" xfId="44011"/>
    <cellStyle name="CALC Currency Total [2] 2 27 4" xfId="18512"/>
    <cellStyle name="CALC Currency Total [2] 2 27 4 2" xfId="26832"/>
    <cellStyle name="CALC Currency Total [2] 2 27 4 2 2" xfId="44012"/>
    <cellStyle name="CALC Currency Total [2] 2 27 4 3" xfId="34003"/>
    <cellStyle name="CALC Currency Total [2] 2 27 4 4" xfId="44013"/>
    <cellStyle name="CALC Currency Total [2] 2 27 5" xfId="19495"/>
    <cellStyle name="CALC Currency Total [2] 2 27 5 2" xfId="27816"/>
    <cellStyle name="CALC Currency Total [2] 2 27 5 2 2" xfId="44014"/>
    <cellStyle name="CALC Currency Total [2] 2 27 5 3" xfId="34964"/>
    <cellStyle name="CALC Currency Total [2] 2 27 5 4" xfId="44015"/>
    <cellStyle name="CALC Currency Total [2] 2 27 6" xfId="20464"/>
    <cellStyle name="CALC Currency Total [2] 2 27 6 2" xfId="28786"/>
    <cellStyle name="CALC Currency Total [2] 2 27 6 2 2" xfId="44016"/>
    <cellStyle name="CALC Currency Total [2] 2 27 6 3" xfId="35895"/>
    <cellStyle name="CALC Currency Total [2] 2 27 6 4" xfId="44017"/>
    <cellStyle name="CALC Currency Total [2] 2 27 7" xfId="21925"/>
    <cellStyle name="CALC Currency Total [2] 2 27 7 2" xfId="30226"/>
    <cellStyle name="CALC Currency Total [2] 2 27 7 2 2" xfId="44018"/>
    <cellStyle name="CALC Currency Total [2] 2 27 7 3" xfId="37268"/>
    <cellStyle name="CALC Currency Total [2] 2 27 7 4" xfId="44019"/>
    <cellStyle name="CALC Currency Total [2] 2 27 8" xfId="22853"/>
    <cellStyle name="CALC Currency Total [2] 2 27 8 2" xfId="31149"/>
    <cellStyle name="CALC Currency Total [2] 2 27 8 2 2" xfId="44020"/>
    <cellStyle name="CALC Currency Total [2] 2 27 8 3" xfId="38152"/>
    <cellStyle name="CALC Currency Total [2] 2 27 8 4" xfId="44021"/>
    <cellStyle name="CALC Currency Total [2] 2 27 9" xfId="23795"/>
    <cellStyle name="CALC Currency Total [2] 2 27 9 2" xfId="44022"/>
    <cellStyle name="CALC Currency Total [2] 2 28" xfId="15452"/>
    <cellStyle name="CALC Currency Total [2] 2 28 10" xfId="44023"/>
    <cellStyle name="CALC Currency Total [2] 2 28 11" xfId="44024"/>
    <cellStyle name="CALC Currency Total [2] 2 28 2" xfId="16532"/>
    <cellStyle name="CALC Currency Total [2] 2 28 2 2" xfId="24845"/>
    <cellStyle name="CALC Currency Total [2] 2 28 2 2 2" xfId="44025"/>
    <cellStyle name="CALC Currency Total [2] 2 28 2 3" xfId="32106"/>
    <cellStyle name="CALC Currency Total [2] 2 28 2 4" xfId="44026"/>
    <cellStyle name="CALC Currency Total [2] 2 28 3" xfId="17498"/>
    <cellStyle name="CALC Currency Total [2] 2 28 3 2" xfId="25819"/>
    <cellStyle name="CALC Currency Total [2] 2 28 3 2 2" xfId="44027"/>
    <cellStyle name="CALC Currency Total [2] 2 28 3 3" xfId="33039"/>
    <cellStyle name="CALC Currency Total [2] 2 28 3 4" xfId="44028"/>
    <cellStyle name="CALC Currency Total [2] 2 28 4" xfId="18526"/>
    <cellStyle name="CALC Currency Total [2] 2 28 4 2" xfId="26846"/>
    <cellStyle name="CALC Currency Total [2] 2 28 4 2 2" xfId="44029"/>
    <cellStyle name="CALC Currency Total [2] 2 28 4 3" xfId="34017"/>
    <cellStyle name="CALC Currency Total [2] 2 28 4 4" xfId="44030"/>
    <cellStyle name="CALC Currency Total [2] 2 28 5" xfId="19509"/>
    <cellStyle name="CALC Currency Total [2] 2 28 5 2" xfId="27830"/>
    <cellStyle name="CALC Currency Total [2] 2 28 5 2 2" xfId="44031"/>
    <cellStyle name="CALC Currency Total [2] 2 28 5 3" xfId="34978"/>
    <cellStyle name="CALC Currency Total [2] 2 28 5 4" xfId="44032"/>
    <cellStyle name="CALC Currency Total [2] 2 28 6" xfId="20478"/>
    <cellStyle name="CALC Currency Total [2] 2 28 6 2" xfId="28800"/>
    <cellStyle name="CALC Currency Total [2] 2 28 6 2 2" xfId="44033"/>
    <cellStyle name="CALC Currency Total [2] 2 28 6 3" xfId="35909"/>
    <cellStyle name="CALC Currency Total [2] 2 28 6 4" xfId="44034"/>
    <cellStyle name="CALC Currency Total [2] 2 28 7" xfId="21939"/>
    <cellStyle name="CALC Currency Total [2] 2 28 7 2" xfId="30240"/>
    <cellStyle name="CALC Currency Total [2] 2 28 7 2 2" xfId="44035"/>
    <cellStyle name="CALC Currency Total [2] 2 28 7 3" xfId="37282"/>
    <cellStyle name="CALC Currency Total [2] 2 28 7 4" xfId="44036"/>
    <cellStyle name="CALC Currency Total [2] 2 28 8" xfId="22867"/>
    <cellStyle name="CALC Currency Total [2] 2 28 8 2" xfId="31163"/>
    <cellStyle name="CALC Currency Total [2] 2 28 8 2 2" xfId="44037"/>
    <cellStyle name="CALC Currency Total [2] 2 28 8 3" xfId="38166"/>
    <cellStyle name="CALC Currency Total [2] 2 28 8 4" xfId="44038"/>
    <cellStyle name="CALC Currency Total [2] 2 28 9" xfId="23809"/>
    <cellStyle name="CALC Currency Total [2] 2 28 9 2" xfId="44039"/>
    <cellStyle name="CALC Currency Total [2] 2 29" xfId="15484"/>
    <cellStyle name="CALC Currency Total [2] 2 29 2" xfId="17530"/>
    <cellStyle name="CALC Currency Total [2] 2 29 2 2" xfId="25850"/>
    <cellStyle name="CALC Currency Total [2] 2 29 2 2 2" xfId="44040"/>
    <cellStyle name="CALC Currency Total [2] 2 29 2 3" xfId="33068"/>
    <cellStyle name="CALC Currency Total [2] 2 29 2 4" xfId="44041"/>
    <cellStyle name="CALC Currency Total [2] 2 29 3" xfId="19541"/>
    <cellStyle name="CALC Currency Total [2] 2 29 3 2" xfId="27862"/>
    <cellStyle name="CALC Currency Total [2] 2 29 3 2 2" xfId="44042"/>
    <cellStyle name="CALC Currency Total [2] 2 29 3 3" xfId="35010"/>
    <cellStyle name="CALC Currency Total [2] 2 29 3 4" xfId="44043"/>
    <cellStyle name="CALC Currency Total [2] 2 29 4" xfId="44044"/>
    <cellStyle name="CALC Currency Total [2] 2 29 4 2" xfId="44045"/>
    <cellStyle name="CALC Currency Total [2] 2 3" xfId="14517"/>
    <cellStyle name="CALC Currency Total [2] 2 3 2" xfId="15579"/>
    <cellStyle name="CALC Currency Total [2] 2 3 2 2" xfId="44046"/>
    <cellStyle name="CALC Currency Total [2] 2 3 2 2 2" xfId="44047"/>
    <cellStyle name="CALC Currency Total [2] 2 3 3" xfId="18687"/>
    <cellStyle name="CALC Currency Total [2] 2 3 3 2" xfId="44048"/>
    <cellStyle name="CALC Currency Total [2] 2 30" xfId="44049"/>
    <cellStyle name="CALC Currency Total [2] 2 30 2" xfId="44050"/>
    <cellStyle name="CALC Currency Total [2] 2 4" xfId="14545"/>
    <cellStyle name="CALC Currency Total [2] 2 4 2" xfId="15624"/>
    <cellStyle name="CALC Currency Total [2] 2 4 2 2" xfId="23938"/>
    <cellStyle name="CALC Currency Total [2] 2 4 2 2 2" xfId="44051"/>
    <cellStyle name="CALC Currency Total [2] 2 4 2 3" xfId="44052"/>
    <cellStyle name="CALC Currency Total [2] 2 4 2 4" xfId="44053"/>
    <cellStyle name="CALC Currency Total [2] 2 4 3" xfId="16592"/>
    <cellStyle name="CALC Currency Total [2] 2 4 3 2" xfId="24909"/>
    <cellStyle name="CALC Currency Total [2] 2 4 3 2 2" xfId="44054"/>
    <cellStyle name="CALC Currency Total [2] 2 4 3 3" xfId="32169"/>
    <cellStyle name="CALC Currency Total [2] 2 4 3 4" xfId="44055"/>
    <cellStyle name="CALC Currency Total [2] 2 4 4" xfId="17611"/>
    <cellStyle name="CALC Currency Total [2] 2 4 4 2" xfId="25934"/>
    <cellStyle name="CALC Currency Total [2] 2 4 4 2 2" xfId="44056"/>
    <cellStyle name="CALC Currency Total [2] 2 4 4 3" xfId="33146"/>
    <cellStyle name="CALC Currency Total [2] 2 4 4 4" xfId="44057"/>
    <cellStyle name="CALC Currency Total [2] 2 4 5" xfId="18593"/>
    <cellStyle name="CALC Currency Total [2] 2 4 5 2" xfId="26912"/>
    <cellStyle name="CALC Currency Total [2] 2 4 5 2 2" xfId="44058"/>
    <cellStyle name="CALC Currency Total [2] 2 4 5 3" xfId="34081"/>
    <cellStyle name="CALC Currency Total [2] 2 4 5 4" xfId="44059"/>
    <cellStyle name="CALC Currency Total [2] 2 4 6" xfId="19561"/>
    <cellStyle name="CALC Currency Total [2] 2 4 6 2" xfId="27882"/>
    <cellStyle name="CALC Currency Total [2] 2 4 6 2 2" xfId="44060"/>
    <cellStyle name="CALC Currency Total [2] 2 4 6 3" xfId="35029"/>
    <cellStyle name="CALC Currency Total [2] 2 4 6 4" xfId="44061"/>
    <cellStyle name="CALC Currency Total [2] 2 4 7" xfId="20519"/>
    <cellStyle name="CALC Currency Total [2] 2 4 7 2" xfId="28841"/>
    <cellStyle name="CALC Currency Total [2] 2 4 7 2 2" xfId="44062"/>
    <cellStyle name="CALC Currency Total [2] 2 4 7 3" xfId="35946"/>
    <cellStyle name="CALC Currency Total [2] 2 4 7 4" xfId="44063"/>
    <cellStyle name="CALC Currency Total [2] 2 4 8" xfId="22902"/>
    <cellStyle name="CALC Currency Total [2] 2 4 8 2" xfId="44064"/>
    <cellStyle name="CALC Currency Total [2] 2 5" xfId="14606"/>
    <cellStyle name="CALC Currency Total [2] 2 5 10" xfId="22967"/>
    <cellStyle name="CALC Currency Total [2] 2 5 10 2" xfId="44065"/>
    <cellStyle name="CALC Currency Total [2] 2 5 11" xfId="44066"/>
    <cellStyle name="CALC Currency Total [2] 2 5 2" xfId="15686"/>
    <cellStyle name="CALC Currency Total [2] 2 5 2 2" xfId="24002"/>
    <cellStyle name="CALC Currency Total [2] 2 5 2 2 2" xfId="44067"/>
    <cellStyle name="CALC Currency Total [2] 2 5 2 3" xfId="31297"/>
    <cellStyle name="CALC Currency Total [2] 2 5 2 4" xfId="44068"/>
    <cellStyle name="CALC Currency Total [2] 2 5 3" xfId="16653"/>
    <cellStyle name="CALC Currency Total [2] 2 5 3 2" xfId="24973"/>
    <cellStyle name="CALC Currency Total [2] 2 5 3 2 2" xfId="44069"/>
    <cellStyle name="CALC Currency Total [2] 2 5 3 3" xfId="32230"/>
    <cellStyle name="CALC Currency Total [2] 2 5 3 4" xfId="44070"/>
    <cellStyle name="CALC Currency Total [2] 2 5 4" xfId="17675"/>
    <cellStyle name="CALC Currency Total [2] 2 5 4 2" xfId="25999"/>
    <cellStyle name="CALC Currency Total [2] 2 5 4 2 2" xfId="44071"/>
    <cellStyle name="CALC Currency Total [2] 2 5 4 3" xfId="33207"/>
    <cellStyle name="CALC Currency Total [2] 2 5 4 4" xfId="44072"/>
    <cellStyle name="CALC Currency Total [2] 2 5 5" xfId="18658"/>
    <cellStyle name="CALC Currency Total [2] 2 5 5 2" xfId="26979"/>
    <cellStyle name="CALC Currency Total [2] 2 5 5 2 2" xfId="44073"/>
    <cellStyle name="CALC Currency Total [2] 2 5 5 3" xfId="34145"/>
    <cellStyle name="CALC Currency Total [2] 2 5 5 4" xfId="44074"/>
    <cellStyle name="CALC Currency Total [2] 2 5 6" xfId="19627"/>
    <cellStyle name="CALC Currency Total [2] 2 5 6 2" xfId="27948"/>
    <cellStyle name="CALC Currency Total [2] 2 5 6 2 2" xfId="44075"/>
    <cellStyle name="CALC Currency Total [2] 2 5 6 3" xfId="35091"/>
    <cellStyle name="CALC Currency Total [2] 2 5 6 4" xfId="44076"/>
    <cellStyle name="CALC Currency Total [2] 2 5 7" xfId="20584"/>
    <cellStyle name="CALC Currency Total [2] 2 5 7 2" xfId="28906"/>
    <cellStyle name="CALC Currency Total [2] 2 5 7 2 2" xfId="44077"/>
    <cellStyle name="CALC Currency Total [2] 2 5 7 3" xfId="36007"/>
    <cellStyle name="CALC Currency Total [2] 2 5 7 4" xfId="44078"/>
    <cellStyle name="CALC Currency Total [2] 2 5 8" xfId="15545"/>
    <cellStyle name="CALC Currency Total [2] 2 5 8 2" xfId="23878"/>
    <cellStyle name="CALC Currency Total [2] 2 5 8 2 2" xfId="44079"/>
    <cellStyle name="CALC Currency Total [2] 2 5 8 3" xfId="31222"/>
    <cellStyle name="CALC Currency Total [2] 2 5 8 4" xfId="44080"/>
    <cellStyle name="CALC Currency Total [2] 2 5 9" xfId="22021"/>
    <cellStyle name="CALC Currency Total [2] 2 5 9 2" xfId="30320"/>
    <cellStyle name="CALC Currency Total [2] 2 5 9 2 2" xfId="44081"/>
    <cellStyle name="CALC Currency Total [2] 2 5 9 3" xfId="37358"/>
    <cellStyle name="CALC Currency Total [2] 2 5 9 4" xfId="44082"/>
    <cellStyle name="CALC Currency Total [2] 2 6" xfId="14626"/>
    <cellStyle name="CALC Currency Total [2] 2 6 10" xfId="22988"/>
    <cellStyle name="CALC Currency Total [2] 2 6 10 2" xfId="44083"/>
    <cellStyle name="CALC Currency Total [2] 2 6 11" xfId="44084"/>
    <cellStyle name="CALC Currency Total [2] 2 6 2" xfId="15707"/>
    <cellStyle name="CALC Currency Total [2] 2 6 2 2" xfId="24023"/>
    <cellStyle name="CALC Currency Total [2] 2 6 2 2 2" xfId="44085"/>
    <cellStyle name="CALC Currency Total [2] 2 6 2 3" xfId="31317"/>
    <cellStyle name="CALC Currency Total [2] 2 6 2 4" xfId="44086"/>
    <cellStyle name="CALC Currency Total [2] 2 6 3" xfId="16674"/>
    <cellStyle name="CALC Currency Total [2] 2 6 3 2" xfId="24994"/>
    <cellStyle name="CALC Currency Total [2] 2 6 3 2 2" xfId="44087"/>
    <cellStyle name="CALC Currency Total [2] 2 6 3 3" xfId="32250"/>
    <cellStyle name="CALC Currency Total [2] 2 6 3 4" xfId="44088"/>
    <cellStyle name="CALC Currency Total [2] 2 6 4" xfId="17697"/>
    <cellStyle name="CALC Currency Total [2] 2 6 4 2" xfId="26020"/>
    <cellStyle name="CALC Currency Total [2] 2 6 4 2 2" xfId="44089"/>
    <cellStyle name="CALC Currency Total [2] 2 6 4 3" xfId="33227"/>
    <cellStyle name="CALC Currency Total [2] 2 6 4 4" xfId="44090"/>
    <cellStyle name="CALC Currency Total [2] 2 6 5" xfId="18680"/>
    <cellStyle name="CALC Currency Total [2] 2 6 5 2" xfId="27001"/>
    <cellStyle name="CALC Currency Total [2] 2 6 5 2 2" xfId="44091"/>
    <cellStyle name="CALC Currency Total [2] 2 6 5 3" xfId="34166"/>
    <cellStyle name="CALC Currency Total [2] 2 6 5 4" xfId="44092"/>
    <cellStyle name="CALC Currency Total [2] 2 6 6" xfId="19649"/>
    <cellStyle name="CALC Currency Total [2] 2 6 6 2" xfId="27970"/>
    <cellStyle name="CALC Currency Total [2] 2 6 6 2 2" xfId="44093"/>
    <cellStyle name="CALC Currency Total [2] 2 6 6 3" xfId="35112"/>
    <cellStyle name="CALC Currency Total [2] 2 6 6 4" xfId="44094"/>
    <cellStyle name="CALC Currency Total [2] 2 6 7" xfId="20606"/>
    <cellStyle name="CALC Currency Total [2] 2 6 7 2" xfId="28927"/>
    <cellStyle name="CALC Currency Total [2] 2 6 7 2 2" xfId="44095"/>
    <cellStyle name="CALC Currency Total [2] 2 6 7 3" xfId="36027"/>
    <cellStyle name="CALC Currency Total [2] 2 6 7 4" xfId="44096"/>
    <cellStyle name="CALC Currency Total [2] 2 6 8" xfId="21187"/>
    <cellStyle name="CALC Currency Total [2] 2 6 8 2" xfId="29499"/>
    <cellStyle name="CALC Currency Total [2] 2 6 8 2 2" xfId="44097"/>
    <cellStyle name="CALC Currency Total [2] 2 6 8 3" xfId="36570"/>
    <cellStyle name="CALC Currency Total [2] 2 6 8 4" xfId="44098"/>
    <cellStyle name="CALC Currency Total [2] 2 6 9" xfId="22043"/>
    <cellStyle name="CALC Currency Total [2] 2 6 9 2" xfId="30341"/>
    <cellStyle name="CALC Currency Total [2] 2 6 9 2 2" xfId="44099"/>
    <cellStyle name="CALC Currency Total [2] 2 6 9 3" xfId="37378"/>
    <cellStyle name="CALC Currency Total [2] 2 6 9 4" xfId="44100"/>
    <cellStyle name="CALC Currency Total [2] 2 7" xfId="14645"/>
    <cellStyle name="CALC Currency Total [2] 2 7 10" xfId="23007"/>
    <cellStyle name="CALC Currency Total [2] 2 7 10 2" xfId="44101"/>
    <cellStyle name="CALC Currency Total [2] 2 7 11" xfId="44102"/>
    <cellStyle name="CALC Currency Total [2] 2 7 2" xfId="15726"/>
    <cellStyle name="CALC Currency Total [2] 2 7 2 2" xfId="24042"/>
    <cellStyle name="CALC Currency Total [2] 2 7 2 2 2" xfId="44103"/>
    <cellStyle name="CALC Currency Total [2] 2 7 2 3" xfId="31335"/>
    <cellStyle name="CALC Currency Total [2] 2 7 2 4" xfId="44104"/>
    <cellStyle name="CALC Currency Total [2] 2 7 3" xfId="16692"/>
    <cellStyle name="CALC Currency Total [2] 2 7 3 2" xfId="25013"/>
    <cellStyle name="CALC Currency Total [2] 2 7 3 2 2" xfId="44105"/>
    <cellStyle name="CALC Currency Total [2] 2 7 3 3" xfId="32268"/>
    <cellStyle name="CALC Currency Total [2] 2 7 3 4" xfId="44106"/>
    <cellStyle name="CALC Currency Total [2] 2 7 4" xfId="17716"/>
    <cellStyle name="CALC Currency Total [2] 2 7 4 2" xfId="26039"/>
    <cellStyle name="CALC Currency Total [2] 2 7 4 2 2" xfId="44107"/>
    <cellStyle name="CALC Currency Total [2] 2 7 4 3" xfId="33245"/>
    <cellStyle name="CALC Currency Total [2] 2 7 4 4" xfId="44108"/>
    <cellStyle name="CALC Currency Total [2] 2 7 5" xfId="18699"/>
    <cellStyle name="CALC Currency Total [2] 2 7 5 2" xfId="27020"/>
    <cellStyle name="CALC Currency Total [2] 2 7 5 2 2" xfId="44109"/>
    <cellStyle name="CALC Currency Total [2] 2 7 5 3" xfId="34184"/>
    <cellStyle name="CALC Currency Total [2] 2 7 5 4" xfId="44110"/>
    <cellStyle name="CALC Currency Total [2] 2 7 6" xfId="19668"/>
    <cellStyle name="CALC Currency Total [2] 2 7 6 2" xfId="27989"/>
    <cellStyle name="CALC Currency Total [2] 2 7 6 2 2" xfId="44111"/>
    <cellStyle name="CALC Currency Total [2] 2 7 6 3" xfId="35130"/>
    <cellStyle name="CALC Currency Total [2] 2 7 6 4" xfId="44112"/>
    <cellStyle name="CALC Currency Total [2] 2 7 7" xfId="20625"/>
    <cellStyle name="CALC Currency Total [2] 2 7 7 2" xfId="28946"/>
    <cellStyle name="CALC Currency Total [2] 2 7 7 2 2" xfId="44113"/>
    <cellStyle name="CALC Currency Total [2] 2 7 7 3" xfId="36045"/>
    <cellStyle name="CALC Currency Total [2] 2 7 7 4" xfId="44114"/>
    <cellStyle name="CALC Currency Total [2] 2 7 8" xfId="21207"/>
    <cellStyle name="CALC Currency Total [2] 2 7 8 2" xfId="29519"/>
    <cellStyle name="CALC Currency Total [2] 2 7 8 2 2" xfId="44115"/>
    <cellStyle name="CALC Currency Total [2] 2 7 8 3" xfId="36588"/>
    <cellStyle name="CALC Currency Total [2] 2 7 8 4" xfId="44116"/>
    <cellStyle name="CALC Currency Total [2] 2 7 9" xfId="22062"/>
    <cellStyle name="CALC Currency Total [2] 2 7 9 2" xfId="30360"/>
    <cellStyle name="CALC Currency Total [2] 2 7 9 2 2" xfId="44117"/>
    <cellStyle name="CALC Currency Total [2] 2 7 9 3" xfId="37396"/>
    <cellStyle name="CALC Currency Total [2] 2 7 9 4" xfId="44118"/>
    <cellStyle name="CALC Currency Total [2] 2 8" xfId="14691"/>
    <cellStyle name="CALC Currency Total [2] 2 8 10" xfId="23054"/>
    <cellStyle name="CALC Currency Total [2] 2 8 10 2" xfId="44119"/>
    <cellStyle name="CALC Currency Total [2] 2 8 11" xfId="44120"/>
    <cellStyle name="CALC Currency Total [2] 2 8 2" xfId="15772"/>
    <cellStyle name="CALC Currency Total [2] 2 8 2 2" xfId="24089"/>
    <cellStyle name="CALC Currency Total [2] 2 8 2 2 2" xfId="44121"/>
    <cellStyle name="CALC Currency Total [2] 2 8 2 3" xfId="31380"/>
    <cellStyle name="CALC Currency Total [2] 2 8 2 4" xfId="44122"/>
    <cellStyle name="CALC Currency Total [2] 2 8 3" xfId="16738"/>
    <cellStyle name="CALC Currency Total [2] 2 8 3 2" xfId="25060"/>
    <cellStyle name="CALC Currency Total [2] 2 8 3 2 2" xfId="44123"/>
    <cellStyle name="CALC Currency Total [2] 2 8 3 3" xfId="32313"/>
    <cellStyle name="CALC Currency Total [2] 2 8 3 4" xfId="44124"/>
    <cellStyle name="CALC Currency Total [2] 2 8 4" xfId="17762"/>
    <cellStyle name="CALC Currency Total [2] 2 8 4 2" xfId="26086"/>
    <cellStyle name="CALC Currency Total [2] 2 8 4 2 2" xfId="44125"/>
    <cellStyle name="CALC Currency Total [2] 2 8 4 3" xfId="33290"/>
    <cellStyle name="CALC Currency Total [2] 2 8 4 4" xfId="44126"/>
    <cellStyle name="CALC Currency Total [2] 2 8 5" xfId="18746"/>
    <cellStyle name="CALC Currency Total [2] 2 8 5 2" xfId="27067"/>
    <cellStyle name="CALC Currency Total [2] 2 8 5 2 2" xfId="44127"/>
    <cellStyle name="CALC Currency Total [2] 2 8 5 3" xfId="34229"/>
    <cellStyle name="CALC Currency Total [2] 2 8 5 4" xfId="44128"/>
    <cellStyle name="CALC Currency Total [2] 2 8 6" xfId="19715"/>
    <cellStyle name="CALC Currency Total [2] 2 8 6 2" xfId="28036"/>
    <cellStyle name="CALC Currency Total [2] 2 8 6 2 2" xfId="44129"/>
    <cellStyle name="CALC Currency Total [2] 2 8 6 3" xfId="35175"/>
    <cellStyle name="CALC Currency Total [2] 2 8 6 4" xfId="44130"/>
    <cellStyle name="CALC Currency Total [2] 2 8 7" xfId="20672"/>
    <cellStyle name="CALC Currency Total [2] 2 8 7 2" xfId="28993"/>
    <cellStyle name="CALC Currency Total [2] 2 8 7 2 2" xfId="44131"/>
    <cellStyle name="CALC Currency Total [2] 2 8 7 3" xfId="36090"/>
    <cellStyle name="CALC Currency Total [2] 2 8 7 4" xfId="44132"/>
    <cellStyle name="CALC Currency Total [2] 2 8 8" xfId="21350"/>
    <cellStyle name="CALC Currency Total [2] 2 8 8 2" xfId="29653"/>
    <cellStyle name="CALC Currency Total [2] 2 8 8 2 2" xfId="44133"/>
    <cellStyle name="CALC Currency Total [2] 2 8 8 3" xfId="36718"/>
    <cellStyle name="CALC Currency Total [2] 2 8 8 4" xfId="44134"/>
    <cellStyle name="CALC Currency Total [2] 2 8 9" xfId="22109"/>
    <cellStyle name="CALC Currency Total [2] 2 8 9 2" xfId="30407"/>
    <cellStyle name="CALC Currency Total [2] 2 8 9 2 2" xfId="44135"/>
    <cellStyle name="CALC Currency Total [2] 2 8 9 3" xfId="37441"/>
    <cellStyle name="CALC Currency Total [2] 2 8 9 4" xfId="44136"/>
    <cellStyle name="CALC Currency Total [2] 2 9" xfId="14752"/>
    <cellStyle name="CALC Currency Total [2] 2 9 10" xfId="23116"/>
    <cellStyle name="CALC Currency Total [2] 2 9 10 2" xfId="44137"/>
    <cellStyle name="CALC Currency Total [2] 2 9 11" xfId="44138"/>
    <cellStyle name="CALC Currency Total [2] 2 9 12" xfId="44139"/>
    <cellStyle name="CALC Currency Total [2] 2 9 2" xfId="15833"/>
    <cellStyle name="CALC Currency Total [2] 2 9 2 2" xfId="24151"/>
    <cellStyle name="CALC Currency Total [2] 2 9 2 2 2" xfId="44140"/>
    <cellStyle name="CALC Currency Total [2] 2 9 2 3" xfId="31439"/>
    <cellStyle name="CALC Currency Total [2] 2 9 2 4" xfId="44141"/>
    <cellStyle name="CALC Currency Total [2] 2 9 3" xfId="16799"/>
    <cellStyle name="CALC Currency Total [2] 2 9 3 2" xfId="25123"/>
    <cellStyle name="CALC Currency Total [2] 2 9 3 2 2" xfId="44142"/>
    <cellStyle name="CALC Currency Total [2] 2 9 3 3" xfId="32372"/>
    <cellStyle name="CALC Currency Total [2] 2 9 3 4" xfId="44143"/>
    <cellStyle name="CALC Currency Total [2] 2 9 4" xfId="17825"/>
    <cellStyle name="CALC Currency Total [2] 2 9 4 2" xfId="26149"/>
    <cellStyle name="CALC Currency Total [2] 2 9 4 2 2" xfId="44144"/>
    <cellStyle name="CALC Currency Total [2] 2 9 4 3" xfId="33349"/>
    <cellStyle name="CALC Currency Total [2] 2 9 4 4" xfId="44145"/>
    <cellStyle name="CALC Currency Total [2] 2 9 5" xfId="18809"/>
    <cellStyle name="CALC Currency Total [2] 2 9 5 2" xfId="27130"/>
    <cellStyle name="CALC Currency Total [2] 2 9 5 2 2" xfId="44146"/>
    <cellStyle name="CALC Currency Total [2] 2 9 5 3" xfId="34289"/>
    <cellStyle name="CALC Currency Total [2] 2 9 5 4" xfId="44147"/>
    <cellStyle name="CALC Currency Total [2] 2 9 6" xfId="19777"/>
    <cellStyle name="CALC Currency Total [2] 2 9 6 2" xfId="28099"/>
    <cellStyle name="CALC Currency Total [2] 2 9 6 2 2" xfId="44148"/>
    <cellStyle name="CALC Currency Total [2] 2 9 6 3" xfId="35235"/>
    <cellStyle name="CALC Currency Total [2] 2 9 6 4" xfId="44149"/>
    <cellStyle name="CALC Currency Total [2] 2 9 7" xfId="20735"/>
    <cellStyle name="CALC Currency Total [2] 2 9 7 2" xfId="29056"/>
    <cellStyle name="CALC Currency Total [2] 2 9 7 2 2" xfId="44150"/>
    <cellStyle name="CALC Currency Total [2] 2 9 7 3" xfId="36148"/>
    <cellStyle name="CALC Currency Total [2] 2 9 7 4" xfId="44151"/>
    <cellStyle name="CALC Currency Total [2] 2 9 8" xfId="21075"/>
    <cellStyle name="CALC Currency Total [2] 2 9 8 2" xfId="29392"/>
    <cellStyle name="CALC Currency Total [2] 2 9 8 2 2" xfId="44152"/>
    <cellStyle name="CALC Currency Total [2] 2 9 8 3" xfId="36468"/>
    <cellStyle name="CALC Currency Total [2] 2 9 8 4" xfId="44153"/>
    <cellStyle name="CALC Currency Total [2] 2 9 9" xfId="22171"/>
    <cellStyle name="CALC Currency Total [2] 2 9 9 2" xfId="30469"/>
    <cellStyle name="CALC Currency Total [2] 2 9 9 2 2" xfId="44154"/>
    <cellStyle name="CALC Currency Total [2] 2 9 9 3" xfId="37500"/>
    <cellStyle name="CALC Currency Total [2] 2 9 9 4" xfId="44155"/>
    <cellStyle name="CALC Currency Total [2] 20" xfId="15304"/>
    <cellStyle name="CALC Currency Total [2] 20 10" xfId="44156"/>
    <cellStyle name="CALC Currency Total [2] 20 11" xfId="44157"/>
    <cellStyle name="CALC Currency Total [2] 20 2" xfId="16384"/>
    <cellStyle name="CALC Currency Total [2] 20 2 2" xfId="24697"/>
    <cellStyle name="CALC Currency Total [2] 20 2 2 2" xfId="44158"/>
    <cellStyle name="CALC Currency Total [2] 20 2 3" xfId="31963"/>
    <cellStyle name="CALC Currency Total [2] 20 2 4" xfId="44159"/>
    <cellStyle name="CALC Currency Total [2] 20 3" xfId="17350"/>
    <cellStyle name="CALC Currency Total [2] 20 3 2" xfId="25671"/>
    <cellStyle name="CALC Currency Total [2] 20 3 2 2" xfId="44160"/>
    <cellStyle name="CALC Currency Total [2] 20 3 3" xfId="32896"/>
    <cellStyle name="CALC Currency Total [2] 20 3 4" xfId="44161"/>
    <cellStyle name="CALC Currency Total [2] 20 4" xfId="18378"/>
    <cellStyle name="CALC Currency Total [2] 20 4 2" xfId="26698"/>
    <cellStyle name="CALC Currency Total [2] 20 4 2 2" xfId="44162"/>
    <cellStyle name="CALC Currency Total [2] 20 4 3" xfId="33874"/>
    <cellStyle name="CALC Currency Total [2] 20 4 4" xfId="44163"/>
    <cellStyle name="CALC Currency Total [2] 20 5" xfId="19361"/>
    <cellStyle name="CALC Currency Total [2] 20 5 2" xfId="27682"/>
    <cellStyle name="CALC Currency Total [2] 20 5 2 2" xfId="44164"/>
    <cellStyle name="CALC Currency Total [2] 20 5 3" xfId="34830"/>
    <cellStyle name="CALC Currency Total [2] 20 5 4" xfId="44165"/>
    <cellStyle name="CALC Currency Total [2] 20 6" xfId="20330"/>
    <cellStyle name="CALC Currency Total [2] 20 6 2" xfId="28652"/>
    <cellStyle name="CALC Currency Total [2] 20 6 2 2" xfId="44166"/>
    <cellStyle name="CALC Currency Total [2] 20 6 3" xfId="35766"/>
    <cellStyle name="CALC Currency Total [2] 20 6 4" xfId="44167"/>
    <cellStyle name="CALC Currency Total [2] 20 7" xfId="21791"/>
    <cellStyle name="CALC Currency Total [2] 20 7 2" xfId="30092"/>
    <cellStyle name="CALC Currency Total [2] 20 7 2 2" xfId="44168"/>
    <cellStyle name="CALC Currency Total [2] 20 7 3" xfId="37140"/>
    <cellStyle name="CALC Currency Total [2] 20 7 4" xfId="44169"/>
    <cellStyle name="CALC Currency Total [2] 20 8" xfId="22719"/>
    <cellStyle name="CALC Currency Total [2] 20 8 2" xfId="31015"/>
    <cellStyle name="CALC Currency Total [2] 20 8 2 2" xfId="44170"/>
    <cellStyle name="CALC Currency Total [2] 20 8 3" xfId="38023"/>
    <cellStyle name="CALC Currency Total [2] 20 8 4" xfId="44171"/>
    <cellStyle name="CALC Currency Total [2] 20 9" xfId="23661"/>
    <cellStyle name="CALC Currency Total [2] 20 9 2" xfId="44172"/>
    <cellStyle name="CALC Currency Total [2] 21" xfId="15335"/>
    <cellStyle name="CALC Currency Total [2] 21 10" xfId="44173"/>
    <cellStyle name="CALC Currency Total [2] 21 11" xfId="44174"/>
    <cellStyle name="CALC Currency Total [2] 21 2" xfId="16415"/>
    <cellStyle name="CALC Currency Total [2] 21 2 2" xfId="24728"/>
    <cellStyle name="CALC Currency Total [2] 21 2 2 2" xfId="44175"/>
    <cellStyle name="CALC Currency Total [2] 21 2 3" xfId="31993"/>
    <cellStyle name="CALC Currency Total [2] 21 2 4" xfId="44176"/>
    <cellStyle name="CALC Currency Total [2] 21 3" xfId="17381"/>
    <cellStyle name="CALC Currency Total [2] 21 3 2" xfId="25702"/>
    <cellStyle name="CALC Currency Total [2] 21 3 2 2" xfId="44177"/>
    <cellStyle name="CALC Currency Total [2] 21 3 3" xfId="32926"/>
    <cellStyle name="CALC Currency Total [2] 21 3 4" xfId="44178"/>
    <cellStyle name="CALC Currency Total [2] 21 4" xfId="18409"/>
    <cellStyle name="CALC Currency Total [2] 21 4 2" xfId="26729"/>
    <cellStyle name="CALC Currency Total [2] 21 4 2 2" xfId="44179"/>
    <cellStyle name="CALC Currency Total [2] 21 4 3" xfId="33904"/>
    <cellStyle name="CALC Currency Total [2] 21 4 4" xfId="44180"/>
    <cellStyle name="CALC Currency Total [2] 21 5" xfId="19392"/>
    <cellStyle name="CALC Currency Total [2] 21 5 2" xfId="27713"/>
    <cellStyle name="CALC Currency Total [2] 21 5 2 2" xfId="44181"/>
    <cellStyle name="CALC Currency Total [2] 21 5 3" xfId="34861"/>
    <cellStyle name="CALC Currency Total [2] 21 5 4" xfId="44182"/>
    <cellStyle name="CALC Currency Total [2] 21 6" xfId="20361"/>
    <cellStyle name="CALC Currency Total [2] 21 6 2" xfId="28683"/>
    <cellStyle name="CALC Currency Total [2] 21 6 2 2" xfId="44183"/>
    <cellStyle name="CALC Currency Total [2] 21 6 3" xfId="35796"/>
    <cellStyle name="CALC Currency Total [2] 21 6 4" xfId="44184"/>
    <cellStyle name="CALC Currency Total [2] 21 7" xfId="21822"/>
    <cellStyle name="CALC Currency Total [2] 21 7 2" xfId="30123"/>
    <cellStyle name="CALC Currency Total [2] 21 7 2 2" xfId="44185"/>
    <cellStyle name="CALC Currency Total [2] 21 7 3" xfId="37170"/>
    <cellStyle name="CALC Currency Total [2] 21 7 4" xfId="44186"/>
    <cellStyle name="CALC Currency Total [2] 21 8" xfId="22750"/>
    <cellStyle name="CALC Currency Total [2] 21 8 2" xfId="31046"/>
    <cellStyle name="CALC Currency Total [2] 21 8 2 2" xfId="44187"/>
    <cellStyle name="CALC Currency Total [2] 21 8 3" xfId="38053"/>
    <cellStyle name="CALC Currency Total [2] 21 8 4" xfId="44188"/>
    <cellStyle name="CALC Currency Total [2] 21 9" xfId="23692"/>
    <cellStyle name="CALC Currency Total [2] 21 9 2" xfId="44189"/>
    <cellStyle name="CALC Currency Total [2] 22" xfId="15469"/>
    <cellStyle name="CALC Currency Total [2] 22 2" xfId="17515"/>
    <cellStyle name="CALC Currency Total [2] 22 2 2" xfId="25835"/>
    <cellStyle name="CALC Currency Total [2] 22 2 2 2" xfId="44190"/>
    <cellStyle name="CALC Currency Total [2] 22 2 3" xfId="33054"/>
    <cellStyle name="CALC Currency Total [2] 22 2 4" xfId="44191"/>
    <cellStyle name="CALC Currency Total [2] 22 3" xfId="19526"/>
    <cellStyle name="CALC Currency Total [2] 22 3 2" xfId="27847"/>
    <cellStyle name="CALC Currency Total [2] 22 3 2 2" xfId="44192"/>
    <cellStyle name="CALC Currency Total [2] 22 3 3" xfId="34995"/>
    <cellStyle name="CALC Currency Total [2] 22 3 4" xfId="44193"/>
    <cellStyle name="CALC Currency Total [2] 22 4" xfId="44194"/>
    <cellStyle name="CALC Currency Total [2] 22 4 2" xfId="44195"/>
    <cellStyle name="CALC Currency Total [2] 23" xfId="44196"/>
    <cellStyle name="CALC Currency Total [2] 23 2" xfId="44197"/>
    <cellStyle name="CALC Currency Total [2] 3" xfId="14534"/>
    <cellStyle name="CALC Currency Total [2] 3 2" xfId="15610"/>
    <cellStyle name="CALC Currency Total [2] 3 2 2" xfId="23924"/>
    <cellStyle name="CALC Currency Total [2] 3 2 2 2" xfId="44198"/>
    <cellStyle name="CALC Currency Total [2] 3 2 3" xfId="44199"/>
    <cellStyle name="CALC Currency Total [2] 3 2 4" xfId="44200"/>
    <cellStyle name="CALC Currency Total [2] 3 3" xfId="16579"/>
    <cellStyle name="CALC Currency Total [2] 3 3 2" xfId="24895"/>
    <cellStyle name="CALC Currency Total [2] 3 3 2 2" xfId="44201"/>
    <cellStyle name="CALC Currency Total [2] 3 3 3" xfId="32155"/>
    <cellStyle name="CALC Currency Total [2] 3 3 4" xfId="44202"/>
    <cellStyle name="CALC Currency Total [2] 3 4" xfId="17597"/>
    <cellStyle name="CALC Currency Total [2] 3 4 2" xfId="25919"/>
    <cellStyle name="CALC Currency Total [2] 3 4 2 2" xfId="44203"/>
    <cellStyle name="CALC Currency Total [2] 3 4 3" xfId="33132"/>
    <cellStyle name="CALC Currency Total [2] 3 4 4" xfId="44204"/>
    <cellStyle name="CALC Currency Total [2] 3 5" xfId="18578"/>
    <cellStyle name="CALC Currency Total [2] 3 5 2" xfId="26897"/>
    <cellStyle name="CALC Currency Total [2] 3 5 2 2" xfId="44205"/>
    <cellStyle name="CALC Currency Total [2] 3 5 3" xfId="34066"/>
    <cellStyle name="CALC Currency Total [2] 3 5 4" xfId="44206"/>
    <cellStyle name="CALC Currency Total [2] 3 6" xfId="19546"/>
    <cellStyle name="CALC Currency Total [2] 3 6 2" xfId="27867"/>
    <cellStyle name="CALC Currency Total [2] 3 6 2 2" xfId="44207"/>
    <cellStyle name="CALC Currency Total [2] 3 6 3" xfId="35015"/>
    <cellStyle name="CALC Currency Total [2] 3 6 4" xfId="44208"/>
    <cellStyle name="CALC Currency Total [2] 3 7" xfId="19406"/>
    <cellStyle name="CALC Currency Total [2] 3 7 2" xfId="27727"/>
    <cellStyle name="CALC Currency Total [2] 3 7 2 2" xfId="44209"/>
    <cellStyle name="CALC Currency Total [2] 3 7 3" xfId="34875"/>
    <cellStyle name="CALC Currency Total [2] 3 7 4" xfId="44210"/>
    <cellStyle name="CALC Currency Total [2] 3 8" xfId="22888"/>
    <cellStyle name="CALC Currency Total [2] 3 8 2" xfId="44211"/>
    <cellStyle name="CALC Currency Total [2] 4" xfId="14582"/>
    <cellStyle name="CALC Currency Total [2] 4 10" xfId="22941"/>
    <cellStyle name="CALC Currency Total [2] 4 10 2" xfId="44212"/>
    <cellStyle name="CALC Currency Total [2] 4 11" xfId="44213"/>
    <cellStyle name="CALC Currency Total [2] 4 2" xfId="15662"/>
    <cellStyle name="CALC Currency Total [2] 4 2 2" xfId="23977"/>
    <cellStyle name="CALC Currency Total [2] 4 2 2 2" xfId="44214"/>
    <cellStyle name="CALC Currency Total [2] 4 2 3" xfId="31274"/>
    <cellStyle name="CALC Currency Total [2] 4 2 4" xfId="44215"/>
    <cellStyle name="CALC Currency Total [2] 4 3" xfId="16629"/>
    <cellStyle name="CALC Currency Total [2] 4 3 2" xfId="24948"/>
    <cellStyle name="CALC Currency Total [2] 4 3 2 2" xfId="44216"/>
    <cellStyle name="CALC Currency Total [2] 4 3 3" xfId="32207"/>
    <cellStyle name="CALC Currency Total [2] 4 3 4" xfId="44217"/>
    <cellStyle name="CALC Currency Total [2] 4 4" xfId="17650"/>
    <cellStyle name="CALC Currency Total [2] 4 4 2" xfId="25974"/>
    <cellStyle name="CALC Currency Total [2] 4 4 2 2" xfId="44218"/>
    <cellStyle name="CALC Currency Total [2] 4 4 3" xfId="33184"/>
    <cellStyle name="CALC Currency Total [2] 4 4 4" xfId="44219"/>
    <cellStyle name="CALC Currency Total [2] 4 5" xfId="18633"/>
    <cellStyle name="CALC Currency Total [2] 4 5 2" xfId="26953"/>
    <cellStyle name="CALC Currency Total [2] 4 5 2 2" xfId="44220"/>
    <cellStyle name="CALC Currency Total [2] 4 5 3" xfId="34121"/>
    <cellStyle name="CALC Currency Total [2] 4 5 4" xfId="44221"/>
    <cellStyle name="CALC Currency Total [2] 4 6" xfId="19602"/>
    <cellStyle name="CALC Currency Total [2] 4 6 2" xfId="27922"/>
    <cellStyle name="CALC Currency Total [2] 4 6 2 2" xfId="44222"/>
    <cellStyle name="CALC Currency Total [2] 4 6 3" xfId="35067"/>
    <cellStyle name="CALC Currency Total [2] 4 6 4" xfId="44223"/>
    <cellStyle name="CALC Currency Total [2] 4 7" xfId="20559"/>
    <cellStyle name="CALC Currency Total [2] 4 7 2" xfId="28881"/>
    <cellStyle name="CALC Currency Total [2] 4 7 2 2" xfId="44224"/>
    <cellStyle name="CALC Currency Total [2] 4 7 3" xfId="35984"/>
    <cellStyle name="CALC Currency Total [2] 4 7 4" xfId="44225"/>
    <cellStyle name="CALC Currency Total [2] 4 8" xfId="21232"/>
    <cellStyle name="CALC Currency Total [2] 4 8 2" xfId="29542"/>
    <cellStyle name="CALC Currency Total [2] 4 8 2 2" xfId="44226"/>
    <cellStyle name="CALC Currency Total [2] 4 8 3" xfId="36611"/>
    <cellStyle name="CALC Currency Total [2] 4 8 4" xfId="44227"/>
    <cellStyle name="CALC Currency Total [2] 4 9" xfId="21995"/>
    <cellStyle name="CALC Currency Total [2] 4 9 2" xfId="30295"/>
    <cellStyle name="CALC Currency Total [2] 4 9 2 2" xfId="44228"/>
    <cellStyle name="CALC Currency Total [2] 4 9 3" xfId="37335"/>
    <cellStyle name="CALC Currency Total [2] 4 9 4" xfId="44229"/>
    <cellStyle name="CALC Currency Total [2] 5" xfId="14560"/>
    <cellStyle name="CALC Currency Total [2] 5 10" xfId="22916"/>
    <cellStyle name="CALC Currency Total [2] 5 10 2" xfId="44230"/>
    <cellStyle name="CALC Currency Total [2] 5 11" xfId="44231"/>
    <cellStyle name="CALC Currency Total [2] 5 2" xfId="15639"/>
    <cellStyle name="CALC Currency Total [2] 5 2 2" xfId="23952"/>
    <cellStyle name="CALC Currency Total [2] 5 2 2 2" xfId="44232"/>
    <cellStyle name="CALC Currency Total [2] 5 2 3" xfId="31249"/>
    <cellStyle name="CALC Currency Total [2] 5 2 4" xfId="44233"/>
    <cellStyle name="CALC Currency Total [2] 5 3" xfId="16606"/>
    <cellStyle name="CALC Currency Total [2] 5 3 2" xfId="24923"/>
    <cellStyle name="CALC Currency Total [2] 5 3 2 2" xfId="44234"/>
    <cellStyle name="CALC Currency Total [2] 5 3 3" xfId="32182"/>
    <cellStyle name="CALC Currency Total [2] 5 3 4" xfId="44235"/>
    <cellStyle name="CALC Currency Total [2] 5 4" xfId="17626"/>
    <cellStyle name="CALC Currency Total [2] 5 4 2" xfId="25949"/>
    <cellStyle name="CALC Currency Total [2] 5 4 2 2" xfId="44236"/>
    <cellStyle name="CALC Currency Total [2] 5 4 3" xfId="33159"/>
    <cellStyle name="CALC Currency Total [2] 5 4 4" xfId="44237"/>
    <cellStyle name="CALC Currency Total [2] 5 5" xfId="18608"/>
    <cellStyle name="CALC Currency Total [2] 5 5 2" xfId="26927"/>
    <cellStyle name="CALC Currency Total [2] 5 5 2 2" xfId="44238"/>
    <cellStyle name="CALC Currency Total [2] 5 5 3" xfId="34095"/>
    <cellStyle name="CALC Currency Total [2] 5 5 4" xfId="44239"/>
    <cellStyle name="CALC Currency Total [2] 5 6" xfId="19576"/>
    <cellStyle name="CALC Currency Total [2] 5 6 2" xfId="27897"/>
    <cellStyle name="CALC Currency Total [2] 5 6 2 2" xfId="44240"/>
    <cellStyle name="CALC Currency Total [2] 5 6 3" xfId="35042"/>
    <cellStyle name="CALC Currency Total [2] 5 6 4" xfId="44241"/>
    <cellStyle name="CALC Currency Total [2] 5 7" xfId="20534"/>
    <cellStyle name="CALC Currency Total [2] 5 7 2" xfId="28856"/>
    <cellStyle name="CALC Currency Total [2] 5 7 2 2" xfId="44242"/>
    <cellStyle name="CALC Currency Total [2] 5 7 3" xfId="35959"/>
    <cellStyle name="CALC Currency Total [2] 5 7 4" xfId="44243"/>
    <cellStyle name="CALC Currency Total [2] 5 8" xfId="21124"/>
    <cellStyle name="CALC Currency Total [2] 5 8 2" xfId="29438"/>
    <cellStyle name="CALC Currency Total [2] 5 8 2 2" xfId="44244"/>
    <cellStyle name="CALC Currency Total [2] 5 8 3" xfId="36511"/>
    <cellStyle name="CALC Currency Total [2] 5 8 4" xfId="44245"/>
    <cellStyle name="CALC Currency Total [2] 5 9" xfId="21969"/>
    <cellStyle name="CALC Currency Total [2] 5 9 2" xfId="30270"/>
    <cellStyle name="CALC Currency Total [2] 5 9 2 2" xfId="44246"/>
    <cellStyle name="CALC Currency Total [2] 5 9 3" xfId="37310"/>
    <cellStyle name="CALC Currency Total [2] 5 9 4" xfId="44247"/>
    <cellStyle name="CALC Currency Total [2] 6" xfId="14636"/>
    <cellStyle name="CALC Currency Total [2] 6 10" xfId="22998"/>
    <cellStyle name="CALC Currency Total [2] 6 10 2" xfId="44248"/>
    <cellStyle name="CALC Currency Total [2] 6 11" xfId="44249"/>
    <cellStyle name="CALC Currency Total [2] 6 2" xfId="15717"/>
    <cellStyle name="CALC Currency Total [2] 6 2 2" xfId="24033"/>
    <cellStyle name="CALC Currency Total [2] 6 2 2 2" xfId="44250"/>
    <cellStyle name="CALC Currency Total [2] 6 2 3" xfId="31326"/>
    <cellStyle name="CALC Currency Total [2] 6 2 4" xfId="44251"/>
    <cellStyle name="CALC Currency Total [2] 6 3" xfId="16683"/>
    <cellStyle name="CALC Currency Total [2] 6 3 2" xfId="25004"/>
    <cellStyle name="CALC Currency Total [2] 6 3 2 2" xfId="44252"/>
    <cellStyle name="CALC Currency Total [2] 6 3 3" xfId="32259"/>
    <cellStyle name="CALC Currency Total [2] 6 3 4" xfId="44253"/>
    <cellStyle name="CALC Currency Total [2] 6 4" xfId="17707"/>
    <cellStyle name="CALC Currency Total [2] 6 4 2" xfId="26030"/>
    <cellStyle name="CALC Currency Total [2] 6 4 2 2" xfId="44254"/>
    <cellStyle name="CALC Currency Total [2] 6 4 3" xfId="33236"/>
    <cellStyle name="CALC Currency Total [2] 6 4 4" xfId="44255"/>
    <cellStyle name="CALC Currency Total [2] 6 5" xfId="18690"/>
    <cellStyle name="CALC Currency Total [2] 6 5 2" xfId="27011"/>
    <cellStyle name="CALC Currency Total [2] 6 5 2 2" xfId="44256"/>
    <cellStyle name="CALC Currency Total [2] 6 5 3" xfId="34175"/>
    <cellStyle name="CALC Currency Total [2] 6 5 4" xfId="44257"/>
    <cellStyle name="CALC Currency Total [2] 6 6" xfId="19659"/>
    <cellStyle name="CALC Currency Total [2] 6 6 2" xfId="27980"/>
    <cellStyle name="CALC Currency Total [2] 6 6 2 2" xfId="44258"/>
    <cellStyle name="CALC Currency Total [2] 6 6 3" xfId="35121"/>
    <cellStyle name="CALC Currency Total [2] 6 6 4" xfId="44259"/>
    <cellStyle name="CALC Currency Total [2] 6 7" xfId="20616"/>
    <cellStyle name="CALC Currency Total [2] 6 7 2" xfId="28937"/>
    <cellStyle name="CALC Currency Total [2] 6 7 2 2" xfId="44260"/>
    <cellStyle name="CALC Currency Total [2] 6 7 3" xfId="36036"/>
    <cellStyle name="CALC Currency Total [2] 6 7 4" xfId="44261"/>
    <cellStyle name="CALC Currency Total [2] 6 8" xfId="21375"/>
    <cellStyle name="CALC Currency Total [2] 6 8 2" xfId="29678"/>
    <cellStyle name="CALC Currency Total [2] 6 8 2 2" xfId="44262"/>
    <cellStyle name="CALC Currency Total [2] 6 8 3" xfId="36742"/>
    <cellStyle name="CALC Currency Total [2] 6 8 4" xfId="44263"/>
    <cellStyle name="CALC Currency Total [2] 6 9" xfId="22053"/>
    <cellStyle name="CALC Currency Total [2] 6 9 2" xfId="30351"/>
    <cellStyle name="CALC Currency Total [2] 6 9 2 2" xfId="44264"/>
    <cellStyle name="CALC Currency Total [2] 6 9 3" xfId="37387"/>
    <cellStyle name="CALC Currency Total [2] 6 9 4" xfId="44265"/>
    <cellStyle name="CALC Currency Total [2] 7" xfId="14676"/>
    <cellStyle name="CALC Currency Total [2] 7 10" xfId="23038"/>
    <cellStyle name="CALC Currency Total [2] 7 10 2" xfId="44266"/>
    <cellStyle name="CALC Currency Total [2] 7 11" xfId="44267"/>
    <cellStyle name="CALC Currency Total [2] 7 2" xfId="15757"/>
    <cellStyle name="CALC Currency Total [2] 7 2 2" xfId="24073"/>
    <cellStyle name="CALC Currency Total [2] 7 2 2 2" xfId="44268"/>
    <cellStyle name="CALC Currency Total [2] 7 2 3" xfId="31364"/>
    <cellStyle name="CALC Currency Total [2] 7 2 4" xfId="44269"/>
    <cellStyle name="CALC Currency Total [2] 7 3" xfId="16723"/>
    <cellStyle name="CALC Currency Total [2] 7 3 2" xfId="25044"/>
    <cellStyle name="CALC Currency Total [2] 7 3 2 2" xfId="44270"/>
    <cellStyle name="CALC Currency Total [2] 7 3 3" xfId="32297"/>
    <cellStyle name="CALC Currency Total [2] 7 3 4" xfId="44271"/>
    <cellStyle name="CALC Currency Total [2] 7 4" xfId="17747"/>
    <cellStyle name="CALC Currency Total [2] 7 4 2" xfId="26070"/>
    <cellStyle name="CALC Currency Total [2] 7 4 2 2" xfId="44272"/>
    <cellStyle name="CALC Currency Total [2] 7 4 3" xfId="33274"/>
    <cellStyle name="CALC Currency Total [2] 7 4 4" xfId="44273"/>
    <cellStyle name="CALC Currency Total [2] 7 5" xfId="18730"/>
    <cellStyle name="CALC Currency Total [2] 7 5 2" xfId="27051"/>
    <cellStyle name="CALC Currency Total [2] 7 5 2 2" xfId="44274"/>
    <cellStyle name="CALC Currency Total [2] 7 5 3" xfId="34213"/>
    <cellStyle name="CALC Currency Total [2] 7 5 4" xfId="44275"/>
    <cellStyle name="CALC Currency Total [2] 7 6" xfId="19699"/>
    <cellStyle name="CALC Currency Total [2] 7 6 2" xfId="28020"/>
    <cellStyle name="CALC Currency Total [2] 7 6 2 2" xfId="44276"/>
    <cellStyle name="CALC Currency Total [2] 7 6 3" xfId="35159"/>
    <cellStyle name="CALC Currency Total [2] 7 6 4" xfId="44277"/>
    <cellStyle name="CALC Currency Total [2] 7 7" xfId="20656"/>
    <cellStyle name="CALC Currency Total [2] 7 7 2" xfId="28977"/>
    <cellStyle name="CALC Currency Total [2] 7 7 2 2" xfId="44278"/>
    <cellStyle name="CALC Currency Total [2] 7 7 3" xfId="36074"/>
    <cellStyle name="CALC Currency Total [2] 7 7 4" xfId="44279"/>
    <cellStyle name="CALC Currency Total [2] 7 8" xfId="21251"/>
    <cellStyle name="CALC Currency Total [2] 7 8 2" xfId="29560"/>
    <cellStyle name="CALC Currency Total [2] 7 8 2 2" xfId="44280"/>
    <cellStyle name="CALC Currency Total [2] 7 8 3" xfId="36628"/>
    <cellStyle name="CALC Currency Total [2] 7 8 4" xfId="44281"/>
    <cellStyle name="CALC Currency Total [2] 7 9" xfId="22093"/>
    <cellStyle name="CALC Currency Total [2] 7 9 2" xfId="30391"/>
    <cellStyle name="CALC Currency Total [2] 7 9 2 2" xfId="44282"/>
    <cellStyle name="CALC Currency Total [2] 7 9 3" xfId="37425"/>
    <cellStyle name="CALC Currency Total [2] 7 9 4" xfId="44283"/>
    <cellStyle name="CALC Currency Total [2] 8" xfId="14778"/>
    <cellStyle name="CALC Currency Total [2] 8 10" xfId="23142"/>
    <cellStyle name="CALC Currency Total [2] 8 10 2" xfId="44284"/>
    <cellStyle name="CALC Currency Total [2] 8 11" xfId="44285"/>
    <cellStyle name="CALC Currency Total [2] 8 12" xfId="44286"/>
    <cellStyle name="CALC Currency Total [2] 8 2" xfId="15859"/>
    <cellStyle name="CALC Currency Total [2] 8 2 2" xfId="24177"/>
    <cellStyle name="CALC Currency Total [2] 8 2 2 2" xfId="44287"/>
    <cellStyle name="CALC Currency Total [2] 8 2 3" xfId="31465"/>
    <cellStyle name="CALC Currency Total [2] 8 2 4" xfId="44288"/>
    <cellStyle name="CALC Currency Total [2] 8 3" xfId="16825"/>
    <cellStyle name="CALC Currency Total [2] 8 3 2" xfId="25149"/>
    <cellStyle name="CALC Currency Total [2] 8 3 2 2" xfId="44289"/>
    <cellStyle name="CALC Currency Total [2] 8 3 3" xfId="32398"/>
    <cellStyle name="CALC Currency Total [2] 8 3 4" xfId="44290"/>
    <cellStyle name="CALC Currency Total [2] 8 4" xfId="17851"/>
    <cellStyle name="CALC Currency Total [2] 8 4 2" xfId="26175"/>
    <cellStyle name="CALC Currency Total [2] 8 4 2 2" xfId="44291"/>
    <cellStyle name="CALC Currency Total [2] 8 4 3" xfId="33375"/>
    <cellStyle name="CALC Currency Total [2] 8 4 4" xfId="44292"/>
    <cellStyle name="CALC Currency Total [2] 8 5" xfId="18835"/>
    <cellStyle name="CALC Currency Total [2] 8 5 2" xfId="27156"/>
    <cellStyle name="CALC Currency Total [2] 8 5 2 2" xfId="44293"/>
    <cellStyle name="CALC Currency Total [2] 8 5 3" xfId="34315"/>
    <cellStyle name="CALC Currency Total [2] 8 5 4" xfId="44294"/>
    <cellStyle name="CALC Currency Total [2] 8 6" xfId="19803"/>
    <cellStyle name="CALC Currency Total [2] 8 6 2" xfId="28125"/>
    <cellStyle name="CALC Currency Total [2] 8 6 2 2" xfId="44295"/>
    <cellStyle name="CALC Currency Total [2] 8 6 3" xfId="35261"/>
    <cellStyle name="CALC Currency Total [2] 8 6 4" xfId="44296"/>
    <cellStyle name="CALC Currency Total [2] 8 7" xfId="20761"/>
    <cellStyle name="CALC Currency Total [2] 8 7 2" xfId="29082"/>
    <cellStyle name="CALC Currency Total [2] 8 7 2 2" xfId="44297"/>
    <cellStyle name="CALC Currency Total [2] 8 7 3" xfId="36174"/>
    <cellStyle name="CALC Currency Total [2] 8 7 4" xfId="44298"/>
    <cellStyle name="CALC Currency Total [2] 8 8" xfId="21193"/>
    <cellStyle name="CALC Currency Total [2] 8 8 2" xfId="29505"/>
    <cellStyle name="CALC Currency Total [2] 8 8 2 2" xfId="44299"/>
    <cellStyle name="CALC Currency Total [2] 8 8 3" xfId="36576"/>
    <cellStyle name="CALC Currency Total [2] 8 8 4" xfId="44300"/>
    <cellStyle name="CALC Currency Total [2] 8 9" xfId="22197"/>
    <cellStyle name="CALC Currency Total [2] 8 9 2" xfId="30495"/>
    <cellStyle name="CALC Currency Total [2] 8 9 2 2" xfId="44301"/>
    <cellStyle name="CALC Currency Total [2] 8 9 3" xfId="37526"/>
    <cellStyle name="CALC Currency Total [2] 8 9 4" xfId="44302"/>
    <cellStyle name="CALC Currency Total [2] 9" xfId="14819"/>
    <cellStyle name="CALC Currency Total [2] 9 10" xfId="23183"/>
    <cellStyle name="CALC Currency Total [2] 9 10 2" xfId="44303"/>
    <cellStyle name="CALC Currency Total [2] 9 11" xfId="44304"/>
    <cellStyle name="CALC Currency Total [2] 9 12" xfId="44305"/>
    <cellStyle name="CALC Currency Total [2] 9 2" xfId="15900"/>
    <cellStyle name="CALC Currency Total [2] 9 2 2" xfId="24218"/>
    <cellStyle name="CALC Currency Total [2] 9 2 2 2" xfId="44306"/>
    <cellStyle name="CALC Currency Total [2] 9 2 3" xfId="31504"/>
    <cellStyle name="CALC Currency Total [2] 9 2 4" xfId="44307"/>
    <cellStyle name="CALC Currency Total [2] 9 3" xfId="16866"/>
    <cellStyle name="CALC Currency Total [2] 9 3 2" xfId="25190"/>
    <cellStyle name="CALC Currency Total [2] 9 3 2 2" xfId="44308"/>
    <cellStyle name="CALC Currency Total [2] 9 3 3" xfId="32437"/>
    <cellStyle name="CALC Currency Total [2] 9 3 4" xfId="44309"/>
    <cellStyle name="CALC Currency Total [2] 9 4" xfId="17893"/>
    <cellStyle name="CALC Currency Total [2] 9 4 2" xfId="26216"/>
    <cellStyle name="CALC Currency Total [2] 9 4 2 2" xfId="44310"/>
    <cellStyle name="CALC Currency Total [2] 9 4 3" xfId="33414"/>
    <cellStyle name="CALC Currency Total [2] 9 4 4" xfId="44311"/>
    <cellStyle name="CALC Currency Total [2] 9 5" xfId="18877"/>
    <cellStyle name="CALC Currency Total [2] 9 5 2" xfId="27197"/>
    <cellStyle name="CALC Currency Total [2] 9 5 2 2" xfId="44312"/>
    <cellStyle name="CALC Currency Total [2] 9 5 3" xfId="34354"/>
    <cellStyle name="CALC Currency Total [2] 9 5 4" xfId="44313"/>
    <cellStyle name="CALC Currency Total [2] 9 6" xfId="19845"/>
    <cellStyle name="CALC Currency Total [2] 9 6 2" xfId="28167"/>
    <cellStyle name="CALC Currency Total [2] 9 6 2 2" xfId="44314"/>
    <cellStyle name="CALC Currency Total [2] 9 6 3" xfId="35301"/>
    <cellStyle name="CALC Currency Total [2] 9 6 4" xfId="44315"/>
    <cellStyle name="CALC Currency Total [2] 9 7" xfId="20803"/>
    <cellStyle name="CALC Currency Total [2] 9 7 2" xfId="29123"/>
    <cellStyle name="CALC Currency Total [2] 9 7 2 2" xfId="44316"/>
    <cellStyle name="CALC Currency Total [2] 9 7 3" xfId="36212"/>
    <cellStyle name="CALC Currency Total [2] 9 7 4" xfId="44317"/>
    <cellStyle name="CALC Currency Total [2] 9 8" xfId="21154"/>
    <cellStyle name="CALC Currency Total [2] 9 8 2" xfId="29466"/>
    <cellStyle name="CALC Currency Total [2] 9 8 2 2" xfId="44318"/>
    <cellStyle name="CALC Currency Total [2] 9 8 3" xfId="36538"/>
    <cellStyle name="CALC Currency Total [2] 9 8 4" xfId="44319"/>
    <cellStyle name="CALC Currency Total [2] 9 9" xfId="22238"/>
    <cellStyle name="CALC Currency Total [2] 9 9 2" xfId="30537"/>
    <cellStyle name="CALC Currency Total [2] 9 9 2 2" xfId="44320"/>
    <cellStyle name="CALC Currency Total [2] 9 9 3" xfId="37565"/>
    <cellStyle name="CALC Currency Total [2] 9 9 4" xfId="44321"/>
    <cellStyle name="CALC Currency Total 10" xfId="14658"/>
    <cellStyle name="CALC Currency Total 10 10" xfId="23020"/>
    <cellStyle name="CALC Currency Total 10 10 2" xfId="44322"/>
    <cellStyle name="CALC Currency Total 10 11" xfId="44323"/>
    <cellStyle name="CALC Currency Total 10 2" xfId="15739"/>
    <cellStyle name="CALC Currency Total 10 2 2" xfId="24055"/>
    <cellStyle name="CALC Currency Total 10 2 2 2" xfId="44324"/>
    <cellStyle name="CALC Currency Total 10 2 3" xfId="31347"/>
    <cellStyle name="CALC Currency Total 10 2 4" xfId="44325"/>
    <cellStyle name="CALC Currency Total 10 3" xfId="16705"/>
    <cellStyle name="CALC Currency Total 10 3 2" xfId="25026"/>
    <cellStyle name="CALC Currency Total 10 3 2 2" xfId="44326"/>
    <cellStyle name="CALC Currency Total 10 3 3" xfId="32280"/>
    <cellStyle name="CALC Currency Total 10 3 4" xfId="44327"/>
    <cellStyle name="CALC Currency Total 10 4" xfId="17729"/>
    <cellStyle name="CALC Currency Total 10 4 2" xfId="26052"/>
    <cellStyle name="CALC Currency Total 10 4 2 2" xfId="44328"/>
    <cellStyle name="CALC Currency Total 10 4 3" xfId="33257"/>
    <cellStyle name="CALC Currency Total 10 4 4" xfId="44329"/>
    <cellStyle name="CALC Currency Total 10 5" xfId="18712"/>
    <cellStyle name="CALC Currency Total 10 5 2" xfId="27033"/>
    <cellStyle name="CALC Currency Total 10 5 2 2" xfId="44330"/>
    <cellStyle name="CALC Currency Total 10 5 3" xfId="34196"/>
    <cellStyle name="CALC Currency Total 10 5 4" xfId="44331"/>
    <cellStyle name="CALC Currency Total 10 6" xfId="19681"/>
    <cellStyle name="CALC Currency Total 10 6 2" xfId="28002"/>
    <cellStyle name="CALC Currency Total 10 6 2 2" xfId="44332"/>
    <cellStyle name="CALC Currency Total 10 6 3" xfId="35142"/>
    <cellStyle name="CALC Currency Total 10 6 4" xfId="44333"/>
    <cellStyle name="CALC Currency Total 10 7" xfId="20638"/>
    <cellStyle name="CALC Currency Total 10 7 2" xfId="28959"/>
    <cellStyle name="CALC Currency Total 10 7 2 2" xfId="44334"/>
    <cellStyle name="CALC Currency Total 10 7 3" xfId="36057"/>
    <cellStyle name="CALC Currency Total 10 7 4" xfId="44335"/>
    <cellStyle name="CALC Currency Total 10 8" xfId="15546"/>
    <cellStyle name="CALC Currency Total 10 8 2" xfId="23879"/>
    <cellStyle name="CALC Currency Total 10 8 2 2" xfId="44336"/>
    <cellStyle name="CALC Currency Total 10 8 3" xfId="31223"/>
    <cellStyle name="CALC Currency Total 10 8 4" xfId="44337"/>
    <cellStyle name="CALC Currency Total 10 9" xfId="22075"/>
    <cellStyle name="CALC Currency Total 10 9 2" xfId="30373"/>
    <cellStyle name="CALC Currency Total 10 9 2 2" xfId="44338"/>
    <cellStyle name="CALC Currency Total 10 9 3" xfId="37408"/>
    <cellStyle name="CALC Currency Total 10 9 4" xfId="44339"/>
    <cellStyle name="CALC Currency Total 100" xfId="15467"/>
    <cellStyle name="CALC Currency Total 100 2" xfId="17513"/>
    <cellStyle name="CALC Currency Total 100 2 2" xfId="25833"/>
    <cellStyle name="CALC Currency Total 100 2 2 2" xfId="44340"/>
    <cellStyle name="CALC Currency Total 100 2 3" xfId="33052"/>
    <cellStyle name="CALC Currency Total 100 2 4" xfId="44341"/>
    <cellStyle name="CALC Currency Total 100 3" xfId="19524"/>
    <cellStyle name="CALC Currency Total 100 3 2" xfId="27845"/>
    <cellStyle name="CALC Currency Total 100 3 2 2" xfId="44342"/>
    <cellStyle name="CALC Currency Total 100 3 3" xfId="34993"/>
    <cellStyle name="CALC Currency Total 100 3 4" xfId="44343"/>
    <cellStyle name="CALC Currency Total 100 4" xfId="44344"/>
    <cellStyle name="CALC Currency Total 100 4 2" xfId="44345"/>
    <cellStyle name="CALC Currency Total 101" xfId="15520"/>
    <cellStyle name="CALC Currency Total 101 2" xfId="44346"/>
    <cellStyle name="CALC Currency Total 101 2 2" xfId="44347"/>
    <cellStyle name="CALC Currency Total 102" xfId="15541"/>
    <cellStyle name="CALC Currency Total 102 2" xfId="44348"/>
    <cellStyle name="CALC Currency Total 102 2 2" xfId="44349"/>
    <cellStyle name="CALC Currency Total 103" xfId="15504"/>
    <cellStyle name="CALC Currency Total 103 2" xfId="44350"/>
    <cellStyle name="CALC Currency Total 103 2 2" xfId="44351"/>
    <cellStyle name="CALC Currency Total 104" xfId="15559"/>
    <cellStyle name="CALC Currency Total 104 2" xfId="44352"/>
    <cellStyle name="CALC Currency Total 104 2 2" xfId="44353"/>
    <cellStyle name="CALC Currency Total 105" xfId="18538"/>
    <cellStyle name="CALC Currency Total 105 2" xfId="44354"/>
    <cellStyle name="CALC Currency Total 105 2 2" xfId="44355"/>
    <cellStyle name="CALC Currency Total 106" xfId="15550"/>
    <cellStyle name="CALC Currency Total 106 2" xfId="44356"/>
    <cellStyle name="CALC Currency Total 106 2 2" xfId="44357"/>
    <cellStyle name="CALC Currency Total 107" xfId="21107"/>
    <cellStyle name="CALC Currency Total 107 2" xfId="44358"/>
    <cellStyle name="CALC Currency Total 107 2 2" xfId="44359"/>
    <cellStyle name="CALC Currency Total 108" xfId="21243"/>
    <cellStyle name="CALC Currency Total 108 2" xfId="44360"/>
    <cellStyle name="CALC Currency Total 108 2 2" xfId="44361"/>
    <cellStyle name="CALC Currency Total 109" xfId="19587"/>
    <cellStyle name="CALC Currency Total 109 2" xfId="44362"/>
    <cellStyle name="CALC Currency Total 11" xfId="14659"/>
    <cellStyle name="CALC Currency Total 11 10" xfId="23021"/>
    <cellStyle name="CALC Currency Total 11 10 2" xfId="44363"/>
    <cellStyle name="CALC Currency Total 11 11" xfId="44364"/>
    <cellStyle name="CALC Currency Total 11 2" xfId="15740"/>
    <cellStyle name="CALC Currency Total 11 2 2" xfId="24056"/>
    <cellStyle name="CALC Currency Total 11 2 2 2" xfId="44365"/>
    <cellStyle name="CALC Currency Total 11 2 3" xfId="31348"/>
    <cellStyle name="CALC Currency Total 11 2 4" xfId="44366"/>
    <cellStyle name="CALC Currency Total 11 3" xfId="16706"/>
    <cellStyle name="CALC Currency Total 11 3 2" xfId="25027"/>
    <cellStyle name="CALC Currency Total 11 3 2 2" xfId="44367"/>
    <cellStyle name="CALC Currency Total 11 3 3" xfId="32281"/>
    <cellStyle name="CALC Currency Total 11 3 4" xfId="44368"/>
    <cellStyle name="CALC Currency Total 11 4" xfId="17730"/>
    <cellStyle name="CALC Currency Total 11 4 2" xfId="26053"/>
    <cellStyle name="CALC Currency Total 11 4 2 2" xfId="44369"/>
    <cellStyle name="CALC Currency Total 11 4 3" xfId="33258"/>
    <cellStyle name="CALC Currency Total 11 4 4" xfId="44370"/>
    <cellStyle name="CALC Currency Total 11 5" xfId="18713"/>
    <cellStyle name="CALC Currency Total 11 5 2" xfId="27034"/>
    <cellStyle name="CALC Currency Total 11 5 2 2" xfId="44371"/>
    <cellStyle name="CALC Currency Total 11 5 3" xfId="34197"/>
    <cellStyle name="CALC Currency Total 11 5 4" xfId="44372"/>
    <cellStyle name="CALC Currency Total 11 6" xfId="19682"/>
    <cellStyle name="CALC Currency Total 11 6 2" xfId="28003"/>
    <cellStyle name="CALC Currency Total 11 6 2 2" xfId="44373"/>
    <cellStyle name="CALC Currency Total 11 6 3" xfId="35143"/>
    <cellStyle name="CALC Currency Total 11 6 4" xfId="44374"/>
    <cellStyle name="CALC Currency Total 11 7" xfId="20639"/>
    <cellStyle name="CALC Currency Total 11 7 2" xfId="28960"/>
    <cellStyle name="CALC Currency Total 11 7 2 2" xfId="44375"/>
    <cellStyle name="CALC Currency Total 11 7 3" xfId="36058"/>
    <cellStyle name="CALC Currency Total 11 7 4" xfId="44376"/>
    <cellStyle name="CALC Currency Total 11 8" xfId="17569"/>
    <cellStyle name="CALC Currency Total 11 8 2" xfId="25888"/>
    <cellStyle name="CALC Currency Total 11 8 2 2" xfId="44377"/>
    <cellStyle name="CALC Currency Total 11 8 3" xfId="33101"/>
    <cellStyle name="CALC Currency Total 11 8 4" xfId="44378"/>
    <cellStyle name="CALC Currency Total 11 9" xfId="22076"/>
    <cellStyle name="CALC Currency Total 11 9 2" xfId="30374"/>
    <cellStyle name="CALC Currency Total 11 9 2 2" xfId="44379"/>
    <cellStyle name="CALC Currency Total 11 9 3" xfId="37409"/>
    <cellStyle name="CALC Currency Total 11 9 4" xfId="44380"/>
    <cellStyle name="CALC Currency Total 110" xfId="25885"/>
    <cellStyle name="CALC Currency Total 111" xfId="44381"/>
    <cellStyle name="CALC Currency Total 112" xfId="44382"/>
    <cellStyle name="CALC Currency Total 12" xfId="14675"/>
    <cellStyle name="CALC Currency Total 12 10" xfId="23037"/>
    <cellStyle name="CALC Currency Total 12 10 2" xfId="44383"/>
    <cellStyle name="CALC Currency Total 12 11" xfId="44384"/>
    <cellStyle name="CALC Currency Total 12 2" xfId="15756"/>
    <cellStyle name="CALC Currency Total 12 2 2" xfId="24072"/>
    <cellStyle name="CALC Currency Total 12 2 2 2" xfId="44385"/>
    <cellStyle name="CALC Currency Total 12 2 3" xfId="31363"/>
    <cellStyle name="CALC Currency Total 12 2 4" xfId="44386"/>
    <cellStyle name="CALC Currency Total 12 3" xfId="16722"/>
    <cellStyle name="CALC Currency Total 12 3 2" xfId="25043"/>
    <cellStyle name="CALC Currency Total 12 3 2 2" xfId="44387"/>
    <cellStyle name="CALC Currency Total 12 3 3" xfId="32296"/>
    <cellStyle name="CALC Currency Total 12 3 4" xfId="44388"/>
    <cellStyle name="CALC Currency Total 12 4" xfId="17746"/>
    <cellStyle name="CALC Currency Total 12 4 2" xfId="26069"/>
    <cellStyle name="CALC Currency Total 12 4 2 2" xfId="44389"/>
    <cellStyle name="CALC Currency Total 12 4 3" xfId="33273"/>
    <cellStyle name="CALC Currency Total 12 4 4" xfId="44390"/>
    <cellStyle name="CALC Currency Total 12 5" xfId="18729"/>
    <cellStyle name="CALC Currency Total 12 5 2" xfId="27050"/>
    <cellStyle name="CALC Currency Total 12 5 2 2" xfId="44391"/>
    <cellStyle name="CALC Currency Total 12 5 3" xfId="34212"/>
    <cellStyle name="CALC Currency Total 12 5 4" xfId="44392"/>
    <cellStyle name="CALC Currency Total 12 6" xfId="19698"/>
    <cellStyle name="CALC Currency Total 12 6 2" xfId="28019"/>
    <cellStyle name="CALC Currency Total 12 6 2 2" xfId="44393"/>
    <cellStyle name="CALC Currency Total 12 6 3" xfId="35158"/>
    <cellStyle name="CALC Currency Total 12 6 4" xfId="44394"/>
    <cellStyle name="CALC Currency Total 12 7" xfId="20655"/>
    <cellStyle name="CALC Currency Total 12 7 2" xfId="28976"/>
    <cellStyle name="CALC Currency Total 12 7 2 2" xfId="44395"/>
    <cellStyle name="CALC Currency Total 12 7 3" xfId="36073"/>
    <cellStyle name="CALC Currency Total 12 7 4" xfId="44396"/>
    <cellStyle name="CALC Currency Total 12 8" xfId="21165"/>
    <cellStyle name="CALC Currency Total 12 8 2" xfId="29477"/>
    <cellStyle name="CALC Currency Total 12 8 2 2" xfId="44397"/>
    <cellStyle name="CALC Currency Total 12 8 3" xfId="36549"/>
    <cellStyle name="CALC Currency Total 12 8 4" xfId="44398"/>
    <cellStyle name="CALC Currency Total 12 9" xfId="22092"/>
    <cellStyle name="CALC Currency Total 12 9 2" xfId="30390"/>
    <cellStyle name="CALC Currency Total 12 9 2 2" xfId="44399"/>
    <cellStyle name="CALC Currency Total 12 9 3" xfId="37424"/>
    <cellStyle name="CALC Currency Total 12 9 4" xfId="44400"/>
    <cellStyle name="CALC Currency Total 13" xfId="14689"/>
    <cellStyle name="CALC Currency Total 13 10" xfId="23052"/>
    <cellStyle name="CALC Currency Total 13 10 2" xfId="44401"/>
    <cellStyle name="CALC Currency Total 13 11" xfId="44402"/>
    <cellStyle name="CALC Currency Total 13 2" xfId="15770"/>
    <cellStyle name="CALC Currency Total 13 2 2" xfId="24087"/>
    <cellStyle name="CALC Currency Total 13 2 2 2" xfId="44403"/>
    <cellStyle name="CALC Currency Total 13 2 3" xfId="31378"/>
    <cellStyle name="CALC Currency Total 13 2 4" xfId="44404"/>
    <cellStyle name="CALC Currency Total 13 3" xfId="16736"/>
    <cellStyle name="CALC Currency Total 13 3 2" xfId="25058"/>
    <cellStyle name="CALC Currency Total 13 3 2 2" xfId="44405"/>
    <cellStyle name="CALC Currency Total 13 3 3" xfId="32311"/>
    <cellStyle name="CALC Currency Total 13 3 4" xfId="44406"/>
    <cellStyle name="CALC Currency Total 13 4" xfId="17760"/>
    <cellStyle name="CALC Currency Total 13 4 2" xfId="26084"/>
    <cellStyle name="CALC Currency Total 13 4 2 2" xfId="44407"/>
    <cellStyle name="CALC Currency Total 13 4 3" xfId="33288"/>
    <cellStyle name="CALC Currency Total 13 4 4" xfId="44408"/>
    <cellStyle name="CALC Currency Total 13 5" xfId="18744"/>
    <cellStyle name="CALC Currency Total 13 5 2" xfId="27065"/>
    <cellStyle name="CALC Currency Total 13 5 2 2" xfId="44409"/>
    <cellStyle name="CALC Currency Total 13 5 3" xfId="34227"/>
    <cellStyle name="CALC Currency Total 13 5 4" xfId="44410"/>
    <cellStyle name="CALC Currency Total 13 6" xfId="19713"/>
    <cellStyle name="CALC Currency Total 13 6 2" xfId="28034"/>
    <cellStyle name="CALC Currency Total 13 6 2 2" xfId="44411"/>
    <cellStyle name="CALC Currency Total 13 6 3" xfId="35173"/>
    <cellStyle name="CALC Currency Total 13 6 4" xfId="44412"/>
    <cellStyle name="CALC Currency Total 13 7" xfId="20670"/>
    <cellStyle name="CALC Currency Total 13 7 2" xfId="28991"/>
    <cellStyle name="CALC Currency Total 13 7 2 2" xfId="44413"/>
    <cellStyle name="CALC Currency Total 13 7 3" xfId="36088"/>
    <cellStyle name="CALC Currency Total 13 7 4" xfId="44414"/>
    <cellStyle name="CALC Currency Total 13 8" xfId="18086"/>
    <cellStyle name="CALC Currency Total 13 8 2" xfId="26406"/>
    <cellStyle name="CALC Currency Total 13 8 2 2" xfId="44415"/>
    <cellStyle name="CALC Currency Total 13 8 3" xfId="33597"/>
    <cellStyle name="CALC Currency Total 13 8 4" xfId="44416"/>
    <cellStyle name="CALC Currency Total 13 9" xfId="22107"/>
    <cellStyle name="CALC Currency Total 13 9 2" xfId="30405"/>
    <cellStyle name="CALC Currency Total 13 9 2 2" xfId="44417"/>
    <cellStyle name="CALC Currency Total 13 9 3" xfId="37439"/>
    <cellStyle name="CALC Currency Total 13 9 4" xfId="44418"/>
    <cellStyle name="CALC Currency Total 14" xfId="14697"/>
    <cellStyle name="CALC Currency Total 14 10" xfId="23059"/>
    <cellStyle name="CALC Currency Total 14 10 2" xfId="44419"/>
    <cellStyle name="CALC Currency Total 14 11" xfId="44420"/>
    <cellStyle name="CALC Currency Total 14 2" xfId="15778"/>
    <cellStyle name="CALC Currency Total 14 2 2" xfId="24094"/>
    <cellStyle name="CALC Currency Total 14 2 2 2" xfId="44421"/>
    <cellStyle name="CALC Currency Total 14 2 3" xfId="31385"/>
    <cellStyle name="CALC Currency Total 14 2 4" xfId="44422"/>
    <cellStyle name="CALC Currency Total 14 3" xfId="16744"/>
    <cellStyle name="CALC Currency Total 14 3 2" xfId="25066"/>
    <cellStyle name="CALC Currency Total 14 3 2 2" xfId="44423"/>
    <cellStyle name="CALC Currency Total 14 3 3" xfId="32318"/>
    <cellStyle name="CALC Currency Total 14 3 4" xfId="44424"/>
    <cellStyle name="CALC Currency Total 14 4" xfId="17768"/>
    <cellStyle name="CALC Currency Total 14 4 2" xfId="26092"/>
    <cellStyle name="CALC Currency Total 14 4 2 2" xfId="44425"/>
    <cellStyle name="CALC Currency Total 14 4 3" xfId="33295"/>
    <cellStyle name="CALC Currency Total 14 4 4" xfId="44426"/>
    <cellStyle name="CALC Currency Total 14 5" xfId="18752"/>
    <cellStyle name="CALC Currency Total 14 5 2" xfId="27073"/>
    <cellStyle name="CALC Currency Total 14 5 2 2" xfId="44427"/>
    <cellStyle name="CALC Currency Total 14 5 3" xfId="34235"/>
    <cellStyle name="CALC Currency Total 14 5 4" xfId="44428"/>
    <cellStyle name="CALC Currency Total 14 6" xfId="19721"/>
    <cellStyle name="CALC Currency Total 14 6 2" xfId="28042"/>
    <cellStyle name="CALC Currency Total 14 6 2 2" xfId="44429"/>
    <cellStyle name="CALC Currency Total 14 6 3" xfId="35181"/>
    <cellStyle name="CALC Currency Total 14 6 4" xfId="44430"/>
    <cellStyle name="CALC Currency Total 14 7" xfId="20678"/>
    <cellStyle name="CALC Currency Total 14 7 2" xfId="28999"/>
    <cellStyle name="CALC Currency Total 14 7 2 2" xfId="44431"/>
    <cellStyle name="CALC Currency Total 14 7 3" xfId="36095"/>
    <cellStyle name="CALC Currency Total 14 7 4" xfId="44432"/>
    <cellStyle name="CALC Currency Total 14 8" xfId="21236"/>
    <cellStyle name="CALC Currency Total 14 8 2" xfId="29546"/>
    <cellStyle name="CALC Currency Total 14 8 2 2" xfId="44433"/>
    <cellStyle name="CALC Currency Total 14 8 3" xfId="36615"/>
    <cellStyle name="CALC Currency Total 14 8 4" xfId="44434"/>
    <cellStyle name="CALC Currency Total 14 9" xfId="22114"/>
    <cellStyle name="CALC Currency Total 14 9 2" xfId="30412"/>
    <cellStyle name="CALC Currency Total 14 9 2 2" xfId="44435"/>
    <cellStyle name="CALC Currency Total 14 9 3" xfId="37446"/>
    <cellStyle name="CALC Currency Total 14 9 4" xfId="44436"/>
    <cellStyle name="CALC Currency Total 15" xfId="14737"/>
    <cellStyle name="CALC Currency Total 15 10" xfId="23101"/>
    <cellStyle name="CALC Currency Total 15 10 2" xfId="44437"/>
    <cellStyle name="CALC Currency Total 15 11" xfId="44438"/>
    <cellStyle name="CALC Currency Total 15 2" xfId="15818"/>
    <cellStyle name="CALC Currency Total 15 2 2" xfId="24136"/>
    <cellStyle name="CALC Currency Total 15 2 2 2" xfId="44439"/>
    <cellStyle name="CALC Currency Total 15 2 3" xfId="31424"/>
    <cellStyle name="CALC Currency Total 15 2 4" xfId="44440"/>
    <cellStyle name="CALC Currency Total 15 3" xfId="16784"/>
    <cellStyle name="CALC Currency Total 15 3 2" xfId="25108"/>
    <cellStyle name="CALC Currency Total 15 3 2 2" xfId="44441"/>
    <cellStyle name="CALC Currency Total 15 3 3" xfId="32357"/>
    <cellStyle name="CALC Currency Total 15 3 4" xfId="44442"/>
    <cellStyle name="CALC Currency Total 15 4" xfId="17810"/>
    <cellStyle name="CALC Currency Total 15 4 2" xfId="26134"/>
    <cellStyle name="CALC Currency Total 15 4 2 2" xfId="44443"/>
    <cellStyle name="CALC Currency Total 15 4 3" xfId="33334"/>
    <cellStyle name="CALC Currency Total 15 4 4" xfId="44444"/>
    <cellStyle name="CALC Currency Total 15 5" xfId="18794"/>
    <cellStyle name="CALC Currency Total 15 5 2" xfId="27115"/>
    <cellStyle name="CALC Currency Total 15 5 2 2" xfId="44445"/>
    <cellStyle name="CALC Currency Total 15 5 3" xfId="34274"/>
    <cellStyle name="CALC Currency Total 15 5 4" xfId="44446"/>
    <cellStyle name="CALC Currency Total 15 6" xfId="19762"/>
    <cellStyle name="CALC Currency Total 15 6 2" xfId="28084"/>
    <cellStyle name="CALC Currency Total 15 6 2 2" xfId="44447"/>
    <cellStyle name="CALC Currency Total 15 6 3" xfId="35220"/>
    <cellStyle name="CALC Currency Total 15 6 4" xfId="44448"/>
    <cellStyle name="CALC Currency Total 15 7" xfId="20720"/>
    <cellStyle name="CALC Currency Total 15 7 2" xfId="29041"/>
    <cellStyle name="CALC Currency Total 15 7 2 2" xfId="44449"/>
    <cellStyle name="CALC Currency Total 15 7 3" xfId="36134"/>
    <cellStyle name="CALC Currency Total 15 7 4" xfId="44450"/>
    <cellStyle name="CALC Currency Total 15 8" xfId="21340"/>
    <cellStyle name="CALC Currency Total 15 8 2" xfId="29644"/>
    <cellStyle name="CALC Currency Total 15 8 2 2" xfId="44451"/>
    <cellStyle name="CALC Currency Total 15 8 3" xfId="36710"/>
    <cellStyle name="CALC Currency Total 15 8 4" xfId="44452"/>
    <cellStyle name="CALC Currency Total 15 9" xfId="22156"/>
    <cellStyle name="CALC Currency Total 15 9 2" xfId="30454"/>
    <cellStyle name="CALC Currency Total 15 9 2 2" xfId="44453"/>
    <cellStyle name="CALC Currency Total 15 9 3" xfId="37485"/>
    <cellStyle name="CALC Currency Total 15 9 4" xfId="44454"/>
    <cellStyle name="CALC Currency Total 16" xfId="14740"/>
    <cellStyle name="CALC Currency Total 16 10" xfId="23104"/>
    <cellStyle name="CALC Currency Total 16 10 2" xfId="44455"/>
    <cellStyle name="CALC Currency Total 16 11" xfId="44456"/>
    <cellStyle name="CALC Currency Total 16 2" xfId="15821"/>
    <cellStyle name="CALC Currency Total 16 2 2" xfId="24139"/>
    <cellStyle name="CALC Currency Total 16 2 2 2" xfId="44457"/>
    <cellStyle name="CALC Currency Total 16 2 3" xfId="31427"/>
    <cellStyle name="CALC Currency Total 16 2 4" xfId="44458"/>
    <cellStyle name="CALC Currency Total 16 3" xfId="16787"/>
    <cellStyle name="CALC Currency Total 16 3 2" xfId="25111"/>
    <cellStyle name="CALC Currency Total 16 3 2 2" xfId="44459"/>
    <cellStyle name="CALC Currency Total 16 3 3" xfId="32360"/>
    <cellStyle name="CALC Currency Total 16 3 4" xfId="44460"/>
    <cellStyle name="CALC Currency Total 16 4" xfId="17813"/>
    <cellStyle name="CALC Currency Total 16 4 2" xfId="26137"/>
    <cellStyle name="CALC Currency Total 16 4 2 2" xfId="44461"/>
    <cellStyle name="CALC Currency Total 16 4 3" xfId="33337"/>
    <cellStyle name="CALC Currency Total 16 4 4" xfId="44462"/>
    <cellStyle name="CALC Currency Total 16 5" xfId="18797"/>
    <cellStyle name="CALC Currency Total 16 5 2" xfId="27118"/>
    <cellStyle name="CALC Currency Total 16 5 2 2" xfId="44463"/>
    <cellStyle name="CALC Currency Total 16 5 3" xfId="34277"/>
    <cellStyle name="CALC Currency Total 16 5 4" xfId="44464"/>
    <cellStyle name="CALC Currency Total 16 6" xfId="19765"/>
    <cellStyle name="CALC Currency Total 16 6 2" xfId="28087"/>
    <cellStyle name="CALC Currency Total 16 6 2 2" xfId="44465"/>
    <cellStyle name="CALC Currency Total 16 6 3" xfId="35223"/>
    <cellStyle name="CALC Currency Total 16 6 4" xfId="44466"/>
    <cellStyle name="CALC Currency Total 16 7" xfId="20723"/>
    <cellStyle name="CALC Currency Total 16 7 2" xfId="29044"/>
    <cellStyle name="CALC Currency Total 16 7 2 2" xfId="44467"/>
    <cellStyle name="CALC Currency Total 16 7 3" xfId="36136"/>
    <cellStyle name="CALC Currency Total 16 7 4" xfId="44468"/>
    <cellStyle name="CALC Currency Total 16 8" xfId="21304"/>
    <cellStyle name="CALC Currency Total 16 8 2" xfId="29611"/>
    <cellStyle name="CALC Currency Total 16 8 2 2" xfId="44469"/>
    <cellStyle name="CALC Currency Total 16 8 3" xfId="36678"/>
    <cellStyle name="CALC Currency Total 16 8 4" xfId="44470"/>
    <cellStyle name="CALC Currency Total 16 9" xfId="22159"/>
    <cellStyle name="CALC Currency Total 16 9 2" xfId="30457"/>
    <cellStyle name="CALC Currency Total 16 9 2 2" xfId="44471"/>
    <cellStyle name="CALC Currency Total 16 9 3" xfId="37488"/>
    <cellStyle name="CALC Currency Total 16 9 4" xfId="44472"/>
    <cellStyle name="CALC Currency Total 17" xfId="14744"/>
    <cellStyle name="CALC Currency Total 17 10" xfId="23108"/>
    <cellStyle name="CALC Currency Total 17 10 2" xfId="44473"/>
    <cellStyle name="CALC Currency Total 17 11" xfId="44474"/>
    <cellStyle name="CALC Currency Total 17 2" xfId="15825"/>
    <cellStyle name="CALC Currency Total 17 2 2" xfId="24143"/>
    <cellStyle name="CALC Currency Total 17 2 2 2" xfId="44475"/>
    <cellStyle name="CALC Currency Total 17 2 3" xfId="31431"/>
    <cellStyle name="CALC Currency Total 17 2 4" xfId="44476"/>
    <cellStyle name="CALC Currency Total 17 3" xfId="16791"/>
    <cellStyle name="CALC Currency Total 17 3 2" xfId="25115"/>
    <cellStyle name="CALC Currency Total 17 3 2 2" xfId="44477"/>
    <cellStyle name="CALC Currency Total 17 3 3" xfId="32364"/>
    <cellStyle name="CALC Currency Total 17 3 4" xfId="44478"/>
    <cellStyle name="CALC Currency Total 17 4" xfId="17817"/>
    <cellStyle name="CALC Currency Total 17 4 2" xfId="26141"/>
    <cellStyle name="CALC Currency Total 17 4 2 2" xfId="44479"/>
    <cellStyle name="CALC Currency Total 17 4 3" xfId="33341"/>
    <cellStyle name="CALC Currency Total 17 4 4" xfId="44480"/>
    <cellStyle name="CALC Currency Total 17 5" xfId="18801"/>
    <cellStyle name="CALC Currency Total 17 5 2" xfId="27122"/>
    <cellStyle name="CALC Currency Total 17 5 2 2" xfId="44481"/>
    <cellStyle name="CALC Currency Total 17 5 3" xfId="34281"/>
    <cellStyle name="CALC Currency Total 17 5 4" xfId="44482"/>
    <cellStyle name="CALC Currency Total 17 6" xfId="19769"/>
    <cellStyle name="CALC Currency Total 17 6 2" xfId="28091"/>
    <cellStyle name="CALC Currency Total 17 6 2 2" xfId="44483"/>
    <cellStyle name="CALC Currency Total 17 6 3" xfId="35227"/>
    <cellStyle name="CALC Currency Total 17 6 4" xfId="44484"/>
    <cellStyle name="CALC Currency Total 17 7" xfId="20727"/>
    <cellStyle name="CALC Currency Total 17 7 2" xfId="29048"/>
    <cellStyle name="CALC Currency Total 17 7 2 2" xfId="44485"/>
    <cellStyle name="CALC Currency Total 17 7 3" xfId="36140"/>
    <cellStyle name="CALC Currency Total 17 7 4" xfId="44486"/>
    <cellStyle name="CALC Currency Total 17 8" xfId="21204"/>
    <cellStyle name="CALC Currency Total 17 8 2" xfId="29516"/>
    <cellStyle name="CALC Currency Total 17 8 2 2" xfId="44487"/>
    <cellStyle name="CALC Currency Total 17 8 3" xfId="36585"/>
    <cellStyle name="CALC Currency Total 17 8 4" xfId="44488"/>
    <cellStyle name="CALC Currency Total 17 9" xfId="22163"/>
    <cellStyle name="CALC Currency Total 17 9 2" xfId="30461"/>
    <cellStyle name="CALC Currency Total 17 9 2 2" xfId="44489"/>
    <cellStyle name="CALC Currency Total 17 9 3" xfId="37492"/>
    <cellStyle name="CALC Currency Total 17 9 4" xfId="44490"/>
    <cellStyle name="CALC Currency Total 18" xfId="14768"/>
    <cellStyle name="CALC Currency Total 18 10" xfId="23132"/>
    <cellStyle name="CALC Currency Total 18 10 2" xfId="44491"/>
    <cellStyle name="CALC Currency Total 18 11" xfId="44492"/>
    <cellStyle name="CALC Currency Total 18 12" xfId="44493"/>
    <cellStyle name="CALC Currency Total 18 2" xfId="15849"/>
    <cellStyle name="CALC Currency Total 18 2 2" xfId="24167"/>
    <cellStyle name="CALC Currency Total 18 2 2 2" xfId="44494"/>
    <cellStyle name="CALC Currency Total 18 2 3" xfId="31455"/>
    <cellStyle name="CALC Currency Total 18 2 4" xfId="44495"/>
    <cellStyle name="CALC Currency Total 18 3" xfId="16815"/>
    <cellStyle name="CALC Currency Total 18 3 2" xfId="25139"/>
    <cellStyle name="CALC Currency Total 18 3 2 2" xfId="44496"/>
    <cellStyle name="CALC Currency Total 18 3 3" xfId="32388"/>
    <cellStyle name="CALC Currency Total 18 3 4" xfId="44497"/>
    <cellStyle name="CALC Currency Total 18 4" xfId="17841"/>
    <cellStyle name="CALC Currency Total 18 4 2" xfId="26165"/>
    <cellStyle name="CALC Currency Total 18 4 2 2" xfId="44498"/>
    <cellStyle name="CALC Currency Total 18 4 3" xfId="33365"/>
    <cellStyle name="CALC Currency Total 18 4 4" xfId="44499"/>
    <cellStyle name="CALC Currency Total 18 5" xfId="18825"/>
    <cellStyle name="CALC Currency Total 18 5 2" xfId="27146"/>
    <cellStyle name="CALC Currency Total 18 5 2 2" xfId="44500"/>
    <cellStyle name="CALC Currency Total 18 5 3" xfId="34305"/>
    <cellStyle name="CALC Currency Total 18 5 4" xfId="44501"/>
    <cellStyle name="CALC Currency Total 18 6" xfId="19793"/>
    <cellStyle name="CALC Currency Total 18 6 2" xfId="28115"/>
    <cellStyle name="CALC Currency Total 18 6 2 2" xfId="44502"/>
    <cellStyle name="CALC Currency Total 18 6 3" xfId="35251"/>
    <cellStyle name="CALC Currency Total 18 6 4" xfId="44503"/>
    <cellStyle name="CALC Currency Total 18 7" xfId="20751"/>
    <cellStyle name="CALC Currency Total 18 7 2" xfId="29072"/>
    <cellStyle name="CALC Currency Total 18 7 2 2" xfId="44504"/>
    <cellStyle name="CALC Currency Total 18 7 3" xfId="36164"/>
    <cellStyle name="CALC Currency Total 18 7 4" xfId="44505"/>
    <cellStyle name="CALC Currency Total 18 8" xfId="21275"/>
    <cellStyle name="CALC Currency Total 18 8 2" xfId="29583"/>
    <cellStyle name="CALC Currency Total 18 8 2 2" xfId="44506"/>
    <cellStyle name="CALC Currency Total 18 8 3" xfId="36650"/>
    <cellStyle name="CALC Currency Total 18 8 4" xfId="44507"/>
    <cellStyle name="CALC Currency Total 18 9" xfId="22187"/>
    <cellStyle name="CALC Currency Total 18 9 2" xfId="30485"/>
    <cellStyle name="CALC Currency Total 18 9 2 2" xfId="44508"/>
    <cellStyle name="CALC Currency Total 18 9 3" xfId="37516"/>
    <cellStyle name="CALC Currency Total 18 9 4" xfId="44509"/>
    <cellStyle name="CALC Currency Total 19" xfId="14708"/>
    <cellStyle name="CALC Currency Total 19 10" xfId="23070"/>
    <cellStyle name="CALC Currency Total 19 10 2" xfId="44510"/>
    <cellStyle name="CALC Currency Total 19 11" xfId="44511"/>
    <cellStyle name="CALC Currency Total 19 12" xfId="44512"/>
    <cellStyle name="CALC Currency Total 19 2" xfId="15789"/>
    <cellStyle name="CALC Currency Total 19 2 2" xfId="24105"/>
    <cellStyle name="CALC Currency Total 19 2 2 2" xfId="44513"/>
    <cellStyle name="CALC Currency Total 19 2 3" xfId="31394"/>
    <cellStyle name="CALC Currency Total 19 2 4" xfId="44514"/>
    <cellStyle name="CALC Currency Total 19 3" xfId="16755"/>
    <cellStyle name="CALC Currency Total 19 3 2" xfId="25077"/>
    <cellStyle name="CALC Currency Total 19 3 2 2" xfId="44515"/>
    <cellStyle name="CALC Currency Total 19 3 3" xfId="32327"/>
    <cellStyle name="CALC Currency Total 19 3 4" xfId="44516"/>
    <cellStyle name="CALC Currency Total 19 4" xfId="17779"/>
    <cellStyle name="CALC Currency Total 19 4 2" xfId="26103"/>
    <cellStyle name="CALC Currency Total 19 4 2 2" xfId="44517"/>
    <cellStyle name="CALC Currency Total 19 4 3" xfId="33304"/>
    <cellStyle name="CALC Currency Total 19 4 4" xfId="44518"/>
    <cellStyle name="CALC Currency Total 19 5" xfId="18763"/>
    <cellStyle name="CALC Currency Total 19 5 2" xfId="27084"/>
    <cellStyle name="CALC Currency Total 19 5 2 2" xfId="44519"/>
    <cellStyle name="CALC Currency Total 19 5 3" xfId="34244"/>
    <cellStyle name="CALC Currency Total 19 5 4" xfId="44520"/>
    <cellStyle name="CALC Currency Total 19 6" xfId="19732"/>
    <cellStyle name="CALC Currency Total 19 6 2" xfId="28053"/>
    <cellStyle name="CALC Currency Total 19 6 2 2" xfId="44521"/>
    <cellStyle name="CALC Currency Total 19 6 3" xfId="35190"/>
    <cellStyle name="CALC Currency Total 19 6 4" xfId="44522"/>
    <cellStyle name="CALC Currency Total 19 7" xfId="20689"/>
    <cellStyle name="CALC Currency Total 19 7 2" xfId="29010"/>
    <cellStyle name="CALC Currency Total 19 7 2 2" xfId="44523"/>
    <cellStyle name="CALC Currency Total 19 7 3" xfId="36104"/>
    <cellStyle name="CALC Currency Total 19 7 4" xfId="44524"/>
    <cellStyle name="CALC Currency Total 19 8" xfId="21261"/>
    <cellStyle name="CALC Currency Total 19 8 2" xfId="29569"/>
    <cellStyle name="CALC Currency Total 19 8 2 2" xfId="44525"/>
    <cellStyle name="CALC Currency Total 19 8 3" xfId="36637"/>
    <cellStyle name="CALC Currency Total 19 8 4" xfId="44526"/>
    <cellStyle name="CALC Currency Total 19 9" xfId="22125"/>
    <cellStyle name="CALC Currency Total 19 9 2" xfId="30423"/>
    <cellStyle name="CALC Currency Total 19 9 2 2" xfId="44527"/>
    <cellStyle name="CALC Currency Total 19 9 3" xfId="37455"/>
    <cellStyle name="CALC Currency Total 19 9 4" xfId="44528"/>
    <cellStyle name="CALC Currency Total 2" xfId="14465"/>
    <cellStyle name="CALC Currency Total 2 10" xfId="14774"/>
    <cellStyle name="CALC Currency Total 2 10 10" xfId="23138"/>
    <cellStyle name="CALC Currency Total 2 10 10 2" xfId="44529"/>
    <cellStyle name="CALC Currency Total 2 10 11" xfId="44530"/>
    <cellStyle name="CALC Currency Total 2 10 12" xfId="44531"/>
    <cellStyle name="CALC Currency Total 2 10 2" xfId="15855"/>
    <cellStyle name="CALC Currency Total 2 10 2 2" xfId="24173"/>
    <cellStyle name="CALC Currency Total 2 10 2 2 2" xfId="44532"/>
    <cellStyle name="CALC Currency Total 2 10 2 3" xfId="31461"/>
    <cellStyle name="CALC Currency Total 2 10 2 4" xfId="44533"/>
    <cellStyle name="CALC Currency Total 2 10 3" xfId="16821"/>
    <cellStyle name="CALC Currency Total 2 10 3 2" xfId="25145"/>
    <cellStyle name="CALC Currency Total 2 10 3 2 2" xfId="44534"/>
    <cellStyle name="CALC Currency Total 2 10 3 3" xfId="32394"/>
    <cellStyle name="CALC Currency Total 2 10 3 4" xfId="44535"/>
    <cellStyle name="CALC Currency Total 2 10 4" xfId="17847"/>
    <cellStyle name="CALC Currency Total 2 10 4 2" xfId="26171"/>
    <cellStyle name="CALC Currency Total 2 10 4 2 2" xfId="44536"/>
    <cellStyle name="CALC Currency Total 2 10 4 3" xfId="33371"/>
    <cellStyle name="CALC Currency Total 2 10 4 4" xfId="44537"/>
    <cellStyle name="CALC Currency Total 2 10 5" xfId="18831"/>
    <cellStyle name="CALC Currency Total 2 10 5 2" xfId="27152"/>
    <cellStyle name="CALC Currency Total 2 10 5 2 2" xfId="44538"/>
    <cellStyle name="CALC Currency Total 2 10 5 3" xfId="34311"/>
    <cellStyle name="CALC Currency Total 2 10 5 4" xfId="44539"/>
    <cellStyle name="CALC Currency Total 2 10 6" xfId="19799"/>
    <cellStyle name="CALC Currency Total 2 10 6 2" xfId="28121"/>
    <cellStyle name="CALC Currency Total 2 10 6 2 2" xfId="44540"/>
    <cellStyle name="CALC Currency Total 2 10 6 3" xfId="35257"/>
    <cellStyle name="CALC Currency Total 2 10 6 4" xfId="44541"/>
    <cellStyle name="CALC Currency Total 2 10 7" xfId="20757"/>
    <cellStyle name="CALC Currency Total 2 10 7 2" xfId="29078"/>
    <cellStyle name="CALC Currency Total 2 10 7 2 2" xfId="44542"/>
    <cellStyle name="CALC Currency Total 2 10 7 3" xfId="36170"/>
    <cellStyle name="CALC Currency Total 2 10 7 4" xfId="44543"/>
    <cellStyle name="CALC Currency Total 2 10 8" xfId="21173"/>
    <cellStyle name="CALC Currency Total 2 10 8 2" xfId="29485"/>
    <cellStyle name="CALC Currency Total 2 10 8 2 2" xfId="44544"/>
    <cellStyle name="CALC Currency Total 2 10 8 3" xfId="36556"/>
    <cellStyle name="CALC Currency Total 2 10 8 4" xfId="44545"/>
    <cellStyle name="CALC Currency Total 2 10 9" xfId="22193"/>
    <cellStyle name="CALC Currency Total 2 10 9 2" xfId="30491"/>
    <cellStyle name="CALC Currency Total 2 10 9 2 2" xfId="44546"/>
    <cellStyle name="CALC Currency Total 2 10 9 3" xfId="37522"/>
    <cellStyle name="CALC Currency Total 2 10 9 4" xfId="44547"/>
    <cellStyle name="CALC Currency Total 2 11" xfId="14879"/>
    <cellStyle name="CALC Currency Total 2 11 10" xfId="23242"/>
    <cellStyle name="CALC Currency Total 2 11 10 2" xfId="44548"/>
    <cellStyle name="CALC Currency Total 2 11 11" xfId="44549"/>
    <cellStyle name="CALC Currency Total 2 11 12" xfId="44550"/>
    <cellStyle name="CALC Currency Total 2 11 2" xfId="15960"/>
    <cellStyle name="CALC Currency Total 2 11 2 2" xfId="24277"/>
    <cellStyle name="CALC Currency Total 2 11 2 2 2" xfId="44551"/>
    <cellStyle name="CALC Currency Total 2 11 2 3" xfId="31560"/>
    <cellStyle name="CALC Currency Total 2 11 2 4" xfId="44552"/>
    <cellStyle name="CALC Currency Total 2 11 3" xfId="16926"/>
    <cellStyle name="CALC Currency Total 2 11 3 2" xfId="25249"/>
    <cellStyle name="CALC Currency Total 2 11 3 2 2" xfId="44553"/>
    <cellStyle name="CALC Currency Total 2 11 3 3" xfId="32493"/>
    <cellStyle name="CALC Currency Total 2 11 3 4" xfId="44554"/>
    <cellStyle name="CALC Currency Total 2 11 4" xfId="17953"/>
    <cellStyle name="CALC Currency Total 2 11 4 2" xfId="26275"/>
    <cellStyle name="CALC Currency Total 2 11 4 2 2" xfId="44555"/>
    <cellStyle name="CALC Currency Total 2 11 4 3" xfId="33470"/>
    <cellStyle name="CALC Currency Total 2 11 4 4" xfId="44556"/>
    <cellStyle name="CALC Currency Total 2 11 5" xfId="18937"/>
    <cellStyle name="CALC Currency Total 2 11 5 2" xfId="27257"/>
    <cellStyle name="CALC Currency Total 2 11 5 2 2" xfId="44557"/>
    <cellStyle name="CALC Currency Total 2 11 5 3" xfId="34411"/>
    <cellStyle name="CALC Currency Total 2 11 5 4" xfId="44558"/>
    <cellStyle name="CALC Currency Total 2 11 6" xfId="19905"/>
    <cellStyle name="CALC Currency Total 2 11 6 2" xfId="28227"/>
    <cellStyle name="CALC Currency Total 2 11 6 2 2" xfId="44559"/>
    <cellStyle name="CALC Currency Total 2 11 6 3" xfId="35358"/>
    <cellStyle name="CALC Currency Total 2 11 6 4" xfId="44560"/>
    <cellStyle name="CALC Currency Total 2 11 7" xfId="20863"/>
    <cellStyle name="CALC Currency Total 2 11 7 2" xfId="29182"/>
    <cellStyle name="CALC Currency Total 2 11 7 2 2" xfId="44561"/>
    <cellStyle name="CALC Currency Total 2 11 7 3" xfId="36268"/>
    <cellStyle name="CALC Currency Total 2 11 7 4" xfId="44562"/>
    <cellStyle name="CALC Currency Total 2 11 8" xfId="15499"/>
    <cellStyle name="CALC Currency Total 2 11 8 2" xfId="23839"/>
    <cellStyle name="CALC Currency Total 2 11 8 2 2" xfId="44563"/>
    <cellStyle name="CALC Currency Total 2 11 8 3" xfId="31188"/>
    <cellStyle name="CALC Currency Total 2 11 8 4" xfId="44564"/>
    <cellStyle name="CALC Currency Total 2 11 9" xfId="22298"/>
    <cellStyle name="CALC Currency Total 2 11 9 2" xfId="30596"/>
    <cellStyle name="CALC Currency Total 2 11 9 2 2" xfId="44565"/>
    <cellStyle name="CALC Currency Total 2 11 9 3" xfId="37621"/>
    <cellStyle name="CALC Currency Total 2 11 9 4" xfId="44566"/>
    <cellStyle name="CALC Currency Total 2 12" xfId="14895"/>
    <cellStyle name="CALC Currency Total 2 12 10" xfId="23258"/>
    <cellStyle name="CALC Currency Total 2 12 10 2" xfId="44567"/>
    <cellStyle name="CALC Currency Total 2 12 11" xfId="44568"/>
    <cellStyle name="CALC Currency Total 2 12 12" xfId="44569"/>
    <cellStyle name="CALC Currency Total 2 12 2" xfId="15976"/>
    <cellStyle name="CALC Currency Total 2 12 2 2" xfId="24293"/>
    <cellStyle name="CALC Currency Total 2 12 2 2 2" xfId="44570"/>
    <cellStyle name="CALC Currency Total 2 12 2 3" xfId="31574"/>
    <cellStyle name="CALC Currency Total 2 12 2 4" xfId="44571"/>
    <cellStyle name="CALC Currency Total 2 12 3" xfId="16942"/>
    <cellStyle name="CALC Currency Total 2 12 3 2" xfId="25265"/>
    <cellStyle name="CALC Currency Total 2 12 3 2 2" xfId="44572"/>
    <cellStyle name="CALC Currency Total 2 12 3 3" xfId="32507"/>
    <cellStyle name="CALC Currency Total 2 12 3 4" xfId="44573"/>
    <cellStyle name="CALC Currency Total 2 12 4" xfId="17969"/>
    <cellStyle name="CALC Currency Total 2 12 4 2" xfId="26291"/>
    <cellStyle name="CALC Currency Total 2 12 4 2 2" xfId="44574"/>
    <cellStyle name="CALC Currency Total 2 12 4 3" xfId="33484"/>
    <cellStyle name="CALC Currency Total 2 12 4 4" xfId="44575"/>
    <cellStyle name="CALC Currency Total 2 12 5" xfId="18953"/>
    <cellStyle name="CALC Currency Total 2 12 5 2" xfId="27273"/>
    <cellStyle name="CALC Currency Total 2 12 5 2 2" xfId="44576"/>
    <cellStyle name="CALC Currency Total 2 12 5 3" xfId="34425"/>
    <cellStyle name="CALC Currency Total 2 12 5 4" xfId="44577"/>
    <cellStyle name="CALC Currency Total 2 12 6" xfId="19921"/>
    <cellStyle name="CALC Currency Total 2 12 6 2" xfId="28243"/>
    <cellStyle name="CALC Currency Total 2 12 6 2 2" xfId="44578"/>
    <cellStyle name="CALC Currency Total 2 12 6 3" xfId="35372"/>
    <cellStyle name="CALC Currency Total 2 12 6 4" xfId="44579"/>
    <cellStyle name="CALC Currency Total 2 12 7" xfId="20879"/>
    <cellStyle name="CALC Currency Total 2 12 7 2" xfId="29198"/>
    <cellStyle name="CALC Currency Total 2 12 7 2 2" xfId="44580"/>
    <cellStyle name="CALC Currency Total 2 12 7 3" xfId="36282"/>
    <cellStyle name="CALC Currency Total 2 12 7 4" xfId="44581"/>
    <cellStyle name="CALC Currency Total 2 12 8" xfId="21386"/>
    <cellStyle name="CALC Currency Total 2 12 8 2" xfId="29689"/>
    <cellStyle name="CALC Currency Total 2 12 8 2 2" xfId="44582"/>
    <cellStyle name="CALC Currency Total 2 12 8 3" xfId="36752"/>
    <cellStyle name="CALC Currency Total 2 12 8 4" xfId="44583"/>
    <cellStyle name="CALC Currency Total 2 12 9" xfId="22314"/>
    <cellStyle name="CALC Currency Total 2 12 9 2" xfId="30612"/>
    <cellStyle name="CALC Currency Total 2 12 9 2 2" xfId="44584"/>
    <cellStyle name="CALC Currency Total 2 12 9 3" xfId="37635"/>
    <cellStyle name="CALC Currency Total 2 12 9 4" xfId="44585"/>
    <cellStyle name="CALC Currency Total 2 13" xfId="14721"/>
    <cellStyle name="CALC Currency Total 2 13 10" xfId="23083"/>
    <cellStyle name="CALC Currency Total 2 13 10 2" xfId="44586"/>
    <cellStyle name="CALC Currency Total 2 13 11" xfId="44587"/>
    <cellStyle name="CALC Currency Total 2 13 12" xfId="44588"/>
    <cellStyle name="CALC Currency Total 2 13 2" xfId="15802"/>
    <cellStyle name="CALC Currency Total 2 13 2 2" xfId="24118"/>
    <cellStyle name="CALC Currency Total 2 13 2 2 2" xfId="44589"/>
    <cellStyle name="CALC Currency Total 2 13 2 3" xfId="31406"/>
    <cellStyle name="CALC Currency Total 2 13 2 4" xfId="44590"/>
    <cellStyle name="CALC Currency Total 2 13 3" xfId="16768"/>
    <cellStyle name="CALC Currency Total 2 13 3 2" xfId="25090"/>
    <cellStyle name="CALC Currency Total 2 13 3 2 2" xfId="44591"/>
    <cellStyle name="CALC Currency Total 2 13 3 3" xfId="32339"/>
    <cellStyle name="CALC Currency Total 2 13 3 4" xfId="44592"/>
    <cellStyle name="CALC Currency Total 2 13 4" xfId="17792"/>
    <cellStyle name="CALC Currency Total 2 13 4 2" xfId="26116"/>
    <cellStyle name="CALC Currency Total 2 13 4 2 2" xfId="44593"/>
    <cellStyle name="CALC Currency Total 2 13 4 3" xfId="33316"/>
    <cellStyle name="CALC Currency Total 2 13 4 4" xfId="44594"/>
    <cellStyle name="CALC Currency Total 2 13 5" xfId="18776"/>
    <cellStyle name="CALC Currency Total 2 13 5 2" xfId="27097"/>
    <cellStyle name="CALC Currency Total 2 13 5 2 2" xfId="44595"/>
    <cellStyle name="CALC Currency Total 2 13 5 3" xfId="34256"/>
    <cellStyle name="CALC Currency Total 2 13 5 4" xfId="44596"/>
    <cellStyle name="CALC Currency Total 2 13 6" xfId="19745"/>
    <cellStyle name="CALC Currency Total 2 13 6 2" xfId="28066"/>
    <cellStyle name="CALC Currency Total 2 13 6 2 2" xfId="44597"/>
    <cellStyle name="CALC Currency Total 2 13 6 3" xfId="35202"/>
    <cellStyle name="CALC Currency Total 2 13 6 4" xfId="44598"/>
    <cellStyle name="CALC Currency Total 2 13 7" xfId="20702"/>
    <cellStyle name="CALC Currency Total 2 13 7 2" xfId="29023"/>
    <cellStyle name="CALC Currency Total 2 13 7 2 2" xfId="44599"/>
    <cellStyle name="CALC Currency Total 2 13 7 3" xfId="36116"/>
    <cellStyle name="CALC Currency Total 2 13 7 4" xfId="44600"/>
    <cellStyle name="CALC Currency Total 2 13 8" xfId="20491"/>
    <cellStyle name="CALC Currency Total 2 13 8 2" xfId="28813"/>
    <cellStyle name="CALC Currency Total 2 13 8 2 2" xfId="44601"/>
    <cellStyle name="CALC Currency Total 2 13 8 3" xfId="35921"/>
    <cellStyle name="CALC Currency Total 2 13 8 4" xfId="44602"/>
    <cellStyle name="CALC Currency Total 2 13 9" xfId="22138"/>
    <cellStyle name="CALC Currency Total 2 13 9 2" xfId="30436"/>
    <cellStyle name="CALC Currency Total 2 13 9 2 2" xfId="44603"/>
    <cellStyle name="CALC Currency Total 2 13 9 3" xfId="37467"/>
    <cellStyle name="CALC Currency Total 2 13 9 4" xfId="44604"/>
    <cellStyle name="CALC Currency Total 2 14" xfId="14990"/>
    <cellStyle name="CALC Currency Total 2 14 10" xfId="23351"/>
    <cellStyle name="CALC Currency Total 2 14 10 2" xfId="44605"/>
    <cellStyle name="CALC Currency Total 2 14 11" xfId="44606"/>
    <cellStyle name="CALC Currency Total 2 14 12" xfId="44607"/>
    <cellStyle name="CALC Currency Total 2 14 2" xfId="16071"/>
    <cellStyle name="CALC Currency Total 2 14 2 2" xfId="24386"/>
    <cellStyle name="CALC Currency Total 2 14 2 2 2" xfId="44608"/>
    <cellStyle name="CALC Currency Total 2 14 2 3" xfId="31665"/>
    <cellStyle name="CALC Currency Total 2 14 2 4" xfId="44609"/>
    <cellStyle name="CALC Currency Total 2 14 3" xfId="17037"/>
    <cellStyle name="CALC Currency Total 2 14 3 2" xfId="25358"/>
    <cellStyle name="CALC Currency Total 2 14 3 2 2" xfId="44610"/>
    <cellStyle name="CALC Currency Total 2 14 3 3" xfId="32598"/>
    <cellStyle name="CALC Currency Total 2 14 3 4" xfId="44611"/>
    <cellStyle name="CALC Currency Total 2 14 4" xfId="18064"/>
    <cellStyle name="CALC Currency Total 2 14 4 2" xfId="26384"/>
    <cellStyle name="CALC Currency Total 2 14 4 2 2" xfId="44612"/>
    <cellStyle name="CALC Currency Total 2 14 4 3" xfId="33575"/>
    <cellStyle name="CALC Currency Total 2 14 4 4" xfId="44613"/>
    <cellStyle name="CALC Currency Total 2 14 5" xfId="19048"/>
    <cellStyle name="CALC Currency Total 2 14 5 2" xfId="27368"/>
    <cellStyle name="CALC Currency Total 2 14 5 2 2" xfId="44614"/>
    <cellStyle name="CALC Currency Total 2 14 5 3" xfId="34518"/>
    <cellStyle name="CALC Currency Total 2 14 5 4" xfId="44615"/>
    <cellStyle name="CALC Currency Total 2 14 6" xfId="20016"/>
    <cellStyle name="CALC Currency Total 2 14 6 2" xfId="28338"/>
    <cellStyle name="CALC Currency Total 2 14 6 2 2" xfId="44616"/>
    <cellStyle name="CALC Currency Total 2 14 6 3" xfId="35465"/>
    <cellStyle name="CALC Currency Total 2 14 6 4" xfId="44617"/>
    <cellStyle name="CALC Currency Total 2 14 7" xfId="20974"/>
    <cellStyle name="CALC Currency Total 2 14 7 2" xfId="29291"/>
    <cellStyle name="CALC Currency Total 2 14 7 2 2" xfId="44618"/>
    <cellStyle name="CALC Currency Total 2 14 7 3" xfId="36373"/>
    <cellStyle name="CALC Currency Total 2 14 7 4" xfId="44619"/>
    <cellStyle name="CALC Currency Total 2 14 8" xfId="21481"/>
    <cellStyle name="CALC Currency Total 2 14 8 2" xfId="29782"/>
    <cellStyle name="CALC Currency Total 2 14 8 2 2" xfId="44620"/>
    <cellStyle name="CALC Currency Total 2 14 8 3" xfId="36843"/>
    <cellStyle name="CALC Currency Total 2 14 8 4" xfId="44621"/>
    <cellStyle name="CALC Currency Total 2 14 9" xfId="22409"/>
    <cellStyle name="CALC Currency Total 2 14 9 2" xfId="30705"/>
    <cellStyle name="CALC Currency Total 2 14 9 2 2" xfId="44622"/>
    <cellStyle name="CALC Currency Total 2 14 9 3" xfId="37726"/>
    <cellStyle name="CALC Currency Total 2 14 9 4" xfId="44623"/>
    <cellStyle name="CALC Currency Total 2 15" xfId="15059"/>
    <cellStyle name="CALC Currency Total 2 15 10" xfId="23419"/>
    <cellStyle name="CALC Currency Total 2 15 10 2" xfId="44624"/>
    <cellStyle name="CALC Currency Total 2 15 11" xfId="44625"/>
    <cellStyle name="CALC Currency Total 2 15 12" xfId="44626"/>
    <cellStyle name="CALC Currency Total 2 15 2" xfId="16139"/>
    <cellStyle name="CALC Currency Total 2 15 2 2" xfId="24454"/>
    <cellStyle name="CALC Currency Total 2 15 2 2 2" xfId="44627"/>
    <cellStyle name="CALC Currency Total 2 15 2 3" xfId="31731"/>
    <cellStyle name="CALC Currency Total 2 15 2 4" xfId="44628"/>
    <cellStyle name="CALC Currency Total 2 15 3" xfId="17106"/>
    <cellStyle name="CALC Currency Total 2 15 3 2" xfId="25427"/>
    <cellStyle name="CALC Currency Total 2 15 3 2 2" xfId="44629"/>
    <cellStyle name="CALC Currency Total 2 15 3 3" xfId="32665"/>
    <cellStyle name="CALC Currency Total 2 15 3 4" xfId="44630"/>
    <cellStyle name="CALC Currency Total 2 15 4" xfId="18133"/>
    <cellStyle name="CALC Currency Total 2 15 4 2" xfId="26453"/>
    <cellStyle name="CALC Currency Total 2 15 4 2 2" xfId="44631"/>
    <cellStyle name="CALC Currency Total 2 15 4 3" xfId="33642"/>
    <cellStyle name="CALC Currency Total 2 15 4 4" xfId="44632"/>
    <cellStyle name="CALC Currency Total 2 15 5" xfId="19117"/>
    <cellStyle name="CALC Currency Total 2 15 5 2" xfId="27437"/>
    <cellStyle name="CALC Currency Total 2 15 5 2 2" xfId="44633"/>
    <cellStyle name="CALC Currency Total 2 15 5 3" xfId="34585"/>
    <cellStyle name="CALC Currency Total 2 15 5 4" xfId="44634"/>
    <cellStyle name="CALC Currency Total 2 15 6" xfId="20085"/>
    <cellStyle name="CALC Currency Total 2 15 6 2" xfId="28407"/>
    <cellStyle name="CALC Currency Total 2 15 6 2 2" xfId="44635"/>
    <cellStyle name="CALC Currency Total 2 15 6 3" xfId="35532"/>
    <cellStyle name="CALC Currency Total 2 15 6 4" xfId="44636"/>
    <cellStyle name="CALC Currency Total 2 15 7" xfId="21042"/>
    <cellStyle name="CALC Currency Total 2 15 7 2" xfId="29359"/>
    <cellStyle name="CALC Currency Total 2 15 7 2 2" xfId="44637"/>
    <cellStyle name="CALC Currency Total 2 15 7 3" xfId="36439"/>
    <cellStyle name="CALC Currency Total 2 15 7 4" xfId="44638"/>
    <cellStyle name="CALC Currency Total 2 15 8" xfId="21549"/>
    <cellStyle name="CALC Currency Total 2 15 8 2" xfId="29850"/>
    <cellStyle name="CALC Currency Total 2 15 8 2 2" xfId="44639"/>
    <cellStyle name="CALC Currency Total 2 15 8 3" xfId="36909"/>
    <cellStyle name="CALC Currency Total 2 15 8 4" xfId="44640"/>
    <cellStyle name="CALC Currency Total 2 15 9" xfId="22477"/>
    <cellStyle name="CALC Currency Total 2 15 9 2" xfId="30773"/>
    <cellStyle name="CALC Currency Total 2 15 9 2 2" xfId="44641"/>
    <cellStyle name="CALC Currency Total 2 15 9 3" xfId="37792"/>
    <cellStyle name="CALC Currency Total 2 15 9 4" xfId="44642"/>
    <cellStyle name="CALC Currency Total 2 16" xfId="15144"/>
    <cellStyle name="CALC Currency Total 2 16 10" xfId="44643"/>
    <cellStyle name="CALC Currency Total 2 16 11" xfId="44644"/>
    <cellStyle name="CALC Currency Total 2 16 2" xfId="16224"/>
    <cellStyle name="CALC Currency Total 2 16 2 2" xfId="24537"/>
    <cellStyle name="CALC Currency Total 2 16 2 2 2" xfId="44645"/>
    <cellStyle name="CALC Currency Total 2 16 2 3" xfId="31812"/>
    <cellStyle name="CALC Currency Total 2 16 2 4" xfId="44646"/>
    <cellStyle name="CALC Currency Total 2 16 3" xfId="17190"/>
    <cellStyle name="CALC Currency Total 2 16 3 2" xfId="25511"/>
    <cellStyle name="CALC Currency Total 2 16 3 2 2" xfId="44647"/>
    <cellStyle name="CALC Currency Total 2 16 3 3" xfId="32745"/>
    <cellStyle name="CALC Currency Total 2 16 3 4" xfId="44648"/>
    <cellStyle name="CALC Currency Total 2 16 4" xfId="18218"/>
    <cellStyle name="CALC Currency Total 2 16 4 2" xfId="26538"/>
    <cellStyle name="CALC Currency Total 2 16 4 2 2" xfId="44649"/>
    <cellStyle name="CALC Currency Total 2 16 4 3" xfId="33723"/>
    <cellStyle name="CALC Currency Total 2 16 4 4" xfId="44650"/>
    <cellStyle name="CALC Currency Total 2 16 5" xfId="19202"/>
    <cellStyle name="CALC Currency Total 2 16 5 2" xfId="27522"/>
    <cellStyle name="CALC Currency Total 2 16 5 2 2" xfId="44651"/>
    <cellStyle name="CALC Currency Total 2 16 5 3" xfId="34670"/>
    <cellStyle name="CALC Currency Total 2 16 5 4" xfId="44652"/>
    <cellStyle name="CALC Currency Total 2 16 6" xfId="20170"/>
    <cellStyle name="CALC Currency Total 2 16 6 2" xfId="28492"/>
    <cellStyle name="CALC Currency Total 2 16 6 2 2" xfId="44653"/>
    <cellStyle name="CALC Currency Total 2 16 6 3" xfId="35615"/>
    <cellStyle name="CALC Currency Total 2 16 6 4" xfId="44654"/>
    <cellStyle name="CALC Currency Total 2 16 7" xfId="21631"/>
    <cellStyle name="CALC Currency Total 2 16 7 2" xfId="29932"/>
    <cellStyle name="CALC Currency Total 2 16 7 2 2" xfId="44655"/>
    <cellStyle name="CALC Currency Total 2 16 7 3" xfId="36989"/>
    <cellStyle name="CALC Currency Total 2 16 7 4" xfId="44656"/>
    <cellStyle name="CALC Currency Total 2 16 8" xfId="22559"/>
    <cellStyle name="CALC Currency Total 2 16 8 2" xfId="30855"/>
    <cellStyle name="CALC Currency Total 2 16 8 2 2" xfId="44657"/>
    <cellStyle name="CALC Currency Total 2 16 8 3" xfId="37872"/>
    <cellStyle name="CALC Currency Total 2 16 8 4" xfId="44658"/>
    <cellStyle name="CALC Currency Total 2 16 9" xfId="23501"/>
    <cellStyle name="CALC Currency Total 2 16 9 2" xfId="44659"/>
    <cellStyle name="CALC Currency Total 2 17" xfId="15164"/>
    <cellStyle name="CALC Currency Total 2 17 10" xfId="44660"/>
    <cellStyle name="CALC Currency Total 2 17 11" xfId="44661"/>
    <cellStyle name="CALC Currency Total 2 17 2" xfId="16244"/>
    <cellStyle name="CALC Currency Total 2 17 2 2" xfId="24557"/>
    <cellStyle name="CALC Currency Total 2 17 2 2 2" xfId="44662"/>
    <cellStyle name="CALC Currency Total 2 17 2 3" xfId="31830"/>
    <cellStyle name="CALC Currency Total 2 17 2 4" xfId="44663"/>
    <cellStyle name="CALC Currency Total 2 17 3" xfId="17210"/>
    <cellStyle name="CALC Currency Total 2 17 3 2" xfId="25531"/>
    <cellStyle name="CALC Currency Total 2 17 3 2 2" xfId="44664"/>
    <cellStyle name="CALC Currency Total 2 17 3 3" xfId="32763"/>
    <cellStyle name="CALC Currency Total 2 17 3 4" xfId="44665"/>
    <cellStyle name="CALC Currency Total 2 17 4" xfId="18238"/>
    <cellStyle name="CALC Currency Total 2 17 4 2" xfId="26558"/>
    <cellStyle name="CALC Currency Total 2 17 4 2 2" xfId="44666"/>
    <cellStyle name="CALC Currency Total 2 17 4 3" xfId="33741"/>
    <cellStyle name="CALC Currency Total 2 17 4 4" xfId="44667"/>
    <cellStyle name="CALC Currency Total 2 17 5" xfId="19222"/>
    <cellStyle name="CALC Currency Total 2 17 5 2" xfId="27542"/>
    <cellStyle name="CALC Currency Total 2 17 5 2 2" xfId="44668"/>
    <cellStyle name="CALC Currency Total 2 17 5 3" xfId="34690"/>
    <cellStyle name="CALC Currency Total 2 17 5 4" xfId="44669"/>
    <cellStyle name="CALC Currency Total 2 17 6" xfId="20190"/>
    <cellStyle name="CALC Currency Total 2 17 6 2" xfId="28512"/>
    <cellStyle name="CALC Currency Total 2 17 6 2 2" xfId="44670"/>
    <cellStyle name="CALC Currency Total 2 17 6 3" xfId="35633"/>
    <cellStyle name="CALC Currency Total 2 17 6 4" xfId="44671"/>
    <cellStyle name="CALC Currency Total 2 17 7" xfId="21651"/>
    <cellStyle name="CALC Currency Total 2 17 7 2" xfId="29952"/>
    <cellStyle name="CALC Currency Total 2 17 7 2 2" xfId="44672"/>
    <cellStyle name="CALC Currency Total 2 17 7 3" xfId="37007"/>
    <cellStyle name="CALC Currency Total 2 17 7 4" xfId="44673"/>
    <cellStyle name="CALC Currency Total 2 17 8" xfId="22579"/>
    <cellStyle name="CALC Currency Total 2 17 8 2" xfId="30875"/>
    <cellStyle name="CALC Currency Total 2 17 8 2 2" xfId="44674"/>
    <cellStyle name="CALC Currency Total 2 17 8 3" xfId="37890"/>
    <cellStyle name="CALC Currency Total 2 17 8 4" xfId="44675"/>
    <cellStyle name="CALC Currency Total 2 17 9" xfId="23521"/>
    <cellStyle name="CALC Currency Total 2 17 9 2" xfId="44676"/>
    <cellStyle name="CALC Currency Total 2 18" xfId="15186"/>
    <cellStyle name="CALC Currency Total 2 18 10" xfId="44677"/>
    <cellStyle name="CALC Currency Total 2 18 11" xfId="44678"/>
    <cellStyle name="CALC Currency Total 2 18 2" xfId="16266"/>
    <cellStyle name="CALC Currency Total 2 18 2 2" xfId="24579"/>
    <cellStyle name="CALC Currency Total 2 18 2 2 2" xfId="44679"/>
    <cellStyle name="CALC Currency Total 2 18 2 3" xfId="31851"/>
    <cellStyle name="CALC Currency Total 2 18 2 4" xfId="44680"/>
    <cellStyle name="CALC Currency Total 2 18 3" xfId="17232"/>
    <cellStyle name="CALC Currency Total 2 18 3 2" xfId="25553"/>
    <cellStyle name="CALC Currency Total 2 18 3 2 2" xfId="44681"/>
    <cellStyle name="CALC Currency Total 2 18 3 3" xfId="32784"/>
    <cellStyle name="CALC Currency Total 2 18 3 4" xfId="44682"/>
    <cellStyle name="CALC Currency Total 2 18 4" xfId="18260"/>
    <cellStyle name="CALC Currency Total 2 18 4 2" xfId="26580"/>
    <cellStyle name="CALC Currency Total 2 18 4 2 2" xfId="44683"/>
    <cellStyle name="CALC Currency Total 2 18 4 3" xfId="33762"/>
    <cellStyle name="CALC Currency Total 2 18 4 4" xfId="44684"/>
    <cellStyle name="CALC Currency Total 2 18 5" xfId="19244"/>
    <cellStyle name="CALC Currency Total 2 18 5 2" xfId="27564"/>
    <cellStyle name="CALC Currency Total 2 18 5 2 2" xfId="44685"/>
    <cellStyle name="CALC Currency Total 2 18 5 3" xfId="34712"/>
    <cellStyle name="CALC Currency Total 2 18 5 4" xfId="44686"/>
    <cellStyle name="CALC Currency Total 2 18 6" xfId="20212"/>
    <cellStyle name="CALC Currency Total 2 18 6 2" xfId="28534"/>
    <cellStyle name="CALC Currency Total 2 18 6 2 2" xfId="44687"/>
    <cellStyle name="CALC Currency Total 2 18 6 3" xfId="35654"/>
    <cellStyle name="CALC Currency Total 2 18 6 4" xfId="44688"/>
    <cellStyle name="CALC Currency Total 2 18 7" xfId="21673"/>
    <cellStyle name="CALC Currency Total 2 18 7 2" xfId="29974"/>
    <cellStyle name="CALC Currency Total 2 18 7 2 2" xfId="44689"/>
    <cellStyle name="CALC Currency Total 2 18 7 3" xfId="37028"/>
    <cellStyle name="CALC Currency Total 2 18 7 4" xfId="44690"/>
    <cellStyle name="CALC Currency Total 2 18 8" xfId="22601"/>
    <cellStyle name="CALC Currency Total 2 18 8 2" xfId="30897"/>
    <cellStyle name="CALC Currency Total 2 18 8 2 2" xfId="44691"/>
    <cellStyle name="CALC Currency Total 2 18 8 3" xfId="37911"/>
    <cellStyle name="CALC Currency Total 2 18 8 4" xfId="44692"/>
    <cellStyle name="CALC Currency Total 2 18 9" xfId="23543"/>
    <cellStyle name="CALC Currency Total 2 18 9 2" xfId="44693"/>
    <cellStyle name="CALC Currency Total 2 19" xfId="15202"/>
    <cellStyle name="CALC Currency Total 2 19 10" xfId="44694"/>
    <cellStyle name="CALC Currency Total 2 19 11" xfId="44695"/>
    <cellStyle name="CALC Currency Total 2 19 2" xfId="16282"/>
    <cellStyle name="CALC Currency Total 2 19 2 2" xfId="24595"/>
    <cellStyle name="CALC Currency Total 2 19 2 2 2" xfId="44696"/>
    <cellStyle name="CALC Currency Total 2 19 2 3" xfId="31865"/>
    <cellStyle name="CALC Currency Total 2 19 2 4" xfId="44697"/>
    <cellStyle name="CALC Currency Total 2 19 3" xfId="17248"/>
    <cellStyle name="CALC Currency Total 2 19 3 2" xfId="25569"/>
    <cellStyle name="CALC Currency Total 2 19 3 2 2" xfId="44698"/>
    <cellStyle name="CALC Currency Total 2 19 3 3" xfId="32798"/>
    <cellStyle name="CALC Currency Total 2 19 3 4" xfId="44699"/>
    <cellStyle name="CALC Currency Total 2 19 4" xfId="18276"/>
    <cellStyle name="CALC Currency Total 2 19 4 2" xfId="26596"/>
    <cellStyle name="CALC Currency Total 2 19 4 2 2" xfId="44700"/>
    <cellStyle name="CALC Currency Total 2 19 4 3" xfId="33776"/>
    <cellStyle name="CALC Currency Total 2 19 4 4" xfId="44701"/>
    <cellStyle name="CALC Currency Total 2 19 5" xfId="19260"/>
    <cellStyle name="CALC Currency Total 2 19 5 2" xfId="27580"/>
    <cellStyle name="CALC Currency Total 2 19 5 2 2" xfId="44702"/>
    <cellStyle name="CALC Currency Total 2 19 5 3" xfId="34728"/>
    <cellStyle name="CALC Currency Total 2 19 5 4" xfId="44703"/>
    <cellStyle name="CALC Currency Total 2 19 6" xfId="20228"/>
    <cellStyle name="CALC Currency Total 2 19 6 2" xfId="28550"/>
    <cellStyle name="CALC Currency Total 2 19 6 2 2" xfId="44704"/>
    <cellStyle name="CALC Currency Total 2 19 6 3" xfId="35668"/>
    <cellStyle name="CALC Currency Total 2 19 6 4" xfId="44705"/>
    <cellStyle name="CALC Currency Total 2 19 7" xfId="21689"/>
    <cellStyle name="CALC Currency Total 2 19 7 2" xfId="29990"/>
    <cellStyle name="CALC Currency Total 2 19 7 2 2" xfId="44706"/>
    <cellStyle name="CALC Currency Total 2 19 7 3" xfId="37042"/>
    <cellStyle name="CALC Currency Total 2 19 7 4" xfId="44707"/>
    <cellStyle name="CALC Currency Total 2 19 8" xfId="22617"/>
    <cellStyle name="CALC Currency Total 2 19 8 2" xfId="30913"/>
    <cellStyle name="CALC Currency Total 2 19 8 2 2" xfId="44708"/>
    <cellStyle name="CALC Currency Total 2 19 8 3" xfId="37925"/>
    <cellStyle name="CALC Currency Total 2 19 8 4" xfId="44709"/>
    <cellStyle name="CALC Currency Total 2 19 9" xfId="23559"/>
    <cellStyle name="CALC Currency Total 2 19 9 2" xfId="44710"/>
    <cellStyle name="CALC Currency Total 2 2" xfId="14518"/>
    <cellStyle name="CALC Currency Total 2 2 2" xfId="15580"/>
    <cellStyle name="CALC Currency Total 2 2 2 2" xfId="44711"/>
    <cellStyle name="CALC Currency Total 2 2 2 2 2" xfId="44712"/>
    <cellStyle name="CALC Currency Total 2 2 3" xfId="23822"/>
    <cellStyle name="CALC Currency Total 2 2 3 2" xfId="44713"/>
    <cellStyle name="CALC Currency Total 2 20" xfId="15267"/>
    <cellStyle name="CALC Currency Total 2 20 10" xfId="44714"/>
    <cellStyle name="CALC Currency Total 2 20 11" xfId="44715"/>
    <cellStyle name="CALC Currency Total 2 20 2" xfId="16347"/>
    <cellStyle name="CALC Currency Total 2 20 2 2" xfId="24660"/>
    <cellStyle name="CALC Currency Total 2 20 2 2 2" xfId="44716"/>
    <cellStyle name="CALC Currency Total 2 20 2 3" xfId="31927"/>
    <cellStyle name="CALC Currency Total 2 20 2 4" xfId="44717"/>
    <cellStyle name="CALC Currency Total 2 20 3" xfId="17313"/>
    <cellStyle name="CALC Currency Total 2 20 3 2" xfId="25634"/>
    <cellStyle name="CALC Currency Total 2 20 3 2 2" xfId="44718"/>
    <cellStyle name="CALC Currency Total 2 20 3 3" xfId="32860"/>
    <cellStyle name="CALC Currency Total 2 20 3 4" xfId="44719"/>
    <cellStyle name="CALC Currency Total 2 20 4" xfId="18341"/>
    <cellStyle name="CALC Currency Total 2 20 4 2" xfId="26661"/>
    <cellStyle name="CALC Currency Total 2 20 4 2 2" xfId="44720"/>
    <cellStyle name="CALC Currency Total 2 20 4 3" xfId="33838"/>
    <cellStyle name="CALC Currency Total 2 20 4 4" xfId="44721"/>
    <cellStyle name="CALC Currency Total 2 20 5" xfId="19325"/>
    <cellStyle name="CALC Currency Total 2 20 5 2" xfId="27645"/>
    <cellStyle name="CALC Currency Total 2 20 5 2 2" xfId="44722"/>
    <cellStyle name="CALC Currency Total 2 20 5 3" xfId="34793"/>
    <cellStyle name="CALC Currency Total 2 20 5 4" xfId="44723"/>
    <cellStyle name="CALC Currency Total 2 20 6" xfId="20293"/>
    <cellStyle name="CALC Currency Total 2 20 6 2" xfId="28615"/>
    <cellStyle name="CALC Currency Total 2 20 6 2 2" xfId="44724"/>
    <cellStyle name="CALC Currency Total 2 20 6 3" xfId="35730"/>
    <cellStyle name="CALC Currency Total 2 20 6 4" xfId="44725"/>
    <cellStyle name="CALC Currency Total 2 20 7" xfId="21754"/>
    <cellStyle name="CALC Currency Total 2 20 7 2" xfId="30055"/>
    <cellStyle name="CALC Currency Total 2 20 7 2 2" xfId="44726"/>
    <cellStyle name="CALC Currency Total 2 20 7 3" xfId="37104"/>
    <cellStyle name="CALC Currency Total 2 20 7 4" xfId="44727"/>
    <cellStyle name="CALC Currency Total 2 20 8" xfId="22682"/>
    <cellStyle name="CALC Currency Total 2 20 8 2" xfId="30978"/>
    <cellStyle name="CALC Currency Total 2 20 8 2 2" xfId="44728"/>
    <cellStyle name="CALC Currency Total 2 20 8 3" xfId="37987"/>
    <cellStyle name="CALC Currency Total 2 20 8 4" xfId="44729"/>
    <cellStyle name="CALC Currency Total 2 20 9" xfId="23624"/>
    <cellStyle name="CALC Currency Total 2 20 9 2" xfId="44730"/>
    <cellStyle name="CALC Currency Total 2 21" xfId="15283"/>
    <cellStyle name="CALC Currency Total 2 21 10" xfId="44731"/>
    <cellStyle name="CALC Currency Total 2 21 11" xfId="44732"/>
    <cellStyle name="CALC Currency Total 2 21 2" xfId="16363"/>
    <cellStyle name="CALC Currency Total 2 21 2 2" xfId="24676"/>
    <cellStyle name="CALC Currency Total 2 21 2 2 2" xfId="44733"/>
    <cellStyle name="CALC Currency Total 2 21 2 3" xfId="31943"/>
    <cellStyle name="CALC Currency Total 2 21 2 4" xfId="44734"/>
    <cellStyle name="CALC Currency Total 2 21 3" xfId="17329"/>
    <cellStyle name="CALC Currency Total 2 21 3 2" xfId="25650"/>
    <cellStyle name="CALC Currency Total 2 21 3 2 2" xfId="44735"/>
    <cellStyle name="CALC Currency Total 2 21 3 3" xfId="32876"/>
    <cellStyle name="CALC Currency Total 2 21 3 4" xfId="44736"/>
    <cellStyle name="CALC Currency Total 2 21 4" xfId="18357"/>
    <cellStyle name="CALC Currency Total 2 21 4 2" xfId="26677"/>
    <cellStyle name="CALC Currency Total 2 21 4 2 2" xfId="44737"/>
    <cellStyle name="CALC Currency Total 2 21 4 3" xfId="33854"/>
    <cellStyle name="CALC Currency Total 2 21 4 4" xfId="44738"/>
    <cellStyle name="CALC Currency Total 2 21 5" xfId="19341"/>
    <cellStyle name="CALC Currency Total 2 21 5 2" xfId="27661"/>
    <cellStyle name="CALC Currency Total 2 21 5 2 2" xfId="44739"/>
    <cellStyle name="CALC Currency Total 2 21 5 3" xfId="34809"/>
    <cellStyle name="CALC Currency Total 2 21 5 4" xfId="44740"/>
    <cellStyle name="CALC Currency Total 2 21 6" xfId="20309"/>
    <cellStyle name="CALC Currency Total 2 21 6 2" xfId="28631"/>
    <cellStyle name="CALC Currency Total 2 21 6 2 2" xfId="44741"/>
    <cellStyle name="CALC Currency Total 2 21 6 3" xfId="35746"/>
    <cellStyle name="CALC Currency Total 2 21 6 4" xfId="44742"/>
    <cellStyle name="CALC Currency Total 2 21 7" xfId="21770"/>
    <cellStyle name="CALC Currency Total 2 21 7 2" xfId="30071"/>
    <cellStyle name="CALC Currency Total 2 21 7 2 2" xfId="44743"/>
    <cellStyle name="CALC Currency Total 2 21 7 3" xfId="37120"/>
    <cellStyle name="CALC Currency Total 2 21 7 4" xfId="44744"/>
    <cellStyle name="CALC Currency Total 2 21 8" xfId="22698"/>
    <cellStyle name="CALC Currency Total 2 21 8 2" xfId="30994"/>
    <cellStyle name="CALC Currency Total 2 21 8 2 2" xfId="44745"/>
    <cellStyle name="CALC Currency Total 2 21 8 3" xfId="38003"/>
    <cellStyle name="CALC Currency Total 2 21 8 4" xfId="44746"/>
    <cellStyle name="CALC Currency Total 2 21 9" xfId="23640"/>
    <cellStyle name="CALC Currency Total 2 21 9 2" xfId="44747"/>
    <cellStyle name="CALC Currency Total 2 22" xfId="15303"/>
    <cellStyle name="CALC Currency Total 2 22 10" xfId="44748"/>
    <cellStyle name="CALC Currency Total 2 22 11" xfId="44749"/>
    <cellStyle name="CALC Currency Total 2 22 2" xfId="16383"/>
    <cellStyle name="CALC Currency Total 2 22 2 2" xfId="24696"/>
    <cellStyle name="CALC Currency Total 2 22 2 2 2" xfId="44750"/>
    <cellStyle name="CALC Currency Total 2 22 2 3" xfId="31962"/>
    <cellStyle name="CALC Currency Total 2 22 2 4" xfId="44751"/>
    <cellStyle name="CALC Currency Total 2 22 3" xfId="17349"/>
    <cellStyle name="CALC Currency Total 2 22 3 2" xfId="25670"/>
    <cellStyle name="CALC Currency Total 2 22 3 2 2" xfId="44752"/>
    <cellStyle name="CALC Currency Total 2 22 3 3" xfId="32895"/>
    <cellStyle name="CALC Currency Total 2 22 3 4" xfId="44753"/>
    <cellStyle name="CALC Currency Total 2 22 4" xfId="18377"/>
    <cellStyle name="CALC Currency Total 2 22 4 2" xfId="26697"/>
    <cellStyle name="CALC Currency Total 2 22 4 2 2" xfId="44754"/>
    <cellStyle name="CALC Currency Total 2 22 4 3" xfId="33873"/>
    <cellStyle name="CALC Currency Total 2 22 4 4" xfId="44755"/>
    <cellStyle name="CALC Currency Total 2 22 5" xfId="19360"/>
    <cellStyle name="CALC Currency Total 2 22 5 2" xfId="27681"/>
    <cellStyle name="CALC Currency Total 2 22 5 2 2" xfId="44756"/>
    <cellStyle name="CALC Currency Total 2 22 5 3" xfId="34829"/>
    <cellStyle name="CALC Currency Total 2 22 5 4" xfId="44757"/>
    <cellStyle name="CALC Currency Total 2 22 6" xfId="20329"/>
    <cellStyle name="CALC Currency Total 2 22 6 2" xfId="28651"/>
    <cellStyle name="CALC Currency Total 2 22 6 2 2" xfId="44758"/>
    <cellStyle name="CALC Currency Total 2 22 6 3" xfId="35765"/>
    <cellStyle name="CALC Currency Total 2 22 6 4" xfId="44759"/>
    <cellStyle name="CALC Currency Total 2 22 7" xfId="21790"/>
    <cellStyle name="CALC Currency Total 2 22 7 2" xfId="30091"/>
    <cellStyle name="CALC Currency Total 2 22 7 2 2" xfId="44760"/>
    <cellStyle name="CALC Currency Total 2 22 7 3" xfId="37139"/>
    <cellStyle name="CALC Currency Total 2 22 7 4" xfId="44761"/>
    <cellStyle name="CALC Currency Total 2 22 8" xfId="22718"/>
    <cellStyle name="CALC Currency Total 2 22 8 2" xfId="31014"/>
    <cellStyle name="CALC Currency Total 2 22 8 2 2" xfId="44762"/>
    <cellStyle name="CALC Currency Total 2 22 8 3" xfId="38022"/>
    <cellStyle name="CALC Currency Total 2 22 8 4" xfId="44763"/>
    <cellStyle name="CALC Currency Total 2 22 9" xfId="23660"/>
    <cellStyle name="CALC Currency Total 2 22 9 2" xfId="44764"/>
    <cellStyle name="CALC Currency Total 2 23" xfId="15327"/>
    <cellStyle name="CALC Currency Total 2 23 10" xfId="44765"/>
    <cellStyle name="CALC Currency Total 2 23 11" xfId="44766"/>
    <cellStyle name="CALC Currency Total 2 23 2" xfId="16407"/>
    <cellStyle name="CALC Currency Total 2 23 2 2" xfId="24720"/>
    <cellStyle name="CALC Currency Total 2 23 2 2 2" xfId="44767"/>
    <cellStyle name="CALC Currency Total 2 23 2 3" xfId="31985"/>
    <cellStyle name="CALC Currency Total 2 23 2 4" xfId="44768"/>
    <cellStyle name="CALC Currency Total 2 23 3" xfId="17373"/>
    <cellStyle name="CALC Currency Total 2 23 3 2" xfId="25694"/>
    <cellStyle name="CALC Currency Total 2 23 3 2 2" xfId="44769"/>
    <cellStyle name="CALC Currency Total 2 23 3 3" xfId="32918"/>
    <cellStyle name="CALC Currency Total 2 23 3 4" xfId="44770"/>
    <cellStyle name="CALC Currency Total 2 23 4" xfId="18401"/>
    <cellStyle name="CALC Currency Total 2 23 4 2" xfId="26721"/>
    <cellStyle name="CALC Currency Total 2 23 4 2 2" xfId="44771"/>
    <cellStyle name="CALC Currency Total 2 23 4 3" xfId="33896"/>
    <cellStyle name="CALC Currency Total 2 23 4 4" xfId="44772"/>
    <cellStyle name="CALC Currency Total 2 23 5" xfId="19384"/>
    <cellStyle name="CALC Currency Total 2 23 5 2" xfId="27705"/>
    <cellStyle name="CALC Currency Total 2 23 5 2 2" xfId="44773"/>
    <cellStyle name="CALC Currency Total 2 23 5 3" xfId="34853"/>
    <cellStyle name="CALC Currency Total 2 23 5 4" xfId="44774"/>
    <cellStyle name="CALC Currency Total 2 23 6" xfId="20353"/>
    <cellStyle name="CALC Currency Total 2 23 6 2" xfId="28675"/>
    <cellStyle name="CALC Currency Total 2 23 6 2 2" xfId="44775"/>
    <cellStyle name="CALC Currency Total 2 23 6 3" xfId="35788"/>
    <cellStyle name="CALC Currency Total 2 23 6 4" xfId="44776"/>
    <cellStyle name="CALC Currency Total 2 23 7" xfId="21814"/>
    <cellStyle name="CALC Currency Total 2 23 7 2" xfId="30115"/>
    <cellStyle name="CALC Currency Total 2 23 7 2 2" xfId="44777"/>
    <cellStyle name="CALC Currency Total 2 23 7 3" xfId="37162"/>
    <cellStyle name="CALC Currency Total 2 23 7 4" xfId="44778"/>
    <cellStyle name="CALC Currency Total 2 23 8" xfId="22742"/>
    <cellStyle name="CALC Currency Total 2 23 8 2" xfId="31038"/>
    <cellStyle name="CALC Currency Total 2 23 8 2 2" xfId="44779"/>
    <cellStyle name="CALC Currency Total 2 23 8 3" xfId="38045"/>
    <cellStyle name="CALC Currency Total 2 23 8 4" xfId="44780"/>
    <cellStyle name="CALC Currency Total 2 23 9" xfId="23684"/>
    <cellStyle name="CALC Currency Total 2 23 9 2" xfId="44781"/>
    <cellStyle name="CALC Currency Total 2 24" xfId="15390"/>
    <cellStyle name="CALC Currency Total 2 24 10" xfId="44782"/>
    <cellStyle name="CALC Currency Total 2 24 11" xfId="44783"/>
    <cellStyle name="CALC Currency Total 2 24 2" xfId="16470"/>
    <cellStyle name="CALC Currency Total 2 24 2 2" xfId="24783"/>
    <cellStyle name="CALC Currency Total 2 24 2 2 2" xfId="44784"/>
    <cellStyle name="CALC Currency Total 2 24 2 3" xfId="32047"/>
    <cellStyle name="CALC Currency Total 2 24 2 4" xfId="44785"/>
    <cellStyle name="CALC Currency Total 2 24 3" xfId="17436"/>
    <cellStyle name="CALC Currency Total 2 24 3 2" xfId="25757"/>
    <cellStyle name="CALC Currency Total 2 24 3 2 2" xfId="44786"/>
    <cellStyle name="CALC Currency Total 2 24 3 3" xfId="32980"/>
    <cellStyle name="CALC Currency Total 2 24 3 4" xfId="44787"/>
    <cellStyle name="CALC Currency Total 2 24 4" xfId="18464"/>
    <cellStyle name="CALC Currency Total 2 24 4 2" xfId="26784"/>
    <cellStyle name="CALC Currency Total 2 24 4 2 2" xfId="44788"/>
    <cellStyle name="CALC Currency Total 2 24 4 3" xfId="33958"/>
    <cellStyle name="CALC Currency Total 2 24 4 4" xfId="44789"/>
    <cellStyle name="CALC Currency Total 2 24 5" xfId="19447"/>
    <cellStyle name="CALC Currency Total 2 24 5 2" xfId="27768"/>
    <cellStyle name="CALC Currency Total 2 24 5 2 2" xfId="44790"/>
    <cellStyle name="CALC Currency Total 2 24 5 3" xfId="34916"/>
    <cellStyle name="CALC Currency Total 2 24 5 4" xfId="44791"/>
    <cellStyle name="CALC Currency Total 2 24 6" xfId="20416"/>
    <cellStyle name="CALC Currency Total 2 24 6 2" xfId="28738"/>
    <cellStyle name="CALC Currency Total 2 24 6 2 2" xfId="44792"/>
    <cellStyle name="CALC Currency Total 2 24 6 3" xfId="35850"/>
    <cellStyle name="CALC Currency Total 2 24 6 4" xfId="44793"/>
    <cellStyle name="CALC Currency Total 2 24 7" xfId="21877"/>
    <cellStyle name="CALC Currency Total 2 24 7 2" xfId="30178"/>
    <cellStyle name="CALC Currency Total 2 24 7 2 2" xfId="44794"/>
    <cellStyle name="CALC Currency Total 2 24 7 3" xfId="37223"/>
    <cellStyle name="CALC Currency Total 2 24 7 4" xfId="44795"/>
    <cellStyle name="CALC Currency Total 2 24 8" xfId="22805"/>
    <cellStyle name="CALC Currency Total 2 24 8 2" xfId="31101"/>
    <cellStyle name="CALC Currency Total 2 24 8 2 2" xfId="44796"/>
    <cellStyle name="CALC Currency Total 2 24 8 3" xfId="38107"/>
    <cellStyle name="CALC Currency Total 2 24 8 4" xfId="44797"/>
    <cellStyle name="CALC Currency Total 2 24 9" xfId="23747"/>
    <cellStyle name="CALC Currency Total 2 24 9 2" xfId="44798"/>
    <cellStyle name="CALC Currency Total 2 25" xfId="15406"/>
    <cellStyle name="CALC Currency Total 2 25 10" xfId="44799"/>
    <cellStyle name="CALC Currency Total 2 25 11" xfId="44800"/>
    <cellStyle name="CALC Currency Total 2 25 2" xfId="16486"/>
    <cellStyle name="CALC Currency Total 2 25 2 2" xfId="24799"/>
    <cellStyle name="CALC Currency Total 2 25 2 2 2" xfId="44801"/>
    <cellStyle name="CALC Currency Total 2 25 2 3" xfId="32061"/>
    <cellStyle name="CALC Currency Total 2 25 2 4" xfId="44802"/>
    <cellStyle name="CALC Currency Total 2 25 3" xfId="17452"/>
    <cellStyle name="CALC Currency Total 2 25 3 2" xfId="25773"/>
    <cellStyle name="CALC Currency Total 2 25 3 2 2" xfId="44803"/>
    <cellStyle name="CALC Currency Total 2 25 3 3" xfId="32994"/>
    <cellStyle name="CALC Currency Total 2 25 3 4" xfId="44804"/>
    <cellStyle name="CALC Currency Total 2 25 4" xfId="18480"/>
    <cellStyle name="CALC Currency Total 2 25 4 2" xfId="26800"/>
    <cellStyle name="CALC Currency Total 2 25 4 2 2" xfId="44805"/>
    <cellStyle name="CALC Currency Total 2 25 4 3" xfId="33972"/>
    <cellStyle name="CALC Currency Total 2 25 4 4" xfId="44806"/>
    <cellStyle name="CALC Currency Total 2 25 5" xfId="19463"/>
    <cellStyle name="CALC Currency Total 2 25 5 2" xfId="27784"/>
    <cellStyle name="CALC Currency Total 2 25 5 2 2" xfId="44807"/>
    <cellStyle name="CALC Currency Total 2 25 5 3" xfId="34932"/>
    <cellStyle name="CALC Currency Total 2 25 5 4" xfId="44808"/>
    <cellStyle name="CALC Currency Total 2 25 6" xfId="20432"/>
    <cellStyle name="CALC Currency Total 2 25 6 2" xfId="28754"/>
    <cellStyle name="CALC Currency Total 2 25 6 2 2" xfId="44809"/>
    <cellStyle name="CALC Currency Total 2 25 6 3" xfId="35864"/>
    <cellStyle name="CALC Currency Total 2 25 6 4" xfId="44810"/>
    <cellStyle name="CALC Currency Total 2 25 7" xfId="21893"/>
    <cellStyle name="CALC Currency Total 2 25 7 2" xfId="30194"/>
    <cellStyle name="CALC Currency Total 2 25 7 2 2" xfId="44811"/>
    <cellStyle name="CALC Currency Total 2 25 7 3" xfId="37237"/>
    <cellStyle name="CALC Currency Total 2 25 7 4" xfId="44812"/>
    <cellStyle name="CALC Currency Total 2 25 8" xfId="22821"/>
    <cellStyle name="CALC Currency Total 2 25 8 2" xfId="31117"/>
    <cellStyle name="CALC Currency Total 2 25 8 2 2" xfId="44813"/>
    <cellStyle name="CALC Currency Total 2 25 8 3" xfId="38121"/>
    <cellStyle name="CALC Currency Total 2 25 8 4" xfId="44814"/>
    <cellStyle name="CALC Currency Total 2 25 9" xfId="23763"/>
    <cellStyle name="CALC Currency Total 2 25 9 2" xfId="44815"/>
    <cellStyle name="CALC Currency Total 2 26" xfId="15422"/>
    <cellStyle name="CALC Currency Total 2 26 10" xfId="44816"/>
    <cellStyle name="CALC Currency Total 2 26 11" xfId="44817"/>
    <cellStyle name="CALC Currency Total 2 26 2" xfId="16502"/>
    <cellStyle name="CALC Currency Total 2 26 2 2" xfId="24815"/>
    <cellStyle name="CALC Currency Total 2 26 2 2 2" xfId="44818"/>
    <cellStyle name="CALC Currency Total 2 26 2 3" xfId="32076"/>
    <cellStyle name="CALC Currency Total 2 26 2 4" xfId="44819"/>
    <cellStyle name="CALC Currency Total 2 26 3" xfId="17468"/>
    <cellStyle name="CALC Currency Total 2 26 3 2" xfId="25789"/>
    <cellStyle name="CALC Currency Total 2 26 3 2 2" xfId="44820"/>
    <cellStyle name="CALC Currency Total 2 26 3 3" xfId="33009"/>
    <cellStyle name="CALC Currency Total 2 26 3 4" xfId="44821"/>
    <cellStyle name="CALC Currency Total 2 26 4" xfId="18496"/>
    <cellStyle name="CALC Currency Total 2 26 4 2" xfId="26816"/>
    <cellStyle name="CALC Currency Total 2 26 4 2 2" xfId="44822"/>
    <cellStyle name="CALC Currency Total 2 26 4 3" xfId="33987"/>
    <cellStyle name="CALC Currency Total 2 26 4 4" xfId="44823"/>
    <cellStyle name="CALC Currency Total 2 26 5" xfId="19479"/>
    <cellStyle name="CALC Currency Total 2 26 5 2" xfId="27800"/>
    <cellStyle name="CALC Currency Total 2 26 5 2 2" xfId="44824"/>
    <cellStyle name="CALC Currency Total 2 26 5 3" xfId="34948"/>
    <cellStyle name="CALC Currency Total 2 26 5 4" xfId="44825"/>
    <cellStyle name="CALC Currency Total 2 26 6" xfId="20448"/>
    <cellStyle name="CALC Currency Total 2 26 6 2" xfId="28770"/>
    <cellStyle name="CALC Currency Total 2 26 6 2 2" xfId="44826"/>
    <cellStyle name="CALC Currency Total 2 26 6 3" xfId="35879"/>
    <cellStyle name="CALC Currency Total 2 26 6 4" xfId="44827"/>
    <cellStyle name="CALC Currency Total 2 26 7" xfId="21909"/>
    <cellStyle name="CALC Currency Total 2 26 7 2" xfId="30210"/>
    <cellStyle name="CALC Currency Total 2 26 7 2 2" xfId="44828"/>
    <cellStyle name="CALC Currency Total 2 26 7 3" xfId="37252"/>
    <cellStyle name="CALC Currency Total 2 26 7 4" xfId="44829"/>
    <cellStyle name="CALC Currency Total 2 26 8" xfId="22837"/>
    <cellStyle name="CALC Currency Total 2 26 8 2" xfId="31133"/>
    <cellStyle name="CALC Currency Total 2 26 8 2 2" xfId="44830"/>
    <cellStyle name="CALC Currency Total 2 26 8 3" xfId="38136"/>
    <cellStyle name="CALC Currency Total 2 26 8 4" xfId="44831"/>
    <cellStyle name="CALC Currency Total 2 26 9" xfId="23779"/>
    <cellStyle name="CALC Currency Total 2 26 9 2" xfId="44832"/>
    <cellStyle name="CALC Currency Total 2 27" xfId="15436"/>
    <cellStyle name="CALC Currency Total 2 27 10" xfId="44833"/>
    <cellStyle name="CALC Currency Total 2 27 11" xfId="44834"/>
    <cellStyle name="CALC Currency Total 2 27 2" xfId="16516"/>
    <cellStyle name="CALC Currency Total 2 27 2 2" xfId="24829"/>
    <cellStyle name="CALC Currency Total 2 27 2 2 2" xfId="44835"/>
    <cellStyle name="CALC Currency Total 2 27 2 3" xfId="32090"/>
    <cellStyle name="CALC Currency Total 2 27 2 4" xfId="44836"/>
    <cellStyle name="CALC Currency Total 2 27 3" xfId="17482"/>
    <cellStyle name="CALC Currency Total 2 27 3 2" xfId="25803"/>
    <cellStyle name="CALC Currency Total 2 27 3 2 2" xfId="44837"/>
    <cellStyle name="CALC Currency Total 2 27 3 3" xfId="33023"/>
    <cellStyle name="CALC Currency Total 2 27 3 4" xfId="44838"/>
    <cellStyle name="CALC Currency Total 2 27 4" xfId="18510"/>
    <cellStyle name="CALC Currency Total 2 27 4 2" xfId="26830"/>
    <cellStyle name="CALC Currency Total 2 27 4 2 2" xfId="44839"/>
    <cellStyle name="CALC Currency Total 2 27 4 3" xfId="34001"/>
    <cellStyle name="CALC Currency Total 2 27 4 4" xfId="44840"/>
    <cellStyle name="CALC Currency Total 2 27 5" xfId="19493"/>
    <cellStyle name="CALC Currency Total 2 27 5 2" xfId="27814"/>
    <cellStyle name="CALC Currency Total 2 27 5 2 2" xfId="44841"/>
    <cellStyle name="CALC Currency Total 2 27 5 3" xfId="34962"/>
    <cellStyle name="CALC Currency Total 2 27 5 4" xfId="44842"/>
    <cellStyle name="CALC Currency Total 2 27 6" xfId="20462"/>
    <cellStyle name="CALC Currency Total 2 27 6 2" xfId="28784"/>
    <cellStyle name="CALC Currency Total 2 27 6 2 2" xfId="44843"/>
    <cellStyle name="CALC Currency Total 2 27 6 3" xfId="35893"/>
    <cellStyle name="CALC Currency Total 2 27 6 4" xfId="44844"/>
    <cellStyle name="CALC Currency Total 2 27 7" xfId="21923"/>
    <cellStyle name="CALC Currency Total 2 27 7 2" xfId="30224"/>
    <cellStyle name="CALC Currency Total 2 27 7 2 2" xfId="44845"/>
    <cellStyle name="CALC Currency Total 2 27 7 3" xfId="37266"/>
    <cellStyle name="CALC Currency Total 2 27 7 4" xfId="44846"/>
    <cellStyle name="CALC Currency Total 2 27 8" xfId="22851"/>
    <cellStyle name="CALC Currency Total 2 27 8 2" xfId="31147"/>
    <cellStyle name="CALC Currency Total 2 27 8 2 2" xfId="44847"/>
    <cellStyle name="CALC Currency Total 2 27 8 3" xfId="38150"/>
    <cellStyle name="CALC Currency Total 2 27 8 4" xfId="44848"/>
    <cellStyle name="CALC Currency Total 2 27 9" xfId="23793"/>
    <cellStyle name="CALC Currency Total 2 27 9 2" xfId="44849"/>
    <cellStyle name="CALC Currency Total 2 28" xfId="15450"/>
    <cellStyle name="CALC Currency Total 2 28 10" xfId="44850"/>
    <cellStyle name="CALC Currency Total 2 28 11" xfId="44851"/>
    <cellStyle name="CALC Currency Total 2 28 2" xfId="16530"/>
    <cellStyle name="CALC Currency Total 2 28 2 2" xfId="24843"/>
    <cellStyle name="CALC Currency Total 2 28 2 2 2" xfId="44852"/>
    <cellStyle name="CALC Currency Total 2 28 2 3" xfId="32104"/>
    <cellStyle name="CALC Currency Total 2 28 2 4" xfId="44853"/>
    <cellStyle name="CALC Currency Total 2 28 3" xfId="17496"/>
    <cellStyle name="CALC Currency Total 2 28 3 2" xfId="25817"/>
    <cellStyle name="CALC Currency Total 2 28 3 2 2" xfId="44854"/>
    <cellStyle name="CALC Currency Total 2 28 3 3" xfId="33037"/>
    <cellStyle name="CALC Currency Total 2 28 3 4" xfId="44855"/>
    <cellStyle name="CALC Currency Total 2 28 4" xfId="18524"/>
    <cellStyle name="CALC Currency Total 2 28 4 2" xfId="26844"/>
    <cellStyle name="CALC Currency Total 2 28 4 2 2" xfId="44856"/>
    <cellStyle name="CALC Currency Total 2 28 4 3" xfId="34015"/>
    <cellStyle name="CALC Currency Total 2 28 4 4" xfId="44857"/>
    <cellStyle name="CALC Currency Total 2 28 5" xfId="19507"/>
    <cellStyle name="CALC Currency Total 2 28 5 2" xfId="27828"/>
    <cellStyle name="CALC Currency Total 2 28 5 2 2" xfId="44858"/>
    <cellStyle name="CALC Currency Total 2 28 5 3" xfId="34976"/>
    <cellStyle name="CALC Currency Total 2 28 5 4" xfId="44859"/>
    <cellStyle name="CALC Currency Total 2 28 6" xfId="20476"/>
    <cellStyle name="CALC Currency Total 2 28 6 2" xfId="28798"/>
    <cellStyle name="CALC Currency Total 2 28 6 2 2" xfId="44860"/>
    <cellStyle name="CALC Currency Total 2 28 6 3" xfId="35907"/>
    <cellStyle name="CALC Currency Total 2 28 6 4" xfId="44861"/>
    <cellStyle name="CALC Currency Total 2 28 7" xfId="21937"/>
    <cellStyle name="CALC Currency Total 2 28 7 2" xfId="30238"/>
    <cellStyle name="CALC Currency Total 2 28 7 2 2" xfId="44862"/>
    <cellStyle name="CALC Currency Total 2 28 7 3" xfId="37280"/>
    <cellStyle name="CALC Currency Total 2 28 7 4" xfId="44863"/>
    <cellStyle name="CALC Currency Total 2 28 8" xfId="22865"/>
    <cellStyle name="CALC Currency Total 2 28 8 2" xfId="31161"/>
    <cellStyle name="CALC Currency Total 2 28 8 2 2" xfId="44864"/>
    <cellStyle name="CALC Currency Total 2 28 8 3" xfId="38164"/>
    <cellStyle name="CALC Currency Total 2 28 8 4" xfId="44865"/>
    <cellStyle name="CALC Currency Total 2 28 9" xfId="23807"/>
    <cellStyle name="CALC Currency Total 2 28 9 2" xfId="44866"/>
    <cellStyle name="CALC Currency Total 2 29" xfId="15482"/>
    <cellStyle name="CALC Currency Total 2 29 2" xfId="17528"/>
    <cellStyle name="CALC Currency Total 2 29 2 2" xfId="25848"/>
    <cellStyle name="CALC Currency Total 2 29 2 2 2" xfId="44867"/>
    <cellStyle name="CALC Currency Total 2 29 2 3" xfId="33066"/>
    <cellStyle name="CALC Currency Total 2 29 2 4" xfId="44868"/>
    <cellStyle name="CALC Currency Total 2 29 3" xfId="19539"/>
    <cellStyle name="CALC Currency Total 2 29 3 2" xfId="27860"/>
    <cellStyle name="CALC Currency Total 2 29 3 2 2" xfId="44869"/>
    <cellStyle name="CALC Currency Total 2 29 3 3" xfId="35008"/>
    <cellStyle name="CALC Currency Total 2 29 3 4" xfId="44870"/>
    <cellStyle name="CALC Currency Total 2 29 4" xfId="44871"/>
    <cellStyle name="CALC Currency Total 2 29 4 2" xfId="44872"/>
    <cellStyle name="CALC Currency Total 2 3" xfId="14519"/>
    <cellStyle name="CALC Currency Total 2 3 2" xfId="15581"/>
    <cellStyle name="CALC Currency Total 2 3 2 2" xfId="44873"/>
    <cellStyle name="CALC Currency Total 2 3 2 2 2" xfId="44874"/>
    <cellStyle name="CALC Currency Total 2 3 3" xfId="23897"/>
    <cellStyle name="CALC Currency Total 2 3 3 2" xfId="44875"/>
    <cellStyle name="CALC Currency Total 2 30" xfId="44876"/>
    <cellStyle name="CALC Currency Total 2 30 2" xfId="44877"/>
    <cellStyle name="CALC Currency Total 2 4" xfId="14543"/>
    <cellStyle name="CALC Currency Total 2 4 2" xfId="15622"/>
    <cellStyle name="CALC Currency Total 2 4 2 2" xfId="23936"/>
    <cellStyle name="CALC Currency Total 2 4 2 2 2" xfId="44878"/>
    <cellStyle name="CALC Currency Total 2 4 2 3" xfId="44879"/>
    <cellStyle name="CALC Currency Total 2 4 2 4" xfId="44880"/>
    <cellStyle name="CALC Currency Total 2 4 3" xfId="16590"/>
    <cellStyle name="CALC Currency Total 2 4 3 2" xfId="24907"/>
    <cellStyle name="CALC Currency Total 2 4 3 2 2" xfId="44881"/>
    <cellStyle name="CALC Currency Total 2 4 3 3" xfId="32167"/>
    <cellStyle name="CALC Currency Total 2 4 3 4" xfId="44882"/>
    <cellStyle name="CALC Currency Total 2 4 4" xfId="17609"/>
    <cellStyle name="CALC Currency Total 2 4 4 2" xfId="25932"/>
    <cellStyle name="CALC Currency Total 2 4 4 2 2" xfId="44883"/>
    <cellStyle name="CALC Currency Total 2 4 4 3" xfId="33144"/>
    <cellStyle name="CALC Currency Total 2 4 4 4" xfId="44884"/>
    <cellStyle name="CALC Currency Total 2 4 5" xfId="18591"/>
    <cellStyle name="CALC Currency Total 2 4 5 2" xfId="26910"/>
    <cellStyle name="CALC Currency Total 2 4 5 2 2" xfId="44885"/>
    <cellStyle name="CALC Currency Total 2 4 5 3" xfId="34079"/>
    <cellStyle name="CALC Currency Total 2 4 5 4" xfId="44886"/>
    <cellStyle name="CALC Currency Total 2 4 6" xfId="19559"/>
    <cellStyle name="CALC Currency Total 2 4 6 2" xfId="27880"/>
    <cellStyle name="CALC Currency Total 2 4 6 2 2" xfId="44887"/>
    <cellStyle name="CALC Currency Total 2 4 6 3" xfId="35027"/>
    <cellStyle name="CALC Currency Total 2 4 6 4" xfId="44888"/>
    <cellStyle name="CALC Currency Total 2 4 7" xfId="20517"/>
    <cellStyle name="CALC Currency Total 2 4 7 2" xfId="28839"/>
    <cellStyle name="CALC Currency Total 2 4 7 2 2" xfId="44889"/>
    <cellStyle name="CALC Currency Total 2 4 7 3" xfId="35944"/>
    <cellStyle name="CALC Currency Total 2 4 7 4" xfId="44890"/>
    <cellStyle name="CALC Currency Total 2 4 8" xfId="22900"/>
    <cellStyle name="CALC Currency Total 2 4 8 2" xfId="44891"/>
    <cellStyle name="CALC Currency Total 2 5" xfId="14604"/>
    <cellStyle name="CALC Currency Total 2 5 10" xfId="22965"/>
    <cellStyle name="CALC Currency Total 2 5 10 2" xfId="44892"/>
    <cellStyle name="CALC Currency Total 2 5 11" xfId="44893"/>
    <cellStyle name="CALC Currency Total 2 5 2" xfId="15684"/>
    <cellStyle name="CALC Currency Total 2 5 2 2" xfId="24000"/>
    <cellStyle name="CALC Currency Total 2 5 2 2 2" xfId="44894"/>
    <cellStyle name="CALC Currency Total 2 5 2 3" xfId="31295"/>
    <cellStyle name="CALC Currency Total 2 5 2 4" xfId="44895"/>
    <cellStyle name="CALC Currency Total 2 5 3" xfId="16651"/>
    <cellStyle name="CALC Currency Total 2 5 3 2" xfId="24971"/>
    <cellStyle name="CALC Currency Total 2 5 3 2 2" xfId="44896"/>
    <cellStyle name="CALC Currency Total 2 5 3 3" xfId="32228"/>
    <cellStyle name="CALC Currency Total 2 5 3 4" xfId="44897"/>
    <cellStyle name="CALC Currency Total 2 5 4" xfId="17673"/>
    <cellStyle name="CALC Currency Total 2 5 4 2" xfId="25997"/>
    <cellStyle name="CALC Currency Total 2 5 4 2 2" xfId="44898"/>
    <cellStyle name="CALC Currency Total 2 5 4 3" xfId="33205"/>
    <cellStyle name="CALC Currency Total 2 5 4 4" xfId="44899"/>
    <cellStyle name="CALC Currency Total 2 5 5" xfId="18656"/>
    <cellStyle name="CALC Currency Total 2 5 5 2" xfId="26977"/>
    <cellStyle name="CALC Currency Total 2 5 5 2 2" xfId="44900"/>
    <cellStyle name="CALC Currency Total 2 5 5 3" xfId="34143"/>
    <cellStyle name="CALC Currency Total 2 5 5 4" xfId="44901"/>
    <cellStyle name="CALC Currency Total 2 5 6" xfId="19625"/>
    <cellStyle name="CALC Currency Total 2 5 6 2" xfId="27946"/>
    <cellStyle name="CALC Currency Total 2 5 6 2 2" xfId="44902"/>
    <cellStyle name="CALC Currency Total 2 5 6 3" xfId="35089"/>
    <cellStyle name="CALC Currency Total 2 5 6 4" xfId="44903"/>
    <cellStyle name="CALC Currency Total 2 5 7" xfId="20582"/>
    <cellStyle name="CALC Currency Total 2 5 7 2" xfId="28904"/>
    <cellStyle name="CALC Currency Total 2 5 7 2 2" xfId="44904"/>
    <cellStyle name="CALC Currency Total 2 5 7 3" xfId="36005"/>
    <cellStyle name="CALC Currency Total 2 5 7 4" xfId="44905"/>
    <cellStyle name="CALC Currency Total 2 5 8" xfId="21132"/>
    <cellStyle name="CALC Currency Total 2 5 8 2" xfId="29446"/>
    <cellStyle name="CALC Currency Total 2 5 8 2 2" xfId="44906"/>
    <cellStyle name="CALC Currency Total 2 5 8 3" xfId="36519"/>
    <cellStyle name="CALC Currency Total 2 5 8 4" xfId="44907"/>
    <cellStyle name="CALC Currency Total 2 5 9" xfId="22019"/>
    <cellStyle name="CALC Currency Total 2 5 9 2" xfId="30318"/>
    <cellStyle name="CALC Currency Total 2 5 9 2 2" xfId="44908"/>
    <cellStyle name="CALC Currency Total 2 5 9 3" xfId="37356"/>
    <cellStyle name="CALC Currency Total 2 5 9 4" xfId="44909"/>
    <cellStyle name="CALC Currency Total 2 6" xfId="14624"/>
    <cellStyle name="CALC Currency Total 2 6 10" xfId="22986"/>
    <cellStyle name="CALC Currency Total 2 6 10 2" xfId="44910"/>
    <cellStyle name="CALC Currency Total 2 6 11" xfId="44911"/>
    <cellStyle name="CALC Currency Total 2 6 2" xfId="15705"/>
    <cellStyle name="CALC Currency Total 2 6 2 2" xfId="24021"/>
    <cellStyle name="CALC Currency Total 2 6 2 2 2" xfId="44912"/>
    <cellStyle name="CALC Currency Total 2 6 2 3" xfId="31315"/>
    <cellStyle name="CALC Currency Total 2 6 2 4" xfId="44913"/>
    <cellStyle name="CALC Currency Total 2 6 3" xfId="16672"/>
    <cellStyle name="CALC Currency Total 2 6 3 2" xfId="24992"/>
    <cellStyle name="CALC Currency Total 2 6 3 2 2" xfId="44914"/>
    <cellStyle name="CALC Currency Total 2 6 3 3" xfId="32248"/>
    <cellStyle name="CALC Currency Total 2 6 3 4" xfId="44915"/>
    <cellStyle name="CALC Currency Total 2 6 4" xfId="17695"/>
    <cellStyle name="CALC Currency Total 2 6 4 2" xfId="26018"/>
    <cellStyle name="CALC Currency Total 2 6 4 2 2" xfId="44916"/>
    <cellStyle name="CALC Currency Total 2 6 4 3" xfId="33225"/>
    <cellStyle name="CALC Currency Total 2 6 4 4" xfId="44917"/>
    <cellStyle name="CALC Currency Total 2 6 5" xfId="18678"/>
    <cellStyle name="CALC Currency Total 2 6 5 2" xfId="26999"/>
    <cellStyle name="CALC Currency Total 2 6 5 2 2" xfId="44918"/>
    <cellStyle name="CALC Currency Total 2 6 5 3" xfId="34164"/>
    <cellStyle name="CALC Currency Total 2 6 5 4" xfId="44919"/>
    <cellStyle name="CALC Currency Total 2 6 6" xfId="19647"/>
    <cellStyle name="CALC Currency Total 2 6 6 2" xfId="27968"/>
    <cellStyle name="CALC Currency Total 2 6 6 2 2" xfId="44920"/>
    <cellStyle name="CALC Currency Total 2 6 6 3" xfId="35110"/>
    <cellStyle name="CALC Currency Total 2 6 6 4" xfId="44921"/>
    <cellStyle name="CALC Currency Total 2 6 7" xfId="20604"/>
    <cellStyle name="CALC Currency Total 2 6 7 2" xfId="28925"/>
    <cellStyle name="CALC Currency Total 2 6 7 2 2" xfId="44922"/>
    <cellStyle name="CALC Currency Total 2 6 7 3" xfId="36025"/>
    <cellStyle name="CALC Currency Total 2 6 7 4" xfId="44923"/>
    <cellStyle name="CALC Currency Total 2 6 8" xfId="21121"/>
    <cellStyle name="CALC Currency Total 2 6 8 2" xfId="29435"/>
    <cellStyle name="CALC Currency Total 2 6 8 2 2" xfId="44924"/>
    <cellStyle name="CALC Currency Total 2 6 8 3" xfId="36508"/>
    <cellStyle name="CALC Currency Total 2 6 8 4" xfId="44925"/>
    <cellStyle name="CALC Currency Total 2 6 9" xfId="22041"/>
    <cellStyle name="CALC Currency Total 2 6 9 2" xfId="30339"/>
    <cellStyle name="CALC Currency Total 2 6 9 2 2" xfId="44926"/>
    <cellStyle name="CALC Currency Total 2 6 9 3" xfId="37376"/>
    <cellStyle name="CALC Currency Total 2 6 9 4" xfId="44927"/>
    <cellStyle name="CALC Currency Total 2 7" xfId="14643"/>
    <cellStyle name="CALC Currency Total 2 7 10" xfId="23005"/>
    <cellStyle name="CALC Currency Total 2 7 10 2" xfId="44928"/>
    <cellStyle name="CALC Currency Total 2 7 11" xfId="44929"/>
    <cellStyle name="CALC Currency Total 2 7 2" xfId="15724"/>
    <cellStyle name="CALC Currency Total 2 7 2 2" xfId="24040"/>
    <cellStyle name="CALC Currency Total 2 7 2 2 2" xfId="44930"/>
    <cellStyle name="CALC Currency Total 2 7 2 3" xfId="31333"/>
    <cellStyle name="CALC Currency Total 2 7 2 4" xfId="44931"/>
    <cellStyle name="CALC Currency Total 2 7 3" xfId="16690"/>
    <cellStyle name="CALC Currency Total 2 7 3 2" xfId="25011"/>
    <cellStyle name="CALC Currency Total 2 7 3 2 2" xfId="44932"/>
    <cellStyle name="CALC Currency Total 2 7 3 3" xfId="32266"/>
    <cellStyle name="CALC Currency Total 2 7 3 4" xfId="44933"/>
    <cellStyle name="CALC Currency Total 2 7 4" xfId="17714"/>
    <cellStyle name="CALC Currency Total 2 7 4 2" xfId="26037"/>
    <cellStyle name="CALC Currency Total 2 7 4 2 2" xfId="44934"/>
    <cellStyle name="CALC Currency Total 2 7 4 3" xfId="33243"/>
    <cellStyle name="CALC Currency Total 2 7 4 4" xfId="44935"/>
    <cellStyle name="CALC Currency Total 2 7 5" xfId="18697"/>
    <cellStyle name="CALC Currency Total 2 7 5 2" xfId="27018"/>
    <cellStyle name="CALC Currency Total 2 7 5 2 2" xfId="44936"/>
    <cellStyle name="CALC Currency Total 2 7 5 3" xfId="34182"/>
    <cellStyle name="CALC Currency Total 2 7 5 4" xfId="44937"/>
    <cellStyle name="CALC Currency Total 2 7 6" xfId="19666"/>
    <cellStyle name="CALC Currency Total 2 7 6 2" xfId="27987"/>
    <cellStyle name="CALC Currency Total 2 7 6 2 2" xfId="44938"/>
    <cellStyle name="CALC Currency Total 2 7 6 3" xfId="35128"/>
    <cellStyle name="CALC Currency Total 2 7 6 4" xfId="44939"/>
    <cellStyle name="CALC Currency Total 2 7 7" xfId="20623"/>
    <cellStyle name="CALC Currency Total 2 7 7 2" xfId="28944"/>
    <cellStyle name="CALC Currency Total 2 7 7 2 2" xfId="44940"/>
    <cellStyle name="CALC Currency Total 2 7 7 3" xfId="36043"/>
    <cellStyle name="CALC Currency Total 2 7 7 4" xfId="44941"/>
    <cellStyle name="CALC Currency Total 2 7 8" xfId="21239"/>
    <cellStyle name="CALC Currency Total 2 7 8 2" xfId="29549"/>
    <cellStyle name="CALC Currency Total 2 7 8 2 2" xfId="44942"/>
    <cellStyle name="CALC Currency Total 2 7 8 3" xfId="36617"/>
    <cellStyle name="CALC Currency Total 2 7 8 4" xfId="44943"/>
    <cellStyle name="CALC Currency Total 2 7 9" xfId="22060"/>
    <cellStyle name="CALC Currency Total 2 7 9 2" xfId="30358"/>
    <cellStyle name="CALC Currency Total 2 7 9 2 2" xfId="44944"/>
    <cellStyle name="CALC Currency Total 2 7 9 3" xfId="37394"/>
    <cellStyle name="CALC Currency Total 2 7 9 4" xfId="44945"/>
    <cellStyle name="CALC Currency Total 2 8" xfId="14663"/>
    <cellStyle name="CALC Currency Total 2 8 10" xfId="23025"/>
    <cellStyle name="CALC Currency Total 2 8 10 2" xfId="44946"/>
    <cellStyle name="CALC Currency Total 2 8 11" xfId="44947"/>
    <cellStyle name="CALC Currency Total 2 8 2" xfId="15744"/>
    <cellStyle name="CALC Currency Total 2 8 2 2" xfId="24060"/>
    <cellStyle name="CALC Currency Total 2 8 2 2 2" xfId="44948"/>
    <cellStyle name="CALC Currency Total 2 8 2 3" xfId="31352"/>
    <cellStyle name="CALC Currency Total 2 8 2 4" xfId="44949"/>
    <cellStyle name="CALC Currency Total 2 8 3" xfId="16710"/>
    <cellStyle name="CALC Currency Total 2 8 3 2" xfId="25031"/>
    <cellStyle name="CALC Currency Total 2 8 3 2 2" xfId="44950"/>
    <cellStyle name="CALC Currency Total 2 8 3 3" xfId="32285"/>
    <cellStyle name="CALC Currency Total 2 8 3 4" xfId="44951"/>
    <cellStyle name="CALC Currency Total 2 8 4" xfId="17734"/>
    <cellStyle name="CALC Currency Total 2 8 4 2" xfId="26057"/>
    <cellStyle name="CALC Currency Total 2 8 4 2 2" xfId="44952"/>
    <cellStyle name="CALC Currency Total 2 8 4 3" xfId="33262"/>
    <cellStyle name="CALC Currency Total 2 8 4 4" xfId="44953"/>
    <cellStyle name="CALC Currency Total 2 8 5" xfId="18717"/>
    <cellStyle name="CALC Currency Total 2 8 5 2" xfId="27038"/>
    <cellStyle name="CALC Currency Total 2 8 5 2 2" xfId="44954"/>
    <cellStyle name="CALC Currency Total 2 8 5 3" xfId="34201"/>
    <cellStyle name="CALC Currency Total 2 8 5 4" xfId="44955"/>
    <cellStyle name="CALC Currency Total 2 8 6" xfId="19686"/>
    <cellStyle name="CALC Currency Total 2 8 6 2" xfId="28007"/>
    <cellStyle name="CALC Currency Total 2 8 6 2 2" xfId="44956"/>
    <cellStyle name="CALC Currency Total 2 8 6 3" xfId="35147"/>
    <cellStyle name="CALC Currency Total 2 8 6 4" xfId="44957"/>
    <cellStyle name="CALC Currency Total 2 8 7" xfId="20643"/>
    <cellStyle name="CALC Currency Total 2 8 7 2" xfId="28964"/>
    <cellStyle name="CALC Currency Total 2 8 7 2 2" xfId="44958"/>
    <cellStyle name="CALC Currency Total 2 8 7 3" xfId="36062"/>
    <cellStyle name="CALC Currency Total 2 8 7 4" xfId="44959"/>
    <cellStyle name="CALC Currency Total 2 8 8" xfId="21357"/>
    <cellStyle name="CALC Currency Total 2 8 8 2" xfId="29660"/>
    <cellStyle name="CALC Currency Total 2 8 8 2 2" xfId="44960"/>
    <cellStyle name="CALC Currency Total 2 8 8 3" xfId="36725"/>
    <cellStyle name="CALC Currency Total 2 8 8 4" xfId="44961"/>
    <cellStyle name="CALC Currency Total 2 8 9" xfId="22080"/>
    <cellStyle name="CALC Currency Total 2 8 9 2" xfId="30378"/>
    <cellStyle name="CALC Currency Total 2 8 9 2 2" xfId="44962"/>
    <cellStyle name="CALC Currency Total 2 8 9 3" xfId="37413"/>
    <cellStyle name="CALC Currency Total 2 8 9 4" xfId="44963"/>
    <cellStyle name="CALC Currency Total 2 9" xfId="14747"/>
    <cellStyle name="CALC Currency Total 2 9 10" xfId="23111"/>
    <cellStyle name="CALC Currency Total 2 9 10 2" xfId="44964"/>
    <cellStyle name="CALC Currency Total 2 9 11" xfId="44965"/>
    <cellStyle name="CALC Currency Total 2 9 12" xfId="44966"/>
    <cellStyle name="CALC Currency Total 2 9 2" xfId="15828"/>
    <cellStyle name="CALC Currency Total 2 9 2 2" xfId="24146"/>
    <cellStyle name="CALC Currency Total 2 9 2 2 2" xfId="44967"/>
    <cellStyle name="CALC Currency Total 2 9 2 3" xfId="31434"/>
    <cellStyle name="CALC Currency Total 2 9 2 4" xfId="44968"/>
    <cellStyle name="CALC Currency Total 2 9 3" xfId="16794"/>
    <cellStyle name="CALC Currency Total 2 9 3 2" xfId="25118"/>
    <cellStyle name="CALC Currency Total 2 9 3 2 2" xfId="44969"/>
    <cellStyle name="CALC Currency Total 2 9 3 3" xfId="32367"/>
    <cellStyle name="CALC Currency Total 2 9 3 4" xfId="44970"/>
    <cellStyle name="CALC Currency Total 2 9 4" xfId="17820"/>
    <cellStyle name="CALC Currency Total 2 9 4 2" xfId="26144"/>
    <cellStyle name="CALC Currency Total 2 9 4 2 2" xfId="44971"/>
    <cellStyle name="CALC Currency Total 2 9 4 3" xfId="33344"/>
    <cellStyle name="CALC Currency Total 2 9 4 4" xfId="44972"/>
    <cellStyle name="CALC Currency Total 2 9 5" xfId="18804"/>
    <cellStyle name="CALC Currency Total 2 9 5 2" xfId="27125"/>
    <cellStyle name="CALC Currency Total 2 9 5 2 2" xfId="44973"/>
    <cellStyle name="CALC Currency Total 2 9 5 3" xfId="34284"/>
    <cellStyle name="CALC Currency Total 2 9 5 4" xfId="44974"/>
    <cellStyle name="CALC Currency Total 2 9 6" xfId="19772"/>
    <cellStyle name="CALC Currency Total 2 9 6 2" xfId="28094"/>
    <cellStyle name="CALC Currency Total 2 9 6 2 2" xfId="44975"/>
    <cellStyle name="CALC Currency Total 2 9 6 3" xfId="35230"/>
    <cellStyle name="CALC Currency Total 2 9 6 4" xfId="44976"/>
    <cellStyle name="CALC Currency Total 2 9 7" xfId="20730"/>
    <cellStyle name="CALC Currency Total 2 9 7 2" xfId="29051"/>
    <cellStyle name="CALC Currency Total 2 9 7 2 2" xfId="44977"/>
    <cellStyle name="CALC Currency Total 2 9 7 3" xfId="36143"/>
    <cellStyle name="CALC Currency Total 2 9 7 4" xfId="44978"/>
    <cellStyle name="CALC Currency Total 2 9 8" xfId="21144"/>
    <cellStyle name="CALC Currency Total 2 9 8 2" xfId="29456"/>
    <cellStyle name="CALC Currency Total 2 9 8 2 2" xfId="44979"/>
    <cellStyle name="CALC Currency Total 2 9 8 3" xfId="36528"/>
    <cellStyle name="CALC Currency Total 2 9 8 4" xfId="44980"/>
    <cellStyle name="CALC Currency Total 2 9 9" xfId="22166"/>
    <cellStyle name="CALC Currency Total 2 9 9 2" xfId="30464"/>
    <cellStyle name="CALC Currency Total 2 9 9 2 2" xfId="44981"/>
    <cellStyle name="CALC Currency Total 2 9 9 3" xfId="37495"/>
    <cellStyle name="CALC Currency Total 2 9 9 4" xfId="44982"/>
    <cellStyle name="CALC Currency Total 20" xfId="14802"/>
    <cellStyle name="CALC Currency Total 20 10" xfId="23166"/>
    <cellStyle name="CALC Currency Total 20 10 2" xfId="44983"/>
    <cellStyle name="CALC Currency Total 20 11" xfId="44984"/>
    <cellStyle name="CALC Currency Total 20 12" xfId="44985"/>
    <cellStyle name="CALC Currency Total 20 2" xfId="15883"/>
    <cellStyle name="CALC Currency Total 20 2 2" xfId="24201"/>
    <cellStyle name="CALC Currency Total 20 2 2 2" xfId="44986"/>
    <cellStyle name="CALC Currency Total 20 2 3" xfId="31487"/>
    <cellStyle name="CALC Currency Total 20 2 4" xfId="44987"/>
    <cellStyle name="CALC Currency Total 20 3" xfId="16849"/>
    <cellStyle name="CALC Currency Total 20 3 2" xfId="25173"/>
    <cellStyle name="CALC Currency Total 20 3 2 2" xfId="44988"/>
    <cellStyle name="CALC Currency Total 20 3 3" xfId="32420"/>
    <cellStyle name="CALC Currency Total 20 3 4" xfId="44989"/>
    <cellStyle name="CALC Currency Total 20 4" xfId="17876"/>
    <cellStyle name="CALC Currency Total 20 4 2" xfId="26199"/>
    <cellStyle name="CALC Currency Total 20 4 2 2" xfId="44990"/>
    <cellStyle name="CALC Currency Total 20 4 3" xfId="33397"/>
    <cellStyle name="CALC Currency Total 20 4 4" xfId="44991"/>
    <cellStyle name="CALC Currency Total 20 5" xfId="18860"/>
    <cellStyle name="CALC Currency Total 20 5 2" xfId="27180"/>
    <cellStyle name="CALC Currency Total 20 5 2 2" xfId="44992"/>
    <cellStyle name="CALC Currency Total 20 5 3" xfId="34337"/>
    <cellStyle name="CALC Currency Total 20 5 4" xfId="44993"/>
    <cellStyle name="CALC Currency Total 20 6" xfId="19828"/>
    <cellStyle name="CALC Currency Total 20 6 2" xfId="28150"/>
    <cellStyle name="CALC Currency Total 20 6 2 2" xfId="44994"/>
    <cellStyle name="CALC Currency Total 20 6 3" xfId="35284"/>
    <cellStyle name="CALC Currency Total 20 6 4" xfId="44995"/>
    <cellStyle name="CALC Currency Total 20 7" xfId="20786"/>
    <cellStyle name="CALC Currency Total 20 7 2" xfId="29106"/>
    <cellStyle name="CALC Currency Total 20 7 2 2" xfId="44996"/>
    <cellStyle name="CALC Currency Total 20 7 3" xfId="36196"/>
    <cellStyle name="CALC Currency Total 20 7 4" xfId="44997"/>
    <cellStyle name="CALC Currency Total 20 8" xfId="15555"/>
    <cellStyle name="CALC Currency Total 20 8 2" xfId="23883"/>
    <cellStyle name="CALC Currency Total 20 8 2 2" xfId="44998"/>
    <cellStyle name="CALC Currency Total 20 8 3" xfId="31227"/>
    <cellStyle name="CALC Currency Total 20 8 4" xfId="44999"/>
    <cellStyle name="CALC Currency Total 20 9" xfId="22222"/>
    <cellStyle name="CALC Currency Total 20 9 2" xfId="30520"/>
    <cellStyle name="CALC Currency Total 20 9 2 2" xfId="45000"/>
    <cellStyle name="CALC Currency Total 20 9 3" xfId="37548"/>
    <cellStyle name="CALC Currency Total 20 9 4" xfId="45001"/>
    <cellStyle name="CALC Currency Total 21" xfId="14808"/>
    <cellStyle name="CALC Currency Total 21 10" xfId="23172"/>
    <cellStyle name="CALC Currency Total 21 10 2" xfId="45002"/>
    <cellStyle name="CALC Currency Total 21 11" xfId="45003"/>
    <cellStyle name="CALC Currency Total 21 12" xfId="45004"/>
    <cellStyle name="CALC Currency Total 21 2" xfId="15889"/>
    <cellStyle name="CALC Currency Total 21 2 2" xfId="24207"/>
    <cellStyle name="CALC Currency Total 21 2 2 2" xfId="45005"/>
    <cellStyle name="CALC Currency Total 21 2 3" xfId="31493"/>
    <cellStyle name="CALC Currency Total 21 2 4" xfId="45006"/>
    <cellStyle name="CALC Currency Total 21 3" xfId="16855"/>
    <cellStyle name="CALC Currency Total 21 3 2" xfId="25179"/>
    <cellStyle name="CALC Currency Total 21 3 2 2" xfId="45007"/>
    <cellStyle name="CALC Currency Total 21 3 3" xfId="32426"/>
    <cellStyle name="CALC Currency Total 21 3 4" xfId="45008"/>
    <cellStyle name="CALC Currency Total 21 4" xfId="17882"/>
    <cellStyle name="CALC Currency Total 21 4 2" xfId="26205"/>
    <cellStyle name="CALC Currency Total 21 4 2 2" xfId="45009"/>
    <cellStyle name="CALC Currency Total 21 4 3" xfId="33403"/>
    <cellStyle name="CALC Currency Total 21 4 4" xfId="45010"/>
    <cellStyle name="CALC Currency Total 21 5" xfId="18866"/>
    <cellStyle name="CALC Currency Total 21 5 2" xfId="27186"/>
    <cellStyle name="CALC Currency Total 21 5 2 2" xfId="45011"/>
    <cellStyle name="CALC Currency Total 21 5 3" xfId="34343"/>
    <cellStyle name="CALC Currency Total 21 5 4" xfId="45012"/>
    <cellStyle name="CALC Currency Total 21 6" xfId="19834"/>
    <cellStyle name="CALC Currency Total 21 6 2" xfId="28156"/>
    <cellStyle name="CALC Currency Total 21 6 2 2" xfId="45013"/>
    <cellStyle name="CALC Currency Total 21 6 3" xfId="35290"/>
    <cellStyle name="CALC Currency Total 21 6 4" xfId="45014"/>
    <cellStyle name="CALC Currency Total 21 7" xfId="20792"/>
    <cellStyle name="CALC Currency Total 21 7 2" xfId="29112"/>
    <cellStyle name="CALC Currency Total 21 7 2 2" xfId="45015"/>
    <cellStyle name="CALC Currency Total 21 7 3" xfId="36201"/>
    <cellStyle name="CALC Currency Total 21 7 4" xfId="45016"/>
    <cellStyle name="CALC Currency Total 21 8" xfId="21370"/>
    <cellStyle name="CALC Currency Total 21 8 2" xfId="29673"/>
    <cellStyle name="CALC Currency Total 21 8 2 2" xfId="45017"/>
    <cellStyle name="CALC Currency Total 21 8 3" xfId="36737"/>
    <cellStyle name="CALC Currency Total 21 8 4" xfId="45018"/>
    <cellStyle name="CALC Currency Total 21 9" xfId="22227"/>
    <cellStyle name="CALC Currency Total 21 9 2" xfId="30526"/>
    <cellStyle name="CALC Currency Total 21 9 2 2" xfId="45019"/>
    <cellStyle name="CALC Currency Total 21 9 3" xfId="37554"/>
    <cellStyle name="CALC Currency Total 21 9 4" xfId="45020"/>
    <cellStyle name="CALC Currency Total 22" xfId="14801"/>
    <cellStyle name="CALC Currency Total 22 10" xfId="23165"/>
    <cellStyle name="CALC Currency Total 22 10 2" xfId="45021"/>
    <cellStyle name="CALC Currency Total 22 11" xfId="45022"/>
    <cellStyle name="CALC Currency Total 22 12" xfId="45023"/>
    <cellStyle name="CALC Currency Total 22 2" xfId="15882"/>
    <cellStyle name="CALC Currency Total 22 2 2" xfId="24200"/>
    <cellStyle name="CALC Currency Total 22 2 2 2" xfId="45024"/>
    <cellStyle name="CALC Currency Total 22 2 3" xfId="31486"/>
    <cellStyle name="CALC Currency Total 22 2 4" xfId="45025"/>
    <cellStyle name="CALC Currency Total 22 3" xfId="16848"/>
    <cellStyle name="CALC Currency Total 22 3 2" xfId="25172"/>
    <cellStyle name="CALC Currency Total 22 3 2 2" xfId="45026"/>
    <cellStyle name="CALC Currency Total 22 3 3" xfId="32419"/>
    <cellStyle name="CALC Currency Total 22 3 4" xfId="45027"/>
    <cellStyle name="CALC Currency Total 22 4" xfId="17875"/>
    <cellStyle name="CALC Currency Total 22 4 2" xfId="26198"/>
    <cellStyle name="CALC Currency Total 22 4 2 2" xfId="45028"/>
    <cellStyle name="CALC Currency Total 22 4 3" xfId="33396"/>
    <cellStyle name="CALC Currency Total 22 4 4" xfId="45029"/>
    <cellStyle name="CALC Currency Total 22 5" xfId="18859"/>
    <cellStyle name="CALC Currency Total 22 5 2" xfId="27179"/>
    <cellStyle name="CALC Currency Total 22 5 2 2" xfId="45030"/>
    <cellStyle name="CALC Currency Total 22 5 3" xfId="34336"/>
    <cellStyle name="CALC Currency Total 22 5 4" xfId="45031"/>
    <cellStyle name="CALC Currency Total 22 6" xfId="19827"/>
    <cellStyle name="CALC Currency Total 22 6 2" xfId="28149"/>
    <cellStyle name="CALC Currency Total 22 6 2 2" xfId="45032"/>
    <cellStyle name="CALC Currency Total 22 6 3" xfId="35283"/>
    <cellStyle name="CALC Currency Total 22 6 4" xfId="45033"/>
    <cellStyle name="CALC Currency Total 22 7" xfId="20785"/>
    <cellStyle name="CALC Currency Total 22 7 2" xfId="29105"/>
    <cellStyle name="CALC Currency Total 22 7 2 2" xfId="45034"/>
    <cellStyle name="CALC Currency Total 22 7 3" xfId="36195"/>
    <cellStyle name="CALC Currency Total 22 7 4" xfId="45035"/>
    <cellStyle name="CALC Currency Total 22 8" xfId="21113"/>
    <cellStyle name="CALC Currency Total 22 8 2" xfId="29427"/>
    <cellStyle name="CALC Currency Total 22 8 2 2" xfId="45036"/>
    <cellStyle name="CALC Currency Total 22 8 3" xfId="36500"/>
    <cellStyle name="CALC Currency Total 22 8 4" xfId="45037"/>
    <cellStyle name="CALC Currency Total 22 9" xfId="22221"/>
    <cellStyle name="CALC Currency Total 22 9 2" xfId="30519"/>
    <cellStyle name="CALC Currency Total 22 9 2 2" xfId="45038"/>
    <cellStyle name="CALC Currency Total 22 9 3" xfId="37547"/>
    <cellStyle name="CALC Currency Total 22 9 4" xfId="45039"/>
    <cellStyle name="CALC Currency Total 23" xfId="14770"/>
    <cellStyle name="CALC Currency Total 23 10" xfId="23134"/>
    <cellStyle name="CALC Currency Total 23 10 2" xfId="45040"/>
    <cellStyle name="CALC Currency Total 23 11" xfId="45041"/>
    <cellStyle name="CALC Currency Total 23 12" xfId="45042"/>
    <cellStyle name="CALC Currency Total 23 2" xfId="15851"/>
    <cellStyle name="CALC Currency Total 23 2 2" xfId="24169"/>
    <cellStyle name="CALC Currency Total 23 2 2 2" xfId="45043"/>
    <cellStyle name="CALC Currency Total 23 2 3" xfId="31457"/>
    <cellStyle name="CALC Currency Total 23 2 4" xfId="45044"/>
    <cellStyle name="CALC Currency Total 23 3" xfId="16817"/>
    <cellStyle name="CALC Currency Total 23 3 2" xfId="25141"/>
    <cellStyle name="CALC Currency Total 23 3 2 2" xfId="45045"/>
    <cellStyle name="CALC Currency Total 23 3 3" xfId="32390"/>
    <cellStyle name="CALC Currency Total 23 3 4" xfId="45046"/>
    <cellStyle name="CALC Currency Total 23 4" xfId="17843"/>
    <cellStyle name="CALC Currency Total 23 4 2" xfId="26167"/>
    <cellStyle name="CALC Currency Total 23 4 2 2" xfId="45047"/>
    <cellStyle name="CALC Currency Total 23 4 3" xfId="33367"/>
    <cellStyle name="CALC Currency Total 23 4 4" xfId="45048"/>
    <cellStyle name="CALC Currency Total 23 5" xfId="18827"/>
    <cellStyle name="CALC Currency Total 23 5 2" xfId="27148"/>
    <cellStyle name="CALC Currency Total 23 5 2 2" xfId="45049"/>
    <cellStyle name="CALC Currency Total 23 5 3" xfId="34307"/>
    <cellStyle name="CALC Currency Total 23 5 4" xfId="45050"/>
    <cellStyle name="CALC Currency Total 23 6" xfId="19795"/>
    <cellStyle name="CALC Currency Total 23 6 2" xfId="28117"/>
    <cellStyle name="CALC Currency Total 23 6 2 2" xfId="45051"/>
    <cellStyle name="CALC Currency Total 23 6 3" xfId="35253"/>
    <cellStyle name="CALC Currency Total 23 6 4" xfId="45052"/>
    <cellStyle name="CALC Currency Total 23 7" xfId="20753"/>
    <cellStyle name="CALC Currency Total 23 7 2" xfId="29074"/>
    <cellStyle name="CALC Currency Total 23 7 2 2" xfId="45053"/>
    <cellStyle name="CALC Currency Total 23 7 3" xfId="36166"/>
    <cellStyle name="CALC Currency Total 23 7 4" xfId="45054"/>
    <cellStyle name="CALC Currency Total 23 8" xfId="21254"/>
    <cellStyle name="CALC Currency Total 23 8 2" xfId="29563"/>
    <cellStyle name="CALC Currency Total 23 8 2 2" xfId="45055"/>
    <cellStyle name="CALC Currency Total 23 8 3" xfId="36631"/>
    <cellStyle name="CALC Currency Total 23 8 4" xfId="45056"/>
    <cellStyle name="CALC Currency Total 23 9" xfId="22189"/>
    <cellStyle name="CALC Currency Total 23 9 2" xfId="30487"/>
    <cellStyle name="CALC Currency Total 23 9 2 2" xfId="45057"/>
    <cellStyle name="CALC Currency Total 23 9 3" xfId="37518"/>
    <cellStyle name="CALC Currency Total 23 9 4" xfId="45058"/>
    <cellStyle name="CALC Currency Total 24" xfId="14720"/>
    <cellStyle name="CALC Currency Total 24 10" xfId="23082"/>
    <cellStyle name="CALC Currency Total 24 10 2" xfId="45059"/>
    <cellStyle name="CALC Currency Total 24 11" xfId="45060"/>
    <cellStyle name="CALC Currency Total 24 12" xfId="45061"/>
    <cellStyle name="CALC Currency Total 24 2" xfId="15801"/>
    <cellStyle name="CALC Currency Total 24 2 2" xfId="24117"/>
    <cellStyle name="CALC Currency Total 24 2 2 2" xfId="45062"/>
    <cellStyle name="CALC Currency Total 24 2 3" xfId="31405"/>
    <cellStyle name="CALC Currency Total 24 2 4" xfId="45063"/>
    <cellStyle name="CALC Currency Total 24 3" xfId="16767"/>
    <cellStyle name="CALC Currency Total 24 3 2" xfId="25089"/>
    <cellStyle name="CALC Currency Total 24 3 2 2" xfId="45064"/>
    <cellStyle name="CALC Currency Total 24 3 3" xfId="32338"/>
    <cellStyle name="CALC Currency Total 24 3 4" xfId="45065"/>
    <cellStyle name="CALC Currency Total 24 4" xfId="17791"/>
    <cellStyle name="CALC Currency Total 24 4 2" xfId="26115"/>
    <cellStyle name="CALC Currency Total 24 4 2 2" xfId="45066"/>
    <cellStyle name="CALC Currency Total 24 4 3" xfId="33315"/>
    <cellStyle name="CALC Currency Total 24 4 4" xfId="45067"/>
    <cellStyle name="CALC Currency Total 24 5" xfId="18775"/>
    <cellStyle name="CALC Currency Total 24 5 2" xfId="27096"/>
    <cellStyle name="CALC Currency Total 24 5 2 2" xfId="45068"/>
    <cellStyle name="CALC Currency Total 24 5 3" xfId="34255"/>
    <cellStyle name="CALC Currency Total 24 5 4" xfId="45069"/>
    <cellStyle name="CALC Currency Total 24 6" xfId="19744"/>
    <cellStyle name="CALC Currency Total 24 6 2" xfId="28065"/>
    <cellStyle name="CALC Currency Total 24 6 2 2" xfId="45070"/>
    <cellStyle name="CALC Currency Total 24 6 3" xfId="35201"/>
    <cellStyle name="CALC Currency Total 24 6 4" xfId="45071"/>
    <cellStyle name="CALC Currency Total 24 7" xfId="20701"/>
    <cellStyle name="CALC Currency Total 24 7 2" xfId="29022"/>
    <cellStyle name="CALC Currency Total 24 7 2 2" xfId="45072"/>
    <cellStyle name="CALC Currency Total 24 7 3" xfId="36115"/>
    <cellStyle name="CALC Currency Total 24 7 4" xfId="45073"/>
    <cellStyle name="CALC Currency Total 24 8" xfId="21205"/>
    <cellStyle name="CALC Currency Total 24 8 2" xfId="29517"/>
    <cellStyle name="CALC Currency Total 24 8 2 2" xfId="45074"/>
    <cellStyle name="CALC Currency Total 24 8 3" xfId="36586"/>
    <cellStyle name="CALC Currency Total 24 8 4" xfId="45075"/>
    <cellStyle name="CALC Currency Total 24 9" xfId="22137"/>
    <cellStyle name="CALC Currency Total 24 9 2" xfId="30435"/>
    <cellStyle name="CALC Currency Total 24 9 2 2" xfId="45076"/>
    <cellStyle name="CALC Currency Total 24 9 3" xfId="37466"/>
    <cellStyle name="CALC Currency Total 24 9 4" xfId="45077"/>
    <cellStyle name="CALC Currency Total 25" xfId="14705"/>
    <cellStyle name="CALC Currency Total 25 10" xfId="23067"/>
    <cellStyle name="CALC Currency Total 25 10 2" xfId="45078"/>
    <cellStyle name="CALC Currency Total 25 11" xfId="45079"/>
    <cellStyle name="CALC Currency Total 25 12" xfId="45080"/>
    <cellStyle name="CALC Currency Total 25 2" xfId="15786"/>
    <cellStyle name="CALC Currency Total 25 2 2" xfId="24102"/>
    <cellStyle name="CALC Currency Total 25 2 2 2" xfId="45081"/>
    <cellStyle name="CALC Currency Total 25 2 3" xfId="31391"/>
    <cellStyle name="CALC Currency Total 25 2 4" xfId="45082"/>
    <cellStyle name="CALC Currency Total 25 3" xfId="16752"/>
    <cellStyle name="CALC Currency Total 25 3 2" xfId="25074"/>
    <cellStyle name="CALC Currency Total 25 3 2 2" xfId="45083"/>
    <cellStyle name="CALC Currency Total 25 3 3" xfId="32324"/>
    <cellStyle name="CALC Currency Total 25 3 4" xfId="45084"/>
    <cellStyle name="CALC Currency Total 25 4" xfId="17776"/>
    <cellStyle name="CALC Currency Total 25 4 2" xfId="26100"/>
    <cellStyle name="CALC Currency Total 25 4 2 2" xfId="45085"/>
    <cellStyle name="CALC Currency Total 25 4 3" xfId="33301"/>
    <cellStyle name="CALC Currency Total 25 4 4" xfId="45086"/>
    <cellStyle name="CALC Currency Total 25 5" xfId="18760"/>
    <cellStyle name="CALC Currency Total 25 5 2" xfId="27081"/>
    <cellStyle name="CALC Currency Total 25 5 2 2" xfId="45087"/>
    <cellStyle name="CALC Currency Total 25 5 3" xfId="34241"/>
    <cellStyle name="CALC Currency Total 25 5 4" xfId="45088"/>
    <cellStyle name="CALC Currency Total 25 6" xfId="19729"/>
    <cellStyle name="CALC Currency Total 25 6 2" xfId="28050"/>
    <cellStyle name="CALC Currency Total 25 6 2 2" xfId="45089"/>
    <cellStyle name="CALC Currency Total 25 6 3" xfId="35187"/>
    <cellStyle name="CALC Currency Total 25 6 4" xfId="45090"/>
    <cellStyle name="CALC Currency Total 25 7" xfId="20686"/>
    <cellStyle name="CALC Currency Total 25 7 2" xfId="29007"/>
    <cellStyle name="CALC Currency Total 25 7 2 2" xfId="45091"/>
    <cellStyle name="CALC Currency Total 25 7 3" xfId="36101"/>
    <cellStyle name="CALC Currency Total 25 7 4" xfId="45092"/>
    <cellStyle name="CALC Currency Total 25 8" xfId="15507"/>
    <cellStyle name="CALC Currency Total 25 8 2" xfId="23847"/>
    <cellStyle name="CALC Currency Total 25 8 2 2" xfId="45093"/>
    <cellStyle name="CALC Currency Total 25 8 3" xfId="31196"/>
    <cellStyle name="CALC Currency Total 25 8 4" xfId="45094"/>
    <cellStyle name="CALC Currency Total 25 9" xfId="22122"/>
    <cellStyle name="CALC Currency Total 25 9 2" xfId="30420"/>
    <cellStyle name="CALC Currency Total 25 9 2 2" xfId="45095"/>
    <cellStyle name="CALC Currency Total 25 9 3" xfId="37452"/>
    <cellStyle name="CALC Currency Total 25 9 4" xfId="45096"/>
    <cellStyle name="CALC Currency Total 26" xfId="14771"/>
    <cellStyle name="CALC Currency Total 26 10" xfId="23135"/>
    <cellStyle name="CALC Currency Total 26 10 2" xfId="45097"/>
    <cellStyle name="CALC Currency Total 26 11" xfId="45098"/>
    <cellStyle name="CALC Currency Total 26 12" xfId="45099"/>
    <cellStyle name="CALC Currency Total 26 2" xfId="15852"/>
    <cellStyle name="CALC Currency Total 26 2 2" xfId="24170"/>
    <cellStyle name="CALC Currency Total 26 2 2 2" xfId="45100"/>
    <cellStyle name="CALC Currency Total 26 2 3" xfId="31458"/>
    <cellStyle name="CALC Currency Total 26 2 4" xfId="45101"/>
    <cellStyle name="CALC Currency Total 26 3" xfId="16818"/>
    <cellStyle name="CALC Currency Total 26 3 2" xfId="25142"/>
    <cellStyle name="CALC Currency Total 26 3 2 2" xfId="45102"/>
    <cellStyle name="CALC Currency Total 26 3 3" xfId="32391"/>
    <cellStyle name="CALC Currency Total 26 3 4" xfId="45103"/>
    <cellStyle name="CALC Currency Total 26 4" xfId="17844"/>
    <cellStyle name="CALC Currency Total 26 4 2" xfId="26168"/>
    <cellStyle name="CALC Currency Total 26 4 2 2" xfId="45104"/>
    <cellStyle name="CALC Currency Total 26 4 3" xfId="33368"/>
    <cellStyle name="CALC Currency Total 26 4 4" xfId="45105"/>
    <cellStyle name="CALC Currency Total 26 5" xfId="18828"/>
    <cellStyle name="CALC Currency Total 26 5 2" xfId="27149"/>
    <cellStyle name="CALC Currency Total 26 5 2 2" xfId="45106"/>
    <cellStyle name="CALC Currency Total 26 5 3" xfId="34308"/>
    <cellStyle name="CALC Currency Total 26 5 4" xfId="45107"/>
    <cellStyle name="CALC Currency Total 26 6" xfId="19796"/>
    <cellStyle name="CALC Currency Total 26 6 2" xfId="28118"/>
    <cellStyle name="CALC Currency Total 26 6 2 2" xfId="45108"/>
    <cellStyle name="CALC Currency Total 26 6 3" xfId="35254"/>
    <cellStyle name="CALC Currency Total 26 6 4" xfId="45109"/>
    <cellStyle name="CALC Currency Total 26 7" xfId="20754"/>
    <cellStyle name="CALC Currency Total 26 7 2" xfId="29075"/>
    <cellStyle name="CALC Currency Total 26 7 2 2" xfId="45110"/>
    <cellStyle name="CALC Currency Total 26 7 3" xfId="36167"/>
    <cellStyle name="CALC Currency Total 26 7 4" xfId="45111"/>
    <cellStyle name="CALC Currency Total 26 8" xfId="21253"/>
    <cellStyle name="CALC Currency Total 26 8 2" xfId="29562"/>
    <cellStyle name="CALC Currency Total 26 8 2 2" xfId="45112"/>
    <cellStyle name="CALC Currency Total 26 8 3" xfId="36630"/>
    <cellStyle name="CALC Currency Total 26 8 4" xfId="45113"/>
    <cellStyle name="CALC Currency Total 26 9" xfId="22190"/>
    <cellStyle name="CALC Currency Total 26 9 2" xfId="30488"/>
    <cellStyle name="CALC Currency Total 26 9 2 2" xfId="45114"/>
    <cellStyle name="CALC Currency Total 26 9 3" xfId="37519"/>
    <cellStyle name="CALC Currency Total 26 9 4" xfId="45115"/>
    <cellStyle name="CALC Currency Total 27" xfId="14815"/>
    <cellStyle name="CALC Currency Total 27 10" xfId="23179"/>
    <cellStyle name="CALC Currency Total 27 10 2" xfId="45116"/>
    <cellStyle name="CALC Currency Total 27 11" xfId="45117"/>
    <cellStyle name="CALC Currency Total 27 12" xfId="45118"/>
    <cellStyle name="CALC Currency Total 27 2" xfId="15896"/>
    <cellStyle name="CALC Currency Total 27 2 2" xfId="24214"/>
    <cellStyle name="CALC Currency Total 27 2 2 2" xfId="45119"/>
    <cellStyle name="CALC Currency Total 27 2 3" xfId="31500"/>
    <cellStyle name="CALC Currency Total 27 2 4" xfId="45120"/>
    <cellStyle name="CALC Currency Total 27 3" xfId="16862"/>
    <cellStyle name="CALC Currency Total 27 3 2" xfId="25186"/>
    <cellStyle name="CALC Currency Total 27 3 2 2" xfId="45121"/>
    <cellStyle name="CALC Currency Total 27 3 3" xfId="32433"/>
    <cellStyle name="CALC Currency Total 27 3 4" xfId="45122"/>
    <cellStyle name="CALC Currency Total 27 4" xfId="17889"/>
    <cellStyle name="CALC Currency Total 27 4 2" xfId="26212"/>
    <cellStyle name="CALC Currency Total 27 4 2 2" xfId="45123"/>
    <cellStyle name="CALC Currency Total 27 4 3" xfId="33410"/>
    <cellStyle name="CALC Currency Total 27 4 4" xfId="45124"/>
    <cellStyle name="CALC Currency Total 27 5" xfId="18873"/>
    <cellStyle name="CALC Currency Total 27 5 2" xfId="27193"/>
    <cellStyle name="CALC Currency Total 27 5 2 2" xfId="45125"/>
    <cellStyle name="CALC Currency Total 27 5 3" xfId="34350"/>
    <cellStyle name="CALC Currency Total 27 5 4" xfId="45126"/>
    <cellStyle name="CALC Currency Total 27 6" xfId="19841"/>
    <cellStyle name="CALC Currency Total 27 6 2" xfId="28163"/>
    <cellStyle name="CALC Currency Total 27 6 2 2" xfId="45127"/>
    <cellStyle name="CALC Currency Total 27 6 3" xfId="35297"/>
    <cellStyle name="CALC Currency Total 27 6 4" xfId="45128"/>
    <cellStyle name="CALC Currency Total 27 7" xfId="20799"/>
    <cellStyle name="CALC Currency Total 27 7 2" xfId="29119"/>
    <cellStyle name="CALC Currency Total 27 7 2 2" xfId="45129"/>
    <cellStyle name="CALC Currency Total 27 7 3" xfId="36208"/>
    <cellStyle name="CALC Currency Total 27 7 4" xfId="45130"/>
    <cellStyle name="CALC Currency Total 27 8" xfId="21226"/>
    <cellStyle name="CALC Currency Total 27 8 2" xfId="29537"/>
    <cellStyle name="CALC Currency Total 27 8 2 2" xfId="45131"/>
    <cellStyle name="CALC Currency Total 27 8 3" xfId="36606"/>
    <cellStyle name="CALC Currency Total 27 8 4" xfId="45132"/>
    <cellStyle name="CALC Currency Total 27 9" xfId="22234"/>
    <cellStyle name="CALC Currency Total 27 9 2" xfId="30533"/>
    <cellStyle name="CALC Currency Total 27 9 2 2" xfId="45133"/>
    <cellStyle name="CALC Currency Total 27 9 3" xfId="37561"/>
    <cellStyle name="CALC Currency Total 27 9 4" xfId="45134"/>
    <cellStyle name="CALC Currency Total 28" xfId="14842"/>
    <cellStyle name="CALC Currency Total 28 10" xfId="23205"/>
    <cellStyle name="CALC Currency Total 28 10 2" xfId="45135"/>
    <cellStyle name="CALC Currency Total 28 11" xfId="45136"/>
    <cellStyle name="CALC Currency Total 28 12" xfId="45137"/>
    <cellStyle name="CALC Currency Total 28 2" xfId="15923"/>
    <cellStyle name="CALC Currency Total 28 2 2" xfId="24240"/>
    <cellStyle name="CALC Currency Total 28 2 2 2" xfId="45138"/>
    <cellStyle name="CALC Currency Total 28 2 3" xfId="31524"/>
    <cellStyle name="CALC Currency Total 28 2 4" xfId="45139"/>
    <cellStyle name="CALC Currency Total 28 3" xfId="16889"/>
    <cellStyle name="CALC Currency Total 28 3 2" xfId="25212"/>
    <cellStyle name="CALC Currency Total 28 3 2 2" xfId="45140"/>
    <cellStyle name="CALC Currency Total 28 3 3" xfId="32457"/>
    <cellStyle name="CALC Currency Total 28 3 4" xfId="45141"/>
    <cellStyle name="CALC Currency Total 28 4" xfId="17916"/>
    <cellStyle name="CALC Currency Total 28 4 2" xfId="26238"/>
    <cellStyle name="CALC Currency Total 28 4 2 2" xfId="45142"/>
    <cellStyle name="CALC Currency Total 28 4 3" xfId="33434"/>
    <cellStyle name="CALC Currency Total 28 4 4" xfId="45143"/>
    <cellStyle name="CALC Currency Total 28 5" xfId="18900"/>
    <cellStyle name="CALC Currency Total 28 5 2" xfId="27220"/>
    <cellStyle name="CALC Currency Total 28 5 2 2" xfId="45144"/>
    <cellStyle name="CALC Currency Total 28 5 3" xfId="34375"/>
    <cellStyle name="CALC Currency Total 28 5 4" xfId="45145"/>
    <cellStyle name="CALC Currency Total 28 6" xfId="19868"/>
    <cellStyle name="CALC Currency Total 28 6 2" xfId="28190"/>
    <cellStyle name="CALC Currency Total 28 6 2 2" xfId="45146"/>
    <cellStyle name="CALC Currency Total 28 6 3" xfId="35322"/>
    <cellStyle name="CALC Currency Total 28 6 4" xfId="45147"/>
    <cellStyle name="CALC Currency Total 28 7" xfId="20826"/>
    <cellStyle name="CALC Currency Total 28 7 2" xfId="29145"/>
    <cellStyle name="CALC Currency Total 28 7 2 2" xfId="45148"/>
    <cellStyle name="CALC Currency Total 28 7 3" xfId="36232"/>
    <cellStyle name="CALC Currency Total 28 7 4" xfId="45149"/>
    <cellStyle name="CALC Currency Total 28 8" xfId="21216"/>
    <cellStyle name="CALC Currency Total 28 8 2" xfId="29527"/>
    <cellStyle name="CALC Currency Total 28 8 2 2" xfId="45150"/>
    <cellStyle name="CALC Currency Total 28 8 3" xfId="36596"/>
    <cellStyle name="CALC Currency Total 28 8 4" xfId="45151"/>
    <cellStyle name="CALC Currency Total 28 9" xfId="22261"/>
    <cellStyle name="CALC Currency Total 28 9 2" xfId="30559"/>
    <cellStyle name="CALC Currency Total 28 9 2 2" xfId="45152"/>
    <cellStyle name="CALC Currency Total 28 9 3" xfId="37585"/>
    <cellStyle name="CALC Currency Total 28 9 4" xfId="45153"/>
    <cellStyle name="CALC Currency Total 29" xfId="14717"/>
    <cellStyle name="CALC Currency Total 29 10" xfId="23079"/>
    <cellStyle name="CALC Currency Total 29 10 2" xfId="45154"/>
    <cellStyle name="CALC Currency Total 29 11" xfId="45155"/>
    <cellStyle name="CALC Currency Total 29 12" xfId="45156"/>
    <cellStyle name="CALC Currency Total 29 2" xfId="15798"/>
    <cellStyle name="CALC Currency Total 29 2 2" xfId="24114"/>
    <cellStyle name="CALC Currency Total 29 2 2 2" xfId="45157"/>
    <cellStyle name="CALC Currency Total 29 2 3" xfId="31402"/>
    <cellStyle name="CALC Currency Total 29 2 4" xfId="45158"/>
    <cellStyle name="CALC Currency Total 29 3" xfId="16764"/>
    <cellStyle name="CALC Currency Total 29 3 2" xfId="25086"/>
    <cellStyle name="CALC Currency Total 29 3 2 2" xfId="45159"/>
    <cellStyle name="CALC Currency Total 29 3 3" xfId="32335"/>
    <cellStyle name="CALC Currency Total 29 3 4" xfId="45160"/>
    <cellStyle name="CALC Currency Total 29 4" xfId="17788"/>
    <cellStyle name="CALC Currency Total 29 4 2" xfId="26112"/>
    <cellStyle name="CALC Currency Total 29 4 2 2" xfId="45161"/>
    <cellStyle name="CALC Currency Total 29 4 3" xfId="33312"/>
    <cellStyle name="CALC Currency Total 29 4 4" xfId="45162"/>
    <cellStyle name="CALC Currency Total 29 5" xfId="18772"/>
    <cellStyle name="CALC Currency Total 29 5 2" xfId="27093"/>
    <cellStyle name="CALC Currency Total 29 5 2 2" xfId="45163"/>
    <cellStyle name="CALC Currency Total 29 5 3" xfId="34252"/>
    <cellStyle name="CALC Currency Total 29 5 4" xfId="45164"/>
    <cellStyle name="CALC Currency Total 29 6" xfId="19741"/>
    <cellStyle name="CALC Currency Total 29 6 2" xfId="28062"/>
    <cellStyle name="CALC Currency Total 29 6 2 2" xfId="45165"/>
    <cellStyle name="CALC Currency Total 29 6 3" xfId="35198"/>
    <cellStyle name="CALC Currency Total 29 6 4" xfId="45166"/>
    <cellStyle name="CALC Currency Total 29 7" xfId="20698"/>
    <cellStyle name="CALC Currency Total 29 7 2" xfId="29019"/>
    <cellStyle name="CALC Currency Total 29 7 2 2" xfId="45167"/>
    <cellStyle name="CALC Currency Total 29 7 3" xfId="36112"/>
    <cellStyle name="CALC Currency Total 29 7 4" xfId="45168"/>
    <cellStyle name="CALC Currency Total 29 8" xfId="21296"/>
    <cellStyle name="CALC Currency Total 29 8 2" xfId="29603"/>
    <cellStyle name="CALC Currency Total 29 8 2 2" xfId="45169"/>
    <cellStyle name="CALC Currency Total 29 8 3" xfId="36670"/>
    <cellStyle name="CALC Currency Total 29 8 4" xfId="45170"/>
    <cellStyle name="CALC Currency Total 29 9" xfId="22134"/>
    <cellStyle name="CALC Currency Total 29 9 2" xfId="30432"/>
    <cellStyle name="CALC Currency Total 29 9 2 2" xfId="45171"/>
    <cellStyle name="CALC Currency Total 29 9 3" xfId="37463"/>
    <cellStyle name="CALC Currency Total 29 9 4" xfId="45172"/>
    <cellStyle name="CALC Currency Total 3" xfId="14532"/>
    <cellStyle name="CALC Currency Total 3 2" xfId="15608"/>
    <cellStyle name="CALC Currency Total 3 2 2" xfId="23922"/>
    <cellStyle name="CALC Currency Total 3 2 2 2" xfId="45173"/>
    <cellStyle name="CALC Currency Total 3 2 3" xfId="45174"/>
    <cellStyle name="CALC Currency Total 3 2 4" xfId="45175"/>
    <cellStyle name="CALC Currency Total 3 3" xfId="16577"/>
    <cellStyle name="CALC Currency Total 3 3 2" xfId="24893"/>
    <cellStyle name="CALC Currency Total 3 3 2 2" xfId="45176"/>
    <cellStyle name="CALC Currency Total 3 3 3" xfId="32153"/>
    <cellStyle name="CALC Currency Total 3 3 4" xfId="45177"/>
    <cellStyle name="CALC Currency Total 3 4" xfId="17595"/>
    <cellStyle name="CALC Currency Total 3 4 2" xfId="25917"/>
    <cellStyle name="CALC Currency Total 3 4 2 2" xfId="45178"/>
    <cellStyle name="CALC Currency Total 3 4 3" xfId="33130"/>
    <cellStyle name="CALC Currency Total 3 4 4" xfId="45179"/>
    <cellStyle name="CALC Currency Total 3 5" xfId="18576"/>
    <cellStyle name="CALC Currency Total 3 5 2" xfId="26895"/>
    <cellStyle name="CALC Currency Total 3 5 2 2" xfId="45180"/>
    <cellStyle name="CALC Currency Total 3 5 3" xfId="34064"/>
    <cellStyle name="CALC Currency Total 3 5 4" xfId="45181"/>
    <cellStyle name="CALC Currency Total 3 6" xfId="17549"/>
    <cellStyle name="CALC Currency Total 3 6 2" xfId="25868"/>
    <cellStyle name="CALC Currency Total 3 6 2 2" xfId="45182"/>
    <cellStyle name="CALC Currency Total 3 6 3" xfId="33085"/>
    <cellStyle name="CALC Currency Total 3 6 4" xfId="45183"/>
    <cellStyle name="CALC Currency Total 3 7" xfId="19285"/>
    <cellStyle name="CALC Currency Total 3 7 2" xfId="27605"/>
    <cellStyle name="CALC Currency Total 3 7 2 2" xfId="45184"/>
    <cellStyle name="CALC Currency Total 3 7 3" xfId="34753"/>
    <cellStyle name="CALC Currency Total 3 7 4" xfId="45185"/>
    <cellStyle name="CALC Currency Total 3 8" xfId="22886"/>
    <cellStyle name="CALC Currency Total 3 8 2" xfId="45186"/>
    <cellStyle name="CALC Currency Total 30" xfId="14814"/>
    <cellStyle name="CALC Currency Total 30 10" xfId="23178"/>
    <cellStyle name="CALC Currency Total 30 10 2" xfId="45187"/>
    <cellStyle name="CALC Currency Total 30 11" xfId="45188"/>
    <cellStyle name="CALC Currency Total 30 12" xfId="45189"/>
    <cellStyle name="CALC Currency Total 30 2" xfId="15895"/>
    <cellStyle name="CALC Currency Total 30 2 2" xfId="24213"/>
    <cellStyle name="CALC Currency Total 30 2 2 2" xfId="45190"/>
    <cellStyle name="CALC Currency Total 30 2 3" xfId="31499"/>
    <cellStyle name="CALC Currency Total 30 2 4" xfId="45191"/>
    <cellStyle name="CALC Currency Total 30 3" xfId="16861"/>
    <cellStyle name="CALC Currency Total 30 3 2" xfId="25185"/>
    <cellStyle name="CALC Currency Total 30 3 2 2" xfId="45192"/>
    <cellStyle name="CALC Currency Total 30 3 3" xfId="32432"/>
    <cellStyle name="CALC Currency Total 30 3 4" xfId="45193"/>
    <cellStyle name="CALC Currency Total 30 4" xfId="17888"/>
    <cellStyle name="CALC Currency Total 30 4 2" xfId="26211"/>
    <cellStyle name="CALC Currency Total 30 4 2 2" xfId="45194"/>
    <cellStyle name="CALC Currency Total 30 4 3" xfId="33409"/>
    <cellStyle name="CALC Currency Total 30 4 4" xfId="45195"/>
    <cellStyle name="CALC Currency Total 30 5" xfId="18872"/>
    <cellStyle name="CALC Currency Total 30 5 2" xfId="27192"/>
    <cellStyle name="CALC Currency Total 30 5 2 2" xfId="45196"/>
    <cellStyle name="CALC Currency Total 30 5 3" xfId="34349"/>
    <cellStyle name="CALC Currency Total 30 5 4" xfId="45197"/>
    <cellStyle name="CALC Currency Total 30 6" xfId="19840"/>
    <cellStyle name="CALC Currency Total 30 6 2" xfId="28162"/>
    <cellStyle name="CALC Currency Total 30 6 2 2" xfId="45198"/>
    <cellStyle name="CALC Currency Total 30 6 3" xfId="35296"/>
    <cellStyle name="CALC Currency Total 30 6 4" xfId="45199"/>
    <cellStyle name="CALC Currency Total 30 7" xfId="20798"/>
    <cellStyle name="CALC Currency Total 30 7 2" xfId="29118"/>
    <cellStyle name="CALC Currency Total 30 7 2 2" xfId="45200"/>
    <cellStyle name="CALC Currency Total 30 7 3" xfId="36207"/>
    <cellStyle name="CALC Currency Total 30 7 4" xfId="45201"/>
    <cellStyle name="CALC Currency Total 30 8" xfId="21258"/>
    <cellStyle name="CALC Currency Total 30 8 2" xfId="29567"/>
    <cellStyle name="CALC Currency Total 30 8 2 2" xfId="45202"/>
    <cellStyle name="CALC Currency Total 30 8 3" xfId="36635"/>
    <cellStyle name="CALC Currency Total 30 8 4" xfId="45203"/>
    <cellStyle name="CALC Currency Total 30 9" xfId="22233"/>
    <cellStyle name="CALC Currency Total 30 9 2" xfId="30532"/>
    <cellStyle name="CALC Currency Total 30 9 2 2" xfId="45204"/>
    <cellStyle name="CALC Currency Total 30 9 3" xfId="37560"/>
    <cellStyle name="CALC Currency Total 30 9 4" xfId="45205"/>
    <cellStyle name="CALC Currency Total 31" xfId="14759"/>
    <cellStyle name="CALC Currency Total 31 10" xfId="23123"/>
    <cellStyle name="CALC Currency Total 31 10 2" xfId="45206"/>
    <cellStyle name="CALC Currency Total 31 11" xfId="45207"/>
    <cellStyle name="CALC Currency Total 31 12" xfId="45208"/>
    <cellStyle name="CALC Currency Total 31 2" xfId="15840"/>
    <cellStyle name="CALC Currency Total 31 2 2" xfId="24158"/>
    <cellStyle name="CALC Currency Total 31 2 2 2" xfId="45209"/>
    <cellStyle name="CALC Currency Total 31 2 3" xfId="31446"/>
    <cellStyle name="CALC Currency Total 31 2 4" xfId="45210"/>
    <cellStyle name="CALC Currency Total 31 3" xfId="16806"/>
    <cellStyle name="CALC Currency Total 31 3 2" xfId="25130"/>
    <cellStyle name="CALC Currency Total 31 3 2 2" xfId="45211"/>
    <cellStyle name="CALC Currency Total 31 3 3" xfId="32379"/>
    <cellStyle name="CALC Currency Total 31 3 4" xfId="45212"/>
    <cellStyle name="CALC Currency Total 31 4" xfId="17832"/>
    <cellStyle name="CALC Currency Total 31 4 2" xfId="26156"/>
    <cellStyle name="CALC Currency Total 31 4 2 2" xfId="45213"/>
    <cellStyle name="CALC Currency Total 31 4 3" xfId="33356"/>
    <cellStyle name="CALC Currency Total 31 4 4" xfId="45214"/>
    <cellStyle name="CALC Currency Total 31 5" xfId="18816"/>
    <cellStyle name="CALC Currency Total 31 5 2" xfId="27137"/>
    <cellStyle name="CALC Currency Total 31 5 2 2" xfId="45215"/>
    <cellStyle name="CALC Currency Total 31 5 3" xfId="34296"/>
    <cellStyle name="CALC Currency Total 31 5 4" xfId="45216"/>
    <cellStyle name="CALC Currency Total 31 6" xfId="19784"/>
    <cellStyle name="CALC Currency Total 31 6 2" xfId="28106"/>
    <cellStyle name="CALC Currency Total 31 6 2 2" xfId="45217"/>
    <cellStyle name="CALC Currency Total 31 6 3" xfId="35242"/>
    <cellStyle name="CALC Currency Total 31 6 4" xfId="45218"/>
    <cellStyle name="CALC Currency Total 31 7" xfId="20742"/>
    <cellStyle name="CALC Currency Total 31 7 2" xfId="29063"/>
    <cellStyle name="CALC Currency Total 31 7 2 2" xfId="45219"/>
    <cellStyle name="CALC Currency Total 31 7 3" xfId="36155"/>
    <cellStyle name="CALC Currency Total 31 7 4" xfId="45220"/>
    <cellStyle name="CALC Currency Total 31 8" xfId="17059"/>
    <cellStyle name="CALC Currency Total 31 8 2" xfId="25380"/>
    <cellStyle name="CALC Currency Total 31 8 2 2" xfId="45221"/>
    <cellStyle name="CALC Currency Total 31 8 3" xfId="32620"/>
    <cellStyle name="CALC Currency Total 31 8 4" xfId="45222"/>
    <cellStyle name="CALC Currency Total 31 9" xfId="22178"/>
    <cellStyle name="CALC Currency Total 31 9 2" xfId="30476"/>
    <cellStyle name="CALC Currency Total 31 9 2 2" xfId="45223"/>
    <cellStyle name="CALC Currency Total 31 9 3" xfId="37507"/>
    <cellStyle name="CALC Currency Total 31 9 4" xfId="45224"/>
    <cellStyle name="CALC Currency Total 32" xfId="14849"/>
    <cellStyle name="CALC Currency Total 32 10" xfId="23212"/>
    <cellStyle name="CALC Currency Total 32 10 2" xfId="45225"/>
    <cellStyle name="CALC Currency Total 32 11" xfId="45226"/>
    <cellStyle name="CALC Currency Total 32 12" xfId="45227"/>
    <cellStyle name="CALC Currency Total 32 2" xfId="15930"/>
    <cellStyle name="CALC Currency Total 32 2 2" xfId="24247"/>
    <cellStyle name="CALC Currency Total 32 2 2 2" xfId="45228"/>
    <cellStyle name="CALC Currency Total 32 2 3" xfId="31531"/>
    <cellStyle name="CALC Currency Total 32 2 4" xfId="45229"/>
    <cellStyle name="CALC Currency Total 32 3" xfId="16896"/>
    <cellStyle name="CALC Currency Total 32 3 2" xfId="25219"/>
    <cellStyle name="CALC Currency Total 32 3 2 2" xfId="45230"/>
    <cellStyle name="CALC Currency Total 32 3 3" xfId="32464"/>
    <cellStyle name="CALC Currency Total 32 3 4" xfId="45231"/>
    <cellStyle name="CALC Currency Total 32 4" xfId="17923"/>
    <cellStyle name="CALC Currency Total 32 4 2" xfId="26245"/>
    <cellStyle name="CALC Currency Total 32 4 2 2" xfId="45232"/>
    <cellStyle name="CALC Currency Total 32 4 3" xfId="33441"/>
    <cellStyle name="CALC Currency Total 32 4 4" xfId="45233"/>
    <cellStyle name="CALC Currency Total 32 5" xfId="18907"/>
    <cellStyle name="CALC Currency Total 32 5 2" xfId="27227"/>
    <cellStyle name="CALC Currency Total 32 5 2 2" xfId="45234"/>
    <cellStyle name="CALC Currency Total 32 5 3" xfId="34382"/>
    <cellStyle name="CALC Currency Total 32 5 4" xfId="45235"/>
    <cellStyle name="CALC Currency Total 32 6" xfId="19875"/>
    <cellStyle name="CALC Currency Total 32 6 2" xfId="28197"/>
    <cellStyle name="CALC Currency Total 32 6 2 2" xfId="45236"/>
    <cellStyle name="CALC Currency Total 32 6 3" xfId="35329"/>
    <cellStyle name="CALC Currency Total 32 6 4" xfId="45237"/>
    <cellStyle name="CALC Currency Total 32 7" xfId="20833"/>
    <cellStyle name="CALC Currency Total 32 7 2" xfId="29152"/>
    <cellStyle name="CALC Currency Total 32 7 2 2" xfId="45238"/>
    <cellStyle name="CALC Currency Total 32 7 3" xfId="36239"/>
    <cellStyle name="CALC Currency Total 32 7 4" xfId="45239"/>
    <cellStyle name="CALC Currency Total 32 8" xfId="19819"/>
    <cellStyle name="CALC Currency Total 32 8 2" xfId="28141"/>
    <cellStyle name="CALC Currency Total 32 8 2 2" xfId="45240"/>
    <cellStyle name="CALC Currency Total 32 8 3" xfId="35275"/>
    <cellStyle name="CALC Currency Total 32 8 4" xfId="45241"/>
    <cellStyle name="CALC Currency Total 32 9" xfId="22268"/>
    <cellStyle name="CALC Currency Total 32 9 2" xfId="30566"/>
    <cellStyle name="CALC Currency Total 32 9 2 2" xfId="45242"/>
    <cellStyle name="CALC Currency Total 32 9 3" xfId="37592"/>
    <cellStyle name="CALC Currency Total 32 9 4" xfId="45243"/>
    <cellStyle name="CALC Currency Total 33" xfId="14856"/>
    <cellStyle name="CALC Currency Total 33 10" xfId="23219"/>
    <cellStyle name="CALC Currency Total 33 10 2" xfId="45244"/>
    <cellStyle name="CALC Currency Total 33 11" xfId="45245"/>
    <cellStyle name="CALC Currency Total 33 12" xfId="45246"/>
    <cellStyle name="CALC Currency Total 33 2" xfId="15937"/>
    <cellStyle name="CALC Currency Total 33 2 2" xfId="24254"/>
    <cellStyle name="CALC Currency Total 33 2 2 2" xfId="45247"/>
    <cellStyle name="CALC Currency Total 33 2 3" xfId="31538"/>
    <cellStyle name="CALC Currency Total 33 2 4" xfId="45248"/>
    <cellStyle name="CALC Currency Total 33 3" xfId="16903"/>
    <cellStyle name="CALC Currency Total 33 3 2" xfId="25226"/>
    <cellStyle name="CALC Currency Total 33 3 2 2" xfId="45249"/>
    <cellStyle name="CALC Currency Total 33 3 3" xfId="32471"/>
    <cellStyle name="CALC Currency Total 33 3 4" xfId="45250"/>
    <cellStyle name="CALC Currency Total 33 4" xfId="17930"/>
    <cellStyle name="CALC Currency Total 33 4 2" xfId="26252"/>
    <cellStyle name="CALC Currency Total 33 4 2 2" xfId="45251"/>
    <cellStyle name="CALC Currency Total 33 4 3" xfId="33448"/>
    <cellStyle name="CALC Currency Total 33 4 4" xfId="45252"/>
    <cellStyle name="CALC Currency Total 33 5" xfId="18914"/>
    <cellStyle name="CALC Currency Total 33 5 2" xfId="27234"/>
    <cellStyle name="CALC Currency Total 33 5 2 2" xfId="45253"/>
    <cellStyle name="CALC Currency Total 33 5 3" xfId="34389"/>
    <cellStyle name="CALC Currency Total 33 5 4" xfId="45254"/>
    <cellStyle name="CALC Currency Total 33 6" xfId="19882"/>
    <cellStyle name="CALC Currency Total 33 6 2" xfId="28204"/>
    <cellStyle name="CALC Currency Total 33 6 2 2" xfId="45255"/>
    <cellStyle name="CALC Currency Total 33 6 3" xfId="35336"/>
    <cellStyle name="CALC Currency Total 33 6 4" xfId="45256"/>
    <cellStyle name="CALC Currency Total 33 7" xfId="20840"/>
    <cellStyle name="CALC Currency Total 33 7 2" xfId="29159"/>
    <cellStyle name="CALC Currency Total 33 7 2 2" xfId="45257"/>
    <cellStyle name="CALC Currency Total 33 7 3" xfId="36246"/>
    <cellStyle name="CALC Currency Total 33 7 4" xfId="45258"/>
    <cellStyle name="CALC Currency Total 33 8" xfId="19608"/>
    <cellStyle name="CALC Currency Total 33 8 2" xfId="27928"/>
    <cellStyle name="CALC Currency Total 33 8 2 2" xfId="45259"/>
    <cellStyle name="CALC Currency Total 33 8 3" xfId="35073"/>
    <cellStyle name="CALC Currency Total 33 8 4" xfId="45260"/>
    <cellStyle name="CALC Currency Total 33 9" xfId="22275"/>
    <cellStyle name="CALC Currency Total 33 9 2" xfId="30573"/>
    <cellStyle name="CALC Currency Total 33 9 2 2" xfId="45261"/>
    <cellStyle name="CALC Currency Total 33 9 3" xfId="37599"/>
    <cellStyle name="CALC Currency Total 33 9 4" xfId="45262"/>
    <cellStyle name="CALC Currency Total 34" xfId="14829"/>
    <cellStyle name="CALC Currency Total 34 10" xfId="23193"/>
    <cellStyle name="CALC Currency Total 34 10 2" xfId="45263"/>
    <cellStyle name="CALC Currency Total 34 11" xfId="45264"/>
    <cellStyle name="CALC Currency Total 34 12" xfId="45265"/>
    <cellStyle name="CALC Currency Total 34 2" xfId="15910"/>
    <cellStyle name="CALC Currency Total 34 2 2" xfId="24228"/>
    <cellStyle name="CALC Currency Total 34 2 2 2" xfId="45266"/>
    <cellStyle name="CALC Currency Total 34 2 3" xfId="31512"/>
    <cellStyle name="CALC Currency Total 34 2 4" xfId="45267"/>
    <cellStyle name="CALC Currency Total 34 3" xfId="16876"/>
    <cellStyle name="CALC Currency Total 34 3 2" xfId="25200"/>
    <cellStyle name="CALC Currency Total 34 3 2 2" xfId="45268"/>
    <cellStyle name="CALC Currency Total 34 3 3" xfId="32445"/>
    <cellStyle name="CALC Currency Total 34 3 4" xfId="45269"/>
    <cellStyle name="CALC Currency Total 34 4" xfId="17903"/>
    <cellStyle name="CALC Currency Total 34 4 2" xfId="26226"/>
    <cellStyle name="CALC Currency Total 34 4 2 2" xfId="45270"/>
    <cellStyle name="CALC Currency Total 34 4 3" xfId="33422"/>
    <cellStyle name="CALC Currency Total 34 4 4" xfId="45271"/>
    <cellStyle name="CALC Currency Total 34 5" xfId="18887"/>
    <cellStyle name="CALC Currency Total 34 5 2" xfId="27207"/>
    <cellStyle name="CALC Currency Total 34 5 2 2" xfId="45272"/>
    <cellStyle name="CALC Currency Total 34 5 3" xfId="34362"/>
    <cellStyle name="CALC Currency Total 34 5 4" xfId="45273"/>
    <cellStyle name="CALC Currency Total 34 6" xfId="19855"/>
    <cellStyle name="CALC Currency Total 34 6 2" xfId="28177"/>
    <cellStyle name="CALC Currency Total 34 6 2 2" xfId="45274"/>
    <cellStyle name="CALC Currency Total 34 6 3" xfId="35309"/>
    <cellStyle name="CALC Currency Total 34 6 4" xfId="45275"/>
    <cellStyle name="CALC Currency Total 34 7" xfId="20813"/>
    <cellStyle name="CALC Currency Total 34 7 2" xfId="29133"/>
    <cellStyle name="CALC Currency Total 34 7 2 2" xfId="45276"/>
    <cellStyle name="CALC Currency Total 34 7 3" xfId="36220"/>
    <cellStyle name="CALC Currency Total 34 7 4" xfId="45277"/>
    <cellStyle name="CALC Currency Total 34 8" xfId="19636"/>
    <cellStyle name="CALC Currency Total 34 8 2" xfId="27957"/>
    <cellStyle name="CALC Currency Total 34 8 2 2" xfId="45278"/>
    <cellStyle name="CALC Currency Total 34 8 3" xfId="35099"/>
    <cellStyle name="CALC Currency Total 34 8 4" xfId="45279"/>
    <cellStyle name="CALC Currency Total 34 9" xfId="22248"/>
    <cellStyle name="CALC Currency Total 34 9 2" xfId="30547"/>
    <cellStyle name="CALC Currency Total 34 9 2 2" xfId="45280"/>
    <cellStyle name="CALC Currency Total 34 9 3" xfId="37573"/>
    <cellStyle name="CALC Currency Total 34 9 4" xfId="45281"/>
    <cellStyle name="CALC Currency Total 35" xfId="14777"/>
    <cellStyle name="CALC Currency Total 35 10" xfId="23141"/>
    <cellStyle name="CALC Currency Total 35 10 2" xfId="45282"/>
    <cellStyle name="CALC Currency Total 35 11" xfId="45283"/>
    <cellStyle name="CALC Currency Total 35 12" xfId="45284"/>
    <cellStyle name="CALC Currency Total 35 2" xfId="15858"/>
    <cellStyle name="CALC Currency Total 35 2 2" xfId="24176"/>
    <cellStyle name="CALC Currency Total 35 2 2 2" xfId="45285"/>
    <cellStyle name="CALC Currency Total 35 2 3" xfId="31464"/>
    <cellStyle name="CALC Currency Total 35 2 4" xfId="45286"/>
    <cellStyle name="CALC Currency Total 35 3" xfId="16824"/>
    <cellStyle name="CALC Currency Total 35 3 2" xfId="25148"/>
    <cellStyle name="CALC Currency Total 35 3 2 2" xfId="45287"/>
    <cellStyle name="CALC Currency Total 35 3 3" xfId="32397"/>
    <cellStyle name="CALC Currency Total 35 3 4" xfId="45288"/>
    <cellStyle name="CALC Currency Total 35 4" xfId="17850"/>
    <cellStyle name="CALC Currency Total 35 4 2" xfId="26174"/>
    <cellStyle name="CALC Currency Total 35 4 2 2" xfId="45289"/>
    <cellStyle name="CALC Currency Total 35 4 3" xfId="33374"/>
    <cellStyle name="CALC Currency Total 35 4 4" xfId="45290"/>
    <cellStyle name="CALC Currency Total 35 5" xfId="18834"/>
    <cellStyle name="CALC Currency Total 35 5 2" xfId="27155"/>
    <cellStyle name="CALC Currency Total 35 5 2 2" xfId="45291"/>
    <cellStyle name="CALC Currency Total 35 5 3" xfId="34314"/>
    <cellStyle name="CALC Currency Total 35 5 4" xfId="45292"/>
    <cellStyle name="CALC Currency Total 35 6" xfId="19802"/>
    <cellStyle name="CALC Currency Total 35 6 2" xfId="28124"/>
    <cellStyle name="CALC Currency Total 35 6 2 2" xfId="45293"/>
    <cellStyle name="CALC Currency Total 35 6 3" xfId="35260"/>
    <cellStyle name="CALC Currency Total 35 6 4" xfId="45294"/>
    <cellStyle name="CALC Currency Total 35 7" xfId="20760"/>
    <cellStyle name="CALC Currency Total 35 7 2" xfId="29081"/>
    <cellStyle name="CALC Currency Total 35 7 2 2" xfId="45295"/>
    <cellStyle name="CALC Currency Total 35 7 3" xfId="36173"/>
    <cellStyle name="CALC Currency Total 35 7 4" xfId="45296"/>
    <cellStyle name="CALC Currency Total 35 8" xfId="21191"/>
    <cellStyle name="CALC Currency Total 35 8 2" xfId="29503"/>
    <cellStyle name="CALC Currency Total 35 8 2 2" xfId="45297"/>
    <cellStyle name="CALC Currency Total 35 8 3" xfId="36574"/>
    <cellStyle name="CALC Currency Total 35 8 4" xfId="45298"/>
    <cellStyle name="CALC Currency Total 35 9" xfId="22196"/>
    <cellStyle name="CALC Currency Total 35 9 2" xfId="30494"/>
    <cellStyle name="CALC Currency Total 35 9 2 2" xfId="45299"/>
    <cellStyle name="CALC Currency Total 35 9 3" xfId="37525"/>
    <cellStyle name="CALC Currency Total 35 9 4" xfId="45300"/>
    <cellStyle name="CALC Currency Total 36" xfId="14704"/>
    <cellStyle name="CALC Currency Total 36 10" xfId="23066"/>
    <cellStyle name="CALC Currency Total 36 10 2" xfId="45301"/>
    <cellStyle name="CALC Currency Total 36 11" xfId="45302"/>
    <cellStyle name="CALC Currency Total 36 12" xfId="45303"/>
    <cellStyle name="CALC Currency Total 36 2" xfId="15785"/>
    <cellStyle name="CALC Currency Total 36 2 2" xfId="24101"/>
    <cellStyle name="CALC Currency Total 36 2 2 2" xfId="45304"/>
    <cellStyle name="CALC Currency Total 36 2 3" xfId="31390"/>
    <cellStyle name="CALC Currency Total 36 2 4" xfId="45305"/>
    <cellStyle name="CALC Currency Total 36 3" xfId="16751"/>
    <cellStyle name="CALC Currency Total 36 3 2" xfId="25073"/>
    <cellStyle name="CALC Currency Total 36 3 2 2" xfId="45306"/>
    <cellStyle name="CALC Currency Total 36 3 3" xfId="32323"/>
    <cellStyle name="CALC Currency Total 36 3 4" xfId="45307"/>
    <cellStyle name="CALC Currency Total 36 4" xfId="17775"/>
    <cellStyle name="CALC Currency Total 36 4 2" xfId="26099"/>
    <cellStyle name="CALC Currency Total 36 4 2 2" xfId="45308"/>
    <cellStyle name="CALC Currency Total 36 4 3" xfId="33300"/>
    <cellStyle name="CALC Currency Total 36 4 4" xfId="45309"/>
    <cellStyle name="CALC Currency Total 36 5" xfId="18759"/>
    <cellStyle name="CALC Currency Total 36 5 2" xfId="27080"/>
    <cellStyle name="CALC Currency Total 36 5 2 2" xfId="45310"/>
    <cellStyle name="CALC Currency Total 36 5 3" xfId="34240"/>
    <cellStyle name="CALC Currency Total 36 5 4" xfId="45311"/>
    <cellStyle name="CALC Currency Total 36 6" xfId="19728"/>
    <cellStyle name="CALC Currency Total 36 6 2" xfId="28049"/>
    <cellStyle name="CALC Currency Total 36 6 2 2" xfId="45312"/>
    <cellStyle name="CALC Currency Total 36 6 3" xfId="35186"/>
    <cellStyle name="CALC Currency Total 36 6 4" xfId="45313"/>
    <cellStyle name="CALC Currency Total 36 7" xfId="20685"/>
    <cellStyle name="CALC Currency Total 36 7 2" xfId="29006"/>
    <cellStyle name="CALC Currency Total 36 7 2 2" xfId="45314"/>
    <cellStyle name="CALC Currency Total 36 7 3" xfId="36100"/>
    <cellStyle name="CALC Currency Total 36 7 4" xfId="45315"/>
    <cellStyle name="CALC Currency Total 36 8" xfId="21116"/>
    <cellStyle name="CALC Currency Total 36 8 2" xfId="29430"/>
    <cellStyle name="CALC Currency Total 36 8 2 2" xfId="45316"/>
    <cellStyle name="CALC Currency Total 36 8 3" xfId="36503"/>
    <cellStyle name="CALC Currency Total 36 8 4" xfId="45317"/>
    <cellStyle name="CALC Currency Total 36 9" xfId="22121"/>
    <cellStyle name="CALC Currency Total 36 9 2" xfId="30419"/>
    <cellStyle name="CALC Currency Total 36 9 2 2" xfId="45318"/>
    <cellStyle name="CALC Currency Total 36 9 3" xfId="37451"/>
    <cellStyle name="CALC Currency Total 36 9 4" xfId="45319"/>
    <cellStyle name="CALC Currency Total 37" xfId="14804"/>
    <cellStyle name="CALC Currency Total 37 10" xfId="23168"/>
    <cellStyle name="CALC Currency Total 37 10 2" xfId="45320"/>
    <cellStyle name="CALC Currency Total 37 11" xfId="45321"/>
    <cellStyle name="CALC Currency Total 37 12" xfId="45322"/>
    <cellStyle name="CALC Currency Total 37 2" xfId="15885"/>
    <cellStyle name="CALC Currency Total 37 2 2" xfId="24203"/>
    <cellStyle name="CALC Currency Total 37 2 2 2" xfId="45323"/>
    <cellStyle name="CALC Currency Total 37 2 3" xfId="31489"/>
    <cellStyle name="CALC Currency Total 37 2 4" xfId="45324"/>
    <cellStyle name="CALC Currency Total 37 3" xfId="16851"/>
    <cellStyle name="CALC Currency Total 37 3 2" xfId="25175"/>
    <cellStyle name="CALC Currency Total 37 3 2 2" xfId="45325"/>
    <cellStyle name="CALC Currency Total 37 3 3" xfId="32422"/>
    <cellStyle name="CALC Currency Total 37 3 4" xfId="45326"/>
    <cellStyle name="CALC Currency Total 37 4" xfId="17878"/>
    <cellStyle name="CALC Currency Total 37 4 2" xfId="26201"/>
    <cellStyle name="CALC Currency Total 37 4 2 2" xfId="45327"/>
    <cellStyle name="CALC Currency Total 37 4 3" xfId="33399"/>
    <cellStyle name="CALC Currency Total 37 4 4" xfId="45328"/>
    <cellStyle name="CALC Currency Total 37 5" xfId="18862"/>
    <cellStyle name="CALC Currency Total 37 5 2" xfId="27182"/>
    <cellStyle name="CALC Currency Total 37 5 2 2" xfId="45329"/>
    <cellStyle name="CALC Currency Total 37 5 3" xfId="34339"/>
    <cellStyle name="CALC Currency Total 37 5 4" xfId="45330"/>
    <cellStyle name="CALC Currency Total 37 6" xfId="19830"/>
    <cellStyle name="CALC Currency Total 37 6 2" xfId="28152"/>
    <cellStyle name="CALC Currency Total 37 6 2 2" xfId="45331"/>
    <cellStyle name="CALC Currency Total 37 6 3" xfId="35286"/>
    <cellStyle name="CALC Currency Total 37 6 4" xfId="45332"/>
    <cellStyle name="CALC Currency Total 37 7" xfId="20788"/>
    <cellStyle name="CALC Currency Total 37 7 2" xfId="29108"/>
    <cellStyle name="CALC Currency Total 37 7 2 2" xfId="45333"/>
    <cellStyle name="CALC Currency Total 37 7 3" xfId="36197"/>
    <cellStyle name="CALC Currency Total 37 7 4" xfId="45334"/>
    <cellStyle name="CALC Currency Total 37 8" xfId="21360"/>
    <cellStyle name="CALC Currency Total 37 8 2" xfId="29663"/>
    <cellStyle name="CALC Currency Total 37 8 2 2" xfId="45335"/>
    <cellStyle name="CALC Currency Total 37 8 3" xfId="36728"/>
    <cellStyle name="CALC Currency Total 37 8 4" xfId="45336"/>
    <cellStyle name="CALC Currency Total 37 9" xfId="22223"/>
    <cellStyle name="CALC Currency Total 37 9 2" xfId="30522"/>
    <cellStyle name="CALC Currency Total 37 9 2 2" xfId="45337"/>
    <cellStyle name="CALC Currency Total 37 9 3" xfId="37550"/>
    <cellStyle name="CALC Currency Total 37 9 4" xfId="45338"/>
    <cellStyle name="CALC Currency Total 38" xfId="14702"/>
    <cellStyle name="CALC Currency Total 38 10" xfId="23064"/>
    <cellStyle name="CALC Currency Total 38 10 2" xfId="45339"/>
    <cellStyle name="CALC Currency Total 38 11" xfId="45340"/>
    <cellStyle name="CALC Currency Total 38 12" xfId="45341"/>
    <cellStyle name="CALC Currency Total 38 2" xfId="15783"/>
    <cellStyle name="CALC Currency Total 38 2 2" xfId="24099"/>
    <cellStyle name="CALC Currency Total 38 2 2 2" xfId="45342"/>
    <cellStyle name="CALC Currency Total 38 2 3" xfId="31388"/>
    <cellStyle name="CALC Currency Total 38 2 4" xfId="45343"/>
    <cellStyle name="CALC Currency Total 38 3" xfId="16749"/>
    <cellStyle name="CALC Currency Total 38 3 2" xfId="25071"/>
    <cellStyle name="CALC Currency Total 38 3 2 2" xfId="45344"/>
    <cellStyle name="CALC Currency Total 38 3 3" xfId="32321"/>
    <cellStyle name="CALC Currency Total 38 3 4" xfId="45345"/>
    <cellStyle name="CALC Currency Total 38 4" xfId="17773"/>
    <cellStyle name="CALC Currency Total 38 4 2" xfId="26097"/>
    <cellStyle name="CALC Currency Total 38 4 2 2" xfId="45346"/>
    <cellStyle name="CALC Currency Total 38 4 3" xfId="33298"/>
    <cellStyle name="CALC Currency Total 38 4 4" xfId="45347"/>
    <cellStyle name="CALC Currency Total 38 5" xfId="18757"/>
    <cellStyle name="CALC Currency Total 38 5 2" xfId="27078"/>
    <cellStyle name="CALC Currency Total 38 5 2 2" xfId="45348"/>
    <cellStyle name="CALC Currency Total 38 5 3" xfId="34238"/>
    <cellStyle name="CALC Currency Total 38 5 4" xfId="45349"/>
    <cellStyle name="CALC Currency Total 38 6" xfId="19726"/>
    <cellStyle name="CALC Currency Total 38 6 2" xfId="28047"/>
    <cellStyle name="CALC Currency Total 38 6 2 2" xfId="45350"/>
    <cellStyle name="CALC Currency Total 38 6 3" xfId="35184"/>
    <cellStyle name="CALC Currency Total 38 6 4" xfId="45351"/>
    <cellStyle name="CALC Currency Total 38 7" xfId="20683"/>
    <cellStyle name="CALC Currency Total 38 7 2" xfId="29004"/>
    <cellStyle name="CALC Currency Total 38 7 2 2" xfId="45352"/>
    <cellStyle name="CALC Currency Total 38 7 3" xfId="36098"/>
    <cellStyle name="CALC Currency Total 38 7 4" xfId="45353"/>
    <cellStyle name="CALC Currency Total 38 8" xfId="21143"/>
    <cellStyle name="CALC Currency Total 38 8 2" xfId="29455"/>
    <cellStyle name="CALC Currency Total 38 8 2 2" xfId="45354"/>
    <cellStyle name="CALC Currency Total 38 8 3" xfId="36527"/>
    <cellStyle name="CALC Currency Total 38 8 4" xfId="45355"/>
    <cellStyle name="CALC Currency Total 38 9" xfId="22119"/>
    <cellStyle name="CALC Currency Total 38 9 2" xfId="30417"/>
    <cellStyle name="CALC Currency Total 38 9 2 2" xfId="45356"/>
    <cellStyle name="CALC Currency Total 38 9 3" xfId="37449"/>
    <cellStyle name="CALC Currency Total 38 9 4" xfId="45357"/>
    <cellStyle name="CALC Currency Total 39" xfId="14912"/>
    <cellStyle name="CALC Currency Total 39 10" xfId="23275"/>
    <cellStyle name="CALC Currency Total 39 10 2" xfId="45358"/>
    <cellStyle name="CALC Currency Total 39 11" xfId="45359"/>
    <cellStyle name="CALC Currency Total 39 12" xfId="45360"/>
    <cellStyle name="CALC Currency Total 39 2" xfId="15993"/>
    <cellStyle name="CALC Currency Total 39 2 2" xfId="24310"/>
    <cellStyle name="CALC Currency Total 39 2 2 2" xfId="45361"/>
    <cellStyle name="CALC Currency Total 39 2 3" xfId="31590"/>
    <cellStyle name="CALC Currency Total 39 2 4" xfId="45362"/>
    <cellStyle name="CALC Currency Total 39 3" xfId="16959"/>
    <cellStyle name="CALC Currency Total 39 3 2" xfId="25282"/>
    <cellStyle name="CALC Currency Total 39 3 2 2" xfId="45363"/>
    <cellStyle name="CALC Currency Total 39 3 3" xfId="32523"/>
    <cellStyle name="CALC Currency Total 39 3 4" xfId="45364"/>
    <cellStyle name="CALC Currency Total 39 4" xfId="17986"/>
    <cellStyle name="CALC Currency Total 39 4 2" xfId="26308"/>
    <cellStyle name="CALC Currency Total 39 4 2 2" xfId="45365"/>
    <cellStyle name="CALC Currency Total 39 4 3" xfId="33500"/>
    <cellStyle name="CALC Currency Total 39 4 4" xfId="45366"/>
    <cellStyle name="CALC Currency Total 39 5" xfId="18970"/>
    <cellStyle name="CALC Currency Total 39 5 2" xfId="27290"/>
    <cellStyle name="CALC Currency Total 39 5 2 2" xfId="45367"/>
    <cellStyle name="CALC Currency Total 39 5 3" xfId="34441"/>
    <cellStyle name="CALC Currency Total 39 5 4" xfId="45368"/>
    <cellStyle name="CALC Currency Total 39 6" xfId="19938"/>
    <cellStyle name="CALC Currency Total 39 6 2" xfId="28260"/>
    <cellStyle name="CALC Currency Total 39 6 2 2" xfId="45369"/>
    <cellStyle name="CALC Currency Total 39 6 3" xfId="35388"/>
    <cellStyle name="CALC Currency Total 39 6 4" xfId="45370"/>
    <cellStyle name="CALC Currency Total 39 7" xfId="20896"/>
    <cellStyle name="CALC Currency Total 39 7 2" xfId="29215"/>
    <cellStyle name="CALC Currency Total 39 7 2 2" xfId="45371"/>
    <cellStyle name="CALC Currency Total 39 7 3" xfId="36298"/>
    <cellStyle name="CALC Currency Total 39 7 4" xfId="45372"/>
    <cellStyle name="CALC Currency Total 39 8" xfId="21403"/>
    <cellStyle name="CALC Currency Total 39 8 2" xfId="29706"/>
    <cellStyle name="CALC Currency Total 39 8 2 2" xfId="45373"/>
    <cellStyle name="CALC Currency Total 39 8 3" xfId="36768"/>
    <cellStyle name="CALC Currency Total 39 8 4" xfId="45374"/>
    <cellStyle name="CALC Currency Total 39 9" xfId="22331"/>
    <cellStyle name="CALC Currency Total 39 9 2" xfId="30629"/>
    <cellStyle name="CALC Currency Total 39 9 2 2" xfId="45375"/>
    <cellStyle name="CALC Currency Total 39 9 3" xfId="37651"/>
    <cellStyle name="CALC Currency Total 39 9 4" xfId="45376"/>
    <cellStyle name="CALC Currency Total 4" xfId="14580"/>
    <cellStyle name="CALC Currency Total 4 10" xfId="22939"/>
    <cellStyle name="CALC Currency Total 4 10 2" xfId="45377"/>
    <cellStyle name="CALC Currency Total 4 11" xfId="45378"/>
    <cellStyle name="CALC Currency Total 4 2" xfId="15660"/>
    <cellStyle name="CALC Currency Total 4 2 2" xfId="23975"/>
    <cellStyle name="CALC Currency Total 4 2 2 2" xfId="45379"/>
    <cellStyle name="CALC Currency Total 4 2 3" xfId="31272"/>
    <cellStyle name="CALC Currency Total 4 2 4" xfId="45380"/>
    <cellStyle name="CALC Currency Total 4 3" xfId="16627"/>
    <cellStyle name="CALC Currency Total 4 3 2" xfId="24946"/>
    <cellStyle name="CALC Currency Total 4 3 2 2" xfId="45381"/>
    <cellStyle name="CALC Currency Total 4 3 3" xfId="32205"/>
    <cellStyle name="CALC Currency Total 4 3 4" xfId="45382"/>
    <cellStyle name="CALC Currency Total 4 4" xfId="17648"/>
    <cellStyle name="CALC Currency Total 4 4 2" xfId="25972"/>
    <cellStyle name="CALC Currency Total 4 4 2 2" xfId="45383"/>
    <cellStyle name="CALC Currency Total 4 4 3" xfId="33182"/>
    <cellStyle name="CALC Currency Total 4 4 4" xfId="45384"/>
    <cellStyle name="CALC Currency Total 4 5" xfId="18631"/>
    <cellStyle name="CALC Currency Total 4 5 2" xfId="26951"/>
    <cellStyle name="CALC Currency Total 4 5 2 2" xfId="45385"/>
    <cellStyle name="CALC Currency Total 4 5 3" xfId="34119"/>
    <cellStyle name="CALC Currency Total 4 5 4" xfId="45386"/>
    <cellStyle name="CALC Currency Total 4 6" xfId="19600"/>
    <cellStyle name="CALC Currency Total 4 6 2" xfId="27920"/>
    <cellStyle name="CALC Currency Total 4 6 2 2" xfId="45387"/>
    <cellStyle name="CALC Currency Total 4 6 3" xfId="35065"/>
    <cellStyle name="CALC Currency Total 4 6 4" xfId="45388"/>
    <cellStyle name="CALC Currency Total 4 7" xfId="20557"/>
    <cellStyle name="CALC Currency Total 4 7 2" xfId="28879"/>
    <cellStyle name="CALC Currency Total 4 7 2 2" xfId="45389"/>
    <cellStyle name="CALC Currency Total 4 7 3" xfId="35982"/>
    <cellStyle name="CALC Currency Total 4 7 4" xfId="45390"/>
    <cellStyle name="CALC Currency Total 4 8" xfId="21212"/>
    <cellStyle name="CALC Currency Total 4 8 2" xfId="29523"/>
    <cellStyle name="CALC Currency Total 4 8 2 2" xfId="45391"/>
    <cellStyle name="CALC Currency Total 4 8 3" xfId="36592"/>
    <cellStyle name="CALC Currency Total 4 8 4" xfId="45392"/>
    <cellStyle name="CALC Currency Total 4 9" xfId="21993"/>
    <cellStyle name="CALC Currency Total 4 9 2" xfId="30293"/>
    <cellStyle name="CALC Currency Total 4 9 2 2" xfId="45393"/>
    <cellStyle name="CALC Currency Total 4 9 3" xfId="37333"/>
    <cellStyle name="CALC Currency Total 4 9 4" xfId="45394"/>
    <cellStyle name="CALC Currency Total 40" xfId="14940"/>
    <cellStyle name="CALC Currency Total 40 10" xfId="23303"/>
    <cellStyle name="CALC Currency Total 40 10 2" xfId="45395"/>
    <cellStyle name="CALC Currency Total 40 11" xfId="45396"/>
    <cellStyle name="CALC Currency Total 40 12" xfId="45397"/>
    <cellStyle name="CALC Currency Total 40 2" xfId="16021"/>
    <cellStyle name="CALC Currency Total 40 2 2" xfId="24338"/>
    <cellStyle name="CALC Currency Total 40 2 2 2" xfId="45398"/>
    <cellStyle name="CALC Currency Total 40 2 3" xfId="31618"/>
    <cellStyle name="CALC Currency Total 40 2 4" xfId="45399"/>
    <cellStyle name="CALC Currency Total 40 3" xfId="16987"/>
    <cellStyle name="CALC Currency Total 40 3 2" xfId="25310"/>
    <cellStyle name="CALC Currency Total 40 3 2 2" xfId="45400"/>
    <cellStyle name="CALC Currency Total 40 3 3" xfId="32551"/>
    <cellStyle name="CALC Currency Total 40 3 4" xfId="45401"/>
    <cellStyle name="CALC Currency Total 40 4" xfId="18014"/>
    <cellStyle name="CALC Currency Total 40 4 2" xfId="26336"/>
    <cellStyle name="CALC Currency Total 40 4 2 2" xfId="45402"/>
    <cellStyle name="CALC Currency Total 40 4 3" xfId="33528"/>
    <cellStyle name="CALC Currency Total 40 4 4" xfId="45403"/>
    <cellStyle name="CALC Currency Total 40 5" xfId="18998"/>
    <cellStyle name="CALC Currency Total 40 5 2" xfId="27318"/>
    <cellStyle name="CALC Currency Total 40 5 2 2" xfId="45404"/>
    <cellStyle name="CALC Currency Total 40 5 3" xfId="34469"/>
    <cellStyle name="CALC Currency Total 40 5 4" xfId="45405"/>
    <cellStyle name="CALC Currency Total 40 6" xfId="19966"/>
    <cellStyle name="CALC Currency Total 40 6 2" xfId="28288"/>
    <cellStyle name="CALC Currency Total 40 6 2 2" xfId="45406"/>
    <cellStyle name="CALC Currency Total 40 6 3" xfId="35416"/>
    <cellStyle name="CALC Currency Total 40 6 4" xfId="45407"/>
    <cellStyle name="CALC Currency Total 40 7" xfId="20924"/>
    <cellStyle name="CALC Currency Total 40 7 2" xfId="29243"/>
    <cellStyle name="CALC Currency Total 40 7 2 2" xfId="45408"/>
    <cellStyle name="CALC Currency Total 40 7 3" xfId="36326"/>
    <cellStyle name="CALC Currency Total 40 7 4" xfId="45409"/>
    <cellStyle name="CALC Currency Total 40 8" xfId="21431"/>
    <cellStyle name="CALC Currency Total 40 8 2" xfId="29734"/>
    <cellStyle name="CALC Currency Total 40 8 2 2" xfId="45410"/>
    <cellStyle name="CALC Currency Total 40 8 3" xfId="36796"/>
    <cellStyle name="CALC Currency Total 40 8 4" xfId="45411"/>
    <cellStyle name="CALC Currency Total 40 9" xfId="22359"/>
    <cellStyle name="CALC Currency Total 40 9 2" xfId="30657"/>
    <cellStyle name="CALC Currency Total 40 9 2 2" xfId="45412"/>
    <cellStyle name="CALC Currency Total 40 9 3" xfId="37679"/>
    <cellStyle name="CALC Currency Total 40 9 4" xfId="45413"/>
    <cellStyle name="CALC Currency Total 41" xfId="14913"/>
    <cellStyle name="CALC Currency Total 41 10" xfId="23276"/>
    <cellStyle name="CALC Currency Total 41 10 2" xfId="45414"/>
    <cellStyle name="CALC Currency Total 41 11" xfId="45415"/>
    <cellStyle name="CALC Currency Total 41 12" xfId="45416"/>
    <cellStyle name="CALC Currency Total 41 2" xfId="15994"/>
    <cellStyle name="CALC Currency Total 41 2 2" xfId="24311"/>
    <cellStyle name="CALC Currency Total 41 2 2 2" xfId="45417"/>
    <cellStyle name="CALC Currency Total 41 2 3" xfId="31591"/>
    <cellStyle name="CALC Currency Total 41 2 4" xfId="45418"/>
    <cellStyle name="CALC Currency Total 41 3" xfId="16960"/>
    <cellStyle name="CALC Currency Total 41 3 2" xfId="25283"/>
    <cellStyle name="CALC Currency Total 41 3 2 2" xfId="45419"/>
    <cellStyle name="CALC Currency Total 41 3 3" xfId="32524"/>
    <cellStyle name="CALC Currency Total 41 3 4" xfId="45420"/>
    <cellStyle name="CALC Currency Total 41 4" xfId="17987"/>
    <cellStyle name="CALC Currency Total 41 4 2" xfId="26309"/>
    <cellStyle name="CALC Currency Total 41 4 2 2" xfId="45421"/>
    <cellStyle name="CALC Currency Total 41 4 3" xfId="33501"/>
    <cellStyle name="CALC Currency Total 41 4 4" xfId="45422"/>
    <cellStyle name="CALC Currency Total 41 5" xfId="18971"/>
    <cellStyle name="CALC Currency Total 41 5 2" xfId="27291"/>
    <cellStyle name="CALC Currency Total 41 5 2 2" xfId="45423"/>
    <cellStyle name="CALC Currency Total 41 5 3" xfId="34442"/>
    <cellStyle name="CALC Currency Total 41 5 4" xfId="45424"/>
    <cellStyle name="CALC Currency Total 41 6" xfId="19939"/>
    <cellStyle name="CALC Currency Total 41 6 2" xfId="28261"/>
    <cellStyle name="CALC Currency Total 41 6 2 2" xfId="45425"/>
    <cellStyle name="CALC Currency Total 41 6 3" xfId="35389"/>
    <cellStyle name="CALC Currency Total 41 6 4" xfId="45426"/>
    <cellStyle name="CALC Currency Total 41 7" xfId="20897"/>
    <cellStyle name="CALC Currency Total 41 7 2" xfId="29216"/>
    <cellStyle name="CALC Currency Total 41 7 2 2" xfId="45427"/>
    <cellStyle name="CALC Currency Total 41 7 3" xfId="36299"/>
    <cellStyle name="CALC Currency Total 41 7 4" xfId="45428"/>
    <cellStyle name="CALC Currency Total 41 8" xfId="21404"/>
    <cellStyle name="CALC Currency Total 41 8 2" xfId="29707"/>
    <cellStyle name="CALC Currency Total 41 8 2 2" xfId="45429"/>
    <cellStyle name="CALC Currency Total 41 8 3" xfId="36769"/>
    <cellStyle name="CALC Currency Total 41 8 4" xfId="45430"/>
    <cellStyle name="CALC Currency Total 41 9" xfId="22332"/>
    <cellStyle name="CALC Currency Total 41 9 2" xfId="30630"/>
    <cellStyle name="CALC Currency Total 41 9 2 2" xfId="45431"/>
    <cellStyle name="CALC Currency Total 41 9 3" xfId="37652"/>
    <cellStyle name="CALC Currency Total 41 9 4" xfId="45432"/>
    <cellStyle name="CALC Currency Total 42" xfId="14846"/>
    <cellStyle name="CALC Currency Total 42 10" xfId="23209"/>
    <cellStyle name="CALC Currency Total 42 10 2" xfId="45433"/>
    <cellStyle name="CALC Currency Total 42 11" xfId="45434"/>
    <cellStyle name="CALC Currency Total 42 12" xfId="45435"/>
    <cellStyle name="CALC Currency Total 42 2" xfId="15927"/>
    <cellStyle name="CALC Currency Total 42 2 2" xfId="24244"/>
    <cellStyle name="CALC Currency Total 42 2 2 2" xfId="45436"/>
    <cellStyle name="CALC Currency Total 42 2 3" xfId="31528"/>
    <cellStyle name="CALC Currency Total 42 2 4" xfId="45437"/>
    <cellStyle name="CALC Currency Total 42 3" xfId="16893"/>
    <cellStyle name="CALC Currency Total 42 3 2" xfId="25216"/>
    <cellStyle name="CALC Currency Total 42 3 2 2" xfId="45438"/>
    <cellStyle name="CALC Currency Total 42 3 3" xfId="32461"/>
    <cellStyle name="CALC Currency Total 42 3 4" xfId="45439"/>
    <cellStyle name="CALC Currency Total 42 4" xfId="17920"/>
    <cellStyle name="CALC Currency Total 42 4 2" xfId="26242"/>
    <cellStyle name="CALC Currency Total 42 4 2 2" xfId="45440"/>
    <cellStyle name="CALC Currency Total 42 4 3" xfId="33438"/>
    <cellStyle name="CALC Currency Total 42 4 4" xfId="45441"/>
    <cellStyle name="CALC Currency Total 42 5" xfId="18904"/>
    <cellStyle name="CALC Currency Total 42 5 2" xfId="27224"/>
    <cellStyle name="CALC Currency Total 42 5 2 2" xfId="45442"/>
    <cellStyle name="CALC Currency Total 42 5 3" xfId="34379"/>
    <cellStyle name="CALC Currency Total 42 5 4" xfId="45443"/>
    <cellStyle name="CALC Currency Total 42 6" xfId="19872"/>
    <cellStyle name="CALC Currency Total 42 6 2" xfId="28194"/>
    <cellStyle name="CALC Currency Total 42 6 2 2" xfId="45444"/>
    <cellStyle name="CALC Currency Total 42 6 3" xfId="35326"/>
    <cellStyle name="CALC Currency Total 42 6 4" xfId="45445"/>
    <cellStyle name="CALC Currency Total 42 7" xfId="20830"/>
    <cellStyle name="CALC Currency Total 42 7 2" xfId="29149"/>
    <cellStyle name="CALC Currency Total 42 7 2 2" xfId="45446"/>
    <cellStyle name="CALC Currency Total 42 7 3" xfId="36236"/>
    <cellStyle name="CALC Currency Total 42 7 4" xfId="45447"/>
    <cellStyle name="CALC Currency Total 42 8" xfId="21123"/>
    <cellStyle name="CALC Currency Total 42 8 2" xfId="29437"/>
    <cellStyle name="CALC Currency Total 42 8 2 2" xfId="45448"/>
    <cellStyle name="CALC Currency Total 42 8 3" xfId="36510"/>
    <cellStyle name="CALC Currency Total 42 8 4" xfId="45449"/>
    <cellStyle name="CALC Currency Total 42 9" xfId="22265"/>
    <cellStyle name="CALC Currency Total 42 9 2" xfId="30563"/>
    <cellStyle name="CALC Currency Total 42 9 2 2" xfId="45450"/>
    <cellStyle name="CALC Currency Total 42 9 3" xfId="37589"/>
    <cellStyle name="CALC Currency Total 42 9 4" xfId="45451"/>
    <cellStyle name="CALC Currency Total 43" xfId="14941"/>
    <cellStyle name="CALC Currency Total 43 10" xfId="23304"/>
    <cellStyle name="CALC Currency Total 43 10 2" xfId="45452"/>
    <cellStyle name="CALC Currency Total 43 11" xfId="45453"/>
    <cellStyle name="CALC Currency Total 43 12" xfId="45454"/>
    <cellStyle name="CALC Currency Total 43 2" xfId="16022"/>
    <cellStyle name="CALC Currency Total 43 2 2" xfId="24339"/>
    <cellStyle name="CALC Currency Total 43 2 2 2" xfId="45455"/>
    <cellStyle name="CALC Currency Total 43 2 3" xfId="31619"/>
    <cellStyle name="CALC Currency Total 43 2 4" xfId="45456"/>
    <cellStyle name="CALC Currency Total 43 3" xfId="16988"/>
    <cellStyle name="CALC Currency Total 43 3 2" xfId="25311"/>
    <cellStyle name="CALC Currency Total 43 3 2 2" xfId="45457"/>
    <cellStyle name="CALC Currency Total 43 3 3" xfId="32552"/>
    <cellStyle name="CALC Currency Total 43 3 4" xfId="45458"/>
    <cellStyle name="CALC Currency Total 43 4" xfId="18015"/>
    <cellStyle name="CALC Currency Total 43 4 2" xfId="26337"/>
    <cellStyle name="CALC Currency Total 43 4 2 2" xfId="45459"/>
    <cellStyle name="CALC Currency Total 43 4 3" xfId="33529"/>
    <cellStyle name="CALC Currency Total 43 4 4" xfId="45460"/>
    <cellStyle name="CALC Currency Total 43 5" xfId="18999"/>
    <cellStyle name="CALC Currency Total 43 5 2" xfId="27319"/>
    <cellStyle name="CALC Currency Total 43 5 2 2" xfId="45461"/>
    <cellStyle name="CALC Currency Total 43 5 3" xfId="34470"/>
    <cellStyle name="CALC Currency Total 43 5 4" xfId="45462"/>
    <cellStyle name="CALC Currency Total 43 6" xfId="19967"/>
    <cellStyle name="CALC Currency Total 43 6 2" xfId="28289"/>
    <cellStyle name="CALC Currency Total 43 6 2 2" xfId="45463"/>
    <cellStyle name="CALC Currency Total 43 6 3" xfId="35417"/>
    <cellStyle name="CALC Currency Total 43 6 4" xfId="45464"/>
    <cellStyle name="CALC Currency Total 43 7" xfId="20925"/>
    <cellStyle name="CALC Currency Total 43 7 2" xfId="29244"/>
    <cellStyle name="CALC Currency Total 43 7 2 2" xfId="45465"/>
    <cellStyle name="CALC Currency Total 43 7 3" xfId="36327"/>
    <cellStyle name="CALC Currency Total 43 7 4" xfId="45466"/>
    <cellStyle name="CALC Currency Total 43 8" xfId="21432"/>
    <cellStyle name="CALC Currency Total 43 8 2" xfId="29735"/>
    <cellStyle name="CALC Currency Total 43 8 2 2" xfId="45467"/>
    <cellStyle name="CALC Currency Total 43 8 3" xfId="36797"/>
    <cellStyle name="CALC Currency Total 43 8 4" xfId="45468"/>
    <cellStyle name="CALC Currency Total 43 9" xfId="22360"/>
    <cellStyle name="CALC Currency Total 43 9 2" xfId="30658"/>
    <cellStyle name="CALC Currency Total 43 9 2 2" xfId="45469"/>
    <cellStyle name="CALC Currency Total 43 9 3" xfId="37680"/>
    <cellStyle name="CALC Currency Total 43 9 4" xfId="45470"/>
    <cellStyle name="CALC Currency Total 44" xfId="14947"/>
    <cellStyle name="CALC Currency Total 44 10" xfId="23310"/>
    <cellStyle name="CALC Currency Total 44 10 2" xfId="45471"/>
    <cellStyle name="CALC Currency Total 44 11" xfId="45472"/>
    <cellStyle name="CALC Currency Total 44 12" xfId="45473"/>
    <cellStyle name="CALC Currency Total 44 2" xfId="16028"/>
    <cellStyle name="CALC Currency Total 44 2 2" xfId="24345"/>
    <cellStyle name="CALC Currency Total 44 2 2 2" xfId="45474"/>
    <cellStyle name="CALC Currency Total 44 2 3" xfId="31625"/>
    <cellStyle name="CALC Currency Total 44 2 4" xfId="45475"/>
    <cellStyle name="CALC Currency Total 44 3" xfId="16994"/>
    <cellStyle name="CALC Currency Total 44 3 2" xfId="25317"/>
    <cellStyle name="CALC Currency Total 44 3 2 2" xfId="45476"/>
    <cellStyle name="CALC Currency Total 44 3 3" xfId="32558"/>
    <cellStyle name="CALC Currency Total 44 3 4" xfId="45477"/>
    <cellStyle name="CALC Currency Total 44 4" xfId="18021"/>
    <cellStyle name="CALC Currency Total 44 4 2" xfId="26343"/>
    <cellStyle name="CALC Currency Total 44 4 2 2" xfId="45478"/>
    <cellStyle name="CALC Currency Total 44 4 3" xfId="33535"/>
    <cellStyle name="CALC Currency Total 44 4 4" xfId="45479"/>
    <cellStyle name="CALC Currency Total 44 5" xfId="19005"/>
    <cellStyle name="CALC Currency Total 44 5 2" xfId="27325"/>
    <cellStyle name="CALC Currency Total 44 5 2 2" xfId="45480"/>
    <cellStyle name="CALC Currency Total 44 5 3" xfId="34476"/>
    <cellStyle name="CALC Currency Total 44 5 4" xfId="45481"/>
    <cellStyle name="CALC Currency Total 44 6" xfId="19973"/>
    <cellStyle name="CALC Currency Total 44 6 2" xfId="28295"/>
    <cellStyle name="CALC Currency Total 44 6 2 2" xfId="45482"/>
    <cellStyle name="CALC Currency Total 44 6 3" xfId="35423"/>
    <cellStyle name="CALC Currency Total 44 6 4" xfId="45483"/>
    <cellStyle name="CALC Currency Total 44 7" xfId="20931"/>
    <cellStyle name="CALC Currency Total 44 7 2" xfId="29250"/>
    <cellStyle name="CALC Currency Total 44 7 2 2" xfId="45484"/>
    <cellStyle name="CALC Currency Total 44 7 3" xfId="36333"/>
    <cellStyle name="CALC Currency Total 44 7 4" xfId="45485"/>
    <cellStyle name="CALC Currency Total 44 8" xfId="21438"/>
    <cellStyle name="CALC Currency Total 44 8 2" xfId="29741"/>
    <cellStyle name="CALC Currency Total 44 8 2 2" xfId="45486"/>
    <cellStyle name="CALC Currency Total 44 8 3" xfId="36803"/>
    <cellStyle name="CALC Currency Total 44 8 4" xfId="45487"/>
    <cellStyle name="CALC Currency Total 44 9" xfId="22366"/>
    <cellStyle name="CALC Currency Total 44 9 2" xfId="30664"/>
    <cellStyle name="CALC Currency Total 44 9 2 2" xfId="45488"/>
    <cellStyle name="CALC Currency Total 44 9 3" xfId="37686"/>
    <cellStyle name="CALC Currency Total 44 9 4" xfId="45489"/>
    <cellStyle name="CALC Currency Total 45" xfId="14950"/>
    <cellStyle name="CALC Currency Total 45 10" xfId="23313"/>
    <cellStyle name="CALC Currency Total 45 10 2" xfId="45490"/>
    <cellStyle name="CALC Currency Total 45 11" xfId="45491"/>
    <cellStyle name="CALC Currency Total 45 12" xfId="45492"/>
    <cellStyle name="CALC Currency Total 45 2" xfId="16031"/>
    <cellStyle name="CALC Currency Total 45 2 2" xfId="24348"/>
    <cellStyle name="CALC Currency Total 45 2 2 2" xfId="45493"/>
    <cellStyle name="CALC Currency Total 45 2 3" xfId="31628"/>
    <cellStyle name="CALC Currency Total 45 2 4" xfId="45494"/>
    <cellStyle name="CALC Currency Total 45 3" xfId="16997"/>
    <cellStyle name="CALC Currency Total 45 3 2" xfId="25320"/>
    <cellStyle name="CALC Currency Total 45 3 2 2" xfId="45495"/>
    <cellStyle name="CALC Currency Total 45 3 3" xfId="32561"/>
    <cellStyle name="CALC Currency Total 45 3 4" xfId="45496"/>
    <cellStyle name="CALC Currency Total 45 4" xfId="18024"/>
    <cellStyle name="CALC Currency Total 45 4 2" xfId="26346"/>
    <cellStyle name="CALC Currency Total 45 4 2 2" xfId="45497"/>
    <cellStyle name="CALC Currency Total 45 4 3" xfId="33538"/>
    <cellStyle name="CALC Currency Total 45 4 4" xfId="45498"/>
    <cellStyle name="CALC Currency Total 45 5" xfId="19008"/>
    <cellStyle name="CALC Currency Total 45 5 2" xfId="27328"/>
    <cellStyle name="CALC Currency Total 45 5 2 2" xfId="45499"/>
    <cellStyle name="CALC Currency Total 45 5 3" xfId="34479"/>
    <cellStyle name="CALC Currency Total 45 5 4" xfId="45500"/>
    <cellStyle name="CALC Currency Total 45 6" xfId="19976"/>
    <cellStyle name="CALC Currency Total 45 6 2" xfId="28298"/>
    <cellStyle name="CALC Currency Total 45 6 2 2" xfId="45501"/>
    <cellStyle name="CALC Currency Total 45 6 3" xfId="35426"/>
    <cellStyle name="CALC Currency Total 45 6 4" xfId="45502"/>
    <cellStyle name="CALC Currency Total 45 7" xfId="20934"/>
    <cellStyle name="CALC Currency Total 45 7 2" xfId="29253"/>
    <cellStyle name="CALC Currency Total 45 7 2 2" xfId="45503"/>
    <cellStyle name="CALC Currency Total 45 7 3" xfId="36336"/>
    <cellStyle name="CALC Currency Total 45 7 4" xfId="45504"/>
    <cellStyle name="CALC Currency Total 45 8" xfId="21441"/>
    <cellStyle name="CALC Currency Total 45 8 2" xfId="29744"/>
    <cellStyle name="CALC Currency Total 45 8 2 2" xfId="45505"/>
    <cellStyle name="CALC Currency Total 45 8 3" xfId="36806"/>
    <cellStyle name="CALC Currency Total 45 8 4" xfId="45506"/>
    <cellStyle name="CALC Currency Total 45 9" xfId="22369"/>
    <cellStyle name="CALC Currency Total 45 9 2" xfId="30667"/>
    <cellStyle name="CALC Currency Total 45 9 2 2" xfId="45507"/>
    <cellStyle name="CALC Currency Total 45 9 3" xfId="37689"/>
    <cellStyle name="CALC Currency Total 45 9 4" xfId="45508"/>
    <cellStyle name="CALC Currency Total 46" xfId="14952"/>
    <cellStyle name="CALC Currency Total 46 10" xfId="23315"/>
    <cellStyle name="CALC Currency Total 46 10 2" xfId="45509"/>
    <cellStyle name="CALC Currency Total 46 11" xfId="45510"/>
    <cellStyle name="CALC Currency Total 46 12" xfId="45511"/>
    <cellStyle name="CALC Currency Total 46 2" xfId="16033"/>
    <cellStyle name="CALC Currency Total 46 2 2" xfId="24350"/>
    <cellStyle name="CALC Currency Total 46 2 2 2" xfId="45512"/>
    <cellStyle name="CALC Currency Total 46 2 3" xfId="31630"/>
    <cellStyle name="CALC Currency Total 46 2 4" xfId="45513"/>
    <cellStyle name="CALC Currency Total 46 3" xfId="16999"/>
    <cellStyle name="CALC Currency Total 46 3 2" xfId="25322"/>
    <cellStyle name="CALC Currency Total 46 3 2 2" xfId="45514"/>
    <cellStyle name="CALC Currency Total 46 3 3" xfId="32563"/>
    <cellStyle name="CALC Currency Total 46 3 4" xfId="45515"/>
    <cellStyle name="CALC Currency Total 46 4" xfId="18026"/>
    <cellStyle name="CALC Currency Total 46 4 2" xfId="26348"/>
    <cellStyle name="CALC Currency Total 46 4 2 2" xfId="45516"/>
    <cellStyle name="CALC Currency Total 46 4 3" xfId="33540"/>
    <cellStyle name="CALC Currency Total 46 4 4" xfId="45517"/>
    <cellStyle name="CALC Currency Total 46 5" xfId="19010"/>
    <cellStyle name="CALC Currency Total 46 5 2" xfId="27330"/>
    <cellStyle name="CALC Currency Total 46 5 2 2" xfId="45518"/>
    <cellStyle name="CALC Currency Total 46 5 3" xfId="34481"/>
    <cellStyle name="CALC Currency Total 46 5 4" xfId="45519"/>
    <cellStyle name="CALC Currency Total 46 6" xfId="19978"/>
    <cellStyle name="CALC Currency Total 46 6 2" xfId="28300"/>
    <cellStyle name="CALC Currency Total 46 6 2 2" xfId="45520"/>
    <cellStyle name="CALC Currency Total 46 6 3" xfId="35428"/>
    <cellStyle name="CALC Currency Total 46 6 4" xfId="45521"/>
    <cellStyle name="CALC Currency Total 46 7" xfId="20936"/>
    <cellStyle name="CALC Currency Total 46 7 2" xfId="29255"/>
    <cellStyle name="CALC Currency Total 46 7 2 2" xfId="45522"/>
    <cellStyle name="CALC Currency Total 46 7 3" xfId="36338"/>
    <cellStyle name="CALC Currency Total 46 7 4" xfId="45523"/>
    <cellStyle name="CALC Currency Total 46 8" xfId="21443"/>
    <cellStyle name="CALC Currency Total 46 8 2" xfId="29746"/>
    <cellStyle name="CALC Currency Total 46 8 2 2" xfId="45524"/>
    <cellStyle name="CALC Currency Total 46 8 3" xfId="36808"/>
    <cellStyle name="CALC Currency Total 46 8 4" xfId="45525"/>
    <cellStyle name="CALC Currency Total 46 9" xfId="22371"/>
    <cellStyle name="CALC Currency Total 46 9 2" xfId="30669"/>
    <cellStyle name="CALC Currency Total 46 9 2 2" xfId="45526"/>
    <cellStyle name="CALC Currency Total 46 9 3" xfId="37691"/>
    <cellStyle name="CALC Currency Total 46 9 4" xfId="45527"/>
    <cellStyle name="CALC Currency Total 47" xfId="14852"/>
    <cellStyle name="CALC Currency Total 47 10" xfId="23215"/>
    <cellStyle name="CALC Currency Total 47 10 2" xfId="45528"/>
    <cellStyle name="CALC Currency Total 47 11" xfId="45529"/>
    <cellStyle name="CALC Currency Total 47 12" xfId="45530"/>
    <cellStyle name="CALC Currency Total 47 2" xfId="15933"/>
    <cellStyle name="CALC Currency Total 47 2 2" xfId="24250"/>
    <cellStyle name="CALC Currency Total 47 2 2 2" xfId="45531"/>
    <cellStyle name="CALC Currency Total 47 2 3" xfId="31534"/>
    <cellStyle name="CALC Currency Total 47 2 4" xfId="45532"/>
    <cellStyle name="CALC Currency Total 47 3" xfId="16899"/>
    <cellStyle name="CALC Currency Total 47 3 2" xfId="25222"/>
    <cellStyle name="CALC Currency Total 47 3 2 2" xfId="45533"/>
    <cellStyle name="CALC Currency Total 47 3 3" xfId="32467"/>
    <cellStyle name="CALC Currency Total 47 3 4" xfId="45534"/>
    <cellStyle name="CALC Currency Total 47 4" xfId="17926"/>
    <cellStyle name="CALC Currency Total 47 4 2" xfId="26248"/>
    <cellStyle name="CALC Currency Total 47 4 2 2" xfId="45535"/>
    <cellStyle name="CALC Currency Total 47 4 3" xfId="33444"/>
    <cellStyle name="CALC Currency Total 47 4 4" xfId="45536"/>
    <cellStyle name="CALC Currency Total 47 5" xfId="18910"/>
    <cellStyle name="CALC Currency Total 47 5 2" xfId="27230"/>
    <cellStyle name="CALC Currency Total 47 5 2 2" xfId="45537"/>
    <cellStyle name="CALC Currency Total 47 5 3" xfId="34385"/>
    <cellStyle name="CALC Currency Total 47 5 4" xfId="45538"/>
    <cellStyle name="CALC Currency Total 47 6" xfId="19878"/>
    <cellStyle name="CALC Currency Total 47 6 2" xfId="28200"/>
    <cellStyle name="CALC Currency Total 47 6 2 2" xfId="45539"/>
    <cellStyle name="CALC Currency Total 47 6 3" xfId="35332"/>
    <cellStyle name="CALC Currency Total 47 6 4" xfId="45540"/>
    <cellStyle name="CALC Currency Total 47 7" xfId="20836"/>
    <cellStyle name="CALC Currency Total 47 7 2" xfId="29155"/>
    <cellStyle name="CALC Currency Total 47 7 2 2" xfId="45541"/>
    <cellStyle name="CALC Currency Total 47 7 3" xfId="36242"/>
    <cellStyle name="CALC Currency Total 47 7 4" xfId="45542"/>
    <cellStyle name="CALC Currency Total 47 8" xfId="21110"/>
    <cellStyle name="CALC Currency Total 47 8 2" xfId="29424"/>
    <cellStyle name="CALC Currency Total 47 8 2 2" xfId="45543"/>
    <cellStyle name="CALC Currency Total 47 8 3" xfId="36497"/>
    <cellStyle name="CALC Currency Total 47 8 4" xfId="45544"/>
    <cellStyle name="CALC Currency Total 47 9" xfId="22271"/>
    <cellStyle name="CALC Currency Total 47 9 2" xfId="30569"/>
    <cellStyle name="CALC Currency Total 47 9 2 2" xfId="45545"/>
    <cellStyle name="CALC Currency Total 47 9 3" xfId="37595"/>
    <cellStyle name="CALC Currency Total 47 9 4" xfId="45546"/>
    <cellStyle name="CALC Currency Total 48" xfId="14967"/>
    <cellStyle name="CALC Currency Total 48 10" xfId="23328"/>
    <cellStyle name="CALC Currency Total 48 10 2" xfId="45547"/>
    <cellStyle name="CALC Currency Total 48 11" xfId="45548"/>
    <cellStyle name="CALC Currency Total 48 12" xfId="45549"/>
    <cellStyle name="CALC Currency Total 48 2" xfId="16048"/>
    <cellStyle name="CALC Currency Total 48 2 2" xfId="24363"/>
    <cellStyle name="CALC Currency Total 48 2 2 2" xfId="45550"/>
    <cellStyle name="CALC Currency Total 48 2 3" xfId="31642"/>
    <cellStyle name="CALC Currency Total 48 2 4" xfId="45551"/>
    <cellStyle name="CALC Currency Total 48 3" xfId="17014"/>
    <cellStyle name="CALC Currency Total 48 3 2" xfId="25335"/>
    <cellStyle name="CALC Currency Total 48 3 2 2" xfId="45552"/>
    <cellStyle name="CALC Currency Total 48 3 3" xfId="32575"/>
    <cellStyle name="CALC Currency Total 48 3 4" xfId="45553"/>
    <cellStyle name="CALC Currency Total 48 4" xfId="18041"/>
    <cellStyle name="CALC Currency Total 48 4 2" xfId="26361"/>
    <cellStyle name="CALC Currency Total 48 4 2 2" xfId="45554"/>
    <cellStyle name="CALC Currency Total 48 4 3" xfId="33552"/>
    <cellStyle name="CALC Currency Total 48 4 4" xfId="45555"/>
    <cellStyle name="CALC Currency Total 48 5" xfId="19025"/>
    <cellStyle name="CALC Currency Total 48 5 2" xfId="27345"/>
    <cellStyle name="CALC Currency Total 48 5 2 2" xfId="45556"/>
    <cellStyle name="CALC Currency Total 48 5 3" xfId="34495"/>
    <cellStyle name="CALC Currency Total 48 5 4" xfId="45557"/>
    <cellStyle name="CALC Currency Total 48 6" xfId="19993"/>
    <cellStyle name="CALC Currency Total 48 6 2" xfId="28315"/>
    <cellStyle name="CALC Currency Total 48 6 2 2" xfId="45558"/>
    <cellStyle name="CALC Currency Total 48 6 3" xfId="35442"/>
    <cellStyle name="CALC Currency Total 48 6 4" xfId="45559"/>
    <cellStyle name="CALC Currency Total 48 7" xfId="20951"/>
    <cellStyle name="CALC Currency Total 48 7 2" xfId="29268"/>
    <cellStyle name="CALC Currency Total 48 7 2 2" xfId="45560"/>
    <cellStyle name="CALC Currency Total 48 7 3" xfId="36350"/>
    <cellStyle name="CALC Currency Total 48 7 4" xfId="45561"/>
    <cellStyle name="CALC Currency Total 48 8" xfId="21458"/>
    <cellStyle name="CALC Currency Total 48 8 2" xfId="29759"/>
    <cellStyle name="CALC Currency Total 48 8 2 2" xfId="45562"/>
    <cellStyle name="CALC Currency Total 48 8 3" xfId="36820"/>
    <cellStyle name="CALC Currency Total 48 8 4" xfId="45563"/>
    <cellStyle name="CALC Currency Total 48 9" xfId="22386"/>
    <cellStyle name="CALC Currency Total 48 9 2" xfId="30682"/>
    <cellStyle name="CALC Currency Total 48 9 2 2" xfId="45564"/>
    <cellStyle name="CALC Currency Total 48 9 3" xfId="37703"/>
    <cellStyle name="CALC Currency Total 48 9 4" xfId="45565"/>
    <cellStyle name="CALC Currency Total 49" xfId="14850"/>
    <cellStyle name="CALC Currency Total 49 10" xfId="23213"/>
    <cellStyle name="CALC Currency Total 49 10 2" xfId="45566"/>
    <cellStyle name="CALC Currency Total 49 11" xfId="45567"/>
    <cellStyle name="CALC Currency Total 49 12" xfId="45568"/>
    <cellStyle name="CALC Currency Total 49 2" xfId="15931"/>
    <cellStyle name="CALC Currency Total 49 2 2" xfId="24248"/>
    <cellStyle name="CALC Currency Total 49 2 2 2" xfId="45569"/>
    <cellStyle name="CALC Currency Total 49 2 3" xfId="31532"/>
    <cellStyle name="CALC Currency Total 49 2 4" xfId="45570"/>
    <cellStyle name="CALC Currency Total 49 3" xfId="16897"/>
    <cellStyle name="CALC Currency Total 49 3 2" xfId="25220"/>
    <cellStyle name="CALC Currency Total 49 3 2 2" xfId="45571"/>
    <cellStyle name="CALC Currency Total 49 3 3" xfId="32465"/>
    <cellStyle name="CALC Currency Total 49 3 4" xfId="45572"/>
    <cellStyle name="CALC Currency Total 49 4" xfId="17924"/>
    <cellStyle name="CALC Currency Total 49 4 2" xfId="26246"/>
    <cellStyle name="CALC Currency Total 49 4 2 2" xfId="45573"/>
    <cellStyle name="CALC Currency Total 49 4 3" xfId="33442"/>
    <cellStyle name="CALC Currency Total 49 4 4" xfId="45574"/>
    <cellStyle name="CALC Currency Total 49 5" xfId="18908"/>
    <cellStyle name="CALC Currency Total 49 5 2" xfId="27228"/>
    <cellStyle name="CALC Currency Total 49 5 2 2" xfId="45575"/>
    <cellStyle name="CALC Currency Total 49 5 3" xfId="34383"/>
    <cellStyle name="CALC Currency Total 49 5 4" xfId="45576"/>
    <cellStyle name="CALC Currency Total 49 6" xfId="19876"/>
    <cellStyle name="CALC Currency Total 49 6 2" xfId="28198"/>
    <cellStyle name="CALC Currency Total 49 6 2 2" xfId="45577"/>
    <cellStyle name="CALC Currency Total 49 6 3" xfId="35330"/>
    <cellStyle name="CALC Currency Total 49 6 4" xfId="45578"/>
    <cellStyle name="CALC Currency Total 49 7" xfId="20834"/>
    <cellStyle name="CALC Currency Total 49 7 2" xfId="29153"/>
    <cellStyle name="CALC Currency Total 49 7 2 2" xfId="45579"/>
    <cellStyle name="CALC Currency Total 49 7 3" xfId="36240"/>
    <cellStyle name="CALC Currency Total 49 7 4" xfId="45580"/>
    <cellStyle name="CALC Currency Total 49 8" xfId="21176"/>
    <cellStyle name="CALC Currency Total 49 8 2" xfId="29488"/>
    <cellStyle name="CALC Currency Total 49 8 2 2" xfId="45581"/>
    <cellStyle name="CALC Currency Total 49 8 3" xfId="36559"/>
    <cellStyle name="CALC Currency Total 49 8 4" xfId="45582"/>
    <cellStyle name="CALC Currency Total 49 9" xfId="22269"/>
    <cellStyle name="CALC Currency Total 49 9 2" xfId="30567"/>
    <cellStyle name="CALC Currency Total 49 9 2 2" xfId="45583"/>
    <cellStyle name="CALC Currency Total 49 9 3" xfId="37593"/>
    <cellStyle name="CALC Currency Total 49 9 4" xfId="45584"/>
    <cellStyle name="CALC Currency Total 5" xfId="14558"/>
    <cellStyle name="CALC Currency Total 5 10" xfId="22914"/>
    <cellStyle name="CALC Currency Total 5 10 2" xfId="45585"/>
    <cellStyle name="CALC Currency Total 5 11" xfId="45586"/>
    <cellStyle name="CALC Currency Total 5 2" xfId="15637"/>
    <cellStyle name="CALC Currency Total 5 2 2" xfId="23950"/>
    <cellStyle name="CALC Currency Total 5 2 2 2" xfId="45587"/>
    <cellStyle name="CALC Currency Total 5 2 3" xfId="31247"/>
    <cellStyle name="CALC Currency Total 5 2 4" xfId="45588"/>
    <cellStyle name="CALC Currency Total 5 3" xfId="16604"/>
    <cellStyle name="CALC Currency Total 5 3 2" xfId="24921"/>
    <cellStyle name="CALC Currency Total 5 3 2 2" xfId="45589"/>
    <cellStyle name="CALC Currency Total 5 3 3" xfId="32180"/>
    <cellStyle name="CALC Currency Total 5 3 4" xfId="45590"/>
    <cellStyle name="CALC Currency Total 5 4" xfId="17624"/>
    <cellStyle name="CALC Currency Total 5 4 2" xfId="25947"/>
    <cellStyle name="CALC Currency Total 5 4 2 2" xfId="45591"/>
    <cellStyle name="CALC Currency Total 5 4 3" xfId="33157"/>
    <cellStyle name="CALC Currency Total 5 4 4" xfId="45592"/>
    <cellStyle name="CALC Currency Total 5 5" xfId="18606"/>
    <cellStyle name="CALC Currency Total 5 5 2" xfId="26925"/>
    <cellStyle name="CALC Currency Total 5 5 2 2" xfId="45593"/>
    <cellStyle name="CALC Currency Total 5 5 3" xfId="34093"/>
    <cellStyle name="CALC Currency Total 5 5 4" xfId="45594"/>
    <cellStyle name="CALC Currency Total 5 6" xfId="19574"/>
    <cellStyle name="CALC Currency Total 5 6 2" xfId="27895"/>
    <cellStyle name="CALC Currency Total 5 6 2 2" xfId="45595"/>
    <cellStyle name="CALC Currency Total 5 6 3" xfId="35040"/>
    <cellStyle name="CALC Currency Total 5 6 4" xfId="45596"/>
    <cellStyle name="CALC Currency Total 5 7" xfId="20532"/>
    <cellStyle name="CALC Currency Total 5 7 2" xfId="28854"/>
    <cellStyle name="CALC Currency Total 5 7 2 2" xfId="45597"/>
    <cellStyle name="CALC Currency Total 5 7 3" xfId="35957"/>
    <cellStyle name="CALC Currency Total 5 7 4" xfId="45598"/>
    <cellStyle name="CALC Currency Total 5 8" xfId="21106"/>
    <cellStyle name="CALC Currency Total 5 8 2" xfId="29422"/>
    <cellStyle name="CALC Currency Total 5 8 2 2" xfId="45599"/>
    <cellStyle name="CALC Currency Total 5 8 3" xfId="36495"/>
    <cellStyle name="CALC Currency Total 5 8 4" xfId="45600"/>
    <cellStyle name="CALC Currency Total 5 9" xfId="21967"/>
    <cellStyle name="CALC Currency Total 5 9 2" xfId="30268"/>
    <cellStyle name="CALC Currency Total 5 9 2 2" xfId="45601"/>
    <cellStyle name="CALC Currency Total 5 9 3" xfId="37308"/>
    <cellStyle name="CALC Currency Total 5 9 4" xfId="45602"/>
    <cellStyle name="CALC Currency Total 50" xfId="14870"/>
    <cellStyle name="CALC Currency Total 50 10" xfId="23233"/>
    <cellStyle name="CALC Currency Total 50 10 2" xfId="45603"/>
    <cellStyle name="CALC Currency Total 50 11" xfId="45604"/>
    <cellStyle name="CALC Currency Total 50 12" xfId="45605"/>
    <cellStyle name="CALC Currency Total 50 2" xfId="15951"/>
    <cellStyle name="CALC Currency Total 50 2 2" xfId="24268"/>
    <cellStyle name="CALC Currency Total 50 2 2 2" xfId="45606"/>
    <cellStyle name="CALC Currency Total 50 2 3" xfId="31551"/>
    <cellStyle name="CALC Currency Total 50 2 4" xfId="45607"/>
    <cellStyle name="CALC Currency Total 50 3" xfId="16917"/>
    <cellStyle name="CALC Currency Total 50 3 2" xfId="25240"/>
    <cellStyle name="CALC Currency Total 50 3 2 2" xfId="45608"/>
    <cellStyle name="CALC Currency Total 50 3 3" xfId="32484"/>
    <cellStyle name="CALC Currency Total 50 3 4" xfId="45609"/>
    <cellStyle name="CALC Currency Total 50 4" xfId="17944"/>
    <cellStyle name="CALC Currency Total 50 4 2" xfId="26266"/>
    <cellStyle name="CALC Currency Total 50 4 2 2" xfId="45610"/>
    <cellStyle name="CALC Currency Total 50 4 3" xfId="33461"/>
    <cellStyle name="CALC Currency Total 50 4 4" xfId="45611"/>
    <cellStyle name="CALC Currency Total 50 5" xfId="18928"/>
    <cellStyle name="CALC Currency Total 50 5 2" xfId="27248"/>
    <cellStyle name="CALC Currency Total 50 5 2 2" xfId="45612"/>
    <cellStyle name="CALC Currency Total 50 5 3" xfId="34402"/>
    <cellStyle name="CALC Currency Total 50 5 4" xfId="45613"/>
    <cellStyle name="CALC Currency Total 50 6" xfId="19896"/>
    <cellStyle name="CALC Currency Total 50 6 2" xfId="28218"/>
    <cellStyle name="CALC Currency Total 50 6 2 2" xfId="45614"/>
    <cellStyle name="CALC Currency Total 50 6 3" xfId="35349"/>
    <cellStyle name="CALC Currency Total 50 6 4" xfId="45615"/>
    <cellStyle name="CALC Currency Total 50 7" xfId="20854"/>
    <cellStyle name="CALC Currency Total 50 7 2" xfId="29173"/>
    <cellStyle name="CALC Currency Total 50 7 2 2" xfId="45616"/>
    <cellStyle name="CALC Currency Total 50 7 3" xfId="36259"/>
    <cellStyle name="CALC Currency Total 50 7 4" xfId="45617"/>
    <cellStyle name="CALC Currency Total 50 8" xfId="15536"/>
    <cellStyle name="CALC Currency Total 50 8 2" xfId="23872"/>
    <cellStyle name="CALC Currency Total 50 8 2 2" xfId="45618"/>
    <cellStyle name="CALC Currency Total 50 8 3" xfId="31217"/>
    <cellStyle name="CALC Currency Total 50 8 4" xfId="45619"/>
    <cellStyle name="CALC Currency Total 50 9" xfId="22289"/>
    <cellStyle name="CALC Currency Total 50 9 2" xfId="30587"/>
    <cellStyle name="CALC Currency Total 50 9 2 2" xfId="45620"/>
    <cellStyle name="CALC Currency Total 50 9 3" xfId="37612"/>
    <cellStyle name="CALC Currency Total 50 9 4" xfId="45621"/>
    <cellStyle name="CALC Currency Total 51" xfId="14968"/>
    <cellStyle name="CALC Currency Total 51 10" xfId="23329"/>
    <cellStyle name="CALC Currency Total 51 10 2" xfId="45622"/>
    <cellStyle name="CALC Currency Total 51 11" xfId="45623"/>
    <cellStyle name="CALC Currency Total 51 12" xfId="45624"/>
    <cellStyle name="CALC Currency Total 51 2" xfId="16049"/>
    <cellStyle name="CALC Currency Total 51 2 2" xfId="24364"/>
    <cellStyle name="CALC Currency Total 51 2 2 2" xfId="45625"/>
    <cellStyle name="CALC Currency Total 51 2 3" xfId="31643"/>
    <cellStyle name="CALC Currency Total 51 2 4" xfId="45626"/>
    <cellStyle name="CALC Currency Total 51 3" xfId="17015"/>
    <cellStyle name="CALC Currency Total 51 3 2" xfId="25336"/>
    <cellStyle name="CALC Currency Total 51 3 2 2" xfId="45627"/>
    <cellStyle name="CALC Currency Total 51 3 3" xfId="32576"/>
    <cellStyle name="CALC Currency Total 51 3 4" xfId="45628"/>
    <cellStyle name="CALC Currency Total 51 4" xfId="18042"/>
    <cellStyle name="CALC Currency Total 51 4 2" xfId="26362"/>
    <cellStyle name="CALC Currency Total 51 4 2 2" xfId="45629"/>
    <cellStyle name="CALC Currency Total 51 4 3" xfId="33553"/>
    <cellStyle name="CALC Currency Total 51 4 4" xfId="45630"/>
    <cellStyle name="CALC Currency Total 51 5" xfId="19026"/>
    <cellStyle name="CALC Currency Total 51 5 2" xfId="27346"/>
    <cellStyle name="CALC Currency Total 51 5 2 2" xfId="45631"/>
    <cellStyle name="CALC Currency Total 51 5 3" xfId="34496"/>
    <cellStyle name="CALC Currency Total 51 5 4" xfId="45632"/>
    <cellStyle name="CALC Currency Total 51 6" xfId="19994"/>
    <cellStyle name="CALC Currency Total 51 6 2" xfId="28316"/>
    <cellStyle name="CALC Currency Total 51 6 2 2" xfId="45633"/>
    <cellStyle name="CALC Currency Total 51 6 3" xfId="35443"/>
    <cellStyle name="CALC Currency Total 51 6 4" xfId="45634"/>
    <cellStyle name="CALC Currency Total 51 7" xfId="20952"/>
    <cellStyle name="CALC Currency Total 51 7 2" xfId="29269"/>
    <cellStyle name="CALC Currency Total 51 7 2 2" xfId="45635"/>
    <cellStyle name="CALC Currency Total 51 7 3" xfId="36351"/>
    <cellStyle name="CALC Currency Total 51 7 4" xfId="45636"/>
    <cellStyle name="CALC Currency Total 51 8" xfId="21459"/>
    <cellStyle name="CALC Currency Total 51 8 2" xfId="29760"/>
    <cellStyle name="CALC Currency Total 51 8 2 2" xfId="45637"/>
    <cellStyle name="CALC Currency Total 51 8 3" xfId="36821"/>
    <cellStyle name="CALC Currency Total 51 8 4" xfId="45638"/>
    <cellStyle name="CALC Currency Total 51 9" xfId="22387"/>
    <cellStyle name="CALC Currency Total 51 9 2" xfId="30683"/>
    <cellStyle name="CALC Currency Total 51 9 2 2" xfId="45639"/>
    <cellStyle name="CALC Currency Total 51 9 3" xfId="37704"/>
    <cellStyle name="CALC Currency Total 51 9 4" xfId="45640"/>
    <cellStyle name="CALC Currency Total 52" xfId="14969"/>
    <cellStyle name="CALC Currency Total 52 10" xfId="23330"/>
    <cellStyle name="CALC Currency Total 52 10 2" xfId="45641"/>
    <cellStyle name="CALC Currency Total 52 11" xfId="45642"/>
    <cellStyle name="CALC Currency Total 52 12" xfId="45643"/>
    <cellStyle name="CALC Currency Total 52 2" xfId="16050"/>
    <cellStyle name="CALC Currency Total 52 2 2" xfId="24365"/>
    <cellStyle name="CALC Currency Total 52 2 2 2" xfId="45644"/>
    <cellStyle name="CALC Currency Total 52 2 3" xfId="31644"/>
    <cellStyle name="CALC Currency Total 52 2 4" xfId="45645"/>
    <cellStyle name="CALC Currency Total 52 3" xfId="17016"/>
    <cellStyle name="CALC Currency Total 52 3 2" xfId="25337"/>
    <cellStyle name="CALC Currency Total 52 3 2 2" xfId="45646"/>
    <cellStyle name="CALC Currency Total 52 3 3" xfId="32577"/>
    <cellStyle name="CALC Currency Total 52 3 4" xfId="45647"/>
    <cellStyle name="CALC Currency Total 52 4" xfId="18043"/>
    <cellStyle name="CALC Currency Total 52 4 2" xfId="26363"/>
    <cellStyle name="CALC Currency Total 52 4 2 2" xfId="45648"/>
    <cellStyle name="CALC Currency Total 52 4 3" xfId="33554"/>
    <cellStyle name="CALC Currency Total 52 4 4" xfId="45649"/>
    <cellStyle name="CALC Currency Total 52 5" xfId="19027"/>
    <cellStyle name="CALC Currency Total 52 5 2" xfId="27347"/>
    <cellStyle name="CALC Currency Total 52 5 2 2" xfId="45650"/>
    <cellStyle name="CALC Currency Total 52 5 3" xfId="34497"/>
    <cellStyle name="CALC Currency Total 52 5 4" xfId="45651"/>
    <cellStyle name="CALC Currency Total 52 6" xfId="19995"/>
    <cellStyle name="CALC Currency Total 52 6 2" xfId="28317"/>
    <cellStyle name="CALC Currency Total 52 6 2 2" xfId="45652"/>
    <cellStyle name="CALC Currency Total 52 6 3" xfId="35444"/>
    <cellStyle name="CALC Currency Total 52 6 4" xfId="45653"/>
    <cellStyle name="CALC Currency Total 52 7" xfId="20953"/>
    <cellStyle name="CALC Currency Total 52 7 2" xfId="29270"/>
    <cellStyle name="CALC Currency Total 52 7 2 2" xfId="45654"/>
    <cellStyle name="CALC Currency Total 52 7 3" xfId="36352"/>
    <cellStyle name="CALC Currency Total 52 7 4" xfId="45655"/>
    <cellStyle name="CALC Currency Total 52 8" xfId="21460"/>
    <cellStyle name="CALC Currency Total 52 8 2" xfId="29761"/>
    <cellStyle name="CALC Currency Total 52 8 2 2" xfId="45656"/>
    <cellStyle name="CALC Currency Total 52 8 3" xfId="36822"/>
    <cellStyle name="CALC Currency Total 52 8 4" xfId="45657"/>
    <cellStyle name="CALC Currency Total 52 9" xfId="22388"/>
    <cellStyle name="CALC Currency Total 52 9 2" xfId="30684"/>
    <cellStyle name="CALC Currency Total 52 9 2 2" xfId="45658"/>
    <cellStyle name="CALC Currency Total 52 9 3" xfId="37705"/>
    <cellStyle name="CALC Currency Total 52 9 4" xfId="45659"/>
    <cellStyle name="CALC Currency Total 53" xfId="15000"/>
    <cellStyle name="CALC Currency Total 53 10" xfId="23361"/>
    <cellStyle name="CALC Currency Total 53 10 2" xfId="45660"/>
    <cellStyle name="CALC Currency Total 53 11" xfId="45661"/>
    <cellStyle name="CALC Currency Total 53 12" xfId="45662"/>
    <cellStyle name="CALC Currency Total 53 2" xfId="16081"/>
    <cellStyle name="CALC Currency Total 53 2 2" xfId="24396"/>
    <cellStyle name="CALC Currency Total 53 2 2 2" xfId="45663"/>
    <cellStyle name="CALC Currency Total 53 2 3" xfId="31675"/>
    <cellStyle name="CALC Currency Total 53 2 4" xfId="45664"/>
    <cellStyle name="CALC Currency Total 53 3" xfId="17047"/>
    <cellStyle name="CALC Currency Total 53 3 2" xfId="25368"/>
    <cellStyle name="CALC Currency Total 53 3 2 2" xfId="45665"/>
    <cellStyle name="CALC Currency Total 53 3 3" xfId="32608"/>
    <cellStyle name="CALC Currency Total 53 3 4" xfId="45666"/>
    <cellStyle name="CALC Currency Total 53 4" xfId="18074"/>
    <cellStyle name="CALC Currency Total 53 4 2" xfId="26394"/>
    <cellStyle name="CALC Currency Total 53 4 2 2" xfId="45667"/>
    <cellStyle name="CALC Currency Total 53 4 3" xfId="33585"/>
    <cellStyle name="CALC Currency Total 53 4 4" xfId="45668"/>
    <cellStyle name="CALC Currency Total 53 5" xfId="19058"/>
    <cellStyle name="CALC Currency Total 53 5 2" xfId="27378"/>
    <cellStyle name="CALC Currency Total 53 5 2 2" xfId="45669"/>
    <cellStyle name="CALC Currency Total 53 5 3" xfId="34528"/>
    <cellStyle name="CALC Currency Total 53 5 4" xfId="45670"/>
    <cellStyle name="CALC Currency Total 53 6" xfId="20026"/>
    <cellStyle name="CALC Currency Total 53 6 2" xfId="28348"/>
    <cellStyle name="CALC Currency Total 53 6 2 2" xfId="45671"/>
    <cellStyle name="CALC Currency Total 53 6 3" xfId="35475"/>
    <cellStyle name="CALC Currency Total 53 6 4" xfId="45672"/>
    <cellStyle name="CALC Currency Total 53 7" xfId="20984"/>
    <cellStyle name="CALC Currency Total 53 7 2" xfId="29301"/>
    <cellStyle name="CALC Currency Total 53 7 2 2" xfId="45673"/>
    <cellStyle name="CALC Currency Total 53 7 3" xfId="36383"/>
    <cellStyle name="CALC Currency Total 53 7 4" xfId="45674"/>
    <cellStyle name="CALC Currency Total 53 8" xfId="21491"/>
    <cellStyle name="CALC Currency Total 53 8 2" xfId="29792"/>
    <cellStyle name="CALC Currency Total 53 8 2 2" xfId="45675"/>
    <cellStyle name="CALC Currency Total 53 8 3" xfId="36853"/>
    <cellStyle name="CALC Currency Total 53 8 4" xfId="45676"/>
    <cellStyle name="CALC Currency Total 53 9" xfId="22419"/>
    <cellStyle name="CALC Currency Total 53 9 2" xfId="30715"/>
    <cellStyle name="CALC Currency Total 53 9 2 2" xfId="45677"/>
    <cellStyle name="CALC Currency Total 53 9 3" xfId="37736"/>
    <cellStyle name="CALC Currency Total 53 9 4" xfId="45678"/>
    <cellStyle name="CALC Currency Total 54" xfId="15002"/>
    <cellStyle name="CALC Currency Total 54 10" xfId="23363"/>
    <cellStyle name="CALC Currency Total 54 10 2" xfId="45679"/>
    <cellStyle name="CALC Currency Total 54 11" xfId="45680"/>
    <cellStyle name="CALC Currency Total 54 12" xfId="45681"/>
    <cellStyle name="CALC Currency Total 54 2" xfId="16083"/>
    <cellStyle name="CALC Currency Total 54 2 2" xfId="24398"/>
    <cellStyle name="CALC Currency Total 54 2 2 2" xfId="45682"/>
    <cellStyle name="CALC Currency Total 54 2 3" xfId="31677"/>
    <cellStyle name="CALC Currency Total 54 2 4" xfId="45683"/>
    <cellStyle name="CALC Currency Total 54 3" xfId="17049"/>
    <cellStyle name="CALC Currency Total 54 3 2" xfId="25370"/>
    <cellStyle name="CALC Currency Total 54 3 2 2" xfId="45684"/>
    <cellStyle name="CALC Currency Total 54 3 3" xfId="32610"/>
    <cellStyle name="CALC Currency Total 54 3 4" xfId="45685"/>
    <cellStyle name="CALC Currency Total 54 4" xfId="18076"/>
    <cellStyle name="CALC Currency Total 54 4 2" xfId="26396"/>
    <cellStyle name="CALC Currency Total 54 4 2 2" xfId="45686"/>
    <cellStyle name="CALC Currency Total 54 4 3" xfId="33587"/>
    <cellStyle name="CALC Currency Total 54 4 4" xfId="45687"/>
    <cellStyle name="CALC Currency Total 54 5" xfId="19060"/>
    <cellStyle name="CALC Currency Total 54 5 2" xfId="27380"/>
    <cellStyle name="CALC Currency Total 54 5 2 2" xfId="45688"/>
    <cellStyle name="CALC Currency Total 54 5 3" xfId="34530"/>
    <cellStyle name="CALC Currency Total 54 5 4" xfId="45689"/>
    <cellStyle name="CALC Currency Total 54 6" xfId="20028"/>
    <cellStyle name="CALC Currency Total 54 6 2" xfId="28350"/>
    <cellStyle name="CALC Currency Total 54 6 2 2" xfId="45690"/>
    <cellStyle name="CALC Currency Total 54 6 3" xfId="35477"/>
    <cellStyle name="CALC Currency Total 54 6 4" xfId="45691"/>
    <cellStyle name="CALC Currency Total 54 7" xfId="20986"/>
    <cellStyle name="CALC Currency Total 54 7 2" xfId="29303"/>
    <cellStyle name="CALC Currency Total 54 7 2 2" xfId="45692"/>
    <cellStyle name="CALC Currency Total 54 7 3" xfId="36385"/>
    <cellStyle name="CALC Currency Total 54 7 4" xfId="45693"/>
    <cellStyle name="CALC Currency Total 54 8" xfId="21493"/>
    <cellStyle name="CALC Currency Total 54 8 2" xfId="29794"/>
    <cellStyle name="CALC Currency Total 54 8 2 2" xfId="45694"/>
    <cellStyle name="CALC Currency Total 54 8 3" xfId="36855"/>
    <cellStyle name="CALC Currency Total 54 8 4" xfId="45695"/>
    <cellStyle name="CALC Currency Total 54 9" xfId="22421"/>
    <cellStyle name="CALC Currency Total 54 9 2" xfId="30717"/>
    <cellStyle name="CALC Currency Total 54 9 2 2" xfId="45696"/>
    <cellStyle name="CALC Currency Total 54 9 3" xfId="37738"/>
    <cellStyle name="CALC Currency Total 54 9 4" xfId="45697"/>
    <cellStyle name="CALC Currency Total 55" xfId="15023"/>
    <cellStyle name="CALC Currency Total 55 10" xfId="23383"/>
    <cellStyle name="CALC Currency Total 55 10 2" xfId="45698"/>
    <cellStyle name="CALC Currency Total 55 11" xfId="45699"/>
    <cellStyle name="CALC Currency Total 55 12" xfId="45700"/>
    <cellStyle name="CALC Currency Total 55 2" xfId="16103"/>
    <cellStyle name="CALC Currency Total 55 2 2" xfId="24418"/>
    <cellStyle name="CALC Currency Total 55 2 2 2" xfId="45701"/>
    <cellStyle name="CALC Currency Total 55 2 3" xfId="31696"/>
    <cellStyle name="CALC Currency Total 55 2 4" xfId="45702"/>
    <cellStyle name="CALC Currency Total 55 3" xfId="17070"/>
    <cellStyle name="CALC Currency Total 55 3 2" xfId="25391"/>
    <cellStyle name="CALC Currency Total 55 3 2 2" xfId="45703"/>
    <cellStyle name="CALC Currency Total 55 3 3" xfId="32630"/>
    <cellStyle name="CALC Currency Total 55 3 4" xfId="45704"/>
    <cellStyle name="CALC Currency Total 55 4" xfId="18097"/>
    <cellStyle name="CALC Currency Total 55 4 2" xfId="26417"/>
    <cellStyle name="CALC Currency Total 55 4 2 2" xfId="45705"/>
    <cellStyle name="CALC Currency Total 55 4 3" xfId="33607"/>
    <cellStyle name="CALC Currency Total 55 4 4" xfId="45706"/>
    <cellStyle name="CALC Currency Total 55 5" xfId="19081"/>
    <cellStyle name="CALC Currency Total 55 5 2" xfId="27401"/>
    <cellStyle name="CALC Currency Total 55 5 2 2" xfId="45707"/>
    <cellStyle name="CALC Currency Total 55 5 3" xfId="34550"/>
    <cellStyle name="CALC Currency Total 55 5 4" xfId="45708"/>
    <cellStyle name="CALC Currency Total 55 6" xfId="20049"/>
    <cellStyle name="CALC Currency Total 55 6 2" xfId="28371"/>
    <cellStyle name="CALC Currency Total 55 6 2 2" xfId="45709"/>
    <cellStyle name="CALC Currency Total 55 6 3" xfId="35497"/>
    <cellStyle name="CALC Currency Total 55 6 4" xfId="45710"/>
    <cellStyle name="CALC Currency Total 55 7" xfId="21006"/>
    <cellStyle name="CALC Currency Total 55 7 2" xfId="29323"/>
    <cellStyle name="CALC Currency Total 55 7 2 2" xfId="45711"/>
    <cellStyle name="CALC Currency Total 55 7 3" xfId="36404"/>
    <cellStyle name="CALC Currency Total 55 7 4" xfId="45712"/>
    <cellStyle name="CALC Currency Total 55 8" xfId="21513"/>
    <cellStyle name="CALC Currency Total 55 8 2" xfId="29814"/>
    <cellStyle name="CALC Currency Total 55 8 2 2" xfId="45713"/>
    <cellStyle name="CALC Currency Total 55 8 3" xfId="36874"/>
    <cellStyle name="CALC Currency Total 55 8 4" xfId="45714"/>
    <cellStyle name="CALC Currency Total 55 9" xfId="22441"/>
    <cellStyle name="CALC Currency Total 55 9 2" xfId="30737"/>
    <cellStyle name="CALC Currency Total 55 9 2 2" xfId="45715"/>
    <cellStyle name="CALC Currency Total 55 9 3" xfId="37757"/>
    <cellStyle name="CALC Currency Total 55 9 4" xfId="45716"/>
    <cellStyle name="CALC Currency Total 56" xfId="15004"/>
    <cellStyle name="CALC Currency Total 56 10" xfId="23365"/>
    <cellStyle name="CALC Currency Total 56 10 2" xfId="45717"/>
    <cellStyle name="CALC Currency Total 56 11" xfId="45718"/>
    <cellStyle name="CALC Currency Total 56 12" xfId="45719"/>
    <cellStyle name="CALC Currency Total 56 2" xfId="16085"/>
    <cellStyle name="CALC Currency Total 56 2 2" xfId="24400"/>
    <cellStyle name="CALC Currency Total 56 2 2 2" xfId="45720"/>
    <cellStyle name="CALC Currency Total 56 2 3" xfId="31679"/>
    <cellStyle name="CALC Currency Total 56 2 4" xfId="45721"/>
    <cellStyle name="CALC Currency Total 56 3" xfId="17051"/>
    <cellStyle name="CALC Currency Total 56 3 2" xfId="25372"/>
    <cellStyle name="CALC Currency Total 56 3 2 2" xfId="45722"/>
    <cellStyle name="CALC Currency Total 56 3 3" xfId="32612"/>
    <cellStyle name="CALC Currency Total 56 3 4" xfId="45723"/>
    <cellStyle name="CALC Currency Total 56 4" xfId="18078"/>
    <cellStyle name="CALC Currency Total 56 4 2" xfId="26398"/>
    <cellStyle name="CALC Currency Total 56 4 2 2" xfId="45724"/>
    <cellStyle name="CALC Currency Total 56 4 3" xfId="33589"/>
    <cellStyle name="CALC Currency Total 56 4 4" xfId="45725"/>
    <cellStyle name="CALC Currency Total 56 5" xfId="19062"/>
    <cellStyle name="CALC Currency Total 56 5 2" xfId="27382"/>
    <cellStyle name="CALC Currency Total 56 5 2 2" xfId="45726"/>
    <cellStyle name="CALC Currency Total 56 5 3" xfId="34532"/>
    <cellStyle name="CALC Currency Total 56 5 4" xfId="45727"/>
    <cellStyle name="CALC Currency Total 56 6" xfId="20030"/>
    <cellStyle name="CALC Currency Total 56 6 2" xfId="28352"/>
    <cellStyle name="CALC Currency Total 56 6 2 2" xfId="45728"/>
    <cellStyle name="CALC Currency Total 56 6 3" xfId="35479"/>
    <cellStyle name="CALC Currency Total 56 6 4" xfId="45729"/>
    <cellStyle name="CALC Currency Total 56 7" xfId="20988"/>
    <cellStyle name="CALC Currency Total 56 7 2" xfId="29305"/>
    <cellStyle name="CALC Currency Total 56 7 2 2" xfId="45730"/>
    <cellStyle name="CALC Currency Total 56 7 3" xfId="36387"/>
    <cellStyle name="CALC Currency Total 56 7 4" xfId="45731"/>
    <cellStyle name="CALC Currency Total 56 8" xfId="21495"/>
    <cellStyle name="CALC Currency Total 56 8 2" xfId="29796"/>
    <cellStyle name="CALC Currency Total 56 8 2 2" xfId="45732"/>
    <cellStyle name="CALC Currency Total 56 8 3" xfId="36857"/>
    <cellStyle name="CALC Currency Total 56 8 4" xfId="45733"/>
    <cellStyle name="CALC Currency Total 56 9" xfId="22423"/>
    <cellStyle name="CALC Currency Total 56 9 2" xfId="30719"/>
    <cellStyle name="CALC Currency Total 56 9 2 2" xfId="45734"/>
    <cellStyle name="CALC Currency Total 56 9 3" xfId="37740"/>
    <cellStyle name="CALC Currency Total 56 9 4" xfId="45735"/>
    <cellStyle name="CALC Currency Total 57" xfId="14979"/>
    <cellStyle name="CALC Currency Total 57 10" xfId="23340"/>
    <cellStyle name="CALC Currency Total 57 10 2" xfId="45736"/>
    <cellStyle name="CALC Currency Total 57 11" xfId="45737"/>
    <cellStyle name="CALC Currency Total 57 12" xfId="45738"/>
    <cellStyle name="CALC Currency Total 57 2" xfId="16060"/>
    <cellStyle name="CALC Currency Total 57 2 2" xfId="24375"/>
    <cellStyle name="CALC Currency Total 57 2 2 2" xfId="45739"/>
    <cellStyle name="CALC Currency Total 57 2 3" xfId="31654"/>
    <cellStyle name="CALC Currency Total 57 2 4" xfId="45740"/>
    <cellStyle name="CALC Currency Total 57 3" xfId="17026"/>
    <cellStyle name="CALC Currency Total 57 3 2" xfId="25347"/>
    <cellStyle name="CALC Currency Total 57 3 2 2" xfId="45741"/>
    <cellStyle name="CALC Currency Total 57 3 3" xfId="32587"/>
    <cellStyle name="CALC Currency Total 57 3 4" xfId="45742"/>
    <cellStyle name="CALC Currency Total 57 4" xfId="18053"/>
    <cellStyle name="CALC Currency Total 57 4 2" xfId="26373"/>
    <cellStyle name="CALC Currency Total 57 4 2 2" xfId="45743"/>
    <cellStyle name="CALC Currency Total 57 4 3" xfId="33564"/>
    <cellStyle name="CALC Currency Total 57 4 4" xfId="45744"/>
    <cellStyle name="CALC Currency Total 57 5" xfId="19037"/>
    <cellStyle name="CALC Currency Total 57 5 2" xfId="27357"/>
    <cellStyle name="CALC Currency Total 57 5 2 2" xfId="45745"/>
    <cellStyle name="CALC Currency Total 57 5 3" xfId="34507"/>
    <cellStyle name="CALC Currency Total 57 5 4" xfId="45746"/>
    <cellStyle name="CALC Currency Total 57 6" xfId="20005"/>
    <cellStyle name="CALC Currency Total 57 6 2" xfId="28327"/>
    <cellStyle name="CALC Currency Total 57 6 2 2" xfId="45747"/>
    <cellStyle name="CALC Currency Total 57 6 3" xfId="35454"/>
    <cellStyle name="CALC Currency Total 57 6 4" xfId="45748"/>
    <cellStyle name="CALC Currency Total 57 7" xfId="20963"/>
    <cellStyle name="CALC Currency Total 57 7 2" xfId="29280"/>
    <cellStyle name="CALC Currency Total 57 7 2 2" xfId="45749"/>
    <cellStyle name="CALC Currency Total 57 7 3" xfId="36362"/>
    <cellStyle name="CALC Currency Total 57 7 4" xfId="45750"/>
    <cellStyle name="CALC Currency Total 57 8" xfId="21470"/>
    <cellStyle name="CALC Currency Total 57 8 2" xfId="29771"/>
    <cellStyle name="CALC Currency Total 57 8 2 2" xfId="45751"/>
    <cellStyle name="CALC Currency Total 57 8 3" xfId="36832"/>
    <cellStyle name="CALC Currency Total 57 8 4" xfId="45752"/>
    <cellStyle name="CALC Currency Total 57 9" xfId="22398"/>
    <cellStyle name="CALC Currency Total 57 9 2" xfId="30694"/>
    <cellStyle name="CALC Currency Total 57 9 2 2" xfId="45753"/>
    <cellStyle name="CALC Currency Total 57 9 3" xfId="37715"/>
    <cellStyle name="CALC Currency Total 57 9 4" xfId="45754"/>
    <cellStyle name="CALC Currency Total 58" xfId="14972"/>
    <cellStyle name="CALC Currency Total 58 10" xfId="23333"/>
    <cellStyle name="CALC Currency Total 58 10 2" xfId="45755"/>
    <cellStyle name="CALC Currency Total 58 11" xfId="45756"/>
    <cellStyle name="CALC Currency Total 58 12" xfId="45757"/>
    <cellStyle name="CALC Currency Total 58 2" xfId="16053"/>
    <cellStyle name="CALC Currency Total 58 2 2" xfId="24368"/>
    <cellStyle name="CALC Currency Total 58 2 2 2" xfId="45758"/>
    <cellStyle name="CALC Currency Total 58 2 3" xfId="31647"/>
    <cellStyle name="CALC Currency Total 58 2 4" xfId="45759"/>
    <cellStyle name="CALC Currency Total 58 3" xfId="17019"/>
    <cellStyle name="CALC Currency Total 58 3 2" xfId="25340"/>
    <cellStyle name="CALC Currency Total 58 3 2 2" xfId="45760"/>
    <cellStyle name="CALC Currency Total 58 3 3" xfId="32580"/>
    <cellStyle name="CALC Currency Total 58 3 4" xfId="45761"/>
    <cellStyle name="CALC Currency Total 58 4" xfId="18046"/>
    <cellStyle name="CALC Currency Total 58 4 2" xfId="26366"/>
    <cellStyle name="CALC Currency Total 58 4 2 2" xfId="45762"/>
    <cellStyle name="CALC Currency Total 58 4 3" xfId="33557"/>
    <cellStyle name="CALC Currency Total 58 4 4" xfId="45763"/>
    <cellStyle name="CALC Currency Total 58 5" xfId="19030"/>
    <cellStyle name="CALC Currency Total 58 5 2" xfId="27350"/>
    <cellStyle name="CALC Currency Total 58 5 2 2" xfId="45764"/>
    <cellStyle name="CALC Currency Total 58 5 3" xfId="34500"/>
    <cellStyle name="CALC Currency Total 58 5 4" xfId="45765"/>
    <cellStyle name="CALC Currency Total 58 6" xfId="19998"/>
    <cellStyle name="CALC Currency Total 58 6 2" xfId="28320"/>
    <cellStyle name="CALC Currency Total 58 6 2 2" xfId="45766"/>
    <cellStyle name="CALC Currency Total 58 6 3" xfId="35447"/>
    <cellStyle name="CALC Currency Total 58 6 4" xfId="45767"/>
    <cellStyle name="CALC Currency Total 58 7" xfId="20956"/>
    <cellStyle name="CALC Currency Total 58 7 2" xfId="29273"/>
    <cellStyle name="CALC Currency Total 58 7 2 2" xfId="45768"/>
    <cellStyle name="CALC Currency Total 58 7 3" xfId="36355"/>
    <cellStyle name="CALC Currency Total 58 7 4" xfId="45769"/>
    <cellStyle name="CALC Currency Total 58 8" xfId="21463"/>
    <cellStyle name="CALC Currency Total 58 8 2" xfId="29764"/>
    <cellStyle name="CALC Currency Total 58 8 2 2" xfId="45770"/>
    <cellStyle name="CALC Currency Total 58 8 3" xfId="36825"/>
    <cellStyle name="CALC Currency Total 58 8 4" xfId="45771"/>
    <cellStyle name="CALC Currency Total 58 9" xfId="22391"/>
    <cellStyle name="CALC Currency Total 58 9 2" xfId="30687"/>
    <cellStyle name="CALC Currency Total 58 9 2 2" xfId="45772"/>
    <cellStyle name="CALC Currency Total 58 9 3" xfId="37708"/>
    <cellStyle name="CALC Currency Total 58 9 4" xfId="45773"/>
    <cellStyle name="CALC Currency Total 59" xfId="14995"/>
    <cellStyle name="CALC Currency Total 59 10" xfId="23356"/>
    <cellStyle name="CALC Currency Total 59 10 2" xfId="45774"/>
    <cellStyle name="CALC Currency Total 59 11" xfId="45775"/>
    <cellStyle name="CALC Currency Total 59 12" xfId="45776"/>
    <cellStyle name="CALC Currency Total 59 2" xfId="16076"/>
    <cellStyle name="CALC Currency Total 59 2 2" xfId="24391"/>
    <cellStyle name="CALC Currency Total 59 2 2 2" xfId="45777"/>
    <cellStyle name="CALC Currency Total 59 2 3" xfId="31670"/>
    <cellStyle name="CALC Currency Total 59 2 4" xfId="45778"/>
    <cellStyle name="CALC Currency Total 59 3" xfId="17042"/>
    <cellStyle name="CALC Currency Total 59 3 2" xfId="25363"/>
    <cellStyle name="CALC Currency Total 59 3 2 2" xfId="45779"/>
    <cellStyle name="CALC Currency Total 59 3 3" xfId="32603"/>
    <cellStyle name="CALC Currency Total 59 3 4" xfId="45780"/>
    <cellStyle name="CALC Currency Total 59 4" xfId="18069"/>
    <cellStyle name="CALC Currency Total 59 4 2" xfId="26389"/>
    <cellStyle name="CALC Currency Total 59 4 2 2" xfId="45781"/>
    <cellStyle name="CALC Currency Total 59 4 3" xfId="33580"/>
    <cellStyle name="CALC Currency Total 59 4 4" xfId="45782"/>
    <cellStyle name="CALC Currency Total 59 5" xfId="19053"/>
    <cellStyle name="CALC Currency Total 59 5 2" xfId="27373"/>
    <cellStyle name="CALC Currency Total 59 5 2 2" xfId="45783"/>
    <cellStyle name="CALC Currency Total 59 5 3" xfId="34523"/>
    <cellStyle name="CALC Currency Total 59 5 4" xfId="45784"/>
    <cellStyle name="CALC Currency Total 59 6" xfId="20021"/>
    <cellStyle name="CALC Currency Total 59 6 2" xfId="28343"/>
    <cellStyle name="CALC Currency Total 59 6 2 2" xfId="45785"/>
    <cellStyle name="CALC Currency Total 59 6 3" xfId="35470"/>
    <cellStyle name="CALC Currency Total 59 6 4" xfId="45786"/>
    <cellStyle name="CALC Currency Total 59 7" xfId="20979"/>
    <cellStyle name="CALC Currency Total 59 7 2" xfId="29296"/>
    <cellStyle name="CALC Currency Total 59 7 2 2" xfId="45787"/>
    <cellStyle name="CALC Currency Total 59 7 3" xfId="36378"/>
    <cellStyle name="CALC Currency Total 59 7 4" xfId="45788"/>
    <cellStyle name="CALC Currency Total 59 8" xfId="21486"/>
    <cellStyle name="CALC Currency Total 59 8 2" xfId="29787"/>
    <cellStyle name="CALC Currency Total 59 8 2 2" xfId="45789"/>
    <cellStyle name="CALC Currency Total 59 8 3" xfId="36848"/>
    <cellStyle name="CALC Currency Total 59 8 4" xfId="45790"/>
    <cellStyle name="CALC Currency Total 59 9" xfId="22414"/>
    <cellStyle name="CALC Currency Total 59 9 2" xfId="30710"/>
    <cellStyle name="CALC Currency Total 59 9 2 2" xfId="45791"/>
    <cellStyle name="CALC Currency Total 59 9 3" xfId="37731"/>
    <cellStyle name="CALC Currency Total 59 9 4" xfId="45792"/>
    <cellStyle name="CALC Currency Total 6" xfId="14559"/>
    <cellStyle name="CALC Currency Total 6 10" xfId="22915"/>
    <cellStyle name="CALC Currency Total 6 10 2" xfId="45793"/>
    <cellStyle name="CALC Currency Total 6 11" xfId="45794"/>
    <cellStyle name="CALC Currency Total 6 2" xfId="15638"/>
    <cellStyle name="CALC Currency Total 6 2 2" xfId="23951"/>
    <cellStyle name="CALC Currency Total 6 2 2 2" xfId="45795"/>
    <cellStyle name="CALC Currency Total 6 2 3" xfId="31248"/>
    <cellStyle name="CALC Currency Total 6 2 4" xfId="45796"/>
    <cellStyle name="CALC Currency Total 6 3" xfId="16605"/>
    <cellStyle name="CALC Currency Total 6 3 2" xfId="24922"/>
    <cellStyle name="CALC Currency Total 6 3 2 2" xfId="45797"/>
    <cellStyle name="CALC Currency Total 6 3 3" xfId="32181"/>
    <cellStyle name="CALC Currency Total 6 3 4" xfId="45798"/>
    <cellStyle name="CALC Currency Total 6 4" xfId="17625"/>
    <cellStyle name="CALC Currency Total 6 4 2" xfId="25948"/>
    <cellStyle name="CALC Currency Total 6 4 2 2" xfId="45799"/>
    <cellStyle name="CALC Currency Total 6 4 3" xfId="33158"/>
    <cellStyle name="CALC Currency Total 6 4 4" xfId="45800"/>
    <cellStyle name="CALC Currency Total 6 5" xfId="18607"/>
    <cellStyle name="CALC Currency Total 6 5 2" xfId="26926"/>
    <cellStyle name="CALC Currency Total 6 5 2 2" xfId="45801"/>
    <cellStyle name="CALC Currency Total 6 5 3" xfId="34094"/>
    <cellStyle name="CALC Currency Total 6 5 4" xfId="45802"/>
    <cellStyle name="CALC Currency Total 6 6" xfId="19575"/>
    <cellStyle name="CALC Currency Total 6 6 2" xfId="27896"/>
    <cellStyle name="CALC Currency Total 6 6 2 2" xfId="45803"/>
    <cellStyle name="CALC Currency Total 6 6 3" xfId="35041"/>
    <cellStyle name="CALC Currency Total 6 6 4" xfId="45804"/>
    <cellStyle name="CALC Currency Total 6 7" xfId="20533"/>
    <cellStyle name="CALC Currency Total 6 7 2" xfId="28855"/>
    <cellStyle name="CALC Currency Total 6 7 2 2" xfId="45805"/>
    <cellStyle name="CALC Currency Total 6 7 3" xfId="35958"/>
    <cellStyle name="CALC Currency Total 6 7 4" xfId="45806"/>
    <cellStyle name="CALC Currency Total 6 8" xfId="21138"/>
    <cellStyle name="CALC Currency Total 6 8 2" xfId="29452"/>
    <cellStyle name="CALC Currency Total 6 8 2 2" xfId="45807"/>
    <cellStyle name="CALC Currency Total 6 8 3" xfId="36524"/>
    <cellStyle name="CALC Currency Total 6 8 4" xfId="45808"/>
    <cellStyle name="CALC Currency Total 6 9" xfId="21968"/>
    <cellStyle name="CALC Currency Total 6 9 2" xfId="30269"/>
    <cellStyle name="CALC Currency Total 6 9 2 2" xfId="45809"/>
    <cellStyle name="CALC Currency Total 6 9 3" xfId="37309"/>
    <cellStyle name="CALC Currency Total 6 9 4" xfId="45810"/>
    <cellStyle name="CALC Currency Total 60" xfId="15027"/>
    <cellStyle name="CALC Currency Total 60 10" xfId="23387"/>
    <cellStyle name="CALC Currency Total 60 10 2" xfId="45811"/>
    <cellStyle name="CALC Currency Total 60 11" xfId="45812"/>
    <cellStyle name="CALC Currency Total 60 12" xfId="45813"/>
    <cellStyle name="CALC Currency Total 60 2" xfId="16107"/>
    <cellStyle name="CALC Currency Total 60 2 2" xfId="24422"/>
    <cellStyle name="CALC Currency Total 60 2 2 2" xfId="45814"/>
    <cellStyle name="CALC Currency Total 60 2 3" xfId="31700"/>
    <cellStyle name="CALC Currency Total 60 2 4" xfId="45815"/>
    <cellStyle name="CALC Currency Total 60 3" xfId="17074"/>
    <cellStyle name="CALC Currency Total 60 3 2" xfId="25395"/>
    <cellStyle name="CALC Currency Total 60 3 2 2" xfId="45816"/>
    <cellStyle name="CALC Currency Total 60 3 3" xfId="32634"/>
    <cellStyle name="CALC Currency Total 60 3 4" xfId="45817"/>
    <cellStyle name="CALC Currency Total 60 4" xfId="18101"/>
    <cellStyle name="CALC Currency Total 60 4 2" xfId="26421"/>
    <cellStyle name="CALC Currency Total 60 4 2 2" xfId="45818"/>
    <cellStyle name="CALC Currency Total 60 4 3" xfId="33611"/>
    <cellStyle name="CALC Currency Total 60 4 4" xfId="45819"/>
    <cellStyle name="CALC Currency Total 60 5" xfId="19085"/>
    <cellStyle name="CALC Currency Total 60 5 2" xfId="27405"/>
    <cellStyle name="CALC Currency Total 60 5 2 2" xfId="45820"/>
    <cellStyle name="CALC Currency Total 60 5 3" xfId="34554"/>
    <cellStyle name="CALC Currency Total 60 5 4" xfId="45821"/>
    <cellStyle name="CALC Currency Total 60 6" xfId="20053"/>
    <cellStyle name="CALC Currency Total 60 6 2" xfId="28375"/>
    <cellStyle name="CALC Currency Total 60 6 2 2" xfId="45822"/>
    <cellStyle name="CALC Currency Total 60 6 3" xfId="35501"/>
    <cellStyle name="CALC Currency Total 60 6 4" xfId="45823"/>
    <cellStyle name="CALC Currency Total 60 7" xfId="21010"/>
    <cellStyle name="CALC Currency Total 60 7 2" xfId="29327"/>
    <cellStyle name="CALC Currency Total 60 7 2 2" xfId="45824"/>
    <cellStyle name="CALC Currency Total 60 7 3" xfId="36408"/>
    <cellStyle name="CALC Currency Total 60 7 4" xfId="45825"/>
    <cellStyle name="CALC Currency Total 60 8" xfId="21517"/>
    <cellStyle name="CALC Currency Total 60 8 2" xfId="29818"/>
    <cellStyle name="CALC Currency Total 60 8 2 2" xfId="45826"/>
    <cellStyle name="CALC Currency Total 60 8 3" xfId="36878"/>
    <cellStyle name="CALC Currency Total 60 8 4" xfId="45827"/>
    <cellStyle name="CALC Currency Total 60 9" xfId="22445"/>
    <cellStyle name="CALC Currency Total 60 9 2" xfId="30741"/>
    <cellStyle name="CALC Currency Total 60 9 2 2" xfId="45828"/>
    <cellStyle name="CALC Currency Total 60 9 3" xfId="37761"/>
    <cellStyle name="CALC Currency Total 60 9 4" xfId="45829"/>
    <cellStyle name="CALC Currency Total 61" xfId="14999"/>
    <cellStyle name="CALC Currency Total 61 10" xfId="23360"/>
    <cellStyle name="CALC Currency Total 61 10 2" xfId="45830"/>
    <cellStyle name="CALC Currency Total 61 11" xfId="45831"/>
    <cellStyle name="CALC Currency Total 61 12" xfId="45832"/>
    <cellStyle name="CALC Currency Total 61 2" xfId="16080"/>
    <cellStyle name="CALC Currency Total 61 2 2" xfId="24395"/>
    <cellStyle name="CALC Currency Total 61 2 2 2" xfId="45833"/>
    <cellStyle name="CALC Currency Total 61 2 3" xfId="31674"/>
    <cellStyle name="CALC Currency Total 61 2 4" xfId="45834"/>
    <cellStyle name="CALC Currency Total 61 3" xfId="17046"/>
    <cellStyle name="CALC Currency Total 61 3 2" xfId="25367"/>
    <cellStyle name="CALC Currency Total 61 3 2 2" xfId="45835"/>
    <cellStyle name="CALC Currency Total 61 3 3" xfId="32607"/>
    <cellStyle name="CALC Currency Total 61 3 4" xfId="45836"/>
    <cellStyle name="CALC Currency Total 61 4" xfId="18073"/>
    <cellStyle name="CALC Currency Total 61 4 2" xfId="26393"/>
    <cellStyle name="CALC Currency Total 61 4 2 2" xfId="45837"/>
    <cellStyle name="CALC Currency Total 61 4 3" xfId="33584"/>
    <cellStyle name="CALC Currency Total 61 4 4" xfId="45838"/>
    <cellStyle name="CALC Currency Total 61 5" xfId="19057"/>
    <cellStyle name="CALC Currency Total 61 5 2" xfId="27377"/>
    <cellStyle name="CALC Currency Total 61 5 2 2" xfId="45839"/>
    <cellStyle name="CALC Currency Total 61 5 3" xfId="34527"/>
    <cellStyle name="CALC Currency Total 61 5 4" xfId="45840"/>
    <cellStyle name="CALC Currency Total 61 6" xfId="20025"/>
    <cellStyle name="CALC Currency Total 61 6 2" xfId="28347"/>
    <cellStyle name="CALC Currency Total 61 6 2 2" xfId="45841"/>
    <cellStyle name="CALC Currency Total 61 6 3" xfId="35474"/>
    <cellStyle name="CALC Currency Total 61 6 4" xfId="45842"/>
    <cellStyle name="CALC Currency Total 61 7" xfId="20983"/>
    <cellStyle name="CALC Currency Total 61 7 2" xfId="29300"/>
    <cellStyle name="CALC Currency Total 61 7 2 2" xfId="45843"/>
    <cellStyle name="CALC Currency Total 61 7 3" xfId="36382"/>
    <cellStyle name="CALC Currency Total 61 7 4" xfId="45844"/>
    <cellStyle name="CALC Currency Total 61 8" xfId="21490"/>
    <cellStyle name="CALC Currency Total 61 8 2" xfId="29791"/>
    <cellStyle name="CALC Currency Total 61 8 2 2" xfId="45845"/>
    <cellStyle name="CALC Currency Total 61 8 3" xfId="36852"/>
    <cellStyle name="CALC Currency Total 61 8 4" xfId="45846"/>
    <cellStyle name="CALC Currency Total 61 9" xfId="22418"/>
    <cellStyle name="CALC Currency Total 61 9 2" xfId="30714"/>
    <cellStyle name="CALC Currency Total 61 9 2 2" xfId="45847"/>
    <cellStyle name="CALC Currency Total 61 9 3" xfId="37735"/>
    <cellStyle name="CALC Currency Total 61 9 4" xfId="45848"/>
    <cellStyle name="CALC Currency Total 62" xfId="15051"/>
    <cellStyle name="CALC Currency Total 62 10" xfId="23411"/>
    <cellStyle name="CALC Currency Total 62 10 2" xfId="45849"/>
    <cellStyle name="CALC Currency Total 62 11" xfId="45850"/>
    <cellStyle name="CALC Currency Total 62 12" xfId="45851"/>
    <cellStyle name="CALC Currency Total 62 2" xfId="16131"/>
    <cellStyle name="CALC Currency Total 62 2 2" xfId="24446"/>
    <cellStyle name="CALC Currency Total 62 2 2 2" xfId="45852"/>
    <cellStyle name="CALC Currency Total 62 2 3" xfId="31723"/>
    <cellStyle name="CALC Currency Total 62 2 4" xfId="45853"/>
    <cellStyle name="CALC Currency Total 62 3" xfId="17098"/>
    <cellStyle name="CALC Currency Total 62 3 2" xfId="25419"/>
    <cellStyle name="CALC Currency Total 62 3 2 2" xfId="45854"/>
    <cellStyle name="CALC Currency Total 62 3 3" xfId="32657"/>
    <cellStyle name="CALC Currency Total 62 3 4" xfId="45855"/>
    <cellStyle name="CALC Currency Total 62 4" xfId="18125"/>
    <cellStyle name="CALC Currency Total 62 4 2" xfId="26445"/>
    <cellStyle name="CALC Currency Total 62 4 2 2" xfId="45856"/>
    <cellStyle name="CALC Currency Total 62 4 3" xfId="33634"/>
    <cellStyle name="CALC Currency Total 62 4 4" xfId="45857"/>
    <cellStyle name="CALC Currency Total 62 5" xfId="19109"/>
    <cellStyle name="CALC Currency Total 62 5 2" xfId="27429"/>
    <cellStyle name="CALC Currency Total 62 5 2 2" xfId="45858"/>
    <cellStyle name="CALC Currency Total 62 5 3" xfId="34577"/>
    <cellStyle name="CALC Currency Total 62 5 4" xfId="45859"/>
    <cellStyle name="CALC Currency Total 62 6" xfId="20077"/>
    <cellStyle name="CALC Currency Total 62 6 2" xfId="28399"/>
    <cellStyle name="CALC Currency Total 62 6 2 2" xfId="45860"/>
    <cellStyle name="CALC Currency Total 62 6 3" xfId="35524"/>
    <cellStyle name="CALC Currency Total 62 6 4" xfId="45861"/>
    <cellStyle name="CALC Currency Total 62 7" xfId="21034"/>
    <cellStyle name="CALC Currency Total 62 7 2" xfId="29351"/>
    <cellStyle name="CALC Currency Total 62 7 2 2" xfId="45862"/>
    <cellStyle name="CALC Currency Total 62 7 3" xfId="36431"/>
    <cellStyle name="CALC Currency Total 62 7 4" xfId="45863"/>
    <cellStyle name="CALC Currency Total 62 8" xfId="21541"/>
    <cellStyle name="CALC Currency Total 62 8 2" xfId="29842"/>
    <cellStyle name="CALC Currency Total 62 8 2 2" xfId="45864"/>
    <cellStyle name="CALC Currency Total 62 8 3" xfId="36901"/>
    <cellStyle name="CALC Currency Total 62 8 4" xfId="45865"/>
    <cellStyle name="CALC Currency Total 62 9" xfId="22469"/>
    <cellStyle name="CALC Currency Total 62 9 2" xfId="30765"/>
    <cellStyle name="CALC Currency Total 62 9 2 2" xfId="45866"/>
    <cellStyle name="CALC Currency Total 62 9 3" xfId="37784"/>
    <cellStyle name="CALC Currency Total 62 9 4" xfId="45867"/>
    <cellStyle name="CALC Currency Total 63" xfId="15071"/>
    <cellStyle name="CALC Currency Total 63 10" xfId="23431"/>
    <cellStyle name="CALC Currency Total 63 10 2" xfId="45868"/>
    <cellStyle name="CALC Currency Total 63 11" xfId="45869"/>
    <cellStyle name="CALC Currency Total 63 12" xfId="45870"/>
    <cellStyle name="CALC Currency Total 63 2" xfId="16151"/>
    <cellStyle name="CALC Currency Total 63 2 2" xfId="24466"/>
    <cellStyle name="CALC Currency Total 63 2 2 2" xfId="45871"/>
    <cellStyle name="CALC Currency Total 63 2 3" xfId="31743"/>
    <cellStyle name="CALC Currency Total 63 2 4" xfId="45872"/>
    <cellStyle name="CALC Currency Total 63 3" xfId="17118"/>
    <cellStyle name="CALC Currency Total 63 3 2" xfId="25439"/>
    <cellStyle name="CALC Currency Total 63 3 2 2" xfId="45873"/>
    <cellStyle name="CALC Currency Total 63 3 3" xfId="32677"/>
    <cellStyle name="CALC Currency Total 63 3 4" xfId="45874"/>
    <cellStyle name="CALC Currency Total 63 4" xfId="18145"/>
    <cellStyle name="CALC Currency Total 63 4 2" xfId="26465"/>
    <cellStyle name="CALC Currency Total 63 4 2 2" xfId="45875"/>
    <cellStyle name="CALC Currency Total 63 4 3" xfId="33654"/>
    <cellStyle name="CALC Currency Total 63 4 4" xfId="45876"/>
    <cellStyle name="CALC Currency Total 63 5" xfId="19129"/>
    <cellStyle name="CALC Currency Total 63 5 2" xfId="27449"/>
    <cellStyle name="CALC Currency Total 63 5 2 2" xfId="45877"/>
    <cellStyle name="CALC Currency Total 63 5 3" xfId="34597"/>
    <cellStyle name="CALC Currency Total 63 5 4" xfId="45878"/>
    <cellStyle name="CALC Currency Total 63 6" xfId="20097"/>
    <cellStyle name="CALC Currency Total 63 6 2" xfId="28419"/>
    <cellStyle name="CALC Currency Total 63 6 2 2" xfId="45879"/>
    <cellStyle name="CALC Currency Total 63 6 3" xfId="35544"/>
    <cellStyle name="CALC Currency Total 63 6 4" xfId="45880"/>
    <cellStyle name="CALC Currency Total 63 7" xfId="21054"/>
    <cellStyle name="CALC Currency Total 63 7 2" xfId="29371"/>
    <cellStyle name="CALC Currency Total 63 7 2 2" xfId="45881"/>
    <cellStyle name="CALC Currency Total 63 7 3" xfId="36451"/>
    <cellStyle name="CALC Currency Total 63 7 4" xfId="45882"/>
    <cellStyle name="CALC Currency Total 63 8" xfId="21561"/>
    <cellStyle name="CALC Currency Total 63 8 2" xfId="29862"/>
    <cellStyle name="CALC Currency Total 63 8 2 2" xfId="45883"/>
    <cellStyle name="CALC Currency Total 63 8 3" xfId="36921"/>
    <cellStyle name="CALC Currency Total 63 8 4" xfId="45884"/>
    <cellStyle name="CALC Currency Total 63 9" xfId="22489"/>
    <cellStyle name="CALC Currency Total 63 9 2" xfId="30785"/>
    <cellStyle name="CALC Currency Total 63 9 2 2" xfId="45885"/>
    <cellStyle name="CALC Currency Total 63 9 3" xfId="37804"/>
    <cellStyle name="CALC Currency Total 63 9 4" xfId="45886"/>
    <cellStyle name="CALC Currency Total 64" xfId="15055"/>
    <cellStyle name="CALC Currency Total 64 10" xfId="23415"/>
    <cellStyle name="CALC Currency Total 64 10 2" xfId="45887"/>
    <cellStyle name="CALC Currency Total 64 11" xfId="45888"/>
    <cellStyle name="CALC Currency Total 64 12" xfId="45889"/>
    <cellStyle name="CALC Currency Total 64 2" xfId="16135"/>
    <cellStyle name="CALC Currency Total 64 2 2" xfId="24450"/>
    <cellStyle name="CALC Currency Total 64 2 2 2" xfId="45890"/>
    <cellStyle name="CALC Currency Total 64 2 3" xfId="31727"/>
    <cellStyle name="CALC Currency Total 64 2 4" xfId="45891"/>
    <cellStyle name="CALC Currency Total 64 3" xfId="17102"/>
    <cellStyle name="CALC Currency Total 64 3 2" xfId="25423"/>
    <cellStyle name="CALC Currency Total 64 3 2 2" xfId="45892"/>
    <cellStyle name="CALC Currency Total 64 3 3" xfId="32661"/>
    <cellStyle name="CALC Currency Total 64 3 4" xfId="45893"/>
    <cellStyle name="CALC Currency Total 64 4" xfId="18129"/>
    <cellStyle name="CALC Currency Total 64 4 2" xfId="26449"/>
    <cellStyle name="CALC Currency Total 64 4 2 2" xfId="45894"/>
    <cellStyle name="CALC Currency Total 64 4 3" xfId="33638"/>
    <cellStyle name="CALC Currency Total 64 4 4" xfId="45895"/>
    <cellStyle name="CALC Currency Total 64 5" xfId="19113"/>
    <cellStyle name="CALC Currency Total 64 5 2" xfId="27433"/>
    <cellStyle name="CALC Currency Total 64 5 2 2" xfId="45896"/>
    <cellStyle name="CALC Currency Total 64 5 3" xfId="34581"/>
    <cellStyle name="CALC Currency Total 64 5 4" xfId="45897"/>
    <cellStyle name="CALC Currency Total 64 6" xfId="20081"/>
    <cellStyle name="CALC Currency Total 64 6 2" xfId="28403"/>
    <cellStyle name="CALC Currency Total 64 6 2 2" xfId="45898"/>
    <cellStyle name="CALC Currency Total 64 6 3" xfId="35528"/>
    <cellStyle name="CALC Currency Total 64 6 4" xfId="45899"/>
    <cellStyle name="CALC Currency Total 64 7" xfId="21038"/>
    <cellStyle name="CALC Currency Total 64 7 2" xfId="29355"/>
    <cellStyle name="CALC Currency Total 64 7 2 2" xfId="45900"/>
    <cellStyle name="CALC Currency Total 64 7 3" xfId="36435"/>
    <cellStyle name="CALC Currency Total 64 7 4" xfId="45901"/>
    <cellStyle name="CALC Currency Total 64 8" xfId="21545"/>
    <cellStyle name="CALC Currency Total 64 8 2" xfId="29846"/>
    <cellStyle name="CALC Currency Total 64 8 2 2" xfId="45902"/>
    <cellStyle name="CALC Currency Total 64 8 3" xfId="36905"/>
    <cellStyle name="CALC Currency Total 64 8 4" xfId="45903"/>
    <cellStyle name="CALC Currency Total 64 9" xfId="22473"/>
    <cellStyle name="CALC Currency Total 64 9 2" xfId="30769"/>
    <cellStyle name="CALC Currency Total 64 9 2 2" xfId="45904"/>
    <cellStyle name="CALC Currency Total 64 9 3" xfId="37788"/>
    <cellStyle name="CALC Currency Total 64 9 4" xfId="45905"/>
    <cellStyle name="CALC Currency Total 65" xfId="15031"/>
    <cellStyle name="CALC Currency Total 65 10" xfId="23391"/>
    <cellStyle name="CALC Currency Total 65 10 2" xfId="45906"/>
    <cellStyle name="CALC Currency Total 65 11" xfId="45907"/>
    <cellStyle name="CALC Currency Total 65 12" xfId="45908"/>
    <cellStyle name="CALC Currency Total 65 2" xfId="16111"/>
    <cellStyle name="CALC Currency Total 65 2 2" xfId="24426"/>
    <cellStyle name="CALC Currency Total 65 2 2 2" xfId="45909"/>
    <cellStyle name="CALC Currency Total 65 2 3" xfId="31704"/>
    <cellStyle name="CALC Currency Total 65 2 4" xfId="45910"/>
    <cellStyle name="CALC Currency Total 65 3" xfId="17078"/>
    <cellStyle name="CALC Currency Total 65 3 2" xfId="25399"/>
    <cellStyle name="CALC Currency Total 65 3 2 2" xfId="45911"/>
    <cellStyle name="CALC Currency Total 65 3 3" xfId="32638"/>
    <cellStyle name="CALC Currency Total 65 3 4" xfId="45912"/>
    <cellStyle name="CALC Currency Total 65 4" xfId="18105"/>
    <cellStyle name="CALC Currency Total 65 4 2" xfId="26425"/>
    <cellStyle name="CALC Currency Total 65 4 2 2" xfId="45913"/>
    <cellStyle name="CALC Currency Total 65 4 3" xfId="33615"/>
    <cellStyle name="CALC Currency Total 65 4 4" xfId="45914"/>
    <cellStyle name="CALC Currency Total 65 5" xfId="19089"/>
    <cellStyle name="CALC Currency Total 65 5 2" xfId="27409"/>
    <cellStyle name="CALC Currency Total 65 5 2 2" xfId="45915"/>
    <cellStyle name="CALC Currency Total 65 5 3" xfId="34558"/>
    <cellStyle name="CALC Currency Total 65 5 4" xfId="45916"/>
    <cellStyle name="CALC Currency Total 65 6" xfId="20057"/>
    <cellStyle name="CALC Currency Total 65 6 2" xfId="28379"/>
    <cellStyle name="CALC Currency Total 65 6 2 2" xfId="45917"/>
    <cellStyle name="CALC Currency Total 65 6 3" xfId="35505"/>
    <cellStyle name="CALC Currency Total 65 6 4" xfId="45918"/>
    <cellStyle name="CALC Currency Total 65 7" xfId="21014"/>
    <cellStyle name="CALC Currency Total 65 7 2" xfId="29331"/>
    <cellStyle name="CALC Currency Total 65 7 2 2" xfId="45919"/>
    <cellStyle name="CALC Currency Total 65 7 3" xfId="36412"/>
    <cellStyle name="CALC Currency Total 65 7 4" xfId="45920"/>
    <cellStyle name="CALC Currency Total 65 8" xfId="21521"/>
    <cellStyle name="CALC Currency Total 65 8 2" xfId="29822"/>
    <cellStyle name="CALC Currency Total 65 8 2 2" xfId="45921"/>
    <cellStyle name="CALC Currency Total 65 8 3" xfId="36882"/>
    <cellStyle name="CALC Currency Total 65 8 4" xfId="45922"/>
    <cellStyle name="CALC Currency Total 65 9" xfId="22449"/>
    <cellStyle name="CALC Currency Total 65 9 2" xfId="30745"/>
    <cellStyle name="CALC Currency Total 65 9 2 2" xfId="45923"/>
    <cellStyle name="CALC Currency Total 65 9 3" xfId="37765"/>
    <cellStyle name="CALC Currency Total 65 9 4" xfId="45924"/>
    <cellStyle name="CALC Currency Total 66" xfId="15083"/>
    <cellStyle name="CALC Currency Total 66 10" xfId="23442"/>
    <cellStyle name="CALC Currency Total 66 10 2" xfId="45925"/>
    <cellStyle name="CALC Currency Total 66 11" xfId="45926"/>
    <cellStyle name="CALC Currency Total 66 12" xfId="45927"/>
    <cellStyle name="CALC Currency Total 66 2" xfId="16163"/>
    <cellStyle name="CALC Currency Total 66 2 2" xfId="24477"/>
    <cellStyle name="CALC Currency Total 66 2 2 2" xfId="45928"/>
    <cellStyle name="CALC Currency Total 66 2 3" xfId="31754"/>
    <cellStyle name="CALC Currency Total 66 2 4" xfId="45929"/>
    <cellStyle name="CALC Currency Total 66 3" xfId="17130"/>
    <cellStyle name="CALC Currency Total 66 3 2" xfId="25451"/>
    <cellStyle name="CALC Currency Total 66 3 2 2" xfId="45930"/>
    <cellStyle name="CALC Currency Total 66 3 3" xfId="32688"/>
    <cellStyle name="CALC Currency Total 66 3 4" xfId="45931"/>
    <cellStyle name="CALC Currency Total 66 4" xfId="18157"/>
    <cellStyle name="CALC Currency Total 66 4 2" xfId="26477"/>
    <cellStyle name="CALC Currency Total 66 4 2 2" xfId="45932"/>
    <cellStyle name="CALC Currency Total 66 4 3" xfId="33665"/>
    <cellStyle name="CALC Currency Total 66 4 4" xfId="45933"/>
    <cellStyle name="CALC Currency Total 66 5" xfId="19141"/>
    <cellStyle name="CALC Currency Total 66 5 2" xfId="27461"/>
    <cellStyle name="CALC Currency Total 66 5 2 2" xfId="45934"/>
    <cellStyle name="CALC Currency Total 66 5 3" xfId="34609"/>
    <cellStyle name="CALC Currency Total 66 5 4" xfId="45935"/>
    <cellStyle name="CALC Currency Total 66 6" xfId="20109"/>
    <cellStyle name="CALC Currency Total 66 6 2" xfId="28431"/>
    <cellStyle name="CALC Currency Total 66 6 2 2" xfId="45936"/>
    <cellStyle name="CALC Currency Total 66 6 3" xfId="35556"/>
    <cellStyle name="CALC Currency Total 66 6 4" xfId="45937"/>
    <cellStyle name="CALC Currency Total 66 7" xfId="21065"/>
    <cellStyle name="CALC Currency Total 66 7 2" xfId="29382"/>
    <cellStyle name="CALC Currency Total 66 7 2 2" xfId="45938"/>
    <cellStyle name="CALC Currency Total 66 7 3" xfId="36461"/>
    <cellStyle name="CALC Currency Total 66 7 4" xfId="45939"/>
    <cellStyle name="CALC Currency Total 66 8" xfId="21572"/>
    <cellStyle name="CALC Currency Total 66 8 2" xfId="29873"/>
    <cellStyle name="CALC Currency Total 66 8 2 2" xfId="45940"/>
    <cellStyle name="CALC Currency Total 66 8 3" xfId="36932"/>
    <cellStyle name="CALC Currency Total 66 8 4" xfId="45941"/>
    <cellStyle name="CALC Currency Total 66 9" xfId="22500"/>
    <cellStyle name="CALC Currency Total 66 9 2" xfId="30796"/>
    <cellStyle name="CALC Currency Total 66 9 2 2" xfId="45942"/>
    <cellStyle name="CALC Currency Total 66 9 3" xfId="37815"/>
    <cellStyle name="CALC Currency Total 66 9 4" xfId="45943"/>
    <cellStyle name="CALC Currency Total 67" xfId="15070"/>
    <cellStyle name="CALC Currency Total 67 10" xfId="23430"/>
    <cellStyle name="CALC Currency Total 67 10 2" xfId="45944"/>
    <cellStyle name="CALC Currency Total 67 11" xfId="45945"/>
    <cellStyle name="CALC Currency Total 67 12" xfId="45946"/>
    <cellStyle name="CALC Currency Total 67 2" xfId="16150"/>
    <cellStyle name="CALC Currency Total 67 2 2" xfId="24465"/>
    <cellStyle name="CALC Currency Total 67 2 2 2" xfId="45947"/>
    <cellStyle name="CALC Currency Total 67 2 3" xfId="31742"/>
    <cellStyle name="CALC Currency Total 67 2 4" xfId="45948"/>
    <cellStyle name="CALC Currency Total 67 3" xfId="17117"/>
    <cellStyle name="CALC Currency Total 67 3 2" xfId="25438"/>
    <cellStyle name="CALC Currency Total 67 3 2 2" xfId="45949"/>
    <cellStyle name="CALC Currency Total 67 3 3" xfId="32676"/>
    <cellStyle name="CALC Currency Total 67 3 4" xfId="45950"/>
    <cellStyle name="CALC Currency Total 67 4" xfId="18144"/>
    <cellStyle name="CALC Currency Total 67 4 2" xfId="26464"/>
    <cellStyle name="CALC Currency Total 67 4 2 2" xfId="45951"/>
    <cellStyle name="CALC Currency Total 67 4 3" xfId="33653"/>
    <cellStyle name="CALC Currency Total 67 4 4" xfId="45952"/>
    <cellStyle name="CALC Currency Total 67 5" xfId="19128"/>
    <cellStyle name="CALC Currency Total 67 5 2" xfId="27448"/>
    <cellStyle name="CALC Currency Total 67 5 2 2" xfId="45953"/>
    <cellStyle name="CALC Currency Total 67 5 3" xfId="34596"/>
    <cellStyle name="CALC Currency Total 67 5 4" xfId="45954"/>
    <cellStyle name="CALC Currency Total 67 6" xfId="20096"/>
    <cellStyle name="CALC Currency Total 67 6 2" xfId="28418"/>
    <cellStyle name="CALC Currency Total 67 6 2 2" xfId="45955"/>
    <cellStyle name="CALC Currency Total 67 6 3" xfId="35543"/>
    <cellStyle name="CALC Currency Total 67 6 4" xfId="45956"/>
    <cellStyle name="CALC Currency Total 67 7" xfId="21053"/>
    <cellStyle name="CALC Currency Total 67 7 2" xfId="29370"/>
    <cellStyle name="CALC Currency Total 67 7 2 2" xfId="45957"/>
    <cellStyle name="CALC Currency Total 67 7 3" xfId="36450"/>
    <cellStyle name="CALC Currency Total 67 7 4" xfId="45958"/>
    <cellStyle name="CALC Currency Total 67 8" xfId="21560"/>
    <cellStyle name="CALC Currency Total 67 8 2" xfId="29861"/>
    <cellStyle name="CALC Currency Total 67 8 2 2" xfId="45959"/>
    <cellStyle name="CALC Currency Total 67 8 3" xfId="36920"/>
    <cellStyle name="CALC Currency Total 67 8 4" xfId="45960"/>
    <cellStyle name="CALC Currency Total 67 9" xfId="22488"/>
    <cellStyle name="CALC Currency Total 67 9 2" xfId="30784"/>
    <cellStyle name="CALC Currency Total 67 9 2 2" xfId="45961"/>
    <cellStyle name="CALC Currency Total 67 9 3" xfId="37803"/>
    <cellStyle name="CALC Currency Total 67 9 4" xfId="45962"/>
    <cellStyle name="CALC Currency Total 68" xfId="15025"/>
    <cellStyle name="CALC Currency Total 68 10" xfId="23385"/>
    <cellStyle name="CALC Currency Total 68 10 2" xfId="45963"/>
    <cellStyle name="CALC Currency Total 68 11" xfId="45964"/>
    <cellStyle name="CALC Currency Total 68 12" xfId="45965"/>
    <cellStyle name="CALC Currency Total 68 2" xfId="16105"/>
    <cellStyle name="CALC Currency Total 68 2 2" xfId="24420"/>
    <cellStyle name="CALC Currency Total 68 2 2 2" xfId="45966"/>
    <cellStyle name="CALC Currency Total 68 2 3" xfId="31698"/>
    <cellStyle name="CALC Currency Total 68 2 4" xfId="45967"/>
    <cellStyle name="CALC Currency Total 68 3" xfId="17072"/>
    <cellStyle name="CALC Currency Total 68 3 2" xfId="25393"/>
    <cellStyle name="CALC Currency Total 68 3 2 2" xfId="45968"/>
    <cellStyle name="CALC Currency Total 68 3 3" xfId="32632"/>
    <cellStyle name="CALC Currency Total 68 3 4" xfId="45969"/>
    <cellStyle name="CALC Currency Total 68 4" xfId="18099"/>
    <cellStyle name="CALC Currency Total 68 4 2" xfId="26419"/>
    <cellStyle name="CALC Currency Total 68 4 2 2" xfId="45970"/>
    <cellStyle name="CALC Currency Total 68 4 3" xfId="33609"/>
    <cellStyle name="CALC Currency Total 68 4 4" xfId="45971"/>
    <cellStyle name="CALC Currency Total 68 5" xfId="19083"/>
    <cellStyle name="CALC Currency Total 68 5 2" xfId="27403"/>
    <cellStyle name="CALC Currency Total 68 5 2 2" xfId="45972"/>
    <cellStyle name="CALC Currency Total 68 5 3" xfId="34552"/>
    <cellStyle name="CALC Currency Total 68 5 4" xfId="45973"/>
    <cellStyle name="CALC Currency Total 68 6" xfId="20051"/>
    <cellStyle name="CALC Currency Total 68 6 2" xfId="28373"/>
    <cellStyle name="CALC Currency Total 68 6 2 2" xfId="45974"/>
    <cellStyle name="CALC Currency Total 68 6 3" xfId="35499"/>
    <cellStyle name="CALC Currency Total 68 6 4" xfId="45975"/>
    <cellStyle name="CALC Currency Total 68 7" xfId="21008"/>
    <cellStyle name="CALC Currency Total 68 7 2" xfId="29325"/>
    <cellStyle name="CALC Currency Total 68 7 2 2" xfId="45976"/>
    <cellStyle name="CALC Currency Total 68 7 3" xfId="36406"/>
    <cellStyle name="CALC Currency Total 68 7 4" xfId="45977"/>
    <cellStyle name="CALC Currency Total 68 8" xfId="21515"/>
    <cellStyle name="CALC Currency Total 68 8 2" xfId="29816"/>
    <cellStyle name="CALC Currency Total 68 8 2 2" xfId="45978"/>
    <cellStyle name="CALC Currency Total 68 8 3" xfId="36876"/>
    <cellStyle name="CALC Currency Total 68 8 4" xfId="45979"/>
    <cellStyle name="CALC Currency Total 68 9" xfId="22443"/>
    <cellStyle name="CALC Currency Total 68 9 2" xfId="30739"/>
    <cellStyle name="CALC Currency Total 68 9 2 2" xfId="45980"/>
    <cellStyle name="CALC Currency Total 68 9 3" xfId="37759"/>
    <cellStyle name="CALC Currency Total 68 9 4" xfId="45981"/>
    <cellStyle name="CALC Currency Total 69" xfId="15065"/>
    <cellStyle name="CALC Currency Total 69 10" xfId="23425"/>
    <cellStyle name="CALC Currency Total 69 10 2" xfId="45982"/>
    <cellStyle name="CALC Currency Total 69 11" xfId="45983"/>
    <cellStyle name="CALC Currency Total 69 12" xfId="45984"/>
    <cellStyle name="CALC Currency Total 69 2" xfId="16145"/>
    <cellStyle name="CALC Currency Total 69 2 2" xfId="24460"/>
    <cellStyle name="CALC Currency Total 69 2 2 2" xfId="45985"/>
    <cellStyle name="CALC Currency Total 69 2 3" xfId="31737"/>
    <cellStyle name="CALC Currency Total 69 2 4" xfId="45986"/>
    <cellStyle name="CALC Currency Total 69 3" xfId="17112"/>
    <cellStyle name="CALC Currency Total 69 3 2" xfId="25433"/>
    <cellStyle name="CALC Currency Total 69 3 2 2" xfId="45987"/>
    <cellStyle name="CALC Currency Total 69 3 3" xfId="32671"/>
    <cellStyle name="CALC Currency Total 69 3 4" xfId="45988"/>
    <cellStyle name="CALC Currency Total 69 4" xfId="18139"/>
    <cellStyle name="CALC Currency Total 69 4 2" xfId="26459"/>
    <cellStyle name="CALC Currency Total 69 4 2 2" xfId="45989"/>
    <cellStyle name="CALC Currency Total 69 4 3" xfId="33648"/>
    <cellStyle name="CALC Currency Total 69 4 4" xfId="45990"/>
    <cellStyle name="CALC Currency Total 69 5" xfId="19123"/>
    <cellStyle name="CALC Currency Total 69 5 2" xfId="27443"/>
    <cellStyle name="CALC Currency Total 69 5 2 2" xfId="45991"/>
    <cellStyle name="CALC Currency Total 69 5 3" xfId="34591"/>
    <cellStyle name="CALC Currency Total 69 5 4" xfId="45992"/>
    <cellStyle name="CALC Currency Total 69 6" xfId="20091"/>
    <cellStyle name="CALC Currency Total 69 6 2" xfId="28413"/>
    <cellStyle name="CALC Currency Total 69 6 2 2" xfId="45993"/>
    <cellStyle name="CALC Currency Total 69 6 3" xfId="35538"/>
    <cellStyle name="CALC Currency Total 69 6 4" xfId="45994"/>
    <cellStyle name="CALC Currency Total 69 7" xfId="21048"/>
    <cellStyle name="CALC Currency Total 69 7 2" xfId="29365"/>
    <cellStyle name="CALC Currency Total 69 7 2 2" xfId="45995"/>
    <cellStyle name="CALC Currency Total 69 7 3" xfId="36445"/>
    <cellStyle name="CALC Currency Total 69 7 4" xfId="45996"/>
    <cellStyle name="CALC Currency Total 69 8" xfId="21555"/>
    <cellStyle name="CALC Currency Total 69 8 2" xfId="29856"/>
    <cellStyle name="CALC Currency Total 69 8 2 2" xfId="45997"/>
    <cellStyle name="CALC Currency Total 69 8 3" xfId="36915"/>
    <cellStyle name="CALC Currency Total 69 8 4" xfId="45998"/>
    <cellStyle name="CALC Currency Total 69 9" xfId="22483"/>
    <cellStyle name="CALC Currency Total 69 9 2" xfId="30779"/>
    <cellStyle name="CALC Currency Total 69 9 2 2" xfId="45999"/>
    <cellStyle name="CALC Currency Total 69 9 3" xfId="37798"/>
    <cellStyle name="CALC Currency Total 69 9 4" xfId="46000"/>
    <cellStyle name="CALC Currency Total 7" xfId="14611"/>
    <cellStyle name="CALC Currency Total 7 10" xfId="22972"/>
    <cellStyle name="CALC Currency Total 7 10 2" xfId="46001"/>
    <cellStyle name="CALC Currency Total 7 11" xfId="46002"/>
    <cellStyle name="CALC Currency Total 7 2" xfId="15691"/>
    <cellStyle name="CALC Currency Total 7 2 2" xfId="24007"/>
    <cellStyle name="CALC Currency Total 7 2 2 2" xfId="46003"/>
    <cellStyle name="CALC Currency Total 7 2 3" xfId="31301"/>
    <cellStyle name="CALC Currency Total 7 2 4" xfId="46004"/>
    <cellStyle name="CALC Currency Total 7 3" xfId="16658"/>
    <cellStyle name="CALC Currency Total 7 3 2" xfId="24978"/>
    <cellStyle name="CALC Currency Total 7 3 2 2" xfId="46005"/>
    <cellStyle name="CALC Currency Total 7 3 3" xfId="32234"/>
    <cellStyle name="CALC Currency Total 7 3 4" xfId="46006"/>
    <cellStyle name="CALC Currency Total 7 4" xfId="17680"/>
    <cellStyle name="CALC Currency Total 7 4 2" xfId="26004"/>
    <cellStyle name="CALC Currency Total 7 4 2 2" xfId="46007"/>
    <cellStyle name="CALC Currency Total 7 4 3" xfId="33211"/>
    <cellStyle name="CALC Currency Total 7 4 4" xfId="46008"/>
    <cellStyle name="CALC Currency Total 7 5" xfId="18663"/>
    <cellStyle name="CALC Currency Total 7 5 2" xfId="26984"/>
    <cellStyle name="CALC Currency Total 7 5 2 2" xfId="46009"/>
    <cellStyle name="CALC Currency Total 7 5 3" xfId="34149"/>
    <cellStyle name="CALC Currency Total 7 5 4" xfId="46010"/>
    <cellStyle name="CALC Currency Total 7 6" xfId="19632"/>
    <cellStyle name="CALC Currency Total 7 6 2" xfId="27953"/>
    <cellStyle name="CALC Currency Total 7 6 2 2" xfId="46011"/>
    <cellStyle name="CALC Currency Total 7 6 3" xfId="35095"/>
    <cellStyle name="CALC Currency Total 7 6 4" xfId="46012"/>
    <cellStyle name="CALC Currency Total 7 7" xfId="20589"/>
    <cellStyle name="CALC Currency Total 7 7 2" xfId="28911"/>
    <cellStyle name="CALC Currency Total 7 7 2 2" xfId="46013"/>
    <cellStyle name="CALC Currency Total 7 7 3" xfId="36011"/>
    <cellStyle name="CALC Currency Total 7 7 4" xfId="46014"/>
    <cellStyle name="CALC Currency Total 7 8" xfId="18552"/>
    <cellStyle name="CALC Currency Total 7 8 2" xfId="26869"/>
    <cellStyle name="CALC Currency Total 7 8 2 2" xfId="46015"/>
    <cellStyle name="CALC Currency Total 7 8 3" xfId="34039"/>
    <cellStyle name="CALC Currency Total 7 8 4" xfId="46016"/>
    <cellStyle name="CALC Currency Total 7 9" xfId="22026"/>
    <cellStyle name="CALC Currency Total 7 9 2" xfId="30325"/>
    <cellStyle name="CALC Currency Total 7 9 2 2" xfId="46017"/>
    <cellStyle name="CALC Currency Total 7 9 3" xfId="37362"/>
    <cellStyle name="CALC Currency Total 7 9 4" xfId="46018"/>
    <cellStyle name="CALC Currency Total 70" xfId="15016"/>
    <cellStyle name="CALC Currency Total 70 10" xfId="23376"/>
    <cellStyle name="CALC Currency Total 70 10 2" xfId="46019"/>
    <cellStyle name="CALC Currency Total 70 11" xfId="46020"/>
    <cellStyle name="CALC Currency Total 70 12" xfId="46021"/>
    <cellStyle name="CALC Currency Total 70 2" xfId="16096"/>
    <cellStyle name="CALC Currency Total 70 2 2" xfId="24411"/>
    <cellStyle name="CALC Currency Total 70 2 2 2" xfId="46022"/>
    <cellStyle name="CALC Currency Total 70 2 3" xfId="31689"/>
    <cellStyle name="CALC Currency Total 70 2 4" xfId="46023"/>
    <cellStyle name="CALC Currency Total 70 3" xfId="17063"/>
    <cellStyle name="CALC Currency Total 70 3 2" xfId="25384"/>
    <cellStyle name="CALC Currency Total 70 3 2 2" xfId="46024"/>
    <cellStyle name="CALC Currency Total 70 3 3" xfId="32623"/>
    <cellStyle name="CALC Currency Total 70 3 4" xfId="46025"/>
    <cellStyle name="CALC Currency Total 70 4" xfId="18090"/>
    <cellStyle name="CALC Currency Total 70 4 2" xfId="26410"/>
    <cellStyle name="CALC Currency Total 70 4 2 2" xfId="46026"/>
    <cellStyle name="CALC Currency Total 70 4 3" xfId="33600"/>
    <cellStyle name="CALC Currency Total 70 4 4" xfId="46027"/>
    <cellStyle name="CALC Currency Total 70 5" xfId="19074"/>
    <cellStyle name="CALC Currency Total 70 5 2" xfId="27394"/>
    <cellStyle name="CALC Currency Total 70 5 2 2" xfId="46028"/>
    <cellStyle name="CALC Currency Total 70 5 3" xfId="34543"/>
    <cellStyle name="CALC Currency Total 70 5 4" xfId="46029"/>
    <cellStyle name="CALC Currency Total 70 6" xfId="20042"/>
    <cellStyle name="CALC Currency Total 70 6 2" xfId="28364"/>
    <cellStyle name="CALC Currency Total 70 6 2 2" xfId="46030"/>
    <cellStyle name="CALC Currency Total 70 6 3" xfId="35490"/>
    <cellStyle name="CALC Currency Total 70 6 4" xfId="46031"/>
    <cellStyle name="CALC Currency Total 70 7" xfId="20999"/>
    <cellStyle name="CALC Currency Total 70 7 2" xfId="29316"/>
    <cellStyle name="CALC Currency Total 70 7 2 2" xfId="46032"/>
    <cellStyle name="CALC Currency Total 70 7 3" xfId="36397"/>
    <cellStyle name="CALC Currency Total 70 7 4" xfId="46033"/>
    <cellStyle name="CALC Currency Total 70 8" xfId="21506"/>
    <cellStyle name="CALC Currency Total 70 8 2" xfId="29807"/>
    <cellStyle name="CALC Currency Total 70 8 2 2" xfId="46034"/>
    <cellStyle name="CALC Currency Total 70 8 3" xfId="36867"/>
    <cellStyle name="CALC Currency Total 70 8 4" xfId="46035"/>
    <cellStyle name="CALC Currency Total 70 9" xfId="22434"/>
    <cellStyle name="CALC Currency Total 70 9 2" xfId="30730"/>
    <cellStyle name="CALC Currency Total 70 9 2 2" xfId="46036"/>
    <cellStyle name="CALC Currency Total 70 9 3" xfId="37750"/>
    <cellStyle name="CALC Currency Total 70 9 4" xfId="46037"/>
    <cellStyle name="CALC Currency Total 71" xfId="15047"/>
    <cellStyle name="CALC Currency Total 71 10" xfId="23407"/>
    <cellStyle name="CALC Currency Total 71 10 2" xfId="46038"/>
    <cellStyle name="CALC Currency Total 71 11" xfId="46039"/>
    <cellStyle name="CALC Currency Total 71 12" xfId="46040"/>
    <cellStyle name="CALC Currency Total 71 2" xfId="16127"/>
    <cellStyle name="CALC Currency Total 71 2 2" xfId="24442"/>
    <cellStyle name="CALC Currency Total 71 2 2 2" xfId="46041"/>
    <cellStyle name="CALC Currency Total 71 2 3" xfId="31719"/>
    <cellStyle name="CALC Currency Total 71 2 4" xfId="46042"/>
    <cellStyle name="CALC Currency Total 71 3" xfId="17094"/>
    <cellStyle name="CALC Currency Total 71 3 2" xfId="25415"/>
    <cellStyle name="CALC Currency Total 71 3 2 2" xfId="46043"/>
    <cellStyle name="CALC Currency Total 71 3 3" xfId="32653"/>
    <cellStyle name="CALC Currency Total 71 3 4" xfId="46044"/>
    <cellStyle name="CALC Currency Total 71 4" xfId="18121"/>
    <cellStyle name="CALC Currency Total 71 4 2" xfId="26441"/>
    <cellStyle name="CALC Currency Total 71 4 2 2" xfId="46045"/>
    <cellStyle name="CALC Currency Total 71 4 3" xfId="33630"/>
    <cellStyle name="CALC Currency Total 71 4 4" xfId="46046"/>
    <cellStyle name="CALC Currency Total 71 5" xfId="19105"/>
    <cellStyle name="CALC Currency Total 71 5 2" xfId="27425"/>
    <cellStyle name="CALC Currency Total 71 5 2 2" xfId="46047"/>
    <cellStyle name="CALC Currency Total 71 5 3" xfId="34573"/>
    <cellStyle name="CALC Currency Total 71 5 4" xfId="46048"/>
    <cellStyle name="CALC Currency Total 71 6" xfId="20073"/>
    <cellStyle name="CALC Currency Total 71 6 2" xfId="28395"/>
    <cellStyle name="CALC Currency Total 71 6 2 2" xfId="46049"/>
    <cellStyle name="CALC Currency Total 71 6 3" xfId="35520"/>
    <cellStyle name="CALC Currency Total 71 6 4" xfId="46050"/>
    <cellStyle name="CALC Currency Total 71 7" xfId="21030"/>
    <cellStyle name="CALC Currency Total 71 7 2" xfId="29347"/>
    <cellStyle name="CALC Currency Total 71 7 2 2" xfId="46051"/>
    <cellStyle name="CALC Currency Total 71 7 3" xfId="36427"/>
    <cellStyle name="CALC Currency Total 71 7 4" xfId="46052"/>
    <cellStyle name="CALC Currency Total 71 8" xfId="21537"/>
    <cellStyle name="CALC Currency Total 71 8 2" xfId="29838"/>
    <cellStyle name="CALC Currency Total 71 8 2 2" xfId="46053"/>
    <cellStyle name="CALC Currency Total 71 8 3" xfId="36897"/>
    <cellStyle name="CALC Currency Total 71 8 4" xfId="46054"/>
    <cellStyle name="CALC Currency Total 71 9" xfId="22465"/>
    <cellStyle name="CALC Currency Total 71 9 2" xfId="30761"/>
    <cellStyle name="CALC Currency Total 71 9 2 2" xfId="46055"/>
    <cellStyle name="CALC Currency Total 71 9 3" xfId="37780"/>
    <cellStyle name="CALC Currency Total 71 9 4" xfId="46056"/>
    <cellStyle name="CALC Currency Total 72" xfId="15082"/>
    <cellStyle name="CALC Currency Total 72 10" xfId="23441"/>
    <cellStyle name="CALC Currency Total 72 10 2" xfId="46057"/>
    <cellStyle name="CALC Currency Total 72 11" xfId="46058"/>
    <cellStyle name="CALC Currency Total 72 12" xfId="46059"/>
    <cellStyle name="CALC Currency Total 72 2" xfId="16162"/>
    <cellStyle name="CALC Currency Total 72 2 2" xfId="24476"/>
    <cellStyle name="CALC Currency Total 72 2 2 2" xfId="46060"/>
    <cellStyle name="CALC Currency Total 72 2 3" xfId="31753"/>
    <cellStyle name="CALC Currency Total 72 2 4" xfId="46061"/>
    <cellStyle name="CALC Currency Total 72 3" xfId="17129"/>
    <cellStyle name="CALC Currency Total 72 3 2" xfId="25450"/>
    <cellStyle name="CALC Currency Total 72 3 2 2" xfId="46062"/>
    <cellStyle name="CALC Currency Total 72 3 3" xfId="32687"/>
    <cellStyle name="CALC Currency Total 72 3 4" xfId="46063"/>
    <cellStyle name="CALC Currency Total 72 4" xfId="18156"/>
    <cellStyle name="CALC Currency Total 72 4 2" xfId="26476"/>
    <cellStyle name="CALC Currency Total 72 4 2 2" xfId="46064"/>
    <cellStyle name="CALC Currency Total 72 4 3" xfId="33664"/>
    <cellStyle name="CALC Currency Total 72 4 4" xfId="46065"/>
    <cellStyle name="CALC Currency Total 72 5" xfId="19140"/>
    <cellStyle name="CALC Currency Total 72 5 2" xfId="27460"/>
    <cellStyle name="CALC Currency Total 72 5 2 2" xfId="46066"/>
    <cellStyle name="CALC Currency Total 72 5 3" xfId="34608"/>
    <cellStyle name="CALC Currency Total 72 5 4" xfId="46067"/>
    <cellStyle name="CALC Currency Total 72 6" xfId="20108"/>
    <cellStyle name="CALC Currency Total 72 6 2" xfId="28430"/>
    <cellStyle name="CALC Currency Total 72 6 2 2" xfId="46068"/>
    <cellStyle name="CALC Currency Total 72 6 3" xfId="35555"/>
    <cellStyle name="CALC Currency Total 72 6 4" xfId="46069"/>
    <cellStyle name="CALC Currency Total 72 7" xfId="21064"/>
    <cellStyle name="CALC Currency Total 72 7 2" xfId="29381"/>
    <cellStyle name="CALC Currency Total 72 7 2 2" xfId="46070"/>
    <cellStyle name="CALC Currency Total 72 7 3" xfId="36460"/>
    <cellStyle name="CALC Currency Total 72 7 4" xfId="46071"/>
    <cellStyle name="CALC Currency Total 72 8" xfId="21571"/>
    <cellStyle name="CALC Currency Total 72 8 2" xfId="29872"/>
    <cellStyle name="CALC Currency Total 72 8 2 2" xfId="46072"/>
    <cellStyle name="CALC Currency Total 72 8 3" xfId="36931"/>
    <cellStyle name="CALC Currency Total 72 8 4" xfId="46073"/>
    <cellStyle name="CALC Currency Total 72 9" xfId="22499"/>
    <cellStyle name="CALC Currency Total 72 9 2" xfId="30795"/>
    <cellStyle name="CALC Currency Total 72 9 2 2" xfId="46074"/>
    <cellStyle name="CALC Currency Total 72 9 3" xfId="37814"/>
    <cellStyle name="CALC Currency Total 72 9 4" xfId="46075"/>
    <cellStyle name="CALC Currency Total 73" xfId="15118"/>
    <cellStyle name="CALC Currency Total 73 10" xfId="46076"/>
    <cellStyle name="CALC Currency Total 73 11" xfId="46077"/>
    <cellStyle name="CALC Currency Total 73 2" xfId="16198"/>
    <cellStyle name="CALC Currency Total 73 2 2" xfId="24511"/>
    <cellStyle name="CALC Currency Total 73 2 2 2" xfId="46078"/>
    <cellStyle name="CALC Currency Total 73 2 3" xfId="31788"/>
    <cellStyle name="CALC Currency Total 73 2 4" xfId="46079"/>
    <cellStyle name="CALC Currency Total 73 3" xfId="17164"/>
    <cellStyle name="CALC Currency Total 73 3 2" xfId="25485"/>
    <cellStyle name="CALC Currency Total 73 3 2 2" xfId="46080"/>
    <cellStyle name="CALC Currency Total 73 3 3" xfId="32721"/>
    <cellStyle name="CALC Currency Total 73 3 4" xfId="46081"/>
    <cellStyle name="CALC Currency Total 73 4" xfId="18192"/>
    <cellStyle name="CALC Currency Total 73 4 2" xfId="26512"/>
    <cellStyle name="CALC Currency Total 73 4 2 2" xfId="46082"/>
    <cellStyle name="CALC Currency Total 73 4 3" xfId="33699"/>
    <cellStyle name="CALC Currency Total 73 4 4" xfId="46083"/>
    <cellStyle name="CALC Currency Total 73 5" xfId="19176"/>
    <cellStyle name="CALC Currency Total 73 5 2" xfId="27496"/>
    <cellStyle name="CALC Currency Total 73 5 2 2" xfId="46084"/>
    <cellStyle name="CALC Currency Total 73 5 3" xfId="34644"/>
    <cellStyle name="CALC Currency Total 73 5 4" xfId="46085"/>
    <cellStyle name="CALC Currency Total 73 6" xfId="20144"/>
    <cellStyle name="CALC Currency Total 73 6 2" xfId="28466"/>
    <cellStyle name="CALC Currency Total 73 6 2 2" xfId="46086"/>
    <cellStyle name="CALC Currency Total 73 6 3" xfId="35591"/>
    <cellStyle name="CALC Currency Total 73 6 4" xfId="46087"/>
    <cellStyle name="CALC Currency Total 73 7" xfId="21605"/>
    <cellStyle name="CALC Currency Total 73 7 2" xfId="29906"/>
    <cellStyle name="CALC Currency Total 73 7 2 2" xfId="46088"/>
    <cellStyle name="CALC Currency Total 73 7 3" xfId="36965"/>
    <cellStyle name="CALC Currency Total 73 7 4" xfId="46089"/>
    <cellStyle name="CALC Currency Total 73 8" xfId="22533"/>
    <cellStyle name="CALC Currency Total 73 8 2" xfId="30829"/>
    <cellStyle name="CALC Currency Total 73 8 2 2" xfId="46090"/>
    <cellStyle name="CALC Currency Total 73 8 3" xfId="37848"/>
    <cellStyle name="CALC Currency Total 73 8 4" xfId="46091"/>
    <cellStyle name="CALC Currency Total 73 9" xfId="23475"/>
    <cellStyle name="CALC Currency Total 73 9 2" xfId="46092"/>
    <cellStyle name="CALC Currency Total 74" xfId="15097"/>
    <cellStyle name="CALC Currency Total 74 10" xfId="46093"/>
    <cellStyle name="CALC Currency Total 74 11" xfId="46094"/>
    <cellStyle name="CALC Currency Total 74 2" xfId="16177"/>
    <cellStyle name="CALC Currency Total 74 2 2" xfId="24490"/>
    <cellStyle name="CALC Currency Total 74 2 2 2" xfId="46095"/>
    <cellStyle name="CALC Currency Total 74 2 3" xfId="31767"/>
    <cellStyle name="CALC Currency Total 74 2 4" xfId="46096"/>
    <cellStyle name="CALC Currency Total 74 3" xfId="17143"/>
    <cellStyle name="CALC Currency Total 74 3 2" xfId="25464"/>
    <cellStyle name="CALC Currency Total 74 3 2 2" xfId="46097"/>
    <cellStyle name="CALC Currency Total 74 3 3" xfId="32700"/>
    <cellStyle name="CALC Currency Total 74 3 4" xfId="46098"/>
    <cellStyle name="CALC Currency Total 74 4" xfId="18171"/>
    <cellStyle name="CALC Currency Total 74 4 2" xfId="26491"/>
    <cellStyle name="CALC Currency Total 74 4 2 2" xfId="46099"/>
    <cellStyle name="CALC Currency Total 74 4 3" xfId="33678"/>
    <cellStyle name="CALC Currency Total 74 4 4" xfId="46100"/>
    <cellStyle name="CALC Currency Total 74 5" xfId="19155"/>
    <cellStyle name="CALC Currency Total 74 5 2" xfId="27475"/>
    <cellStyle name="CALC Currency Total 74 5 2 2" xfId="46101"/>
    <cellStyle name="CALC Currency Total 74 5 3" xfId="34623"/>
    <cellStyle name="CALC Currency Total 74 5 4" xfId="46102"/>
    <cellStyle name="CALC Currency Total 74 6" xfId="20123"/>
    <cellStyle name="CALC Currency Total 74 6 2" xfId="28445"/>
    <cellStyle name="CALC Currency Total 74 6 2 2" xfId="46103"/>
    <cellStyle name="CALC Currency Total 74 6 3" xfId="35570"/>
    <cellStyle name="CALC Currency Total 74 6 4" xfId="46104"/>
    <cellStyle name="CALC Currency Total 74 7" xfId="21584"/>
    <cellStyle name="CALC Currency Total 74 7 2" xfId="29885"/>
    <cellStyle name="CALC Currency Total 74 7 2 2" xfId="46105"/>
    <cellStyle name="CALC Currency Total 74 7 3" xfId="36944"/>
    <cellStyle name="CALC Currency Total 74 7 4" xfId="46106"/>
    <cellStyle name="CALC Currency Total 74 8" xfId="22512"/>
    <cellStyle name="CALC Currency Total 74 8 2" xfId="30808"/>
    <cellStyle name="CALC Currency Total 74 8 2 2" xfId="46107"/>
    <cellStyle name="CALC Currency Total 74 8 3" xfId="37827"/>
    <cellStyle name="CALC Currency Total 74 8 4" xfId="46108"/>
    <cellStyle name="CALC Currency Total 74 9" xfId="23454"/>
    <cellStyle name="CALC Currency Total 74 9 2" xfId="46109"/>
    <cellStyle name="CALC Currency Total 75" xfId="15105"/>
    <cellStyle name="CALC Currency Total 75 10" xfId="46110"/>
    <cellStyle name="CALC Currency Total 75 11" xfId="46111"/>
    <cellStyle name="CALC Currency Total 75 2" xfId="16185"/>
    <cellStyle name="CALC Currency Total 75 2 2" xfId="24498"/>
    <cellStyle name="CALC Currency Total 75 2 2 2" xfId="46112"/>
    <cellStyle name="CALC Currency Total 75 2 3" xfId="31775"/>
    <cellStyle name="CALC Currency Total 75 2 4" xfId="46113"/>
    <cellStyle name="CALC Currency Total 75 3" xfId="17151"/>
    <cellStyle name="CALC Currency Total 75 3 2" xfId="25472"/>
    <cellStyle name="CALC Currency Total 75 3 2 2" xfId="46114"/>
    <cellStyle name="CALC Currency Total 75 3 3" xfId="32708"/>
    <cellStyle name="CALC Currency Total 75 3 4" xfId="46115"/>
    <cellStyle name="CALC Currency Total 75 4" xfId="18179"/>
    <cellStyle name="CALC Currency Total 75 4 2" xfId="26499"/>
    <cellStyle name="CALC Currency Total 75 4 2 2" xfId="46116"/>
    <cellStyle name="CALC Currency Total 75 4 3" xfId="33686"/>
    <cellStyle name="CALC Currency Total 75 4 4" xfId="46117"/>
    <cellStyle name="CALC Currency Total 75 5" xfId="19163"/>
    <cellStyle name="CALC Currency Total 75 5 2" xfId="27483"/>
    <cellStyle name="CALC Currency Total 75 5 2 2" xfId="46118"/>
    <cellStyle name="CALC Currency Total 75 5 3" xfId="34631"/>
    <cellStyle name="CALC Currency Total 75 5 4" xfId="46119"/>
    <cellStyle name="CALC Currency Total 75 6" xfId="20131"/>
    <cellStyle name="CALC Currency Total 75 6 2" xfId="28453"/>
    <cellStyle name="CALC Currency Total 75 6 2 2" xfId="46120"/>
    <cellStyle name="CALC Currency Total 75 6 3" xfId="35578"/>
    <cellStyle name="CALC Currency Total 75 6 4" xfId="46121"/>
    <cellStyle name="CALC Currency Total 75 7" xfId="21592"/>
    <cellStyle name="CALC Currency Total 75 7 2" xfId="29893"/>
    <cellStyle name="CALC Currency Total 75 7 2 2" xfId="46122"/>
    <cellStyle name="CALC Currency Total 75 7 3" xfId="36952"/>
    <cellStyle name="CALC Currency Total 75 7 4" xfId="46123"/>
    <cellStyle name="CALC Currency Total 75 8" xfId="22520"/>
    <cellStyle name="CALC Currency Total 75 8 2" xfId="30816"/>
    <cellStyle name="CALC Currency Total 75 8 2 2" xfId="46124"/>
    <cellStyle name="CALC Currency Total 75 8 3" xfId="37835"/>
    <cellStyle name="CALC Currency Total 75 8 4" xfId="46125"/>
    <cellStyle name="CALC Currency Total 75 9" xfId="23462"/>
    <cellStyle name="CALC Currency Total 75 9 2" xfId="46126"/>
    <cellStyle name="CALC Currency Total 76" xfId="15184"/>
    <cellStyle name="CALC Currency Total 76 10" xfId="46127"/>
    <cellStyle name="CALC Currency Total 76 11" xfId="46128"/>
    <cellStyle name="CALC Currency Total 76 2" xfId="16264"/>
    <cellStyle name="CALC Currency Total 76 2 2" xfId="24577"/>
    <cellStyle name="CALC Currency Total 76 2 2 2" xfId="46129"/>
    <cellStyle name="CALC Currency Total 76 2 3" xfId="31849"/>
    <cellStyle name="CALC Currency Total 76 2 4" xfId="46130"/>
    <cellStyle name="CALC Currency Total 76 3" xfId="17230"/>
    <cellStyle name="CALC Currency Total 76 3 2" xfId="25551"/>
    <cellStyle name="CALC Currency Total 76 3 2 2" xfId="46131"/>
    <cellStyle name="CALC Currency Total 76 3 3" xfId="32782"/>
    <cellStyle name="CALC Currency Total 76 3 4" xfId="46132"/>
    <cellStyle name="CALC Currency Total 76 4" xfId="18258"/>
    <cellStyle name="CALC Currency Total 76 4 2" xfId="26578"/>
    <cellStyle name="CALC Currency Total 76 4 2 2" xfId="46133"/>
    <cellStyle name="CALC Currency Total 76 4 3" xfId="33760"/>
    <cellStyle name="CALC Currency Total 76 4 4" xfId="46134"/>
    <cellStyle name="CALC Currency Total 76 5" xfId="19242"/>
    <cellStyle name="CALC Currency Total 76 5 2" xfId="27562"/>
    <cellStyle name="CALC Currency Total 76 5 2 2" xfId="46135"/>
    <cellStyle name="CALC Currency Total 76 5 3" xfId="34710"/>
    <cellStyle name="CALC Currency Total 76 5 4" xfId="46136"/>
    <cellStyle name="CALC Currency Total 76 6" xfId="20210"/>
    <cellStyle name="CALC Currency Total 76 6 2" xfId="28532"/>
    <cellStyle name="CALC Currency Total 76 6 2 2" xfId="46137"/>
    <cellStyle name="CALC Currency Total 76 6 3" xfId="35652"/>
    <cellStyle name="CALC Currency Total 76 6 4" xfId="46138"/>
    <cellStyle name="CALC Currency Total 76 7" xfId="21671"/>
    <cellStyle name="CALC Currency Total 76 7 2" xfId="29972"/>
    <cellStyle name="CALC Currency Total 76 7 2 2" xfId="46139"/>
    <cellStyle name="CALC Currency Total 76 7 3" xfId="37026"/>
    <cellStyle name="CALC Currency Total 76 7 4" xfId="46140"/>
    <cellStyle name="CALC Currency Total 76 8" xfId="22599"/>
    <cellStyle name="CALC Currency Total 76 8 2" xfId="30895"/>
    <cellStyle name="CALC Currency Total 76 8 2 2" xfId="46141"/>
    <cellStyle name="CALC Currency Total 76 8 3" xfId="37909"/>
    <cellStyle name="CALC Currency Total 76 8 4" xfId="46142"/>
    <cellStyle name="CALC Currency Total 76 9" xfId="23541"/>
    <cellStyle name="CALC Currency Total 76 9 2" xfId="46143"/>
    <cellStyle name="CALC Currency Total 77" xfId="15177"/>
    <cellStyle name="CALC Currency Total 77 10" xfId="46144"/>
    <cellStyle name="CALC Currency Total 77 11" xfId="46145"/>
    <cellStyle name="CALC Currency Total 77 2" xfId="16257"/>
    <cellStyle name="CALC Currency Total 77 2 2" xfId="24570"/>
    <cellStyle name="CALC Currency Total 77 2 2 2" xfId="46146"/>
    <cellStyle name="CALC Currency Total 77 2 3" xfId="31842"/>
    <cellStyle name="CALC Currency Total 77 2 4" xfId="46147"/>
    <cellStyle name="CALC Currency Total 77 3" xfId="17223"/>
    <cellStyle name="CALC Currency Total 77 3 2" xfId="25544"/>
    <cellStyle name="CALC Currency Total 77 3 2 2" xfId="46148"/>
    <cellStyle name="CALC Currency Total 77 3 3" xfId="32775"/>
    <cellStyle name="CALC Currency Total 77 3 4" xfId="46149"/>
    <cellStyle name="CALC Currency Total 77 4" xfId="18251"/>
    <cellStyle name="CALC Currency Total 77 4 2" xfId="26571"/>
    <cellStyle name="CALC Currency Total 77 4 2 2" xfId="46150"/>
    <cellStyle name="CALC Currency Total 77 4 3" xfId="33753"/>
    <cellStyle name="CALC Currency Total 77 4 4" xfId="46151"/>
    <cellStyle name="CALC Currency Total 77 5" xfId="19235"/>
    <cellStyle name="CALC Currency Total 77 5 2" xfId="27555"/>
    <cellStyle name="CALC Currency Total 77 5 2 2" xfId="46152"/>
    <cellStyle name="CALC Currency Total 77 5 3" xfId="34703"/>
    <cellStyle name="CALC Currency Total 77 5 4" xfId="46153"/>
    <cellStyle name="CALC Currency Total 77 6" xfId="20203"/>
    <cellStyle name="CALC Currency Total 77 6 2" xfId="28525"/>
    <cellStyle name="CALC Currency Total 77 6 2 2" xfId="46154"/>
    <cellStyle name="CALC Currency Total 77 6 3" xfId="35645"/>
    <cellStyle name="CALC Currency Total 77 6 4" xfId="46155"/>
    <cellStyle name="CALC Currency Total 77 7" xfId="21664"/>
    <cellStyle name="CALC Currency Total 77 7 2" xfId="29965"/>
    <cellStyle name="CALC Currency Total 77 7 2 2" xfId="46156"/>
    <cellStyle name="CALC Currency Total 77 7 3" xfId="37019"/>
    <cellStyle name="CALC Currency Total 77 7 4" xfId="46157"/>
    <cellStyle name="CALC Currency Total 77 8" xfId="22592"/>
    <cellStyle name="CALC Currency Total 77 8 2" xfId="30888"/>
    <cellStyle name="CALC Currency Total 77 8 2 2" xfId="46158"/>
    <cellStyle name="CALC Currency Total 77 8 3" xfId="37902"/>
    <cellStyle name="CALC Currency Total 77 8 4" xfId="46159"/>
    <cellStyle name="CALC Currency Total 77 9" xfId="23534"/>
    <cellStyle name="CALC Currency Total 77 9 2" xfId="46160"/>
    <cellStyle name="CALC Currency Total 78" xfId="15240"/>
    <cellStyle name="CALC Currency Total 78 10" xfId="46161"/>
    <cellStyle name="CALC Currency Total 78 11" xfId="46162"/>
    <cellStyle name="CALC Currency Total 78 2" xfId="16320"/>
    <cellStyle name="CALC Currency Total 78 2 2" xfId="24633"/>
    <cellStyle name="CALC Currency Total 78 2 2 2" xfId="46163"/>
    <cellStyle name="CALC Currency Total 78 2 3" xfId="31900"/>
    <cellStyle name="CALC Currency Total 78 2 4" xfId="46164"/>
    <cellStyle name="CALC Currency Total 78 3" xfId="17286"/>
    <cellStyle name="CALC Currency Total 78 3 2" xfId="25607"/>
    <cellStyle name="CALC Currency Total 78 3 2 2" xfId="46165"/>
    <cellStyle name="CALC Currency Total 78 3 3" xfId="32833"/>
    <cellStyle name="CALC Currency Total 78 3 4" xfId="46166"/>
    <cellStyle name="CALC Currency Total 78 4" xfId="18314"/>
    <cellStyle name="CALC Currency Total 78 4 2" xfId="26634"/>
    <cellStyle name="CALC Currency Total 78 4 2 2" xfId="46167"/>
    <cellStyle name="CALC Currency Total 78 4 3" xfId="33811"/>
    <cellStyle name="CALC Currency Total 78 4 4" xfId="46168"/>
    <cellStyle name="CALC Currency Total 78 5" xfId="19298"/>
    <cellStyle name="CALC Currency Total 78 5 2" xfId="27618"/>
    <cellStyle name="CALC Currency Total 78 5 2 2" xfId="46169"/>
    <cellStyle name="CALC Currency Total 78 5 3" xfId="34766"/>
    <cellStyle name="CALC Currency Total 78 5 4" xfId="46170"/>
    <cellStyle name="CALC Currency Total 78 6" xfId="20266"/>
    <cellStyle name="CALC Currency Total 78 6 2" xfId="28588"/>
    <cellStyle name="CALC Currency Total 78 6 2 2" xfId="46171"/>
    <cellStyle name="CALC Currency Total 78 6 3" xfId="35703"/>
    <cellStyle name="CALC Currency Total 78 6 4" xfId="46172"/>
    <cellStyle name="CALC Currency Total 78 7" xfId="21727"/>
    <cellStyle name="CALC Currency Total 78 7 2" xfId="30028"/>
    <cellStyle name="CALC Currency Total 78 7 2 2" xfId="46173"/>
    <cellStyle name="CALC Currency Total 78 7 3" xfId="37077"/>
    <cellStyle name="CALC Currency Total 78 7 4" xfId="46174"/>
    <cellStyle name="CALC Currency Total 78 8" xfId="22655"/>
    <cellStyle name="CALC Currency Total 78 8 2" xfId="30951"/>
    <cellStyle name="CALC Currency Total 78 8 2 2" xfId="46175"/>
    <cellStyle name="CALC Currency Total 78 8 3" xfId="37960"/>
    <cellStyle name="CALC Currency Total 78 8 4" xfId="46176"/>
    <cellStyle name="CALC Currency Total 78 9" xfId="23597"/>
    <cellStyle name="CALC Currency Total 78 9 2" xfId="46177"/>
    <cellStyle name="CALC Currency Total 79" xfId="15236"/>
    <cellStyle name="CALC Currency Total 79 10" xfId="46178"/>
    <cellStyle name="CALC Currency Total 79 11" xfId="46179"/>
    <cellStyle name="CALC Currency Total 79 2" xfId="16316"/>
    <cellStyle name="CALC Currency Total 79 2 2" xfId="24629"/>
    <cellStyle name="CALC Currency Total 79 2 2 2" xfId="46180"/>
    <cellStyle name="CALC Currency Total 79 2 3" xfId="31896"/>
    <cellStyle name="CALC Currency Total 79 2 4" xfId="46181"/>
    <cellStyle name="CALC Currency Total 79 3" xfId="17282"/>
    <cellStyle name="CALC Currency Total 79 3 2" xfId="25603"/>
    <cellStyle name="CALC Currency Total 79 3 2 2" xfId="46182"/>
    <cellStyle name="CALC Currency Total 79 3 3" xfId="32829"/>
    <cellStyle name="CALC Currency Total 79 3 4" xfId="46183"/>
    <cellStyle name="CALC Currency Total 79 4" xfId="18310"/>
    <cellStyle name="CALC Currency Total 79 4 2" xfId="26630"/>
    <cellStyle name="CALC Currency Total 79 4 2 2" xfId="46184"/>
    <cellStyle name="CALC Currency Total 79 4 3" xfId="33807"/>
    <cellStyle name="CALC Currency Total 79 4 4" xfId="46185"/>
    <cellStyle name="CALC Currency Total 79 5" xfId="19294"/>
    <cellStyle name="CALC Currency Total 79 5 2" xfId="27614"/>
    <cellStyle name="CALC Currency Total 79 5 2 2" xfId="46186"/>
    <cellStyle name="CALC Currency Total 79 5 3" xfId="34762"/>
    <cellStyle name="CALC Currency Total 79 5 4" xfId="46187"/>
    <cellStyle name="CALC Currency Total 79 6" xfId="20262"/>
    <cellStyle name="CALC Currency Total 79 6 2" xfId="28584"/>
    <cellStyle name="CALC Currency Total 79 6 2 2" xfId="46188"/>
    <cellStyle name="CALC Currency Total 79 6 3" xfId="35699"/>
    <cellStyle name="CALC Currency Total 79 6 4" xfId="46189"/>
    <cellStyle name="CALC Currency Total 79 7" xfId="21723"/>
    <cellStyle name="CALC Currency Total 79 7 2" xfId="30024"/>
    <cellStyle name="CALC Currency Total 79 7 2 2" xfId="46190"/>
    <cellStyle name="CALC Currency Total 79 7 3" xfId="37073"/>
    <cellStyle name="CALC Currency Total 79 7 4" xfId="46191"/>
    <cellStyle name="CALC Currency Total 79 8" xfId="22651"/>
    <cellStyle name="CALC Currency Total 79 8 2" xfId="30947"/>
    <cellStyle name="CALC Currency Total 79 8 2 2" xfId="46192"/>
    <cellStyle name="CALC Currency Total 79 8 3" xfId="37956"/>
    <cellStyle name="CALC Currency Total 79 8 4" xfId="46193"/>
    <cellStyle name="CALC Currency Total 79 9" xfId="23593"/>
    <cellStyle name="CALC Currency Total 79 9 2" xfId="46194"/>
    <cellStyle name="CALC Currency Total 8" xfId="14587"/>
    <cellStyle name="CALC Currency Total 8 10" xfId="22946"/>
    <cellStyle name="CALC Currency Total 8 10 2" xfId="46195"/>
    <cellStyle name="CALC Currency Total 8 11" xfId="46196"/>
    <cellStyle name="CALC Currency Total 8 2" xfId="15667"/>
    <cellStyle name="CALC Currency Total 8 2 2" xfId="23982"/>
    <cellStyle name="CALC Currency Total 8 2 2 2" xfId="46197"/>
    <cellStyle name="CALC Currency Total 8 2 3" xfId="31279"/>
    <cellStyle name="CALC Currency Total 8 2 4" xfId="46198"/>
    <cellStyle name="CALC Currency Total 8 3" xfId="16634"/>
    <cellStyle name="CALC Currency Total 8 3 2" xfId="24953"/>
    <cellStyle name="CALC Currency Total 8 3 2 2" xfId="46199"/>
    <cellStyle name="CALC Currency Total 8 3 3" xfId="32212"/>
    <cellStyle name="CALC Currency Total 8 3 4" xfId="46200"/>
    <cellStyle name="CALC Currency Total 8 4" xfId="17655"/>
    <cellStyle name="CALC Currency Total 8 4 2" xfId="25979"/>
    <cellStyle name="CALC Currency Total 8 4 2 2" xfId="46201"/>
    <cellStyle name="CALC Currency Total 8 4 3" xfId="33189"/>
    <cellStyle name="CALC Currency Total 8 4 4" xfId="46202"/>
    <cellStyle name="CALC Currency Total 8 5" xfId="18638"/>
    <cellStyle name="CALC Currency Total 8 5 2" xfId="26958"/>
    <cellStyle name="CALC Currency Total 8 5 2 2" xfId="46203"/>
    <cellStyle name="CALC Currency Total 8 5 3" xfId="34126"/>
    <cellStyle name="CALC Currency Total 8 5 4" xfId="46204"/>
    <cellStyle name="CALC Currency Total 8 6" xfId="19607"/>
    <cellStyle name="CALC Currency Total 8 6 2" xfId="27927"/>
    <cellStyle name="CALC Currency Total 8 6 2 2" xfId="46205"/>
    <cellStyle name="CALC Currency Total 8 6 3" xfId="35072"/>
    <cellStyle name="CALC Currency Total 8 6 4" xfId="46206"/>
    <cellStyle name="CALC Currency Total 8 7" xfId="20564"/>
    <cellStyle name="CALC Currency Total 8 7 2" xfId="28886"/>
    <cellStyle name="CALC Currency Total 8 7 2 2" xfId="46207"/>
    <cellStyle name="CALC Currency Total 8 7 3" xfId="35989"/>
    <cellStyle name="CALC Currency Total 8 7 4" xfId="46208"/>
    <cellStyle name="CALC Currency Total 8 8" xfId="21084"/>
    <cellStyle name="CALC Currency Total 8 8 2" xfId="29401"/>
    <cellStyle name="CALC Currency Total 8 8 2 2" xfId="46209"/>
    <cellStyle name="CALC Currency Total 8 8 3" xfId="36477"/>
    <cellStyle name="CALC Currency Total 8 8 4" xfId="46210"/>
    <cellStyle name="CALC Currency Total 8 9" xfId="22000"/>
    <cellStyle name="CALC Currency Total 8 9 2" xfId="30300"/>
    <cellStyle name="CALC Currency Total 8 9 2 2" xfId="46211"/>
    <cellStyle name="CALC Currency Total 8 9 3" xfId="37340"/>
    <cellStyle name="CALC Currency Total 8 9 4" xfId="46212"/>
    <cellStyle name="CALC Currency Total 80" xfId="15234"/>
    <cellStyle name="CALC Currency Total 80 10" xfId="46213"/>
    <cellStyle name="CALC Currency Total 80 11" xfId="46214"/>
    <cellStyle name="CALC Currency Total 80 2" xfId="16314"/>
    <cellStyle name="CALC Currency Total 80 2 2" xfId="24627"/>
    <cellStyle name="CALC Currency Total 80 2 2 2" xfId="46215"/>
    <cellStyle name="CALC Currency Total 80 2 3" xfId="31894"/>
    <cellStyle name="CALC Currency Total 80 2 4" xfId="46216"/>
    <cellStyle name="CALC Currency Total 80 3" xfId="17280"/>
    <cellStyle name="CALC Currency Total 80 3 2" xfId="25601"/>
    <cellStyle name="CALC Currency Total 80 3 2 2" xfId="46217"/>
    <cellStyle name="CALC Currency Total 80 3 3" xfId="32827"/>
    <cellStyle name="CALC Currency Total 80 3 4" xfId="46218"/>
    <cellStyle name="CALC Currency Total 80 4" xfId="18308"/>
    <cellStyle name="CALC Currency Total 80 4 2" xfId="26628"/>
    <cellStyle name="CALC Currency Total 80 4 2 2" xfId="46219"/>
    <cellStyle name="CALC Currency Total 80 4 3" xfId="33805"/>
    <cellStyle name="CALC Currency Total 80 4 4" xfId="46220"/>
    <cellStyle name="CALC Currency Total 80 5" xfId="19292"/>
    <cellStyle name="CALC Currency Total 80 5 2" xfId="27612"/>
    <cellStyle name="CALC Currency Total 80 5 2 2" xfId="46221"/>
    <cellStyle name="CALC Currency Total 80 5 3" xfId="34760"/>
    <cellStyle name="CALC Currency Total 80 5 4" xfId="46222"/>
    <cellStyle name="CALC Currency Total 80 6" xfId="20260"/>
    <cellStyle name="CALC Currency Total 80 6 2" xfId="28582"/>
    <cellStyle name="CALC Currency Total 80 6 2 2" xfId="46223"/>
    <cellStyle name="CALC Currency Total 80 6 3" xfId="35697"/>
    <cellStyle name="CALC Currency Total 80 6 4" xfId="46224"/>
    <cellStyle name="CALC Currency Total 80 7" xfId="21721"/>
    <cellStyle name="CALC Currency Total 80 7 2" xfId="30022"/>
    <cellStyle name="CALC Currency Total 80 7 2 2" xfId="46225"/>
    <cellStyle name="CALC Currency Total 80 7 3" xfId="37071"/>
    <cellStyle name="CALC Currency Total 80 7 4" xfId="46226"/>
    <cellStyle name="CALC Currency Total 80 8" xfId="22649"/>
    <cellStyle name="CALC Currency Total 80 8 2" xfId="30945"/>
    <cellStyle name="CALC Currency Total 80 8 2 2" xfId="46227"/>
    <cellStyle name="CALC Currency Total 80 8 3" xfId="37954"/>
    <cellStyle name="CALC Currency Total 80 8 4" xfId="46228"/>
    <cellStyle name="CALC Currency Total 80 9" xfId="23591"/>
    <cellStyle name="CALC Currency Total 80 9 2" xfId="46229"/>
    <cellStyle name="CALC Currency Total 81" xfId="15275"/>
    <cellStyle name="CALC Currency Total 81 10" xfId="46230"/>
    <cellStyle name="CALC Currency Total 81 11" xfId="46231"/>
    <cellStyle name="CALC Currency Total 81 2" xfId="16355"/>
    <cellStyle name="CALC Currency Total 81 2 2" xfId="24668"/>
    <cellStyle name="CALC Currency Total 81 2 2 2" xfId="46232"/>
    <cellStyle name="CALC Currency Total 81 2 3" xfId="31935"/>
    <cellStyle name="CALC Currency Total 81 2 4" xfId="46233"/>
    <cellStyle name="CALC Currency Total 81 3" xfId="17321"/>
    <cellStyle name="CALC Currency Total 81 3 2" xfId="25642"/>
    <cellStyle name="CALC Currency Total 81 3 2 2" xfId="46234"/>
    <cellStyle name="CALC Currency Total 81 3 3" xfId="32868"/>
    <cellStyle name="CALC Currency Total 81 3 4" xfId="46235"/>
    <cellStyle name="CALC Currency Total 81 4" xfId="18349"/>
    <cellStyle name="CALC Currency Total 81 4 2" xfId="26669"/>
    <cellStyle name="CALC Currency Total 81 4 2 2" xfId="46236"/>
    <cellStyle name="CALC Currency Total 81 4 3" xfId="33846"/>
    <cellStyle name="CALC Currency Total 81 4 4" xfId="46237"/>
    <cellStyle name="CALC Currency Total 81 5" xfId="19333"/>
    <cellStyle name="CALC Currency Total 81 5 2" xfId="27653"/>
    <cellStyle name="CALC Currency Total 81 5 2 2" xfId="46238"/>
    <cellStyle name="CALC Currency Total 81 5 3" xfId="34801"/>
    <cellStyle name="CALC Currency Total 81 5 4" xfId="46239"/>
    <cellStyle name="CALC Currency Total 81 6" xfId="20301"/>
    <cellStyle name="CALC Currency Total 81 6 2" xfId="28623"/>
    <cellStyle name="CALC Currency Total 81 6 2 2" xfId="46240"/>
    <cellStyle name="CALC Currency Total 81 6 3" xfId="35738"/>
    <cellStyle name="CALC Currency Total 81 6 4" xfId="46241"/>
    <cellStyle name="CALC Currency Total 81 7" xfId="21762"/>
    <cellStyle name="CALC Currency Total 81 7 2" xfId="30063"/>
    <cellStyle name="CALC Currency Total 81 7 2 2" xfId="46242"/>
    <cellStyle name="CALC Currency Total 81 7 3" xfId="37112"/>
    <cellStyle name="CALC Currency Total 81 7 4" xfId="46243"/>
    <cellStyle name="CALC Currency Total 81 8" xfId="22690"/>
    <cellStyle name="CALC Currency Total 81 8 2" xfId="30986"/>
    <cellStyle name="CALC Currency Total 81 8 2 2" xfId="46244"/>
    <cellStyle name="CALC Currency Total 81 8 3" xfId="37995"/>
    <cellStyle name="CALC Currency Total 81 8 4" xfId="46245"/>
    <cellStyle name="CALC Currency Total 81 9" xfId="23632"/>
    <cellStyle name="CALC Currency Total 81 9 2" xfId="46246"/>
    <cellStyle name="CALC Currency Total 82" xfId="15301"/>
    <cellStyle name="CALC Currency Total 82 10" xfId="46247"/>
    <cellStyle name="CALC Currency Total 82 11" xfId="46248"/>
    <cellStyle name="CALC Currency Total 82 2" xfId="16381"/>
    <cellStyle name="CALC Currency Total 82 2 2" xfId="24694"/>
    <cellStyle name="CALC Currency Total 82 2 2 2" xfId="46249"/>
    <cellStyle name="CALC Currency Total 82 2 3" xfId="31960"/>
    <cellStyle name="CALC Currency Total 82 2 4" xfId="46250"/>
    <cellStyle name="CALC Currency Total 82 3" xfId="17347"/>
    <cellStyle name="CALC Currency Total 82 3 2" xfId="25668"/>
    <cellStyle name="CALC Currency Total 82 3 2 2" xfId="46251"/>
    <cellStyle name="CALC Currency Total 82 3 3" xfId="32893"/>
    <cellStyle name="CALC Currency Total 82 3 4" xfId="46252"/>
    <cellStyle name="CALC Currency Total 82 4" xfId="18375"/>
    <cellStyle name="CALC Currency Total 82 4 2" xfId="26695"/>
    <cellStyle name="CALC Currency Total 82 4 2 2" xfId="46253"/>
    <cellStyle name="CALC Currency Total 82 4 3" xfId="33871"/>
    <cellStyle name="CALC Currency Total 82 4 4" xfId="46254"/>
    <cellStyle name="CALC Currency Total 82 5" xfId="19358"/>
    <cellStyle name="CALC Currency Total 82 5 2" xfId="27679"/>
    <cellStyle name="CALC Currency Total 82 5 2 2" xfId="46255"/>
    <cellStyle name="CALC Currency Total 82 5 3" xfId="34827"/>
    <cellStyle name="CALC Currency Total 82 5 4" xfId="46256"/>
    <cellStyle name="CALC Currency Total 82 6" xfId="20327"/>
    <cellStyle name="CALC Currency Total 82 6 2" xfId="28649"/>
    <cellStyle name="CALC Currency Total 82 6 2 2" xfId="46257"/>
    <cellStyle name="CALC Currency Total 82 6 3" xfId="35763"/>
    <cellStyle name="CALC Currency Total 82 6 4" xfId="46258"/>
    <cellStyle name="CALC Currency Total 82 7" xfId="21788"/>
    <cellStyle name="CALC Currency Total 82 7 2" xfId="30089"/>
    <cellStyle name="CALC Currency Total 82 7 2 2" xfId="46259"/>
    <cellStyle name="CALC Currency Total 82 7 3" xfId="37137"/>
    <cellStyle name="CALC Currency Total 82 7 4" xfId="46260"/>
    <cellStyle name="CALC Currency Total 82 8" xfId="22716"/>
    <cellStyle name="CALC Currency Total 82 8 2" xfId="31012"/>
    <cellStyle name="CALC Currency Total 82 8 2 2" xfId="46261"/>
    <cellStyle name="CALC Currency Total 82 8 3" xfId="38020"/>
    <cellStyle name="CALC Currency Total 82 8 4" xfId="46262"/>
    <cellStyle name="CALC Currency Total 82 9" xfId="23658"/>
    <cellStyle name="CALC Currency Total 82 9 2" xfId="46263"/>
    <cellStyle name="CALC Currency Total 83" xfId="15248"/>
    <cellStyle name="CALC Currency Total 83 10" xfId="46264"/>
    <cellStyle name="CALC Currency Total 83 11" xfId="46265"/>
    <cellStyle name="CALC Currency Total 83 2" xfId="16328"/>
    <cellStyle name="CALC Currency Total 83 2 2" xfId="24641"/>
    <cellStyle name="CALC Currency Total 83 2 2 2" xfId="46266"/>
    <cellStyle name="CALC Currency Total 83 2 3" xfId="31908"/>
    <cellStyle name="CALC Currency Total 83 2 4" xfId="46267"/>
    <cellStyle name="CALC Currency Total 83 3" xfId="17294"/>
    <cellStyle name="CALC Currency Total 83 3 2" xfId="25615"/>
    <cellStyle name="CALC Currency Total 83 3 2 2" xfId="46268"/>
    <cellStyle name="CALC Currency Total 83 3 3" xfId="32841"/>
    <cellStyle name="CALC Currency Total 83 3 4" xfId="46269"/>
    <cellStyle name="CALC Currency Total 83 4" xfId="18322"/>
    <cellStyle name="CALC Currency Total 83 4 2" xfId="26642"/>
    <cellStyle name="CALC Currency Total 83 4 2 2" xfId="46270"/>
    <cellStyle name="CALC Currency Total 83 4 3" xfId="33819"/>
    <cellStyle name="CALC Currency Total 83 4 4" xfId="46271"/>
    <cellStyle name="CALC Currency Total 83 5" xfId="19306"/>
    <cellStyle name="CALC Currency Total 83 5 2" xfId="27626"/>
    <cellStyle name="CALC Currency Total 83 5 2 2" xfId="46272"/>
    <cellStyle name="CALC Currency Total 83 5 3" xfId="34774"/>
    <cellStyle name="CALC Currency Total 83 5 4" xfId="46273"/>
    <cellStyle name="CALC Currency Total 83 6" xfId="20274"/>
    <cellStyle name="CALC Currency Total 83 6 2" xfId="28596"/>
    <cellStyle name="CALC Currency Total 83 6 2 2" xfId="46274"/>
    <cellStyle name="CALC Currency Total 83 6 3" xfId="35711"/>
    <cellStyle name="CALC Currency Total 83 6 4" xfId="46275"/>
    <cellStyle name="CALC Currency Total 83 7" xfId="21735"/>
    <cellStyle name="CALC Currency Total 83 7 2" xfId="30036"/>
    <cellStyle name="CALC Currency Total 83 7 2 2" xfId="46276"/>
    <cellStyle name="CALC Currency Total 83 7 3" xfId="37085"/>
    <cellStyle name="CALC Currency Total 83 7 4" xfId="46277"/>
    <cellStyle name="CALC Currency Total 83 8" xfId="22663"/>
    <cellStyle name="CALC Currency Total 83 8 2" xfId="30959"/>
    <cellStyle name="CALC Currency Total 83 8 2 2" xfId="46278"/>
    <cellStyle name="CALC Currency Total 83 8 3" xfId="37968"/>
    <cellStyle name="CALC Currency Total 83 8 4" xfId="46279"/>
    <cellStyle name="CALC Currency Total 83 9" xfId="23605"/>
    <cellStyle name="CALC Currency Total 83 9 2" xfId="46280"/>
    <cellStyle name="CALC Currency Total 84" xfId="15209"/>
    <cellStyle name="CALC Currency Total 84 10" xfId="46281"/>
    <cellStyle name="CALC Currency Total 84 11" xfId="46282"/>
    <cellStyle name="CALC Currency Total 84 2" xfId="16289"/>
    <cellStyle name="CALC Currency Total 84 2 2" xfId="24602"/>
    <cellStyle name="CALC Currency Total 84 2 2 2" xfId="46283"/>
    <cellStyle name="CALC Currency Total 84 2 3" xfId="31871"/>
    <cellStyle name="CALC Currency Total 84 2 4" xfId="46284"/>
    <cellStyle name="CALC Currency Total 84 3" xfId="17255"/>
    <cellStyle name="CALC Currency Total 84 3 2" xfId="25576"/>
    <cellStyle name="CALC Currency Total 84 3 2 2" xfId="46285"/>
    <cellStyle name="CALC Currency Total 84 3 3" xfId="32804"/>
    <cellStyle name="CALC Currency Total 84 3 4" xfId="46286"/>
    <cellStyle name="CALC Currency Total 84 4" xfId="18283"/>
    <cellStyle name="CALC Currency Total 84 4 2" xfId="26603"/>
    <cellStyle name="CALC Currency Total 84 4 2 2" xfId="46287"/>
    <cellStyle name="CALC Currency Total 84 4 3" xfId="33782"/>
    <cellStyle name="CALC Currency Total 84 4 4" xfId="46288"/>
    <cellStyle name="CALC Currency Total 84 5" xfId="19267"/>
    <cellStyle name="CALC Currency Total 84 5 2" xfId="27587"/>
    <cellStyle name="CALC Currency Total 84 5 2 2" xfId="46289"/>
    <cellStyle name="CALC Currency Total 84 5 3" xfId="34735"/>
    <cellStyle name="CALC Currency Total 84 5 4" xfId="46290"/>
    <cellStyle name="CALC Currency Total 84 6" xfId="20235"/>
    <cellStyle name="CALC Currency Total 84 6 2" xfId="28557"/>
    <cellStyle name="CALC Currency Total 84 6 2 2" xfId="46291"/>
    <cellStyle name="CALC Currency Total 84 6 3" xfId="35674"/>
    <cellStyle name="CALC Currency Total 84 6 4" xfId="46292"/>
    <cellStyle name="CALC Currency Total 84 7" xfId="21696"/>
    <cellStyle name="CALC Currency Total 84 7 2" xfId="29997"/>
    <cellStyle name="CALC Currency Total 84 7 2 2" xfId="46293"/>
    <cellStyle name="CALC Currency Total 84 7 3" xfId="37048"/>
    <cellStyle name="CALC Currency Total 84 7 4" xfId="46294"/>
    <cellStyle name="CALC Currency Total 84 8" xfId="22624"/>
    <cellStyle name="CALC Currency Total 84 8 2" xfId="30920"/>
    <cellStyle name="CALC Currency Total 84 8 2 2" xfId="46295"/>
    <cellStyle name="CALC Currency Total 84 8 3" xfId="37931"/>
    <cellStyle name="CALC Currency Total 84 8 4" xfId="46296"/>
    <cellStyle name="CALC Currency Total 84 9" xfId="23566"/>
    <cellStyle name="CALC Currency Total 84 9 2" xfId="46297"/>
    <cellStyle name="CALC Currency Total 85" xfId="15253"/>
    <cellStyle name="CALC Currency Total 85 10" xfId="46298"/>
    <cellStyle name="CALC Currency Total 85 11" xfId="46299"/>
    <cellStyle name="CALC Currency Total 85 2" xfId="16333"/>
    <cellStyle name="CALC Currency Total 85 2 2" xfId="24646"/>
    <cellStyle name="CALC Currency Total 85 2 2 2" xfId="46300"/>
    <cellStyle name="CALC Currency Total 85 2 3" xfId="31913"/>
    <cellStyle name="CALC Currency Total 85 2 4" xfId="46301"/>
    <cellStyle name="CALC Currency Total 85 3" xfId="17299"/>
    <cellStyle name="CALC Currency Total 85 3 2" xfId="25620"/>
    <cellStyle name="CALC Currency Total 85 3 2 2" xfId="46302"/>
    <cellStyle name="CALC Currency Total 85 3 3" xfId="32846"/>
    <cellStyle name="CALC Currency Total 85 3 4" xfId="46303"/>
    <cellStyle name="CALC Currency Total 85 4" xfId="18327"/>
    <cellStyle name="CALC Currency Total 85 4 2" xfId="26647"/>
    <cellStyle name="CALC Currency Total 85 4 2 2" xfId="46304"/>
    <cellStyle name="CALC Currency Total 85 4 3" xfId="33824"/>
    <cellStyle name="CALC Currency Total 85 4 4" xfId="46305"/>
    <cellStyle name="CALC Currency Total 85 5" xfId="19311"/>
    <cellStyle name="CALC Currency Total 85 5 2" xfId="27631"/>
    <cellStyle name="CALC Currency Total 85 5 2 2" xfId="46306"/>
    <cellStyle name="CALC Currency Total 85 5 3" xfId="34779"/>
    <cellStyle name="CALC Currency Total 85 5 4" xfId="46307"/>
    <cellStyle name="CALC Currency Total 85 6" xfId="20279"/>
    <cellStyle name="CALC Currency Total 85 6 2" xfId="28601"/>
    <cellStyle name="CALC Currency Total 85 6 2 2" xfId="46308"/>
    <cellStyle name="CALC Currency Total 85 6 3" xfId="35716"/>
    <cellStyle name="CALC Currency Total 85 6 4" xfId="46309"/>
    <cellStyle name="CALC Currency Total 85 7" xfId="21740"/>
    <cellStyle name="CALC Currency Total 85 7 2" xfId="30041"/>
    <cellStyle name="CALC Currency Total 85 7 2 2" xfId="46310"/>
    <cellStyle name="CALC Currency Total 85 7 3" xfId="37090"/>
    <cellStyle name="CALC Currency Total 85 7 4" xfId="46311"/>
    <cellStyle name="CALC Currency Total 85 8" xfId="22668"/>
    <cellStyle name="CALC Currency Total 85 8 2" xfId="30964"/>
    <cellStyle name="CALC Currency Total 85 8 2 2" xfId="46312"/>
    <cellStyle name="CALC Currency Total 85 8 3" xfId="37973"/>
    <cellStyle name="CALC Currency Total 85 8 4" xfId="46313"/>
    <cellStyle name="CALC Currency Total 85 9" xfId="23610"/>
    <cellStyle name="CALC Currency Total 85 9 2" xfId="46314"/>
    <cellStyle name="CALC Currency Total 86" xfId="15321"/>
    <cellStyle name="CALC Currency Total 86 10" xfId="46315"/>
    <cellStyle name="CALC Currency Total 86 11" xfId="46316"/>
    <cellStyle name="CALC Currency Total 86 2" xfId="16401"/>
    <cellStyle name="CALC Currency Total 86 2 2" xfId="24714"/>
    <cellStyle name="CALC Currency Total 86 2 2 2" xfId="46317"/>
    <cellStyle name="CALC Currency Total 86 2 3" xfId="31979"/>
    <cellStyle name="CALC Currency Total 86 2 4" xfId="46318"/>
    <cellStyle name="CALC Currency Total 86 3" xfId="17367"/>
    <cellStyle name="CALC Currency Total 86 3 2" xfId="25688"/>
    <cellStyle name="CALC Currency Total 86 3 2 2" xfId="46319"/>
    <cellStyle name="CALC Currency Total 86 3 3" xfId="32912"/>
    <cellStyle name="CALC Currency Total 86 3 4" xfId="46320"/>
    <cellStyle name="CALC Currency Total 86 4" xfId="18395"/>
    <cellStyle name="CALC Currency Total 86 4 2" xfId="26715"/>
    <cellStyle name="CALC Currency Total 86 4 2 2" xfId="46321"/>
    <cellStyle name="CALC Currency Total 86 4 3" xfId="33890"/>
    <cellStyle name="CALC Currency Total 86 4 4" xfId="46322"/>
    <cellStyle name="CALC Currency Total 86 5" xfId="19378"/>
    <cellStyle name="CALC Currency Total 86 5 2" xfId="27699"/>
    <cellStyle name="CALC Currency Total 86 5 2 2" xfId="46323"/>
    <cellStyle name="CALC Currency Total 86 5 3" xfId="34847"/>
    <cellStyle name="CALC Currency Total 86 5 4" xfId="46324"/>
    <cellStyle name="CALC Currency Total 86 6" xfId="20347"/>
    <cellStyle name="CALC Currency Total 86 6 2" xfId="28669"/>
    <cellStyle name="CALC Currency Total 86 6 2 2" xfId="46325"/>
    <cellStyle name="CALC Currency Total 86 6 3" xfId="35782"/>
    <cellStyle name="CALC Currency Total 86 6 4" xfId="46326"/>
    <cellStyle name="CALC Currency Total 86 7" xfId="21808"/>
    <cellStyle name="CALC Currency Total 86 7 2" xfId="30109"/>
    <cellStyle name="CALC Currency Total 86 7 2 2" xfId="46327"/>
    <cellStyle name="CALC Currency Total 86 7 3" xfId="37156"/>
    <cellStyle name="CALC Currency Total 86 7 4" xfId="46328"/>
    <cellStyle name="CALC Currency Total 86 8" xfId="22736"/>
    <cellStyle name="CALC Currency Total 86 8 2" xfId="31032"/>
    <cellStyle name="CALC Currency Total 86 8 2 2" xfId="46329"/>
    <cellStyle name="CALC Currency Total 86 8 3" xfId="38039"/>
    <cellStyle name="CALC Currency Total 86 8 4" xfId="46330"/>
    <cellStyle name="CALC Currency Total 86 9" xfId="23678"/>
    <cellStyle name="CALC Currency Total 86 9 2" xfId="46331"/>
    <cellStyle name="CALC Currency Total 87" xfId="15218"/>
    <cellStyle name="CALC Currency Total 87 10" xfId="46332"/>
    <cellStyle name="CALC Currency Total 87 11" xfId="46333"/>
    <cellStyle name="CALC Currency Total 87 2" xfId="16298"/>
    <cellStyle name="CALC Currency Total 87 2 2" xfId="24611"/>
    <cellStyle name="CALC Currency Total 87 2 2 2" xfId="46334"/>
    <cellStyle name="CALC Currency Total 87 2 3" xfId="31880"/>
    <cellStyle name="CALC Currency Total 87 2 4" xfId="46335"/>
    <cellStyle name="CALC Currency Total 87 3" xfId="17264"/>
    <cellStyle name="CALC Currency Total 87 3 2" xfId="25585"/>
    <cellStyle name="CALC Currency Total 87 3 2 2" xfId="46336"/>
    <cellStyle name="CALC Currency Total 87 3 3" xfId="32813"/>
    <cellStyle name="CALC Currency Total 87 3 4" xfId="46337"/>
    <cellStyle name="CALC Currency Total 87 4" xfId="18292"/>
    <cellStyle name="CALC Currency Total 87 4 2" xfId="26612"/>
    <cellStyle name="CALC Currency Total 87 4 2 2" xfId="46338"/>
    <cellStyle name="CALC Currency Total 87 4 3" xfId="33791"/>
    <cellStyle name="CALC Currency Total 87 4 4" xfId="46339"/>
    <cellStyle name="CALC Currency Total 87 5" xfId="19276"/>
    <cellStyle name="CALC Currency Total 87 5 2" xfId="27596"/>
    <cellStyle name="CALC Currency Total 87 5 2 2" xfId="46340"/>
    <cellStyle name="CALC Currency Total 87 5 3" xfId="34744"/>
    <cellStyle name="CALC Currency Total 87 5 4" xfId="46341"/>
    <cellStyle name="CALC Currency Total 87 6" xfId="20244"/>
    <cellStyle name="CALC Currency Total 87 6 2" xfId="28566"/>
    <cellStyle name="CALC Currency Total 87 6 2 2" xfId="46342"/>
    <cellStyle name="CALC Currency Total 87 6 3" xfId="35683"/>
    <cellStyle name="CALC Currency Total 87 6 4" xfId="46343"/>
    <cellStyle name="CALC Currency Total 87 7" xfId="21705"/>
    <cellStyle name="CALC Currency Total 87 7 2" xfId="30006"/>
    <cellStyle name="CALC Currency Total 87 7 2 2" xfId="46344"/>
    <cellStyle name="CALC Currency Total 87 7 3" xfId="37057"/>
    <cellStyle name="CALC Currency Total 87 7 4" xfId="46345"/>
    <cellStyle name="CALC Currency Total 87 8" xfId="22633"/>
    <cellStyle name="CALC Currency Total 87 8 2" xfId="30929"/>
    <cellStyle name="CALC Currency Total 87 8 2 2" xfId="46346"/>
    <cellStyle name="CALC Currency Total 87 8 3" xfId="37940"/>
    <cellStyle name="CALC Currency Total 87 8 4" xfId="46347"/>
    <cellStyle name="CALC Currency Total 87 9" xfId="23575"/>
    <cellStyle name="CALC Currency Total 87 9 2" xfId="46348"/>
    <cellStyle name="CALC Currency Total 88" xfId="15316"/>
    <cellStyle name="CALC Currency Total 88 10" xfId="46349"/>
    <cellStyle name="CALC Currency Total 88 11" xfId="46350"/>
    <cellStyle name="CALC Currency Total 88 2" xfId="16396"/>
    <cellStyle name="CALC Currency Total 88 2 2" xfId="24709"/>
    <cellStyle name="CALC Currency Total 88 2 2 2" xfId="46351"/>
    <cellStyle name="CALC Currency Total 88 2 3" xfId="31974"/>
    <cellStyle name="CALC Currency Total 88 2 4" xfId="46352"/>
    <cellStyle name="CALC Currency Total 88 3" xfId="17362"/>
    <cellStyle name="CALC Currency Total 88 3 2" xfId="25683"/>
    <cellStyle name="CALC Currency Total 88 3 2 2" xfId="46353"/>
    <cellStyle name="CALC Currency Total 88 3 3" xfId="32907"/>
    <cellStyle name="CALC Currency Total 88 3 4" xfId="46354"/>
    <cellStyle name="CALC Currency Total 88 4" xfId="18390"/>
    <cellStyle name="CALC Currency Total 88 4 2" xfId="26710"/>
    <cellStyle name="CALC Currency Total 88 4 2 2" xfId="46355"/>
    <cellStyle name="CALC Currency Total 88 4 3" xfId="33885"/>
    <cellStyle name="CALC Currency Total 88 4 4" xfId="46356"/>
    <cellStyle name="CALC Currency Total 88 5" xfId="19373"/>
    <cellStyle name="CALC Currency Total 88 5 2" xfId="27694"/>
    <cellStyle name="CALC Currency Total 88 5 2 2" xfId="46357"/>
    <cellStyle name="CALC Currency Total 88 5 3" xfId="34842"/>
    <cellStyle name="CALC Currency Total 88 5 4" xfId="46358"/>
    <cellStyle name="CALC Currency Total 88 6" xfId="20342"/>
    <cellStyle name="CALC Currency Total 88 6 2" xfId="28664"/>
    <cellStyle name="CALC Currency Total 88 6 2 2" xfId="46359"/>
    <cellStyle name="CALC Currency Total 88 6 3" xfId="35777"/>
    <cellStyle name="CALC Currency Total 88 6 4" xfId="46360"/>
    <cellStyle name="CALC Currency Total 88 7" xfId="21803"/>
    <cellStyle name="CALC Currency Total 88 7 2" xfId="30104"/>
    <cellStyle name="CALC Currency Total 88 7 2 2" xfId="46361"/>
    <cellStyle name="CALC Currency Total 88 7 3" xfId="37151"/>
    <cellStyle name="CALC Currency Total 88 7 4" xfId="46362"/>
    <cellStyle name="CALC Currency Total 88 8" xfId="22731"/>
    <cellStyle name="CALC Currency Total 88 8 2" xfId="31027"/>
    <cellStyle name="CALC Currency Total 88 8 2 2" xfId="46363"/>
    <cellStyle name="CALC Currency Total 88 8 3" xfId="38034"/>
    <cellStyle name="CALC Currency Total 88 8 4" xfId="46364"/>
    <cellStyle name="CALC Currency Total 88 9" xfId="23673"/>
    <cellStyle name="CALC Currency Total 88 9 2" xfId="46365"/>
    <cellStyle name="CALC Currency Total 89" xfId="15318"/>
    <cellStyle name="CALC Currency Total 89 10" xfId="46366"/>
    <cellStyle name="CALC Currency Total 89 11" xfId="46367"/>
    <cellStyle name="CALC Currency Total 89 2" xfId="16398"/>
    <cellStyle name="CALC Currency Total 89 2 2" xfId="24711"/>
    <cellStyle name="CALC Currency Total 89 2 2 2" xfId="46368"/>
    <cellStyle name="CALC Currency Total 89 2 3" xfId="31976"/>
    <cellStyle name="CALC Currency Total 89 2 4" xfId="46369"/>
    <cellStyle name="CALC Currency Total 89 3" xfId="17364"/>
    <cellStyle name="CALC Currency Total 89 3 2" xfId="25685"/>
    <cellStyle name="CALC Currency Total 89 3 2 2" xfId="46370"/>
    <cellStyle name="CALC Currency Total 89 3 3" xfId="32909"/>
    <cellStyle name="CALC Currency Total 89 3 4" xfId="46371"/>
    <cellStyle name="CALC Currency Total 89 4" xfId="18392"/>
    <cellStyle name="CALC Currency Total 89 4 2" xfId="26712"/>
    <cellStyle name="CALC Currency Total 89 4 2 2" xfId="46372"/>
    <cellStyle name="CALC Currency Total 89 4 3" xfId="33887"/>
    <cellStyle name="CALC Currency Total 89 4 4" xfId="46373"/>
    <cellStyle name="CALC Currency Total 89 5" xfId="19375"/>
    <cellStyle name="CALC Currency Total 89 5 2" xfId="27696"/>
    <cellStyle name="CALC Currency Total 89 5 2 2" xfId="46374"/>
    <cellStyle name="CALC Currency Total 89 5 3" xfId="34844"/>
    <cellStyle name="CALC Currency Total 89 5 4" xfId="46375"/>
    <cellStyle name="CALC Currency Total 89 6" xfId="20344"/>
    <cellStyle name="CALC Currency Total 89 6 2" xfId="28666"/>
    <cellStyle name="CALC Currency Total 89 6 2 2" xfId="46376"/>
    <cellStyle name="CALC Currency Total 89 6 3" xfId="35779"/>
    <cellStyle name="CALC Currency Total 89 6 4" xfId="46377"/>
    <cellStyle name="CALC Currency Total 89 7" xfId="21805"/>
    <cellStyle name="CALC Currency Total 89 7 2" xfId="30106"/>
    <cellStyle name="CALC Currency Total 89 7 2 2" xfId="46378"/>
    <cellStyle name="CALC Currency Total 89 7 3" xfId="37153"/>
    <cellStyle name="CALC Currency Total 89 7 4" xfId="46379"/>
    <cellStyle name="CALC Currency Total 89 8" xfId="22733"/>
    <cellStyle name="CALC Currency Total 89 8 2" xfId="31029"/>
    <cellStyle name="CALC Currency Total 89 8 2 2" xfId="46380"/>
    <cellStyle name="CALC Currency Total 89 8 3" xfId="38036"/>
    <cellStyle name="CALC Currency Total 89 8 4" xfId="46381"/>
    <cellStyle name="CALC Currency Total 89 9" xfId="23675"/>
    <cellStyle name="CALC Currency Total 89 9 2" xfId="46382"/>
    <cellStyle name="CALC Currency Total 9" xfId="14651"/>
    <cellStyle name="CALC Currency Total 9 10" xfId="23013"/>
    <cellStyle name="CALC Currency Total 9 10 2" xfId="46383"/>
    <cellStyle name="CALC Currency Total 9 11" xfId="46384"/>
    <cellStyle name="CALC Currency Total 9 2" xfId="15732"/>
    <cellStyle name="CALC Currency Total 9 2 2" xfId="24048"/>
    <cellStyle name="CALC Currency Total 9 2 2 2" xfId="46385"/>
    <cellStyle name="CALC Currency Total 9 2 3" xfId="31340"/>
    <cellStyle name="CALC Currency Total 9 2 4" xfId="46386"/>
    <cellStyle name="CALC Currency Total 9 3" xfId="16698"/>
    <cellStyle name="CALC Currency Total 9 3 2" xfId="25019"/>
    <cellStyle name="CALC Currency Total 9 3 2 2" xfId="46387"/>
    <cellStyle name="CALC Currency Total 9 3 3" xfId="32273"/>
    <cellStyle name="CALC Currency Total 9 3 4" xfId="46388"/>
    <cellStyle name="CALC Currency Total 9 4" xfId="17722"/>
    <cellStyle name="CALC Currency Total 9 4 2" xfId="26045"/>
    <cellStyle name="CALC Currency Total 9 4 2 2" xfId="46389"/>
    <cellStyle name="CALC Currency Total 9 4 3" xfId="33250"/>
    <cellStyle name="CALC Currency Total 9 4 4" xfId="46390"/>
    <cellStyle name="CALC Currency Total 9 5" xfId="18705"/>
    <cellStyle name="CALC Currency Total 9 5 2" xfId="27026"/>
    <cellStyle name="CALC Currency Total 9 5 2 2" xfId="46391"/>
    <cellStyle name="CALC Currency Total 9 5 3" xfId="34189"/>
    <cellStyle name="CALC Currency Total 9 5 4" xfId="46392"/>
    <cellStyle name="CALC Currency Total 9 6" xfId="19674"/>
    <cellStyle name="CALC Currency Total 9 6 2" xfId="27995"/>
    <cellStyle name="CALC Currency Total 9 6 2 2" xfId="46393"/>
    <cellStyle name="CALC Currency Total 9 6 3" xfId="35135"/>
    <cellStyle name="CALC Currency Total 9 6 4" xfId="46394"/>
    <cellStyle name="CALC Currency Total 9 7" xfId="20631"/>
    <cellStyle name="CALC Currency Total 9 7 2" xfId="28952"/>
    <cellStyle name="CALC Currency Total 9 7 2 2" xfId="46395"/>
    <cellStyle name="CALC Currency Total 9 7 3" xfId="36050"/>
    <cellStyle name="CALC Currency Total 9 7 4" xfId="46396"/>
    <cellStyle name="CALC Currency Total 9 8" xfId="17568"/>
    <cellStyle name="CALC Currency Total 9 8 2" xfId="25887"/>
    <cellStyle name="CALC Currency Total 9 8 2 2" xfId="46397"/>
    <cellStyle name="CALC Currency Total 9 8 3" xfId="33100"/>
    <cellStyle name="CALC Currency Total 9 8 4" xfId="46398"/>
    <cellStyle name="CALC Currency Total 9 9" xfId="22068"/>
    <cellStyle name="CALC Currency Total 9 9 2" xfId="30366"/>
    <cellStyle name="CALC Currency Total 9 9 2 2" xfId="46399"/>
    <cellStyle name="CALC Currency Total 9 9 3" xfId="37401"/>
    <cellStyle name="CALC Currency Total 9 9 4" xfId="46400"/>
    <cellStyle name="CALC Currency Total 90" xfId="15254"/>
    <cellStyle name="CALC Currency Total 90 10" xfId="46401"/>
    <cellStyle name="CALC Currency Total 90 11" xfId="46402"/>
    <cellStyle name="CALC Currency Total 90 2" xfId="16334"/>
    <cellStyle name="CALC Currency Total 90 2 2" xfId="24647"/>
    <cellStyle name="CALC Currency Total 90 2 2 2" xfId="46403"/>
    <cellStyle name="CALC Currency Total 90 2 3" xfId="31914"/>
    <cellStyle name="CALC Currency Total 90 2 4" xfId="46404"/>
    <cellStyle name="CALC Currency Total 90 3" xfId="17300"/>
    <cellStyle name="CALC Currency Total 90 3 2" xfId="25621"/>
    <cellStyle name="CALC Currency Total 90 3 2 2" xfId="46405"/>
    <cellStyle name="CALC Currency Total 90 3 3" xfId="32847"/>
    <cellStyle name="CALC Currency Total 90 3 4" xfId="46406"/>
    <cellStyle name="CALC Currency Total 90 4" xfId="18328"/>
    <cellStyle name="CALC Currency Total 90 4 2" xfId="26648"/>
    <cellStyle name="CALC Currency Total 90 4 2 2" xfId="46407"/>
    <cellStyle name="CALC Currency Total 90 4 3" xfId="33825"/>
    <cellStyle name="CALC Currency Total 90 4 4" xfId="46408"/>
    <cellStyle name="CALC Currency Total 90 5" xfId="19312"/>
    <cellStyle name="CALC Currency Total 90 5 2" xfId="27632"/>
    <cellStyle name="CALC Currency Total 90 5 2 2" xfId="46409"/>
    <cellStyle name="CALC Currency Total 90 5 3" xfId="34780"/>
    <cellStyle name="CALC Currency Total 90 5 4" xfId="46410"/>
    <cellStyle name="CALC Currency Total 90 6" xfId="20280"/>
    <cellStyle name="CALC Currency Total 90 6 2" xfId="28602"/>
    <cellStyle name="CALC Currency Total 90 6 2 2" xfId="46411"/>
    <cellStyle name="CALC Currency Total 90 6 3" xfId="35717"/>
    <cellStyle name="CALC Currency Total 90 6 4" xfId="46412"/>
    <cellStyle name="CALC Currency Total 90 7" xfId="21741"/>
    <cellStyle name="CALC Currency Total 90 7 2" xfId="30042"/>
    <cellStyle name="CALC Currency Total 90 7 2 2" xfId="46413"/>
    <cellStyle name="CALC Currency Total 90 7 3" xfId="37091"/>
    <cellStyle name="CALC Currency Total 90 7 4" xfId="46414"/>
    <cellStyle name="CALC Currency Total 90 8" xfId="22669"/>
    <cellStyle name="CALC Currency Total 90 8 2" xfId="30965"/>
    <cellStyle name="CALC Currency Total 90 8 2 2" xfId="46415"/>
    <cellStyle name="CALC Currency Total 90 8 3" xfId="37974"/>
    <cellStyle name="CALC Currency Total 90 8 4" xfId="46416"/>
    <cellStyle name="CALC Currency Total 90 9" xfId="23611"/>
    <cellStyle name="CALC Currency Total 90 9 2" xfId="46417"/>
    <cellStyle name="CALC Currency Total 91" xfId="15356"/>
    <cellStyle name="CALC Currency Total 91 10" xfId="46418"/>
    <cellStyle name="CALC Currency Total 91 11" xfId="46419"/>
    <cellStyle name="CALC Currency Total 91 2" xfId="16436"/>
    <cellStyle name="CALC Currency Total 91 2 2" xfId="24749"/>
    <cellStyle name="CALC Currency Total 91 2 2 2" xfId="46420"/>
    <cellStyle name="CALC Currency Total 91 2 3" xfId="32013"/>
    <cellStyle name="CALC Currency Total 91 2 4" xfId="46421"/>
    <cellStyle name="CALC Currency Total 91 3" xfId="17402"/>
    <cellStyle name="CALC Currency Total 91 3 2" xfId="25723"/>
    <cellStyle name="CALC Currency Total 91 3 2 2" xfId="46422"/>
    <cellStyle name="CALC Currency Total 91 3 3" xfId="32946"/>
    <cellStyle name="CALC Currency Total 91 3 4" xfId="46423"/>
    <cellStyle name="CALC Currency Total 91 4" xfId="18430"/>
    <cellStyle name="CALC Currency Total 91 4 2" xfId="26750"/>
    <cellStyle name="CALC Currency Total 91 4 2 2" xfId="46424"/>
    <cellStyle name="CALC Currency Total 91 4 3" xfId="33924"/>
    <cellStyle name="CALC Currency Total 91 4 4" xfId="46425"/>
    <cellStyle name="CALC Currency Total 91 5" xfId="19413"/>
    <cellStyle name="CALC Currency Total 91 5 2" xfId="27734"/>
    <cellStyle name="CALC Currency Total 91 5 2 2" xfId="46426"/>
    <cellStyle name="CALC Currency Total 91 5 3" xfId="34882"/>
    <cellStyle name="CALC Currency Total 91 5 4" xfId="46427"/>
    <cellStyle name="CALC Currency Total 91 6" xfId="20382"/>
    <cellStyle name="CALC Currency Total 91 6 2" xfId="28704"/>
    <cellStyle name="CALC Currency Total 91 6 2 2" xfId="46428"/>
    <cellStyle name="CALC Currency Total 91 6 3" xfId="35816"/>
    <cellStyle name="CALC Currency Total 91 6 4" xfId="46429"/>
    <cellStyle name="CALC Currency Total 91 7" xfId="21843"/>
    <cellStyle name="CALC Currency Total 91 7 2" xfId="30144"/>
    <cellStyle name="CALC Currency Total 91 7 2 2" xfId="46430"/>
    <cellStyle name="CALC Currency Total 91 7 3" xfId="37190"/>
    <cellStyle name="CALC Currency Total 91 7 4" xfId="46431"/>
    <cellStyle name="CALC Currency Total 91 8" xfId="22771"/>
    <cellStyle name="CALC Currency Total 91 8 2" xfId="31067"/>
    <cellStyle name="CALC Currency Total 91 8 2 2" xfId="46432"/>
    <cellStyle name="CALC Currency Total 91 8 3" xfId="38073"/>
    <cellStyle name="CALC Currency Total 91 8 4" xfId="46433"/>
    <cellStyle name="CALC Currency Total 91 9" xfId="23713"/>
    <cellStyle name="CALC Currency Total 91 9 2" xfId="46434"/>
    <cellStyle name="CALC Currency Total 92" xfId="15374"/>
    <cellStyle name="CALC Currency Total 92 10" xfId="46435"/>
    <cellStyle name="CALC Currency Total 92 11" xfId="46436"/>
    <cellStyle name="CALC Currency Total 92 2" xfId="16454"/>
    <cellStyle name="CALC Currency Total 92 2 2" xfId="24767"/>
    <cellStyle name="CALC Currency Total 92 2 2 2" xfId="46437"/>
    <cellStyle name="CALC Currency Total 92 2 3" xfId="32031"/>
    <cellStyle name="CALC Currency Total 92 2 4" xfId="46438"/>
    <cellStyle name="CALC Currency Total 92 3" xfId="17420"/>
    <cellStyle name="CALC Currency Total 92 3 2" xfId="25741"/>
    <cellStyle name="CALC Currency Total 92 3 2 2" xfId="46439"/>
    <cellStyle name="CALC Currency Total 92 3 3" xfId="32964"/>
    <cellStyle name="CALC Currency Total 92 3 4" xfId="46440"/>
    <cellStyle name="CALC Currency Total 92 4" xfId="18448"/>
    <cellStyle name="CALC Currency Total 92 4 2" xfId="26768"/>
    <cellStyle name="CALC Currency Total 92 4 2 2" xfId="46441"/>
    <cellStyle name="CALC Currency Total 92 4 3" xfId="33942"/>
    <cellStyle name="CALC Currency Total 92 4 4" xfId="46442"/>
    <cellStyle name="CALC Currency Total 92 5" xfId="19431"/>
    <cellStyle name="CALC Currency Total 92 5 2" xfId="27752"/>
    <cellStyle name="CALC Currency Total 92 5 2 2" xfId="46443"/>
    <cellStyle name="CALC Currency Total 92 5 3" xfId="34900"/>
    <cellStyle name="CALC Currency Total 92 5 4" xfId="46444"/>
    <cellStyle name="CALC Currency Total 92 6" xfId="20400"/>
    <cellStyle name="CALC Currency Total 92 6 2" xfId="28722"/>
    <cellStyle name="CALC Currency Total 92 6 2 2" xfId="46445"/>
    <cellStyle name="CALC Currency Total 92 6 3" xfId="35834"/>
    <cellStyle name="CALC Currency Total 92 6 4" xfId="46446"/>
    <cellStyle name="CALC Currency Total 92 7" xfId="21861"/>
    <cellStyle name="CALC Currency Total 92 7 2" xfId="30162"/>
    <cellStyle name="CALC Currency Total 92 7 2 2" xfId="46447"/>
    <cellStyle name="CALC Currency Total 92 7 3" xfId="37207"/>
    <cellStyle name="CALC Currency Total 92 7 4" xfId="46448"/>
    <cellStyle name="CALC Currency Total 92 8" xfId="22789"/>
    <cellStyle name="CALC Currency Total 92 8 2" xfId="31085"/>
    <cellStyle name="CALC Currency Total 92 8 2 2" xfId="46449"/>
    <cellStyle name="CALC Currency Total 92 8 3" xfId="38091"/>
    <cellStyle name="CALC Currency Total 92 8 4" xfId="46450"/>
    <cellStyle name="CALC Currency Total 92 9" xfId="23731"/>
    <cellStyle name="CALC Currency Total 92 9 2" xfId="46451"/>
    <cellStyle name="CALC Currency Total 93" xfId="15360"/>
    <cellStyle name="CALC Currency Total 93 10" xfId="46452"/>
    <cellStyle name="CALC Currency Total 93 11" xfId="46453"/>
    <cellStyle name="CALC Currency Total 93 2" xfId="16440"/>
    <cellStyle name="CALC Currency Total 93 2 2" xfId="24753"/>
    <cellStyle name="CALC Currency Total 93 2 2 2" xfId="46454"/>
    <cellStyle name="CALC Currency Total 93 2 3" xfId="32017"/>
    <cellStyle name="CALC Currency Total 93 2 4" xfId="46455"/>
    <cellStyle name="CALC Currency Total 93 3" xfId="17406"/>
    <cellStyle name="CALC Currency Total 93 3 2" xfId="25727"/>
    <cellStyle name="CALC Currency Total 93 3 2 2" xfId="46456"/>
    <cellStyle name="CALC Currency Total 93 3 3" xfId="32950"/>
    <cellStyle name="CALC Currency Total 93 3 4" xfId="46457"/>
    <cellStyle name="CALC Currency Total 93 4" xfId="18434"/>
    <cellStyle name="CALC Currency Total 93 4 2" xfId="26754"/>
    <cellStyle name="CALC Currency Total 93 4 2 2" xfId="46458"/>
    <cellStyle name="CALC Currency Total 93 4 3" xfId="33928"/>
    <cellStyle name="CALC Currency Total 93 4 4" xfId="46459"/>
    <cellStyle name="CALC Currency Total 93 5" xfId="19417"/>
    <cellStyle name="CALC Currency Total 93 5 2" xfId="27738"/>
    <cellStyle name="CALC Currency Total 93 5 2 2" xfId="46460"/>
    <cellStyle name="CALC Currency Total 93 5 3" xfId="34886"/>
    <cellStyle name="CALC Currency Total 93 5 4" xfId="46461"/>
    <cellStyle name="CALC Currency Total 93 6" xfId="20386"/>
    <cellStyle name="CALC Currency Total 93 6 2" xfId="28708"/>
    <cellStyle name="CALC Currency Total 93 6 2 2" xfId="46462"/>
    <cellStyle name="CALC Currency Total 93 6 3" xfId="35820"/>
    <cellStyle name="CALC Currency Total 93 6 4" xfId="46463"/>
    <cellStyle name="CALC Currency Total 93 7" xfId="21847"/>
    <cellStyle name="CALC Currency Total 93 7 2" xfId="30148"/>
    <cellStyle name="CALC Currency Total 93 7 2 2" xfId="46464"/>
    <cellStyle name="CALC Currency Total 93 7 3" xfId="37193"/>
    <cellStyle name="CALC Currency Total 93 7 4" xfId="46465"/>
    <cellStyle name="CALC Currency Total 93 8" xfId="22775"/>
    <cellStyle name="CALC Currency Total 93 8 2" xfId="31071"/>
    <cellStyle name="CALC Currency Total 93 8 2 2" xfId="46466"/>
    <cellStyle name="CALC Currency Total 93 8 3" xfId="38077"/>
    <cellStyle name="CALC Currency Total 93 8 4" xfId="46467"/>
    <cellStyle name="CALC Currency Total 93 9" xfId="23717"/>
    <cellStyle name="CALC Currency Total 93 9 2" xfId="46468"/>
    <cellStyle name="CALC Currency Total 94" xfId="15345"/>
    <cellStyle name="CALC Currency Total 94 10" xfId="46469"/>
    <cellStyle name="CALC Currency Total 94 11" xfId="46470"/>
    <cellStyle name="CALC Currency Total 94 2" xfId="16425"/>
    <cellStyle name="CALC Currency Total 94 2 2" xfId="24738"/>
    <cellStyle name="CALC Currency Total 94 2 2 2" xfId="46471"/>
    <cellStyle name="CALC Currency Total 94 2 3" xfId="32003"/>
    <cellStyle name="CALC Currency Total 94 2 4" xfId="46472"/>
    <cellStyle name="CALC Currency Total 94 3" xfId="17391"/>
    <cellStyle name="CALC Currency Total 94 3 2" xfId="25712"/>
    <cellStyle name="CALC Currency Total 94 3 2 2" xfId="46473"/>
    <cellStyle name="CALC Currency Total 94 3 3" xfId="32936"/>
    <cellStyle name="CALC Currency Total 94 3 4" xfId="46474"/>
    <cellStyle name="CALC Currency Total 94 4" xfId="18419"/>
    <cellStyle name="CALC Currency Total 94 4 2" xfId="26739"/>
    <cellStyle name="CALC Currency Total 94 4 2 2" xfId="46475"/>
    <cellStyle name="CALC Currency Total 94 4 3" xfId="33914"/>
    <cellStyle name="CALC Currency Total 94 4 4" xfId="46476"/>
    <cellStyle name="CALC Currency Total 94 5" xfId="19402"/>
    <cellStyle name="CALC Currency Total 94 5 2" xfId="27723"/>
    <cellStyle name="CALC Currency Total 94 5 2 2" xfId="46477"/>
    <cellStyle name="CALC Currency Total 94 5 3" xfId="34871"/>
    <cellStyle name="CALC Currency Total 94 5 4" xfId="46478"/>
    <cellStyle name="CALC Currency Total 94 6" xfId="20371"/>
    <cellStyle name="CALC Currency Total 94 6 2" xfId="28693"/>
    <cellStyle name="CALC Currency Total 94 6 2 2" xfId="46479"/>
    <cellStyle name="CALC Currency Total 94 6 3" xfId="35806"/>
    <cellStyle name="CALC Currency Total 94 6 4" xfId="46480"/>
    <cellStyle name="CALC Currency Total 94 7" xfId="21832"/>
    <cellStyle name="CALC Currency Total 94 7 2" xfId="30133"/>
    <cellStyle name="CALC Currency Total 94 7 2 2" xfId="46481"/>
    <cellStyle name="CALC Currency Total 94 7 3" xfId="37180"/>
    <cellStyle name="CALC Currency Total 94 7 4" xfId="46482"/>
    <cellStyle name="CALC Currency Total 94 8" xfId="22760"/>
    <cellStyle name="CALC Currency Total 94 8 2" xfId="31056"/>
    <cellStyle name="CALC Currency Total 94 8 2 2" xfId="46483"/>
    <cellStyle name="CALC Currency Total 94 8 3" xfId="38063"/>
    <cellStyle name="CALC Currency Total 94 8 4" xfId="46484"/>
    <cellStyle name="CALC Currency Total 94 9" xfId="23702"/>
    <cellStyle name="CALC Currency Total 94 9 2" xfId="46485"/>
    <cellStyle name="CALC Currency Total 95" xfId="15342"/>
    <cellStyle name="CALC Currency Total 95 10" xfId="46486"/>
    <cellStyle name="CALC Currency Total 95 11" xfId="46487"/>
    <cellStyle name="CALC Currency Total 95 2" xfId="16422"/>
    <cellStyle name="CALC Currency Total 95 2 2" xfId="24735"/>
    <cellStyle name="CALC Currency Total 95 2 2 2" xfId="46488"/>
    <cellStyle name="CALC Currency Total 95 2 3" xfId="32000"/>
    <cellStyle name="CALC Currency Total 95 2 4" xfId="46489"/>
    <cellStyle name="CALC Currency Total 95 3" xfId="17388"/>
    <cellStyle name="CALC Currency Total 95 3 2" xfId="25709"/>
    <cellStyle name="CALC Currency Total 95 3 2 2" xfId="46490"/>
    <cellStyle name="CALC Currency Total 95 3 3" xfId="32933"/>
    <cellStyle name="CALC Currency Total 95 3 4" xfId="46491"/>
    <cellStyle name="CALC Currency Total 95 4" xfId="18416"/>
    <cellStyle name="CALC Currency Total 95 4 2" xfId="26736"/>
    <cellStyle name="CALC Currency Total 95 4 2 2" xfId="46492"/>
    <cellStyle name="CALC Currency Total 95 4 3" xfId="33911"/>
    <cellStyle name="CALC Currency Total 95 4 4" xfId="46493"/>
    <cellStyle name="CALC Currency Total 95 5" xfId="19399"/>
    <cellStyle name="CALC Currency Total 95 5 2" xfId="27720"/>
    <cellStyle name="CALC Currency Total 95 5 2 2" xfId="46494"/>
    <cellStyle name="CALC Currency Total 95 5 3" xfId="34868"/>
    <cellStyle name="CALC Currency Total 95 5 4" xfId="46495"/>
    <cellStyle name="CALC Currency Total 95 6" xfId="20368"/>
    <cellStyle name="CALC Currency Total 95 6 2" xfId="28690"/>
    <cellStyle name="CALC Currency Total 95 6 2 2" xfId="46496"/>
    <cellStyle name="CALC Currency Total 95 6 3" xfId="35803"/>
    <cellStyle name="CALC Currency Total 95 6 4" xfId="46497"/>
    <cellStyle name="CALC Currency Total 95 7" xfId="21829"/>
    <cellStyle name="CALC Currency Total 95 7 2" xfId="30130"/>
    <cellStyle name="CALC Currency Total 95 7 2 2" xfId="46498"/>
    <cellStyle name="CALC Currency Total 95 7 3" xfId="37177"/>
    <cellStyle name="CALC Currency Total 95 7 4" xfId="46499"/>
    <cellStyle name="CALC Currency Total 95 8" xfId="22757"/>
    <cellStyle name="CALC Currency Total 95 8 2" xfId="31053"/>
    <cellStyle name="CALC Currency Total 95 8 2 2" xfId="46500"/>
    <cellStyle name="CALC Currency Total 95 8 3" xfId="38060"/>
    <cellStyle name="CALC Currency Total 95 8 4" xfId="46501"/>
    <cellStyle name="CALC Currency Total 95 9" xfId="23699"/>
    <cellStyle name="CALC Currency Total 95 9 2" xfId="46502"/>
    <cellStyle name="CALC Currency Total 96" xfId="15341"/>
    <cellStyle name="CALC Currency Total 96 10" xfId="46503"/>
    <cellStyle name="CALC Currency Total 96 11" xfId="46504"/>
    <cellStyle name="CALC Currency Total 96 2" xfId="16421"/>
    <cellStyle name="CALC Currency Total 96 2 2" xfId="24734"/>
    <cellStyle name="CALC Currency Total 96 2 2 2" xfId="46505"/>
    <cellStyle name="CALC Currency Total 96 2 3" xfId="31999"/>
    <cellStyle name="CALC Currency Total 96 2 4" xfId="46506"/>
    <cellStyle name="CALC Currency Total 96 3" xfId="17387"/>
    <cellStyle name="CALC Currency Total 96 3 2" xfId="25708"/>
    <cellStyle name="CALC Currency Total 96 3 2 2" xfId="46507"/>
    <cellStyle name="CALC Currency Total 96 3 3" xfId="32932"/>
    <cellStyle name="CALC Currency Total 96 3 4" xfId="46508"/>
    <cellStyle name="CALC Currency Total 96 4" xfId="18415"/>
    <cellStyle name="CALC Currency Total 96 4 2" xfId="26735"/>
    <cellStyle name="CALC Currency Total 96 4 2 2" xfId="46509"/>
    <cellStyle name="CALC Currency Total 96 4 3" xfId="33910"/>
    <cellStyle name="CALC Currency Total 96 4 4" xfId="46510"/>
    <cellStyle name="CALC Currency Total 96 5" xfId="19398"/>
    <cellStyle name="CALC Currency Total 96 5 2" xfId="27719"/>
    <cellStyle name="CALC Currency Total 96 5 2 2" xfId="46511"/>
    <cellStyle name="CALC Currency Total 96 5 3" xfId="34867"/>
    <cellStyle name="CALC Currency Total 96 5 4" xfId="46512"/>
    <cellStyle name="CALC Currency Total 96 6" xfId="20367"/>
    <cellStyle name="CALC Currency Total 96 6 2" xfId="28689"/>
    <cellStyle name="CALC Currency Total 96 6 2 2" xfId="46513"/>
    <cellStyle name="CALC Currency Total 96 6 3" xfId="35802"/>
    <cellStyle name="CALC Currency Total 96 6 4" xfId="46514"/>
    <cellStyle name="CALC Currency Total 96 7" xfId="21828"/>
    <cellStyle name="CALC Currency Total 96 7 2" xfId="30129"/>
    <cellStyle name="CALC Currency Total 96 7 2 2" xfId="46515"/>
    <cellStyle name="CALC Currency Total 96 7 3" xfId="37176"/>
    <cellStyle name="CALC Currency Total 96 7 4" xfId="46516"/>
    <cellStyle name="CALC Currency Total 96 8" xfId="22756"/>
    <cellStyle name="CALC Currency Total 96 8 2" xfId="31052"/>
    <cellStyle name="CALC Currency Total 96 8 2 2" xfId="46517"/>
    <cellStyle name="CALC Currency Total 96 8 3" xfId="38059"/>
    <cellStyle name="CALC Currency Total 96 8 4" xfId="46518"/>
    <cellStyle name="CALC Currency Total 96 9" xfId="23698"/>
    <cellStyle name="CALC Currency Total 96 9 2" xfId="46519"/>
    <cellStyle name="CALC Currency Total 97" xfId="15377"/>
    <cellStyle name="CALC Currency Total 97 10" xfId="46520"/>
    <cellStyle name="CALC Currency Total 97 11" xfId="46521"/>
    <cellStyle name="CALC Currency Total 97 2" xfId="16457"/>
    <cellStyle name="CALC Currency Total 97 2 2" xfId="24770"/>
    <cellStyle name="CALC Currency Total 97 2 2 2" xfId="46522"/>
    <cellStyle name="CALC Currency Total 97 2 3" xfId="32034"/>
    <cellStyle name="CALC Currency Total 97 2 4" xfId="46523"/>
    <cellStyle name="CALC Currency Total 97 3" xfId="17423"/>
    <cellStyle name="CALC Currency Total 97 3 2" xfId="25744"/>
    <cellStyle name="CALC Currency Total 97 3 2 2" xfId="46524"/>
    <cellStyle name="CALC Currency Total 97 3 3" xfId="32967"/>
    <cellStyle name="CALC Currency Total 97 3 4" xfId="46525"/>
    <cellStyle name="CALC Currency Total 97 4" xfId="18451"/>
    <cellStyle name="CALC Currency Total 97 4 2" xfId="26771"/>
    <cellStyle name="CALC Currency Total 97 4 2 2" xfId="46526"/>
    <cellStyle name="CALC Currency Total 97 4 3" xfId="33945"/>
    <cellStyle name="CALC Currency Total 97 4 4" xfId="46527"/>
    <cellStyle name="CALC Currency Total 97 5" xfId="19434"/>
    <cellStyle name="CALC Currency Total 97 5 2" xfId="27755"/>
    <cellStyle name="CALC Currency Total 97 5 2 2" xfId="46528"/>
    <cellStyle name="CALC Currency Total 97 5 3" xfId="34903"/>
    <cellStyle name="CALC Currency Total 97 5 4" xfId="46529"/>
    <cellStyle name="CALC Currency Total 97 6" xfId="20403"/>
    <cellStyle name="CALC Currency Total 97 6 2" xfId="28725"/>
    <cellStyle name="CALC Currency Total 97 6 2 2" xfId="46530"/>
    <cellStyle name="CALC Currency Total 97 6 3" xfId="35837"/>
    <cellStyle name="CALC Currency Total 97 6 4" xfId="46531"/>
    <cellStyle name="CALC Currency Total 97 7" xfId="21864"/>
    <cellStyle name="CALC Currency Total 97 7 2" xfId="30165"/>
    <cellStyle name="CALC Currency Total 97 7 2 2" xfId="46532"/>
    <cellStyle name="CALC Currency Total 97 7 3" xfId="37210"/>
    <cellStyle name="CALC Currency Total 97 7 4" xfId="46533"/>
    <cellStyle name="CALC Currency Total 97 8" xfId="22792"/>
    <cellStyle name="CALC Currency Total 97 8 2" xfId="31088"/>
    <cellStyle name="CALC Currency Total 97 8 2 2" xfId="46534"/>
    <cellStyle name="CALC Currency Total 97 8 3" xfId="38094"/>
    <cellStyle name="CALC Currency Total 97 8 4" xfId="46535"/>
    <cellStyle name="CALC Currency Total 97 9" xfId="23734"/>
    <cellStyle name="CALC Currency Total 97 9 2" xfId="46536"/>
    <cellStyle name="CALC Currency Total 98" xfId="15353"/>
    <cellStyle name="CALC Currency Total 98 10" xfId="46537"/>
    <cellStyle name="CALC Currency Total 98 11" xfId="46538"/>
    <cellStyle name="CALC Currency Total 98 2" xfId="16433"/>
    <cellStyle name="CALC Currency Total 98 2 2" xfId="24746"/>
    <cellStyle name="CALC Currency Total 98 2 2 2" xfId="46539"/>
    <cellStyle name="CALC Currency Total 98 2 3" xfId="32010"/>
    <cellStyle name="CALC Currency Total 98 2 4" xfId="46540"/>
    <cellStyle name="CALC Currency Total 98 3" xfId="17399"/>
    <cellStyle name="CALC Currency Total 98 3 2" xfId="25720"/>
    <cellStyle name="CALC Currency Total 98 3 2 2" xfId="46541"/>
    <cellStyle name="CALC Currency Total 98 3 3" xfId="32943"/>
    <cellStyle name="CALC Currency Total 98 3 4" xfId="46542"/>
    <cellStyle name="CALC Currency Total 98 4" xfId="18427"/>
    <cellStyle name="CALC Currency Total 98 4 2" xfId="26747"/>
    <cellStyle name="CALC Currency Total 98 4 2 2" xfId="46543"/>
    <cellStyle name="CALC Currency Total 98 4 3" xfId="33921"/>
    <cellStyle name="CALC Currency Total 98 4 4" xfId="46544"/>
    <cellStyle name="CALC Currency Total 98 5" xfId="19410"/>
    <cellStyle name="CALC Currency Total 98 5 2" xfId="27731"/>
    <cellStyle name="CALC Currency Total 98 5 2 2" xfId="46545"/>
    <cellStyle name="CALC Currency Total 98 5 3" xfId="34879"/>
    <cellStyle name="CALC Currency Total 98 5 4" xfId="46546"/>
    <cellStyle name="CALC Currency Total 98 6" xfId="20379"/>
    <cellStyle name="CALC Currency Total 98 6 2" xfId="28701"/>
    <cellStyle name="CALC Currency Total 98 6 2 2" xfId="46547"/>
    <cellStyle name="CALC Currency Total 98 6 3" xfId="35813"/>
    <cellStyle name="CALC Currency Total 98 6 4" xfId="46548"/>
    <cellStyle name="CALC Currency Total 98 7" xfId="21840"/>
    <cellStyle name="CALC Currency Total 98 7 2" xfId="30141"/>
    <cellStyle name="CALC Currency Total 98 7 2 2" xfId="46549"/>
    <cellStyle name="CALC Currency Total 98 7 3" xfId="37187"/>
    <cellStyle name="CALC Currency Total 98 7 4" xfId="46550"/>
    <cellStyle name="CALC Currency Total 98 8" xfId="22768"/>
    <cellStyle name="CALC Currency Total 98 8 2" xfId="31064"/>
    <cellStyle name="CALC Currency Total 98 8 2 2" xfId="46551"/>
    <cellStyle name="CALC Currency Total 98 8 3" xfId="38070"/>
    <cellStyle name="CALC Currency Total 98 8 4" xfId="46552"/>
    <cellStyle name="CALC Currency Total 98 9" xfId="23710"/>
    <cellStyle name="CALC Currency Total 98 9 2" xfId="46553"/>
    <cellStyle name="CALC Currency Total 99" xfId="15457"/>
    <cellStyle name="CALC Currency Total 99 10" xfId="46554"/>
    <cellStyle name="CALC Currency Total 99 11" xfId="46555"/>
    <cellStyle name="CALC Currency Total 99 2" xfId="16537"/>
    <cellStyle name="CALC Currency Total 99 2 2" xfId="24850"/>
    <cellStyle name="CALC Currency Total 99 2 2 2" xfId="46556"/>
    <cellStyle name="CALC Currency Total 99 2 3" xfId="32111"/>
    <cellStyle name="CALC Currency Total 99 2 4" xfId="46557"/>
    <cellStyle name="CALC Currency Total 99 3" xfId="17503"/>
    <cellStyle name="CALC Currency Total 99 3 2" xfId="25824"/>
    <cellStyle name="CALC Currency Total 99 3 2 2" xfId="46558"/>
    <cellStyle name="CALC Currency Total 99 3 3" xfId="33044"/>
    <cellStyle name="CALC Currency Total 99 3 4" xfId="46559"/>
    <cellStyle name="CALC Currency Total 99 4" xfId="18531"/>
    <cellStyle name="CALC Currency Total 99 4 2" xfId="26851"/>
    <cellStyle name="CALC Currency Total 99 4 2 2" xfId="46560"/>
    <cellStyle name="CALC Currency Total 99 4 3" xfId="34022"/>
    <cellStyle name="CALC Currency Total 99 4 4" xfId="46561"/>
    <cellStyle name="CALC Currency Total 99 5" xfId="19514"/>
    <cellStyle name="CALC Currency Total 99 5 2" xfId="27835"/>
    <cellStyle name="CALC Currency Total 99 5 2 2" xfId="46562"/>
    <cellStyle name="CALC Currency Total 99 5 3" xfId="34983"/>
    <cellStyle name="CALC Currency Total 99 5 4" xfId="46563"/>
    <cellStyle name="CALC Currency Total 99 6" xfId="20483"/>
    <cellStyle name="CALC Currency Total 99 6 2" xfId="28805"/>
    <cellStyle name="CALC Currency Total 99 6 2 2" xfId="46564"/>
    <cellStyle name="CALC Currency Total 99 6 3" xfId="35914"/>
    <cellStyle name="CALC Currency Total 99 6 4" xfId="46565"/>
    <cellStyle name="CALC Currency Total 99 7" xfId="21944"/>
    <cellStyle name="CALC Currency Total 99 7 2" xfId="30245"/>
    <cellStyle name="CALC Currency Total 99 7 2 2" xfId="46566"/>
    <cellStyle name="CALC Currency Total 99 7 3" xfId="37287"/>
    <cellStyle name="CALC Currency Total 99 7 4" xfId="46567"/>
    <cellStyle name="CALC Currency Total 99 8" xfId="22872"/>
    <cellStyle name="CALC Currency Total 99 8 2" xfId="31168"/>
    <cellStyle name="CALC Currency Total 99 8 2 2" xfId="46568"/>
    <cellStyle name="CALC Currency Total 99 8 3" xfId="38171"/>
    <cellStyle name="CALC Currency Total 99 8 4" xfId="46569"/>
    <cellStyle name="CALC Currency Total 99 9" xfId="23814"/>
    <cellStyle name="CALC Currency Total 99 9 2" xfId="46570"/>
    <cellStyle name="CALC Date Long" xfId="14466"/>
    <cellStyle name="CALC Date Short" xfId="14467"/>
    <cellStyle name="CALC Percent" xfId="14468"/>
    <cellStyle name="CALC Percent [1]" xfId="14469"/>
    <cellStyle name="CALC Percent [2]" xfId="14470"/>
    <cellStyle name="CALC Percent Total" xfId="14471"/>
    <cellStyle name="CALC Percent Total [1]" xfId="14472"/>
    <cellStyle name="CALC Percent Total [1] 10" xfId="14823"/>
    <cellStyle name="CALC Percent Total [1] 10 10" xfId="23187"/>
    <cellStyle name="CALC Percent Total [1] 10 10 2" xfId="46571"/>
    <cellStyle name="CALC Percent Total [1] 10 11" xfId="46572"/>
    <cellStyle name="CALC Percent Total [1] 10 12" xfId="46573"/>
    <cellStyle name="CALC Percent Total [1] 10 2" xfId="15904"/>
    <cellStyle name="CALC Percent Total [1] 10 2 2" xfId="24222"/>
    <cellStyle name="CALC Percent Total [1] 10 2 2 2" xfId="46574"/>
    <cellStyle name="CALC Percent Total [1] 10 2 3" xfId="31508"/>
    <cellStyle name="CALC Percent Total [1] 10 2 4" xfId="46575"/>
    <cellStyle name="CALC Percent Total [1] 10 3" xfId="16870"/>
    <cellStyle name="CALC Percent Total [1] 10 3 2" xfId="25194"/>
    <cellStyle name="CALC Percent Total [1] 10 3 2 2" xfId="46576"/>
    <cellStyle name="CALC Percent Total [1] 10 3 3" xfId="32441"/>
    <cellStyle name="CALC Percent Total [1] 10 3 4" xfId="46577"/>
    <cellStyle name="CALC Percent Total [1] 10 4" xfId="17897"/>
    <cellStyle name="CALC Percent Total [1] 10 4 2" xfId="26220"/>
    <cellStyle name="CALC Percent Total [1] 10 4 2 2" xfId="46578"/>
    <cellStyle name="CALC Percent Total [1] 10 4 3" xfId="33418"/>
    <cellStyle name="CALC Percent Total [1] 10 4 4" xfId="46579"/>
    <cellStyle name="CALC Percent Total [1] 10 5" xfId="18881"/>
    <cellStyle name="CALC Percent Total [1] 10 5 2" xfId="27201"/>
    <cellStyle name="CALC Percent Total [1] 10 5 2 2" xfId="46580"/>
    <cellStyle name="CALC Percent Total [1] 10 5 3" xfId="34358"/>
    <cellStyle name="CALC Percent Total [1] 10 5 4" xfId="46581"/>
    <cellStyle name="CALC Percent Total [1] 10 6" xfId="19849"/>
    <cellStyle name="CALC Percent Total [1] 10 6 2" xfId="28171"/>
    <cellStyle name="CALC Percent Total [1] 10 6 2 2" xfId="46582"/>
    <cellStyle name="CALC Percent Total [1] 10 6 3" xfId="35305"/>
    <cellStyle name="CALC Percent Total [1] 10 6 4" xfId="46583"/>
    <cellStyle name="CALC Percent Total [1] 10 7" xfId="20807"/>
    <cellStyle name="CALC Percent Total [1] 10 7 2" xfId="29127"/>
    <cellStyle name="CALC Percent Total [1] 10 7 2 2" xfId="46584"/>
    <cellStyle name="CALC Percent Total [1] 10 7 3" xfId="36216"/>
    <cellStyle name="CALC Percent Total [1] 10 7 4" xfId="46585"/>
    <cellStyle name="CALC Percent Total [1] 10 8" xfId="15530"/>
    <cellStyle name="CALC Percent Total [1] 10 8 2" xfId="23866"/>
    <cellStyle name="CALC Percent Total [1] 10 8 2 2" xfId="46586"/>
    <cellStyle name="CALC Percent Total [1] 10 8 3" xfId="31212"/>
    <cellStyle name="CALC Percent Total [1] 10 8 4" xfId="46587"/>
    <cellStyle name="CALC Percent Total [1] 10 9" xfId="22242"/>
    <cellStyle name="CALC Percent Total [1] 10 9 2" xfId="30541"/>
    <cellStyle name="CALC Percent Total [1] 10 9 2 2" xfId="46588"/>
    <cellStyle name="CALC Percent Total [1] 10 9 3" xfId="37569"/>
    <cellStyle name="CALC Percent Total [1] 10 9 4" xfId="46589"/>
    <cellStyle name="CALC Percent Total [1] 11" xfId="14821"/>
    <cellStyle name="CALC Percent Total [1] 11 10" xfId="23185"/>
    <cellStyle name="CALC Percent Total [1] 11 10 2" xfId="46590"/>
    <cellStyle name="CALC Percent Total [1] 11 11" xfId="46591"/>
    <cellStyle name="CALC Percent Total [1] 11 12" xfId="46592"/>
    <cellStyle name="CALC Percent Total [1] 11 2" xfId="15902"/>
    <cellStyle name="CALC Percent Total [1] 11 2 2" xfId="24220"/>
    <cellStyle name="CALC Percent Total [1] 11 2 2 2" xfId="46593"/>
    <cellStyle name="CALC Percent Total [1] 11 2 3" xfId="31506"/>
    <cellStyle name="CALC Percent Total [1] 11 2 4" xfId="46594"/>
    <cellStyle name="CALC Percent Total [1] 11 3" xfId="16868"/>
    <cellStyle name="CALC Percent Total [1] 11 3 2" xfId="25192"/>
    <cellStyle name="CALC Percent Total [1] 11 3 2 2" xfId="46595"/>
    <cellStyle name="CALC Percent Total [1] 11 3 3" xfId="32439"/>
    <cellStyle name="CALC Percent Total [1] 11 3 4" xfId="46596"/>
    <cellStyle name="CALC Percent Total [1] 11 4" xfId="17895"/>
    <cellStyle name="CALC Percent Total [1] 11 4 2" xfId="26218"/>
    <cellStyle name="CALC Percent Total [1] 11 4 2 2" xfId="46597"/>
    <cellStyle name="CALC Percent Total [1] 11 4 3" xfId="33416"/>
    <cellStyle name="CALC Percent Total [1] 11 4 4" xfId="46598"/>
    <cellStyle name="CALC Percent Total [1] 11 5" xfId="18879"/>
    <cellStyle name="CALC Percent Total [1] 11 5 2" xfId="27199"/>
    <cellStyle name="CALC Percent Total [1] 11 5 2 2" xfId="46599"/>
    <cellStyle name="CALC Percent Total [1] 11 5 3" xfId="34356"/>
    <cellStyle name="CALC Percent Total [1] 11 5 4" xfId="46600"/>
    <cellStyle name="CALC Percent Total [1] 11 6" xfId="19847"/>
    <cellStyle name="CALC Percent Total [1] 11 6 2" xfId="28169"/>
    <cellStyle name="CALC Percent Total [1] 11 6 2 2" xfId="46601"/>
    <cellStyle name="CALC Percent Total [1] 11 6 3" xfId="35303"/>
    <cellStyle name="CALC Percent Total [1] 11 6 4" xfId="46602"/>
    <cellStyle name="CALC Percent Total [1] 11 7" xfId="20805"/>
    <cellStyle name="CALC Percent Total [1] 11 7 2" xfId="29125"/>
    <cellStyle name="CALC Percent Total [1] 11 7 2 2" xfId="46603"/>
    <cellStyle name="CALC Percent Total [1] 11 7 3" xfId="36214"/>
    <cellStyle name="CALC Percent Total [1] 11 7 4" xfId="46604"/>
    <cellStyle name="CALC Percent Total [1] 11 8" xfId="21128"/>
    <cellStyle name="CALC Percent Total [1] 11 8 2" xfId="29442"/>
    <cellStyle name="CALC Percent Total [1] 11 8 2 2" xfId="46605"/>
    <cellStyle name="CALC Percent Total [1] 11 8 3" xfId="36515"/>
    <cellStyle name="CALC Percent Total [1] 11 8 4" xfId="46606"/>
    <cellStyle name="CALC Percent Total [1] 11 9" xfId="22240"/>
    <cellStyle name="CALC Percent Total [1] 11 9 2" xfId="30539"/>
    <cellStyle name="CALC Percent Total [1] 11 9 2 2" xfId="46607"/>
    <cellStyle name="CALC Percent Total [1] 11 9 3" xfId="37567"/>
    <cellStyle name="CALC Percent Total [1] 11 9 4" xfId="46608"/>
    <cellStyle name="CALC Percent Total [1] 12" xfId="14939"/>
    <cellStyle name="CALC Percent Total [1] 12 10" xfId="23302"/>
    <cellStyle name="CALC Percent Total [1] 12 10 2" xfId="46609"/>
    <cellStyle name="CALC Percent Total [1] 12 11" xfId="46610"/>
    <cellStyle name="CALC Percent Total [1] 12 12" xfId="46611"/>
    <cellStyle name="CALC Percent Total [1] 12 2" xfId="16020"/>
    <cellStyle name="CALC Percent Total [1] 12 2 2" xfId="24337"/>
    <cellStyle name="CALC Percent Total [1] 12 2 2 2" xfId="46612"/>
    <cellStyle name="CALC Percent Total [1] 12 2 3" xfId="31617"/>
    <cellStyle name="CALC Percent Total [1] 12 2 4" xfId="46613"/>
    <cellStyle name="CALC Percent Total [1] 12 3" xfId="16986"/>
    <cellStyle name="CALC Percent Total [1] 12 3 2" xfId="25309"/>
    <cellStyle name="CALC Percent Total [1] 12 3 2 2" xfId="46614"/>
    <cellStyle name="CALC Percent Total [1] 12 3 3" xfId="32550"/>
    <cellStyle name="CALC Percent Total [1] 12 3 4" xfId="46615"/>
    <cellStyle name="CALC Percent Total [1] 12 4" xfId="18013"/>
    <cellStyle name="CALC Percent Total [1] 12 4 2" xfId="26335"/>
    <cellStyle name="CALC Percent Total [1] 12 4 2 2" xfId="46616"/>
    <cellStyle name="CALC Percent Total [1] 12 4 3" xfId="33527"/>
    <cellStyle name="CALC Percent Total [1] 12 4 4" xfId="46617"/>
    <cellStyle name="CALC Percent Total [1] 12 5" xfId="18997"/>
    <cellStyle name="CALC Percent Total [1] 12 5 2" xfId="27317"/>
    <cellStyle name="CALC Percent Total [1] 12 5 2 2" xfId="46618"/>
    <cellStyle name="CALC Percent Total [1] 12 5 3" xfId="34468"/>
    <cellStyle name="CALC Percent Total [1] 12 5 4" xfId="46619"/>
    <cellStyle name="CALC Percent Total [1] 12 6" xfId="19965"/>
    <cellStyle name="CALC Percent Total [1] 12 6 2" xfId="28287"/>
    <cellStyle name="CALC Percent Total [1] 12 6 2 2" xfId="46620"/>
    <cellStyle name="CALC Percent Total [1] 12 6 3" xfId="35415"/>
    <cellStyle name="CALC Percent Total [1] 12 6 4" xfId="46621"/>
    <cellStyle name="CALC Percent Total [1] 12 7" xfId="20923"/>
    <cellStyle name="CALC Percent Total [1] 12 7 2" xfId="29242"/>
    <cellStyle name="CALC Percent Total [1] 12 7 2 2" xfId="46622"/>
    <cellStyle name="CALC Percent Total [1] 12 7 3" xfId="36325"/>
    <cellStyle name="CALC Percent Total [1] 12 7 4" xfId="46623"/>
    <cellStyle name="CALC Percent Total [1] 12 8" xfId="21430"/>
    <cellStyle name="CALC Percent Total [1] 12 8 2" xfId="29733"/>
    <cellStyle name="CALC Percent Total [1] 12 8 2 2" xfId="46624"/>
    <cellStyle name="CALC Percent Total [1] 12 8 3" xfId="36795"/>
    <cellStyle name="CALC Percent Total [1] 12 8 4" xfId="46625"/>
    <cellStyle name="CALC Percent Total [1] 12 9" xfId="22358"/>
    <cellStyle name="CALC Percent Total [1] 12 9 2" xfId="30656"/>
    <cellStyle name="CALC Percent Total [1] 12 9 2 2" xfId="46626"/>
    <cellStyle name="CALC Percent Total [1] 12 9 3" xfId="37678"/>
    <cellStyle name="CALC Percent Total [1] 12 9 4" xfId="46627"/>
    <cellStyle name="CALC Percent Total [1] 13" xfId="15024"/>
    <cellStyle name="CALC Percent Total [1] 13 10" xfId="23384"/>
    <cellStyle name="CALC Percent Total [1] 13 10 2" xfId="46628"/>
    <cellStyle name="CALC Percent Total [1] 13 11" xfId="46629"/>
    <cellStyle name="CALC Percent Total [1] 13 12" xfId="46630"/>
    <cellStyle name="CALC Percent Total [1] 13 2" xfId="16104"/>
    <cellStyle name="CALC Percent Total [1] 13 2 2" xfId="24419"/>
    <cellStyle name="CALC Percent Total [1] 13 2 2 2" xfId="46631"/>
    <cellStyle name="CALC Percent Total [1] 13 2 3" xfId="31697"/>
    <cellStyle name="CALC Percent Total [1] 13 2 4" xfId="46632"/>
    <cellStyle name="CALC Percent Total [1] 13 3" xfId="17071"/>
    <cellStyle name="CALC Percent Total [1] 13 3 2" xfId="25392"/>
    <cellStyle name="CALC Percent Total [1] 13 3 2 2" xfId="46633"/>
    <cellStyle name="CALC Percent Total [1] 13 3 3" xfId="32631"/>
    <cellStyle name="CALC Percent Total [1] 13 3 4" xfId="46634"/>
    <cellStyle name="CALC Percent Total [1] 13 4" xfId="18098"/>
    <cellStyle name="CALC Percent Total [1] 13 4 2" xfId="26418"/>
    <cellStyle name="CALC Percent Total [1] 13 4 2 2" xfId="46635"/>
    <cellStyle name="CALC Percent Total [1] 13 4 3" xfId="33608"/>
    <cellStyle name="CALC Percent Total [1] 13 4 4" xfId="46636"/>
    <cellStyle name="CALC Percent Total [1] 13 5" xfId="19082"/>
    <cellStyle name="CALC Percent Total [1] 13 5 2" xfId="27402"/>
    <cellStyle name="CALC Percent Total [1] 13 5 2 2" xfId="46637"/>
    <cellStyle name="CALC Percent Total [1] 13 5 3" xfId="34551"/>
    <cellStyle name="CALC Percent Total [1] 13 5 4" xfId="46638"/>
    <cellStyle name="CALC Percent Total [1] 13 6" xfId="20050"/>
    <cellStyle name="CALC Percent Total [1] 13 6 2" xfId="28372"/>
    <cellStyle name="CALC Percent Total [1] 13 6 2 2" xfId="46639"/>
    <cellStyle name="CALC Percent Total [1] 13 6 3" xfId="35498"/>
    <cellStyle name="CALC Percent Total [1] 13 6 4" xfId="46640"/>
    <cellStyle name="CALC Percent Total [1] 13 7" xfId="21007"/>
    <cellStyle name="CALC Percent Total [1] 13 7 2" xfId="29324"/>
    <cellStyle name="CALC Percent Total [1] 13 7 2 2" xfId="46641"/>
    <cellStyle name="CALC Percent Total [1] 13 7 3" xfId="36405"/>
    <cellStyle name="CALC Percent Total [1] 13 7 4" xfId="46642"/>
    <cellStyle name="CALC Percent Total [1] 13 8" xfId="21514"/>
    <cellStyle name="CALC Percent Total [1] 13 8 2" xfId="29815"/>
    <cellStyle name="CALC Percent Total [1] 13 8 2 2" xfId="46643"/>
    <cellStyle name="CALC Percent Total [1] 13 8 3" xfId="36875"/>
    <cellStyle name="CALC Percent Total [1] 13 8 4" xfId="46644"/>
    <cellStyle name="CALC Percent Total [1] 13 9" xfId="22442"/>
    <cellStyle name="CALC Percent Total [1] 13 9 2" xfId="30738"/>
    <cellStyle name="CALC Percent Total [1] 13 9 2 2" xfId="46645"/>
    <cellStyle name="CALC Percent Total [1] 13 9 3" xfId="37758"/>
    <cellStyle name="CALC Percent Total [1] 13 9 4" xfId="46646"/>
    <cellStyle name="CALC Percent Total [1] 14" xfId="14989"/>
    <cellStyle name="CALC Percent Total [1] 14 10" xfId="23350"/>
    <cellStyle name="CALC Percent Total [1] 14 10 2" xfId="46647"/>
    <cellStyle name="CALC Percent Total [1] 14 11" xfId="46648"/>
    <cellStyle name="CALC Percent Total [1] 14 12" xfId="46649"/>
    <cellStyle name="CALC Percent Total [1] 14 2" xfId="16070"/>
    <cellStyle name="CALC Percent Total [1] 14 2 2" xfId="24385"/>
    <cellStyle name="CALC Percent Total [1] 14 2 2 2" xfId="46650"/>
    <cellStyle name="CALC Percent Total [1] 14 2 3" xfId="31664"/>
    <cellStyle name="CALC Percent Total [1] 14 2 4" xfId="46651"/>
    <cellStyle name="CALC Percent Total [1] 14 3" xfId="17036"/>
    <cellStyle name="CALC Percent Total [1] 14 3 2" xfId="25357"/>
    <cellStyle name="CALC Percent Total [1] 14 3 2 2" xfId="46652"/>
    <cellStyle name="CALC Percent Total [1] 14 3 3" xfId="32597"/>
    <cellStyle name="CALC Percent Total [1] 14 3 4" xfId="46653"/>
    <cellStyle name="CALC Percent Total [1] 14 4" xfId="18063"/>
    <cellStyle name="CALC Percent Total [1] 14 4 2" xfId="26383"/>
    <cellStyle name="CALC Percent Total [1] 14 4 2 2" xfId="46654"/>
    <cellStyle name="CALC Percent Total [1] 14 4 3" xfId="33574"/>
    <cellStyle name="CALC Percent Total [1] 14 4 4" xfId="46655"/>
    <cellStyle name="CALC Percent Total [1] 14 5" xfId="19047"/>
    <cellStyle name="CALC Percent Total [1] 14 5 2" xfId="27367"/>
    <cellStyle name="CALC Percent Total [1] 14 5 2 2" xfId="46656"/>
    <cellStyle name="CALC Percent Total [1] 14 5 3" xfId="34517"/>
    <cellStyle name="CALC Percent Total [1] 14 5 4" xfId="46657"/>
    <cellStyle name="CALC Percent Total [1] 14 6" xfId="20015"/>
    <cellStyle name="CALC Percent Total [1] 14 6 2" xfId="28337"/>
    <cellStyle name="CALC Percent Total [1] 14 6 2 2" xfId="46658"/>
    <cellStyle name="CALC Percent Total [1] 14 6 3" xfId="35464"/>
    <cellStyle name="CALC Percent Total [1] 14 6 4" xfId="46659"/>
    <cellStyle name="CALC Percent Total [1] 14 7" xfId="20973"/>
    <cellStyle name="CALC Percent Total [1] 14 7 2" xfId="29290"/>
    <cellStyle name="CALC Percent Total [1] 14 7 2 2" xfId="46660"/>
    <cellStyle name="CALC Percent Total [1] 14 7 3" xfId="36372"/>
    <cellStyle name="CALC Percent Total [1] 14 7 4" xfId="46661"/>
    <cellStyle name="CALC Percent Total [1] 14 8" xfId="21480"/>
    <cellStyle name="CALC Percent Total [1] 14 8 2" xfId="29781"/>
    <cellStyle name="CALC Percent Total [1] 14 8 2 2" xfId="46662"/>
    <cellStyle name="CALC Percent Total [1] 14 8 3" xfId="36842"/>
    <cellStyle name="CALC Percent Total [1] 14 8 4" xfId="46663"/>
    <cellStyle name="CALC Percent Total [1] 14 9" xfId="22408"/>
    <cellStyle name="CALC Percent Total [1] 14 9 2" xfId="30704"/>
    <cellStyle name="CALC Percent Total [1] 14 9 2 2" xfId="46664"/>
    <cellStyle name="CALC Percent Total [1] 14 9 3" xfId="37725"/>
    <cellStyle name="CALC Percent Total [1] 14 9 4" xfId="46665"/>
    <cellStyle name="CALC Percent Total [1] 15" xfId="15122"/>
    <cellStyle name="CALC Percent Total [1] 15 10" xfId="46666"/>
    <cellStyle name="CALC Percent Total [1] 15 11" xfId="46667"/>
    <cellStyle name="CALC Percent Total [1] 15 2" xfId="16202"/>
    <cellStyle name="CALC Percent Total [1] 15 2 2" xfId="24515"/>
    <cellStyle name="CALC Percent Total [1] 15 2 2 2" xfId="46668"/>
    <cellStyle name="CALC Percent Total [1] 15 2 3" xfId="31792"/>
    <cellStyle name="CALC Percent Total [1] 15 2 4" xfId="46669"/>
    <cellStyle name="CALC Percent Total [1] 15 3" xfId="17168"/>
    <cellStyle name="CALC Percent Total [1] 15 3 2" xfId="25489"/>
    <cellStyle name="CALC Percent Total [1] 15 3 2 2" xfId="46670"/>
    <cellStyle name="CALC Percent Total [1] 15 3 3" xfId="32725"/>
    <cellStyle name="CALC Percent Total [1] 15 3 4" xfId="46671"/>
    <cellStyle name="CALC Percent Total [1] 15 4" xfId="18196"/>
    <cellStyle name="CALC Percent Total [1] 15 4 2" xfId="26516"/>
    <cellStyle name="CALC Percent Total [1] 15 4 2 2" xfId="46672"/>
    <cellStyle name="CALC Percent Total [1] 15 4 3" xfId="33703"/>
    <cellStyle name="CALC Percent Total [1] 15 4 4" xfId="46673"/>
    <cellStyle name="CALC Percent Total [1] 15 5" xfId="19180"/>
    <cellStyle name="CALC Percent Total [1] 15 5 2" xfId="27500"/>
    <cellStyle name="CALC Percent Total [1] 15 5 2 2" xfId="46674"/>
    <cellStyle name="CALC Percent Total [1] 15 5 3" xfId="34648"/>
    <cellStyle name="CALC Percent Total [1] 15 5 4" xfId="46675"/>
    <cellStyle name="CALC Percent Total [1] 15 6" xfId="20148"/>
    <cellStyle name="CALC Percent Total [1] 15 6 2" xfId="28470"/>
    <cellStyle name="CALC Percent Total [1] 15 6 2 2" xfId="46676"/>
    <cellStyle name="CALC Percent Total [1] 15 6 3" xfId="35595"/>
    <cellStyle name="CALC Percent Total [1] 15 6 4" xfId="46677"/>
    <cellStyle name="CALC Percent Total [1] 15 7" xfId="21609"/>
    <cellStyle name="CALC Percent Total [1] 15 7 2" xfId="29910"/>
    <cellStyle name="CALC Percent Total [1] 15 7 2 2" xfId="46678"/>
    <cellStyle name="CALC Percent Total [1] 15 7 3" xfId="36969"/>
    <cellStyle name="CALC Percent Total [1] 15 7 4" xfId="46679"/>
    <cellStyle name="CALC Percent Total [1] 15 8" xfId="22537"/>
    <cellStyle name="CALC Percent Total [1] 15 8 2" xfId="30833"/>
    <cellStyle name="CALC Percent Total [1] 15 8 2 2" xfId="46680"/>
    <cellStyle name="CALC Percent Total [1] 15 8 3" xfId="37852"/>
    <cellStyle name="CALC Percent Total [1] 15 8 4" xfId="46681"/>
    <cellStyle name="CALC Percent Total [1] 15 9" xfId="23479"/>
    <cellStyle name="CALC Percent Total [1] 15 9 2" xfId="46682"/>
    <cellStyle name="CALC Percent Total [1] 16" xfId="15091"/>
    <cellStyle name="CALC Percent Total [1] 16 10" xfId="46683"/>
    <cellStyle name="CALC Percent Total [1] 16 11" xfId="46684"/>
    <cellStyle name="CALC Percent Total [1] 16 2" xfId="16171"/>
    <cellStyle name="CALC Percent Total [1] 16 2 2" xfId="24484"/>
    <cellStyle name="CALC Percent Total [1] 16 2 2 2" xfId="46685"/>
    <cellStyle name="CALC Percent Total [1] 16 2 3" xfId="31761"/>
    <cellStyle name="CALC Percent Total [1] 16 2 4" xfId="46686"/>
    <cellStyle name="CALC Percent Total [1] 16 3" xfId="17137"/>
    <cellStyle name="CALC Percent Total [1] 16 3 2" xfId="25458"/>
    <cellStyle name="CALC Percent Total [1] 16 3 2 2" xfId="46687"/>
    <cellStyle name="CALC Percent Total [1] 16 3 3" xfId="32694"/>
    <cellStyle name="CALC Percent Total [1] 16 3 4" xfId="46688"/>
    <cellStyle name="CALC Percent Total [1] 16 4" xfId="18165"/>
    <cellStyle name="CALC Percent Total [1] 16 4 2" xfId="26485"/>
    <cellStyle name="CALC Percent Total [1] 16 4 2 2" xfId="46689"/>
    <cellStyle name="CALC Percent Total [1] 16 4 3" xfId="33672"/>
    <cellStyle name="CALC Percent Total [1] 16 4 4" xfId="46690"/>
    <cellStyle name="CALC Percent Total [1] 16 5" xfId="19149"/>
    <cellStyle name="CALC Percent Total [1] 16 5 2" xfId="27469"/>
    <cellStyle name="CALC Percent Total [1] 16 5 2 2" xfId="46691"/>
    <cellStyle name="CALC Percent Total [1] 16 5 3" xfId="34617"/>
    <cellStyle name="CALC Percent Total [1] 16 5 4" xfId="46692"/>
    <cellStyle name="CALC Percent Total [1] 16 6" xfId="20117"/>
    <cellStyle name="CALC Percent Total [1] 16 6 2" xfId="28439"/>
    <cellStyle name="CALC Percent Total [1] 16 6 2 2" xfId="46693"/>
    <cellStyle name="CALC Percent Total [1] 16 6 3" xfId="35564"/>
    <cellStyle name="CALC Percent Total [1] 16 6 4" xfId="46694"/>
    <cellStyle name="CALC Percent Total [1] 16 7" xfId="21578"/>
    <cellStyle name="CALC Percent Total [1] 16 7 2" xfId="29879"/>
    <cellStyle name="CALC Percent Total [1] 16 7 2 2" xfId="46695"/>
    <cellStyle name="CALC Percent Total [1] 16 7 3" xfId="36938"/>
    <cellStyle name="CALC Percent Total [1] 16 7 4" xfId="46696"/>
    <cellStyle name="CALC Percent Total [1] 16 8" xfId="22506"/>
    <cellStyle name="CALC Percent Total [1] 16 8 2" xfId="30802"/>
    <cellStyle name="CALC Percent Total [1] 16 8 2 2" xfId="46697"/>
    <cellStyle name="CALC Percent Total [1] 16 8 3" xfId="37821"/>
    <cellStyle name="CALC Percent Total [1] 16 8 4" xfId="46698"/>
    <cellStyle name="CALC Percent Total [1] 16 9" xfId="23448"/>
    <cellStyle name="CALC Percent Total [1] 16 9 2" xfId="46699"/>
    <cellStyle name="CALC Percent Total [1] 17" xfId="15109"/>
    <cellStyle name="CALC Percent Total [1] 17 10" xfId="46700"/>
    <cellStyle name="CALC Percent Total [1] 17 11" xfId="46701"/>
    <cellStyle name="CALC Percent Total [1] 17 2" xfId="16189"/>
    <cellStyle name="CALC Percent Total [1] 17 2 2" xfId="24502"/>
    <cellStyle name="CALC Percent Total [1] 17 2 2 2" xfId="46702"/>
    <cellStyle name="CALC Percent Total [1] 17 2 3" xfId="31779"/>
    <cellStyle name="CALC Percent Total [1] 17 2 4" xfId="46703"/>
    <cellStyle name="CALC Percent Total [1] 17 3" xfId="17155"/>
    <cellStyle name="CALC Percent Total [1] 17 3 2" xfId="25476"/>
    <cellStyle name="CALC Percent Total [1] 17 3 2 2" xfId="46704"/>
    <cellStyle name="CALC Percent Total [1] 17 3 3" xfId="32712"/>
    <cellStyle name="CALC Percent Total [1] 17 3 4" xfId="46705"/>
    <cellStyle name="CALC Percent Total [1] 17 4" xfId="18183"/>
    <cellStyle name="CALC Percent Total [1] 17 4 2" xfId="26503"/>
    <cellStyle name="CALC Percent Total [1] 17 4 2 2" xfId="46706"/>
    <cellStyle name="CALC Percent Total [1] 17 4 3" xfId="33690"/>
    <cellStyle name="CALC Percent Total [1] 17 4 4" xfId="46707"/>
    <cellStyle name="CALC Percent Total [1] 17 5" xfId="19167"/>
    <cellStyle name="CALC Percent Total [1] 17 5 2" xfId="27487"/>
    <cellStyle name="CALC Percent Total [1] 17 5 2 2" xfId="46708"/>
    <cellStyle name="CALC Percent Total [1] 17 5 3" xfId="34635"/>
    <cellStyle name="CALC Percent Total [1] 17 5 4" xfId="46709"/>
    <cellStyle name="CALC Percent Total [1] 17 6" xfId="20135"/>
    <cellStyle name="CALC Percent Total [1] 17 6 2" xfId="28457"/>
    <cellStyle name="CALC Percent Total [1] 17 6 2 2" xfId="46710"/>
    <cellStyle name="CALC Percent Total [1] 17 6 3" xfId="35582"/>
    <cellStyle name="CALC Percent Total [1] 17 6 4" xfId="46711"/>
    <cellStyle name="CALC Percent Total [1] 17 7" xfId="21596"/>
    <cellStyle name="CALC Percent Total [1] 17 7 2" xfId="29897"/>
    <cellStyle name="CALC Percent Total [1] 17 7 2 2" xfId="46712"/>
    <cellStyle name="CALC Percent Total [1] 17 7 3" xfId="36956"/>
    <cellStyle name="CALC Percent Total [1] 17 7 4" xfId="46713"/>
    <cellStyle name="CALC Percent Total [1] 17 8" xfId="22524"/>
    <cellStyle name="CALC Percent Total [1] 17 8 2" xfId="30820"/>
    <cellStyle name="CALC Percent Total [1] 17 8 2 2" xfId="46714"/>
    <cellStyle name="CALC Percent Total [1] 17 8 3" xfId="37839"/>
    <cellStyle name="CALC Percent Total [1] 17 8 4" xfId="46715"/>
    <cellStyle name="CALC Percent Total [1] 17 9" xfId="23466"/>
    <cellStyle name="CALC Percent Total [1] 17 9 2" xfId="46716"/>
    <cellStyle name="CALC Percent Total [1] 18" xfId="15099"/>
    <cellStyle name="CALC Percent Total [1] 18 10" xfId="46717"/>
    <cellStyle name="CALC Percent Total [1] 18 11" xfId="46718"/>
    <cellStyle name="CALC Percent Total [1] 18 2" xfId="16179"/>
    <cellStyle name="CALC Percent Total [1] 18 2 2" xfId="24492"/>
    <cellStyle name="CALC Percent Total [1] 18 2 2 2" xfId="46719"/>
    <cellStyle name="CALC Percent Total [1] 18 2 3" xfId="31769"/>
    <cellStyle name="CALC Percent Total [1] 18 2 4" xfId="46720"/>
    <cellStyle name="CALC Percent Total [1] 18 3" xfId="17145"/>
    <cellStyle name="CALC Percent Total [1] 18 3 2" xfId="25466"/>
    <cellStyle name="CALC Percent Total [1] 18 3 2 2" xfId="46721"/>
    <cellStyle name="CALC Percent Total [1] 18 3 3" xfId="32702"/>
    <cellStyle name="CALC Percent Total [1] 18 3 4" xfId="46722"/>
    <cellStyle name="CALC Percent Total [1] 18 4" xfId="18173"/>
    <cellStyle name="CALC Percent Total [1] 18 4 2" xfId="26493"/>
    <cellStyle name="CALC Percent Total [1] 18 4 2 2" xfId="46723"/>
    <cellStyle name="CALC Percent Total [1] 18 4 3" xfId="33680"/>
    <cellStyle name="CALC Percent Total [1] 18 4 4" xfId="46724"/>
    <cellStyle name="CALC Percent Total [1] 18 5" xfId="19157"/>
    <cellStyle name="CALC Percent Total [1] 18 5 2" xfId="27477"/>
    <cellStyle name="CALC Percent Total [1] 18 5 2 2" xfId="46725"/>
    <cellStyle name="CALC Percent Total [1] 18 5 3" xfId="34625"/>
    <cellStyle name="CALC Percent Total [1] 18 5 4" xfId="46726"/>
    <cellStyle name="CALC Percent Total [1] 18 6" xfId="20125"/>
    <cellStyle name="CALC Percent Total [1] 18 6 2" xfId="28447"/>
    <cellStyle name="CALC Percent Total [1] 18 6 2 2" xfId="46727"/>
    <cellStyle name="CALC Percent Total [1] 18 6 3" xfId="35572"/>
    <cellStyle name="CALC Percent Total [1] 18 6 4" xfId="46728"/>
    <cellStyle name="CALC Percent Total [1] 18 7" xfId="21586"/>
    <cellStyle name="CALC Percent Total [1] 18 7 2" xfId="29887"/>
    <cellStyle name="CALC Percent Total [1] 18 7 2 2" xfId="46729"/>
    <cellStyle name="CALC Percent Total [1] 18 7 3" xfId="36946"/>
    <cellStyle name="CALC Percent Total [1] 18 7 4" xfId="46730"/>
    <cellStyle name="CALC Percent Total [1] 18 8" xfId="22514"/>
    <cellStyle name="CALC Percent Total [1] 18 8 2" xfId="30810"/>
    <cellStyle name="CALC Percent Total [1] 18 8 2 2" xfId="46731"/>
    <cellStyle name="CALC Percent Total [1] 18 8 3" xfId="37829"/>
    <cellStyle name="CALC Percent Total [1] 18 8 4" xfId="46732"/>
    <cellStyle name="CALC Percent Total [1] 18 9" xfId="23456"/>
    <cellStyle name="CALC Percent Total [1] 18 9 2" xfId="46733"/>
    <cellStyle name="CALC Percent Total [1] 19" xfId="15243"/>
    <cellStyle name="CALC Percent Total [1] 19 10" xfId="46734"/>
    <cellStyle name="CALC Percent Total [1] 19 11" xfId="46735"/>
    <cellStyle name="CALC Percent Total [1] 19 2" xfId="16323"/>
    <cellStyle name="CALC Percent Total [1] 19 2 2" xfId="24636"/>
    <cellStyle name="CALC Percent Total [1] 19 2 2 2" xfId="46736"/>
    <cellStyle name="CALC Percent Total [1] 19 2 3" xfId="31903"/>
    <cellStyle name="CALC Percent Total [1] 19 2 4" xfId="46737"/>
    <cellStyle name="CALC Percent Total [1] 19 3" xfId="17289"/>
    <cellStyle name="CALC Percent Total [1] 19 3 2" xfId="25610"/>
    <cellStyle name="CALC Percent Total [1] 19 3 2 2" xfId="46738"/>
    <cellStyle name="CALC Percent Total [1] 19 3 3" xfId="32836"/>
    <cellStyle name="CALC Percent Total [1] 19 3 4" xfId="46739"/>
    <cellStyle name="CALC Percent Total [1] 19 4" xfId="18317"/>
    <cellStyle name="CALC Percent Total [1] 19 4 2" xfId="26637"/>
    <cellStyle name="CALC Percent Total [1] 19 4 2 2" xfId="46740"/>
    <cellStyle name="CALC Percent Total [1] 19 4 3" xfId="33814"/>
    <cellStyle name="CALC Percent Total [1] 19 4 4" xfId="46741"/>
    <cellStyle name="CALC Percent Total [1] 19 5" xfId="19301"/>
    <cellStyle name="CALC Percent Total [1] 19 5 2" xfId="27621"/>
    <cellStyle name="CALC Percent Total [1] 19 5 2 2" xfId="46742"/>
    <cellStyle name="CALC Percent Total [1] 19 5 3" xfId="34769"/>
    <cellStyle name="CALC Percent Total [1] 19 5 4" xfId="46743"/>
    <cellStyle name="CALC Percent Total [1] 19 6" xfId="20269"/>
    <cellStyle name="CALC Percent Total [1] 19 6 2" xfId="28591"/>
    <cellStyle name="CALC Percent Total [1] 19 6 2 2" xfId="46744"/>
    <cellStyle name="CALC Percent Total [1] 19 6 3" xfId="35706"/>
    <cellStyle name="CALC Percent Total [1] 19 6 4" xfId="46745"/>
    <cellStyle name="CALC Percent Total [1] 19 7" xfId="21730"/>
    <cellStyle name="CALC Percent Total [1] 19 7 2" xfId="30031"/>
    <cellStyle name="CALC Percent Total [1] 19 7 2 2" xfId="46746"/>
    <cellStyle name="CALC Percent Total [1] 19 7 3" xfId="37080"/>
    <cellStyle name="CALC Percent Total [1] 19 7 4" xfId="46747"/>
    <cellStyle name="CALC Percent Total [1] 19 8" xfId="22658"/>
    <cellStyle name="CALC Percent Total [1] 19 8 2" xfId="30954"/>
    <cellStyle name="CALC Percent Total [1] 19 8 2 2" xfId="46748"/>
    <cellStyle name="CALC Percent Total [1] 19 8 3" xfId="37963"/>
    <cellStyle name="CALC Percent Total [1] 19 8 4" xfId="46749"/>
    <cellStyle name="CALC Percent Total [1] 19 9" xfId="23600"/>
    <cellStyle name="CALC Percent Total [1] 19 9 2" xfId="46750"/>
    <cellStyle name="CALC Percent Total [1] 2" xfId="14473"/>
    <cellStyle name="CALC Percent Total [1] 2 10" xfId="14826"/>
    <cellStyle name="CALC Percent Total [1] 2 10 10" xfId="23190"/>
    <cellStyle name="CALC Percent Total [1] 2 10 10 2" xfId="46751"/>
    <cellStyle name="CALC Percent Total [1] 2 10 11" xfId="46752"/>
    <cellStyle name="CALC Percent Total [1] 2 10 12" xfId="46753"/>
    <cellStyle name="CALC Percent Total [1] 2 10 2" xfId="15907"/>
    <cellStyle name="CALC Percent Total [1] 2 10 2 2" xfId="24225"/>
    <cellStyle name="CALC Percent Total [1] 2 10 2 2 2" xfId="46754"/>
    <cellStyle name="CALC Percent Total [1] 2 10 2 3" xfId="31510"/>
    <cellStyle name="CALC Percent Total [1] 2 10 2 4" xfId="46755"/>
    <cellStyle name="CALC Percent Total [1] 2 10 3" xfId="16873"/>
    <cellStyle name="CALC Percent Total [1] 2 10 3 2" xfId="25197"/>
    <cellStyle name="CALC Percent Total [1] 2 10 3 2 2" xfId="46756"/>
    <cellStyle name="CALC Percent Total [1] 2 10 3 3" xfId="32443"/>
    <cellStyle name="CALC Percent Total [1] 2 10 3 4" xfId="46757"/>
    <cellStyle name="CALC Percent Total [1] 2 10 4" xfId="17900"/>
    <cellStyle name="CALC Percent Total [1] 2 10 4 2" xfId="26223"/>
    <cellStyle name="CALC Percent Total [1] 2 10 4 2 2" xfId="46758"/>
    <cellStyle name="CALC Percent Total [1] 2 10 4 3" xfId="33420"/>
    <cellStyle name="CALC Percent Total [1] 2 10 4 4" xfId="46759"/>
    <cellStyle name="CALC Percent Total [1] 2 10 5" xfId="18884"/>
    <cellStyle name="CALC Percent Total [1] 2 10 5 2" xfId="27204"/>
    <cellStyle name="CALC Percent Total [1] 2 10 5 2 2" xfId="46760"/>
    <cellStyle name="CALC Percent Total [1] 2 10 5 3" xfId="34360"/>
    <cellStyle name="CALC Percent Total [1] 2 10 5 4" xfId="46761"/>
    <cellStyle name="CALC Percent Total [1] 2 10 6" xfId="19852"/>
    <cellStyle name="CALC Percent Total [1] 2 10 6 2" xfId="28174"/>
    <cellStyle name="CALC Percent Total [1] 2 10 6 2 2" xfId="46762"/>
    <cellStyle name="CALC Percent Total [1] 2 10 6 3" xfId="35307"/>
    <cellStyle name="CALC Percent Total [1] 2 10 6 4" xfId="46763"/>
    <cellStyle name="CALC Percent Total [1] 2 10 7" xfId="20810"/>
    <cellStyle name="CALC Percent Total [1] 2 10 7 2" xfId="29130"/>
    <cellStyle name="CALC Percent Total [1] 2 10 7 2 2" xfId="46764"/>
    <cellStyle name="CALC Percent Total [1] 2 10 7 3" xfId="36218"/>
    <cellStyle name="CALC Percent Total [1] 2 10 7 4" xfId="46765"/>
    <cellStyle name="CALC Percent Total [1] 2 10 8" xfId="21109"/>
    <cellStyle name="CALC Percent Total [1] 2 10 8 2" xfId="29423"/>
    <cellStyle name="CALC Percent Total [1] 2 10 8 2 2" xfId="46766"/>
    <cellStyle name="CALC Percent Total [1] 2 10 8 3" xfId="36496"/>
    <cellStyle name="CALC Percent Total [1] 2 10 8 4" xfId="46767"/>
    <cellStyle name="CALC Percent Total [1] 2 10 9" xfId="22245"/>
    <cellStyle name="CALC Percent Total [1] 2 10 9 2" xfId="30544"/>
    <cellStyle name="CALC Percent Total [1] 2 10 9 2 2" xfId="46768"/>
    <cellStyle name="CALC Percent Total [1] 2 10 9 3" xfId="37571"/>
    <cellStyle name="CALC Percent Total [1] 2 10 9 4" xfId="46769"/>
    <cellStyle name="CALC Percent Total [1] 2 11" xfId="14883"/>
    <cellStyle name="CALC Percent Total [1] 2 11 10" xfId="23246"/>
    <cellStyle name="CALC Percent Total [1] 2 11 10 2" xfId="46770"/>
    <cellStyle name="CALC Percent Total [1] 2 11 11" xfId="46771"/>
    <cellStyle name="CALC Percent Total [1] 2 11 12" xfId="46772"/>
    <cellStyle name="CALC Percent Total [1] 2 11 2" xfId="15964"/>
    <cellStyle name="CALC Percent Total [1] 2 11 2 2" xfId="24281"/>
    <cellStyle name="CALC Percent Total [1] 2 11 2 2 2" xfId="46773"/>
    <cellStyle name="CALC Percent Total [1] 2 11 2 3" xfId="31564"/>
    <cellStyle name="CALC Percent Total [1] 2 11 2 4" xfId="46774"/>
    <cellStyle name="CALC Percent Total [1] 2 11 3" xfId="16930"/>
    <cellStyle name="CALC Percent Total [1] 2 11 3 2" xfId="25253"/>
    <cellStyle name="CALC Percent Total [1] 2 11 3 2 2" xfId="46775"/>
    <cellStyle name="CALC Percent Total [1] 2 11 3 3" xfId="32497"/>
    <cellStyle name="CALC Percent Total [1] 2 11 3 4" xfId="46776"/>
    <cellStyle name="CALC Percent Total [1] 2 11 4" xfId="17957"/>
    <cellStyle name="CALC Percent Total [1] 2 11 4 2" xfId="26279"/>
    <cellStyle name="CALC Percent Total [1] 2 11 4 2 2" xfId="46777"/>
    <cellStyle name="CALC Percent Total [1] 2 11 4 3" xfId="33474"/>
    <cellStyle name="CALC Percent Total [1] 2 11 4 4" xfId="46778"/>
    <cellStyle name="CALC Percent Total [1] 2 11 5" xfId="18941"/>
    <cellStyle name="CALC Percent Total [1] 2 11 5 2" xfId="27261"/>
    <cellStyle name="CALC Percent Total [1] 2 11 5 2 2" xfId="46779"/>
    <cellStyle name="CALC Percent Total [1] 2 11 5 3" xfId="34415"/>
    <cellStyle name="CALC Percent Total [1] 2 11 5 4" xfId="46780"/>
    <cellStyle name="CALC Percent Total [1] 2 11 6" xfId="19909"/>
    <cellStyle name="CALC Percent Total [1] 2 11 6 2" xfId="28231"/>
    <cellStyle name="CALC Percent Total [1] 2 11 6 2 2" xfId="46781"/>
    <cellStyle name="CALC Percent Total [1] 2 11 6 3" xfId="35362"/>
    <cellStyle name="CALC Percent Total [1] 2 11 6 4" xfId="46782"/>
    <cellStyle name="CALC Percent Total [1] 2 11 7" xfId="20867"/>
    <cellStyle name="CALC Percent Total [1] 2 11 7 2" xfId="29186"/>
    <cellStyle name="CALC Percent Total [1] 2 11 7 2 2" xfId="46783"/>
    <cellStyle name="CALC Percent Total [1] 2 11 7 3" xfId="36272"/>
    <cellStyle name="CALC Percent Total [1] 2 11 7 4" xfId="46784"/>
    <cellStyle name="CALC Percent Total [1] 2 11 8" xfId="17575"/>
    <cellStyle name="CALC Percent Total [1] 2 11 8 2" xfId="25894"/>
    <cellStyle name="CALC Percent Total [1] 2 11 8 2 2" xfId="46785"/>
    <cellStyle name="CALC Percent Total [1] 2 11 8 3" xfId="33107"/>
    <cellStyle name="CALC Percent Total [1] 2 11 8 4" xfId="46786"/>
    <cellStyle name="CALC Percent Total [1] 2 11 9" xfId="22302"/>
    <cellStyle name="CALC Percent Total [1] 2 11 9 2" xfId="30600"/>
    <cellStyle name="CALC Percent Total [1] 2 11 9 2 2" xfId="46787"/>
    <cellStyle name="CALC Percent Total [1] 2 11 9 3" xfId="37625"/>
    <cellStyle name="CALC Percent Total [1] 2 11 9 4" xfId="46788"/>
    <cellStyle name="CALC Percent Total [1] 2 12" xfId="14899"/>
    <cellStyle name="CALC Percent Total [1] 2 12 10" xfId="23262"/>
    <cellStyle name="CALC Percent Total [1] 2 12 10 2" xfId="46789"/>
    <cellStyle name="CALC Percent Total [1] 2 12 11" xfId="46790"/>
    <cellStyle name="CALC Percent Total [1] 2 12 12" xfId="46791"/>
    <cellStyle name="CALC Percent Total [1] 2 12 2" xfId="15980"/>
    <cellStyle name="CALC Percent Total [1] 2 12 2 2" xfId="24297"/>
    <cellStyle name="CALC Percent Total [1] 2 12 2 2 2" xfId="46792"/>
    <cellStyle name="CALC Percent Total [1] 2 12 2 3" xfId="31578"/>
    <cellStyle name="CALC Percent Total [1] 2 12 2 4" xfId="46793"/>
    <cellStyle name="CALC Percent Total [1] 2 12 3" xfId="16946"/>
    <cellStyle name="CALC Percent Total [1] 2 12 3 2" xfId="25269"/>
    <cellStyle name="CALC Percent Total [1] 2 12 3 2 2" xfId="46794"/>
    <cellStyle name="CALC Percent Total [1] 2 12 3 3" xfId="32511"/>
    <cellStyle name="CALC Percent Total [1] 2 12 3 4" xfId="46795"/>
    <cellStyle name="CALC Percent Total [1] 2 12 4" xfId="17973"/>
    <cellStyle name="CALC Percent Total [1] 2 12 4 2" xfId="26295"/>
    <cellStyle name="CALC Percent Total [1] 2 12 4 2 2" xfId="46796"/>
    <cellStyle name="CALC Percent Total [1] 2 12 4 3" xfId="33488"/>
    <cellStyle name="CALC Percent Total [1] 2 12 4 4" xfId="46797"/>
    <cellStyle name="CALC Percent Total [1] 2 12 5" xfId="18957"/>
    <cellStyle name="CALC Percent Total [1] 2 12 5 2" xfId="27277"/>
    <cellStyle name="CALC Percent Total [1] 2 12 5 2 2" xfId="46798"/>
    <cellStyle name="CALC Percent Total [1] 2 12 5 3" xfId="34429"/>
    <cellStyle name="CALC Percent Total [1] 2 12 5 4" xfId="46799"/>
    <cellStyle name="CALC Percent Total [1] 2 12 6" xfId="19925"/>
    <cellStyle name="CALC Percent Total [1] 2 12 6 2" xfId="28247"/>
    <cellStyle name="CALC Percent Total [1] 2 12 6 2 2" xfId="46800"/>
    <cellStyle name="CALC Percent Total [1] 2 12 6 3" xfId="35376"/>
    <cellStyle name="CALC Percent Total [1] 2 12 6 4" xfId="46801"/>
    <cellStyle name="CALC Percent Total [1] 2 12 7" xfId="20883"/>
    <cellStyle name="CALC Percent Total [1] 2 12 7 2" xfId="29202"/>
    <cellStyle name="CALC Percent Total [1] 2 12 7 2 2" xfId="46802"/>
    <cellStyle name="CALC Percent Total [1] 2 12 7 3" xfId="36286"/>
    <cellStyle name="CALC Percent Total [1] 2 12 7 4" xfId="46803"/>
    <cellStyle name="CALC Percent Total [1] 2 12 8" xfId="21390"/>
    <cellStyle name="CALC Percent Total [1] 2 12 8 2" xfId="29693"/>
    <cellStyle name="CALC Percent Total [1] 2 12 8 2 2" xfId="46804"/>
    <cellStyle name="CALC Percent Total [1] 2 12 8 3" xfId="36756"/>
    <cellStyle name="CALC Percent Total [1] 2 12 8 4" xfId="46805"/>
    <cellStyle name="CALC Percent Total [1] 2 12 9" xfId="22318"/>
    <cellStyle name="CALC Percent Total [1] 2 12 9 2" xfId="30616"/>
    <cellStyle name="CALC Percent Total [1] 2 12 9 2 2" xfId="46806"/>
    <cellStyle name="CALC Percent Total [1] 2 12 9 3" xfId="37639"/>
    <cellStyle name="CALC Percent Total [1] 2 12 9 4" xfId="46807"/>
    <cellStyle name="CALC Percent Total [1] 2 13" xfId="14958"/>
    <cellStyle name="CALC Percent Total [1] 2 13 10" xfId="23320"/>
    <cellStyle name="CALC Percent Total [1] 2 13 10 2" xfId="46808"/>
    <cellStyle name="CALC Percent Total [1] 2 13 11" xfId="46809"/>
    <cellStyle name="CALC Percent Total [1] 2 13 12" xfId="46810"/>
    <cellStyle name="CALC Percent Total [1] 2 13 2" xfId="16039"/>
    <cellStyle name="CALC Percent Total [1] 2 13 2 2" xfId="24355"/>
    <cellStyle name="CALC Percent Total [1] 2 13 2 2 2" xfId="46811"/>
    <cellStyle name="CALC Percent Total [1] 2 13 2 3" xfId="31635"/>
    <cellStyle name="CALC Percent Total [1] 2 13 2 4" xfId="46812"/>
    <cellStyle name="CALC Percent Total [1] 2 13 3" xfId="17005"/>
    <cellStyle name="CALC Percent Total [1] 2 13 3 2" xfId="25327"/>
    <cellStyle name="CALC Percent Total [1] 2 13 3 2 2" xfId="46813"/>
    <cellStyle name="CALC Percent Total [1] 2 13 3 3" xfId="32568"/>
    <cellStyle name="CALC Percent Total [1] 2 13 3 4" xfId="46814"/>
    <cellStyle name="CALC Percent Total [1] 2 13 4" xfId="18032"/>
    <cellStyle name="CALC Percent Total [1] 2 13 4 2" xfId="26353"/>
    <cellStyle name="CALC Percent Total [1] 2 13 4 2 2" xfId="46815"/>
    <cellStyle name="CALC Percent Total [1] 2 13 4 3" xfId="33545"/>
    <cellStyle name="CALC Percent Total [1] 2 13 4 4" xfId="46816"/>
    <cellStyle name="CALC Percent Total [1] 2 13 5" xfId="19016"/>
    <cellStyle name="CALC Percent Total [1] 2 13 5 2" xfId="27336"/>
    <cellStyle name="CALC Percent Total [1] 2 13 5 2 2" xfId="46817"/>
    <cellStyle name="CALC Percent Total [1] 2 13 5 3" xfId="34487"/>
    <cellStyle name="CALC Percent Total [1] 2 13 5 4" xfId="46818"/>
    <cellStyle name="CALC Percent Total [1] 2 13 6" xfId="19984"/>
    <cellStyle name="CALC Percent Total [1] 2 13 6 2" xfId="28306"/>
    <cellStyle name="CALC Percent Total [1] 2 13 6 2 2" xfId="46819"/>
    <cellStyle name="CALC Percent Total [1] 2 13 6 3" xfId="35434"/>
    <cellStyle name="CALC Percent Total [1] 2 13 6 4" xfId="46820"/>
    <cellStyle name="CALC Percent Total [1] 2 13 7" xfId="20942"/>
    <cellStyle name="CALC Percent Total [1] 2 13 7 2" xfId="29260"/>
    <cellStyle name="CALC Percent Total [1] 2 13 7 2 2" xfId="46821"/>
    <cellStyle name="CALC Percent Total [1] 2 13 7 3" xfId="36343"/>
    <cellStyle name="CALC Percent Total [1] 2 13 7 4" xfId="46822"/>
    <cellStyle name="CALC Percent Total [1] 2 13 8" xfId="21449"/>
    <cellStyle name="CALC Percent Total [1] 2 13 8 2" xfId="29751"/>
    <cellStyle name="CALC Percent Total [1] 2 13 8 2 2" xfId="46823"/>
    <cellStyle name="CALC Percent Total [1] 2 13 8 3" xfId="36813"/>
    <cellStyle name="CALC Percent Total [1] 2 13 8 4" xfId="46824"/>
    <cellStyle name="CALC Percent Total [1] 2 13 9" xfId="22377"/>
    <cellStyle name="CALC Percent Total [1] 2 13 9 2" xfId="30674"/>
    <cellStyle name="CALC Percent Total [1] 2 13 9 2 2" xfId="46825"/>
    <cellStyle name="CALC Percent Total [1] 2 13 9 3" xfId="37696"/>
    <cellStyle name="CALC Percent Total [1] 2 13 9 4" xfId="46826"/>
    <cellStyle name="CALC Percent Total [1] 2 14" xfId="15034"/>
    <cellStyle name="CALC Percent Total [1] 2 14 10" xfId="23394"/>
    <cellStyle name="CALC Percent Total [1] 2 14 10 2" xfId="46827"/>
    <cellStyle name="CALC Percent Total [1] 2 14 11" xfId="46828"/>
    <cellStyle name="CALC Percent Total [1] 2 14 12" xfId="46829"/>
    <cellStyle name="CALC Percent Total [1] 2 14 2" xfId="16114"/>
    <cellStyle name="CALC Percent Total [1] 2 14 2 2" xfId="24429"/>
    <cellStyle name="CALC Percent Total [1] 2 14 2 2 2" xfId="46830"/>
    <cellStyle name="CALC Percent Total [1] 2 14 2 3" xfId="31707"/>
    <cellStyle name="CALC Percent Total [1] 2 14 2 4" xfId="46831"/>
    <cellStyle name="CALC Percent Total [1] 2 14 3" xfId="17081"/>
    <cellStyle name="CALC Percent Total [1] 2 14 3 2" xfId="25402"/>
    <cellStyle name="CALC Percent Total [1] 2 14 3 2 2" xfId="46832"/>
    <cellStyle name="CALC Percent Total [1] 2 14 3 3" xfId="32641"/>
    <cellStyle name="CALC Percent Total [1] 2 14 3 4" xfId="46833"/>
    <cellStyle name="CALC Percent Total [1] 2 14 4" xfId="18108"/>
    <cellStyle name="CALC Percent Total [1] 2 14 4 2" xfId="26428"/>
    <cellStyle name="CALC Percent Total [1] 2 14 4 2 2" xfId="46834"/>
    <cellStyle name="CALC Percent Total [1] 2 14 4 3" xfId="33618"/>
    <cellStyle name="CALC Percent Total [1] 2 14 4 4" xfId="46835"/>
    <cellStyle name="CALC Percent Total [1] 2 14 5" xfId="19092"/>
    <cellStyle name="CALC Percent Total [1] 2 14 5 2" xfId="27412"/>
    <cellStyle name="CALC Percent Total [1] 2 14 5 2 2" xfId="46836"/>
    <cellStyle name="CALC Percent Total [1] 2 14 5 3" xfId="34561"/>
    <cellStyle name="CALC Percent Total [1] 2 14 5 4" xfId="46837"/>
    <cellStyle name="CALC Percent Total [1] 2 14 6" xfId="20060"/>
    <cellStyle name="CALC Percent Total [1] 2 14 6 2" xfId="28382"/>
    <cellStyle name="CALC Percent Total [1] 2 14 6 2 2" xfId="46838"/>
    <cellStyle name="CALC Percent Total [1] 2 14 6 3" xfId="35508"/>
    <cellStyle name="CALC Percent Total [1] 2 14 6 4" xfId="46839"/>
    <cellStyle name="CALC Percent Total [1] 2 14 7" xfId="21017"/>
    <cellStyle name="CALC Percent Total [1] 2 14 7 2" xfId="29334"/>
    <cellStyle name="CALC Percent Total [1] 2 14 7 2 2" xfId="46840"/>
    <cellStyle name="CALC Percent Total [1] 2 14 7 3" xfId="36415"/>
    <cellStyle name="CALC Percent Total [1] 2 14 7 4" xfId="46841"/>
    <cellStyle name="CALC Percent Total [1] 2 14 8" xfId="21524"/>
    <cellStyle name="CALC Percent Total [1] 2 14 8 2" xfId="29825"/>
    <cellStyle name="CALC Percent Total [1] 2 14 8 2 2" xfId="46842"/>
    <cellStyle name="CALC Percent Total [1] 2 14 8 3" xfId="36885"/>
    <cellStyle name="CALC Percent Total [1] 2 14 8 4" xfId="46843"/>
    <cellStyle name="CALC Percent Total [1] 2 14 9" xfId="22452"/>
    <cellStyle name="CALC Percent Total [1] 2 14 9 2" xfId="30748"/>
    <cellStyle name="CALC Percent Total [1] 2 14 9 2 2" xfId="46844"/>
    <cellStyle name="CALC Percent Total [1] 2 14 9 3" xfId="37768"/>
    <cellStyle name="CALC Percent Total [1] 2 14 9 4" xfId="46845"/>
    <cellStyle name="CALC Percent Total [1] 2 15" xfId="15063"/>
    <cellStyle name="CALC Percent Total [1] 2 15 10" xfId="23423"/>
    <cellStyle name="CALC Percent Total [1] 2 15 10 2" xfId="46846"/>
    <cellStyle name="CALC Percent Total [1] 2 15 11" xfId="46847"/>
    <cellStyle name="CALC Percent Total [1] 2 15 12" xfId="46848"/>
    <cellStyle name="CALC Percent Total [1] 2 15 2" xfId="16143"/>
    <cellStyle name="CALC Percent Total [1] 2 15 2 2" xfId="24458"/>
    <cellStyle name="CALC Percent Total [1] 2 15 2 2 2" xfId="46849"/>
    <cellStyle name="CALC Percent Total [1] 2 15 2 3" xfId="31735"/>
    <cellStyle name="CALC Percent Total [1] 2 15 2 4" xfId="46850"/>
    <cellStyle name="CALC Percent Total [1] 2 15 3" xfId="17110"/>
    <cellStyle name="CALC Percent Total [1] 2 15 3 2" xfId="25431"/>
    <cellStyle name="CALC Percent Total [1] 2 15 3 2 2" xfId="46851"/>
    <cellStyle name="CALC Percent Total [1] 2 15 3 3" xfId="32669"/>
    <cellStyle name="CALC Percent Total [1] 2 15 3 4" xfId="46852"/>
    <cellStyle name="CALC Percent Total [1] 2 15 4" xfId="18137"/>
    <cellStyle name="CALC Percent Total [1] 2 15 4 2" xfId="26457"/>
    <cellStyle name="CALC Percent Total [1] 2 15 4 2 2" xfId="46853"/>
    <cellStyle name="CALC Percent Total [1] 2 15 4 3" xfId="33646"/>
    <cellStyle name="CALC Percent Total [1] 2 15 4 4" xfId="46854"/>
    <cellStyle name="CALC Percent Total [1] 2 15 5" xfId="19121"/>
    <cellStyle name="CALC Percent Total [1] 2 15 5 2" xfId="27441"/>
    <cellStyle name="CALC Percent Total [1] 2 15 5 2 2" xfId="46855"/>
    <cellStyle name="CALC Percent Total [1] 2 15 5 3" xfId="34589"/>
    <cellStyle name="CALC Percent Total [1] 2 15 5 4" xfId="46856"/>
    <cellStyle name="CALC Percent Total [1] 2 15 6" xfId="20089"/>
    <cellStyle name="CALC Percent Total [1] 2 15 6 2" xfId="28411"/>
    <cellStyle name="CALC Percent Total [1] 2 15 6 2 2" xfId="46857"/>
    <cellStyle name="CALC Percent Total [1] 2 15 6 3" xfId="35536"/>
    <cellStyle name="CALC Percent Total [1] 2 15 6 4" xfId="46858"/>
    <cellStyle name="CALC Percent Total [1] 2 15 7" xfId="21046"/>
    <cellStyle name="CALC Percent Total [1] 2 15 7 2" xfId="29363"/>
    <cellStyle name="CALC Percent Total [1] 2 15 7 2 2" xfId="46859"/>
    <cellStyle name="CALC Percent Total [1] 2 15 7 3" xfId="36443"/>
    <cellStyle name="CALC Percent Total [1] 2 15 7 4" xfId="46860"/>
    <cellStyle name="CALC Percent Total [1] 2 15 8" xfId="21553"/>
    <cellStyle name="CALC Percent Total [1] 2 15 8 2" xfId="29854"/>
    <cellStyle name="CALC Percent Total [1] 2 15 8 2 2" xfId="46861"/>
    <cellStyle name="CALC Percent Total [1] 2 15 8 3" xfId="36913"/>
    <cellStyle name="CALC Percent Total [1] 2 15 8 4" xfId="46862"/>
    <cellStyle name="CALC Percent Total [1] 2 15 9" xfId="22481"/>
    <cellStyle name="CALC Percent Total [1] 2 15 9 2" xfId="30777"/>
    <cellStyle name="CALC Percent Total [1] 2 15 9 2 2" xfId="46863"/>
    <cellStyle name="CALC Percent Total [1] 2 15 9 3" xfId="37796"/>
    <cellStyle name="CALC Percent Total [1] 2 15 9 4" xfId="46864"/>
    <cellStyle name="CALC Percent Total [1] 2 16" xfId="15148"/>
    <cellStyle name="CALC Percent Total [1] 2 16 10" xfId="46865"/>
    <cellStyle name="CALC Percent Total [1] 2 16 11" xfId="46866"/>
    <cellStyle name="CALC Percent Total [1] 2 16 2" xfId="16228"/>
    <cellStyle name="CALC Percent Total [1] 2 16 2 2" xfId="24541"/>
    <cellStyle name="CALC Percent Total [1] 2 16 2 2 2" xfId="46867"/>
    <cellStyle name="CALC Percent Total [1] 2 16 2 3" xfId="31816"/>
    <cellStyle name="CALC Percent Total [1] 2 16 2 4" xfId="46868"/>
    <cellStyle name="CALC Percent Total [1] 2 16 3" xfId="17194"/>
    <cellStyle name="CALC Percent Total [1] 2 16 3 2" xfId="25515"/>
    <cellStyle name="CALC Percent Total [1] 2 16 3 2 2" xfId="46869"/>
    <cellStyle name="CALC Percent Total [1] 2 16 3 3" xfId="32749"/>
    <cellStyle name="CALC Percent Total [1] 2 16 3 4" xfId="46870"/>
    <cellStyle name="CALC Percent Total [1] 2 16 4" xfId="18222"/>
    <cellStyle name="CALC Percent Total [1] 2 16 4 2" xfId="26542"/>
    <cellStyle name="CALC Percent Total [1] 2 16 4 2 2" xfId="46871"/>
    <cellStyle name="CALC Percent Total [1] 2 16 4 3" xfId="33727"/>
    <cellStyle name="CALC Percent Total [1] 2 16 4 4" xfId="46872"/>
    <cellStyle name="CALC Percent Total [1] 2 16 5" xfId="19206"/>
    <cellStyle name="CALC Percent Total [1] 2 16 5 2" xfId="27526"/>
    <cellStyle name="CALC Percent Total [1] 2 16 5 2 2" xfId="46873"/>
    <cellStyle name="CALC Percent Total [1] 2 16 5 3" xfId="34674"/>
    <cellStyle name="CALC Percent Total [1] 2 16 5 4" xfId="46874"/>
    <cellStyle name="CALC Percent Total [1] 2 16 6" xfId="20174"/>
    <cellStyle name="CALC Percent Total [1] 2 16 6 2" xfId="28496"/>
    <cellStyle name="CALC Percent Total [1] 2 16 6 2 2" xfId="46875"/>
    <cellStyle name="CALC Percent Total [1] 2 16 6 3" xfId="35619"/>
    <cellStyle name="CALC Percent Total [1] 2 16 6 4" xfId="46876"/>
    <cellStyle name="CALC Percent Total [1] 2 16 7" xfId="21635"/>
    <cellStyle name="CALC Percent Total [1] 2 16 7 2" xfId="29936"/>
    <cellStyle name="CALC Percent Total [1] 2 16 7 2 2" xfId="46877"/>
    <cellStyle name="CALC Percent Total [1] 2 16 7 3" xfId="36993"/>
    <cellStyle name="CALC Percent Total [1] 2 16 7 4" xfId="46878"/>
    <cellStyle name="CALC Percent Total [1] 2 16 8" xfId="22563"/>
    <cellStyle name="CALC Percent Total [1] 2 16 8 2" xfId="30859"/>
    <cellStyle name="CALC Percent Total [1] 2 16 8 2 2" xfId="46879"/>
    <cellStyle name="CALC Percent Total [1] 2 16 8 3" xfId="37876"/>
    <cellStyle name="CALC Percent Total [1] 2 16 8 4" xfId="46880"/>
    <cellStyle name="CALC Percent Total [1] 2 16 9" xfId="23505"/>
    <cellStyle name="CALC Percent Total [1] 2 16 9 2" xfId="46881"/>
    <cellStyle name="CALC Percent Total [1] 2 17" xfId="15168"/>
    <cellStyle name="CALC Percent Total [1] 2 17 10" xfId="46882"/>
    <cellStyle name="CALC Percent Total [1] 2 17 11" xfId="46883"/>
    <cellStyle name="CALC Percent Total [1] 2 17 2" xfId="16248"/>
    <cellStyle name="CALC Percent Total [1] 2 17 2 2" xfId="24561"/>
    <cellStyle name="CALC Percent Total [1] 2 17 2 2 2" xfId="46884"/>
    <cellStyle name="CALC Percent Total [1] 2 17 2 3" xfId="31834"/>
    <cellStyle name="CALC Percent Total [1] 2 17 2 4" xfId="46885"/>
    <cellStyle name="CALC Percent Total [1] 2 17 3" xfId="17214"/>
    <cellStyle name="CALC Percent Total [1] 2 17 3 2" xfId="25535"/>
    <cellStyle name="CALC Percent Total [1] 2 17 3 2 2" xfId="46886"/>
    <cellStyle name="CALC Percent Total [1] 2 17 3 3" xfId="32767"/>
    <cellStyle name="CALC Percent Total [1] 2 17 3 4" xfId="46887"/>
    <cellStyle name="CALC Percent Total [1] 2 17 4" xfId="18242"/>
    <cellStyle name="CALC Percent Total [1] 2 17 4 2" xfId="26562"/>
    <cellStyle name="CALC Percent Total [1] 2 17 4 2 2" xfId="46888"/>
    <cellStyle name="CALC Percent Total [1] 2 17 4 3" xfId="33745"/>
    <cellStyle name="CALC Percent Total [1] 2 17 4 4" xfId="46889"/>
    <cellStyle name="CALC Percent Total [1] 2 17 5" xfId="19226"/>
    <cellStyle name="CALC Percent Total [1] 2 17 5 2" xfId="27546"/>
    <cellStyle name="CALC Percent Total [1] 2 17 5 2 2" xfId="46890"/>
    <cellStyle name="CALC Percent Total [1] 2 17 5 3" xfId="34694"/>
    <cellStyle name="CALC Percent Total [1] 2 17 5 4" xfId="46891"/>
    <cellStyle name="CALC Percent Total [1] 2 17 6" xfId="20194"/>
    <cellStyle name="CALC Percent Total [1] 2 17 6 2" xfId="28516"/>
    <cellStyle name="CALC Percent Total [1] 2 17 6 2 2" xfId="46892"/>
    <cellStyle name="CALC Percent Total [1] 2 17 6 3" xfId="35637"/>
    <cellStyle name="CALC Percent Total [1] 2 17 6 4" xfId="46893"/>
    <cellStyle name="CALC Percent Total [1] 2 17 7" xfId="21655"/>
    <cellStyle name="CALC Percent Total [1] 2 17 7 2" xfId="29956"/>
    <cellStyle name="CALC Percent Total [1] 2 17 7 2 2" xfId="46894"/>
    <cellStyle name="CALC Percent Total [1] 2 17 7 3" xfId="37011"/>
    <cellStyle name="CALC Percent Total [1] 2 17 7 4" xfId="46895"/>
    <cellStyle name="CALC Percent Total [1] 2 17 8" xfId="22583"/>
    <cellStyle name="CALC Percent Total [1] 2 17 8 2" xfId="30879"/>
    <cellStyle name="CALC Percent Total [1] 2 17 8 2 2" xfId="46896"/>
    <cellStyle name="CALC Percent Total [1] 2 17 8 3" xfId="37894"/>
    <cellStyle name="CALC Percent Total [1] 2 17 8 4" xfId="46897"/>
    <cellStyle name="CALC Percent Total [1] 2 17 9" xfId="23525"/>
    <cellStyle name="CALC Percent Total [1] 2 17 9 2" xfId="46898"/>
    <cellStyle name="CALC Percent Total [1] 2 18" xfId="15190"/>
    <cellStyle name="CALC Percent Total [1] 2 18 10" xfId="46899"/>
    <cellStyle name="CALC Percent Total [1] 2 18 11" xfId="46900"/>
    <cellStyle name="CALC Percent Total [1] 2 18 2" xfId="16270"/>
    <cellStyle name="CALC Percent Total [1] 2 18 2 2" xfId="24583"/>
    <cellStyle name="CALC Percent Total [1] 2 18 2 2 2" xfId="46901"/>
    <cellStyle name="CALC Percent Total [1] 2 18 2 3" xfId="31855"/>
    <cellStyle name="CALC Percent Total [1] 2 18 2 4" xfId="46902"/>
    <cellStyle name="CALC Percent Total [1] 2 18 3" xfId="17236"/>
    <cellStyle name="CALC Percent Total [1] 2 18 3 2" xfId="25557"/>
    <cellStyle name="CALC Percent Total [1] 2 18 3 2 2" xfId="46903"/>
    <cellStyle name="CALC Percent Total [1] 2 18 3 3" xfId="32788"/>
    <cellStyle name="CALC Percent Total [1] 2 18 3 4" xfId="46904"/>
    <cellStyle name="CALC Percent Total [1] 2 18 4" xfId="18264"/>
    <cellStyle name="CALC Percent Total [1] 2 18 4 2" xfId="26584"/>
    <cellStyle name="CALC Percent Total [1] 2 18 4 2 2" xfId="46905"/>
    <cellStyle name="CALC Percent Total [1] 2 18 4 3" xfId="33766"/>
    <cellStyle name="CALC Percent Total [1] 2 18 4 4" xfId="46906"/>
    <cellStyle name="CALC Percent Total [1] 2 18 5" xfId="19248"/>
    <cellStyle name="CALC Percent Total [1] 2 18 5 2" xfId="27568"/>
    <cellStyle name="CALC Percent Total [1] 2 18 5 2 2" xfId="46907"/>
    <cellStyle name="CALC Percent Total [1] 2 18 5 3" xfId="34716"/>
    <cellStyle name="CALC Percent Total [1] 2 18 5 4" xfId="46908"/>
    <cellStyle name="CALC Percent Total [1] 2 18 6" xfId="20216"/>
    <cellStyle name="CALC Percent Total [1] 2 18 6 2" xfId="28538"/>
    <cellStyle name="CALC Percent Total [1] 2 18 6 2 2" xfId="46909"/>
    <cellStyle name="CALC Percent Total [1] 2 18 6 3" xfId="35658"/>
    <cellStyle name="CALC Percent Total [1] 2 18 6 4" xfId="46910"/>
    <cellStyle name="CALC Percent Total [1] 2 18 7" xfId="21677"/>
    <cellStyle name="CALC Percent Total [1] 2 18 7 2" xfId="29978"/>
    <cellStyle name="CALC Percent Total [1] 2 18 7 2 2" xfId="46911"/>
    <cellStyle name="CALC Percent Total [1] 2 18 7 3" xfId="37032"/>
    <cellStyle name="CALC Percent Total [1] 2 18 7 4" xfId="46912"/>
    <cellStyle name="CALC Percent Total [1] 2 18 8" xfId="22605"/>
    <cellStyle name="CALC Percent Total [1] 2 18 8 2" xfId="30901"/>
    <cellStyle name="CALC Percent Total [1] 2 18 8 2 2" xfId="46913"/>
    <cellStyle name="CALC Percent Total [1] 2 18 8 3" xfId="37915"/>
    <cellStyle name="CALC Percent Total [1] 2 18 8 4" xfId="46914"/>
    <cellStyle name="CALC Percent Total [1] 2 18 9" xfId="23547"/>
    <cellStyle name="CALC Percent Total [1] 2 18 9 2" xfId="46915"/>
    <cellStyle name="CALC Percent Total [1] 2 19" xfId="15206"/>
    <cellStyle name="CALC Percent Total [1] 2 19 10" xfId="46916"/>
    <cellStyle name="CALC Percent Total [1] 2 19 11" xfId="46917"/>
    <cellStyle name="CALC Percent Total [1] 2 19 2" xfId="16286"/>
    <cellStyle name="CALC Percent Total [1] 2 19 2 2" xfId="24599"/>
    <cellStyle name="CALC Percent Total [1] 2 19 2 2 2" xfId="46918"/>
    <cellStyle name="CALC Percent Total [1] 2 19 2 3" xfId="31869"/>
    <cellStyle name="CALC Percent Total [1] 2 19 2 4" xfId="46919"/>
    <cellStyle name="CALC Percent Total [1] 2 19 3" xfId="17252"/>
    <cellStyle name="CALC Percent Total [1] 2 19 3 2" xfId="25573"/>
    <cellStyle name="CALC Percent Total [1] 2 19 3 2 2" xfId="46920"/>
    <cellStyle name="CALC Percent Total [1] 2 19 3 3" xfId="32802"/>
    <cellStyle name="CALC Percent Total [1] 2 19 3 4" xfId="46921"/>
    <cellStyle name="CALC Percent Total [1] 2 19 4" xfId="18280"/>
    <cellStyle name="CALC Percent Total [1] 2 19 4 2" xfId="26600"/>
    <cellStyle name="CALC Percent Total [1] 2 19 4 2 2" xfId="46922"/>
    <cellStyle name="CALC Percent Total [1] 2 19 4 3" xfId="33780"/>
    <cellStyle name="CALC Percent Total [1] 2 19 4 4" xfId="46923"/>
    <cellStyle name="CALC Percent Total [1] 2 19 5" xfId="19264"/>
    <cellStyle name="CALC Percent Total [1] 2 19 5 2" xfId="27584"/>
    <cellStyle name="CALC Percent Total [1] 2 19 5 2 2" xfId="46924"/>
    <cellStyle name="CALC Percent Total [1] 2 19 5 3" xfId="34732"/>
    <cellStyle name="CALC Percent Total [1] 2 19 5 4" xfId="46925"/>
    <cellStyle name="CALC Percent Total [1] 2 19 6" xfId="20232"/>
    <cellStyle name="CALC Percent Total [1] 2 19 6 2" xfId="28554"/>
    <cellStyle name="CALC Percent Total [1] 2 19 6 2 2" xfId="46926"/>
    <cellStyle name="CALC Percent Total [1] 2 19 6 3" xfId="35672"/>
    <cellStyle name="CALC Percent Total [1] 2 19 6 4" xfId="46927"/>
    <cellStyle name="CALC Percent Total [1] 2 19 7" xfId="21693"/>
    <cellStyle name="CALC Percent Total [1] 2 19 7 2" xfId="29994"/>
    <cellStyle name="CALC Percent Total [1] 2 19 7 2 2" xfId="46928"/>
    <cellStyle name="CALC Percent Total [1] 2 19 7 3" xfId="37046"/>
    <cellStyle name="CALC Percent Total [1] 2 19 7 4" xfId="46929"/>
    <cellStyle name="CALC Percent Total [1] 2 19 8" xfId="22621"/>
    <cellStyle name="CALC Percent Total [1] 2 19 8 2" xfId="30917"/>
    <cellStyle name="CALC Percent Total [1] 2 19 8 2 2" xfId="46930"/>
    <cellStyle name="CALC Percent Total [1] 2 19 8 3" xfId="37929"/>
    <cellStyle name="CALC Percent Total [1] 2 19 8 4" xfId="46931"/>
    <cellStyle name="CALC Percent Total [1] 2 19 9" xfId="23563"/>
    <cellStyle name="CALC Percent Total [1] 2 19 9 2" xfId="46932"/>
    <cellStyle name="CALC Percent Total [1] 2 2" xfId="14520"/>
    <cellStyle name="CALC Percent Total [1] 2 2 2" xfId="15582"/>
    <cellStyle name="CALC Percent Total [1] 2 2 2 2" xfId="46933"/>
    <cellStyle name="CALC Percent Total [1] 2 2 2 2 2" xfId="46934"/>
    <cellStyle name="CALC Percent Total [1] 2 2 3" xfId="14446"/>
    <cellStyle name="CALC Percent Total [1] 2 2 3 2" xfId="46935"/>
    <cellStyle name="CALC Percent Total [1] 2 20" xfId="15271"/>
    <cellStyle name="CALC Percent Total [1] 2 20 10" xfId="46936"/>
    <cellStyle name="CALC Percent Total [1] 2 20 11" xfId="46937"/>
    <cellStyle name="CALC Percent Total [1] 2 20 2" xfId="16351"/>
    <cellStyle name="CALC Percent Total [1] 2 20 2 2" xfId="24664"/>
    <cellStyle name="CALC Percent Total [1] 2 20 2 2 2" xfId="46938"/>
    <cellStyle name="CALC Percent Total [1] 2 20 2 3" xfId="31931"/>
    <cellStyle name="CALC Percent Total [1] 2 20 2 4" xfId="46939"/>
    <cellStyle name="CALC Percent Total [1] 2 20 3" xfId="17317"/>
    <cellStyle name="CALC Percent Total [1] 2 20 3 2" xfId="25638"/>
    <cellStyle name="CALC Percent Total [1] 2 20 3 2 2" xfId="46940"/>
    <cellStyle name="CALC Percent Total [1] 2 20 3 3" xfId="32864"/>
    <cellStyle name="CALC Percent Total [1] 2 20 3 4" xfId="46941"/>
    <cellStyle name="CALC Percent Total [1] 2 20 4" xfId="18345"/>
    <cellStyle name="CALC Percent Total [1] 2 20 4 2" xfId="26665"/>
    <cellStyle name="CALC Percent Total [1] 2 20 4 2 2" xfId="46942"/>
    <cellStyle name="CALC Percent Total [1] 2 20 4 3" xfId="33842"/>
    <cellStyle name="CALC Percent Total [1] 2 20 4 4" xfId="46943"/>
    <cellStyle name="CALC Percent Total [1] 2 20 5" xfId="19329"/>
    <cellStyle name="CALC Percent Total [1] 2 20 5 2" xfId="27649"/>
    <cellStyle name="CALC Percent Total [1] 2 20 5 2 2" xfId="46944"/>
    <cellStyle name="CALC Percent Total [1] 2 20 5 3" xfId="34797"/>
    <cellStyle name="CALC Percent Total [1] 2 20 5 4" xfId="46945"/>
    <cellStyle name="CALC Percent Total [1] 2 20 6" xfId="20297"/>
    <cellStyle name="CALC Percent Total [1] 2 20 6 2" xfId="28619"/>
    <cellStyle name="CALC Percent Total [1] 2 20 6 2 2" xfId="46946"/>
    <cellStyle name="CALC Percent Total [1] 2 20 6 3" xfId="35734"/>
    <cellStyle name="CALC Percent Total [1] 2 20 6 4" xfId="46947"/>
    <cellStyle name="CALC Percent Total [1] 2 20 7" xfId="21758"/>
    <cellStyle name="CALC Percent Total [1] 2 20 7 2" xfId="30059"/>
    <cellStyle name="CALC Percent Total [1] 2 20 7 2 2" xfId="46948"/>
    <cellStyle name="CALC Percent Total [1] 2 20 7 3" xfId="37108"/>
    <cellStyle name="CALC Percent Total [1] 2 20 7 4" xfId="46949"/>
    <cellStyle name="CALC Percent Total [1] 2 20 8" xfId="22686"/>
    <cellStyle name="CALC Percent Total [1] 2 20 8 2" xfId="30982"/>
    <cellStyle name="CALC Percent Total [1] 2 20 8 2 2" xfId="46950"/>
    <cellStyle name="CALC Percent Total [1] 2 20 8 3" xfId="37991"/>
    <cellStyle name="CALC Percent Total [1] 2 20 8 4" xfId="46951"/>
    <cellStyle name="CALC Percent Total [1] 2 20 9" xfId="23628"/>
    <cellStyle name="CALC Percent Total [1] 2 20 9 2" xfId="46952"/>
    <cellStyle name="CALC Percent Total [1] 2 21" xfId="15287"/>
    <cellStyle name="CALC Percent Total [1] 2 21 10" xfId="46953"/>
    <cellStyle name="CALC Percent Total [1] 2 21 11" xfId="46954"/>
    <cellStyle name="CALC Percent Total [1] 2 21 2" xfId="16367"/>
    <cellStyle name="CALC Percent Total [1] 2 21 2 2" xfId="24680"/>
    <cellStyle name="CALC Percent Total [1] 2 21 2 2 2" xfId="46955"/>
    <cellStyle name="CALC Percent Total [1] 2 21 2 3" xfId="31947"/>
    <cellStyle name="CALC Percent Total [1] 2 21 2 4" xfId="46956"/>
    <cellStyle name="CALC Percent Total [1] 2 21 3" xfId="17333"/>
    <cellStyle name="CALC Percent Total [1] 2 21 3 2" xfId="25654"/>
    <cellStyle name="CALC Percent Total [1] 2 21 3 2 2" xfId="46957"/>
    <cellStyle name="CALC Percent Total [1] 2 21 3 3" xfId="32880"/>
    <cellStyle name="CALC Percent Total [1] 2 21 3 4" xfId="46958"/>
    <cellStyle name="CALC Percent Total [1] 2 21 4" xfId="18361"/>
    <cellStyle name="CALC Percent Total [1] 2 21 4 2" xfId="26681"/>
    <cellStyle name="CALC Percent Total [1] 2 21 4 2 2" xfId="46959"/>
    <cellStyle name="CALC Percent Total [1] 2 21 4 3" xfId="33858"/>
    <cellStyle name="CALC Percent Total [1] 2 21 4 4" xfId="46960"/>
    <cellStyle name="CALC Percent Total [1] 2 21 5" xfId="19345"/>
    <cellStyle name="CALC Percent Total [1] 2 21 5 2" xfId="27665"/>
    <cellStyle name="CALC Percent Total [1] 2 21 5 2 2" xfId="46961"/>
    <cellStyle name="CALC Percent Total [1] 2 21 5 3" xfId="34813"/>
    <cellStyle name="CALC Percent Total [1] 2 21 5 4" xfId="46962"/>
    <cellStyle name="CALC Percent Total [1] 2 21 6" xfId="20313"/>
    <cellStyle name="CALC Percent Total [1] 2 21 6 2" xfId="28635"/>
    <cellStyle name="CALC Percent Total [1] 2 21 6 2 2" xfId="46963"/>
    <cellStyle name="CALC Percent Total [1] 2 21 6 3" xfId="35750"/>
    <cellStyle name="CALC Percent Total [1] 2 21 6 4" xfId="46964"/>
    <cellStyle name="CALC Percent Total [1] 2 21 7" xfId="21774"/>
    <cellStyle name="CALC Percent Total [1] 2 21 7 2" xfId="30075"/>
    <cellStyle name="CALC Percent Total [1] 2 21 7 2 2" xfId="46965"/>
    <cellStyle name="CALC Percent Total [1] 2 21 7 3" xfId="37124"/>
    <cellStyle name="CALC Percent Total [1] 2 21 7 4" xfId="46966"/>
    <cellStyle name="CALC Percent Total [1] 2 21 8" xfId="22702"/>
    <cellStyle name="CALC Percent Total [1] 2 21 8 2" xfId="30998"/>
    <cellStyle name="CALC Percent Total [1] 2 21 8 2 2" xfId="46967"/>
    <cellStyle name="CALC Percent Total [1] 2 21 8 3" xfId="38007"/>
    <cellStyle name="CALC Percent Total [1] 2 21 8 4" xfId="46968"/>
    <cellStyle name="CALC Percent Total [1] 2 21 9" xfId="23644"/>
    <cellStyle name="CALC Percent Total [1] 2 21 9 2" xfId="46969"/>
    <cellStyle name="CALC Percent Total [1] 2 22" xfId="15306"/>
    <cellStyle name="CALC Percent Total [1] 2 22 10" xfId="46970"/>
    <cellStyle name="CALC Percent Total [1] 2 22 11" xfId="46971"/>
    <cellStyle name="CALC Percent Total [1] 2 22 2" xfId="16386"/>
    <cellStyle name="CALC Percent Total [1] 2 22 2 2" xfId="24699"/>
    <cellStyle name="CALC Percent Total [1] 2 22 2 2 2" xfId="46972"/>
    <cellStyle name="CALC Percent Total [1] 2 22 2 3" xfId="31965"/>
    <cellStyle name="CALC Percent Total [1] 2 22 2 4" xfId="46973"/>
    <cellStyle name="CALC Percent Total [1] 2 22 3" xfId="17352"/>
    <cellStyle name="CALC Percent Total [1] 2 22 3 2" xfId="25673"/>
    <cellStyle name="CALC Percent Total [1] 2 22 3 2 2" xfId="46974"/>
    <cellStyle name="CALC Percent Total [1] 2 22 3 3" xfId="32898"/>
    <cellStyle name="CALC Percent Total [1] 2 22 3 4" xfId="46975"/>
    <cellStyle name="CALC Percent Total [1] 2 22 4" xfId="18380"/>
    <cellStyle name="CALC Percent Total [1] 2 22 4 2" xfId="26700"/>
    <cellStyle name="CALC Percent Total [1] 2 22 4 2 2" xfId="46976"/>
    <cellStyle name="CALC Percent Total [1] 2 22 4 3" xfId="33876"/>
    <cellStyle name="CALC Percent Total [1] 2 22 4 4" xfId="46977"/>
    <cellStyle name="CALC Percent Total [1] 2 22 5" xfId="19363"/>
    <cellStyle name="CALC Percent Total [1] 2 22 5 2" xfId="27684"/>
    <cellStyle name="CALC Percent Total [1] 2 22 5 2 2" xfId="46978"/>
    <cellStyle name="CALC Percent Total [1] 2 22 5 3" xfId="34832"/>
    <cellStyle name="CALC Percent Total [1] 2 22 5 4" xfId="46979"/>
    <cellStyle name="CALC Percent Total [1] 2 22 6" xfId="20332"/>
    <cellStyle name="CALC Percent Total [1] 2 22 6 2" xfId="28654"/>
    <cellStyle name="CALC Percent Total [1] 2 22 6 2 2" xfId="46980"/>
    <cellStyle name="CALC Percent Total [1] 2 22 6 3" xfId="35768"/>
    <cellStyle name="CALC Percent Total [1] 2 22 6 4" xfId="46981"/>
    <cellStyle name="CALC Percent Total [1] 2 22 7" xfId="21793"/>
    <cellStyle name="CALC Percent Total [1] 2 22 7 2" xfId="30094"/>
    <cellStyle name="CALC Percent Total [1] 2 22 7 2 2" xfId="46982"/>
    <cellStyle name="CALC Percent Total [1] 2 22 7 3" xfId="37142"/>
    <cellStyle name="CALC Percent Total [1] 2 22 7 4" xfId="46983"/>
    <cellStyle name="CALC Percent Total [1] 2 22 8" xfId="22721"/>
    <cellStyle name="CALC Percent Total [1] 2 22 8 2" xfId="31017"/>
    <cellStyle name="CALC Percent Total [1] 2 22 8 2 2" xfId="46984"/>
    <cellStyle name="CALC Percent Total [1] 2 22 8 3" xfId="38025"/>
    <cellStyle name="CALC Percent Total [1] 2 22 8 4" xfId="46985"/>
    <cellStyle name="CALC Percent Total [1] 2 22 9" xfId="23663"/>
    <cellStyle name="CALC Percent Total [1] 2 22 9 2" xfId="46986"/>
    <cellStyle name="CALC Percent Total [1] 2 23" xfId="15380"/>
    <cellStyle name="CALC Percent Total [1] 2 23 10" xfId="46987"/>
    <cellStyle name="CALC Percent Total [1] 2 23 11" xfId="46988"/>
    <cellStyle name="CALC Percent Total [1] 2 23 2" xfId="16460"/>
    <cellStyle name="CALC Percent Total [1] 2 23 2 2" xfId="24773"/>
    <cellStyle name="CALC Percent Total [1] 2 23 2 2 2" xfId="46989"/>
    <cellStyle name="CALC Percent Total [1] 2 23 2 3" xfId="32037"/>
    <cellStyle name="CALC Percent Total [1] 2 23 2 4" xfId="46990"/>
    <cellStyle name="CALC Percent Total [1] 2 23 3" xfId="17426"/>
    <cellStyle name="CALC Percent Total [1] 2 23 3 2" xfId="25747"/>
    <cellStyle name="CALC Percent Total [1] 2 23 3 2 2" xfId="46991"/>
    <cellStyle name="CALC Percent Total [1] 2 23 3 3" xfId="32970"/>
    <cellStyle name="CALC Percent Total [1] 2 23 3 4" xfId="46992"/>
    <cellStyle name="CALC Percent Total [1] 2 23 4" xfId="18454"/>
    <cellStyle name="CALC Percent Total [1] 2 23 4 2" xfId="26774"/>
    <cellStyle name="CALC Percent Total [1] 2 23 4 2 2" xfId="46993"/>
    <cellStyle name="CALC Percent Total [1] 2 23 4 3" xfId="33948"/>
    <cellStyle name="CALC Percent Total [1] 2 23 4 4" xfId="46994"/>
    <cellStyle name="CALC Percent Total [1] 2 23 5" xfId="19437"/>
    <cellStyle name="CALC Percent Total [1] 2 23 5 2" xfId="27758"/>
    <cellStyle name="CALC Percent Total [1] 2 23 5 2 2" xfId="46995"/>
    <cellStyle name="CALC Percent Total [1] 2 23 5 3" xfId="34906"/>
    <cellStyle name="CALC Percent Total [1] 2 23 5 4" xfId="46996"/>
    <cellStyle name="CALC Percent Total [1] 2 23 6" xfId="20406"/>
    <cellStyle name="CALC Percent Total [1] 2 23 6 2" xfId="28728"/>
    <cellStyle name="CALC Percent Total [1] 2 23 6 2 2" xfId="46997"/>
    <cellStyle name="CALC Percent Total [1] 2 23 6 3" xfId="35840"/>
    <cellStyle name="CALC Percent Total [1] 2 23 6 4" xfId="46998"/>
    <cellStyle name="CALC Percent Total [1] 2 23 7" xfId="21867"/>
    <cellStyle name="CALC Percent Total [1] 2 23 7 2" xfId="30168"/>
    <cellStyle name="CALC Percent Total [1] 2 23 7 2 2" xfId="46999"/>
    <cellStyle name="CALC Percent Total [1] 2 23 7 3" xfId="37213"/>
    <cellStyle name="CALC Percent Total [1] 2 23 7 4" xfId="47000"/>
    <cellStyle name="CALC Percent Total [1] 2 23 8" xfId="22795"/>
    <cellStyle name="CALC Percent Total [1] 2 23 8 2" xfId="31091"/>
    <cellStyle name="CALC Percent Total [1] 2 23 8 2 2" xfId="47001"/>
    <cellStyle name="CALC Percent Total [1] 2 23 8 3" xfId="38097"/>
    <cellStyle name="CALC Percent Total [1] 2 23 8 4" xfId="47002"/>
    <cellStyle name="CALC Percent Total [1] 2 23 9" xfId="23737"/>
    <cellStyle name="CALC Percent Total [1] 2 23 9 2" xfId="47003"/>
    <cellStyle name="CALC Percent Total [1] 2 24" xfId="15394"/>
    <cellStyle name="CALC Percent Total [1] 2 24 10" xfId="47004"/>
    <cellStyle name="CALC Percent Total [1] 2 24 11" xfId="47005"/>
    <cellStyle name="CALC Percent Total [1] 2 24 2" xfId="16474"/>
    <cellStyle name="CALC Percent Total [1] 2 24 2 2" xfId="24787"/>
    <cellStyle name="CALC Percent Total [1] 2 24 2 2 2" xfId="47006"/>
    <cellStyle name="CALC Percent Total [1] 2 24 2 3" xfId="32051"/>
    <cellStyle name="CALC Percent Total [1] 2 24 2 4" xfId="47007"/>
    <cellStyle name="CALC Percent Total [1] 2 24 3" xfId="17440"/>
    <cellStyle name="CALC Percent Total [1] 2 24 3 2" xfId="25761"/>
    <cellStyle name="CALC Percent Total [1] 2 24 3 2 2" xfId="47008"/>
    <cellStyle name="CALC Percent Total [1] 2 24 3 3" xfId="32984"/>
    <cellStyle name="CALC Percent Total [1] 2 24 3 4" xfId="47009"/>
    <cellStyle name="CALC Percent Total [1] 2 24 4" xfId="18468"/>
    <cellStyle name="CALC Percent Total [1] 2 24 4 2" xfId="26788"/>
    <cellStyle name="CALC Percent Total [1] 2 24 4 2 2" xfId="47010"/>
    <cellStyle name="CALC Percent Total [1] 2 24 4 3" xfId="33962"/>
    <cellStyle name="CALC Percent Total [1] 2 24 4 4" xfId="47011"/>
    <cellStyle name="CALC Percent Total [1] 2 24 5" xfId="19451"/>
    <cellStyle name="CALC Percent Total [1] 2 24 5 2" xfId="27772"/>
    <cellStyle name="CALC Percent Total [1] 2 24 5 2 2" xfId="47012"/>
    <cellStyle name="CALC Percent Total [1] 2 24 5 3" xfId="34920"/>
    <cellStyle name="CALC Percent Total [1] 2 24 5 4" xfId="47013"/>
    <cellStyle name="CALC Percent Total [1] 2 24 6" xfId="20420"/>
    <cellStyle name="CALC Percent Total [1] 2 24 6 2" xfId="28742"/>
    <cellStyle name="CALC Percent Total [1] 2 24 6 2 2" xfId="47014"/>
    <cellStyle name="CALC Percent Total [1] 2 24 6 3" xfId="35854"/>
    <cellStyle name="CALC Percent Total [1] 2 24 6 4" xfId="47015"/>
    <cellStyle name="CALC Percent Total [1] 2 24 7" xfId="21881"/>
    <cellStyle name="CALC Percent Total [1] 2 24 7 2" xfId="30182"/>
    <cellStyle name="CALC Percent Total [1] 2 24 7 2 2" xfId="47016"/>
    <cellStyle name="CALC Percent Total [1] 2 24 7 3" xfId="37227"/>
    <cellStyle name="CALC Percent Total [1] 2 24 7 4" xfId="47017"/>
    <cellStyle name="CALC Percent Total [1] 2 24 8" xfId="22809"/>
    <cellStyle name="CALC Percent Total [1] 2 24 8 2" xfId="31105"/>
    <cellStyle name="CALC Percent Total [1] 2 24 8 2 2" xfId="47018"/>
    <cellStyle name="CALC Percent Total [1] 2 24 8 3" xfId="38111"/>
    <cellStyle name="CALC Percent Total [1] 2 24 8 4" xfId="47019"/>
    <cellStyle name="CALC Percent Total [1] 2 24 9" xfId="23751"/>
    <cellStyle name="CALC Percent Total [1] 2 24 9 2" xfId="47020"/>
    <cellStyle name="CALC Percent Total [1] 2 25" xfId="15410"/>
    <cellStyle name="CALC Percent Total [1] 2 25 10" xfId="47021"/>
    <cellStyle name="CALC Percent Total [1] 2 25 11" xfId="47022"/>
    <cellStyle name="CALC Percent Total [1] 2 25 2" xfId="16490"/>
    <cellStyle name="CALC Percent Total [1] 2 25 2 2" xfId="24803"/>
    <cellStyle name="CALC Percent Total [1] 2 25 2 2 2" xfId="47023"/>
    <cellStyle name="CALC Percent Total [1] 2 25 2 3" xfId="32065"/>
    <cellStyle name="CALC Percent Total [1] 2 25 2 4" xfId="47024"/>
    <cellStyle name="CALC Percent Total [1] 2 25 3" xfId="17456"/>
    <cellStyle name="CALC Percent Total [1] 2 25 3 2" xfId="25777"/>
    <cellStyle name="CALC Percent Total [1] 2 25 3 2 2" xfId="47025"/>
    <cellStyle name="CALC Percent Total [1] 2 25 3 3" xfId="32998"/>
    <cellStyle name="CALC Percent Total [1] 2 25 3 4" xfId="47026"/>
    <cellStyle name="CALC Percent Total [1] 2 25 4" xfId="18484"/>
    <cellStyle name="CALC Percent Total [1] 2 25 4 2" xfId="26804"/>
    <cellStyle name="CALC Percent Total [1] 2 25 4 2 2" xfId="47027"/>
    <cellStyle name="CALC Percent Total [1] 2 25 4 3" xfId="33976"/>
    <cellStyle name="CALC Percent Total [1] 2 25 4 4" xfId="47028"/>
    <cellStyle name="CALC Percent Total [1] 2 25 5" xfId="19467"/>
    <cellStyle name="CALC Percent Total [1] 2 25 5 2" xfId="27788"/>
    <cellStyle name="CALC Percent Total [1] 2 25 5 2 2" xfId="47029"/>
    <cellStyle name="CALC Percent Total [1] 2 25 5 3" xfId="34936"/>
    <cellStyle name="CALC Percent Total [1] 2 25 5 4" xfId="47030"/>
    <cellStyle name="CALC Percent Total [1] 2 25 6" xfId="20436"/>
    <cellStyle name="CALC Percent Total [1] 2 25 6 2" xfId="28758"/>
    <cellStyle name="CALC Percent Total [1] 2 25 6 2 2" xfId="47031"/>
    <cellStyle name="CALC Percent Total [1] 2 25 6 3" xfId="35868"/>
    <cellStyle name="CALC Percent Total [1] 2 25 6 4" xfId="47032"/>
    <cellStyle name="CALC Percent Total [1] 2 25 7" xfId="21897"/>
    <cellStyle name="CALC Percent Total [1] 2 25 7 2" xfId="30198"/>
    <cellStyle name="CALC Percent Total [1] 2 25 7 2 2" xfId="47033"/>
    <cellStyle name="CALC Percent Total [1] 2 25 7 3" xfId="37241"/>
    <cellStyle name="CALC Percent Total [1] 2 25 7 4" xfId="47034"/>
    <cellStyle name="CALC Percent Total [1] 2 25 8" xfId="22825"/>
    <cellStyle name="CALC Percent Total [1] 2 25 8 2" xfId="31121"/>
    <cellStyle name="CALC Percent Total [1] 2 25 8 2 2" xfId="47035"/>
    <cellStyle name="CALC Percent Total [1] 2 25 8 3" xfId="38125"/>
    <cellStyle name="CALC Percent Total [1] 2 25 8 4" xfId="47036"/>
    <cellStyle name="CALC Percent Total [1] 2 25 9" xfId="23767"/>
    <cellStyle name="CALC Percent Total [1] 2 25 9 2" xfId="47037"/>
    <cellStyle name="CALC Percent Total [1] 2 26" xfId="15426"/>
    <cellStyle name="CALC Percent Total [1] 2 26 10" xfId="47038"/>
    <cellStyle name="CALC Percent Total [1] 2 26 11" xfId="47039"/>
    <cellStyle name="CALC Percent Total [1] 2 26 2" xfId="16506"/>
    <cellStyle name="CALC Percent Total [1] 2 26 2 2" xfId="24819"/>
    <cellStyle name="CALC Percent Total [1] 2 26 2 2 2" xfId="47040"/>
    <cellStyle name="CALC Percent Total [1] 2 26 2 3" xfId="32080"/>
    <cellStyle name="CALC Percent Total [1] 2 26 2 4" xfId="47041"/>
    <cellStyle name="CALC Percent Total [1] 2 26 3" xfId="17472"/>
    <cellStyle name="CALC Percent Total [1] 2 26 3 2" xfId="25793"/>
    <cellStyle name="CALC Percent Total [1] 2 26 3 2 2" xfId="47042"/>
    <cellStyle name="CALC Percent Total [1] 2 26 3 3" xfId="33013"/>
    <cellStyle name="CALC Percent Total [1] 2 26 3 4" xfId="47043"/>
    <cellStyle name="CALC Percent Total [1] 2 26 4" xfId="18500"/>
    <cellStyle name="CALC Percent Total [1] 2 26 4 2" xfId="26820"/>
    <cellStyle name="CALC Percent Total [1] 2 26 4 2 2" xfId="47044"/>
    <cellStyle name="CALC Percent Total [1] 2 26 4 3" xfId="33991"/>
    <cellStyle name="CALC Percent Total [1] 2 26 4 4" xfId="47045"/>
    <cellStyle name="CALC Percent Total [1] 2 26 5" xfId="19483"/>
    <cellStyle name="CALC Percent Total [1] 2 26 5 2" xfId="27804"/>
    <cellStyle name="CALC Percent Total [1] 2 26 5 2 2" xfId="47046"/>
    <cellStyle name="CALC Percent Total [1] 2 26 5 3" xfId="34952"/>
    <cellStyle name="CALC Percent Total [1] 2 26 5 4" xfId="47047"/>
    <cellStyle name="CALC Percent Total [1] 2 26 6" xfId="20452"/>
    <cellStyle name="CALC Percent Total [1] 2 26 6 2" xfId="28774"/>
    <cellStyle name="CALC Percent Total [1] 2 26 6 2 2" xfId="47048"/>
    <cellStyle name="CALC Percent Total [1] 2 26 6 3" xfId="35883"/>
    <cellStyle name="CALC Percent Total [1] 2 26 6 4" xfId="47049"/>
    <cellStyle name="CALC Percent Total [1] 2 26 7" xfId="21913"/>
    <cellStyle name="CALC Percent Total [1] 2 26 7 2" xfId="30214"/>
    <cellStyle name="CALC Percent Total [1] 2 26 7 2 2" xfId="47050"/>
    <cellStyle name="CALC Percent Total [1] 2 26 7 3" xfId="37256"/>
    <cellStyle name="CALC Percent Total [1] 2 26 7 4" xfId="47051"/>
    <cellStyle name="CALC Percent Total [1] 2 26 8" xfId="22841"/>
    <cellStyle name="CALC Percent Total [1] 2 26 8 2" xfId="31137"/>
    <cellStyle name="CALC Percent Total [1] 2 26 8 2 2" xfId="47052"/>
    <cellStyle name="CALC Percent Total [1] 2 26 8 3" xfId="38140"/>
    <cellStyle name="CALC Percent Total [1] 2 26 8 4" xfId="47053"/>
    <cellStyle name="CALC Percent Total [1] 2 26 9" xfId="23783"/>
    <cellStyle name="CALC Percent Total [1] 2 26 9 2" xfId="47054"/>
    <cellStyle name="CALC Percent Total [1] 2 27" xfId="15440"/>
    <cellStyle name="CALC Percent Total [1] 2 27 10" xfId="47055"/>
    <cellStyle name="CALC Percent Total [1] 2 27 11" xfId="47056"/>
    <cellStyle name="CALC Percent Total [1] 2 27 2" xfId="16520"/>
    <cellStyle name="CALC Percent Total [1] 2 27 2 2" xfId="24833"/>
    <cellStyle name="CALC Percent Total [1] 2 27 2 2 2" xfId="47057"/>
    <cellStyle name="CALC Percent Total [1] 2 27 2 3" xfId="32094"/>
    <cellStyle name="CALC Percent Total [1] 2 27 2 4" xfId="47058"/>
    <cellStyle name="CALC Percent Total [1] 2 27 3" xfId="17486"/>
    <cellStyle name="CALC Percent Total [1] 2 27 3 2" xfId="25807"/>
    <cellStyle name="CALC Percent Total [1] 2 27 3 2 2" xfId="47059"/>
    <cellStyle name="CALC Percent Total [1] 2 27 3 3" xfId="33027"/>
    <cellStyle name="CALC Percent Total [1] 2 27 3 4" xfId="47060"/>
    <cellStyle name="CALC Percent Total [1] 2 27 4" xfId="18514"/>
    <cellStyle name="CALC Percent Total [1] 2 27 4 2" xfId="26834"/>
    <cellStyle name="CALC Percent Total [1] 2 27 4 2 2" xfId="47061"/>
    <cellStyle name="CALC Percent Total [1] 2 27 4 3" xfId="34005"/>
    <cellStyle name="CALC Percent Total [1] 2 27 4 4" xfId="47062"/>
    <cellStyle name="CALC Percent Total [1] 2 27 5" xfId="19497"/>
    <cellStyle name="CALC Percent Total [1] 2 27 5 2" xfId="27818"/>
    <cellStyle name="CALC Percent Total [1] 2 27 5 2 2" xfId="47063"/>
    <cellStyle name="CALC Percent Total [1] 2 27 5 3" xfId="34966"/>
    <cellStyle name="CALC Percent Total [1] 2 27 5 4" xfId="47064"/>
    <cellStyle name="CALC Percent Total [1] 2 27 6" xfId="20466"/>
    <cellStyle name="CALC Percent Total [1] 2 27 6 2" xfId="28788"/>
    <cellStyle name="CALC Percent Total [1] 2 27 6 2 2" xfId="47065"/>
    <cellStyle name="CALC Percent Total [1] 2 27 6 3" xfId="35897"/>
    <cellStyle name="CALC Percent Total [1] 2 27 6 4" xfId="47066"/>
    <cellStyle name="CALC Percent Total [1] 2 27 7" xfId="21927"/>
    <cellStyle name="CALC Percent Total [1] 2 27 7 2" xfId="30228"/>
    <cellStyle name="CALC Percent Total [1] 2 27 7 2 2" xfId="47067"/>
    <cellStyle name="CALC Percent Total [1] 2 27 7 3" xfId="37270"/>
    <cellStyle name="CALC Percent Total [1] 2 27 7 4" xfId="47068"/>
    <cellStyle name="CALC Percent Total [1] 2 27 8" xfId="22855"/>
    <cellStyle name="CALC Percent Total [1] 2 27 8 2" xfId="31151"/>
    <cellStyle name="CALC Percent Total [1] 2 27 8 2 2" xfId="47069"/>
    <cellStyle name="CALC Percent Total [1] 2 27 8 3" xfId="38154"/>
    <cellStyle name="CALC Percent Total [1] 2 27 8 4" xfId="47070"/>
    <cellStyle name="CALC Percent Total [1] 2 27 9" xfId="23797"/>
    <cellStyle name="CALC Percent Total [1] 2 27 9 2" xfId="47071"/>
    <cellStyle name="CALC Percent Total [1] 2 28" xfId="15454"/>
    <cellStyle name="CALC Percent Total [1] 2 28 10" xfId="47072"/>
    <cellStyle name="CALC Percent Total [1] 2 28 11" xfId="47073"/>
    <cellStyle name="CALC Percent Total [1] 2 28 2" xfId="16534"/>
    <cellStyle name="CALC Percent Total [1] 2 28 2 2" xfId="24847"/>
    <cellStyle name="CALC Percent Total [1] 2 28 2 2 2" xfId="47074"/>
    <cellStyle name="CALC Percent Total [1] 2 28 2 3" xfId="32108"/>
    <cellStyle name="CALC Percent Total [1] 2 28 2 4" xfId="47075"/>
    <cellStyle name="CALC Percent Total [1] 2 28 3" xfId="17500"/>
    <cellStyle name="CALC Percent Total [1] 2 28 3 2" xfId="25821"/>
    <cellStyle name="CALC Percent Total [1] 2 28 3 2 2" xfId="47076"/>
    <cellStyle name="CALC Percent Total [1] 2 28 3 3" xfId="33041"/>
    <cellStyle name="CALC Percent Total [1] 2 28 3 4" xfId="47077"/>
    <cellStyle name="CALC Percent Total [1] 2 28 4" xfId="18528"/>
    <cellStyle name="CALC Percent Total [1] 2 28 4 2" xfId="26848"/>
    <cellStyle name="CALC Percent Total [1] 2 28 4 2 2" xfId="47078"/>
    <cellStyle name="CALC Percent Total [1] 2 28 4 3" xfId="34019"/>
    <cellStyle name="CALC Percent Total [1] 2 28 4 4" xfId="47079"/>
    <cellStyle name="CALC Percent Total [1] 2 28 5" xfId="19511"/>
    <cellStyle name="CALC Percent Total [1] 2 28 5 2" xfId="27832"/>
    <cellStyle name="CALC Percent Total [1] 2 28 5 2 2" xfId="47080"/>
    <cellStyle name="CALC Percent Total [1] 2 28 5 3" xfId="34980"/>
    <cellStyle name="CALC Percent Total [1] 2 28 5 4" xfId="47081"/>
    <cellStyle name="CALC Percent Total [1] 2 28 6" xfId="20480"/>
    <cellStyle name="CALC Percent Total [1] 2 28 6 2" xfId="28802"/>
    <cellStyle name="CALC Percent Total [1] 2 28 6 2 2" xfId="47082"/>
    <cellStyle name="CALC Percent Total [1] 2 28 6 3" xfId="35911"/>
    <cellStyle name="CALC Percent Total [1] 2 28 6 4" xfId="47083"/>
    <cellStyle name="CALC Percent Total [1] 2 28 7" xfId="21941"/>
    <cellStyle name="CALC Percent Total [1] 2 28 7 2" xfId="30242"/>
    <cellStyle name="CALC Percent Total [1] 2 28 7 2 2" xfId="47084"/>
    <cellStyle name="CALC Percent Total [1] 2 28 7 3" xfId="37284"/>
    <cellStyle name="CALC Percent Total [1] 2 28 7 4" xfId="47085"/>
    <cellStyle name="CALC Percent Total [1] 2 28 8" xfId="22869"/>
    <cellStyle name="CALC Percent Total [1] 2 28 8 2" xfId="31165"/>
    <cellStyle name="CALC Percent Total [1] 2 28 8 2 2" xfId="47086"/>
    <cellStyle name="CALC Percent Total [1] 2 28 8 3" xfId="38168"/>
    <cellStyle name="CALC Percent Total [1] 2 28 8 4" xfId="47087"/>
    <cellStyle name="CALC Percent Total [1] 2 28 9" xfId="23811"/>
    <cellStyle name="CALC Percent Total [1] 2 28 9 2" xfId="47088"/>
    <cellStyle name="CALC Percent Total [1] 2 29" xfId="15486"/>
    <cellStyle name="CALC Percent Total [1] 2 29 2" xfId="17532"/>
    <cellStyle name="CALC Percent Total [1] 2 29 2 2" xfId="25852"/>
    <cellStyle name="CALC Percent Total [1] 2 29 2 2 2" xfId="47089"/>
    <cellStyle name="CALC Percent Total [1] 2 29 2 3" xfId="33070"/>
    <cellStyle name="CALC Percent Total [1] 2 29 2 4" xfId="47090"/>
    <cellStyle name="CALC Percent Total [1] 2 29 3" xfId="19543"/>
    <cellStyle name="CALC Percent Total [1] 2 29 3 2" xfId="27864"/>
    <cellStyle name="CALC Percent Total [1] 2 29 3 2 2" xfId="47091"/>
    <cellStyle name="CALC Percent Total [1] 2 29 3 3" xfId="35012"/>
    <cellStyle name="CALC Percent Total [1] 2 29 3 4" xfId="47092"/>
    <cellStyle name="CALC Percent Total [1] 2 29 4" xfId="47093"/>
    <cellStyle name="CALC Percent Total [1] 2 29 4 2" xfId="47094"/>
    <cellStyle name="CALC Percent Total [1] 2 3" xfId="14521"/>
    <cellStyle name="CALC Percent Total [1] 2 3 2" xfId="15583"/>
    <cellStyle name="CALC Percent Total [1] 2 3 2 2" xfId="47095"/>
    <cellStyle name="CALC Percent Total [1] 2 3 2 2 2" xfId="47096"/>
    <cellStyle name="CALC Percent Total [1] 2 3 3" xfId="23829"/>
    <cellStyle name="CALC Percent Total [1] 2 3 3 2" xfId="47097"/>
    <cellStyle name="CALC Percent Total [1] 2 30" xfId="47098"/>
    <cellStyle name="CALC Percent Total [1] 2 30 2" xfId="47099"/>
    <cellStyle name="CALC Percent Total [1] 2 4" xfId="14547"/>
    <cellStyle name="CALC Percent Total [1] 2 4 2" xfId="15626"/>
    <cellStyle name="CALC Percent Total [1] 2 4 2 2" xfId="23940"/>
    <cellStyle name="CALC Percent Total [1] 2 4 2 2 2" xfId="47100"/>
    <cellStyle name="CALC Percent Total [1] 2 4 2 3" xfId="47101"/>
    <cellStyle name="CALC Percent Total [1] 2 4 2 4" xfId="47102"/>
    <cellStyle name="CALC Percent Total [1] 2 4 3" xfId="16594"/>
    <cellStyle name="CALC Percent Total [1] 2 4 3 2" xfId="24911"/>
    <cellStyle name="CALC Percent Total [1] 2 4 3 2 2" xfId="47103"/>
    <cellStyle name="CALC Percent Total [1] 2 4 3 3" xfId="32171"/>
    <cellStyle name="CALC Percent Total [1] 2 4 3 4" xfId="47104"/>
    <cellStyle name="CALC Percent Total [1] 2 4 4" xfId="17613"/>
    <cellStyle name="CALC Percent Total [1] 2 4 4 2" xfId="25936"/>
    <cellStyle name="CALC Percent Total [1] 2 4 4 2 2" xfId="47105"/>
    <cellStyle name="CALC Percent Total [1] 2 4 4 3" xfId="33148"/>
    <cellStyle name="CALC Percent Total [1] 2 4 4 4" xfId="47106"/>
    <cellStyle name="CALC Percent Total [1] 2 4 5" xfId="18595"/>
    <cellStyle name="CALC Percent Total [1] 2 4 5 2" xfId="26914"/>
    <cellStyle name="CALC Percent Total [1] 2 4 5 2 2" xfId="47107"/>
    <cellStyle name="CALC Percent Total [1] 2 4 5 3" xfId="34083"/>
    <cellStyle name="CALC Percent Total [1] 2 4 5 4" xfId="47108"/>
    <cellStyle name="CALC Percent Total [1] 2 4 6" xfId="19563"/>
    <cellStyle name="CALC Percent Total [1] 2 4 6 2" xfId="27884"/>
    <cellStyle name="CALC Percent Total [1] 2 4 6 2 2" xfId="47109"/>
    <cellStyle name="CALC Percent Total [1] 2 4 6 3" xfId="35031"/>
    <cellStyle name="CALC Percent Total [1] 2 4 6 4" xfId="47110"/>
    <cellStyle name="CALC Percent Total [1] 2 4 7" xfId="20521"/>
    <cellStyle name="CALC Percent Total [1] 2 4 7 2" xfId="28843"/>
    <cellStyle name="CALC Percent Total [1] 2 4 7 2 2" xfId="47111"/>
    <cellStyle name="CALC Percent Total [1] 2 4 7 3" xfId="35948"/>
    <cellStyle name="CALC Percent Total [1] 2 4 7 4" xfId="47112"/>
    <cellStyle name="CALC Percent Total [1] 2 4 8" xfId="22904"/>
    <cellStyle name="CALC Percent Total [1] 2 4 8 2" xfId="47113"/>
    <cellStyle name="CALC Percent Total [1] 2 5" xfId="14608"/>
    <cellStyle name="CALC Percent Total [1] 2 5 10" xfId="22969"/>
    <cellStyle name="CALC Percent Total [1] 2 5 10 2" xfId="47114"/>
    <cellStyle name="CALC Percent Total [1] 2 5 11" xfId="47115"/>
    <cellStyle name="CALC Percent Total [1] 2 5 2" xfId="15688"/>
    <cellStyle name="CALC Percent Total [1] 2 5 2 2" xfId="24004"/>
    <cellStyle name="CALC Percent Total [1] 2 5 2 2 2" xfId="47116"/>
    <cellStyle name="CALC Percent Total [1] 2 5 2 3" xfId="31299"/>
    <cellStyle name="CALC Percent Total [1] 2 5 2 4" xfId="47117"/>
    <cellStyle name="CALC Percent Total [1] 2 5 3" xfId="16655"/>
    <cellStyle name="CALC Percent Total [1] 2 5 3 2" xfId="24975"/>
    <cellStyle name="CALC Percent Total [1] 2 5 3 2 2" xfId="47118"/>
    <cellStyle name="CALC Percent Total [1] 2 5 3 3" xfId="32232"/>
    <cellStyle name="CALC Percent Total [1] 2 5 3 4" xfId="47119"/>
    <cellStyle name="CALC Percent Total [1] 2 5 4" xfId="17677"/>
    <cellStyle name="CALC Percent Total [1] 2 5 4 2" xfId="26001"/>
    <cellStyle name="CALC Percent Total [1] 2 5 4 2 2" xfId="47120"/>
    <cellStyle name="CALC Percent Total [1] 2 5 4 3" xfId="33209"/>
    <cellStyle name="CALC Percent Total [1] 2 5 4 4" xfId="47121"/>
    <cellStyle name="CALC Percent Total [1] 2 5 5" xfId="18660"/>
    <cellStyle name="CALC Percent Total [1] 2 5 5 2" xfId="26981"/>
    <cellStyle name="CALC Percent Total [1] 2 5 5 2 2" xfId="47122"/>
    <cellStyle name="CALC Percent Total [1] 2 5 5 3" xfId="34147"/>
    <cellStyle name="CALC Percent Total [1] 2 5 5 4" xfId="47123"/>
    <cellStyle name="CALC Percent Total [1] 2 5 6" xfId="19629"/>
    <cellStyle name="CALC Percent Total [1] 2 5 6 2" xfId="27950"/>
    <cellStyle name="CALC Percent Total [1] 2 5 6 2 2" xfId="47124"/>
    <cellStyle name="CALC Percent Total [1] 2 5 6 3" xfId="35093"/>
    <cellStyle name="CALC Percent Total [1] 2 5 6 4" xfId="47125"/>
    <cellStyle name="CALC Percent Total [1] 2 5 7" xfId="20586"/>
    <cellStyle name="CALC Percent Total [1] 2 5 7 2" xfId="28908"/>
    <cellStyle name="CALC Percent Total [1] 2 5 7 2 2" xfId="47126"/>
    <cellStyle name="CALC Percent Total [1] 2 5 7 3" xfId="36009"/>
    <cellStyle name="CALC Percent Total [1] 2 5 7 4" xfId="47127"/>
    <cellStyle name="CALC Percent Total [1] 2 5 8" xfId="21366"/>
    <cellStyle name="CALC Percent Total [1] 2 5 8 2" xfId="29669"/>
    <cellStyle name="CALC Percent Total [1] 2 5 8 2 2" xfId="47128"/>
    <cellStyle name="CALC Percent Total [1] 2 5 8 3" xfId="36734"/>
    <cellStyle name="CALC Percent Total [1] 2 5 8 4" xfId="47129"/>
    <cellStyle name="CALC Percent Total [1] 2 5 9" xfId="22023"/>
    <cellStyle name="CALC Percent Total [1] 2 5 9 2" xfId="30322"/>
    <cellStyle name="CALC Percent Total [1] 2 5 9 2 2" xfId="47130"/>
    <cellStyle name="CALC Percent Total [1] 2 5 9 3" xfId="37360"/>
    <cellStyle name="CALC Percent Total [1] 2 5 9 4" xfId="47131"/>
    <cellStyle name="CALC Percent Total [1] 2 6" xfId="14628"/>
    <cellStyle name="CALC Percent Total [1] 2 6 10" xfId="22990"/>
    <cellStyle name="CALC Percent Total [1] 2 6 10 2" xfId="47132"/>
    <cellStyle name="CALC Percent Total [1] 2 6 11" xfId="47133"/>
    <cellStyle name="CALC Percent Total [1] 2 6 2" xfId="15709"/>
    <cellStyle name="CALC Percent Total [1] 2 6 2 2" xfId="24025"/>
    <cellStyle name="CALC Percent Total [1] 2 6 2 2 2" xfId="47134"/>
    <cellStyle name="CALC Percent Total [1] 2 6 2 3" xfId="31319"/>
    <cellStyle name="CALC Percent Total [1] 2 6 2 4" xfId="47135"/>
    <cellStyle name="CALC Percent Total [1] 2 6 3" xfId="16676"/>
    <cellStyle name="CALC Percent Total [1] 2 6 3 2" xfId="24996"/>
    <cellStyle name="CALC Percent Total [1] 2 6 3 2 2" xfId="47136"/>
    <cellStyle name="CALC Percent Total [1] 2 6 3 3" xfId="32252"/>
    <cellStyle name="CALC Percent Total [1] 2 6 3 4" xfId="47137"/>
    <cellStyle name="CALC Percent Total [1] 2 6 4" xfId="17699"/>
    <cellStyle name="CALC Percent Total [1] 2 6 4 2" xfId="26022"/>
    <cellStyle name="CALC Percent Total [1] 2 6 4 2 2" xfId="47138"/>
    <cellStyle name="CALC Percent Total [1] 2 6 4 3" xfId="33229"/>
    <cellStyle name="CALC Percent Total [1] 2 6 4 4" xfId="47139"/>
    <cellStyle name="CALC Percent Total [1] 2 6 5" xfId="18682"/>
    <cellStyle name="CALC Percent Total [1] 2 6 5 2" xfId="27003"/>
    <cellStyle name="CALC Percent Total [1] 2 6 5 2 2" xfId="47140"/>
    <cellStyle name="CALC Percent Total [1] 2 6 5 3" xfId="34168"/>
    <cellStyle name="CALC Percent Total [1] 2 6 5 4" xfId="47141"/>
    <cellStyle name="CALC Percent Total [1] 2 6 6" xfId="19651"/>
    <cellStyle name="CALC Percent Total [1] 2 6 6 2" xfId="27972"/>
    <cellStyle name="CALC Percent Total [1] 2 6 6 2 2" xfId="47142"/>
    <cellStyle name="CALC Percent Total [1] 2 6 6 3" xfId="35114"/>
    <cellStyle name="CALC Percent Total [1] 2 6 6 4" xfId="47143"/>
    <cellStyle name="CALC Percent Total [1] 2 6 7" xfId="20608"/>
    <cellStyle name="CALC Percent Total [1] 2 6 7 2" xfId="28929"/>
    <cellStyle name="CALC Percent Total [1] 2 6 7 2 2" xfId="47144"/>
    <cellStyle name="CALC Percent Total [1] 2 6 7 3" xfId="36029"/>
    <cellStyle name="CALC Percent Total [1] 2 6 7 4" xfId="47145"/>
    <cellStyle name="CALC Percent Total [1] 2 6 8" xfId="21067"/>
    <cellStyle name="CALC Percent Total [1] 2 6 8 2" xfId="29384"/>
    <cellStyle name="CALC Percent Total [1] 2 6 8 2 2" xfId="47146"/>
    <cellStyle name="CALC Percent Total [1] 2 6 8 3" xfId="36462"/>
    <cellStyle name="CALC Percent Total [1] 2 6 8 4" xfId="47147"/>
    <cellStyle name="CALC Percent Total [1] 2 6 9" xfId="22045"/>
    <cellStyle name="CALC Percent Total [1] 2 6 9 2" xfId="30343"/>
    <cellStyle name="CALC Percent Total [1] 2 6 9 2 2" xfId="47148"/>
    <cellStyle name="CALC Percent Total [1] 2 6 9 3" xfId="37380"/>
    <cellStyle name="CALC Percent Total [1] 2 6 9 4" xfId="47149"/>
    <cellStyle name="CALC Percent Total [1] 2 7" xfId="14647"/>
    <cellStyle name="CALC Percent Total [1] 2 7 10" xfId="23009"/>
    <cellStyle name="CALC Percent Total [1] 2 7 10 2" xfId="47150"/>
    <cellStyle name="CALC Percent Total [1] 2 7 11" xfId="47151"/>
    <cellStyle name="CALC Percent Total [1] 2 7 2" xfId="15728"/>
    <cellStyle name="CALC Percent Total [1] 2 7 2 2" xfId="24044"/>
    <cellStyle name="CALC Percent Total [1] 2 7 2 2 2" xfId="47152"/>
    <cellStyle name="CALC Percent Total [1] 2 7 2 3" xfId="31337"/>
    <cellStyle name="CALC Percent Total [1] 2 7 2 4" xfId="47153"/>
    <cellStyle name="CALC Percent Total [1] 2 7 3" xfId="16694"/>
    <cellStyle name="CALC Percent Total [1] 2 7 3 2" xfId="25015"/>
    <cellStyle name="CALC Percent Total [1] 2 7 3 2 2" xfId="47154"/>
    <cellStyle name="CALC Percent Total [1] 2 7 3 3" xfId="32270"/>
    <cellStyle name="CALC Percent Total [1] 2 7 3 4" xfId="47155"/>
    <cellStyle name="CALC Percent Total [1] 2 7 4" xfId="17718"/>
    <cellStyle name="CALC Percent Total [1] 2 7 4 2" xfId="26041"/>
    <cellStyle name="CALC Percent Total [1] 2 7 4 2 2" xfId="47156"/>
    <cellStyle name="CALC Percent Total [1] 2 7 4 3" xfId="33247"/>
    <cellStyle name="CALC Percent Total [1] 2 7 4 4" xfId="47157"/>
    <cellStyle name="CALC Percent Total [1] 2 7 5" xfId="18701"/>
    <cellStyle name="CALC Percent Total [1] 2 7 5 2" xfId="27022"/>
    <cellStyle name="CALC Percent Total [1] 2 7 5 2 2" xfId="47158"/>
    <cellStyle name="CALC Percent Total [1] 2 7 5 3" xfId="34186"/>
    <cellStyle name="CALC Percent Total [1] 2 7 5 4" xfId="47159"/>
    <cellStyle name="CALC Percent Total [1] 2 7 6" xfId="19670"/>
    <cellStyle name="CALC Percent Total [1] 2 7 6 2" xfId="27991"/>
    <cellStyle name="CALC Percent Total [1] 2 7 6 2 2" xfId="47160"/>
    <cellStyle name="CALC Percent Total [1] 2 7 6 3" xfId="35132"/>
    <cellStyle name="CALC Percent Total [1] 2 7 6 4" xfId="47161"/>
    <cellStyle name="CALC Percent Total [1] 2 7 7" xfId="20627"/>
    <cellStyle name="CALC Percent Total [1] 2 7 7 2" xfId="28948"/>
    <cellStyle name="CALC Percent Total [1] 2 7 7 2 2" xfId="47162"/>
    <cellStyle name="CALC Percent Total [1] 2 7 7 3" xfId="36047"/>
    <cellStyle name="CALC Percent Total [1] 2 7 7 4" xfId="47163"/>
    <cellStyle name="CALC Percent Total [1] 2 7 8" xfId="21159"/>
    <cellStyle name="CALC Percent Total [1] 2 7 8 2" xfId="29471"/>
    <cellStyle name="CALC Percent Total [1] 2 7 8 2 2" xfId="47164"/>
    <cellStyle name="CALC Percent Total [1] 2 7 8 3" xfId="36543"/>
    <cellStyle name="CALC Percent Total [1] 2 7 8 4" xfId="47165"/>
    <cellStyle name="CALC Percent Total [1] 2 7 9" xfId="22064"/>
    <cellStyle name="CALC Percent Total [1] 2 7 9 2" xfId="30362"/>
    <cellStyle name="CALC Percent Total [1] 2 7 9 2 2" xfId="47166"/>
    <cellStyle name="CALC Percent Total [1] 2 7 9 3" xfId="37398"/>
    <cellStyle name="CALC Percent Total [1] 2 7 9 4" xfId="47167"/>
    <cellStyle name="CALC Percent Total [1] 2 8" xfId="14693"/>
    <cellStyle name="CALC Percent Total [1] 2 8 10" xfId="23056"/>
    <cellStyle name="CALC Percent Total [1] 2 8 10 2" xfId="47168"/>
    <cellStyle name="CALC Percent Total [1] 2 8 11" xfId="47169"/>
    <cellStyle name="CALC Percent Total [1] 2 8 2" xfId="15774"/>
    <cellStyle name="CALC Percent Total [1] 2 8 2 2" xfId="24091"/>
    <cellStyle name="CALC Percent Total [1] 2 8 2 2 2" xfId="47170"/>
    <cellStyle name="CALC Percent Total [1] 2 8 2 3" xfId="31382"/>
    <cellStyle name="CALC Percent Total [1] 2 8 2 4" xfId="47171"/>
    <cellStyle name="CALC Percent Total [1] 2 8 3" xfId="16740"/>
    <cellStyle name="CALC Percent Total [1] 2 8 3 2" xfId="25062"/>
    <cellStyle name="CALC Percent Total [1] 2 8 3 2 2" xfId="47172"/>
    <cellStyle name="CALC Percent Total [1] 2 8 3 3" xfId="32315"/>
    <cellStyle name="CALC Percent Total [1] 2 8 3 4" xfId="47173"/>
    <cellStyle name="CALC Percent Total [1] 2 8 4" xfId="17764"/>
    <cellStyle name="CALC Percent Total [1] 2 8 4 2" xfId="26088"/>
    <cellStyle name="CALC Percent Total [1] 2 8 4 2 2" xfId="47174"/>
    <cellStyle name="CALC Percent Total [1] 2 8 4 3" xfId="33292"/>
    <cellStyle name="CALC Percent Total [1] 2 8 4 4" xfId="47175"/>
    <cellStyle name="CALC Percent Total [1] 2 8 5" xfId="18748"/>
    <cellStyle name="CALC Percent Total [1] 2 8 5 2" xfId="27069"/>
    <cellStyle name="CALC Percent Total [1] 2 8 5 2 2" xfId="47176"/>
    <cellStyle name="CALC Percent Total [1] 2 8 5 3" xfId="34231"/>
    <cellStyle name="CALC Percent Total [1] 2 8 5 4" xfId="47177"/>
    <cellStyle name="CALC Percent Total [1] 2 8 6" xfId="19717"/>
    <cellStyle name="CALC Percent Total [1] 2 8 6 2" xfId="28038"/>
    <cellStyle name="CALC Percent Total [1] 2 8 6 2 2" xfId="47178"/>
    <cellStyle name="CALC Percent Total [1] 2 8 6 3" xfId="35177"/>
    <cellStyle name="CALC Percent Total [1] 2 8 6 4" xfId="47179"/>
    <cellStyle name="CALC Percent Total [1] 2 8 7" xfId="20674"/>
    <cellStyle name="CALC Percent Total [1] 2 8 7 2" xfId="28995"/>
    <cellStyle name="CALC Percent Total [1] 2 8 7 2 2" xfId="47180"/>
    <cellStyle name="CALC Percent Total [1] 2 8 7 3" xfId="36092"/>
    <cellStyle name="CALC Percent Total [1] 2 8 7 4" xfId="47181"/>
    <cellStyle name="CALC Percent Total [1] 2 8 8" xfId="21328"/>
    <cellStyle name="CALC Percent Total [1] 2 8 8 2" xfId="29633"/>
    <cellStyle name="CALC Percent Total [1] 2 8 8 2 2" xfId="47182"/>
    <cellStyle name="CALC Percent Total [1] 2 8 8 3" xfId="36699"/>
    <cellStyle name="CALC Percent Total [1] 2 8 8 4" xfId="47183"/>
    <cellStyle name="CALC Percent Total [1] 2 8 9" xfId="22111"/>
    <cellStyle name="CALC Percent Total [1] 2 8 9 2" xfId="30409"/>
    <cellStyle name="CALC Percent Total [1] 2 8 9 2 2" xfId="47184"/>
    <cellStyle name="CALC Percent Total [1] 2 8 9 3" xfId="37443"/>
    <cellStyle name="CALC Percent Total [1] 2 8 9 4" xfId="47185"/>
    <cellStyle name="CALC Percent Total [1] 2 9" xfId="14780"/>
    <cellStyle name="CALC Percent Total [1] 2 9 10" xfId="23144"/>
    <cellStyle name="CALC Percent Total [1] 2 9 10 2" xfId="47186"/>
    <cellStyle name="CALC Percent Total [1] 2 9 11" xfId="47187"/>
    <cellStyle name="CALC Percent Total [1] 2 9 12" xfId="47188"/>
    <cellStyle name="CALC Percent Total [1] 2 9 2" xfId="15861"/>
    <cellStyle name="CALC Percent Total [1] 2 9 2 2" xfId="24179"/>
    <cellStyle name="CALC Percent Total [1] 2 9 2 2 2" xfId="47189"/>
    <cellStyle name="CALC Percent Total [1] 2 9 2 3" xfId="31467"/>
    <cellStyle name="CALC Percent Total [1] 2 9 2 4" xfId="47190"/>
    <cellStyle name="CALC Percent Total [1] 2 9 3" xfId="16827"/>
    <cellStyle name="CALC Percent Total [1] 2 9 3 2" xfId="25151"/>
    <cellStyle name="CALC Percent Total [1] 2 9 3 2 2" xfId="47191"/>
    <cellStyle name="CALC Percent Total [1] 2 9 3 3" xfId="32400"/>
    <cellStyle name="CALC Percent Total [1] 2 9 3 4" xfId="47192"/>
    <cellStyle name="CALC Percent Total [1] 2 9 4" xfId="17853"/>
    <cellStyle name="CALC Percent Total [1] 2 9 4 2" xfId="26177"/>
    <cellStyle name="CALC Percent Total [1] 2 9 4 2 2" xfId="47193"/>
    <cellStyle name="CALC Percent Total [1] 2 9 4 3" xfId="33377"/>
    <cellStyle name="CALC Percent Total [1] 2 9 4 4" xfId="47194"/>
    <cellStyle name="CALC Percent Total [1] 2 9 5" xfId="18837"/>
    <cellStyle name="CALC Percent Total [1] 2 9 5 2" xfId="27158"/>
    <cellStyle name="CALC Percent Total [1] 2 9 5 2 2" xfId="47195"/>
    <cellStyle name="CALC Percent Total [1] 2 9 5 3" xfId="34317"/>
    <cellStyle name="CALC Percent Total [1] 2 9 5 4" xfId="47196"/>
    <cellStyle name="CALC Percent Total [1] 2 9 6" xfId="19805"/>
    <cellStyle name="CALC Percent Total [1] 2 9 6 2" xfId="28127"/>
    <cellStyle name="CALC Percent Total [1] 2 9 6 2 2" xfId="47197"/>
    <cellStyle name="CALC Percent Total [1] 2 9 6 3" xfId="35263"/>
    <cellStyle name="CALC Percent Total [1] 2 9 6 4" xfId="47198"/>
    <cellStyle name="CALC Percent Total [1] 2 9 7" xfId="20763"/>
    <cellStyle name="CALC Percent Total [1] 2 9 7 2" xfId="29084"/>
    <cellStyle name="CALC Percent Total [1] 2 9 7 2 2" xfId="47199"/>
    <cellStyle name="CALC Percent Total [1] 2 9 7 3" xfId="36176"/>
    <cellStyle name="CALC Percent Total [1] 2 9 7 4" xfId="47200"/>
    <cellStyle name="CALC Percent Total [1] 2 9 8" xfId="21185"/>
    <cellStyle name="CALC Percent Total [1] 2 9 8 2" xfId="29497"/>
    <cellStyle name="CALC Percent Total [1] 2 9 8 2 2" xfId="47201"/>
    <cellStyle name="CALC Percent Total [1] 2 9 8 3" xfId="36568"/>
    <cellStyle name="CALC Percent Total [1] 2 9 8 4" xfId="47202"/>
    <cellStyle name="CALC Percent Total [1] 2 9 9" xfId="22199"/>
    <cellStyle name="CALC Percent Total [1] 2 9 9 2" xfId="30497"/>
    <cellStyle name="CALC Percent Total [1] 2 9 9 2 2" xfId="47203"/>
    <cellStyle name="CALC Percent Total [1] 2 9 9 3" xfId="37528"/>
    <cellStyle name="CALC Percent Total [1] 2 9 9 4" xfId="47204"/>
    <cellStyle name="CALC Percent Total [1] 20" xfId="15300"/>
    <cellStyle name="CALC Percent Total [1] 20 10" xfId="47205"/>
    <cellStyle name="CALC Percent Total [1] 20 11" xfId="47206"/>
    <cellStyle name="CALC Percent Total [1] 20 2" xfId="16380"/>
    <cellStyle name="CALC Percent Total [1] 20 2 2" xfId="24693"/>
    <cellStyle name="CALC Percent Total [1] 20 2 2 2" xfId="47207"/>
    <cellStyle name="CALC Percent Total [1] 20 2 3" xfId="31959"/>
    <cellStyle name="CALC Percent Total [1] 20 2 4" xfId="47208"/>
    <cellStyle name="CALC Percent Total [1] 20 3" xfId="17346"/>
    <cellStyle name="CALC Percent Total [1] 20 3 2" xfId="25667"/>
    <cellStyle name="CALC Percent Total [1] 20 3 2 2" xfId="47209"/>
    <cellStyle name="CALC Percent Total [1] 20 3 3" xfId="32892"/>
    <cellStyle name="CALC Percent Total [1] 20 3 4" xfId="47210"/>
    <cellStyle name="CALC Percent Total [1] 20 4" xfId="18374"/>
    <cellStyle name="CALC Percent Total [1] 20 4 2" xfId="26694"/>
    <cellStyle name="CALC Percent Total [1] 20 4 2 2" xfId="47211"/>
    <cellStyle name="CALC Percent Total [1] 20 4 3" xfId="33870"/>
    <cellStyle name="CALC Percent Total [1] 20 4 4" xfId="47212"/>
    <cellStyle name="CALC Percent Total [1] 20 5" xfId="19357"/>
    <cellStyle name="CALC Percent Total [1] 20 5 2" xfId="27678"/>
    <cellStyle name="CALC Percent Total [1] 20 5 2 2" xfId="47213"/>
    <cellStyle name="CALC Percent Total [1] 20 5 3" xfId="34826"/>
    <cellStyle name="CALC Percent Total [1] 20 5 4" xfId="47214"/>
    <cellStyle name="CALC Percent Total [1] 20 6" xfId="20326"/>
    <cellStyle name="CALC Percent Total [1] 20 6 2" xfId="28648"/>
    <cellStyle name="CALC Percent Total [1] 20 6 2 2" xfId="47215"/>
    <cellStyle name="CALC Percent Total [1] 20 6 3" xfId="35762"/>
    <cellStyle name="CALC Percent Total [1] 20 6 4" xfId="47216"/>
    <cellStyle name="CALC Percent Total [1] 20 7" xfId="21787"/>
    <cellStyle name="CALC Percent Total [1] 20 7 2" xfId="30088"/>
    <cellStyle name="CALC Percent Total [1] 20 7 2 2" xfId="47217"/>
    <cellStyle name="CALC Percent Total [1] 20 7 3" xfId="37136"/>
    <cellStyle name="CALC Percent Total [1] 20 7 4" xfId="47218"/>
    <cellStyle name="CALC Percent Total [1] 20 8" xfId="22715"/>
    <cellStyle name="CALC Percent Total [1] 20 8 2" xfId="31011"/>
    <cellStyle name="CALC Percent Total [1] 20 8 2 2" xfId="47219"/>
    <cellStyle name="CALC Percent Total [1] 20 8 3" xfId="38019"/>
    <cellStyle name="CALC Percent Total [1] 20 8 4" xfId="47220"/>
    <cellStyle name="CALC Percent Total [1] 20 9" xfId="23657"/>
    <cellStyle name="CALC Percent Total [1] 20 9 2" xfId="47221"/>
    <cellStyle name="CALC Percent Total [1] 21" xfId="15337"/>
    <cellStyle name="CALC Percent Total [1] 21 10" xfId="47222"/>
    <cellStyle name="CALC Percent Total [1] 21 11" xfId="47223"/>
    <cellStyle name="CALC Percent Total [1] 21 2" xfId="16417"/>
    <cellStyle name="CALC Percent Total [1] 21 2 2" xfId="24730"/>
    <cellStyle name="CALC Percent Total [1] 21 2 2 2" xfId="47224"/>
    <cellStyle name="CALC Percent Total [1] 21 2 3" xfId="31995"/>
    <cellStyle name="CALC Percent Total [1] 21 2 4" xfId="47225"/>
    <cellStyle name="CALC Percent Total [1] 21 3" xfId="17383"/>
    <cellStyle name="CALC Percent Total [1] 21 3 2" xfId="25704"/>
    <cellStyle name="CALC Percent Total [1] 21 3 2 2" xfId="47226"/>
    <cellStyle name="CALC Percent Total [1] 21 3 3" xfId="32928"/>
    <cellStyle name="CALC Percent Total [1] 21 3 4" xfId="47227"/>
    <cellStyle name="CALC Percent Total [1] 21 4" xfId="18411"/>
    <cellStyle name="CALC Percent Total [1] 21 4 2" xfId="26731"/>
    <cellStyle name="CALC Percent Total [1] 21 4 2 2" xfId="47228"/>
    <cellStyle name="CALC Percent Total [1] 21 4 3" xfId="33906"/>
    <cellStyle name="CALC Percent Total [1] 21 4 4" xfId="47229"/>
    <cellStyle name="CALC Percent Total [1] 21 5" xfId="19394"/>
    <cellStyle name="CALC Percent Total [1] 21 5 2" xfId="27715"/>
    <cellStyle name="CALC Percent Total [1] 21 5 2 2" xfId="47230"/>
    <cellStyle name="CALC Percent Total [1] 21 5 3" xfId="34863"/>
    <cellStyle name="CALC Percent Total [1] 21 5 4" xfId="47231"/>
    <cellStyle name="CALC Percent Total [1] 21 6" xfId="20363"/>
    <cellStyle name="CALC Percent Total [1] 21 6 2" xfId="28685"/>
    <cellStyle name="CALC Percent Total [1] 21 6 2 2" xfId="47232"/>
    <cellStyle name="CALC Percent Total [1] 21 6 3" xfId="35798"/>
    <cellStyle name="CALC Percent Total [1] 21 6 4" xfId="47233"/>
    <cellStyle name="CALC Percent Total [1] 21 7" xfId="21824"/>
    <cellStyle name="CALC Percent Total [1] 21 7 2" xfId="30125"/>
    <cellStyle name="CALC Percent Total [1] 21 7 2 2" xfId="47234"/>
    <cellStyle name="CALC Percent Total [1] 21 7 3" xfId="37172"/>
    <cellStyle name="CALC Percent Total [1] 21 7 4" xfId="47235"/>
    <cellStyle name="CALC Percent Total [1] 21 8" xfId="22752"/>
    <cellStyle name="CALC Percent Total [1] 21 8 2" xfId="31048"/>
    <cellStyle name="CALC Percent Total [1] 21 8 2 2" xfId="47236"/>
    <cellStyle name="CALC Percent Total [1] 21 8 3" xfId="38055"/>
    <cellStyle name="CALC Percent Total [1] 21 8 4" xfId="47237"/>
    <cellStyle name="CALC Percent Total [1] 21 9" xfId="23694"/>
    <cellStyle name="CALC Percent Total [1] 21 9 2" xfId="47238"/>
    <cellStyle name="CALC Percent Total [1] 22" xfId="15471"/>
    <cellStyle name="CALC Percent Total [1] 22 2" xfId="17517"/>
    <cellStyle name="CALC Percent Total [1] 22 2 2" xfId="25837"/>
    <cellStyle name="CALC Percent Total [1] 22 2 2 2" xfId="47239"/>
    <cellStyle name="CALC Percent Total [1] 22 2 3" xfId="33056"/>
    <cellStyle name="CALC Percent Total [1] 22 2 4" xfId="47240"/>
    <cellStyle name="CALC Percent Total [1] 22 3" xfId="19528"/>
    <cellStyle name="CALC Percent Total [1] 22 3 2" xfId="27849"/>
    <cellStyle name="CALC Percent Total [1] 22 3 2 2" xfId="47241"/>
    <cellStyle name="CALC Percent Total [1] 22 3 3" xfId="34997"/>
    <cellStyle name="CALC Percent Total [1] 22 3 4" xfId="47242"/>
    <cellStyle name="CALC Percent Total [1] 22 4" xfId="47243"/>
    <cellStyle name="CALC Percent Total [1] 22 4 2" xfId="47244"/>
    <cellStyle name="CALC Percent Total [1] 23" xfId="47245"/>
    <cellStyle name="CALC Percent Total [1] 23 2" xfId="47246"/>
    <cellStyle name="CALC Percent Total [1] 3" xfId="14536"/>
    <cellStyle name="CALC Percent Total [1] 3 2" xfId="15612"/>
    <cellStyle name="CALC Percent Total [1] 3 2 2" xfId="23926"/>
    <cellStyle name="CALC Percent Total [1] 3 2 2 2" xfId="47247"/>
    <cellStyle name="CALC Percent Total [1] 3 2 3" xfId="47248"/>
    <cellStyle name="CALC Percent Total [1] 3 2 4" xfId="47249"/>
    <cellStyle name="CALC Percent Total [1] 3 3" xfId="16581"/>
    <cellStyle name="CALC Percent Total [1] 3 3 2" xfId="24897"/>
    <cellStyle name="CALC Percent Total [1] 3 3 2 2" xfId="47250"/>
    <cellStyle name="CALC Percent Total [1] 3 3 3" xfId="32157"/>
    <cellStyle name="CALC Percent Total [1] 3 3 4" xfId="47251"/>
    <cellStyle name="CALC Percent Total [1] 3 4" xfId="17599"/>
    <cellStyle name="CALC Percent Total [1] 3 4 2" xfId="25921"/>
    <cellStyle name="CALC Percent Total [1] 3 4 2 2" xfId="47252"/>
    <cellStyle name="CALC Percent Total [1] 3 4 3" xfId="33134"/>
    <cellStyle name="CALC Percent Total [1] 3 4 4" xfId="47253"/>
    <cellStyle name="CALC Percent Total [1] 3 5" xfId="18580"/>
    <cellStyle name="CALC Percent Total [1] 3 5 2" xfId="26899"/>
    <cellStyle name="CALC Percent Total [1] 3 5 2 2" xfId="47254"/>
    <cellStyle name="CALC Percent Total [1] 3 5 3" xfId="34068"/>
    <cellStyle name="CALC Percent Total [1] 3 5 4" xfId="47255"/>
    <cellStyle name="CALC Percent Total [1] 3 6" xfId="19548"/>
    <cellStyle name="CALC Percent Total [1] 3 6 2" xfId="27869"/>
    <cellStyle name="CALC Percent Total [1] 3 6 2 2" xfId="47256"/>
    <cellStyle name="CALC Percent Total [1] 3 6 3" xfId="35017"/>
    <cellStyle name="CALC Percent Total [1] 3 6 4" xfId="47257"/>
    <cellStyle name="CALC Percent Total [1] 3 7" xfId="20506"/>
    <cellStyle name="CALC Percent Total [1] 3 7 2" xfId="28828"/>
    <cellStyle name="CALC Percent Total [1] 3 7 2 2" xfId="47258"/>
    <cellStyle name="CALC Percent Total [1] 3 7 3" xfId="35934"/>
    <cellStyle name="CALC Percent Total [1] 3 7 4" xfId="47259"/>
    <cellStyle name="CALC Percent Total [1] 3 8" xfId="22890"/>
    <cellStyle name="CALC Percent Total [1] 3 8 2" xfId="47260"/>
    <cellStyle name="CALC Percent Total [1] 4" xfId="14585"/>
    <cellStyle name="CALC Percent Total [1] 4 10" xfId="22944"/>
    <cellStyle name="CALC Percent Total [1] 4 10 2" xfId="47261"/>
    <cellStyle name="CALC Percent Total [1] 4 11" xfId="47262"/>
    <cellStyle name="CALC Percent Total [1] 4 2" xfId="15665"/>
    <cellStyle name="CALC Percent Total [1] 4 2 2" xfId="23980"/>
    <cellStyle name="CALC Percent Total [1] 4 2 2 2" xfId="47263"/>
    <cellStyle name="CALC Percent Total [1] 4 2 3" xfId="31277"/>
    <cellStyle name="CALC Percent Total [1] 4 2 4" xfId="47264"/>
    <cellStyle name="CALC Percent Total [1] 4 3" xfId="16632"/>
    <cellStyle name="CALC Percent Total [1] 4 3 2" xfId="24951"/>
    <cellStyle name="CALC Percent Total [1] 4 3 2 2" xfId="47265"/>
    <cellStyle name="CALC Percent Total [1] 4 3 3" xfId="32210"/>
    <cellStyle name="CALC Percent Total [1] 4 3 4" xfId="47266"/>
    <cellStyle name="CALC Percent Total [1] 4 4" xfId="17653"/>
    <cellStyle name="CALC Percent Total [1] 4 4 2" xfId="25977"/>
    <cellStyle name="CALC Percent Total [1] 4 4 2 2" xfId="47267"/>
    <cellStyle name="CALC Percent Total [1] 4 4 3" xfId="33187"/>
    <cellStyle name="CALC Percent Total [1] 4 4 4" xfId="47268"/>
    <cellStyle name="CALC Percent Total [1] 4 5" xfId="18636"/>
    <cellStyle name="CALC Percent Total [1] 4 5 2" xfId="26956"/>
    <cellStyle name="CALC Percent Total [1] 4 5 2 2" xfId="47269"/>
    <cellStyle name="CALC Percent Total [1] 4 5 3" xfId="34124"/>
    <cellStyle name="CALC Percent Total [1] 4 5 4" xfId="47270"/>
    <cellStyle name="CALC Percent Total [1] 4 6" xfId="19605"/>
    <cellStyle name="CALC Percent Total [1] 4 6 2" xfId="27925"/>
    <cellStyle name="CALC Percent Total [1] 4 6 2 2" xfId="47271"/>
    <cellStyle name="CALC Percent Total [1] 4 6 3" xfId="35070"/>
    <cellStyle name="CALC Percent Total [1] 4 6 4" xfId="47272"/>
    <cellStyle name="CALC Percent Total [1] 4 7" xfId="20562"/>
    <cellStyle name="CALC Percent Total [1] 4 7 2" xfId="28884"/>
    <cellStyle name="CALC Percent Total [1] 4 7 2 2" xfId="47273"/>
    <cellStyle name="CALC Percent Total [1] 4 7 3" xfId="35987"/>
    <cellStyle name="CALC Percent Total [1] 4 7 4" xfId="47274"/>
    <cellStyle name="CALC Percent Total [1] 4 8" xfId="21164"/>
    <cellStyle name="CALC Percent Total [1] 4 8 2" xfId="29476"/>
    <cellStyle name="CALC Percent Total [1] 4 8 2 2" xfId="47275"/>
    <cellStyle name="CALC Percent Total [1] 4 8 3" xfId="36548"/>
    <cellStyle name="CALC Percent Total [1] 4 8 4" xfId="47276"/>
    <cellStyle name="CALC Percent Total [1] 4 9" xfId="21998"/>
    <cellStyle name="CALC Percent Total [1] 4 9 2" xfId="30298"/>
    <cellStyle name="CALC Percent Total [1] 4 9 2 2" xfId="47277"/>
    <cellStyle name="CALC Percent Total [1] 4 9 3" xfId="37338"/>
    <cellStyle name="CALC Percent Total [1] 4 9 4" xfId="47278"/>
    <cellStyle name="CALC Percent Total [1] 5" xfId="14563"/>
    <cellStyle name="CALC Percent Total [1] 5 10" xfId="22919"/>
    <cellStyle name="CALC Percent Total [1] 5 10 2" xfId="47279"/>
    <cellStyle name="CALC Percent Total [1] 5 11" xfId="47280"/>
    <cellStyle name="CALC Percent Total [1] 5 2" xfId="15642"/>
    <cellStyle name="CALC Percent Total [1] 5 2 2" xfId="23955"/>
    <cellStyle name="CALC Percent Total [1] 5 2 2 2" xfId="47281"/>
    <cellStyle name="CALC Percent Total [1] 5 2 3" xfId="31252"/>
    <cellStyle name="CALC Percent Total [1] 5 2 4" xfId="47282"/>
    <cellStyle name="CALC Percent Total [1] 5 3" xfId="16609"/>
    <cellStyle name="CALC Percent Total [1] 5 3 2" xfId="24926"/>
    <cellStyle name="CALC Percent Total [1] 5 3 2 2" xfId="47283"/>
    <cellStyle name="CALC Percent Total [1] 5 3 3" xfId="32185"/>
    <cellStyle name="CALC Percent Total [1] 5 3 4" xfId="47284"/>
    <cellStyle name="CALC Percent Total [1] 5 4" xfId="17629"/>
    <cellStyle name="CALC Percent Total [1] 5 4 2" xfId="25952"/>
    <cellStyle name="CALC Percent Total [1] 5 4 2 2" xfId="47285"/>
    <cellStyle name="CALC Percent Total [1] 5 4 3" xfId="33162"/>
    <cellStyle name="CALC Percent Total [1] 5 4 4" xfId="47286"/>
    <cellStyle name="CALC Percent Total [1] 5 5" xfId="18611"/>
    <cellStyle name="CALC Percent Total [1] 5 5 2" xfId="26930"/>
    <cellStyle name="CALC Percent Total [1] 5 5 2 2" xfId="47287"/>
    <cellStyle name="CALC Percent Total [1] 5 5 3" xfId="34098"/>
    <cellStyle name="CALC Percent Total [1] 5 5 4" xfId="47288"/>
    <cellStyle name="CALC Percent Total [1] 5 6" xfId="19579"/>
    <cellStyle name="CALC Percent Total [1] 5 6 2" xfId="27900"/>
    <cellStyle name="CALC Percent Total [1] 5 6 2 2" xfId="47289"/>
    <cellStyle name="CALC Percent Total [1] 5 6 3" xfId="35045"/>
    <cellStyle name="CALC Percent Total [1] 5 6 4" xfId="47290"/>
    <cellStyle name="CALC Percent Total [1] 5 7" xfId="20537"/>
    <cellStyle name="CALC Percent Total [1] 5 7 2" xfId="28859"/>
    <cellStyle name="CALC Percent Total [1] 5 7 2 2" xfId="47291"/>
    <cellStyle name="CALC Percent Total [1] 5 7 3" xfId="35962"/>
    <cellStyle name="CALC Percent Total [1] 5 7 4" xfId="47292"/>
    <cellStyle name="CALC Percent Total [1] 5 8" xfId="21272"/>
    <cellStyle name="CALC Percent Total [1] 5 8 2" xfId="29580"/>
    <cellStyle name="CALC Percent Total [1] 5 8 2 2" xfId="47293"/>
    <cellStyle name="CALC Percent Total [1] 5 8 3" xfId="36647"/>
    <cellStyle name="CALC Percent Total [1] 5 8 4" xfId="47294"/>
    <cellStyle name="CALC Percent Total [1] 5 9" xfId="21972"/>
    <cellStyle name="CALC Percent Total [1] 5 9 2" xfId="30273"/>
    <cellStyle name="CALC Percent Total [1] 5 9 2 2" xfId="47295"/>
    <cellStyle name="CALC Percent Total [1] 5 9 3" xfId="37313"/>
    <cellStyle name="CALC Percent Total [1] 5 9 4" xfId="47296"/>
    <cellStyle name="CALC Percent Total [1] 6" xfId="14556"/>
    <cellStyle name="CALC Percent Total [1] 6 10" xfId="22912"/>
    <cellStyle name="CALC Percent Total [1] 6 10 2" xfId="47297"/>
    <cellStyle name="CALC Percent Total [1] 6 11" xfId="47298"/>
    <cellStyle name="CALC Percent Total [1] 6 2" xfId="15635"/>
    <cellStyle name="CALC Percent Total [1] 6 2 2" xfId="23948"/>
    <cellStyle name="CALC Percent Total [1] 6 2 2 2" xfId="47299"/>
    <cellStyle name="CALC Percent Total [1] 6 2 3" xfId="31245"/>
    <cellStyle name="CALC Percent Total [1] 6 2 4" xfId="47300"/>
    <cellStyle name="CALC Percent Total [1] 6 3" xfId="16602"/>
    <cellStyle name="CALC Percent Total [1] 6 3 2" xfId="24919"/>
    <cellStyle name="CALC Percent Total [1] 6 3 2 2" xfId="47301"/>
    <cellStyle name="CALC Percent Total [1] 6 3 3" xfId="32178"/>
    <cellStyle name="CALC Percent Total [1] 6 3 4" xfId="47302"/>
    <cellStyle name="CALC Percent Total [1] 6 4" xfId="17622"/>
    <cellStyle name="CALC Percent Total [1] 6 4 2" xfId="25945"/>
    <cellStyle name="CALC Percent Total [1] 6 4 2 2" xfId="47303"/>
    <cellStyle name="CALC Percent Total [1] 6 4 3" xfId="33155"/>
    <cellStyle name="CALC Percent Total [1] 6 4 4" xfId="47304"/>
    <cellStyle name="CALC Percent Total [1] 6 5" xfId="18604"/>
    <cellStyle name="CALC Percent Total [1] 6 5 2" xfId="26923"/>
    <cellStyle name="CALC Percent Total [1] 6 5 2 2" xfId="47305"/>
    <cellStyle name="CALC Percent Total [1] 6 5 3" xfId="34091"/>
    <cellStyle name="CALC Percent Total [1] 6 5 4" xfId="47306"/>
    <cellStyle name="CALC Percent Total [1] 6 6" xfId="19572"/>
    <cellStyle name="CALC Percent Total [1] 6 6 2" xfId="27893"/>
    <cellStyle name="CALC Percent Total [1] 6 6 2 2" xfId="47307"/>
    <cellStyle name="CALC Percent Total [1] 6 6 3" xfId="35038"/>
    <cellStyle name="CALC Percent Total [1] 6 6 4" xfId="47308"/>
    <cellStyle name="CALC Percent Total [1] 6 7" xfId="20530"/>
    <cellStyle name="CALC Percent Total [1] 6 7 2" xfId="28852"/>
    <cellStyle name="CALC Percent Total [1] 6 7 2 2" xfId="47309"/>
    <cellStyle name="CALC Percent Total [1] 6 7 3" xfId="35955"/>
    <cellStyle name="CALC Percent Total [1] 6 7 4" xfId="47310"/>
    <cellStyle name="CALC Percent Total [1] 6 8" xfId="21198"/>
    <cellStyle name="CALC Percent Total [1] 6 8 2" xfId="29510"/>
    <cellStyle name="CALC Percent Total [1] 6 8 2 2" xfId="47311"/>
    <cellStyle name="CALC Percent Total [1] 6 8 3" xfId="36580"/>
    <cellStyle name="CALC Percent Total [1] 6 8 4" xfId="47312"/>
    <cellStyle name="CALC Percent Total [1] 6 9" xfId="21965"/>
    <cellStyle name="CALC Percent Total [1] 6 9 2" xfId="30266"/>
    <cellStyle name="CALC Percent Total [1] 6 9 2 2" xfId="47313"/>
    <cellStyle name="CALC Percent Total [1] 6 9 3" xfId="37306"/>
    <cellStyle name="CALC Percent Total [1] 6 9 4" xfId="47314"/>
    <cellStyle name="CALC Percent Total [1] 7" xfId="14688"/>
    <cellStyle name="CALC Percent Total [1] 7 10" xfId="23051"/>
    <cellStyle name="CALC Percent Total [1] 7 10 2" xfId="47315"/>
    <cellStyle name="CALC Percent Total [1] 7 11" xfId="47316"/>
    <cellStyle name="CALC Percent Total [1] 7 2" xfId="15769"/>
    <cellStyle name="CALC Percent Total [1] 7 2 2" xfId="24086"/>
    <cellStyle name="CALC Percent Total [1] 7 2 2 2" xfId="47317"/>
    <cellStyle name="CALC Percent Total [1] 7 2 3" xfId="31377"/>
    <cellStyle name="CALC Percent Total [1] 7 2 4" xfId="47318"/>
    <cellStyle name="CALC Percent Total [1] 7 3" xfId="16735"/>
    <cellStyle name="CALC Percent Total [1] 7 3 2" xfId="25057"/>
    <cellStyle name="CALC Percent Total [1] 7 3 2 2" xfId="47319"/>
    <cellStyle name="CALC Percent Total [1] 7 3 3" xfId="32310"/>
    <cellStyle name="CALC Percent Total [1] 7 3 4" xfId="47320"/>
    <cellStyle name="CALC Percent Total [1] 7 4" xfId="17759"/>
    <cellStyle name="CALC Percent Total [1] 7 4 2" xfId="26083"/>
    <cellStyle name="CALC Percent Total [1] 7 4 2 2" xfId="47321"/>
    <cellStyle name="CALC Percent Total [1] 7 4 3" xfId="33287"/>
    <cellStyle name="CALC Percent Total [1] 7 4 4" xfId="47322"/>
    <cellStyle name="CALC Percent Total [1] 7 5" xfId="18743"/>
    <cellStyle name="CALC Percent Total [1] 7 5 2" xfId="27064"/>
    <cellStyle name="CALC Percent Total [1] 7 5 2 2" xfId="47323"/>
    <cellStyle name="CALC Percent Total [1] 7 5 3" xfId="34226"/>
    <cellStyle name="CALC Percent Total [1] 7 5 4" xfId="47324"/>
    <cellStyle name="CALC Percent Total [1] 7 6" xfId="19712"/>
    <cellStyle name="CALC Percent Total [1] 7 6 2" xfId="28033"/>
    <cellStyle name="CALC Percent Total [1] 7 6 2 2" xfId="47325"/>
    <cellStyle name="CALC Percent Total [1] 7 6 3" xfId="35172"/>
    <cellStyle name="CALC Percent Total [1] 7 6 4" xfId="47326"/>
    <cellStyle name="CALC Percent Total [1] 7 7" xfId="20669"/>
    <cellStyle name="CALC Percent Total [1] 7 7 2" xfId="28990"/>
    <cellStyle name="CALC Percent Total [1] 7 7 2 2" xfId="47327"/>
    <cellStyle name="CALC Percent Total [1] 7 7 3" xfId="36087"/>
    <cellStyle name="CALC Percent Total [1] 7 7 4" xfId="47328"/>
    <cellStyle name="CALC Percent Total [1] 7 8" xfId="21098"/>
    <cellStyle name="CALC Percent Total [1] 7 8 2" xfId="29415"/>
    <cellStyle name="CALC Percent Total [1] 7 8 2 2" xfId="47329"/>
    <cellStyle name="CALC Percent Total [1] 7 8 3" xfId="36489"/>
    <cellStyle name="CALC Percent Total [1] 7 8 4" xfId="47330"/>
    <cellStyle name="CALC Percent Total [1] 7 9" xfId="22106"/>
    <cellStyle name="CALC Percent Total [1] 7 9 2" xfId="30404"/>
    <cellStyle name="CALC Percent Total [1] 7 9 2 2" xfId="47331"/>
    <cellStyle name="CALC Percent Total [1] 7 9 3" xfId="37438"/>
    <cellStyle name="CALC Percent Total [1] 7 9 4" xfId="47332"/>
    <cellStyle name="CALC Percent Total [1] 8" xfId="14742"/>
    <cellStyle name="CALC Percent Total [1] 8 10" xfId="23106"/>
    <cellStyle name="CALC Percent Total [1] 8 10 2" xfId="47333"/>
    <cellStyle name="CALC Percent Total [1] 8 11" xfId="47334"/>
    <cellStyle name="CALC Percent Total [1] 8 12" xfId="47335"/>
    <cellStyle name="CALC Percent Total [1] 8 2" xfId="15823"/>
    <cellStyle name="CALC Percent Total [1] 8 2 2" xfId="24141"/>
    <cellStyle name="CALC Percent Total [1] 8 2 2 2" xfId="47336"/>
    <cellStyle name="CALC Percent Total [1] 8 2 3" xfId="31429"/>
    <cellStyle name="CALC Percent Total [1] 8 2 4" xfId="47337"/>
    <cellStyle name="CALC Percent Total [1] 8 3" xfId="16789"/>
    <cellStyle name="CALC Percent Total [1] 8 3 2" xfId="25113"/>
    <cellStyle name="CALC Percent Total [1] 8 3 2 2" xfId="47338"/>
    <cellStyle name="CALC Percent Total [1] 8 3 3" xfId="32362"/>
    <cellStyle name="CALC Percent Total [1] 8 3 4" xfId="47339"/>
    <cellStyle name="CALC Percent Total [1] 8 4" xfId="17815"/>
    <cellStyle name="CALC Percent Total [1] 8 4 2" xfId="26139"/>
    <cellStyle name="CALC Percent Total [1] 8 4 2 2" xfId="47340"/>
    <cellStyle name="CALC Percent Total [1] 8 4 3" xfId="33339"/>
    <cellStyle name="CALC Percent Total [1] 8 4 4" xfId="47341"/>
    <cellStyle name="CALC Percent Total [1] 8 5" xfId="18799"/>
    <cellStyle name="CALC Percent Total [1] 8 5 2" xfId="27120"/>
    <cellStyle name="CALC Percent Total [1] 8 5 2 2" xfId="47342"/>
    <cellStyle name="CALC Percent Total [1] 8 5 3" xfId="34279"/>
    <cellStyle name="CALC Percent Total [1] 8 5 4" xfId="47343"/>
    <cellStyle name="CALC Percent Total [1] 8 6" xfId="19767"/>
    <cellStyle name="CALC Percent Total [1] 8 6 2" xfId="28089"/>
    <cellStyle name="CALC Percent Total [1] 8 6 2 2" xfId="47344"/>
    <cellStyle name="CALC Percent Total [1] 8 6 3" xfId="35225"/>
    <cellStyle name="CALC Percent Total [1] 8 6 4" xfId="47345"/>
    <cellStyle name="CALC Percent Total [1] 8 7" xfId="20725"/>
    <cellStyle name="CALC Percent Total [1] 8 7 2" xfId="29046"/>
    <cellStyle name="CALC Percent Total [1] 8 7 2 2" xfId="47346"/>
    <cellStyle name="CALC Percent Total [1] 8 7 3" xfId="36138"/>
    <cellStyle name="CALC Percent Total [1] 8 7 4" xfId="47347"/>
    <cellStyle name="CALC Percent Total [1] 8 8" xfId="21227"/>
    <cellStyle name="CALC Percent Total [1] 8 8 2" xfId="29538"/>
    <cellStyle name="CALC Percent Total [1] 8 8 2 2" xfId="47348"/>
    <cellStyle name="CALC Percent Total [1] 8 8 3" xfId="36607"/>
    <cellStyle name="CALC Percent Total [1] 8 8 4" xfId="47349"/>
    <cellStyle name="CALC Percent Total [1] 8 9" xfId="22161"/>
    <cellStyle name="CALC Percent Total [1] 8 9 2" xfId="30459"/>
    <cellStyle name="CALC Percent Total [1] 8 9 2 2" xfId="47350"/>
    <cellStyle name="CALC Percent Total [1] 8 9 3" xfId="37490"/>
    <cellStyle name="CALC Percent Total [1] 8 9 4" xfId="47351"/>
    <cellStyle name="CALC Percent Total [1] 9" xfId="14751"/>
    <cellStyle name="CALC Percent Total [1] 9 10" xfId="23115"/>
    <cellStyle name="CALC Percent Total [1] 9 10 2" xfId="47352"/>
    <cellStyle name="CALC Percent Total [1] 9 11" xfId="47353"/>
    <cellStyle name="CALC Percent Total [1] 9 12" xfId="47354"/>
    <cellStyle name="CALC Percent Total [1] 9 2" xfId="15832"/>
    <cellStyle name="CALC Percent Total [1] 9 2 2" xfId="24150"/>
    <cellStyle name="CALC Percent Total [1] 9 2 2 2" xfId="47355"/>
    <cellStyle name="CALC Percent Total [1] 9 2 3" xfId="31438"/>
    <cellStyle name="CALC Percent Total [1] 9 2 4" xfId="47356"/>
    <cellStyle name="CALC Percent Total [1] 9 3" xfId="16798"/>
    <cellStyle name="CALC Percent Total [1] 9 3 2" xfId="25122"/>
    <cellStyle name="CALC Percent Total [1] 9 3 2 2" xfId="47357"/>
    <cellStyle name="CALC Percent Total [1] 9 3 3" xfId="32371"/>
    <cellStyle name="CALC Percent Total [1] 9 3 4" xfId="47358"/>
    <cellStyle name="CALC Percent Total [1] 9 4" xfId="17824"/>
    <cellStyle name="CALC Percent Total [1] 9 4 2" xfId="26148"/>
    <cellStyle name="CALC Percent Total [1] 9 4 2 2" xfId="47359"/>
    <cellStyle name="CALC Percent Total [1] 9 4 3" xfId="33348"/>
    <cellStyle name="CALC Percent Total [1] 9 4 4" xfId="47360"/>
    <cellStyle name="CALC Percent Total [1] 9 5" xfId="18808"/>
    <cellStyle name="CALC Percent Total [1] 9 5 2" xfId="27129"/>
    <cellStyle name="CALC Percent Total [1] 9 5 2 2" xfId="47361"/>
    <cellStyle name="CALC Percent Total [1] 9 5 3" xfId="34288"/>
    <cellStyle name="CALC Percent Total [1] 9 5 4" xfId="47362"/>
    <cellStyle name="CALC Percent Total [1] 9 6" xfId="19776"/>
    <cellStyle name="CALC Percent Total [1] 9 6 2" xfId="28098"/>
    <cellStyle name="CALC Percent Total [1] 9 6 2 2" xfId="47363"/>
    <cellStyle name="CALC Percent Total [1] 9 6 3" xfId="35234"/>
    <cellStyle name="CALC Percent Total [1] 9 6 4" xfId="47364"/>
    <cellStyle name="CALC Percent Total [1] 9 7" xfId="20734"/>
    <cellStyle name="CALC Percent Total [1] 9 7 2" xfId="29055"/>
    <cellStyle name="CALC Percent Total [1] 9 7 2 2" xfId="47365"/>
    <cellStyle name="CALC Percent Total [1] 9 7 3" xfId="36147"/>
    <cellStyle name="CALC Percent Total [1] 9 7 4" xfId="47366"/>
    <cellStyle name="CALC Percent Total [1] 9 8" xfId="21181"/>
    <cellStyle name="CALC Percent Total [1] 9 8 2" xfId="29493"/>
    <cellStyle name="CALC Percent Total [1] 9 8 2 2" xfId="47367"/>
    <cellStyle name="CALC Percent Total [1] 9 8 3" xfId="36564"/>
    <cellStyle name="CALC Percent Total [1] 9 8 4" xfId="47368"/>
    <cellStyle name="CALC Percent Total [1] 9 9" xfId="22170"/>
    <cellStyle name="CALC Percent Total [1] 9 9 2" xfId="30468"/>
    <cellStyle name="CALC Percent Total [1] 9 9 2 2" xfId="47369"/>
    <cellStyle name="CALC Percent Total [1] 9 9 3" xfId="37499"/>
    <cellStyle name="CALC Percent Total [1] 9 9 4" xfId="47370"/>
    <cellStyle name="CALC Percent Total [2]" xfId="14474"/>
    <cellStyle name="CALC Percent Total [2] 10" xfId="14719"/>
    <cellStyle name="CALC Percent Total [2] 10 10" xfId="23081"/>
    <cellStyle name="CALC Percent Total [2] 10 10 2" xfId="47371"/>
    <cellStyle name="CALC Percent Total [2] 10 11" xfId="47372"/>
    <cellStyle name="CALC Percent Total [2] 10 12" xfId="47373"/>
    <cellStyle name="CALC Percent Total [2] 10 2" xfId="15800"/>
    <cellStyle name="CALC Percent Total [2] 10 2 2" xfId="24116"/>
    <cellStyle name="CALC Percent Total [2] 10 2 2 2" xfId="47374"/>
    <cellStyle name="CALC Percent Total [2] 10 2 3" xfId="31404"/>
    <cellStyle name="CALC Percent Total [2] 10 2 4" xfId="47375"/>
    <cellStyle name="CALC Percent Total [2] 10 3" xfId="16766"/>
    <cellStyle name="CALC Percent Total [2] 10 3 2" xfId="25088"/>
    <cellStyle name="CALC Percent Total [2] 10 3 2 2" xfId="47376"/>
    <cellStyle name="CALC Percent Total [2] 10 3 3" xfId="32337"/>
    <cellStyle name="CALC Percent Total [2] 10 3 4" xfId="47377"/>
    <cellStyle name="CALC Percent Total [2] 10 4" xfId="17790"/>
    <cellStyle name="CALC Percent Total [2] 10 4 2" xfId="26114"/>
    <cellStyle name="CALC Percent Total [2] 10 4 2 2" xfId="47378"/>
    <cellStyle name="CALC Percent Total [2] 10 4 3" xfId="33314"/>
    <cellStyle name="CALC Percent Total [2] 10 4 4" xfId="47379"/>
    <cellStyle name="CALC Percent Total [2] 10 5" xfId="18774"/>
    <cellStyle name="CALC Percent Total [2] 10 5 2" xfId="27095"/>
    <cellStyle name="CALC Percent Total [2] 10 5 2 2" xfId="47380"/>
    <cellStyle name="CALC Percent Total [2] 10 5 3" xfId="34254"/>
    <cellStyle name="CALC Percent Total [2] 10 5 4" xfId="47381"/>
    <cellStyle name="CALC Percent Total [2] 10 6" xfId="19743"/>
    <cellStyle name="CALC Percent Total [2] 10 6 2" xfId="28064"/>
    <cellStyle name="CALC Percent Total [2] 10 6 2 2" xfId="47382"/>
    <cellStyle name="CALC Percent Total [2] 10 6 3" xfId="35200"/>
    <cellStyle name="CALC Percent Total [2] 10 6 4" xfId="47383"/>
    <cellStyle name="CALC Percent Total [2] 10 7" xfId="20700"/>
    <cellStyle name="CALC Percent Total [2] 10 7 2" xfId="29021"/>
    <cellStyle name="CALC Percent Total [2] 10 7 2 2" xfId="47384"/>
    <cellStyle name="CALC Percent Total [2] 10 7 3" xfId="36114"/>
    <cellStyle name="CALC Percent Total [2] 10 7 4" xfId="47385"/>
    <cellStyle name="CALC Percent Total [2] 10 8" xfId="21220"/>
    <cellStyle name="CALC Percent Total [2] 10 8 2" xfId="29531"/>
    <cellStyle name="CALC Percent Total [2] 10 8 2 2" xfId="47386"/>
    <cellStyle name="CALC Percent Total [2] 10 8 3" xfId="36600"/>
    <cellStyle name="CALC Percent Total [2] 10 8 4" xfId="47387"/>
    <cellStyle name="CALC Percent Total [2] 10 9" xfId="22136"/>
    <cellStyle name="CALC Percent Total [2] 10 9 2" xfId="30434"/>
    <cellStyle name="CALC Percent Total [2] 10 9 2 2" xfId="47388"/>
    <cellStyle name="CALC Percent Total [2] 10 9 3" xfId="37465"/>
    <cellStyle name="CALC Percent Total [2] 10 9 4" xfId="47389"/>
    <cellStyle name="CALC Percent Total [2] 11" xfId="14830"/>
    <cellStyle name="CALC Percent Total [2] 11 10" xfId="23194"/>
    <cellStyle name="CALC Percent Total [2] 11 10 2" xfId="47390"/>
    <cellStyle name="CALC Percent Total [2] 11 11" xfId="47391"/>
    <cellStyle name="CALC Percent Total [2] 11 12" xfId="47392"/>
    <cellStyle name="CALC Percent Total [2] 11 2" xfId="15911"/>
    <cellStyle name="CALC Percent Total [2] 11 2 2" xfId="24229"/>
    <cellStyle name="CALC Percent Total [2] 11 2 2 2" xfId="47393"/>
    <cellStyle name="CALC Percent Total [2] 11 2 3" xfId="31513"/>
    <cellStyle name="CALC Percent Total [2] 11 2 4" xfId="47394"/>
    <cellStyle name="CALC Percent Total [2] 11 3" xfId="16877"/>
    <cellStyle name="CALC Percent Total [2] 11 3 2" xfId="25201"/>
    <cellStyle name="CALC Percent Total [2] 11 3 2 2" xfId="47395"/>
    <cellStyle name="CALC Percent Total [2] 11 3 3" xfId="32446"/>
    <cellStyle name="CALC Percent Total [2] 11 3 4" xfId="47396"/>
    <cellStyle name="CALC Percent Total [2] 11 4" xfId="17904"/>
    <cellStyle name="CALC Percent Total [2] 11 4 2" xfId="26227"/>
    <cellStyle name="CALC Percent Total [2] 11 4 2 2" xfId="47397"/>
    <cellStyle name="CALC Percent Total [2] 11 4 3" xfId="33423"/>
    <cellStyle name="CALC Percent Total [2] 11 4 4" xfId="47398"/>
    <cellStyle name="CALC Percent Total [2] 11 5" xfId="18888"/>
    <cellStyle name="CALC Percent Total [2] 11 5 2" xfId="27208"/>
    <cellStyle name="CALC Percent Total [2] 11 5 2 2" xfId="47399"/>
    <cellStyle name="CALC Percent Total [2] 11 5 3" xfId="34363"/>
    <cellStyle name="CALC Percent Total [2] 11 5 4" xfId="47400"/>
    <cellStyle name="CALC Percent Total [2] 11 6" xfId="19856"/>
    <cellStyle name="CALC Percent Total [2] 11 6 2" xfId="28178"/>
    <cellStyle name="CALC Percent Total [2] 11 6 2 2" xfId="47401"/>
    <cellStyle name="CALC Percent Total [2] 11 6 3" xfId="35310"/>
    <cellStyle name="CALC Percent Total [2] 11 6 4" xfId="47402"/>
    <cellStyle name="CALC Percent Total [2] 11 7" xfId="20814"/>
    <cellStyle name="CALC Percent Total [2] 11 7 2" xfId="29134"/>
    <cellStyle name="CALC Percent Total [2] 11 7 2 2" xfId="47403"/>
    <cellStyle name="CALC Percent Total [2] 11 7 3" xfId="36221"/>
    <cellStyle name="CALC Percent Total [2] 11 7 4" xfId="47404"/>
    <cellStyle name="CALC Percent Total [2] 11 8" xfId="21359"/>
    <cellStyle name="CALC Percent Total [2] 11 8 2" xfId="29662"/>
    <cellStyle name="CALC Percent Total [2] 11 8 2 2" xfId="47405"/>
    <cellStyle name="CALC Percent Total [2] 11 8 3" xfId="36727"/>
    <cellStyle name="CALC Percent Total [2] 11 8 4" xfId="47406"/>
    <cellStyle name="CALC Percent Total [2] 11 9" xfId="22249"/>
    <cellStyle name="CALC Percent Total [2] 11 9 2" xfId="30548"/>
    <cellStyle name="CALC Percent Total [2] 11 9 2 2" xfId="47407"/>
    <cellStyle name="CALC Percent Total [2] 11 9 3" xfId="37574"/>
    <cellStyle name="CALC Percent Total [2] 11 9 4" xfId="47408"/>
    <cellStyle name="CALC Percent Total [2] 12" xfId="14953"/>
    <cellStyle name="CALC Percent Total [2] 12 10" xfId="23316"/>
    <cellStyle name="CALC Percent Total [2] 12 10 2" xfId="47409"/>
    <cellStyle name="CALC Percent Total [2] 12 11" xfId="47410"/>
    <cellStyle name="CALC Percent Total [2] 12 12" xfId="47411"/>
    <cellStyle name="CALC Percent Total [2] 12 2" xfId="16034"/>
    <cellStyle name="CALC Percent Total [2] 12 2 2" xfId="24351"/>
    <cellStyle name="CALC Percent Total [2] 12 2 2 2" xfId="47412"/>
    <cellStyle name="CALC Percent Total [2] 12 2 3" xfId="31631"/>
    <cellStyle name="CALC Percent Total [2] 12 2 4" xfId="47413"/>
    <cellStyle name="CALC Percent Total [2] 12 3" xfId="17000"/>
    <cellStyle name="CALC Percent Total [2] 12 3 2" xfId="25323"/>
    <cellStyle name="CALC Percent Total [2] 12 3 2 2" xfId="47414"/>
    <cellStyle name="CALC Percent Total [2] 12 3 3" xfId="32564"/>
    <cellStyle name="CALC Percent Total [2] 12 3 4" xfId="47415"/>
    <cellStyle name="CALC Percent Total [2] 12 4" xfId="18027"/>
    <cellStyle name="CALC Percent Total [2] 12 4 2" xfId="26349"/>
    <cellStyle name="CALC Percent Total [2] 12 4 2 2" xfId="47416"/>
    <cellStyle name="CALC Percent Total [2] 12 4 3" xfId="33541"/>
    <cellStyle name="CALC Percent Total [2] 12 4 4" xfId="47417"/>
    <cellStyle name="CALC Percent Total [2] 12 5" xfId="19011"/>
    <cellStyle name="CALC Percent Total [2] 12 5 2" xfId="27331"/>
    <cellStyle name="CALC Percent Total [2] 12 5 2 2" xfId="47418"/>
    <cellStyle name="CALC Percent Total [2] 12 5 3" xfId="34482"/>
    <cellStyle name="CALC Percent Total [2] 12 5 4" xfId="47419"/>
    <cellStyle name="CALC Percent Total [2] 12 6" xfId="19979"/>
    <cellStyle name="CALC Percent Total [2] 12 6 2" xfId="28301"/>
    <cellStyle name="CALC Percent Total [2] 12 6 2 2" xfId="47420"/>
    <cellStyle name="CALC Percent Total [2] 12 6 3" xfId="35429"/>
    <cellStyle name="CALC Percent Total [2] 12 6 4" xfId="47421"/>
    <cellStyle name="CALC Percent Total [2] 12 7" xfId="20937"/>
    <cellStyle name="CALC Percent Total [2] 12 7 2" xfId="29256"/>
    <cellStyle name="CALC Percent Total [2] 12 7 2 2" xfId="47422"/>
    <cellStyle name="CALC Percent Total [2] 12 7 3" xfId="36339"/>
    <cellStyle name="CALC Percent Total [2] 12 7 4" xfId="47423"/>
    <cellStyle name="CALC Percent Total [2] 12 8" xfId="21444"/>
    <cellStyle name="CALC Percent Total [2] 12 8 2" xfId="29747"/>
    <cellStyle name="CALC Percent Total [2] 12 8 2 2" xfId="47424"/>
    <cellStyle name="CALC Percent Total [2] 12 8 3" xfId="36809"/>
    <cellStyle name="CALC Percent Total [2] 12 8 4" xfId="47425"/>
    <cellStyle name="CALC Percent Total [2] 12 9" xfId="22372"/>
    <cellStyle name="CALC Percent Total [2] 12 9 2" xfId="30670"/>
    <cellStyle name="CALC Percent Total [2] 12 9 2 2" xfId="47426"/>
    <cellStyle name="CALC Percent Total [2] 12 9 3" xfId="37692"/>
    <cellStyle name="CALC Percent Total [2] 12 9 4" xfId="47427"/>
    <cellStyle name="CALC Percent Total [2] 13" xfId="15019"/>
    <cellStyle name="CALC Percent Total [2] 13 10" xfId="23379"/>
    <cellStyle name="CALC Percent Total [2] 13 10 2" xfId="47428"/>
    <cellStyle name="CALC Percent Total [2] 13 11" xfId="47429"/>
    <cellStyle name="CALC Percent Total [2] 13 12" xfId="47430"/>
    <cellStyle name="CALC Percent Total [2] 13 2" xfId="16099"/>
    <cellStyle name="CALC Percent Total [2] 13 2 2" xfId="24414"/>
    <cellStyle name="CALC Percent Total [2] 13 2 2 2" xfId="47431"/>
    <cellStyle name="CALC Percent Total [2] 13 2 3" xfId="31692"/>
    <cellStyle name="CALC Percent Total [2] 13 2 4" xfId="47432"/>
    <cellStyle name="CALC Percent Total [2] 13 3" xfId="17066"/>
    <cellStyle name="CALC Percent Total [2] 13 3 2" xfId="25387"/>
    <cellStyle name="CALC Percent Total [2] 13 3 2 2" xfId="47433"/>
    <cellStyle name="CALC Percent Total [2] 13 3 3" xfId="32626"/>
    <cellStyle name="CALC Percent Total [2] 13 3 4" xfId="47434"/>
    <cellStyle name="CALC Percent Total [2] 13 4" xfId="18093"/>
    <cellStyle name="CALC Percent Total [2] 13 4 2" xfId="26413"/>
    <cellStyle name="CALC Percent Total [2] 13 4 2 2" xfId="47435"/>
    <cellStyle name="CALC Percent Total [2] 13 4 3" xfId="33603"/>
    <cellStyle name="CALC Percent Total [2] 13 4 4" xfId="47436"/>
    <cellStyle name="CALC Percent Total [2] 13 5" xfId="19077"/>
    <cellStyle name="CALC Percent Total [2] 13 5 2" xfId="27397"/>
    <cellStyle name="CALC Percent Total [2] 13 5 2 2" xfId="47437"/>
    <cellStyle name="CALC Percent Total [2] 13 5 3" xfId="34546"/>
    <cellStyle name="CALC Percent Total [2] 13 5 4" xfId="47438"/>
    <cellStyle name="CALC Percent Total [2] 13 6" xfId="20045"/>
    <cellStyle name="CALC Percent Total [2] 13 6 2" xfId="28367"/>
    <cellStyle name="CALC Percent Total [2] 13 6 2 2" xfId="47439"/>
    <cellStyle name="CALC Percent Total [2] 13 6 3" xfId="35493"/>
    <cellStyle name="CALC Percent Total [2] 13 6 4" xfId="47440"/>
    <cellStyle name="CALC Percent Total [2] 13 7" xfId="21002"/>
    <cellStyle name="CALC Percent Total [2] 13 7 2" xfId="29319"/>
    <cellStyle name="CALC Percent Total [2] 13 7 2 2" xfId="47441"/>
    <cellStyle name="CALC Percent Total [2] 13 7 3" xfId="36400"/>
    <cellStyle name="CALC Percent Total [2] 13 7 4" xfId="47442"/>
    <cellStyle name="CALC Percent Total [2] 13 8" xfId="21509"/>
    <cellStyle name="CALC Percent Total [2] 13 8 2" xfId="29810"/>
    <cellStyle name="CALC Percent Total [2] 13 8 2 2" xfId="47443"/>
    <cellStyle name="CALC Percent Total [2] 13 8 3" xfId="36870"/>
    <cellStyle name="CALC Percent Total [2] 13 8 4" xfId="47444"/>
    <cellStyle name="CALC Percent Total [2] 13 9" xfId="22437"/>
    <cellStyle name="CALC Percent Total [2] 13 9 2" xfId="30733"/>
    <cellStyle name="CALC Percent Total [2] 13 9 2 2" xfId="47445"/>
    <cellStyle name="CALC Percent Total [2] 13 9 3" xfId="37753"/>
    <cellStyle name="CALC Percent Total [2] 13 9 4" xfId="47446"/>
    <cellStyle name="CALC Percent Total [2] 14" xfId="15045"/>
    <cellStyle name="CALC Percent Total [2] 14 10" xfId="23405"/>
    <cellStyle name="CALC Percent Total [2] 14 10 2" xfId="47447"/>
    <cellStyle name="CALC Percent Total [2] 14 11" xfId="47448"/>
    <cellStyle name="CALC Percent Total [2] 14 12" xfId="47449"/>
    <cellStyle name="CALC Percent Total [2] 14 2" xfId="16125"/>
    <cellStyle name="CALC Percent Total [2] 14 2 2" xfId="24440"/>
    <cellStyle name="CALC Percent Total [2] 14 2 2 2" xfId="47450"/>
    <cellStyle name="CALC Percent Total [2] 14 2 3" xfId="31717"/>
    <cellStyle name="CALC Percent Total [2] 14 2 4" xfId="47451"/>
    <cellStyle name="CALC Percent Total [2] 14 3" xfId="17092"/>
    <cellStyle name="CALC Percent Total [2] 14 3 2" xfId="25413"/>
    <cellStyle name="CALC Percent Total [2] 14 3 2 2" xfId="47452"/>
    <cellStyle name="CALC Percent Total [2] 14 3 3" xfId="32651"/>
    <cellStyle name="CALC Percent Total [2] 14 3 4" xfId="47453"/>
    <cellStyle name="CALC Percent Total [2] 14 4" xfId="18119"/>
    <cellStyle name="CALC Percent Total [2] 14 4 2" xfId="26439"/>
    <cellStyle name="CALC Percent Total [2] 14 4 2 2" xfId="47454"/>
    <cellStyle name="CALC Percent Total [2] 14 4 3" xfId="33628"/>
    <cellStyle name="CALC Percent Total [2] 14 4 4" xfId="47455"/>
    <cellStyle name="CALC Percent Total [2] 14 5" xfId="19103"/>
    <cellStyle name="CALC Percent Total [2] 14 5 2" xfId="27423"/>
    <cellStyle name="CALC Percent Total [2] 14 5 2 2" xfId="47456"/>
    <cellStyle name="CALC Percent Total [2] 14 5 3" xfId="34571"/>
    <cellStyle name="CALC Percent Total [2] 14 5 4" xfId="47457"/>
    <cellStyle name="CALC Percent Total [2] 14 6" xfId="20071"/>
    <cellStyle name="CALC Percent Total [2] 14 6 2" xfId="28393"/>
    <cellStyle name="CALC Percent Total [2] 14 6 2 2" xfId="47458"/>
    <cellStyle name="CALC Percent Total [2] 14 6 3" xfId="35518"/>
    <cellStyle name="CALC Percent Total [2] 14 6 4" xfId="47459"/>
    <cellStyle name="CALC Percent Total [2] 14 7" xfId="21028"/>
    <cellStyle name="CALC Percent Total [2] 14 7 2" xfId="29345"/>
    <cellStyle name="CALC Percent Total [2] 14 7 2 2" xfId="47460"/>
    <cellStyle name="CALC Percent Total [2] 14 7 3" xfId="36425"/>
    <cellStyle name="CALC Percent Total [2] 14 7 4" xfId="47461"/>
    <cellStyle name="CALC Percent Total [2] 14 8" xfId="21535"/>
    <cellStyle name="CALC Percent Total [2] 14 8 2" xfId="29836"/>
    <cellStyle name="CALC Percent Total [2] 14 8 2 2" xfId="47462"/>
    <cellStyle name="CALC Percent Total [2] 14 8 3" xfId="36895"/>
    <cellStyle name="CALC Percent Total [2] 14 8 4" xfId="47463"/>
    <cellStyle name="CALC Percent Total [2] 14 9" xfId="22463"/>
    <cellStyle name="CALC Percent Total [2] 14 9 2" xfId="30759"/>
    <cellStyle name="CALC Percent Total [2] 14 9 2 2" xfId="47464"/>
    <cellStyle name="CALC Percent Total [2] 14 9 3" xfId="37778"/>
    <cellStyle name="CALC Percent Total [2] 14 9 4" xfId="47465"/>
    <cellStyle name="CALC Percent Total [2] 15" xfId="15123"/>
    <cellStyle name="CALC Percent Total [2] 15 10" xfId="47466"/>
    <cellStyle name="CALC Percent Total [2] 15 11" xfId="47467"/>
    <cellStyle name="CALC Percent Total [2] 15 2" xfId="16203"/>
    <cellStyle name="CALC Percent Total [2] 15 2 2" xfId="24516"/>
    <cellStyle name="CALC Percent Total [2] 15 2 2 2" xfId="47468"/>
    <cellStyle name="CALC Percent Total [2] 15 2 3" xfId="31793"/>
    <cellStyle name="CALC Percent Total [2] 15 2 4" xfId="47469"/>
    <cellStyle name="CALC Percent Total [2] 15 3" xfId="17169"/>
    <cellStyle name="CALC Percent Total [2] 15 3 2" xfId="25490"/>
    <cellStyle name="CALC Percent Total [2] 15 3 2 2" xfId="47470"/>
    <cellStyle name="CALC Percent Total [2] 15 3 3" xfId="32726"/>
    <cellStyle name="CALC Percent Total [2] 15 3 4" xfId="47471"/>
    <cellStyle name="CALC Percent Total [2] 15 4" xfId="18197"/>
    <cellStyle name="CALC Percent Total [2] 15 4 2" xfId="26517"/>
    <cellStyle name="CALC Percent Total [2] 15 4 2 2" xfId="47472"/>
    <cellStyle name="CALC Percent Total [2] 15 4 3" xfId="33704"/>
    <cellStyle name="CALC Percent Total [2] 15 4 4" xfId="47473"/>
    <cellStyle name="CALC Percent Total [2] 15 5" xfId="19181"/>
    <cellStyle name="CALC Percent Total [2] 15 5 2" xfId="27501"/>
    <cellStyle name="CALC Percent Total [2] 15 5 2 2" xfId="47474"/>
    <cellStyle name="CALC Percent Total [2] 15 5 3" xfId="34649"/>
    <cellStyle name="CALC Percent Total [2] 15 5 4" xfId="47475"/>
    <cellStyle name="CALC Percent Total [2] 15 6" xfId="20149"/>
    <cellStyle name="CALC Percent Total [2] 15 6 2" xfId="28471"/>
    <cellStyle name="CALC Percent Total [2] 15 6 2 2" xfId="47476"/>
    <cellStyle name="CALC Percent Total [2] 15 6 3" xfId="35596"/>
    <cellStyle name="CALC Percent Total [2] 15 6 4" xfId="47477"/>
    <cellStyle name="CALC Percent Total [2] 15 7" xfId="21610"/>
    <cellStyle name="CALC Percent Total [2] 15 7 2" xfId="29911"/>
    <cellStyle name="CALC Percent Total [2] 15 7 2 2" xfId="47478"/>
    <cellStyle name="CALC Percent Total [2] 15 7 3" xfId="36970"/>
    <cellStyle name="CALC Percent Total [2] 15 7 4" xfId="47479"/>
    <cellStyle name="CALC Percent Total [2] 15 8" xfId="22538"/>
    <cellStyle name="CALC Percent Total [2] 15 8 2" xfId="30834"/>
    <cellStyle name="CALC Percent Total [2] 15 8 2 2" xfId="47480"/>
    <cellStyle name="CALC Percent Total [2] 15 8 3" xfId="37853"/>
    <cellStyle name="CALC Percent Total [2] 15 8 4" xfId="47481"/>
    <cellStyle name="CALC Percent Total [2] 15 9" xfId="23480"/>
    <cellStyle name="CALC Percent Total [2] 15 9 2" xfId="47482"/>
    <cellStyle name="CALC Percent Total [2] 16" xfId="15090"/>
    <cellStyle name="CALC Percent Total [2] 16 10" xfId="47483"/>
    <cellStyle name="CALC Percent Total [2] 16 11" xfId="47484"/>
    <cellStyle name="CALC Percent Total [2] 16 2" xfId="16170"/>
    <cellStyle name="CALC Percent Total [2] 16 2 2" xfId="24483"/>
    <cellStyle name="CALC Percent Total [2] 16 2 2 2" xfId="47485"/>
    <cellStyle name="CALC Percent Total [2] 16 2 3" xfId="31760"/>
    <cellStyle name="CALC Percent Total [2] 16 2 4" xfId="47486"/>
    <cellStyle name="CALC Percent Total [2] 16 3" xfId="17136"/>
    <cellStyle name="CALC Percent Total [2] 16 3 2" xfId="25457"/>
    <cellStyle name="CALC Percent Total [2] 16 3 2 2" xfId="47487"/>
    <cellStyle name="CALC Percent Total [2] 16 3 3" xfId="32693"/>
    <cellStyle name="CALC Percent Total [2] 16 3 4" xfId="47488"/>
    <cellStyle name="CALC Percent Total [2] 16 4" xfId="18164"/>
    <cellStyle name="CALC Percent Total [2] 16 4 2" xfId="26484"/>
    <cellStyle name="CALC Percent Total [2] 16 4 2 2" xfId="47489"/>
    <cellStyle name="CALC Percent Total [2] 16 4 3" xfId="33671"/>
    <cellStyle name="CALC Percent Total [2] 16 4 4" xfId="47490"/>
    <cellStyle name="CALC Percent Total [2] 16 5" xfId="19148"/>
    <cellStyle name="CALC Percent Total [2] 16 5 2" xfId="27468"/>
    <cellStyle name="CALC Percent Total [2] 16 5 2 2" xfId="47491"/>
    <cellStyle name="CALC Percent Total [2] 16 5 3" xfId="34616"/>
    <cellStyle name="CALC Percent Total [2] 16 5 4" xfId="47492"/>
    <cellStyle name="CALC Percent Total [2] 16 6" xfId="20116"/>
    <cellStyle name="CALC Percent Total [2] 16 6 2" xfId="28438"/>
    <cellStyle name="CALC Percent Total [2] 16 6 2 2" xfId="47493"/>
    <cellStyle name="CALC Percent Total [2] 16 6 3" xfId="35563"/>
    <cellStyle name="CALC Percent Total [2] 16 6 4" xfId="47494"/>
    <cellStyle name="CALC Percent Total [2] 16 7" xfId="21577"/>
    <cellStyle name="CALC Percent Total [2] 16 7 2" xfId="29878"/>
    <cellStyle name="CALC Percent Total [2] 16 7 2 2" xfId="47495"/>
    <cellStyle name="CALC Percent Total [2] 16 7 3" xfId="36937"/>
    <cellStyle name="CALC Percent Total [2] 16 7 4" xfId="47496"/>
    <cellStyle name="CALC Percent Total [2] 16 8" xfId="22505"/>
    <cellStyle name="CALC Percent Total [2] 16 8 2" xfId="30801"/>
    <cellStyle name="CALC Percent Total [2] 16 8 2 2" xfId="47497"/>
    <cellStyle name="CALC Percent Total [2] 16 8 3" xfId="37820"/>
    <cellStyle name="CALC Percent Total [2] 16 8 4" xfId="47498"/>
    <cellStyle name="CALC Percent Total [2] 16 9" xfId="23447"/>
    <cellStyle name="CALC Percent Total [2] 16 9 2" xfId="47499"/>
    <cellStyle name="CALC Percent Total [2] 17" xfId="15086"/>
    <cellStyle name="CALC Percent Total [2] 17 10" xfId="47500"/>
    <cellStyle name="CALC Percent Total [2] 17 11" xfId="47501"/>
    <cellStyle name="CALC Percent Total [2] 17 2" xfId="16166"/>
    <cellStyle name="CALC Percent Total [2] 17 2 2" xfId="24479"/>
    <cellStyle name="CALC Percent Total [2] 17 2 2 2" xfId="47502"/>
    <cellStyle name="CALC Percent Total [2] 17 2 3" xfId="31756"/>
    <cellStyle name="CALC Percent Total [2] 17 2 4" xfId="47503"/>
    <cellStyle name="CALC Percent Total [2] 17 3" xfId="17132"/>
    <cellStyle name="CALC Percent Total [2] 17 3 2" xfId="25453"/>
    <cellStyle name="CALC Percent Total [2] 17 3 2 2" xfId="47504"/>
    <cellStyle name="CALC Percent Total [2] 17 3 3" xfId="32689"/>
    <cellStyle name="CALC Percent Total [2] 17 3 4" xfId="47505"/>
    <cellStyle name="CALC Percent Total [2] 17 4" xfId="18160"/>
    <cellStyle name="CALC Percent Total [2] 17 4 2" xfId="26480"/>
    <cellStyle name="CALC Percent Total [2] 17 4 2 2" xfId="47506"/>
    <cellStyle name="CALC Percent Total [2] 17 4 3" xfId="33667"/>
    <cellStyle name="CALC Percent Total [2] 17 4 4" xfId="47507"/>
    <cellStyle name="CALC Percent Total [2] 17 5" xfId="19144"/>
    <cellStyle name="CALC Percent Total [2] 17 5 2" xfId="27464"/>
    <cellStyle name="CALC Percent Total [2] 17 5 2 2" xfId="47508"/>
    <cellStyle name="CALC Percent Total [2] 17 5 3" xfId="34612"/>
    <cellStyle name="CALC Percent Total [2] 17 5 4" xfId="47509"/>
    <cellStyle name="CALC Percent Total [2] 17 6" xfId="20112"/>
    <cellStyle name="CALC Percent Total [2] 17 6 2" xfId="28434"/>
    <cellStyle name="CALC Percent Total [2] 17 6 2 2" xfId="47510"/>
    <cellStyle name="CALC Percent Total [2] 17 6 3" xfId="35559"/>
    <cellStyle name="CALC Percent Total [2] 17 6 4" xfId="47511"/>
    <cellStyle name="CALC Percent Total [2] 17 7" xfId="21573"/>
    <cellStyle name="CALC Percent Total [2] 17 7 2" xfId="29874"/>
    <cellStyle name="CALC Percent Total [2] 17 7 2 2" xfId="47512"/>
    <cellStyle name="CALC Percent Total [2] 17 7 3" xfId="36933"/>
    <cellStyle name="CALC Percent Total [2] 17 7 4" xfId="47513"/>
    <cellStyle name="CALC Percent Total [2] 17 8" xfId="22501"/>
    <cellStyle name="CALC Percent Total [2] 17 8 2" xfId="30797"/>
    <cellStyle name="CALC Percent Total [2] 17 8 2 2" xfId="47514"/>
    <cellStyle name="CALC Percent Total [2] 17 8 3" xfId="37816"/>
    <cellStyle name="CALC Percent Total [2] 17 8 4" xfId="47515"/>
    <cellStyle name="CALC Percent Total [2] 17 9" xfId="23443"/>
    <cellStyle name="CALC Percent Total [2] 17 9 2" xfId="47516"/>
    <cellStyle name="CALC Percent Total [2] 18" xfId="15114"/>
    <cellStyle name="CALC Percent Total [2] 18 10" xfId="47517"/>
    <cellStyle name="CALC Percent Total [2] 18 11" xfId="47518"/>
    <cellStyle name="CALC Percent Total [2] 18 2" xfId="16194"/>
    <cellStyle name="CALC Percent Total [2] 18 2 2" xfId="24507"/>
    <cellStyle name="CALC Percent Total [2] 18 2 2 2" xfId="47519"/>
    <cellStyle name="CALC Percent Total [2] 18 2 3" xfId="31784"/>
    <cellStyle name="CALC Percent Total [2] 18 2 4" xfId="47520"/>
    <cellStyle name="CALC Percent Total [2] 18 3" xfId="17160"/>
    <cellStyle name="CALC Percent Total [2] 18 3 2" xfId="25481"/>
    <cellStyle name="CALC Percent Total [2] 18 3 2 2" xfId="47521"/>
    <cellStyle name="CALC Percent Total [2] 18 3 3" xfId="32717"/>
    <cellStyle name="CALC Percent Total [2] 18 3 4" xfId="47522"/>
    <cellStyle name="CALC Percent Total [2] 18 4" xfId="18188"/>
    <cellStyle name="CALC Percent Total [2] 18 4 2" xfId="26508"/>
    <cellStyle name="CALC Percent Total [2] 18 4 2 2" xfId="47523"/>
    <cellStyle name="CALC Percent Total [2] 18 4 3" xfId="33695"/>
    <cellStyle name="CALC Percent Total [2] 18 4 4" xfId="47524"/>
    <cellStyle name="CALC Percent Total [2] 18 5" xfId="19172"/>
    <cellStyle name="CALC Percent Total [2] 18 5 2" xfId="27492"/>
    <cellStyle name="CALC Percent Total [2] 18 5 2 2" xfId="47525"/>
    <cellStyle name="CALC Percent Total [2] 18 5 3" xfId="34640"/>
    <cellStyle name="CALC Percent Total [2] 18 5 4" xfId="47526"/>
    <cellStyle name="CALC Percent Total [2] 18 6" xfId="20140"/>
    <cellStyle name="CALC Percent Total [2] 18 6 2" xfId="28462"/>
    <cellStyle name="CALC Percent Total [2] 18 6 2 2" xfId="47527"/>
    <cellStyle name="CALC Percent Total [2] 18 6 3" xfId="35587"/>
    <cellStyle name="CALC Percent Total [2] 18 6 4" xfId="47528"/>
    <cellStyle name="CALC Percent Total [2] 18 7" xfId="21601"/>
    <cellStyle name="CALC Percent Total [2] 18 7 2" xfId="29902"/>
    <cellStyle name="CALC Percent Total [2] 18 7 2 2" xfId="47529"/>
    <cellStyle name="CALC Percent Total [2] 18 7 3" xfId="36961"/>
    <cellStyle name="CALC Percent Total [2] 18 7 4" xfId="47530"/>
    <cellStyle name="CALC Percent Total [2] 18 8" xfId="22529"/>
    <cellStyle name="CALC Percent Total [2] 18 8 2" xfId="30825"/>
    <cellStyle name="CALC Percent Total [2] 18 8 2 2" xfId="47531"/>
    <cellStyle name="CALC Percent Total [2] 18 8 3" xfId="37844"/>
    <cellStyle name="CALC Percent Total [2] 18 8 4" xfId="47532"/>
    <cellStyle name="CALC Percent Total [2] 18 9" xfId="23471"/>
    <cellStyle name="CALC Percent Total [2] 18 9 2" xfId="47533"/>
    <cellStyle name="CALC Percent Total [2] 19" xfId="15244"/>
    <cellStyle name="CALC Percent Total [2] 19 10" xfId="47534"/>
    <cellStyle name="CALC Percent Total [2] 19 11" xfId="47535"/>
    <cellStyle name="CALC Percent Total [2] 19 2" xfId="16324"/>
    <cellStyle name="CALC Percent Total [2] 19 2 2" xfId="24637"/>
    <cellStyle name="CALC Percent Total [2] 19 2 2 2" xfId="47536"/>
    <cellStyle name="CALC Percent Total [2] 19 2 3" xfId="31904"/>
    <cellStyle name="CALC Percent Total [2] 19 2 4" xfId="47537"/>
    <cellStyle name="CALC Percent Total [2] 19 3" xfId="17290"/>
    <cellStyle name="CALC Percent Total [2] 19 3 2" xfId="25611"/>
    <cellStyle name="CALC Percent Total [2] 19 3 2 2" xfId="47538"/>
    <cellStyle name="CALC Percent Total [2] 19 3 3" xfId="32837"/>
    <cellStyle name="CALC Percent Total [2] 19 3 4" xfId="47539"/>
    <cellStyle name="CALC Percent Total [2] 19 4" xfId="18318"/>
    <cellStyle name="CALC Percent Total [2] 19 4 2" xfId="26638"/>
    <cellStyle name="CALC Percent Total [2] 19 4 2 2" xfId="47540"/>
    <cellStyle name="CALC Percent Total [2] 19 4 3" xfId="33815"/>
    <cellStyle name="CALC Percent Total [2] 19 4 4" xfId="47541"/>
    <cellStyle name="CALC Percent Total [2] 19 5" xfId="19302"/>
    <cellStyle name="CALC Percent Total [2] 19 5 2" xfId="27622"/>
    <cellStyle name="CALC Percent Total [2] 19 5 2 2" xfId="47542"/>
    <cellStyle name="CALC Percent Total [2] 19 5 3" xfId="34770"/>
    <cellStyle name="CALC Percent Total [2] 19 5 4" xfId="47543"/>
    <cellStyle name="CALC Percent Total [2] 19 6" xfId="20270"/>
    <cellStyle name="CALC Percent Total [2] 19 6 2" xfId="28592"/>
    <cellStyle name="CALC Percent Total [2] 19 6 2 2" xfId="47544"/>
    <cellStyle name="CALC Percent Total [2] 19 6 3" xfId="35707"/>
    <cellStyle name="CALC Percent Total [2] 19 6 4" xfId="47545"/>
    <cellStyle name="CALC Percent Total [2] 19 7" xfId="21731"/>
    <cellStyle name="CALC Percent Total [2] 19 7 2" xfId="30032"/>
    <cellStyle name="CALC Percent Total [2] 19 7 2 2" xfId="47546"/>
    <cellStyle name="CALC Percent Total [2] 19 7 3" xfId="37081"/>
    <cellStyle name="CALC Percent Total [2] 19 7 4" xfId="47547"/>
    <cellStyle name="CALC Percent Total [2] 19 8" xfId="22659"/>
    <cellStyle name="CALC Percent Total [2] 19 8 2" xfId="30955"/>
    <cellStyle name="CALC Percent Total [2] 19 8 2 2" xfId="47548"/>
    <cellStyle name="CALC Percent Total [2] 19 8 3" xfId="37964"/>
    <cellStyle name="CALC Percent Total [2] 19 8 4" xfId="47549"/>
    <cellStyle name="CALC Percent Total [2] 19 9" xfId="23601"/>
    <cellStyle name="CALC Percent Total [2] 19 9 2" xfId="47550"/>
    <cellStyle name="CALC Percent Total [2] 2" xfId="14475"/>
    <cellStyle name="CALC Percent Total [2] 2 10" xfId="14827"/>
    <cellStyle name="CALC Percent Total [2] 2 10 10" xfId="23191"/>
    <cellStyle name="CALC Percent Total [2] 2 10 10 2" xfId="47551"/>
    <cellStyle name="CALC Percent Total [2] 2 10 11" xfId="47552"/>
    <cellStyle name="CALC Percent Total [2] 2 10 12" xfId="47553"/>
    <cellStyle name="CALC Percent Total [2] 2 10 2" xfId="15908"/>
    <cellStyle name="CALC Percent Total [2] 2 10 2 2" xfId="24226"/>
    <cellStyle name="CALC Percent Total [2] 2 10 2 2 2" xfId="47554"/>
    <cellStyle name="CALC Percent Total [2] 2 10 2 3" xfId="31511"/>
    <cellStyle name="CALC Percent Total [2] 2 10 2 4" xfId="47555"/>
    <cellStyle name="CALC Percent Total [2] 2 10 3" xfId="16874"/>
    <cellStyle name="CALC Percent Total [2] 2 10 3 2" xfId="25198"/>
    <cellStyle name="CALC Percent Total [2] 2 10 3 2 2" xfId="47556"/>
    <cellStyle name="CALC Percent Total [2] 2 10 3 3" xfId="32444"/>
    <cellStyle name="CALC Percent Total [2] 2 10 3 4" xfId="47557"/>
    <cellStyle name="CALC Percent Total [2] 2 10 4" xfId="17901"/>
    <cellStyle name="CALC Percent Total [2] 2 10 4 2" xfId="26224"/>
    <cellStyle name="CALC Percent Total [2] 2 10 4 2 2" xfId="47558"/>
    <cellStyle name="CALC Percent Total [2] 2 10 4 3" xfId="33421"/>
    <cellStyle name="CALC Percent Total [2] 2 10 4 4" xfId="47559"/>
    <cellStyle name="CALC Percent Total [2] 2 10 5" xfId="18885"/>
    <cellStyle name="CALC Percent Total [2] 2 10 5 2" xfId="27205"/>
    <cellStyle name="CALC Percent Total [2] 2 10 5 2 2" xfId="47560"/>
    <cellStyle name="CALC Percent Total [2] 2 10 5 3" xfId="34361"/>
    <cellStyle name="CALC Percent Total [2] 2 10 5 4" xfId="47561"/>
    <cellStyle name="CALC Percent Total [2] 2 10 6" xfId="19853"/>
    <cellStyle name="CALC Percent Total [2] 2 10 6 2" xfId="28175"/>
    <cellStyle name="CALC Percent Total [2] 2 10 6 2 2" xfId="47562"/>
    <cellStyle name="CALC Percent Total [2] 2 10 6 3" xfId="35308"/>
    <cellStyle name="CALC Percent Total [2] 2 10 6 4" xfId="47563"/>
    <cellStyle name="CALC Percent Total [2] 2 10 7" xfId="20811"/>
    <cellStyle name="CALC Percent Total [2] 2 10 7 2" xfId="29131"/>
    <cellStyle name="CALC Percent Total [2] 2 10 7 2 2" xfId="47564"/>
    <cellStyle name="CALC Percent Total [2] 2 10 7 3" xfId="36219"/>
    <cellStyle name="CALC Percent Total [2] 2 10 7 4" xfId="47565"/>
    <cellStyle name="CALC Percent Total [2] 2 10 8" xfId="21081"/>
    <cellStyle name="CALC Percent Total [2] 2 10 8 2" xfId="29398"/>
    <cellStyle name="CALC Percent Total [2] 2 10 8 2 2" xfId="47566"/>
    <cellStyle name="CALC Percent Total [2] 2 10 8 3" xfId="36474"/>
    <cellStyle name="CALC Percent Total [2] 2 10 8 4" xfId="47567"/>
    <cellStyle name="CALC Percent Total [2] 2 10 9" xfId="22246"/>
    <cellStyle name="CALC Percent Total [2] 2 10 9 2" xfId="30545"/>
    <cellStyle name="CALC Percent Total [2] 2 10 9 2 2" xfId="47568"/>
    <cellStyle name="CALC Percent Total [2] 2 10 9 3" xfId="37572"/>
    <cellStyle name="CALC Percent Total [2] 2 10 9 4" xfId="47569"/>
    <cellStyle name="CALC Percent Total [2] 2 11" xfId="14884"/>
    <cellStyle name="CALC Percent Total [2] 2 11 10" xfId="23247"/>
    <cellStyle name="CALC Percent Total [2] 2 11 10 2" xfId="47570"/>
    <cellStyle name="CALC Percent Total [2] 2 11 11" xfId="47571"/>
    <cellStyle name="CALC Percent Total [2] 2 11 12" xfId="47572"/>
    <cellStyle name="CALC Percent Total [2] 2 11 2" xfId="15965"/>
    <cellStyle name="CALC Percent Total [2] 2 11 2 2" xfId="24282"/>
    <cellStyle name="CALC Percent Total [2] 2 11 2 2 2" xfId="47573"/>
    <cellStyle name="CALC Percent Total [2] 2 11 2 3" xfId="31565"/>
    <cellStyle name="CALC Percent Total [2] 2 11 2 4" xfId="47574"/>
    <cellStyle name="CALC Percent Total [2] 2 11 3" xfId="16931"/>
    <cellStyle name="CALC Percent Total [2] 2 11 3 2" xfId="25254"/>
    <cellStyle name="CALC Percent Total [2] 2 11 3 2 2" xfId="47575"/>
    <cellStyle name="CALC Percent Total [2] 2 11 3 3" xfId="32498"/>
    <cellStyle name="CALC Percent Total [2] 2 11 3 4" xfId="47576"/>
    <cellStyle name="CALC Percent Total [2] 2 11 4" xfId="17958"/>
    <cellStyle name="CALC Percent Total [2] 2 11 4 2" xfId="26280"/>
    <cellStyle name="CALC Percent Total [2] 2 11 4 2 2" xfId="47577"/>
    <cellStyle name="CALC Percent Total [2] 2 11 4 3" xfId="33475"/>
    <cellStyle name="CALC Percent Total [2] 2 11 4 4" xfId="47578"/>
    <cellStyle name="CALC Percent Total [2] 2 11 5" xfId="18942"/>
    <cellStyle name="CALC Percent Total [2] 2 11 5 2" xfId="27262"/>
    <cellStyle name="CALC Percent Total [2] 2 11 5 2 2" xfId="47579"/>
    <cellStyle name="CALC Percent Total [2] 2 11 5 3" xfId="34416"/>
    <cellStyle name="CALC Percent Total [2] 2 11 5 4" xfId="47580"/>
    <cellStyle name="CALC Percent Total [2] 2 11 6" xfId="19910"/>
    <cellStyle name="CALC Percent Total [2] 2 11 6 2" xfId="28232"/>
    <cellStyle name="CALC Percent Total [2] 2 11 6 2 2" xfId="47581"/>
    <cellStyle name="CALC Percent Total [2] 2 11 6 3" xfId="35363"/>
    <cellStyle name="CALC Percent Total [2] 2 11 6 4" xfId="47582"/>
    <cellStyle name="CALC Percent Total [2] 2 11 7" xfId="20868"/>
    <cellStyle name="CALC Percent Total [2] 2 11 7 2" xfId="29187"/>
    <cellStyle name="CALC Percent Total [2] 2 11 7 2 2" xfId="47583"/>
    <cellStyle name="CALC Percent Total [2] 2 11 7 3" xfId="36273"/>
    <cellStyle name="CALC Percent Total [2] 2 11 7 4" xfId="47584"/>
    <cellStyle name="CALC Percent Total [2] 2 11 8" xfId="20505"/>
    <cellStyle name="CALC Percent Total [2] 2 11 8 2" xfId="28827"/>
    <cellStyle name="CALC Percent Total [2] 2 11 8 2 2" xfId="47585"/>
    <cellStyle name="CALC Percent Total [2] 2 11 8 3" xfId="35933"/>
    <cellStyle name="CALC Percent Total [2] 2 11 8 4" xfId="47586"/>
    <cellStyle name="CALC Percent Total [2] 2 11 9" xfId="22303"/>
    <cellStyle name="CALC Percent Total [2] 2 11 9 2" xfId="30601"/>
    <cellStyle name="CALC Percent Total [2] 2 11 9 2 2" xfId="47587"/>
    <cellStyle name="CALC Percent Total [2] 2 11 9 3" xfId="37626"/>
    <cellStyle name="CALC Percent Total [2] 2 11 9 4" xfId="47588"/>
    <cellStyle name="CALC Percent Total [2] 2 12" xfId="14900"/>
    <cellStyle name="CALC Percent Total [2] 2 12 10" xfId="23263"/>
    <cellStyle name="CALC Percent Total [2] 2 12 10 2" xfId="47589"/>
    <cellStyle name="CALC Percent Total [2] 2 12 11" xfId="47590"/>
    <cellStyle name="CALC Percent Total [2] 2 12 12" xfId="47591"/>
    <cellStyle name="CALC Percent Total [2] 2 12 2" xfId="15981"/>
    <cellStyle name="CALC Percent Total [2] 2 12 2 2" xfId="24298"/>
    <cellStyle name="CALC Percent Total [2] 2 12 2 2 2" xfId="47592"/>
    <cellStyle name="CALC Percent Total [2] 2 12 2 3" xfId="31579"/>
    <cellStyle name="CALC Percent Total [2] 2 12 2 4" xfId="47593"/>
    <cellStyle name="CALC Percent Total [2] 2 12 3" xfId="16947"/>
    <cellStyle name="CALC Percent Total [2] 2 12 3 2" xfId="25270"/>
    <cellStyle name="CALC Percent Total [2] 2 12 3 2 2" xfId="47594"/>
    <cellStyle name="CALC Percent Total [2] 2 12 3 3" xfId="32512"/>
    <cellStyle name="CALC Percent Total [2] 2 12 3 4" xfId="47595"/>
    <cellStyle name="CALC Percent Total [2] 2 12 4" xfId="17974"/>
    <cellStyle name="CALC Percent Total [2] 2 12 4 2" xfId="26296"/>
    <cellStyle name="CALC Percent Total [2] 2 12 4 2 2" xfId="47596"/>
    <cellStyle name="CALC Percent Total [2] 2 12 4 3" xfId="33489"/>
    <cellStyle name="CALC Percent Total [2] 2 12 4 4" xfId="47597"/>
    <cellStyle name="CALC Percent Total [2] 2 12 5" xfId="18958"/>
    <cellStyle name="CALC Percent Total [2] 2 12 5 2" xfId="27278"/>
    <cellStyle name="CALC Percent Total [2] 2 12 5 2 2" xfId="47598"/>
    <cellStyle name="CALC Percent Total [2] 2 12 5 3" xfId="34430"/>
    <cellStyle name="CALC Percent Total [2] 2 12 5 4" xfId="47599"/>
    <cellStyle name="CALC Percent Total [2] 2 12 6" xfId="19926"/>
    <cellStyle name="CALC Percent Total [2] 2 12 6 2" xfId="28248"/>
    <cellStyle name="CALC Percent Total [2] 2 12 6 2 2" xfId="47600"/>
    <cellStyle name="CALC Percent Total [2] 2 12 6 3" xfId="35377"/>
    <cellStyle name="CALC Percent Total [2] 2 12 6 4" xfId="47601"/>
    <cellStyle name="CALC Percent Total [2] 2 12 7" xfId="20884"/>
    <cellStyle name="CALC Percent Total [2] 2 12 7 2" xfId="29203"/>
    <cellStyle name="CALC Percent Total [2] 2 12 7 2 2" xfId="47602"/>
    <cellStyle name="CALC Percent Total [2] 2 12 7 3" xfId="36287"/>
    <cellStyle name="CALC Percent Total [2] 2 12 7 4" xfId="47603"/>
    <cellStyle name="CALC Percent Total [2] 2 12 8" xfId="21391"/>
    <cellStyle name="CALC Percent Total [2] 2 12 8 2" xfId="29694"/>
    <cellStyle name="CALC Percent Total [2] 2 12 8 2 2" xfId="47604"/>
    <cellStyle name="CALC Percent Total [2] 2 12 8 3" xfId="36757"/>
    <cellStyle name="CALC Percent Total [2] 2 12 8 4" xfId="47605"/>
    <cellStyle name="CALC Percent Total [2] 2 12 9" xfId="22319"/>
    <cellStyle name="CALC Percent Total [2] 2 12 9 2" xfId="30617"/>
    <cellStyle name="CALC Percent Total [2] 2 12 9 2 2" xfId="47606"/>
    <cellStyle name="CALC Percent Total [2] 2 12 9 3" xfId="37640"/>
    <cellStyle name="CALC Percent Total [2] 2 12 9 4" xfId="47607"/>
    <cellStyle name="CALC Percent Total [2] 2 13" xfId="14959"/>
    <cellStyle name="CALC Percent Total [2] 2 13 10" xfId="23321"/>
    <cellStyle name="CALC Percent Total [2] 2 13 10 2" xfId="47608"/>
    <cellStyle name="CALC Percent Total [2] 2 13 11" xfId="47609"/>
    <cellStyle name="CALC Percent Total [2] 2 13 12" xfId="47610"/>
    <cellStyle name="CALC Percent Total [2] 2 13 2" xfId="16040"/>
    <cellStyle name="CALC Percent Total [2] 2 13 2 2" xfId="24356"/>
    <cellStyle name="CALC Percent Total [2] 2 13 2 2 2" xfId="47611"/>
    <cellStyle name="CALC Percent Total [2] 2 13 2 3" xfId="31636"/>
    <cellStyle name="CALC Percent Total [2] 2 13 2 4" xfId="47612"/>
    <cellStyle name="CALC Percent Total [2] 2 13 3" xfId="17006"/>
    <cellStyle name="CALC Percent Total [2] 2 13 3 2" xfId="25328"/>
    <cellStyle name="CALC Percent Total [2] 2 13 3 2 2" xfId="47613"/>
    <cellStyle name="CALC Percent Total [2] 2 13 3 3" xfId="32569"/>
    <cellStyle name="CALC Percent Total [2] 2 13 3 4" xfId="47614"/>
    <cellStyle name="CALC Percent Total [2] 2 13 4" xfId="18033"/>
    <cellStyle name="CALC Percent Total [2] 2 13 4 2" xfId="26354"/>
    <cellStyle name="CALC Percent Total [2] 2 13 4 2 2" xfId="47615"/>
    <cellStyle name="CALC Percent Total [2] 2 13 4 3" xfId="33546"/>
    <cellStyle name="CALC Percent Total [2] 2 13 4 4" xfId="47616"/>
    <cellStyle name="CALC Percent Total [2] 2 13 5" xfId="19017"/>
    <cellStyle name="CALC Percent Total [2] 2 13 5 2" xfId="27337"/>
    <cellStyle name="CALC Percent Total [2] 2 13 5 2 2" xfId="47617"/>
    <cellStyle name="CALC Percent Total [2] 2 13 5 3" xfId="34488"/>
    <cellStyle name="CALC Percent Total [2] 2 13 5 4" xfId="47618"/>
    <cellStyle name="CALC Percent Total [2] 2 13 6" xfId="19985"/>
    <cellStyle name="CALC Percent Total [2] 2 13 6 2" xfId="28307"/>
    <cellStyle name="CALC Percent Total [2] 2 13 6 2 2" xfId="47619"/>
    <cellStyle name="CALC Percent Total [2] 2 13 6 3" xfId="35435"/>
    <cellStyle name="CALC Percent Total [2] 2 13 6 4" xfId="47620"/>
    <cellStyle name="CALC Percent Total [2] 2 13 7" xfId="20943"/>
    <cellStyle name="CALC Percent Total [2] 2 13 7 2" xfId="29261"/>
    <cellStyle name="CALC Percent Total [2] 2 13 7 2 2" xfId="47621"/>
    <cellStyle name="CALC Percent Total [2] 2 13 7 3" xfId="36344"/>
    <cellStyle name="CALC Percent Total [2] 2 13 7 4" xfId="47622"/>
    <cellStyle name="CALC Percent Total [2] 2 13 8" xfId="21450"/>
    <cellStyle name="CALC Percent Total [2] 2 13 8 2" xfId="29752"/>
    <cellStyle name="CALC Percent Total [2] 2 13 8 2 2" xfId="47623"/>
    <cellStyle name="CALC Percent Total [2] 2 13 8 3" xfId="36814"/>
    <cellStyle name="CALC Percent Total [2] 2 13 8 4" xfId="47624"/>
    <cellStyle name="CALC Percent Total [2] 2 13 9" xfId="22378"/>
    <cellStyle name="CALC Percent Total [2] 2 13 9 2" xfId="30675"/>
    <cellStyle name="CALC Percent Total [2] 2 13 9 2 2" xfId="47625"/>
    <cellStyle name="CALC Percent Total [2] 2 13 9 3" xfId="37697"/>
    <cellStyle name="CALC Percent Total [2] 2 13 9 4" xfId="47626"/>
    <cellStyle name="CALC Percent Total [2] 2 14" xfId="15035"/>
    <cellStyle name="CALC Percent Total [2] 2 14 10" xfId="23395"/>
    <cellStyle name="CALC Percent Total [2] 2 14 10 2" xfId="47627"/>
    <cellStyle name="CALC Percent Total [2] 2 14 11" xfId="47628"/>
    <cellStyle name="CALC Percent Total [2] 2 14 12" xfId="47629"/>
    <cellStyle name="CALC Percent Total [2] 2 14 2" xfId="16115"/>
    <cellStyle name="CALC Percent Total [2] 2 14 2 2" xfId="24430"/>
    <cellStyle name="CALC Percent Total [2] 2 14 2 2 2" xfId="47630"/>
    <cellStyle name="CALC Percent Total [2] 2 14 2 3" xfId="31708"/>
    <cellStyle name="CALC Percent Total [2] 2 14 2 4" xfId="47631"/>
    <cellStyle name="CALC Percent Total [2] 2 14 3" xfId="17082"/>
    <cellStyle name="CALC Percent Total [2] 2 14 3 2" xfId="25403"/>
    <cellStyle name="CALC Percent Total [2] 2 14 3 2 2" xfId="47632"/>
    <cellStyle name="CALC Percent Total [2] 2 14 3 3" xfId="32642"/>
    <cellStyle name="CALC Percent Total [2] 2 14 3 4" xfId="47633"/>
    <cellStyle name="CALC Percent Total [2] 2 14 4" xfId="18109"/>
    <cellStyle name="CALC Percent Total [2] 2 14 4 2" xfId="26429"/>
    <cellStyle name="CALC Percent Total [2] 2 14 4 2 2" xfId="47634"/>
    <cellStyle name="CALC Percent Total [2] 2 14 4 3" xfId="33619"/>
    <cellStyle name="CALC Percent Total [2] 2 14 4 4" xfId="47635"/>
    <cellStyle name="CALC Percent Total [2] 2 14 5" xfId="19093"/>
    <cellStyle name="CALC Percent Total [2] 2 14 5 2" xfId="27413"/>
    <cellStyle name="CALC Percent Total [2] 2 14 5 2 2" xfId="47636"/>
    <cellStyle name="CALC Percent Total [2] 2 14 5 3" xfId="34562"/>
    <cellStyle name="CALC Percent Total [2] 2 14 5 4" xfId="47637"/>
    <cellStyle name="CALC Percent Total [2] 2 14 6" xfId="20061"/>
    <cellStyle name="CALC Percent Total [2] 2 14 6 2" xfId="28383"/>
    <cellStyle name="CALC Percent Total [2] 2 14 6 2 2" xfId="47638"/>
    <cellStyle name="CALC Percent Total [2] 2 14 6 3" xfId="35509"/>
    <cellStyle name="CALC Percent Total [2] 2 14 6 4" xfId="47639"/>
    <cellStyle name="CALC Percent Total [2] 2 14 7" xfId="21018"/>
    <cellStyle name="CALC Percent Total [2] 2 14 7 2" xfId="29335"/>
    <cellStyle name="CALC Percent Total [2] 2 14 7 2 2" xfId="47640"/>
    <cellStyle name="CALC Percent Total [2] 2 14 7 3" xfId="36416"/>
    <cellStyle name="CALC Percent Total [2] 2 14 7 4" xfId="47641"/>
    <cellStyle name="CALC Percent Total [2] 2 14 8" xfId="21525"/>
    <cellStyle name="CALC Percent Total [2] 2 14 8 2" xfId="29826"/>
    <cellStyle name="CALC Percent Total [2] 2 14 8 2 2" xfId="47642"/>
    <cellStyle name="CALC Percent Total [2] 2 14 8 3" xfId="36886"/>
    <cellStyle name="CALC Percent Total [2] 2 14 8 4" xfId="47643"/>
    <cellStyle name="CALC Percent Total [2] 2 14 9" xfId="22453"/>
    <cellStyle name="CALC Percent Total [2] 2 14 9 2" xfId="30749"/>
    <cellStyle name="CALC Percent Total [2] 2 14 9 2 2" xfId="47644"/>
    <cellStyle name="CALC Percent Total [2] 2 14 9 3" xfId="37769"/>
    <cellStyle name="CALC Percent Total [2] 2 14 9 4" xfId="47645"/>
    <cellStyle name="CALC Percent Total [2] 2 15" xfId="15064"/>
    <cellStyle name="CALC Percent Total [2] 2 15 10" xfId="23424"/>
    <cellStyle name="CALC Percent Total [2] 2 15 10 2" xfId="47646"/>
    <cellStyle name="CALC Percent Total [2] 2 15 11" xfId="47647"/>
    <cellStyle name="CALC Percent Total [2] 2 15 12" xfId="47648"/>
    <cellStyle name="CALC Percent Total [2] 2 15 2" xfId="16144"/>
    <cellStyle name="CALC Percent Total [2] 2 15 2 2" xfId="24459"/>
    <cellStyle name="CALC Percent Total [2] 2 15 2 2 2" xfId="47649"/>
    <cellStyle name="CALC Percent Total [2] 2 15 2 3" xfId="31736"/>
    <cellStyle name="CALC Percent Total [2] 2 15 2 4" xfId="47650"/>
    <cellStyle name="CALC Percent Total [2] 2 15 3" xfId="17111"/>
    <cellStyle name="CALC Percent Total [2] 2 15 3 2" xfId="25432"/>
    <cellStyle name="CALC Percent Total [2] 2 15 3 2 2" xfId="47651"/>
    <cellStyle name="CALC Percent Total [2] 2 15 3 3" xfId="32670"/>
    <cellStyle name="CALC Percent Total [2] 2 15 3 4" xfId="47652"/>
    <cellStyle name="CALC Percent Total [2] 2 15 4" xfId="18138"/>
    <cellStyle name="CALC Percent Total [2] 2 15 4 2" xfId="26458"/>
    <cellStyle name="CALC Percent Total [2] 2 15 4 2 2" xfId="47653"/>
    <cellStyle name="CALC Percent Total [2] 2 15 4 3" xfId="33647"/>
    <cellStyle name="CALC Percent Total [2] 2 15 4 4" xfId="47654"/>
    <cellStyle name="CALC Percent Total [2] 2 15 5" xfId="19122"/>
    <cellStyle name="CALC Percent Total [2] 2 15 5 2" xfId="27442"/>
    <cellStyle name="CALC Percent Total [2] 2 15 5 2 2" xfId="47655"/>
    <cellStyle name="CALC Percent Total [2] 2 15 5 3" xfId="34590"/>
    <cellStyle name="CALC Percent Total [2] 2 15 5 4" xfId="47656"/>
    <cellStyle name="CALC Percent Total [2] 2 15 6" xfId="20090"/>
    <cellStyle name="CALC Percent Total [2] 2 15 6 2" xfId="28412"/>
    <cellStyle name="CALC Percent Total [2] 2 15 6 2 2" xfId="47657"/>
    <cellStyle name="CALC Percent Total [2] 2 15 6 3" xfId="35537"/>
    <cellStyle name="CALC Percent Total [2] 2 15 6 4" xfId="47658"/>
    <cellStyle name="CALC Percent Total [2] 2 15 7" xfId="21047"/>
    <cellStyle name="CALC Percent Total [2] 2 15 7 2" xfId="29364"/>
    <cellStyle name="CALC Percent Total [2] 2 15 7 2 2" xfId="47659"/>
    <cellStyle name="CALC Percent Total [2] 2 15 7 3" xfId="36444"/>
    <cellStyle name="CALC Percent Total [2] 2 15 7 4" xfId="47660"/>
    <cellStyle name="CALC Percent Total [2] 2 15 8" xfId="21554"/>
    <cellStyle name="CALC Percent Total [2] 2 15 8 2" xfId="29855"/>
    <cellStyle name="CALC Percent Total [2] 2 15 8 2 2" xfId="47661"/>
    <cellStyle name="CALC Percent Total [2] 2 15 8 3" xfId="36914"/>
    <cellStyle name="CALC Percent Total [2] 2 15 8 4" xfId="47662"/>
    <cellStyle name="CALC Percent Total [2] 2 15 9" xfId="22482"/>
    <cellStyle name="CALC Percent Total [2] 2 15 9 2" xfId="30778"/>
    <cellStyle name="CALC Percent Total [2] 2 15 9 2 2" xfId="47663"/>
    <cellStyle name="CALC Percent Total [2] 2 15 9 3" xfId="37797"/>
    <cellStyle name="CALC Percent Total [2] 2 15 9 4" xfId="47664"/>
    <cellStyle name="CALC Percent Total [2] 2 16" xfId="15149"/>
    <cellStyle name="CALC Percent Total [2] 2 16 10" xfId="47665"/>
    <cellStyle name="CALC Percent Total [2] 2 16 11" xfId="47666"/>
    <cellStyle name="CALC Percent Total [2] 2 16 2" xfId="16229"/>
    <cellStyle name="CALC Percent Total [2] 2 16 2 2" xfId="24542"/>
    <cellStyle name="CALC Percent Total [2] 2 16 2 2 2" xfId="47667"/>
    <cellStyle name="CALC Percent Total [2] 2 16 2 3" xfId="31817"/>
    <cellStyle name="CALC Percent Total [2] 2 16 2 4" xfId="47668"/>
    <cellStyle name="CALC Percent Total [2] 2 16 3" xfId="17195"/>
    <cellStyle name="CALC Percent Total [2] 2 16 3 2" xfId="25516"/>
    <cellStyle name="CALC Percent Total [2] 2 16 3 2 2" xfId="47669"/>
    <cellStyle name="CALC Percent Total [2] 2 16 3 3" xfId="32750"/>
    <cellStyle name="CALC Percent Total [2] 2 16 3 4" xfId="47670"/>
    <cellStyle name="CALC Percent Total [2] 2 16 4" xfId="18223"/>
    <cellStyle name="CALC Percent Total [2] 2 16 4 2" xfId="26543"/>
    <cellStyle name="CALC Percent Total [2] 2 16 4 2 2" xfId="47671"/>
    <cellStyle name="CALC Percent Total [2] 2 16 4 3" xfId="33728"/>
    <cellStyle name="CALC Percent Total [2] 2 16 4 4" xfId="47672"/>
    <cellStyle name="CALC Percent Total [2] 2 16 5" xfId="19207"/>
    <cellStyle name="CALC Percent Total [2] 2 16 5 2" xfId="27527"/>
    <cellStyle name="CALC Percent Total [2] 2 16 5 2 2" xfId="47673"/>
    <cellStyle name="CALC Percent Total [2] 2 16 5 3" xfId="34675"/>
    <cellStyle name="CALC Percent Total [2] 2 16 5 4" xfId="47674"/>
    <cellStyle name="CALC Percent Total [2] 2 16 6" xfId="20175"/>
    <cellStyle name="CALC Percent Total [2] 2 16 6 2" xfId="28497"/>
    <cellStyle name="CALC Percent Total [2] 2 16 6 2 2" xfId="47675"/>
    <cellStyle name="CALC Percent Total [2] 2 16 6 3" xfId="35620"/>
    <cellStyle name="CALC Percent Total [2] 2 16 6 4" xfId="47676"/>
    <cellStyle name="CALC Percent Total [2] 2 16 7" xfId="21636"/>
    <cellStyle name="CALC Percent Total [2] 2 16 7 2" xfId="29937"/>
    <cellStyle name="CALC Percent Total [2] 2 16 7 2 2" xfId="47677"/>
    <cellStyle name="CALC Percent Total [2] 2 16 7 3" xfId="36994"/>
    <cellStyle name="CALC Percent Total [2] 2 16 7 4" xfId="47678"/>
    <cellStyle name="CALC Percent Total [2] 2 16 8" xfId="22564"/>
    <cellStyle name="CALC Percent Total [2] 2 16 8 2" xfId="30860"/>
    <cellStyle name="CALC Percent Total [2] 2 16 8 2 2" xfId="47679"/>
    <cellStyle name="CALC Percent Total [2] 2 16 8 3" xfId="37877"/>
    <cellStyle name="CALC Percent Total [2] 2 16 8 4" xfId="47680"/>
    <cellStyle name="CALC Percent Total [2] 2 16 9" xfId="23506"/>
    <cellStyle name="CALC Percent Total [2] 2 16 9 2" xfId="47681"/>
    <cellStyle name="CALC Percent Total [2] 2 17" xfId="15169"/>
    <cellStyle name="CALC Percent Total [2] 2 17 10" xfId="47682"/>
    <cellStyle name="CALC Percent Total [2] 2 17 11" xfId="47683"/>
    <cellStyle name="CALC Percent Total [2] 2 17 2" xfId="16249"/>
    <cellStyle name="CALC Percent Total [2] 2 17 2 2" xfId="24562"/>
    <cellStyle name="CALC Percent Total [2] 2 17 2 2 2" xfId="47684"/>
    <cellStyle name="CALC Percent Total [2] 2 17 2 3" xfId="31835"/>
    <cellStyle name="CALC Percent Total [2] 2 17 2 4" xfId="47685"/>
    <cellStyle name="CALC Percent Total [2] 2 17 3" xfId="17215"/>
    <cellStyle name="CALC Percent Total [2] 2 17 3 2" xfId="25536"/>
    <cellStyle name="CALC Percent Total [2] 2 17 3 2 2" xfId="47686"/>
    <cellStyle name="CALC Percent Total [2] 2 17 3 3" xfId="32768"/>
    <cellStyle name="CALC Percent Total [2] 2 17 3 4" xfId="47687"/>
    <cellStyle name="CALC Percent Total [2] 2 17 4" xfId="18243"/>
    <cellStyle name="CALC Percent Total [2] 2 17 4 2" xfId="26563"/>
    <cellStyle name="CALC Percent Total [2] 2 17 4 2 2" xfId="47688"/>
    <cellStyle name="CALC Percent Total [2] 2 17 4 3" xfId="33746"/>
    <cellStyle name="CALC Percent Total [2] 2 17 4 4" xfId="47689"/>
    <cellStyle name="CALC Percent Total [2] 2 17 5" xfId="19227"/>
    <cellStyle name="CALC Percent Total [2] 2 17 5 2" xfId="27547"/>
    <cellStyle name="CALC Percent Total [2] 2 17 5 2 2" xfId="47690"/>
    <cellStyle name="CALC Percent Total [2] 2 17 5 3" xfId="34695"/>
    <cellStyle name="CALC Percent Total [2] 2 17 5 4" xfId="47691"/>
    <cellStyle name="CALC Percent Total [2] 2 17 6" xfId="20195"/>
    <cellStyle name="CALC Percent Total [2] 2 17 6 2" xfId="28517"/>
    <cellStyle name="CALC Percent Total [2] 2 17 6 2 2" xfId="47692"/>
    <cellStyle name="CALC Percent Total [2] 2 17 6 3" xfId="35638"/>
    <cellStyle name="CALC Percent Total [2] 2 17 6 4" xfId="47693"/>
    <cellStyle name="CALC Percent Total [2] 2 17 7" xfId="21656"/>
    <cellStyle name="CALC Percent Total [2] 2 17 7 2" xfId="29957"/>
    <cellStyle name="CALC Percent Total [2] 2 17 7 2 2" xfId="47694"/>
    <cellStyle name="CALC Percent Total [2] 2 17 7 3" xfId="37012"/>
    <cellStyle name="CALC Percent Total [2] 2 17 7 4" xfId="47695"/>
    <cellStyle name="CALC Percent Total [2] 2 17 8" xfId="22584"/>
    <cellStyle name="CALC Percent Total [2] 2 17 8 2" xfId="30880"/>
    <cellStyle name="CALC Percent Total [2] 2 17 8 2 2" xfId="47696"/>
    <cellStyle name="CALC Percent Total [2] 2 17 8 3" xfId="37895"/>
    <cellStyle name="CALC Percent Total [2] 2 17 8 4" xfId="47697"/>
    <cellStyle name="CALC Percent Total [2] 2 17 9" xfId="23526"/>
    <cellStyle name="CALC Percent Total [2] 2 17 9 2" xfId="47698"/>
    <cellStyle name="CALC Percent Total [2] 2 18" xfId="15191"/>
    <cellStyle name="CALC Percent Total [2] 2 18 10" xfId="47699"/>
    <cellStyle name="CALC Percent Total [2] 2 18 11" xfId="47700"/>
    <cellStyle name="CALC Percent Total [2] 2 18 2" xfId="16271"/>
    <cellStyle name="CALC Percent Total [2] 2 18 2 2" xfId="24584"/>
    <cellStyle name="CALC Percent Total [2] 2 18 2 2 2" xfId="47701"/>
    <cellStyle name="CALC Percent Total [2] 2 18 2 3" xfId="31856"/>
    <cellStyle name="CALC Percent Total [2] 2 18 2 4" xfId="47702"/>
    <cellStyle name="CALC Percent Total [2] 2 18 3" xfId="17237"/>
    <cellStyle name="CALC Percent Total [2] 2 18 3 2" xfId="25558"/>
    <cellStyle name="CALC Percent Total [2] 2 18 3 2 2" xfId="47703"/>
    <cellStyle name="CALC Percent Total [2] 2 18 3 3" xfId="32789"/>
    <cellStyle name="CALC Percent Total [2] 2 18 3 4" xfId="47704"/>
    <cellStyle name="CALC Percent Total [2] 2 18 4" xfId="18265"/>
    <cellStyle name="CALC Percent Total [2] 2 18 4 2" xfId="26585"/>
    <cellStyle name="CALC Percent Total [2] 2 18 4 2 2" xfId="47705"/>
    <cellStyle name="CALC Percent Total [2] 2 18 4 3" xfId="33767"/>
    <cellStyle name="CALC Percent Total [2] 2 18 4 4" xfId="47706"/>
    <cellStyle name="CALC Percent Total [2] 2 18 5" xfId="19249"/>
    <cellStyle name="CALC Percent Total [2] 2 18 5 2" xfId="27569"/>
    <cellStyle name="CALC Percent Total [2] 2 18 5 2 2" xfId="47707"/>
    <cellStyle name="CALC Percent Total [2] 2 18 5 3" xfId="34717"/>
    <cellStyle name="CALC Percent Total [2] 2 18 5 4" xfId="47708"/>
    <cellStyle name="CALC Percent Total [2] 2 18 6" xfId="20217"/>
    <cellStyle name="CALC Percent Total [2] 2 18 6 2" xfId="28539"/>
    <cellStyle name="CALC Percent Total [2] 2 18 6 2 2" xfId="47709"/>
    <cellStyle name="CALC Percent Total [2] 2 18 6 3" xfId="35659"/>
    <cellStyle name="CALC Percent Total [2] 2 18 6 4" xfId="47710"/>
    <cellStyle name="CALC Percent Total [2] 2 18 7" xfId="21678"/>
    <cellStyle name="CALC Percent Total [2] 2 18 7 2" xfId="29979"/>
    <cellStyle name="CALC Percent Total [2] 2 18 7 2 2" xfId="47711"/>
    <cellStyle name="CALC Percent Total [2] 2 18 7 3" xfId="37033"/>
    <cellStyle name="CALC Percent Total [2] 2 18 7 4" xfId="47712"/>
    <cellStyle name="CALC Percent Total [2] 2 18 8" xfId="22606"/>
    <cellStyle name="CALC Percent Total [2] 2 18 8 2" xfId="30902"/>
    <cellStyle name="CALC Percent Total [2] 2 18 8 2 2" xfId="47713"/>
    <cellStyle name="CALC Percent Total [2] 2 18 8 3" xfId="37916"/>
    <cellStyle name="CALC Percent Total [2] 2 18 8 4" xfId="47714"/>
    <cellStyle name="CALC Percent Total [2] 2 18 9" xfId="23548"/>
    <cellStyle name="CALC Percent Total [2] 2 18 9 2" xfId="47715"/>
    <cellStyle name="CALC Percent Total [2] 2 19" xfId="15207"/>
    <cellStyle name="CALC Percent Total [2] 2 19 10" xfId="47716"/>
    <cellStyle name="CALC Percent Total [2] 2 19 11" xfId="47717"/>
    <cellStyle name="CALC Percent Total [2] 2 19 2" xfId="16287"/>
    <cellStyle name="CALC Percent Total [2] 2 19 2 2" xfId="24600"/>
    <cellStyle name="CALC Percent Total [2] 2 19 2 2 2" xfId="47718"/>
    <cellStyle name="CALC Percent Total [2] 2 19 2 3" xfId="31870"/>
    <cellStyle name="CALC Percent Total [2] 2 19 2 4" xfId="47719"/>
    <cellStyle name="CALC Percent Total [2] 2 19 3" xfId="17253"/>
    <cellStyle name="CALC Percent Total [2] 2 19 3 2" xfId="25574"/>
    <cellStyle name="CALC Percent Total [2] 2 19 3 2 2" xfId="47720"/>
    <cellStyle name="CALC Percent Total [2] 2 19 3 3" xfId="32803"/>
    <cellStyle name="CALC Percent Total [2] 2 19 3 4" xfId="47721"/>
    <cellStyle name="CALC Percent Total [2] 2 19 4" xfId="18281"/>
    <cellStyle name="CALC Percent Total [2] 2 19 4 2" xfId="26601"/>
    <cellStyle name="CALC Percent Total [2] 2 19 4 2 2" xfId="47722"/>
    <cellStyle name="CALC Percent Total [2] 2 19 4 3" xfId="33781"/>
    <cellStyle name="CALC Percent Total [2] 2 19 4 4" xfId="47723"/>
    <cellStyle name="CALC Percent Total [2] 2 19 5" xfId="19265"/>
    <cellStyle name="CALC Percent Total [2] 2 19 5 2" xfId="27585"/>
    <cellStyle name="CALC Percent Total [2] 2 19 5 2 2" xfId="47724"/>
    <cellStyle name="CALC Percent Total [2] 2 19 5 3" xfId="34733"/>
    <cellStyle name="CALC Percent Total [2] 2 19 5 4" xfId="47725"/>
    <cellStyle name="CALC Percent Total [2] 2 19 6" xfId="20233"/>
    <cellStyle name="CALC Percent Total [2] 2 19 6 2" xfId="28555"/>
    <cellStyle name="CALC Percent Total [2] 2 19 6 2 2" xfId="47726"/>
    <cellStyle name="CALC Percent Total [2] 2 19 6 3" xfId="35673"/>
    <cellStyle name="CALC Percent Total [2] 2 19 6 4" xfId="47727"/>
    <cellStyle name="CALC Percent Total [2] 2 19 7" xfId="21694"/>
    <cellStyle name="CALC Percent Total [2] 2 19 7 2" xfId="29995"/>
    <cellStyle name="CALC Percent Total [2] 2 19 7 2 2" xfId="47728"/>
    <cellStyle name="CALC Percent Total [2] 2 19 7 3" xfId="37047"/>
    <cellStyle name="CALC Percent Total [2] 2 19 7 4" xfId="47729"/>
    <cellStyle name="CALC Percent Total [2] 2 19 8" xfId="22622"/>
    <cellStyle name="CALC Percent Total [2] 2 19 8 2" xfId="30918"/>
    <cellStyle name="CALC Percent Total [2] 2 19 8 2 2" xfId="47730"/>
    <cellStyle name="CALC Percent Total [2] 2 19 8 3" xfId="37930"/>
    <cellStyle name="CALC Percent Total [2] 2 19 8 4" xfId="47731"/>
    <cellStyle name="CALC Percent Total [2] 2 19 9" xfId="23564"/>
    <cellStyle name="CALC Percent Total [2] 2 19 9 2" xfId="47732"/>
    <cellStyle name="CALC Percent Total [2] 2 2" xfId="14522"/>
    <cellStyle name="CALC Percent Total [2] 2 2 2" xfId="15584"/>
    <cellStyle name="CALC Percent Total [2] 2 2 2 2" xfId="47733"/>
    <cellStyle name="CALC Percent Total [2] 2 2 2 2 2" xfId="47734"/>
    <cellStyle name="CALC Percent Total [2] 2 2 3" xfId="23896"/>
    <cellStyle name="CALC Percent Total [2] 2 2 3 2" xfId="47735"/>
    <cellStyle name="CALC Percent Total [2] 2 20" xfId="15272"/>
    <cellStyle name="CALC Percent Total [2] 2 20 10" xfId="47736"/>
    <cellStyle name="CALC Percent Total [2] 2 20 11" xfId="47737"/>
    <cellStyle name="CALC Percent Total [2] 2 20 2" xfId="16352"/>
    <cellStyle name="CALC Percent Total [2] 2 20 2 2" xfId="24665"/>
    <cellStyle name="CALC Percent Total [2] 2 20 2 2 2" xfId="47738"/>
    <cellStyle name="CALC Percent Total [2] 2 20 2 3" xfId="31932"/>
    <cellStyle name="CALC Percent Total [2] 2 20 2 4" xfId="47739"/>
    <cellStyle name="CALC Percent Total [2] 2 20 3" xfId="17318"/>
    <cellStyle name="CALC Percent Total [2] 2 20 3 2" xfId="25639"/>
    <cellStyle name="CALC Percent Total [2] 2 20 3 2 2" xfId="47740"/>
    <cellStyle name="CALC Percent Total [2] 2 20 3 3" xfId="32865"/>
    <cellStyle name="CALC Percent Total [2] 2 20 3 4" xfId="47741"/>
    <cellStyle name="CALC Percent Total [2] 2 20 4" xfId="18346"/>
    <cellStyle name="CALC Percent Total [2] 2 20 4 2" xfId="26666"/>
    <cellStyle name="CALC Percent Total [2] 2 20 4 2 2" xfId="47742"/>
    <cellStyle name="CALC Percent Total [2] 2 20 4 3" xfId="33843"/>
    <cellStyle name="CALC Percent Total [2] 2 20 4 4" xfId="47743"/>
    <cellStyle name="CALC Percent Total [2] 2 20 5" xfId="19330"/>
    <cellStyle name="CALC Percent Total [2] 2 20 5 2" xfId="27650"/>
    <cellStyle name="CALC Percent Total [2] 2 20 5 2 2" xfId="47744"/>
    <cellStyle name="CALC Percent Total [2] 2 20 5 3" xfId="34798"/>
    <cellStyle name="CALC Percent Total [2] 2 20 5 4" xfId="47745"/>
    <cellStyle name="CALC Percent Total [2] 2 20 6" xfId="20298"/>
    <cellStyle name="CALC Percent Total [2] 2 20 6 2" xfId="28620"/>
    <cellStyle name="CALC Percent Total [2] 2 20 6 2 2" xfId="47746"/>
    <cellStyle name="CALC Percent Total [2] 2 20 6 3" xfId="35735"/>
    <cellStyle name="CALC Percent Total [2] 2 20 6 4" xfId="47747"/>
    <cellStyle name="CALC Percent Total [2] 2 20 7" xfId="21759"/>
    <cellStyle name="CALC Percent Total [2] 2 20 7 2" xfId="30060"/>
    <cellStyle name="CALC Percent Total [2] 2 20 7 2 2" xfId="47748"/>
    <cellStyle name="CALC Percent Total [2] 2 20 7 3" xfId="37109"/>
    <cellStyle name="CALC Percent Total [2] 2 20 7 4" xfId="47749"/>
    <cellStyle name="CALC Percent Total [2] 2 20 8" xfId="22687"/>
    <cellStyle name="CALC Percent Total [2] 2 20 8 2" xfId="30983"/>
    <cellStyle name="CALC Percent Total [2] 2 20 8 2 2" xfId="47750"/>
    <cellStyle name="CALC Percent Total [2] 2 20 8 3" xfId="37992"/>
    <cellStyle name="CALC Percent Total [2] 2 20 8 4" xfId="47751"/>
    <cellStyle name="CALC Percent Total [2] 2 20 9" xfId="23629"/>
    <cellStyle name="CALC Percent Total [2] 2 20 9 2" xfId="47752"/>
    <cellStyle name="CALC Percent Total [2] 2 21" xfId="15288"/>
    <cellStyle name="CALC Percent Total [2] 2 21 10" xfId="47753"/>
    <cellStyle name="CALC Percent Total [2] 2 21 11" xfId="47754"/>
    <cellStyle name="CALC Percent Total [2] 2 21 2" xfId="16368"/>
    <cellStyle name="CALC Percent Total [2] 2 21 2 2" xfId="24681"/>
    <cellStyle name="CALC Percent Total [2] 2 21 2 2 2" xfId="47755"/>
    <cellStyle name="CALC Percent Total [2] 2 21 2 3" xfId="31948"/>
    <cellStyle name="CALC Percent Total [2] 2 21 2 4" xfId="47756"/>
    <cellStyle name="CALC Percent Total [2] 2 21 3" xfId="17334"/>
    <cellStyle name="CALC Percent Total [2] 2 21 3 2" xfId="25655"/>
    <cellStyle name="CALC Percent Total [2] 2 21 3 2 2" xfId="47757"/>
    <cellStyle name="CALC Percent Total [2] 2 21 3 3" xfId="32881"/>
    <cellStyle name="CALC Percent Total [2] 2 21 3 4" xfId="47758"/>
    <cellStyle name="CALC Percent Total [2] 2 21 4" xfId="18362"/>
    <cellStyle name="CALC Percent Total [2] 2 21 4 2" xfId="26682"/>
    <cellStyle name="CALC Percent Total [2] 2 21 4 2 2" xfId="47759"/>
    <cellStyle name="CALC Percent Total [2] 2 21 4 3" xfId="33859"/>
    <cellStyle name="CALC Percent Total [2] 2 21 4 4" xfId="47760"/>
    <cellStyle name="CALC Percent Total [2] 2 21 5" xfId="19346"/>
    <cellStyle name="CALC Percent Total [2] 2 21 5 2" xfId="27666"/>
    <cellStyle name="CALC Percent Total [2] 2 21 5 2 2" xfId="47761"/>
    <cellStyle name="CALC Percent Total [2] 2 21 5 3" xfId="34814"/>
    <cellStyle name="CALC Percent Total [2] 2 21 5 4" xfId="47762"/>
    <cellStyle name="CALC Percent Total [2] 2 21 6" xfId="20314"/>
    <cellStyle name="CALC Percent Total [2] 2 21 6 2" xfId="28636"/>
    <cellStyle name="CALC Percent Total [2] 2 21 6 2 2" xfId="47763"/>
    <cellStyle name="CALC Percent Total [2] 2 21 6 3" xfId="35751"/>
    <cellStyle name="CALC Percent Total [2] 2 21 6 4" xfId="47764"/>
    <cellStyle name="CALC Percent Total [2] 2 21 7" xfId="21775"/>
    <cellStyle name="CALC Percent Total [2] 2 21 7 2" xfId="30076"/>
    <cellStyle name="CALC Percent Total [2] 2 21 7 2 2" xfId="47765"/>
    <cellStyle name="CALC Percent Total [2] 2 21 7 3" xfId="37125"/>
    <cellStyle name="CALC Percent Total [2] 2 21 7 4" xfId="47766"/>
    <cellStyle name="CALC Percent Total [2] 2 21 8" xfId="22703"/>
    <cellStyle name="CALC Percent Total [2] 2 21 8 2" xfId="30999"/>
    <cellStyle name="CALC Percent Total [2] 2 21 8 2 2" xfId="47767"/>
    <cellStyle name="CALC Percent Total [2] 2 21 8 3" xfId="38008"/>
    <cellStyle name="CALC Percent Total [2] 2 21 8 4" xfId="47768"/>
    <cellStyle name="CALC Percent Total [2] 2 21 9" xfId="23645"/>
    <cellStyle name="CALC Percent Total [2] 2 21 9 2" xfId="47769"/>
    <cellStyle name="CALC Percent Total [2] 2 22" xfId="15307"/>
    <cellStyle name="CALC Percent Total [2] 2 22 10" xfId="47770"/>
    <cellStyle name="CALC Percent Total [2] 2 22 11" xfId="47771"/>
    <cellStyle name="CALC Percent Total [2] 2 22 2" xfId="16387"/>
    <cellStyle name="CALC Percent Total [2] 2 22 2 2" xfId="24700"/>
    <cellStyle name="CALC Percent Total [2] 2 22 2 2 2" xfId="47772"/>
    <cellStyle name="CALC Percent Total [2] 2 22 2 3" xfId="31966"/>
    <cellStyle name="CALC Percent Total [2] 2 22 2 4" xfId="47773"/>
    <cellStyle name="CALC Percent Total [2] 2 22 3" xfId="17353"/>
    <cellStyle name="CALC Percent Total [2] 2 22 3 2" xfId="25674"/>
    <cellStyle name="CALC Percent Total [2] 2 22 3 2 2" xfId="47774"/>
    <cellStyle name="CALC Percent Total [2] 2 22 3 3" xfId="32899"/>
    <cellStyle name="CALC Percent Total [2] 2 22 3 4" xfId="47775"/>
    <cellStyle name="CALC Percent Total [2] 2 22 4" xfId="18381"/>
    <cellStyle name="CALC Percent Total [2] 2 22 4 2" xfId="26701"/>
    <cellStyle name="CALC Percent Total [2] 2 22 4 2 2" xfId="47776"/>
    <cellStyle name="CALC Percent Total [2] 2 22 4 3" xfId="33877"/>
    <cellStyle name="CALC Percent Total [2] 2 22 4 4" xfId="47777"/>
    <cellStyle name="CALC Percent Total [2] 2 22 5" xfId="19364"/>
    <cellStyle name="CALC Percent Total [2] 2 22 5 2" xfId="27685"/>
    <cellStyle name="CALC Percent Total [2] 2 22 5 2 2" xfId="47778"/>
    <cellStyle name="CALC Percent Total [2] 2 22 5 3" xfId="34833"/>
    <cellStyle name="CALC Percent Total [2] 2 22 5 4" xfId="47779"/>
    <cellStyle name="CALC Percent Total [2] 2 22 6" xfId="20333"/>
    <cellStyle name="CALC Percent Total [2] 2 22 6 2" xfId="28655"/>
    <cellStyle name="CALC Percent Total [2] 2 22 6 2 2" xfId="47780"/>
    <cellStyle name="CALC Percent Total [2] 2 22 6 3" xfId="35769"/>
    <cellStyle name="CALC Percent Total [2] 2 22 6 4" xfId="47781"/>
    <cellStyle name="CALC Percent Total [2] 2 22 7" xfId="21794"/>
    <cellStyle name="CALC Percent Total [2] 2 22 7 2" xfId="30095"/>
    <cellStyle name="CALC Percent Total [2] 2 22 7 2 2" xfId="47782"/>
    <cellStyle name="CALC Percent Total [2] 2 22 7 3" xfId="37143"/>
    <cellStyle name="CALC Percent Total [2] 2 22 7 4" xfId="47783"/>
    <cellStyle name="CALC Percent Total [2] 2 22 8" xfId="22722"/>
    <cellStyle name="CALC Percent Total [2] 2 22 8 2" xfId="31018"/>
    <cellStyle name="CALC Percent Total [2] 2 22 8 2 2" xfId="47784"/>
    <cellStyle name="CALC Percent Total [2] 2 22 8 3" xfId="38026"/>
    <cellStyle name="CALC Percent Total [2] 2 22 8 4" xfId="47785"/>
    <cellStyle name="CALC Percent Total [2] 2 22 9" xfId="23664"/>
    <cellStyle name="CALC Percent Total [2] 2 22 9 2" xfId="47786"/>
    <cellStyle name="CALC Percent Total [2] 2 23" xfId="15381"/>
    <cellStyle name="CALC Percent Total [2] 2 23 10" xfId="47787"/>
    <cellStyle name="CALC Percent Total [2] 2 23 11" xfId="47788"/>
    <cellStyle name="CALC Percent Total [2] 2 23 2" xfId="16461"/>
    <cellStyle name="CALC Percent Total [2] 2 23 2 2" xfId="24774"/>
    <cellStyle name="CALC Percent Total [2] 2 23 2 2 2" xfId="47789"/>
    <cellStyle name="CALC Percent Total [2] 2 23 2 3" xfId="32038"/>
    <cellStyle name="CALC Percent Total [2] 2 23 2 4" xfId="47790"/>
    <cellStyle name="CALC Percent Total [2] 2 23 3" xfId="17427"/>
    <cellStyle name="CALC Percent Total [2] 2 23 3 2" xfId="25748"/>
    <cellStyle name="CALC Percent Total [2] 2 23 3 2 2" xfId="47791"/>
    <cellStyle name="CALC Percent Total [2] 2 23 3 3" xfId="32971"/>
    <cellStyle name="CALC Percent Total [2] 2 23 3 4" xfId="47792"/>
    <cellStyle name="CALC Percent Total [2] 2 23 4" xfId="18455"/>
    <cellStyle name="CALC Percent Total [2] 2 23 4 2" xfId="26775"/>
    <cellStyle name="CALC Percent Total [2] 2 23 4 2 2" xfId="47793"/>
    <cellStyle name="CALC Percent Total [2] 2 23 4 3" xfId="33949"/>
    <cellStyle name="CALC Percent Total [2] 2 23 4 4" xfId="47794"/>
    <cellStyle name="CALC Percent Total [2] 2 23 5" xfId="19438"/>
    <cellStyle name="CALC Percent Total [2] 2 23 5 2" xfId="27759"/>
    <cellStyle name="CALC Percent Total [2] 2 23 5 2 2" xfId="47795"/>
    <cellStyle name="CALC Percent Total [2] 2 23 5 3" xfId="34907"/>
    <cellStyle name="CALC Percent Total [2] 2 23 5 4" xfId="47796"/>
    <cellStyle name="CALC Percent Total [2] 2 23 6" xfId="20407"/>
    <cellStyle name="CALC Percent Total [2] 2 23 6 2" xfId="28729"/>
    <cellStyle name="CALC Percent Total [2] 2 23 6 2 2" xfId="47797"/>
    <cellStyle name="CALC Percent Total [2] 2 23 6 3" xfId="35841"/>
    <cellStyle name="CALC Percent Total [2] 2 23 6 4" xfId="47798"/>
    <cellStyle name="CALC Percent Total [2] 2 23 7" xfId="21868"/>
    <cellStyle name="CALC Percent Total [2] 2 23 7 2" xfId="30169"/>
    <cellStyle name="CALC Percent Total [2] 2 23 7 2 2" xfId="47799"/>
    <cellStyle name="CALC Percent Total [2] 2 23 7 3" xfId="37214"/>
    <cellStyle name="CALC Percent Total [2] 2 23 7 4" xfId="47800"/>
    <cellStyle name="CALC Percent Total [2] 2 23 8" xfId="22796"/>
    <cellStyle name="CALC Percent Total [2] 2 23 8 2" xfId="31092"/>
    <cellStyle name="CALC Percent Total [2] 2 23 8 2 2" xfId="47801"/>
    <cellStyle name="CALC Percent Total [2] 2 23 8 3" xfId="38098"/>
    <cellStyle name="CALC Percent Total [2] 2 23 8 4" xfId="47802"/>
    <cellStyle name="CALC Percent Total [2] 2 23 9" xfId="23738"/>
    <cellStyle name="CALC Percent Total [2] 2 23 9 2" xfId="47803"/>
    <cellStyle name="CALC Percent Total [2] 2 24" xfId="15395"/>
    <cellStyle name="CALC Percent Total [2] 2 24 10" xfId="47804"/>
    <cellStyle name="CALC Percent Total [2] 2 24 11" xfId="47805"/>
    <cellStyle name="CALC Percent Total [2] 2 24 2" xfId="16475"/>
    <cellStyle name="CALC Percent Total [2] 2 24 2 2" xfId="24788"/>
    <cellStyle name="CALC Percent Total [2] 2 24 2 2 2" xfId="47806"/>
    <cellStyle name="CALC Percent Total [2] 2 24 2 3" xfId="32052"/>
    <cellStyle name="CALC Percent Total [2] 2 24 2 4" xfId="47807"/>
    <cellStyle name="CALC Percent Total [2] 2 24 3" xfId="17441"/>
    <cellStyle name="CALC Percent Total [2] 2 24 3 2" xfId="25762"/>
    <cellStyle name="CALC Percent Total [2] 2 24 3 2 2" xfId="47808"/>
    <cellStyle name="CALC Percent Total [2] 2 24 3 3" xfId="32985"/>
    <cellStyle name="CALC Percent Total [2] 2 24 3 4" xfId="47809"/>
    <cellStyle name="CALC Percent Total [2] 2 24 4" xfId="18469"/>
    <cellStyle name="CALC Percent Total [2] 2 24 4 2" xfId="26789"/>
    <cellStyle name="CALC Percent Total [2] 2 24 4 2 2" xfId="47810"/>
    <cellStyle name="CALC Percent Total [2] 2 24 4 3" xfId="33963"/>
    <cellStyle name="CALC Percent Total [2] 2 24 4 4" xfId="47811"/>
    <cellStyle name="CALC Percent Total [2] 2 24 5" xfId="19452"/>
    <cellStyle name="CALC Percent Total [2] 2 24 5 2" xfId="27773"/>
    <cellStyle name="CALC Percent Total [2] 2 24 5 2 2" xfId="47812"/>
    <cellStyle name="CALC Percent Total [2] 2 24 5 3" xfId="34921"/>
    <cellStyle name="CALC Percent Total [2] 2 24 5 4" xfId="47813"/>
    <cellStyle name="CALC Percent Total [2] 2 24 6" xfId="20421"/>
    <cellStyle name="CALC Percent Total [2] 2 24 6 2" xfId="28743"/>
    <cellStyle name="CALC Percent Total [2] 2 24 6 2 2" xfId="47814"/>
    <cellStyle name="CALC Percent Total [2] 2 24 6 3" xfId="35855"/>
    <cellStyle name="CALC Percent Total [2] 2 24 6 4" xfId="47815"/>
    <cellStyle name="CALC Percent Total [2] 2 24 7" xfId="21882"/>
    <cellStyle name="CALC Percent Total [2] 2 24 7 2" xfId="30183"/>
    <cellStyle name="CALC Percent Total [2] 2 24 7 2 2" xfId="47816"/>
    <cellStyle name="CALC Percent Total [2] 2 24 7 3" xfId="37228"/>
    <cellStyle name="CALC Percent Total [2] 2 24 7 4" xfId="47817"/>
    <cellStyle name="CALC Percent Total [2] 2 24 8" xfId="22810"/>
    <cellStyle name="CALC Percent Total [2] 2 24 8 2" xfId="31106"/>
    <cellStyle name="CALC Percent Total [2] 2 24 8 2 2" xfId="47818"/>
    <cellStyle name="CALC Percent Total [2] 2 24 8 3" xfId="38112"/>
    <cellStyle name="CALC Percent Total [2] 2 24 8 4" xfId="47819"/>
    <cellStyle name="CALC Percent Total [2] 2 24 9" xfId="23752"/>
    <cellStyle name="CALC Percent Total [2] 2 24 9 2" xfId="47820"/>
    <cellStyle name="CALC Percent Total [2] 2 25" xfId="15411"/>
    <cellStyle name="CALC Percent Total [2] 2 25 10" xfId="47821"/>
    <cellStyle name="CALC Percent Total [2] 2 25 11" xfId="47822"/>
    <cellStyle name="CALC Percent Total [2] 2 25 2" xfId="16491"/>
    <cellStyle name="CALC Percent Total [2] 2 25 2 2" xfId="24804"/>
    <cellStyle name="CALC Percent Total [2] 2 25 2 2 2" xfId="47823"/>
    <cellStyle name="CALC Percent Total [2] 2 25 2 3" xfId="32066"/>
    <cellStyle name="CALC Percent Total [2] 2 25 2 4" xfId="47824"/>
    <cellStyle name="CALC Percent Total [2] 2 25 3" xfId="17457"/>
    <cellStyle name="CALC Percent Total [2] 2 25 3 2" xfId="25778"/>
    <cellStyle name="CALC Percent Total [2] 2 25 3 2 2" xfId="47825"/>
    <cellStyle name="CALC Percent Total [2] 2 25 3 3" xfId="32999"/>
    <cellStyle name="CALC Percent Total [2] 2 25 3 4" xfId="47826"/>
    <cellStyle name="CALC Percent Total [2] 2 25 4" xfId="18485"/>
    <cellStyle name="CALC Percent Total [2] 2 25 4 2" xfId="26805"/>
    <cellStyle name="CALC Percent Total [2] 2 25 4 2 2" xfId="47827"/>
    <cellStyle name="CALC Percent Total [2] 2 25 4 3" xfId="33977"/>
    <cellStyle name="CALC Percent Total [2] 2 25 4 4" xfId="47828"/>
    <cellStyle name="CALC Percent Total [2] 2 25 5" xfId="19468"/>
    <cellStyle name="CALC Percent Total [2] 2 25 5 2" xfId="27789"/>
    <cellStyle name="CALC Percent Total [2] 2 25 5 2 2" xfId="47829"/>
    <cellStyle name="CALC Percent Total [2] 2 25 5 3" xfId="34937"/>
    <cellStyle name="CALC Percent Total [2] 2 25 5 4" xfId="47830"/>
    <cellStyle name="CALC Percent Total [2] 2 25 6" xfId="20437"/>
    <cellStyle name="CALC Percent Total [2] 2 25 6 2" xfId="28759"/>
    <cellStyle name="CALC Percent Total [2] 2 25 6 2 2" xfId="47831"/>
    <cellStyle name="CALC Percent Total [2] 2 25 6 3" xfId="35869"/>
    <cellStyle name="CALC Percent Total [2] 2 25 6 4" xfId="47832"/>
    <cellStyle name="CALC Percent Total [2] 2 25 7" xfId="21898"/>
    <cellStyle name="CALC Percent Total [2] 2 25 7 2" xfId="30199"/>
    <cellStyle name="CALC Percent Total [2] 2 25 7 2 2" xfId="47833"/>
    <cellStyle name="CALC Percent Total [2] 2 25 7 3" xfId="37242"/>
    <cellStyle name="CALC Percent Total [2] 2 25 7 4" xfId="47834"/>
    <cellStyle name="CALC Percent Total [2] 2 25 8" xfId="22826"/>
    <cellStyle name="CALC Percent Total [2] 2 25 8 2" xfId="31122"/>
    <cellStyle name="CALC Percent Total [2] 2 25 8 2 2" xfId="47835"/>
    <cellStyle name="CALC Percent Total [2] 2 25 8 3" xfId="38126"/>
    <cellStyle name="CALC Percent Total [2] 2 25 8 4" xfId="47836"/>
    <cellStyle name="CALC Percent Total [2] 2 25 9" xfId="23768"/>
    <cellStyle name="CALC Percent Total [2] 2 25 9 2" xfId="47837"/>
    <cellStyle name="CALC Percent Total [2] 2 26" xfId="15427"/>
    <cellStyle name="CALC Percent Total [2] 2 26 10" xfId="47838"/>
    <cellStyle name="CALC Percent Total [2] 2 26 11" xfId="47839"/>
    <cellStyle name="CALC Percent Total [2] 2 26 2" xfId="16507"/>
    <cellStyle name="CALC Percent Total [2] 2 26 2 2" xfId="24820"/>
    <cellStyle name="CALC Percent Total [2] 2 26 2 2 2" xfId="47840"/>
    <cellStyle name="CALC Percent Total [2] 2 26 2 3" xfId="32081"/>
    <cellStyle name="CALC Percent Total [2] 2 26 2 4" xfId="47841"/>
    <cellStyle name="CALC Percent Total [2] 2 26 3" xfId="17473"/>
    <cellStyle name="CALC Percent Total [2] 2 26 3 2" xfId="25794"/>
    <cellStyle name="CALC Percent Total [2] 2 26 3 2 2" xfId="47842"/>
    <cellStyle name="CALC Percent Total [2] 2 26 3 3" xfId="33014"/>
    <cellStyle name="CALC Percent Total [2] 2 26 3 4" xfId="47843"/>
    <cellStyle name="CALC Percent Total [2] 2 26 4" xfId="18501"/>
    <cellStyle name="CALC Percent Total [2] 2 26 4 2" xfId="26821"/>
    <cellStyle name="CALC Percent Total [2] 2 26 4 2 2" xfId="47844"/>
    <cellStyle name="CALC Percent Total [2] 2 26 4 3" xfId="33992"/>
    <cellStyle name="CALC Percent Total [2] 2 26 4 4" xfId="47845"/>
    <cellStyle name="CALC Percent Total [2] 2 26 5" xfId="19484"/>
    <cellStyle name="CALC Percent Total [2] 2 26 5 2" xfId="27805"/>
    <cellStyle name="CALC Percent Total [2] 2 26 5 2 2" xfId="47846"/>
    <cellStyle name="CALC Percent Total [2] 2 26 5 3" xfId="34953"/>
    <cellStyle name="CALC Percent Total [2] 2 26 5 4" xfId="47847"/>
    <cellStyle name="CALC Percent Total [2] 2 26 6" xfId="20453"/>
    <cellStyle name="CALC Percent Total [2] 2 26 6 2" xfId="28775"/>
    <cellStyle name="CALC Percent Total [2] 2 26 6 2 2" xfId="47848"/>
    <cellStyle name="CALC Percent Total [2] 2 26 6 3" xfId="35884"/>
    <cellStyle name="CALC Percent Total [2] 2 26 6 4" xfId="47849"/>
    <cellStyle name="CALC Percent Total [2] 2 26 7" xfId="21914"/>
    <cellStyle name="CALC Percent Total [2] 2 26 7 2" xfId="30215"/>
    <cellStyle name="CALC Percent Total [2] 2 26 7 2 2" xfId="47850"/>
    <cellStyle name="CALC Percent Total [2] 2 26 7 3" xfId="37257"/>
    <cellStyle name="CALC Percent Total [2] 2 26 7 4" xfId="47851"/>
    <cellStyle name="CALC Percent Total [2] 2 26 8" xfId="22842"/>
    <cellStyle name="CALC Percent Total [2] 2 26 8 2" xfId="31138"/>
    <cellStyle name="CALC Percent Total [2] 2 26 8 2 2" xfId="47852"/>
    <cellStyle name="CALC Percent Total [2] 2 26 8 3" xfId="38141"/>
    <cellStyle name="CALC Percent Total [2] 2 26 8 4" xfId="47853"/>
    <cellStyle name="CALC Percent Total [2] 2 26 9" xfId="23784"/>
    <cellStyle name="CALC Percent Total [2] 2 26 9 2" xfId="47854"/>
    <cellStyle name="CALC Percent Total [2] 2 27" xfId="15441"/>
    <cellStyle name="CALC Percent Total [2] 2 27 10" xfId="47855"/>
    <cellStyle name="CALC Percent Total [2] 2 27 11" xfId="47856"/>
    <cellStyle name="CALC Percent Total [2] 2 27 2" xfId="16521"/>
    <cellStyle name="CALC Percent Total [2] 2 27 2 2" xfId="24834"/>
    <cellStyle name="CALC Percent Total [2] 2 27 2 2 2" xfId="47857"/>
    <cellStyle name="CALC Percent Total [2] 2 27 2 3" xfId="32095"/>
    <cellStyle name="CALC Percent Total [2] 2 27 2 4" xfId="47858"/>
    <cellStyle name="CALC Percent Total [2] 2 27 3" xfId="17487"/>
    <cellStyle name="CALC Percent Total [2] 2 27 3 2" xfId="25808"/>
    <cellStyle name="CALC Percent Total [2] 2 27 3 2 2" xfId="47859"/>
    <cellStyle name="CALC Percent Total [2] 2 27 3 3" xfId="33028"/>
    <cellStyle name="CALC Percent Total [2] 2 27 3 4" xfId="47860"/>
    <cellStyle name="CALC Percent Total [2] 2 27 4" xfId="18515"/>
    <cellStyle name="CALC Percent Total [2] 2 27 4 2" xfId="26835"/>
    <cellStyle name="CALC Percent Total [2] 2 27 4 2 2" xfId="47861"/>
    <cellStyle name="CALC Percent Total [2] 2 27 4 3" xfId="34006"/>
    <cellStyle name="CALC Percent Total [2] 2 27 4 4" xfId="47862"/>
    <cellStyle name="CALC Percent Total [2] 2 27 5" xfId="19498"/>
    <cellStyle name="CALC Percent Total [2] 2 27 5 2" xfId="27819"/>
    <cellStyle name="CALC Percent Total [2] 2 27 5 2 2" xfId="47863"/>
    <cellStyle name="CALC Percent Total [2] 2 27 5 3" xfId="34967"/>
    <cellStyle name="CALC Percent Total [2] 2 27 5 4" xfId="47864"/>
    <cellStyle name="CALC Percent Total [2] 2 27 6" xfId="20467"/>
    <cellStyle name="CALC Percent Total [2] 2 27 6 2" xfId="28789"/>
    <cellStyle name="CALC Percent Total [2] 2 27 6 2 2" xfId="47865"/>
    <cellStyle name="CALC Percent Total [2] 2 27 6 3" xfId="35898"/>
    <cellStyle name="CALC Percent Total [2] 2 27 6 4" xfId="47866"/>
    <cellStyle name="CALC Percent Total [2] 2 27 7" xfId="21928"/>
    <cellStyle name="CALC Percent Total [2] 2 27 7 2" xfId="30229"/>
    <cellStyle name="CALC Percent Total [2] 2 27 7 2 2" xfId="47867"/>
    <cellStyle name="CALC Percent Total [2] 2 27 7 3" xfId="37271"/>
    <cellStyle name="CALC Percent Total [2] 2 27 7 4" xfId="47868"/>
    <cellStyle name="CALC Percent Total [2] 2 27 8" xfId="22856"/>
    <cellStyle name="CALC Percent Total [2] 2 27 8 2" xfId="31152"/>
    <cellStyle name="CALC Percent Total [2] 2 27 8 2 2" xfId="47869"/>
    <cellStyle name="CALC Percent Total [2] 2 27 8 3" xfId="38155"/>
    <cellStyle name="CALC Percent Total [2] 2 27 8 4" xfId="47870"/>
    <cellStyle name="CALC Percent Total [2] 2 27 9" xfId="23798"/>
    <cellStyle name="CALC Percent Total [2] 2 27 9 2" xfId="47871"/>
    <cellStyle name="CALC Percent Total [2] 2 28" xfId="15455"/>
    <cellStyle name="CALC Percent Total [2] 2 28 10" xfId="47872"/>
    <cellStyle name="CALC Percent Total [2] 2 28 11" xfId="47873"/>
    <cellStyle name="CALC Percent Total [2] 2 28 2" xfId="16535"/>
    <cellStyle name="CALC Percent Total [2] 2 28 2 2" xfId="24848"/>
    <cellStyle name="CALC Percent Total [2] 2 28 2 2 2" xfId="47874"/>
    <cellStyle name="CALC Percent Total [2] 2 28 2 3" xfId="32109"/>
    <cellStyle name="CALC Percent Total [2] 2 28 2 4" xfId="47875"/>
    <cellStyle name="CALC Percent Total [2] 2 28 3" xfId="17501"/>
    <cellStyle name="CALC Percent Total [2] 2 28 3 2" xfId="25822"/>
    <cellStyle name="CALC Percent Total [2] 2 28 3 2 2" xfId="47876"/>
    <cellStyle name="CALC Percent Total [2] 2 28 3 3" xfId="33042"/>
    <cellStyle name="CALC Percent Total [2] 2 28 3 4" xfId="47877"/>
    <cellStyle name="CALC Percent Total [2] 2 28 4" xfId="18529"/>
    <cellStyle name="CALC Percent Total [2] 2 28 4 2" xfId="26849"/>
    <cellStyle name="CALC Percent Total [2] 2 28 4 2 2" xfId="47878"/>
    <cellStyle name="CALC Percent Total [2] 2 28 4 3" xfId="34020"/>
    <cellStyle name="CALC Percent Total [2] 2 28 4 4" xfId="47879"/>
    <cellStyle name="CALC Percent Total [2] 2 28 5" xfId="19512"/>
    <cellStyle name="CALC Percent Total [2] 2 28 5 2" xfId="27833"/>
    <cellStyle name="CALC Percent Total [2] 2 28 5 2 2" xfId="47880"/>
    <cellStyle name="CALC Percent Total [2] 2 28 5 3" xfId="34981"/>
    <cellStyle name="CALC Percent Total [2] 2 28 5 4" xfId="47881"/>
    <cellStyle name="CALC Percent Total [2] 2 28 6" xfId="20481"/>
    <cellStyle name="CALC Percent Total [2] 2 28 6 2" xfId="28803"/>
    <cellStyle name="CALC Percent Total [2] 2 28 6 2 2" xfId="47882"/>
    <cellStyle name="CALC Percent Total [2] 2 28 6 3" xfId="35912"/>
    <cellStyle name="CALC Percent Total [2] 2 28 6 4" xfId="47883"/>
    <cellStyle name="CALC Percent Total [2] 2 28 7" xfId="21942"/>
    <cellStyle name="CALC Percent Total [2] 2 28 7 2" xfId="30243"/>
    <cellStyle name="CALC Percent Total [2] 2 28 7 2 2" xfId="47884"/>
    <cellStyle name="CALC Percent Total [2] 2 28 7 3" xfId="37285"/>
    <cellStyle name="CALC Percent Total [2] 2 28 7 4" xfId="47885"/>
    <cellStyle name="CALC Percent Total [2] 2 28 8" xfId="22870"/>
    <cellStyle name="CALC Percent Total [2] 2 28 8 2" xfId="31166"/>
    <cellStyle name="CALC Percent Total [2] 2 28 8 2 2" xfId="47886"/>
    <cellStyle name="CALC Percent Total [2] 2 28 8 3" xfId="38169"/>
    <cellStyle name="CALC Percent Total [2] 2 28 8 4" xfId="47887"/>
    <cellStyle name="CALC Percent Total [2] 2 28 9" xfId="23812"/>
    <cellStyle name="CALC Percent Total [2] 2 28 9 2" xfId="47888"/>
    <cellStyle name="CALC Percent Total [2] 2 29" xfId="15487"/>
    <cellStyle name="CALC Percent Total [2] 2 29 2" xfId="17533"/>
    <cellStyle name="CALC Percent Total [2] 2 29 2 2" xfId="25853"/>
    <cellStyle name="CALC Percent Total [2] 2 29 2 2 2" xfId="47889"/>
    <cellStyle name="CALC Percent Total [2] 2 29 2 3" xfId="33071"/>
    <cellStyle name="CALC Percent Total [2] 2 29 2 4" xfId="47890"/>
    <cellStyle name="CALC Percent Total [2] 2 29 3" xfId="19544"/>
    <cellStyle name="CALC Percent Total [2] 2 29 3 2" xfId="27865"/>
    <cellStyle name="CALC Percent Total [2] 2 29 3 2 2" xfId="47891"/>
    <cellStyle name="CALC Percent Total [2] 2 29 3 3" xfId="35013"/>
    <cellStyle name="CALC Percent Total [2] 2 29 3 4" xfId="47892"/>
    <cellStyle name="CALC Percent Total [2] 2 29 4" xfId="47893"/>
    <cellStyle name="CALC Percent Total [2] 2 29 4 2" xfId="47894"/>
    <cellStyle name="CALC Percent Total [2] 2 3" xfId="14523"/>
    <cellStyle name="CALC Percent Total [2] 2 3 2" xfId="15585"/>
    <cellStyle name="CALC Percent Total [2] 2 3 2 2" xfId="47895"/>
    <cellStyle name="CALC Percent Total [2] 2 3 2 2 2" xfId="47896"/>
    <cellStyle name="CALC Percent Total [2] 2 3 3" xfId="14447"/>
    <cellStyle name="CALC Percent Total [2] 2 3 3 2" xfId="47897"/>
    <cellStyle name="CALC Percent Total [2] 2 30" xfId="47898"/>
    <cellStyle name="CALC Percent Total [2] 2 30 2" xfId="47899"/>
    <cellStyle name="CALC Percent Total [2] 2 4" xfId="14548"/>
    <cellStyle name="CALC Percent Total [2] 2 4 2" xfId="15627"/>
    <cellStyle name="CALC Percent Total [2] 2 4 2 2" xfId="23941"/>
    <cellStyle name="CALC Percent Total [2] 2 4 2 2 2" xfId="47900"/>
    <cellStyle name="CALC Percent Total [2] 2 4 2 3" xfId="47901"/>
    <cellStyle name="CALC Percent Total [2] 2 4 2 4" xfId="47902"/>
    <cellStyle name="CALC Percent Total [2] 2 4 3" xfId="16595"/>
    <cellStyle name="CALC Percent Total [2] 2 4 3 2" xfId="24912"/>
    <cellStyle name="CALC Percent Total [2] 2 4 3 2 2" xfId="47903"/>
    <cellStyle name="CALC Percent Total [2] 2 4 3 3" xfId="32172"/>
    <cellStyle name="CALC Percent Total [2] 2 4 3 4" xfId="47904"/>
    <cellStyle name="CALC Percent Total [2] 2 4 4" xfId="17614"/>
    <cellStyle name="CALC Percent Total [2] 2 4 4 2" xfId="25937"/>
    <cellStyle name="CALC Percent Total [2] 2 4 4 2 2" xfId="47905"/>
    <cellStyle name="CALC Percent Total [2] 2 4 4 3" xfId="33149"/>
    <cellStyle name="CALC Percent Total [2] 2 4 4 4" xfId="47906"/>
    <cellStyle name="CALC Percent Total [2] 2 4 5" xfId="18596"/>
    <cellStyle name="CALC Percent Total [2] 2 4 5 2" xfId="26915"/>
    <cellStyle name="CALC Percent Total [2] 2 4 5 2 2" xfId="47907"/>
    <cellStyle name="CALC Percent Total [2] 2 4 5 3" xfId="34084"/>
    <cellStyle name="CALC Percent Total [2] 2 4 5 4" xfId="47908"/>
    <cellStyle name="CALC Percent Total [2] 2 4 6" xfId="19564"/>
    <cellStyle name="CALC Percent Total [2] 2 4 6 2" xfId="27885"/>
    <cellStyle name="CALC Percent Total [2] 2 4 6 2 2" xfId="47909"/>
    <cellStyle name="CALC Percent Total [2] 2 4 6 3" xfId="35032"/>
    <cellStyle name="CALC Percent Total [2] 2 4 6 4" xfId="47910"/>
    <cellStyle name="CALC Percent Total [2] 2 4 7" xfId="20522"/>
    <cellStyle name="CALC Percent Total [2] 2 4 7 2" xfId="28844"/>
    <cellStyle name="CALC Percent Total [2] 2 4 7 2 2" xfId="47911"/>
    <cellStyle name="CALC Percent Total [2] 2 4 7 3" xfId="35949"/>
    <cellStyle name="CALC Percent Total [2] 2 4 7 4" xfId="47912"/>
    <cellStyle name="CALC Percent Total [2] 2 4 8" xfId="22905"/>
    <cellStyle name="CALC Percent Total [2] 2 4 8 2" xfId="47913"/>
    <cellStyle name="CALC Percent Total [2] 2 5" xfId="14609"/>
    <cellStyle name="CALC Percent Total [2] 2 5 10" xfId="22970"/>
    <cellStyle name="CALC Percent Total [2] 2 5 10 2" xfId="47914"/>
    <cellStyle name="CALC Percent Total [2] 2 5 11" xfId="47915"/>
    <cellStyle name="CALC Percent Total [2] 2 5 2" xfId="15689"/>
    <cellStyle name="CALC Percent Total [2] 2 5 2 2" xfId="24005"/>
    <cellStyle name="CALC Percent Total [2] 2 5 2 2 2" xfId="47916"/>
    <cellStyle name="CALC Percent Total [2] 2 5 2 3" xfId="31300"/>
    <cellStyle name="CALC Percent Total [2] 2 5 2 4" xfId="47917"/>
    <cellStyle name="CALC Percent Total [2] 2 5 3" xfId="16656"/>
    <cellStyle name="CALC Percent Total [2] 2 5 3 2" xfId="24976"/>
    <cellStyle name="CALC Percent Total [2] 2 5 3 2 2" xfId="47918"/>
    <cellStyle name="CALC Percent Total [2] 2 5 3 3" xfId="32233"/>
    <cellStyle name="CALC Percent Total [2] 2 5 3 4" xfId="47919"/>
    <cellStyle name="CALC Percent Total [2] 2 5 4" xfId="17678"/>
    <cellStyle name="CALC Percent Total [2] 2 5 4 2" xfId="26002"/>
    <cellStyle name="CALC Percent Total [2] 2 5 4 2 2" xfId="47920"/>
    <cellStyle name="CALC Percent Total [2] 2 5 4 3" xfId="33210"/>
    <cellStyle name="CALC Percent Total [2] 2 5 4 4" xfId="47921"/>
    <cellStyle name="CALC Percent Total [2] 2 5 5" xfId="18661"/>
    <cellStyle name="CALC Percent Total [2] 2 5 5 2" xfId="26982"/>
    <cellStyle name="CALC Percent Total [2] 2 5 5 2 2" xfId="47922"/>
    <cellStyle name="CALC Percent Total [2] 2 5 5 3" xfId="34148"/>
    <cellStyle name="CALC Percent Total [2] 2 5 5 4" xfId="47923"/>
    <cellStyle name="CALC Percent Total [2] 2 5 6" xfId="19630"/>
    <cellStyle name="CALC Percent Total [2] 2 5 6 2" xfId="27951"/>
    <cellStyle name="CALC Percent Total [2] 2 5 6 2 2" xfId="47924"/>
    <cellStyle name="CALC Percent Total [2] 2 5 6 3" xfId="35094"/>
    <cellStyle name="CALC Percent Total [2] 2 5 6 4" xfId="47925"/>
    <cellStyle name="CALC Percent Total [2] 2 5 7" xfId="20587"/>
    <cellStyle name="CALC Percent Total [2] 2 5 7 2" xfId="28909"/>
    <cellStyle name="CALC Percent Total [2] 2 5 7 2 2" xfId="47926"/>
    <cellStyle name="CALC Percent Total [2] 2 5 7 3" xfId="36010"/>
    <cellStyle name="CALC Percent Total [2] 2 5 7 4" xfId="47927"/>
    <cellStyle name="CALC Percent Total [2] 2 5 8" xfId="21285"/>
    <cellStyle name="CALC Percent Total [2] 2 5 8 2" xfId="29592"/>
    <cellStyle name="CALC Percent Total [2] 2 5 8 2 2" xfId="47928"/>
    <cellStyle name="CALC Percent Total [2] 2 5 8 3" xfId="36659"/>
    <cellStyle name="CALC Percent Total [2] 2 5 8 4" xfId="47929"/>
    <cellStyle name="CALC Percent Total [2] 2 5 9" xfId="22024"/>
    <cellStyle name="CALC Percent Total [2] 2 5 9 2" xfId="30323"/>
    <cellStyle name="CALC Percent Total [2] 2 5 9 2 2" xfId="47930"/>
    <cellStyle name="CALC Percent Total [2] 2 5 9 3" xfId="37361"/>
    <cellStyle name="CALC Percent Total [2] 2 5 9 4" xfId="47931"/>
    <cellStyle name="CALC Percent Total [2] 2 6" xfId="14629"/>
    <cellStyle name="CALC Percent Total [2] 2 6 10" xfId="22991"/>
    <cellStyle name="CALC Percent Total [2] 2 6 10 2" xfId="47932"/>
    <cellStyle name="CALC Percent Total [2] 2 6 11" xfId="47933"/>
    <cellStyle name="CALC Percent Total [2] 2 6 2" xfId="15710"/>
    <cellStyle name="CALC Percent Total [2] 2 6 2 2" xfId="24026"/>
    <cellStyle name="CALC Percent Total [2] 2 6 2 2 2" xfId="47934"/>
    <cellStyle name="CALC Percent Total [2] 2 6 2 3" xfId="31320"/>
    <cellStyle name="CALC Percent Total [2] 2 6 2 4" xfId="47935"/>
    <cellStyle name="CALC Percent Total [2] 2 6 3" xfId="16677"/>
    <cellStyle name="CALC Percent Total [2] 2 6 3 2" xfId="24997"/>
    <cellStyle name="CALC Percent Total [2] 2 6 3 2 2" xfId="47936"/>
    <cellStyle name="CALC Percent Total [2] 2 6 3 3" xfId="32253"/>
    <cellStyle name="CALC Percent Total [2] 2 6 3 4" xfId="47937"/>
    <cellStyle name="CALC Percent Total [2] 2 6 4" xfId="17700"/>
    <cellStyle name="CALC Percent Total [2] 2 6 4 2" xfId="26023"/>
    <cellStyle name="CALC Percent Total [2] 2 6 4 2 2" xfId="47938"/>
    <cellStyle name="CALC Percent Total [2] 2 6 4 3" xfId="33230"/>
    <cellStyle name="CALC Percent Total [2] 2 6 4 4" xfId="47939"/>
    <cellStyle name="CALC Percent Total [2] 2 6 5" xfId="18683"/>
    <cellStyle name="CALC Percent Total [2] 2 6 5 2" xfId="27004"/>
    <cellStyle name="CALC Percent Total [2] 2 6 5 2 2" xfId="47940"/>
    <cellStyle name="CALC Percent Total [2] 2 6 5 3" xfId="34169"/>
    <cellStyle name="CALC Percent Total [2] 2 6 5 4" xfId="47941"/>
    <cellStyle name="CALC Percent Total [2] 2 6 6" xfId="19652"/>
    <cellStyle name="CALC Percent Total [2] 2 6 6 2" xfId="27973"/>
    <cellStyle name="CALC Percent Total [2] 2 6 6 2 2" xfId="47942"/>
    <cellStyle name="CALC Percent Total [2] 2 6 6 3" xfId="35115"/>
    <cellStyle name="CALC Percent Total [2] 2 6 6 4" xfId="47943"/>
    <cellStyle name="CALC Percent Total [2] 2 6 7" xfId="20609"/>
    <cellStyle name="CALC Percent Total [2] 2 6 7 2" xfId="28930"/>
    <cellStyle name="CALC Percent Total [2] 2 6 7 2 2" xfId="47944"/>
    <cellStyle name="CALC Percent Total [2] 2 6 7 3" xfId="36030"/>
    <cellStyle name="CALC Percent Total [2] 2 6 7 4" xfId="47945"/>
    <cellStyle name="CALC Percent Total [2] 2 6 8" xfId="21071"/>
    <cellStyle name="CALC Percent Total [2] 2 6 8 2" xfId="29388"/>
    <cellStyle name="CALC Percent Total [2] 2 6 8 2 2" xfId="47946"/>
    <cellStyle name="CALC Percent Total [2] 2 6 8 3" xfId="36466"/>
    <cellStyle name="CALC Percent Total [2] 2 6 8 4" xfId="47947"/>
    <cellStyle name="CALC Percent Total [2] 2 6 9" xfId="22046"/>
    <cellStyle name="CALC Percent Total [2] 2 6 9 2" xfId="30344"/>
    <cellStyle name="CALC Percent Total [2] 2 6 9 2 2" xfId="47948"/>
    <cellStyle name="CALC Percent Total [2] 2 6 9 3" xfId="37381"/>
    <cellStyle name="CALC Percent Total [2] 2 6 9 4" xfId="47949"/>
    <cellStyle name="CALC Percent Total [2] 2 7" xfId="14648"/>
    <cellStyle name="CALC Percent Total [2] 2 7 10" xfId="23010"/>
    <cellStyle name="CALC Percent Total [2] 2 7 10 2" xfId="47950"/>
    <cellStyle name="CALC Percent Total [2] 2 7 11" xfId="47951"/>
    <cellStyle name="CALC Percent Total [2] 2 7 2" xfId="15729"/>
    <cellStyle name="CALC Percent Total [2] 2 7 2 2" xfId="24045"/>
    <cellStyle name="CALC Percent Total [2] 2 7 2 2 2" xfId="47952"/>
    <cellStyle name="CALC Percent Total [2] 2 7 2 3" xfId="31338"/>
    <cellStyle name="CALC Percent Total [2] 2 7 2 4" xfId="47953"/>
    <cellStyle name="CALC Percent Total [2] 2 7 3" xfId="16695"/>
    <cellStyle name="CALC Percent Total [2] 2 7 3 2" xfId="25016"/>
    <cellStyle name="CALC Percent Total [2] 2 7 3 2 2" xfId="47954"/>
    <cellStyle name="CALC Percent Total [2] 2 7 3 3" xfId="32271"/>
    <cellStyle name="CALC Percent Total [2] 2 7 3 4" xfId="47955"/>
    <cellStyle name="CALC Percent Total [2] 2 7 4" xfId="17719"/>
    <cellStyle name="CALC Percent Total [2] 2 7 4 2" xfId="26042"/>
    <cellStyle name="CALC Percent Total [2] 2 7 4 2 2" xfId="47956"/>
    <cellStyle name="CALC Percent Total [2] 2 7 4 3" xfId="33248"/>
    <cellStyle name="CALC Percent Total [2] 2 7 4 4" xfId="47957"/>
    <cellStyle name="CALC Percent Total [2] 2 7 5" xfId="18702"/>
    <cellStyle name="CALC Percent Total [2] 2 7 5 2" xfId="27023"/>
    <cellStyle name="CALC Percent Total [2] 2 7 5 2 2" xfId="47958"/>
    <cellStyle name="CALC Percent Total [2] 2 7 5 3" xfId="34187"/>
    <cellStyle name="CALC Percent Total [2] 2 7 5 4" xfId="47959"/>
    <cellStyle name="CALC Percent Total [2] 2 7 6" xfId="19671"/>
    <cellStyle name="CALC Percent Total [2] 2 7 6 2" xfId="27992"/>
    <cellStyle name="CALC Percent Total [2] 2 7 6 2 2" xfId="47960"/>
    <cellStyle name="CALC Percent Total [2] 2 7 6 3" xfId="35133"/>
    <cellStyle name="CALC Percent Total [2] 2 7 6 4" xfId="47961"/>
    <cellStyle name="CALC Percent Total [2] 2 7 7" xfId="20628"/>
    <cellStyle name="CALC Percent Total [2] 2 7 7 2" xfId="28949"/>
    <cellStyle name="CALC Percent Total [2] 2 7 7 2 2" xfId="47962"/>
    <cellStyle name="CALC Percent Total [2] 2 7 7 3" xfId="36048"/>
    <cellStyle name="CALC Percent Total [2] 2 7 7 4" xfId="47963"/>
    <cellStyle name="CALC Percent Total [2] 2 7 8" xfId="21147"/>
    <cellStyle name="CALC Percent Total [2] 2 7 8 2" xfId="29459"/>
    <cellStyle name="CALC Percent Total [2] 2 7 8 2 2" xfId="47964"/>
    <cellStyle name="CALC Percent Total [2] 2 7 8 3" xfId="36531"/>
    <cellStyle name="CALC Percent Total [2] 2 7 8 4" xfId="47965"/>
    <cellStyle name="CALC Percent Total [2] 2 7 9" xfId="22065"/>
    <cellStyle name="CALC Percent Total [2] 2 7 9 2" xfId="30363"/>
    <cellStyle name="CALC Percent Total [2] 2 7 9 2 2" xfId="47966"/>
    <cellStyle name="CALC Percent Total [2] 2 7 9 3" xfId="37399"/>
    <cellStyle name="CALC Percent Total [2] 2 7 9 4" xfId="47967"/>
    <cellStyle name="CALC Percent Total [2] 2 8" xfId="14694"/>
    <cellStyle name="CALC Percent Total [2] 2 8 10" xfId="23057"/>
    <cellStyle name="CALC Percent Total [2] 2 8 10 2" xfId="47968"/>
    <cellStyle name="CALC Percent Total [2] 2 8 11" xfId="47969"/>
    <cellStyle name="CALC Percent Total [2] 2 8 2" xfId="15775"/>
    <cellStyle name="CALC Percent Total [2] 2 8 2 2" xfId="24092"/>
    <cellStyle name="CALC Percent Total [2] 2 8 2 2 2" xfId="47970"/>
    <cellStyle name="CALC Percent Total [2] 2 8 2 3" xfId="31383"/>
    <cellStyle name="CALC Percent Total [2] 2 8 2 4" xfId="47971"/>
    <cellStyle name="CALC Percent Total [2] 2 8 3" xfId="16741"/>
    <cellStyle name="CALC Percent Total [2] 2 8 3 2" xfId="25063"/>
    <cellStyle name="CALC Percent Total [2] 2 8 3 2 2" xfId="47972"/>
    <cellStyle name="CALC Percent Total [2] 2 8 3 3" xfId="32316"/>
    <cellStyle name="CALC Percent Total [2] 2 8 3 4" xfId="47973"/>
    <cellStyle name="CALC Percent Total [2] 2 8 4" xfId="17765"/>
    <cellStyle name="CALC Percent Total [2] 2 8 4 2" xfId="26089"/>
    <cellStyle name="CALC Percent Total [2] 2 8 4 2 2" xfId="47974"/>
    <cellStyle name="CALC Percent Total [2] 2 8 4 3" xfId="33293"/>
    <cellStyle name="CALC Percent Total [2] 2 8 4 4" xfId="47975"/>
    <cellStyle name="CALC Percent Total [2] 2 8 5" xfId="18749"/>
    <cellStyle name="CALC Percent Total [2] 2 8 5 2" xfId="27070"/>
    <cellStyle name="CALC Percent Total [2] 2 8 5 2 2" xfId="47976"/>
    <cellStyle name="CALC Percent Total [2] 2 8 5 3" xfId="34232"/>
    <cellStyle name="CALC Percent Total [2] 2 8 5 4" xfId="47977"/>
    <cellStyle name="CALC Percent Total [2] 2 8 6" xfId="19718"/>
    <cellStyle name="CALC Percent Total [2] 2 8 6 2" xfId="28039"/>
    <cellStyle name="CALC Percent Total [2] 2 8 6 2 2" xfId="47978"/>
    <cellStyle name="CALC Percent Total [2] 2 8 6 3" xfId="35178"/>
    <cellStyle name="CALC Percent Total [2] 2 8 6 4" xfId="47979"/>
    <cellStyle name="CALC Percent Total [2] 2 8 7" xfId="20675"/>
    <cellStyle name="CALC Percent Total [2] 2 8 7 2" xfId="28996"/>
    <cellStyle name="CALC Percent Total [2] 2 8 7 2 2" xfId="47980"/>
    <cellStyle name="CALC Percent Total [2] 2 8 7 3" xfId="36093"/>
    <cellStyle name="CALC Percent Total [2] 2 8 7 4" xfId="47981"/>
    <cellStyle name="CALC Percent Total [2] 2 8 8" xfId="21314"/>
    <cellStyle name="CALC Percent Total [2] 2 8 8 2" xfId="29620"/>
    <cellStyle name="CALC Percent Total [2] 2 8 8 2 2" xfId="47982"/>
    <cellStyle name="CALC Percent Total [2] 2 8 8 3" xfId="36687"/>
    <cellStyle name="CALC Percent Total [2] 2 8 8 4" xfId="47983"/>
    <cellStyle name="CALC Percent Total [2] 2 8 9" xfId="22112"/>
    <cellStyle name="CALC Percent Total [2] 2 8 9 2" xfId="30410"/>
    <cellStyle name="CALC Percent Total [2] 2 8 9 2 2" xfId="47984"/>
    <cellStyle name="CALC Percent Total [2] 2 8 9 3" xfId="37444"/>
    <cellStyle name="CALC Percent Total [2] 2 8 9 4" xfId="47985"/>
    <cellStyle name="CALC Percent Total [2] 2 9" xfId="14781"/>
    <cellStyle name="CALC Percent Total [2] 2 9 10" xfId="23145"/>
    <cellStyle name="CALC Percent Total [2] 2 9 10 2" xfId="47986"/>
    <cellStyle name="CALC Percent Total [2] 2 9 11" xfId="47987"/>
    <cellStyle name="CALC Percent Total [2] 2 9 12" xfId="47988"/>
    <cellStyle name="CALC Percent Total [2] 2 9 2" xfId="15862"/>
    <cellStyle name="CALC Percent Total [2] 2 9 2 2" xfId="24180"/>
    <cellStyle name="CALC Percent Total [2] 2 9 2 2 2" xfId="47989"/>
    <cellStyle name="CALC Percent Total [2] 2 9 2 3" xfId="31468"/>
    <cellStyle name="CALC Percent Total [2] 2 9 2 4" xfId="47990"/>
    <cellStyle name="CALC Percent Total [2] 2 9 3" xfId="16828"/>
    <cellStyle name="CALC Percent Total [2] 2 9 3 2" xfId="25152"/>
    <cellStyle name="CALC Percent Total [2] 2 9 3 2 2" xfId="47991"/>
    <cellStyle name="CALC Percent Total [2] 2 9 3 3" xfId="32401"/>
    <cellStyle name="CALC Percent Total [2] 2 9 3 4" xfId="47992"/>
    <cellStyle name="CALC Percent Total [2] 2 9 4" xfId="17854"/>
    <cellStyle name="CALC Percent Total [2] 2 9 4 2" xfId="26178"/>
    <cellStyle name="CALC Percent Total [2] 2 9 4 2 2" xfId="47993"/>
    <cellStyle name="CALC Percent Total [2] 2 9 4 3" xfId="33378"/>
    <cellStyle name="CALC Percent Total [2] 2 9 4 4" xfId="47994"/>
    <cellStyle name="CALC Percent Total [2] 2 9 5" xfId="18838"/>
    <cellStyle name="CALC Percent Total [2] 2 9 5 2" xfId="27159"/>
    <cellStyle name="CALC Percent Total [2] 2 9 5 2 2" xfId="47995"/>
    <cellStyle name="CALC Percent Total [2] 2 9 5 3" xfId="34318"/>
    <cellStyle name="CALC Percent Total [2] 2 9 5 4" xfId="47996"/>
    <cellStyle name="CALC Percent Total [2] 2 9 6" xfId="19806"/>
    <cellStyle name="CALC Percent Total [2] 2 9 6 2" xfId="28128"/>
    <cellStyle name="CALC Percent Total [2] 2 9 6 2 2" xfId="47997"/>
    <cellStyle name="CALC Percent Total [2] 2 9 6 3" xfId="35264"/>
    <cellStyle name="CALC Percent Total [2] 2 9 6 4" xfId="47998"/>
    <cellStyle name="CALC Percent Total [2] 2 9 7" xfId="20764"/>
    <cellStyle name="CALC Percent Total [2] 2 9 7 2" xfId="29085"/>
    <cellStyle name="CALC Percent Total [2] 2 9 7 2 2" xfId="47999"/>
    <cellStyle name="CALC Percent Total [2] 2 9 7 3" xfId="36177"/>
    <cellStyle name="CALC Percent Total [2] 2 9 7 4" xfId="48000"/>
    <cellStyle name="CALC Percent Total [2] 2 9 8" xfId="21179"/>
    <cellStyle name="CALC Percent Total [2] 2 9 8 2" xfId="29491"/>
    <cellStyle name="CALC Percent Total [2] 2 9 8 2 2" xfId="48001"/>
    <cellStyle name="CALC Percent Total [2] 2 9 8 3" xfId="36562"/>
    <cellStyle name="CALC Percent Total [2] 2 9 8 4" xfId="48002"/>
    <cellStyle name="CALC Percent Total [2] 2 9 9" xfId="22200"/>
    <cellStyle name="CALC Percent Total [2] 2 9 9 2" xfId="30498"/>
    <cellStyle name="CALC Percent Total [2] 2 9 9 2 2" xfId="48003"/>
    <cellStyle name="CALC Percent Total [2] 2 9 9 3" xfId="37529"/>
    <cellStyle name="CALC Percent Total [2] 2 9 9 4" xfId="48004"/>
    <cellStyle name="CALC Percent Total [2] 20" xfId="15223"/>
    <cellStyle name="CALC Percent Total [2] 20 10" xfId="48005"/>
    <cellStyle name="CALC Percent Total [2] 20 11" xfId="48006"/>
    <cellStyle name="CALC Percent Total [2] 20 2" xfId="16303"/>
    <cellStyle name="CALC Percent Total [2] 20 2 2" xfId="24616"/>
    <cellStyle name="CALC Percent Total [2] 20 2 2 2" xfId="48007"/>
    <cellStyle name="CALC Percent Total [2] 20 2 3" xfId="31884"/>
    <cellStyle name="CALC Percent Total [2] 20 2 4" xfId="48008"/>
    <cellStyle name="CALC Percent Total [2] 20 3" xfId="17269"/>
    <cellStyle name="CALC Percent Total [2] 20 3 2" xfId="25590"/>
    <cellStyle name="CALC Percent Total [2] 20 3 2 2" xfId="48009"/>
    <cellStyle name="CALC Percent Total [2] 20 3 3" xfId="32817"/>
    <cellStyle name="CALC Percent Total [2] 20 3 4" xfId="48010"/>
    <cellStyle name="CALC Percent Total [2] 20 4" xfId="18297"/>
    <cellStyle name="CALC Percent Total [2] 20 4 2" xfId="26617"/>
    <cellStyle name="CALC Percent Total [2] 20 4 2 2" xfId="48011"/>
    <cellStyle name="CALC Percent Total [2] 20 4 3" xfId="33795"/>
    <cellStyle name="CALC Percent Total [2] 20 4 4" xfId="48012"/>
    <cellStyle name="CALC Percent Total [2] 20 5" xfId="19281"/>
    <cellStyle name="CALC Percent Total [2] 20 5 2" xfId="27601"/>
    <cellStyle name="CALC Percent Total [2] 20 5 2 2" xfId="48013"/>
    <cellStyle name="CALC Percent Total [2] 20 5 3" xfId="34749"/>
    <cellStyle name="CALC Percent Total [2] 20 5 4" xfId="48014"/>
    <cellStyle name="CALC Percent Total [2] 20 6" xfId="20249"/>
    <cellStyle name="CALC Percent Total [2] 20 6 2" xfId="28571"/>
    <cellStyle name="CALC Percent Total [2] 20 6 2 2" xfId="48015"/>
    <cellStyle name="CALC Percent Total [2] 20 6 3" xfId="35687"/>
    <cellStyle name="CALC Percent Total [2] 20 6 4" xfId="48016"/>
    <cellStyle name="CALC Percent Total [2] 20 7" xfId="21710"/>
    <cellStyle name="CALC Percent Total [2] 20 7 2" xfId="30011"/>
    <cellStyle name="CALC Percent Total [2] 20 7 2 2" xfId="48017"/>
    <cellStyle name="CALC Percent Total [2] 20 7 3" xfId="37061"/>
    <cellStyle name="CALC Percent Total [2] 20 7 4" xfId="48018"/>
    <cellStyle name="CALC Percent Total [2] 20 8" xfId="22638"/>
    <cellStyle name="CALC Percent Total [2] 20 8 2" xfId="30934"/>
    <cellStyle name="CALC Percent Total [2] 20 8 2 2" xfId="48019"/>
    <cellStyle name="CALC Percent Total [2] 20 8 3" xfId="37944"/>
    <cellStyle name="CALC Percent Total [2] 20 8 4" xfId="48020"/>
    <cellStyle name="CALC Percent Total [2] 20 9" xfId="23580"/>
    <cellStyle name="CALC Percent Total [2] 20 9 2" xfId="48021"/>
    <cellStyle name="CALC Percent Total [2] 21" xfId="15365"/>
    <cellStyle name="CALC Percent Total [2] 21 10" xfId="48022"/>
    <cellStyle name="CALC Percent Total [2] 21 11" xfId="48023"/>
    <cellStyle name="CALC Percent Total [2] 21 2" xfId="16445"/>
    <cellStyle name="CALC Percent Total [2] 21 2 2" xfId="24758"/>
    <cellStyle name="CALC Percent Total [2] 21 2 2 2" xfId="48024"/>
    <cellStyle name="CALC Percent Total [2] 21 2 3" xfId="32022"/>
    <cellStyle name="CALC Percent Total [2] 21 2 4" xfId="48025"/>
    <cellStyle name="CALC Percent Total [2] 21 3" xfId="17411"/>
    <cellStyle name="CALC Percent Total [2] 21 3 2" xfId="25732"/>
    <cellStyle name="CALC Percent Total [2] 21 3 2 2" xfId="48026"/>
    <cellStyle name="CALC Percent Total [2] 21 3 3" xfId="32955"/>
    <cellStyle name="CALC Percent Total [2] 21 3 4" xfId="48027"/>
    <cellStyle name="CALC Percent Total [2] 21 4" xfId="18439"/>
    <cellStyle name="CALC Percent Total [2] 21 4 2" xfId="26759"/>
    <cellStyle name="CALC Percent Total [2] 21 4 2 2" xfId="48028"/>
    <cellStyle name="CALC Percent Total [2] 21 4 3" xfId="33933"/>
    <cellStyle name="CALC Percent Total [2] 21 4 4" xfId="48029"/>
    <cellStyle name="CALC Percent Total [2] 21 5" xfId="19422"/>
    <cellStyle name="CALC Percent Total [2] 21 5 2" xfId="27743"/>
    <cellStyle name="CALC Percent Total [2] 21 5 2 2" xfId="48030"/>
    <cellStyle name="CALC Percent Total [2] 21 5 3" xfId="34891"/>
    <cellStyle name="CALC Percent Total [2] 21 5 4" xfId="48031"/>
    <cellStyle name="CALC Percent Total [2] 21 6" xfId="20391"/>
    <cellStyle name="CALC Percent Total [2] 21 6 2" xfId="28713"/>
    <cellStyle name="CALC Percent Total [2] 21 6 2 2" xfId="48032"/>
    <cellStyle name="CALC Percent Total [2] 21 6 3" xfId="35825"/>
    <cellStyle name="CALC Percent Total [2] 21 6 4" xfId="48033"/>
    <cellStyle name="CALC Percent Total [2] 21 7" xfId="21852"/>
    <cellStyle name="CALC Percent Total [2] 21 7 2" xfId="30153"/>
    <cellStyle name="CALC Percent Total [2] 21 7 2 2" xfId="48034"/>
    <cellStyle name="CALC Percent Total [2] 21 7 3" xfId="37198"/>
    <cellStyle name="CALC Percent Total [2] 21 7 4" xfId="48035"/>
    <cellStyle name="CALC Percent Total [2] 21 8" xfId="22780"/>
    <cellStyle name="CALC Percent Total [2] 21 8 2" xfId="31076"/>
    <cellStyle name="CALC Percent Total [2] 21 8 2 2" xfId="48036"/>
    <cellStyle name="CALC Percent Total [2] 21 8 3" xfId="38082"/>
    <cellStyle name="CALC Percent Total [2] 21 8 4" xfId="48037"/>
    <cellStyle name="CALC Percent Total [2] 21 9" xfId="23722"/>
    <cellStyle name="CALC Percent Total [2] 21 9 2" xfId="48038"/>
    <cellStyle name="CALC Percent Total [2] 22" xfId="15472"/>
    <cellStyle name="CALC Percent Total [2] 22 2" xfId="17518"/>
    <cellStyle name="CALC Percent Total [2] 22 2 2" xfId="25838"/>
    <cellStyle name="CALC Percent Total [2] 22 2 2 2" xfId="48039"/>
    <cellStyle name="CALC Percent Total [2] 22 2 3" xfId="33057"/>
    <cellStyle name="CALC Percent Total [2] 22 2 4" xfId="48040"/>
    <cellStyle name="CALC Percent Total [2] 22 3" xfId="19529"/>
    <cellStyle name="CALC Percent Total [2] 22 3 2" xfId="27850"/>
    <cellStyle name="CALC Percent Total [2] 22 3 2 2" xfId="48041"/>
    <cellStyle name="CALC Percent Total [2] 22 3 3" xfId="34998"/>
    <cellStyle name="CALC Percent Total [2] 22 3 4" xfId="48042"/>
    <cellStyle name="CALC Percent Total [2] 22 4" xfId="48043"/>
    <cellStyle name="CALC Percent Total [2] 22 4 2" xfId="48044"/>
    <cellStyle name="CALC Percent Total [2] 23" xfId="48045"/>
    <cellStyle name="CALC Percent Total [2] 23 2" xfId="48046"/>
    <cellStyle name="CALC Percent Total [2] 3" xfId="14537"/>
    <cellStyle name="CALC Percent Total [2] 3 2" xfId="15613"/>
    <cellStyle name="CALC Percent Total [2] 3 2 2" xfId="23927"/>
    <cellStyle name="CALC Percent Total [2] 3 2 2 2" xfId="48047"/>
    <cellStyle name="CALC Percent Total [2] 3 2 3" xfId="48048"/>
    <cellStyle name="CALC Percent Total [2] 3 2 4" xfId="48049"/>
    <cellStyle name="CALC Percent Total [2] 3 3" xfId="16582"/>
    <cellStyle name="CALC Percent Total [2] 3 3 2" xfId="24898"/>
    <cellStyle name="CALC Percent Total [2] 3 3 2 2" xfId="48050"/>
    <cellStyle name="CALC Percent Total [2] 3 3 3" xfId="32158"/>
    <cellStyle name="CALC Percent Total [2] 3 3 4" xfId="48051"/>
    <cellStyle name="CALC Percent Total [2] 3 4" xfId="17600"/>
    <cellStyle name="CALC Percent Total [2] 3 4 2" xfId="25922"/>
    <cellStyle name="CALC Percent Total [2] 3 4 2 2" xfId="48052"/>
    <cellStyle name="CALC Percent Total [2] 3 4 3" xfId="33135"/>
    <cellStyle name="CALC Percent Total [2] 3 4 4" xfId="48053"/>
    <cellStyle name="CALC Percent Total [2] 3 5" xfId="18581"/>
    <cellStyle name="CALC Percent Total [2] 3 5 2" xfId="26900"/>
    <cellStyle name="CALC Percent Total [2] 3 5 2 2" xfId="48054"/>
    <cellStyle name="CALC Percent Total [2] 3 5 3" xfId="34069"/>
    <cellStyle name="CALC Percent Total [2] 3 5 4" xfId="48055"/>
    <cellStyle name="CALC Percent Total [2] 3 6" xfId="19549"/>
    <cellStyle name="CALC Percent Total [2] 3 6 2" xfId="27870"/>
    <cellStyle name="CALC Percent Total [2] 3 6 2 2" xfId="48056"/>
    <cellStyle name="CALC Percent Total [2] 3 6 3" xfId="35018"/>
    <cellStyle name="CALC Percent Total [2] 3 6 4" xfId="48057"/>
    <cellStyle name="CALC Percent Total [2] 3 7" xfId="20507"/>
    <cellStyle name="CALC Percent Total [2] 3 7 2" xfId="28829"/>
    <cellStyle name="CALC Percent Total [2] 3 7 2 2" xfId="48058"/>
    <cellStyle name="CALC Percent Total [2] 3 7 3" xfId="35935"/>
    <cellStyle name="CALC Percent Total [2] 3 7 4" xfId="48059"/>
    <cellStyle name="CALC Percent Total [2] 3 8" xfId="22891"/>
    <cellStyle name="CALC Percent Total [2] 3 8 2" xfId="48060"/>
    <cellStyle name="CALC Percent Total [2] 4" xfId="14586"/>
    <cellStyle name="CALC Percent Total [2] 4 10" xfId="22945"/>
    <cellStyle name="CALC Percent Total [2] 4 10 2" xfId="48061"/>
    <cellStyle name="CALC Percent Total [2] 4 11" xfId="48062"/>
    <cellStyle name="CALC Percent Total [2] 4 2" xfId="15666"/>
    <cellStyle name="CALC Percent Total [2] 4 2 2" xfId="23981"/>
    <cellStyle name="CALC Percent Total [2] 4 2 2 2" xfId="48063"/>
    <cellStyle name="CALC Percent Total [2] 4 2 3" xfId="31278"/>
    <cellStyle name="CALC Percent Total [2] 4 2 4" xfId="48064"/>
    <cellStyle name="CALC Percent Total [2] 4 3" xfId="16633"/>
    <cellStyle name="CALC Percent Total [2] 4 3 2" xfId="24952"/>
    <cellStyle name="CALC Percent Total [2] 4 3 2 2" xfId="48065"/>
    <cellStyle name="CALC Percent Total [2] 4 3 3" xfId="32211"/>
    <cellStyle name="CALC Percent Total [2] 4 3 4" xfId="48066"/>
    <cellStyle name="CALC Percent Total [2] 4 4" xfId="17654"/>
    <cellStyle name="CALC Percent Total [2] 4 4 2" xfId="25978"/>
    <cellStyle name="CALC Percent Total [2] 4 4 2 2" xfId="48067"/>
    <cellStyle name="CALC Percent Total [2] 4 4 3" xfId="33188"/>
    <cellStyle name="CALC Percent Total [2] 4 4 4" xfId="48068"/>
    <cellStyle name="CALC Percent Total [2] 4 5" xfId="18637"/>
    <cellStyle name="CALC Percent Total [2] 4 5 2" xfId="26957"/>
    <cellStyle name="CALC Percent Total [2] 4 5 2 2" xfId="48069"/>
    <cellStyle name="CALC Percent Total [2] 4 5 3" xfId="34125"/>
    <cellStyle name="CALC Percent Total [2] 4 5 4" xfId="48070"/>
    <cellStyle name="CALC Percent Total [2] 4 6" xfId="19606"/>
    <cellStyle name="CALC Percent Total [2] 4 6 2" xfId="27926"/>
    <cellStyle name="CALC Percent Total [2] 4 6 2 2" xfId="48071"/>
    <cellStyle name="CALC Percent Total [2] 4 6 3" xfId="35071"/>
    <cellStyle name="CALC Percent Total [2] 4 6 4" xfId="48072"/>
    <cellStyle name="CALC Percent Total [2] 4 7" xfId="20563"/>
    <cellStyle name="CALC Percent Total [2] 4 7 2" xfId="28885"/>
    <cellStyle name="CALC Percent Total [2] 4 7 2 2" xfId="48073"/>
    <cellStyle name="CALC Percent Total [2] 4 7 3" xfId="35988"/>
    <cellStyle name="CALC Percent Total [2] 4 7 4" xfId="48074"/>
    <cellStyle name="CALC Percent Total [2] 4 8" xfId="21189"/>
    <cellStyle name="CALC Percent Total [2] 4 8 2" xfId="29501"/>
    <cellStyle name="CALC Percent Total [2] 4 8 2 2" xfId="48075"/>
    <cellStyle name="CALC Percent Total [2] 4 8 3" xfId="36572"/>
    <cellStyle name="CALC Percent Total [2] 4 8 4" xfId="48076"/>
    <cellStyle name="CALC Percent Total [2] 4 9" xfId="21999"/>
    <cellStyle name="CALC Percent Total [2] 4 9 2" xfId="30299"/>
    <cellStyle name="CALC Percent Total [2] 4 9 2 2" xfId="48077"/>
    <cellStyle name="CALC Percent Total [2] 4 9 3" xfId="37339"/>
    <cellStyle name="CALC Percent Total [2] 4 9 4" xfId="48078"/>
    <cellStyle name="CALC Percent Total [2] 5" xfId="14564"/>
    <cellStyle name="CALC Percent Total [2] 5 10" xfId="22920"/>
    <cellStyle name="CALC Percent Total [2] 5 10 2" xfId="48079"/>
    <cellStyle name="CALC Percent Total [2] 5 11" xfId="48080"/>
    <cellStyle name="CALC Percent Total [2] 5 2" xfId="15643"/>
    <cellStyle name="CALC Percent Total [2] 5 2 2" xfId="23956"/>
    <cellStyle name="CALC Percent Total [2] 5 2 2 2" xfId="48081"/>
    <cellStyle name="CALC Percent Total [2] 5 2 3" xfId="31253"/>
    <cellStyle name="CALC Percent Total [2] 5 2 4" xfId="48082"/>
    <cellStyle name="CALC Percent Total [2] 5 3" xfId="16610"/>
    <cellStyle name="CALC Percent Total [2] 5 3 2" xfId="24927"/>
    <cellStyle name="CALC Percent Total [2] 5 3 2 2" xfId="48083"/>
    <cellStyle name="CALC Percent Total [2] 5 3 3" xfId="32186"/>
    <cellStyle name="CALC Percent Total [2] 5 3 4" xfId="48084"/>
    <cellStyle name="CALC Percent Total [2] 5 4" xfId="17630"/>
    <cellStyle name="CALC Percent Total [2] 5 4 2" xfId="25953"/>
    <cellStyle name="CALC Percent Total [2] 5 4 2 2" xfId="48085"/>
    <cellStyle name="CALC Percent Total [2] 5 4 3" xfId="33163"/>
    <cellStyle name="CALC Percent Total [2] 5 4 4" xfId="48086"/>
    <cellStyle name="CALC Percent Total [2] 5 5" xfId="18612"/>
    <cellStyle name="CALC Percent Total [2] 5 5 2" xfId="26931"/>
    <cellStyle name="CALC Percent Total [2] 5 5 2 2" xfId="48087"/>
    <cellStyle name="CALC Percent Total [2] 5 5 3" xfId="34099"/>
    <cellStyle name="CALC Percent Total [2] 5 5 4" xfId="48088"/>
    <cellStyle name="CALC Percent Total [2] 5 6" xfId="19580"/>
    <cellStyle name="CALC Percent Total [2] 5 6 2" xfId="27901"/>
    <cellStyle name="CALC Percent Total [2] 5 6 2 2" xfId="48089"/>
    <cellStyle name="CALC Percent Total [2] 5 6 3" xfId="35046"/>
    <cellStyle name="CALC Percent Total [2] 5 6 4" xfId="48090"/>
    <cellStyle name="CALC Percent Total [2] 5 7" xfId="20538"/>
    <cellStyle name="CALC Percent Total [2] 5 7 2" xfId="28860"/>
    <cellStyle name="CALC Percent Total [2] 5 7 2 2" xfId="48091"/>
    <cellStyle name="CALC Percent Total [2] 5 7 3" xfId="35963"/>
    <cellStyle name="CALC Percent Total [2] 5 7 4" xfId="48092"/>
    <cellStyle name="CALC Percent Total [2] 5 8" xfId="21225"/>
    <cellStyle name="CALC Percent Total [2] 5 8 2" xfId="29536"/>
    <cellStyle name="CALC Percent Total [2] 5 8 2 2" xfId="48093"/>
    <cellStyle name="CALC Percent Total [2] 5 8 3" xfId="36605"/>
    <cellStyle name="CALC Percent Total [2] 5 8 4" xfId="48094"/>
    <cellStyle name="CALC Percent Total [2] 5 9" xfId="21973"/>
    <cellStyle name="CALC Percent Total [2] 5 9 2" xfId="30274"/>
    <cellStyle name="CALC Percent Total [2] 5 9 2 2" xfId="48095"/>
    <cellStyle name="CALC Percent Total [2] 5 9 3" xfId="37314"/>
    <cellStyle name="CALC Percent Total [2] 5 9 4" xfId="48096"/>
    <cellStyle name="CALC Percent Total [2] 6" xfId="14593"/>
    <cellStyle name="CALC Percent Total [2] 6 10" xfId="22953"/>
    <cellStyle name="CALC Percent Total [2] 6 10 2" xfId="48097"/>
    <cellStyle name="CALC Percent Total [2] 6 11" xfId="48098"/>
    <cellStyle name="CALC Percent Total [2] 6 2" xfId="15673"/>
    <cellStyle name="CALC Percent Total [2] 6 2 2" xfId="23988"/>
    <cellStyle name="CALC Percent Total [2] 6 2 2 2" xfId="48099"/>
    <cellStyle name="CALC Percent Total [2] 6 2 3" xfId="31284"/>
    <cellStyle name="CALC Percent Total [2] 6 2 4" xfId="48100"/>
    <cellStyle name="CALC Percent Total [2] 6 3" xfId="16640"/>
    <cellStyle name="CALC Percent Total [2] 6 3 2" xfId="24959"/>
    <cellStyle name="CALC Percent Total [2] 6 3 2 2" xfId="48101"/>
    <cellStyle name="CALC Percent Total [2] 6 3 3" xfId="32217"/>
    <cellStyle name="CALC Percent Total [2] 6 3 4" xfId="48102"/>
    <cellStyle name="CALC Percent Total [2] 6 4" xfId="17661"/>
    <cellStyle name="CALC Percent Total [2] 6 4 2" xfId="25985"/>
    <cellStyle name="CALC Percent Total [2] 6 4 2 2" xfId="48103"/>
    <cellStyle name="CALC Percent Total [2] 6 4 3" xfId="33194"/>
    <cellStyle name="CALC Percent Total [2] 6 4 4" xfId="48104"/>
    <cellStyle name="CALC Percent Total [2] 6 5" xfId="18644"/>
    <cellStyle name="CALC Percent Total [2] 6 5 2" xfId="26965"/>
    <cellStyle name="CALC Percent Total [2] 6 5 2 2" xfId="48105"/>
    <cellStyle name="CALC Percent Total [2] 6 5 3" xfId="34132"/>
    <cellStyle name="CALC Percent Total [2] 6 5 4" xfId="48106"/>
    <cellStyle name="CALC Percent Total [2] 6 6" xfId="19613"/>
    <cellStyle name="CALC Percent Total [2] 6 6 2" xfId="27934"/>
    <cellStyle name="CALC Percent Total [2] 6 6 2 2" xfId="48107"/>
    <cellStyle name="CALC Percent Total [2] 6 6 3" xfId="35078"/>
    <cellStyle name="CALC Percent Total [2] 6 6 4" xfId="48108"/>
    <cellStyle name="CALC Percent Total [2] 6 7" xfId="20570"/>
    <cellStyle name="CALC Percent Total [2] 6 7 2" xfId="28892"/>
    <cellStyle name="CALC Percent Total [2] 6 7 2 2" xfId="48109"/>
    <cellStyle name="CALC Percent Total [2] 6 7 3" xfId="35994"/>
    <cellStyle name="CALC Percent Total [2] 6 7 4" xfId="48110"/>
    <cellStyle name="CALC Percent Total [2] 6 8" xfId="21353"/>
    <cellStyle name="CALC Percent Total [2] 6 8 2" xfId="29656"/>
    <cellStyle name="CALC Percent Total [2] 6 8 2 2" xfId="48111"/>
    <cellStyle name="CALC Percent Total [2] 6 8 3" xfId="36721"/>
    <cellStyle name="CALC Percent Total [2] 6 8 4" xfId="48112"/>
    <cellStyle name="CALC Percent Total [2] 6 9" xfId="22007"/>
    <cellStyle name="CALC Percent Total [2] 6 9 2" xfId="30306"/>
    <cellStyle name="CALC Percent Total [2] 6 9 2 2" xfId="48113"/>
    <cellStyle name="CALC Percent Total [2] 6 9 3" xfId="37345"/>
    <cellStyle name="CALC Percent Total [2] 6 9 4" xfId="48114"/>
    <cellStyle name="CALC Percent Total [2] 7" xfId="14674"/>
    <cellStyle name="CALC Percent Total [2] 7 10" xfId="23036"/>
    <cellStyle name="CALC Percent Total [2] 7 10 2" xfId="48115"/>
    <cellStyle name="CALC Percent Total [2] 7 11" xfId="48116"/>
    <cellStyle name="CALC Percent Total [2] 7 2" xfId="15755"/>
    <cellStyle name="CALC Percent Total [2] 7 2 2" xfId="24071"/>
    <cellStyle name="CALC Percent Total [2] 7 2 2 2" xfId="48117"/>
    <cellStyle name="CALC Percent Total [2] 7 2 3" xfId="31362"/>
    <cellStyle name="CALC Percent Total [2] 7 2 4" xfId="48118"/>
    <cellStyle name="CALC Percent Total [2] 7 3" xfId="16721"/>
    <cellStyle name="CALC Percent Total [2] 7 3 2" xfId="25042"/>
    <cellStyle name="CALC Percent Total [2] 7 3 2 2" xfId="48119"/>
    <cellStyle name="CALC Percent Total [2] 7 3 3" xfId="32295"/>
    <cellStyle name="CALC Percent Total [2] 7 3 4" xfId="48120"/>
    <cellStyle name="CALC Percent Total [2] 7 4" xfId="17745"/>
    <cellStyle name="CALC Percent Total [2] 7 4 2" xfId="26068"/>
    <cellStyle name="CALC Percent Total [2] 7 4 2 2" xfId="48121"/>
    <cellStyle name="CALC Percent Total [2] 7 4 3" xfId="33272"/>
    <cellStyle name="CALC Percent Total [2] 7 4 4" xfId="48122"/>
    <cellStyle name="CALC Percent Total [2] 7 5" xfId="18728"/>
    <cellStyle name="CALC Percent Total [2] 7 5 2" xfId="27049"/>
    <cellStyle name="CALC Percent Total [2] 7 5 2 2" xfId="48123"/>
    <cellStyle name="CALC Percent Total [2] 7 5 3" xfId="34211"/>
    <cellStyle name="CALC Percent Total [2] 7 5 4" xfId="48124"/>
    <cellStyle name="CALC Percent Total [2] 7 6" xfId="19697"/>
    <cellStyle name="CALC Percent Total [2] 7 6 2" xfId="28018"/>
    <cellStyle name="CALC Percent Total [2] 7 6 2 2" xfId="48125"/>
    <cellStyle name="CALC Percent Total [2] 7 6 3" xfId="35157"/>
    <cellStyle name="CALC Percent Total [2] 7 6 4" xfId="48126"/>
    <cellStyle name="CALC Percent Total [2] 7 7" xfId="20654"/>
    <cellStyle name="CALC Percent Total [2] 7 7 2" xfId="28975"/>
    <cellStyle name="CALC Percent Total [2] 7 7 2 2" xfId="48127"/>
    <cellStyle name="CALC Percent Total [2] 7 7 3" xfId="36072"/>
    <cellStyle name="CALC Percent Total [2] 7 7 4" xfId="48128"/>
    <cellStyle name="CALC Percent Total [2] 7 8" xfId="21246"/>
    <cellStyle name="CALC Percent Total [2] 7 8 2" xfId="29555"/>
    <cellStyle name="CALC Percent Total [2] 7 8 2 2" xfId="48129"/>
    <cellStyle name="CALC Percent Total [2] 7 8 3" xfId="36623"/>
    <cellStyle name="CALC Percent Total [2] 7 8 4" xfId="48130"/>
    <cellStyle name="CALC Percent Total [2] 7 9" xfId="22091"/>
    <cellStyle name="CALC Percent Total [2] 7 9 2" xfId="30389"/>
    <cellStyle name="CALC Percent Total [2] 7 9 2 2" xfId="48131"/>
    <cellStyle name="CALC Percent Total [2] 7 9 3" xfId="37423"/>
    <cellStyle name="CALC Percent Total [2] 7 9 4" xfId="48132"/>
    <cellStyle name="CALC Percent Total [2] 8" xfId="14775"/>
    <cellStyle name="CALC Percent Total [2] 8 10" xfId="23139"/>
    <cellStyle name="CALC Percent Total [2] 8 10 2" xfId="48133"/>
    <cellStyle name="CALC Percent Total [2] 8 11" xfId="48134"/>
    <cellStyle name="CALC Percent Total [2] 8 12" xfId="48135"/>
    <cellStyle name="CALC Percent Total [2] 8 2" xfId="15856"/>
    <cellStyle name="CALC Percent Total [2] 8 2 2" xfId="24174"/>
    <cellStyle name="CALC Percent Total [2] 8 2 2 2" xfId="48136"/>
    <cellStyle name="CALC Percent Total [2] 8 2 3" xfId="31462"/>
    <cellStyle name="CALC Percent Total [2] 8 2 4" xfId="48137"/>
    <cellStyle name="CALC Percent Total [2] 8 3" xfId="16822"/>
    <cellStyle name="CALC Percent Total [2] 8 3 2" xfId="25146"/>
    <cellStyle name="CALC Percent Total [2] 8 3 2 2" xfId="48138"/>
    <cellStyle name="CALC Percent Total [2] 8 3 3" xfId="32395"/>
    <cellStyle name="CALC Percent Total [2] 8 3 4" xfId="48139"/>
    <cellStyle name="CALC Percent Total [2] 8 4" xfId="17848"/>
    <cellStyle name="CALC Percent Total [2] 8 4 2" xfId="26172"/>
    <cellStyle name="CALC Percent Total [2] 8 4 2 2" xfId="48140"/>
    <cellStyle name="CALC Percent Total [2] 8 4 3" xfId="33372"/>
    <cellStyle name="CALC Percent Total [2] 8 4 4" xfId="48141"/>
    <cellStyle name="CALC Percent Total [2] 8 5" xfId="18832"/>
    <cellStyle name="CALC Percent Total [2] 8 5 2" xfId="27153"/>
    <cellStyle name="CALC Percent Total [2] 8 5 2 2" xfId="48142"/>
    <cellStyle name="CALC Percent Total [2] 8 5 3" xfId="34312"/>
    <cellStyle name="CALC Percent Total [2] 8 5 4" xfId="48143"/>
    <cellStyle name="CALC Percent Total [2] 8 6" xfId="19800"/>
    <cellStyle name="CALC Percent Total [2] 8 6 2" xfId="28122"/>
    <cellStyle name="CALC Percent Total [2] 8 6 2 2" xfId="48144"/>
    <cellStyle name="CALC Percent Total [2] 8 6 3" xfId="35258"/>
    <cellStyle name="CALC Percent Total [2] 8 6 4" xfId="48145"/>
    <cellStyle name="CALC Percent Total [2] 8 7" xfId="20758"/>
    <cellStyle name="CALC Percent Total [2] 8 7 2" xfId="29079"/>
    <cellStyle name="CALC Percent Total [2] 8 7 2 2" xfId="48146"/>
    <cellStyle name="CALC Percent Total [2] 8 7 3" xfId="36171"/>
    <cellStyle name="CALC Percent Total [2] 8 7 4" xfId="48147"/>
    <cellStyle name="CALC Percent Total [2] 8 8" xfId="21174"/>
    <cellStyle name="CALC Percent Total [2] 8 8 2" xfId="29486"/>
    <cellStyle name="CALC Percent Total [2] 8 8 2 2" xfId="48148"/>
    <cellStyle name="CALC Percent Total [2] 8 8 3" xfId="36557"/>
    <cellStyle name="CALC Percent Total [2] 8 8 4" xfId="48149"/>
    <cellStyle name="CALC Percent Total [2] 8 9" xfId="22194"/>
    <cellStyle name="CALC Percent Total [2] 8 9 2" xfId="30492"/>
    <cellStyle name="CALC Percent Total [2] 8 9 2 2" xfId="48150"/>
    <cellStyle name="CALC Percent Total [2] 8 9 3" xfId="37523"/>
    <cellStyle name="CALC Percent Total [2] 8 9 4" xfId="48151"/>
    <cellStyle name="CALC Percent Total [2] 9" xfId="14765"/>
    <cellStyle name="CALC Percent Total [2] 9 10" xfId="23129"/>
    <cellStyle name="CALC Percent Total [2] 9 10 2" xfId="48152"/>
    <cellStyle name="CALC Percent Total [2] 9 11" xfId="48153"/>
    <cellStyle name="CALC Percent Total [2] 9 12" xfId="48154"/>
    <cellStyle name="CALC Percent Total [2] 9 2" xfId="15846"/>
    <cellStyle name="CALC Percent Total [2] 9 2 2" xfId="24164"/>
    <cellStyle name="CALC Percent Total [2] 9 2 2 2" xfId="48155"/>
    <cellStyle name="CALC Percent Total [2] 9 2 3" xfId="31452"/>
    <cellStyle name="CALC Percent Total [2] 9 2 4" xfId="48156"/>
    <cellStyle name="CALC Percent Total [2] 9 3" xfId="16812"/>
    <cellStyle name="CALC Percent Total [2] 9 3 2" xfId="25136"/>
    <cellStyle name="CALC Percent Total [2] 9 3 2 2" xfId="48157"/>
    <cellStyle name="CALC Percent Total [2] 9 3 3" xfId="32385"/>
    <cellStyle name="CALC Percent Total [2] 9 3 4" xfId="48158"/>
    <cellStyle name="CALC Percent Total [2] 9 4" xfId="17838"/>
    <cellStyle name="CALC Percent Total [2] 9 4 2" xfId="26162"/>
    <cellStyle name="CALC Percent Total [2] 9 4 2 2" xfId="48159"/>
    <cellStyle name="CALC Percent Total [2] 9 4 3" xfId="33362"/>
    <cellStyle name="CALC Percent Total [2] 9 4 4" xfId="48160"/>
    <cellStyle name="CALC Percent Total [2] 9 5" xfId="18822"/>
    <cellStyle name="CALC Percent Total [2] 9 5 2" xfId="27143"/>
    <cellStyle name="CALC Percent Total [2] 9 5 2 2" xfId="48161"/>
    <cellStyle name="CALC Percent Total [2] 9 5 3" xfId="34302"/>
    <cellStyle name="CALC Percent Total [2] 9 5 4" xfId="48162"/>
    <cellStyle name="CALC Percent Total [2] 9 6" xfId="19790"/>
    <cellStyle name="CALC Percent Total [2] 9 6 2" xfId="28112"/>
    <cellStyle name="CALC Percent Total [2] 9 6 2 2" xfId="48163"/>
    <cellStyle name="CALC Percent Total [2] 9 6 3" xfId="35248"/>
    <cellStyle name="CALC Percent Total [2] 9 6 4" xfId="48164"/>
    <cellStyle name="CALC Percent Total [2] 9 7" xfId="20748"/>
    <cellStyle name="CALC Percent Total [2] 9 7 2" xfId="29069"/>
    <cellStyle name="CALC Percent Total [2] 9 7 2 2" xfId="48165"/>
    <cellStyle name="CALC Percent Total [2] 9 7 3" xfId="36161"/>
    <cellStyle name="CALC Percent Total [2] 9 7 4" xfId="48166"/>
    <cellStyle name="CALC Percent Total [2] 9 8" xfId="21280"/>
    <cellStyle name="CALC Percent Total [2] 9 8 2" xfId="29587"/>
    <cellStyle name="CALC Percent Total [2] 9 8 2 2" xfId="48167"/>
    <cellStyle name="CALC Percent Total [2] 9 8 3" xfId="36654"/>
    <cellStyle name="CALC Percent Total [2] 9 8 4" xfId="48168"/>
    <cellStyle name="CALC Percent Total [2] 9 9" xfId="22184"/>
    <cellStyle name="CALC Percent Total [2] 9 9 2" xfId="30482"/>
    <cellStyle name="CALC Percent Total [2] 9 9 2 2" xfId="48169"/>
    <cellStyle name="CALC Percent Total [2] 9 9 3" xfId="37513"/>
    <cellStyle name="CALC Percent Total [2] 9 9 4" xfId="48170"/>
    <cellStyle name="CALC Percent Total 10" xfId="14660"/>
    <cellStyle name="CALC Percent Total 10 10" xfId="23022"/>
    <cellStyle name="CALC Percent Total 10 10 2" xfId="48171"/>
    <cellStyle name="CALC Percent Total 10 11" xfId="48172"/>
    <cellStyle name="CALC Percent Total 10 2" xfId="15741"/>
    <cellStyle name="CALC Percent Total 10 2 2" xfId="24057"/>
    <cellStyle name="CALC Percent Total 10 2 2 2" xfId="48173"/>
    <cellStyle name="CALC Percent Total 10 2 3" xfId="31349"/>
    <cellStyle name="CALC Percent Total 10 2 4" xfId="48174"/>
    <cellStyle name="CALC Percent Total 10 3" xfId="16707"/>
    <cellStyle name="CALC Percent Total 10 3 2" xfId="25028"/>
    <cellStyle name="CALC Percent Total 10 3 2 2" xfId="48175"/>
    <cellStyle name="CALC Percent Total 10 3 3" xfId="32282"/>
    <cellStyle name="CALC Percent Total 10 3 4" xfId="48176"/>
    <cellStyle name="CALC Percent Total 10 4" xfId="17731"/>
    <cellStyle name="CALC Percent Total 10 4 2" xfId="26054"/>
    <cellStyle name="CALC Percent Total 10 4 2 2" xfId="48177"/>
    <cellStyle name="CALC Percent Total 10 4 3" xfId="33259"/>
    <cellStyle name="CALC Percent Total 10 4 4" xfId="48178"/>
    <cellStyle name="CALC Percent Total 10 5" xfId="18714"/>
    <cellStyle name="CALC Percent Total 10 5 2" xfId="27035"/>
    <cellStyle name="CALC Percent Total 10 5 2 2" xfId="48179"/>
    <cellStyle name="CALC Percent Total 10 5 3" xfId="34198"/>
    <cellStyle name="CALC Percent Total 10 5 4" xfId="48180"/>
    <cellStyle name="CALC Percent Total 10 6" xfId="19683"/>
    <cellStyle name="CALC Percent Total 10 6 2" xfId="28004"/>
    <cellStyle name="CALC Percent Total 10 6 2 2" xfId="48181"/>
    <cellStyle name="CALC Percent Total 10 6 3" xfId="35144"/>
    <cellStyle name="CALC Percent Total 10 6 4" xfId="48182"/>
    <cellStyle name="CALC Percent Total 10 7" xfId="20640"/>
    <cellStyle name="CALC Percent Total 10 7 2" xfId="28961"/>
    <cellStyle name="CALC Percent Total 10 7 2 2" xfId="48183"/>
    <cellStyle name="CALC Percent Total 10 7 3" xfId="36059"/>
    <cellStyle name="CALC Percent Total 10 7 4" xfId="48184"/>
    <cellStyle name="CALC Percent Total 10 8" xfId="18553"/>
    <cellStyle name="CALC Percent Total 10 8 2" xfId="26870"/>
    <cellStyle name="CALC Percent Total 10 8 2 2" xfId="48185"/>
    <cellStyle name="CALC Percent Total 10 8 3" xfId="34040"/>
    <cellStyle name="CALC Percent Total 10 8 4" xfId="48186"/>
    <cellStyle name="CALC Percent Total 10 9" xfId="22077"/>
    <cellStyle name="CALC Percent Total 10 9 2" xfId="30375"/>
    <cellStyle name="CALC Percent Total 10 9 2 2" xfId="48187"/>
    <cellStyle name="CALC Percent Total 10 9 3" xfId="37410"/>
    <cellStyle name="CALC Percent Total 10 9 4" xfId="48188"/>
    <cellStyle name="CALC Percent Total 100" xfId="15470"/>
    <cellStyle name="CALC Percent Total 100 2" xfId="17516"/>
    <cellStyle name="CALC Percent Total 100 2 2" xfId="25836"/>
    <cellStyle name="CALC Percent Total 100 2 2 2" xfId="48189"/>
    <cellStyle name="CALC Percent Total 100 2 3" xfId="33055"/>
    <cellStyle name="CALC Percent Total 100 2 4" xfId="48190"/>
    <cellStyle name="CALC Percent Total 100 3" xfId="19527"/>
    <cellStyle name="CALC Percent Total 100 3 2" xfId="27848"/>
    <cellStyle name="CALC Percent Total 100 3 2 2" xfId="48191"/>
    <cellStyle name="CALC Percent Total 100 3 3" xfId="34996"/>
    <cellStyle name="CALC Percent Total 100 3 4" xfId="48192"/>
    <cellStyle name="CALC Percent Total 100 4" xfId="48193"/>
    <cellStyle name="CALC Percent Total 100 4 2" xfId="48194"/>
    <cellStyle name="CALC Percent Total 101" xfId="15526"/>
    <cellStyle name="CALC Percent Total 101 2" xfId="48195"/>
    <cellStyle name="CALC Percent Total 101 2 2" xfId="48196"/>
    <cellStyle name="CALC Percent Total 102" xfId="15491"/>
    <cellStyle name="CALC Percent Total 102 2" xfId="48197"/>
    <cellStyle name="CALC Percent Total 102 2 2" xfId="48198"/>
    <cellStyle name="CALC Percent Total 103" xfId="15551"/>
    <cellStyle name="CALC Percent Total 103 2" xfId="48199"/>
    <cellStyle name="CALC Percent Total 103 2 2" xfId="48200"/>
    <cellStyle name="CALC Percent Total 104" xfId="15490"/>
    <cellStyle name="CALC Percent Total 104 2" xfId="48201"/>
    <cellStyle name="CALC Percent Total 104 2 2" xfId="48202"/>
    <cellStyle name="CALC Percent Total 105" xfId="18851"/>
    <cellStyle name="CALC Percent Total 105 2" xfId="48203"/>
    <cellStyle name="CALC Percent Total 105 2 2" xfId="48204"/>
    <cellStyle name="CALC Percent Total 106" xfId="18540"/>
    <cellStyle name="CALC Percent Total 106 2" xfId="48205"/>
    <cellStyle name="CALC Percent Total 106 2 2" xfId="48206"/>
    <cellStyle name="CALC Percent Total 107" xfId="21345"/>
    <cellStyle name="CALC Percent Total 107 2" xfId="48207"/>
    <cellStyle name="CALC Percent Total 107 2 2" xfId="48208"/>
    <cellStyle name="CALC Percent Total 108" xfId="21104"/>
    <cellStyle name="CALC Percent Total 108 2" xfId="48209"/>
    <cellStyle name="CALC Percent Total 108 2 2" xfId="48210"/>
    <cellStyle name="CALC Percent Total 109" xfId="15602"/>
    <cellStyle name="CALC Percent Total 109 2" xfId="48211"/>
    <cellStyle name="CALC Percent Total 11" xfId="14657"/>
    <cellStyle name="CALC Percent Total 11 10" xfId="23019"/>
    <cellStyle name="CALC Percent Total 11 10 2" xfId="48212"/>
    <cellStyle name="CALC Percent Total 11 11" xfId="48213"/>
    <cellStyle name="CALC Percent Total 11 2" xfId="15738"/>
    <cellStyle name="CALC Percent Total 11 2 2" xfId="24054"/>
    <cellStyle name="CALC Percent Total 11 2 2 2" xfId="48214"/>
    <cellStyle name="CALC Percent Total 11 2 3" xfId="31346"/>
    <cellStyle name="CALC Percent Total 11 2 4" xfId="48215"/>
    <cellStyle name="CALC Percent Total 11 3" xfId="16704"/>
    <cellStyle name="CALC Percent Total 11 3 2" xfId="25025"/>
    <cellStyle name="CALC Percent Total 11 3 2 2" xfId="48216"/>
    <cellStyle name="CALC Percent Total 11 3 3" xfId="32279"/>
    <cellStyle name="CALC Percent Total 11 3 4" xfId="48217"/>
    <cellStyle name="CALC Percent Total 11 4" xfId="17728"/>
    <cellStyle name="CALC Percent Total 11 4 2" xfId="26051"/>
    <cellStyle name="CALC Percent Total 11 4 2 2" xfId="48218"/>
    <cellStyle name="CALC Percent Total 11 4 3" xfId="33256"/>
    <cellStyle name="CALC Percent Total 11 4 4" xfId="48219"/>
    <cellStyle name="CALC Percent Total 11 5" xfId="18711"/>
    <cellStyle name="CALC Percent Total 11 5 2" xfId="27032"/>
    <cellStyle name="CALC Percent Total 11 5 2 2" xfId="48220"/>
    <cellStyle name="CALC Percent Total 11 5 3" xfId="34195"/>
    <cellStyle name="CALC Percent Total 11 5 4" xfId="48221"/>
    <cellStyle name="CALC Percent Total 11 6" xfId="19680"/>
    <cellStyle name="CALC Percent Total 11 6 2" xfId="28001"/>
    <cellStyle name="CALC Percent Total 11 6 2 2" xfId="48222"/>
    <cellStyle name="CALC Percent Total 11 6 3" xfId="35141"/>
    <cellStyle name="CALC Percent Total 11 6 4" xfId="48223"/>
    <cellStyle name="CALC Percent Total 11 7" xfId="20637"/>
    <cellStyle name="CALC Percent Total 11 7 2" xfId="28958"/>
    <cellStyle name="CALC Percent Total 11 7 2 2" xfId="48224"/>
    <cellStyle name="CALC Percent Total 11 7 3" xfId="36056"/>
    <cellStyle name="CALC Percent Total 11 7 4" xfId="48225"/>
    <cellStyle name="CALC Percent Total 11 8" xfId="18542"/>
    <cellStyle name="CALC Percent Total 11 8 2" xfId="26859"/>
    <cellStyle name="CALC Percent Total 11 8 2 2" xfId="48226"/>
    <cellStyle name="CALC Percent Total 11 8 3" xfId="34029"/>
    <cellStyle name="CALC Percent Total 11 8 4" xfId="48227"/>
    <cellStyle name="CALC Percent Total 11 9" xfId="22074"/>
    <cellStyle name="CALC Percent Total 11 9 2" xfId="30372"/>
    <cellStyle name="CALC Percent Total 11 9 2 2" xfId="48228"/>
    <cellStyle name="CALC Percent Total 11 9 3" xfId="37407"/>
    <cellStyle name="CALC Percent Total 11 9 4" xfId="48229"/>
    <cellStyle name="CALC Percent Total 110" xfId="30511"/>
    <cellStyle name="CALC Percent Total 111" xfId="48230"/>
    <cellStyle name="CALC Percent Total 112" xfId="48231"/>
    <cellStyle name="CALC Percent Total 12" xfId="14679"/>
    <cellStyle name="CALC Percent Total 12 10" xfId="23041"/>
    <cellStyle name="CALC Percent Total 12 10 2" xfId="48232"/>
    <cellStyle name="CALC Percent Total 12 11" xfId="48233"/>
    <cellStyle name="CALC Percent Total 12 2" xfId="15760"/>
    <cellStyle name="CALC Percent Total 12 2 2" xfId="24076"/>
    <cellStyle name="CALC Percent Total 12 2 2 2" xfId="48234"/>
    <cellStyle name="CALC Percent Total 12 2 3" xfId="31367"/>
    <cellStyle name="CALC Percent Total 12 2 4" xfId="48235"/>
    <cellStyle name="CALC Percent Total 12 3" xfId="16726"/>
    <cellStyle name="CALC Percent Total 12 3 2" xfId="25047"/>
    <cellStyle name="CALC Percent Total 12 3 2 2" xfId="48236"/>
    <cellStyle name="CALC Percent Total 12 3 3" xfId="32300"/>
    <cellStyle name="CALC Percent Total 12 3 4" xfId="48237"/>
    <cellStyle name="CALC Percent Total 12 4" xfId="17750"/>
    <cellStyle name="CALC Percent Total 12 4 2" xfId="26073"/>
    <cellStyle name="CALC Percent Total 12 4 2 2" xfId="48238"/>
    <cellStyle name="CALC Percent Total 12 4 3" xfId="33277"/>
    <cellStyle name="CALC Percent Total 12 4 4" xfId="48239"/>
    <cellStyle name="CALC Percent Total 12 5" xfId="18733"/>
    <cellStyle name="CALC Percent Total 12 5 2" xfId="27054"/>
    <cellStyle name="CALC Percent Total 12 5 2 2" xfId="48240"/>
    <cellStyle name="CALC Percent Total 12 5 3" xfId="34216"/>
    <cellStyle name="CALC Percent Total 12 5 4" xfId="48241"/>
    <cellStyle name="CALC Percent Total 12 6" xfId="19702"/>
    <cellStyle name="CALC Percent Total 12 6 2" xfId="28023"/>
    <cellStyle name="CALC Percent Total 12 6 2 2" xfId="48242"/>
    <cellStyle name="CALC Percent Total 12 6 3" xfId="35162"/>
    <cellStyle name="CALC Percent Total 12 6 4" xfId="48243"/>
    <cellStyle name="CALC Percent Total 12 7" xfId="20659"/>
    <cellStyle name="CALC Percent Total 12 7 2" xfId="28980"/>
    <cellStyle name="CALC Percent Total 12 7 2 2" xfId="48244"/>
    <cellStyle name="CALC Percent Total 12 7 3" xfId="36077"/>
    <cellStyle name="CALC Percent Total 12 7 4" xfId="48245"/>
    <cellStyle name="CALC Percent Total 12 8" xfId="21190"/>
    <cellStyle name="CALC Percent Total 12 8 2" xfId="29502"/>
    <cellStyle name="CALC Percent Total 12 8 2 2" xfId="48246"/>
    <cellStyle name="CALC Percent Total 12 8 3" xfId="36573"/>
    <cellStyle name="CALC Percent Total 12 8 4" xfId="48247"/>
    <cellStyle name="CALC Percent Total 12 9" xfId="22096"/>
    <cellStyle name="CALC Percent Total 12 9 2" xfId="30394"/>
    <cellStyle name="CALC Percent Total 12 9 2 2" xfId="48248"/>
    <cellStyle name="CALC Percent Total 12 9 3" xfId="37428"/>
    <cellStyle name="CALC Percent Total 12 9 4" xfId="48249"/>
    <cellStyle name="CALC Percent Total 13" xfId="14687"/>
    <cellStyle name="CALC Percent Total 13 10" xfId="23050"/>
    <cellStyle name="CALC Percent Total 13 10 2" xfId="48250"/>
    <cellStyle name="CALC Percent Total 13 11" xfId="48251"/>
    <cellStyle name="CALC Percent Total 13 2" xfId="15768"/>
    <cellStyle name="CALC Percent Total 13 2 2" xfId="24085"/>
    <cellStyle name="CALC Percent Total 13 2 2 2" xfId="48252"/>
    <cellStyle name="CALC Percent Total 13 2 3" xfId="31376"/>
    <cellStyle name="CALC Percent Total 13 2 4" xfId="48253"/>
    <cellStyle name="CALC Percent Total 13 3" xfId="16734"/>
    <cellStyle name="CALC Percent Total 13 3 2" xfId="25056"/>
    <cellStyle name="CALC Percent Total 13 3 2 2" xfId="48254"/>
    <cellStyle name="CALC Percent Total 13 3 3" xfId="32309"/>
    <cellStyle name="CALC Percent Total 13 3 4" xfId="48255"/>
    <cellStyle name="CALC Percent Total 13 4" xfId="17758"/>
    <cellStyle name="CALC Percent Total 13 4 2" xfId="26082"/>
    <cellStyle name="CALC Percent Total 13 4 2 2" xfId="48256"/>
    <cellStyle name="CALC Percent Total 13 4 3" xfId="33286"/>
    <cellStyle name="CALC Percent Total 13 4 4" xfId="48257"/>
    <cellStyle name="CALC Percent Total 13 5" xfId="18742"/>
    <cellStyle name="CALC Percent Total 13 5 2" xfId="27063"/>
    <cellStyle name="CALC Percent Total 13 5 2 2" xfId="48258"/>
    <cellStyle name="CALC Percent Total 13 5 3" xfId="34225"/>
    <cellStyle name="CALC Percent Total 13 5 4" xfId="48259"/>
    <cellStyle name="CALC Percent Total 13 6" xfId="19711"/>
    <cellStyle name="CALC Percent Total 13 6 2" xfId="28032"/>
    <cellStyle name="CALC Percent Total 13 6 2 2" xfId="48260"/>
    <cellStyle name="CALC Percent Total 13 6 3" xfId="35171"/>
    <cellStyle name="CALC Percent Total 13 6 4" xfId="48261"/>
    <cellStyle name="CALC Percent Total 13 7" xfId="20668"/>
    <cellStyle name="CALC Percent Total 13 7 2" xfId="28989"/>
    <cellStyle name="CALC Percent Total 13 7 2 2" xfId="48262"/>
    <cellStyle name="CALC Percent Total 13 7 3" xfId="36086"/>
    <cellStyle name="CALC Percent Total 13 7 4" xfId="48263"/>
    <cellStyle name="CALC Percent Total 13 8" xfId="21078"/>
    <cellStyle name="CALC Percent Total 13 8 2" xfId="29395"/>
    <cellStyle name="CALC Percent Total 13 8 2 2" xfId="48264"/>
    <cellStyle name="CALC Percent Total 13 8 3" xfId="36471"/>
    <cellStyle name="CALC Percent Total 13 8 4" xfId="48265"/>
    <cellStyle name="CALC Percent Total 13 9" xfId="22105"/>
    <cellStyle name="CALC Percent Total 13 9 2" xfId="30403"/>
    <cellStyle name="CALC Percent Total 13 9 2 2" xfId="48266"/>
    <cellStyle name="CALC Percent Total 13 9 3" xfId="37437"/>
    <cellStyle name="CALC Percent Total 13 9 4" xfId="48267"/>
    <cellStyle name="CALC Percent Total 14" xfId="14698"/>
    <cellStyle name="CALC Percent Total 14 10" xfId="23060"/>
    <cellStyle name="CALC Percent Total 14 10 2" xfId="48268"/>
    <cellStyle name="CALC Percent Total 14 11" xfId="48269"/>
    <cellStyle name="CALC Percent Total 14 2" xfId="15779"/>
    <cellStyle name="CALC Percent Total 14 2 2" xfId="24095"/>
    <cellStyle name="CALC Percent Total 14 2 2 2" xfId="48270"/>
    <cellStyle name="CALC Percent Total 14 2 3" xfId="31386"/>
    <cellStyle name="CALC Percent Total 14 2 4" xfId="48271"/>
    <cellStyle name="CALC Percent Total 14 3" xfId="16745"/>
    <cellStyle name="CALC Percent Total 14 3 2" xfId="25067"/>
    <cellStyle name="CALC Percent Total 14 3 2 2" xfId="48272"/>
    <cellStyle name="CALC Percent Total 14 3 3" xfId="32319"/>
    <cellStyle name="CALC Percent Total 14 3 4" xfId="48273"/>
    <cellStyle name="CALC Percent Total 14 4" xfId="17769"/>
    <cellStyle name="CALC Percent Total 14 4 2" xfId="26093"/>
    <cellStyle name="CALC Percent Total 14 4 2 2" xfId="48274"/>
    <cellStyle name="CALC Percent Total 14 4 3" xfId="33296"/>
    <cellStyle name="CALC Percent Total 14 4 4" xfId="48275"/>
    <cellStyle name="CALC Percent Total 14 5" xfId="18753"/>
    <cellStyle name="CALC Percent Total 14 5 2" xfId="27074"/>
    <cellStyle name="CALC Percent Total 14 5 2 2" xfId="48276"/>
    <cellStyle name="CALC Percent Total 14 5 3" xfId="34236"/>
    <cellStyle name="CALC Percent Total 14 5 4" xfId="48277"/>
    <cellStyle name="CALC Percent Total 14 6" xfId="19722"/>
    <cellStyle name="CALC Percent Total 14 6 2" xfId="28043"/>
    <cellStyle name="CALC Percent Total 14 6 2 2" xfId="48278"/>
    <cellStyle name="CALC Percent Total 14 6 3" xfId="35182"/>
    <cellStyle name="CALC Percent Total 14 6 4" xfId="48279"/>
    <cellStyle name="CALC Percent Total 14 7" xfId="20679"/>
    <cellStyle name="CALC Percent Total 14 7 2" xfId="29000"/>
    <cellStyle name="CALC Percent Total 14 7 2 2" xfId="48280"/>
    <cellStyle name="CALC Percent Total 14 7 3" xfId="36096"/>
    <cellStyle name="CALC Percent Total 14 7 4" xfId="48281"/>
    <cellStyle name="CALC Percent Total 14 8" xfId="21218"/>
    <cellStyle name="CALC Percent Total 14 8 2" xfId="29529"/>
    <cellStyle name="CALC Percent Total 14 8 2 2" xfId="48282"/>
    <cellStyle name="CALC Percent Total 14 8 3" xfId="36598"/>
    <cellStyle name="CALC Percent Total 14 8 4" xfId="48283"/>
    <cellStyle name="CALC Percent Total 14 9" xfId="22115"/>
    <cellStyle name="CALC Percent Total 14 9 2" xfId="30413"/>
    <cellStyle name="CALC Percent Total 14 9 2 2" xfId="48284"/>
    <cellStyle name="CALC Percent Total 14 9 3" xfId="37447"/>
    <cellStyle name="CALC Percent Total 14 9 4" xfId="48285"/>
    <cellStyle name="CALC Percent Total 15" xfId="14743"/>
    <cellStyle name="CALC Percent Total 15 10" xfId="23107"/>
    <cellStyle name="CALC Percent Total 15 10 2" xfId="48286"/>
    <cellStyle name="CALC Percent Total 15 11" xfId="48287"/>
    <cellStyle name="CALC Percent Total 15 2" xfId="15824"/>
    <cellStyle name="CALC Percent Total 15 2 2" xfId="24142"/>
    <cellStyle name="CALC Percent Total 15 2 2 2" xfId="48288"/>
    <cellStyle name="CALC Percent Total 15 2 3" xfId="31430"/>
    <cellStyle name="CALC Percent Total 15 2 4" xfId="48289"/>
    <cellStyle name="CALC Percent Total 15 3" xfId="16790"/>
    <cellStyle name="CALC Percent Total 15 3 2" xfId="25114"/>
    <cellStyle name="CALC Percent Total 15 3 2 2" xfId="48290"/>
    <cellStyle name="CALC Percent Total 15 3 3" xfId="32363"/>
    <cellStyle name="CALC Percent Total 15 3 4" xfId="48291"/>
    <cellStyle name="CALC Percent Total 15 4" xfId="17816"/>
    <cellStyle name="CALC Percent Total 15 4 2" xfId="26140"/>
    <cellStyle name="CALC Percent Total 15 4 2 2" xfId="48292"/>
    <cellStyle name="CALC Percent Total 15 4 3" xfId="33340"/>
    <cellStyle name="CALC Percent Total 15 4 4" xfId="48293"/>
    <cellStyle name="CALC Percent Total 15 5" xfId="18800"/>
    <cellStyle name="CALC Percent Total 15 5 2" xfId="27121"/>
    <cellStyle name="CALC Percent Total 15 5 2 2" xfId="48294"/>
    <cellStyle name="CALC Percent Total 15 5 3" xfId="34280"/>
    <cellStyle name="CALC Percent Total 15 5 4" xfId="48295"/>
    <cellStyle name="CALC Percent Total 15 6" xfId="19768"/>
    <cellStyle name="CALC Percent Total 15 6 2" xfId="28090"/>
    <cellStyle name="CALC Percent Total 15 6 2 2" xfId="48296"/>
    <cellStyle name="CALC Percent Total 15 6 3" xfId="35226"/>
    <cellStyle name="CALC Percent Total 15 6 4" xfId="48297"/>
    <cellStyle name="CALC Percent Total 15 7" xfId="20726"/>
    <cellStyle name="CALC Percent Total 15 7 2" xfId="29047"/>
    <cellStyle name="CALC Percent Total 15 7 2 2" xfId="48298"/>
    <cellStyle name="CALC Percent Total 15 7 3" xfId="36139"/>
    <cellStyle name="CALC Percent Total 15 7 4" xfId="48299"/>
    <cellStyle name="CALC Percent Total 15 8" xfId="21219"/>
    <cellStyle name="CALC Percent Total 15 8 2" xfId="29530"/>
    <cellStyle name="CALC Percent Total 15 8 2 2" xfId="48300"/>
    <cellStyle name="CALC Percent Total 15 8 3" xfId="36599"/>
    <cellStyle name="CALC Percent Total 15 8 4" xfId="48301"/>
    <cellStyle name="CALC Percent Total 15 9" xfId="22162"/>
    <cellStyle name="CALC Percent Total 15 9 2" xfId="30460"/>
    <cellStyle name="CALC Percent Total 15 9 2 2" xfId="48302"/>
    <cellStyle name="CALC Percent Total 15 9 3" xfId="37491"/>
    <cellStyle name="CALC Percent Total 15 9 4" xfId="48303"/>
    <cellStyle name="CALC Percent Total 16" xfId="14736"/>
    <cellStyle name="CALC Percent Total 16 10" xfId="23100"/>
    <cellStyle name="CALC Percent Total 16 10 2" xfId="48304"/>
    <cellStyle name="CALC Percent Total 16 11" xfId="48305"/>
    <cellStyle name="CALC Percent Total 16 2" xfId="15817"/>
    <cellStyle name="CALC Percent Total 16 2 2" xfId="24135"/>
    <cellStyle name="CALC Percent Total 16 2 2 2" xfId="48306"/>
    <cellStyle name="CALC Percent Total 16 2 3" xfId="31423"/>
    <cellStyle name="CALC Percent Total 16 2 4" xfId="48307"/>
    <cellStyle name="CALC Percent Total 16 3" xfId="16783"/>
    <cellStyle name="CALC Percent Total 16 3 2" xfId="25107"/>
    <cellStyle name="CALC Percent Total 16 3 2 2" xfId="48308"/>
    <cellStyle name="CALC Percent Total 16 3 3" xfId="32356"/>
    <cellStyle name="CALC Percent Total 16 3 4" xfId="48309"/>
    <cellStyle name="CALC Percent Total 16 4" xfId="17809"/>
    <cellStyle name="CALC Percent Total 16 4 2" xfId="26133"/>
    <cellStyle name="CALC Percent Total 16 4 2 2" xfId="48310"/>
    <cellStyle name="CALC Percent Total 16 4 3" xfId="33333"/>
    <cellStyle name="CALC Percent Total 16 4 4" xfId="48311"/>
    <cellStyle name="CALC Percent Total 16 5" xfId="18793"/>
    <cellStyle name="CALC Percent Total 16 5 2" xfId="27114"/>
    <cellStyle name="CALC Percent Total 16 5 2 2" xfId="48312"/>
    <cellStyle name="CALC Percent Total 16 5 3" xfId="34273"/>
    <cellStyle name="CALC Percent Total 16 5 4" xfId="48313"/>
    <cellStyle name="CALC Percent Total 16 6" xfId="19761"/>
    <cellStyle name="CALC Percent Total 16 6 2" xfId="28083"/>
    <cellStyle name="CALC Percent Total 16 6 2 2" xfId="48314"/>
    <cellStyle name="CALC Percent Total 16 6 3" xfId="35219"/>
    <cellStyle name="CALC Percent Total 16 6 4" xfId="48315"/>
    <cellStyle name="CALC Percent Total 16 7" xfId="20719"/>
    <cellStyle name="CALC Percent Total 16 7 2" xfId="29040"/>
    <cellStyle name="CALC Percent Total 16 7 2 2" xfId="48316"/>
    <cellStyle name="CALC Percent Total 16 7 3" xfId="36133"/>
    <cellStyle name="CALC Percent Total 16 7 4" xfId="48317"/>
    <cellStyle name="CALC Percent Total 16 8" xfId="21351"/>
    <cellStyle name="CALC Percent Total 16 8 2" xfId="29654"/>
    <cellStyle name="CALC Percent Total 16 8 2 2" xfId="48318"/>
    <cellStyle name="CALC Percent Total 16 8 3" xfId="36719"/>
    <cellStyle name="CALC Percent Total 16 8 4" xfId="48319"/>
    <cellStyle name="CALC Percent Total 16 9" xfId="22155"/>
    <cellStyle name="CALC Percent Total 16 9 2" xfId="30453"/>
    <cellStyle name="CALC Percent Total 16 9 2 2" xfId="48320"/>
    <cellStyle name="CALC Percent Total 16 9 3" xfId="37484"/>
    <cellStyle name="CALC Percent Total 16 9 4" xfId="48321"/>
    <cellStyle name="CALC Percent Total 17" xfId="14760"/>
    <cellStyle name="CALC Percent Total 17 10" xfId="23124"/>
    <cellStyle name="CALC Percent Total 17 10 2" xfId="48322"/>
    <cellStyle name="CALC Percent Total 17 11" xfId="48323"/>
    <cellStyle name="CALC Percent Total 17 2" xfId="15841"/>
    <cellStyle name="CALC Percent Total 17 2 2" xfId="24159"/>
    <cellStyle name="CALC Percent Total 17 2 2 2" xfId="48324"/>
    <cellStyle name="CALC Percent Total 17 2 3" xfId="31447"/>
    <cellStyle name="CALC Percent Total 17 2 4" xfId="48325"/>
    <cellStyle name="CALC Percent Total 17 3" xfId="16807"/>
    <cellStyle name="CALC Percent Total 17 3 2" xfId="25131"/>
    <cellStyle name="CALC Percent Total 17 3 2 2" xfId="48326"/>
    <cellStyle name="CALC Percent Total 17 3 3" xfId="32380"/>
    <cellStyle name="CALC Percent Total 17 3 4" xfId="48327"/>
    <cellStyle name="CALC Percent Total 17 4" xfId="17833"/>
    <cellStyle name="CALC Percent Total 17 4 2" xfId="26157"/>
    <cellStyle name="CALC Percent Total 17 4 2 2" xfId="48328"/>
    <cellStyle name="CALC Percent Total 17 4 3" xfId="33357"/>
    <cellStyle name="CALC Percent Total 17 4 4" xfId="48329"/>
    <cellStyle name="CALC Percent Total 17 5" xfId="18817"/>
    <cellStyle name="CALC Percent Total 17 5 2" xfId="27138"/>
    <cellStyle name="CALC Percent Total 17 5 2 2" xfId="48330"/>
    <cellStyle name="CALC Percent Total 17 5 3" xfId="34297"/>
    <cellStyle name="CALC Percent Total 17 5 4" xfId="48331"/>
    <cellStyle name="CALC Percent Total 17 6" xfId="19785"/>
    <cellStyle name="CALC Percent Total 17 6 2" xfId="28107"/>
    <cellStyle name="CALC Percent Total 17 6 2 2" xfId="48332"/>
    <cellStyle name="CALC Percent Total 17 6 3" xfId="35243"/>
    <cellStyle name="CALC Percent Total 17 6 4" xfId="48333"/>
    <cellStyle name="CALC Percent Total 17 7" xfId="20743"/>
    <cellStyle name="CALC Percent Total 17 7 2" xfId="29064"/>
    <cellStyle name="CALC Percent Total 17 7 2 2" xfId="48334"/>
    <cellStyle name="CALC Percent Total 17 7 3" xfId="36156"/>
    <cellStyle name="CALC Percent Total 17 7 4" xfId="48335"/>
    <cellStyle name="CALC Percent Total 17 8" xfId="21321"/>
    <cellStyle name="CALC Percent Total 17 8 2" xfId="29626"/>
    <cellStyle name="CALC Percent Total 17 8 2 2" xfId="48336"/>
    <cellStyle name="CALC Percent Total 17 8 3" xfId="36693"/>
    <cellStyle name="CALC Percent Total 17 8 4" xfId="48337"/>
    <cellStyle name="CALC Percent Total 17 9" xfId="22179"/>
    <cellStyle name="CALC Percent Total 17 9 2" xfId="30477"/>
    <cellStyle name="CALC Percent Total 17 9 2 2" xfId="48338"/>
    <cellStyle name="CALC Percent Total 17 9 3" xfId="37508"/>
    <cellStyle name="CALC Percent Total 17 9 4" xfId="48339"/>
    <cellStyle name="CALC Percent Total 18" xfId="14707"/>
    <cellStyle name="CALC Percent Total 18 10" xfId="23069"/>
    <cellStyle name="CALC Percent Total 18 10 2" xfId="48340"/>
    <cellStyle name="CALC Percent Total 18 11" xfId="48341"/>
    <cellStyle name="CALC Percent Total 18 12" xfId="48342"/>
    <cellStyle name="CALC Percent Total 18 2" xfId="15788"/>
    <cellStyle name="CALC Percent Total 18 2 2" xfId="24104"/>
    <cellStyle name="CALC Percent Total 18 2 2 2" xfId="48343"/>
    <cellStyle name="CALC Percent Total 18 2 3" xfId="31393"/>
    <cellStyle name="CALC Percent Total 18 2 4" xfId="48344"/>
    <cellStyle name="CALC Percent Total 18 3" xfId="16754"/>
    <cellStyle name="CALC Percent Total 18 3 2" xfId="25076"/>
    <cellStyle name="CALC Percent Total 18 3 2 2" xfId="48345"/>
    <cellStyle name="CALC Percent Total 18 3 3" xfId="32326"/>
    <cellStyle name="CALC Percent Total 18 3 4" xfId="48346"/>
    <cellStyle name="CALC Percent Total 18 4" xfId="17778"/>
    <cellStyle name="CALC Percent Total 18 4 2" xfId="26102"/>
    <cellStyle name="CALC Percent Total 18 4 2 2" xfId="48347"/>
    <cellStyle name="CALC Percent Total 18 4 3" xfId="33303"/>
    <cellStyle name="CALC Percent Total 18 4 4" xfId="48348"/>
    <cellStyle name="CALC Percent Total 18 5" xfId="18762"/>
    <cellStyle name="CALC Percent Total 18 5 2" xfId="27083"/>
    <cellStyle name="CALC Percent Total 18 5 2 2" xfId="48349"/>
    <cellStyle name="CALC Percent Total 18 5 3" xfId="34243"/>
    <cellStyle name="CALC Percent Total 18 5 4" xfId="48350"/>
    <cellStyle name="CALC Percent Total 18 6" xfId="19731"/>
    <cellStyle name="CALC Percent Total 18 6 2" xfId="28052"/>
    <cellStyle name="CALC Percent Total 18 6 2 2" xfId="48351"/>
    <cellStyle name="CALC Percent Total 18 6 3" xfId="35189"/>
    <cellStyle name="CALC Percent Total 18 6 4" xfId="48352"/>
    <cellStyle name="CALC Percent Total 18 7" xfId="20688"/>
    <cellStyle name="CALC Percent Total 18 7 2" xfId="29009"/>
    <cellStyle name="CALC Percent Total 18 7 2 2" xfId="48353"/>
    <cellStyle name="CALC Percent Total 18 7 3" xfId="36103"/>
    <cellStyle name="CALC Percent Total 18 7 4" xfId="48354"/>
    <cellStyle name="CALC Percent Total 18 8" xfId="21363"/>
    <cellStyle name="CALC Percent Total 18 8 2" xfId="29666"/>
    <cellStyle name="CALC Percent Total 18 8 2 2" xfId="48355"/>
    <cellStyle name="CALC Percent Total 18 8 3" xfId="36731"/>
    <cellStyle name="CALC Percent Total 18 8 4" xfId="48356"/>
    <cellStyle name="CALC Percent Total 18 9" xfId="22124"/>
    <cellStyle name="CALC Percent Total 18 9 2" xfId="30422"/>
    <cellStyle name="CALC Percent Total 18 9 2 2" xfId="48357"/>
    <cellStyle name="CALC Percent Total 18 9 3" xfId="37454"/>
    <cellStyle name="CALC Percent Total 18 9 4" xfId="48358"/>
    <cellStyle name="CALC Percent Total 19" xfId="14730"/>
    <cellStyle name="CALC Percent Total 19 10" xfId="23094"/>
    <cellStyle name="CALC Percent Total 19 10 2" xfId="48359"/>
    <cellStyle name="CALC Percent Total 19 11" xfId="48360"/>
    <cellStyle name="CALC Percent Total 19 12" xfId="48361"/>
    <cellStyle name="CALC Percent Total 19 2" xfId="15811"/>
    <cellStyle name="CALC Percent Total 19 2 2" xfId="24129"/>
    <cellStyle name="CALC Percent Total 19 2 2 2" xfId="48362"/>
    <cellStyle name="CALC Percent Total 19 2 3" xfId="31417"/>
    <cellStyle name="CALC Percent Total 19 2 4" xfId="48363"/>
    <cellStyle name="CALC Percent Total 19 3" xfId="16777"/>
    <cellStyle name="CALC Percent Total 19 3 2" xfId="25101"/>
    <cellStyle name="CALC Percent Total 19 3 2 2" xfId="48364"/>
    <cellStyle name="CALC Percent Total 19 3 3" xfId="32350"/>
    <cellStyle name="CALC Percent Total 19 3 4" xfId="48365"/>
    <cellStyle name="CALC Percent Total 19 4" xfId="17803"/>
    <cellStyle name="CALC Percent Total 19 4 2" xfId="26127"/>
    <cellStyle name="CALC Percent Total 19 4 2 2" xfId="48366"/>
    <cellStyle name="CALC Percent Total 19 4 3" xfId="33327"/>
    <cellStyle name="CALC Percent Total 19 4 4" xfId="48367"/>
    <cellStyle name="CALC Percent Total 19 5" xfId="18787"/>
    <cellStyle name="CALC Percent Total 19 5 2" xfId="27108"/>
    <cellStyle name="CALC Percent Total 19 5 2 2" xfId="48368"/>
    <cellStyle name="CALC Percent Total 19 5 3" xfId="34267"/>
    <cellStyle name="CALC Percent Total 19 5 4" xfId="48369"/>
    <cellStyle name="CALC Percent Total 19 6" xfId="19755"/>
    <cellStyle name="CALC Percent Total 19 6 2" xfId="28077"/>
    <cellStyle name="CALC Percent Total 19 6 2 2" xfId="48370"/>
    <cellStyle name="CALC Percent Total 19 6 3" xfId="35213"/>
    <cellStyle name="CALC Percent Total 19 6 4" xfId="48371"/>
    <cellStyle name="CALC Percent Total 19 7" xfId="20713"/>
    <cellStyle name="CALC Percent Total 19 7 2" xfId="29034"/>
    <cellStyle name="CALC Percent Total 19 7 2 2" xfId="48372"/>
    <cellStyle name="CALC Percent Total 19 7 3" xfId="36127"/>
    <cellStyle name="CALC Percent Total 19 7 4" xfId="48373"/>
    <cellStyle name="CALC Percent Total 19 8" xfId="15547"/>
    <cellStyle name="CALC Percent Total 19 8 2" xfId="23880"/>
    <cellStyle name="CALC Percent Total 19 8 2 2" xfId="48374"/>
    <cellStyle name="CALC Percent Total 19 8 3" xfId="31224"/>
    <cellStyle name="CALC Percent Total 19 8 4" xfId="48375"/>
    <cellStyle name="CALC Percent Total 19 9" xfId="22149"/>
    <cellStyle name="CALC Percent Total 19 9 2" xfId="30447"/>
    <cellStyle name="CALC Percent Total 19 9 2 2" xfId="48376"/>
    <cellStyle name="CALC Percent Total 19 9 3" xfId="37478"/>
    <cellStyle name="CALC Percent Total 19 9 4" xfId="48377"/>
    <cellStyle name="CALC Percent Total 2" xfId="14476"/>
    <cellStyle name="CALC Percent Total 2 10" xfId="14805"/>
    <cellStyle name="CALC Percent Total 2 10 10" xfId="23169"/>
    <cellStyle name="CALC Percent Total 2 10 10 2" xfId="48378"/>
    <cellStyle name="CALC Percent Total 2 10 11" xfId="48379"/>
    <cellStyle name="CALC Percent Total 2 10 12" xfId="48380"/>
    <cellStyle name="CALC Percent Total 2 10 2" xfId="15886"/>
    <cellStyle name="CALC Percent Total 2 10 2 2" xfId="24204"/>
    <cellStyle name="CALC Percent Total 2 10 2 2 2" xfId="48381"/>
    <cellStyle name="CALC Percent Total 2 10 2 3" xfId="31490"/>
    <cellStyle name="CALC Percent Total 2 10 2 4" xfId="48382"/>
    <cellStyle name="CALC Percent Total 2 10 3" xfId="16852"/>
    <cellStyle name="CALC Percent Total 2 10 3 2" xfId="25176"/>
    <cellStyle name="CALC Percent Total 2 10 3 2 2" xfId="48383"/>
    <cellStyle name="CALC Percent Total 2 10 3 3" xfId="32423"/>
    <cellStyle name="CALC Percent Total 2 10 3 4" xfId="48384"/>
    <cellStyle name="CALC Percent Total 2 10 4" xfId="17879"/>
    <cellStyle name="CALC Percent Total 2 10 4 2" xfId="26202"/>
    <cellStyle name="CALC Percent Total 2 10 4 2 2" xfId="48385"/>
    <cellStyle name="CALC Percent Total 2 10 4 3" xfId="33400"/>
    <cellStyle name="CALC Percent Total 2 10 4 4" xfId="48386"/>
    <cellStyle name="CALC Percent Total 2 10 5" xfId="18863"/>
    <cellStyle name="CALC Percent Total 2 10 5 2" xfId="27183"/>
    <cellStyle name="CALC Percent Total 2 10 5 2 2" xfId="48387"/>
    <cellStyle name="CALC Percent Total 2 10 5 3" xfId="34340"/>
    <cellStyle name="CALC Percent Total 2 10 5 4" xfId="48388"/>
    <cellStyle name="CALC Percent Total 2 10 6" xfId="19831"/>
    <cellStyle name="CALC Percent Total 2 10 6 2" xfId="28153"/>
    <cellStyle name="CALC Percent Total 2 10 6 2 2" xfId="48389"/>
    <cellStyle name="CALC Percent Total 2 10 6 3" xfId="35287"/>
    <cellStyle name="CALC Percent Total 2 10 6 4" xfId="48390"/>
    <cellStyle name="CALC Percent Total 2 10 7" xfId="20789"/>
    <cellStyle name="CALC Percent Total 2 10 7 2" xfId="29109"/>
    <cellStyle name="CALC Percent Total 2 10 7 2 2" xfId="48391"/>
    <cellStyle name="CALC Percent Total 2 10 7 3" xfId="36198"/>
    <cellStyle name="CALC Percent Total 2 10 7 4" xfId="48392"/>
    <cellStyle name="CALC Percent Total 2 10 8" xfId="21294"/>
    <cellStyle name="CALC Percent Total 2 10 8 2" xfId="29601"/>
    <cellStyle name="CALC Percent Total 2 10 8 2 2" xfId="48393"/>
    <cellStyle name="CALC Percent Total 2 10 8 3" xfId="36668"/>
    <cellStyle name="CALC Percent Total 2 10 8 4" xfId="48394"/>
    <cellStyle name="CALC Percent Total 2 10 9" xfId="22224"/>
    <cellStyle name="CALC Percent Total 2 10 9 2" xfId="30523"/>
    <cellStyle name="CALC Percent Total 2 10 9 2 2" xfId="48395"/>
    <cellStyle name="CALC Percent Total 2 10 9 3" xfId="37551"/>
    <cellStyle name="CALC Percent Total 2 10 9 4" xfId="48396"/>
    <cellStyle name="CALC Percent Total 2 11" xfId="14882"/>
    <cellStyle name="CALC Percent Total 2 11 10" xfId="23245"/>
    <cellStyle name="CALC Percent Total 2 11 10 2" xfId="48397"/>
    <cellStyle name="CALC Percent Total 2 11 11" xfId="48398"/>
    <cellStyle name="CALC Percent Total 2 11 12" xfId="48399"/>
    <cellStyle name="CALC Percent Total 2 11 2" xfId="15963"/>
    <cellStyle name="CALC Percent Total 2 11 2 2" xfId="24280"/>
    <cellStyle name="CALC Percent Total 2 11 2 2 2" xfId="48400"/>
    <cellStyle name="CALC Percent Total 2 11 2 3" xfId="31563"/>
    <cellStyle name="CALC Percent Total 2 11 2 4" xfId="48401"/>
    <cellStyle name="CALC Percent Total 2 11 3" xfId="16929"/>
    <cellStyle name="CALC Percent Total 2 11 3 2" xfId="25252"/>
    <cellStyle name="CALC Percent Total 2 11 3 2 2" xfId="48402"/>
    <cellStyle name="CALC Percent Total 2 11 3 3" xfId="32496"/>
    <cellStyle name="CALC Percent Total 2 11 3 4" xfId="48403"/>
    <cellStyle name="CALC Percent Total 2 11 4" xfId="17956"/>
    <cellStyle name="CALC Percent Total 2 11 4 2" xfId="26278"/>
    <cellStyle name="CALC Percent Total 2 11 4 2 2" xfId="48404"/>
    <cellStyle name="CALC Percent Total 2 11 4 3" xfId="33473"/>
    <cellStyle name="CALC Percent Total 2 11 4 4" xfId="48405"/>
    <cellStyle name="CALC Percent Total 2 11 5" xfId="18940"/>
    <cellStyle name="CALC Percent Total 2 11 5 2" xfId="27260"/>
    <cellStyle name="CALC Percent Total 2 11 5 2 2" xfId="48406"/>
    <cellStyle name="CALC Percent Total 2 11 5 3" xfId="34414"/>
    <cellStyle name="CALC Percent Total 2 11 5 4" xfId="48407"/>
    <cellStyle name="CALC Percent Total 2 11 6" xfId="19908"/>
    <cellStyle name="CALC Percent Total 2 11 6 2" xfId="28230"/>
    <cellStyle name="CALC Percent Total 2 11 6 2 2" xfId="48408"/>
    <cellStyle name="CALC Percent Total 2 11 6 3" xfId="35361"/>
    <cellStyle name="CALC Percent Total 2 11 6 4" xfId="48409"/>
    <cellStyle name="CALC Percent Total 2 11 7" xfId="20866"/>
    <cellStyle name="CALC Percent Total 2 11 7 2" xfId="29185"/>
    <cellStyle name="CALC Percent Total 2 11 7 2 2" xfId="48410"/>
    <cellStyle name="CALC Percent Total 2 11 7 3" xfId="36271"/>
    <cellStyle name="CALC Percent Total 2 11 7 4" xfId="48411"/>
    <cellStyle name="CALC Percent Total 2 11 8" xfId="15556"/>
    <cellStyle name="CALC Percent Total 2 11 8 2" xfId="23884"/>
    <cellStyle name="CALC Percent Total 2 11 8 2 2" xfId="48412"/>
    <cellStyle name="CALC Percent Total 2 11 8 3" xfId="31228"/>
    <cellStyle name="CALC Percent Total 2 11 8 4" xfId="48413"/>
    <cellStyle name="CALC Percent Total 2 11 9" xfId="22301"/>
    <cellStyle name="CALC Percent Total 2 11 9 2" xfId="30599"/>
    <cellStyle name="CALC Percent Total 2 11 9 2 2" xfId="48414"/>
    <cellStyle name="CALC Percent Total 2 11 9 3" xfId="37624"/>
    <cellStyle name="CALC Percent Total 2 11 9 4" xfId="48415"/>
    <cellStyle name="CALC Percent Total 2 12" xfId="14898"/>
    <cellStyle name="CALC Percent Total 2 12 10" xfId="23261"/>
    <cellStyle name="CALC Percent Total 2 12 10 2" xfId="48416"/>
    <cellStyle name="CALC Percent Total 2 12 11" xfId="48417"/>
    <cellStyle name="CALC Percent Total 2 12 12" xfId="48418"/>
    <cellStyle name="CALC Percent Total 2 12 2" xfId="15979"/>
    <cellStyle name="CALC Percent Total 2 12 2 2" xfId="24296"/>
    <cellStyle name="CALC Percent Total 2 12 2 2 2" xfId="48419"/>
    <cellStyle name="CALC Percent Total 2 12 2 3" xfId="31577"/>
    <cellStyle name="CALC Percent Total 2 12 2 4" xfId="48420"/>
    <cellStyle name="CALC Percent Total 2 12 3" xfId="16945"/>
    <cellStyle name="CALC Percent Total 2 12 3 2" xfId="25268"/>
    <cellStyle name="CALC Percent Total 2 12 3 2 2" xfId="48421"/>
    <cellStyle name="CALC Percent Total 2 12 3 3" xfId="32510"/>
    <cellStyle name="CALC Percent Total 2 12 3 4" xfId="48422"/>
    <cellStyle name="CALC Percent Total 2 12 4" xfId="17972"/>
    <cellStyle name="CALC Percent Total 2 12 4 2" xfId="26294"/>
    <cellStyle name="CALC Percent Total 2 12 4 2 2" xfId="48423"/>
    <cellStyle name="CALC Percent Total 2 12 4 3" xfId="33487"/>
    <cellStyle name="CALC Percent Total 2 12 4 4" xfId="48424"/>
    <cellStyle name="CALC Percent Total 2 12 5" xfId="18956"/>
    <cellStyle name="CALC Percent Total 2 12 5 2" xfId="27276"/>
    <cellStyle name="CALC Percent Total 2 12 5 2 2" xfId="48425"/>
    <cellStyle name="CALC Percent Total 2 12 5 3" xfId="34428"/>
    <cellStyle name="CALC Percent Total 2 12 5 4" xfId="48426"/>
    <cellStyle name="CALC Percent Total 2 12 6" xfId="19924"/>
    <cellStyle name="CALC Percent Total 2 12 6 2" xfId="28246"/>
    <cellStyle name="CALC Percent Total 2 12 6 2 2" xfId="48427"/>
    <cellStyle name="CALC Percent Total 2 12 6 3" xfId="35375"/>
    <cellStyle name="CALC Percent Total 2 12 6 4" xfId="48428"/>
    <cellStyle name="CALC Percent Total 2 12 7" xfId="20882"/>
    <cellStyle name="CALC Percent Total 2 12 7 2" xfId="29201"/>
    <cellStyle name="CALC Percent Total 2 12 7 2 2" xfId="48429"/>
    <cellStyle name="CALC Percent Total 2 12 7 3" xfId="36285"/>
    <cellStyle name="CALC Percent Total 2 12 7 4" xfId="48430"/>
    <cellStyle name="CALC Percent Total 2 12 8" xfId="21389"/>
    <cellStyle name="CALC Percent Total 2 12 8 2" xfId="29692"/>
    <cellStyle name="CALC Percent Total 2 12 8 2 2" xfId="48431"/>
    <cellStyle name="CALC Percent Total 2 12 8 3" xfId="36755"/>
    <cellStyle name="CALC Percent Total 2 12 8 4" xfId="48432"/>
    <cellStyle name="CALC Percent Total 2 12 9" xfId="22317"/>
    <cellStyle name="CALC Percent Total 2 12 9 2" xfId="30615"/>
    <cellStyle name="CALC Percent Total 2 12 9 2 2" xfId="48433"/>
    <cellStyle name="CALC Percent Total 2 12 9 3" xfId="37638"/>
    <cellStyle name="CALC Percent Total 2 12 9 4" xfId="48434"/>
    <cellStyle name="CALC Percent Total 2 13" xfId="14929"/>
    <cellStyle name="CALC Percent Total 2 13 10" xfId="23292"/>
    <cellStyle name="CALC Percent Total 2 13 10 2" xfId="48435"/>
    <cellStyle name="CALC Percent Total 2 13 11" xfId="48436"/>
    <cellStyle name="CALC Percent Total 2 13 12" xfId="48437"/>
    <cellStyle name="CALC Percent Total 2 13 2" xfId="16010"/>
    <cellStyle name="CALC Percent Total 2 13 2 2" xfId="24327"/>
    <cellStyle name="CALC Percent Total 2 13 2 2 2" xfId="48438"/>
    <cellStyle name="CALC Percent Total 2 13 2 3" xfId="31607"/>
    <cellStyle name="CALC Percent Total 2 13 2 4" xfId="48439"/>
    <cellStyle name="CALC Percent Total 2 13 3" xfId="16976"/>
    <cellStyle name="CALC Percent Total 2 13 3 2" xfId="25299"/>
    <cellStyle name="CALC Percent Total 2 13 3 2 2" xfId="48440"/>
    <cellStyle name="CALC Percent Total 2 13 3 3" xfId="32540"/>
    <cellStyle name="CALC Percent Total 2 13 3 4" xfId="48441"/>
    <cellStyle name="CALC Percent Total 2 13 4" xfId="18003"/>
    <cellStyle name="CALC Percent Total 2 13 4 2" xfId="26325"/>
    <cellStyle name="CALC Percent Total 2 13 4 2 2" xfId="48442"/>
    <cellStyle name="CALC Percent Total 2 13 4 3" xfId="33517"/>
    <cellStyle name="CALC Percent Total 2 13 4 4" xfId="48443"/>
    <cellStyle name="CALC Percent Total 2 13 5" xfId="18987"/>
    <cellStyle name="CALC Percent Total 2 13 5 2" xfId="27307"/>
    <cellStyle name="CALC Percent Total 2 13 5 2 2" xfId="48444"/>
    <cellStyle name="CALC Percent Total 2 13 5 3" xfId="34458"/>
    <cellStyle name="CALC Percent Total 2 13 5 4" xfId="48445"/>
    <cellStyle name="CALC Percent Total 2 13 6" xfId="19955"/>
    <cellStyle name="CALC Percent Total 2 13 6 2" xfId="28277"/>
    <cellStyle name="CALC Percent Total 2 13 6 2 2" xfId="48446"/>
    <cellStyle name="CALC Percent Total 2 13 6 3" xfId="35405"/>
    <cellStyle name="CALC Percent Total 2 13 6 4" xfId="48447"/>
    <cellStyle name="CALC Percent Total 2 13 7" xfId="20913"/>
    <cellStyle name="CALC Percent Total 2 13 7 2" xfId="29232"/>
    <cellStyle name="CALC Percent Total 2 13 7 2 2" xfId="48448"/>
    <cellStyle name="CALC Percent Total 2 13 7 3" xfId="36315"/>
    <cellStyle name="CALC Percent Total 2 13 7 4" xfId="48449"/>
    <cellStyle name="CALC Percent Total 2 13 8" xfId="21420"/>
    <cellStyle name="CALC Percent Total 2 13 8 2" xfId="29723"/>
    <cellStyle name="CALC Percent Total 2 13 8 2 2" xfId="48450"/>
    <cellStyle name="CALC Percent Total 2 13 8 3" xfId="36785"/>
    <cellStyle name="CALC Percent Total 2 13 8 4" xfId="48451"/>
    <cellStyle name="CALC Percent Total 2 13 9" xfId="22348"/>
    <cellStyle name="CALC Percent Total 2 13 9 2" xfId="30646"/>
    <cellStyle name="CALC Percent Total 2 13 9 2 2" xfId="48452"/>
    <cellStyle name="CALC Percent Total 2 13 9 3" xfId="37668"/>
    <cellStyle name="CALC Percent Total 2 13 9 4" xfId="48453"/>
    <cellStyle name="CALC Percent Total 2 14" xfId="15029"/>
    <cellStyle name="CALC Percent Total 2 14 10" xfId="23389"/>
    <cellStyle name="CALC Percent Total 2 14 10 2" xfId="48454"/>
    <cellStyle name="CALC Percent Total 2 14 11" xfId="48455"/>
    <cellStyle name="CALC Percent Total 2 14 12" xfId="48456"/>
    <cellStyle name="CALC Percent Total 2 14 2" xfId="16109"/>
    <cellStyle name="CALC Percent Total 2 14 2 2" xfId="24424"/>
    <cellStyle name="CALC Percent Total 2 14 2 2 2" xfId="48457"/>
    <cellStyle name="CALC Percent Total 2 14 2 3" xfId="31702"/>
    <cellStyle name="CALC Percent Total 2 14 2 4" xfId="48458"/>
    <cellStyle name="CALC Percent Total 2 14 3" xfId="17076"/>
    <cellStyle name="CALC Percent Total 2 14 3 2" xfId="25397"/>
    <cellStyle name="CALC Percent Total 2 14 3 2 2" xfId="48459"/>
    <cellStyle name="CALC Percent Total 2 14 3 3" xfId="32636"/>
    <cellStyle name="CALC Percent Total 2 14 3 4" xfId="48460"/>
    <cellStyle name="CALC Percent Total 2 14 4" xfId="18103"/>
    <cellStyle name="CALC Percent Total 2 14 4 2" xfId="26423"/>
    <cellStyle name="CALC Percent Total 2 14 4 2 2" xfId="48461"/>
    <cellStyle name="CALC Percent Total 2 14 4 3" xfId="33613"/>
    <cellStyle name="CALC Percent Total 2 14 4 4" xfId="48462"/>
    <cellStyle name="CALC Percent Total 2 14 5" xfId="19087"/>
    <cellStyle name="CALC Percent Total 2 14 5 2" xfId="27407"/>
    <cellStyle name="CALC Percent Total 2 14 5 2 2" xfId="48463"/>
    <cellStyle name="CALC Percent Total 2 14 5 3" xfId="34556"/>
    <cellStyle name="CALC Percent Total 2 14 5 4" xfId="48464"/>
    <cellStyle name="CALC Percent Total 2 14 6" xfId="20055"/>
    <cellStyle name="CALC Percent Total 2 14 6 2" xfId="28377"/>
    <cellStyle name="CALC Percent Total 2 14 6 2 2" xfId="48465"/>
    <cellStyle name="CALC Percent Total 2 14 6 3" xfId="35503"/>
    <cellStyle name="CALC Percent Total 2 14 6 4" xfId="48466"/>
    <cellStyle name="CALC Percent Total 2 14 7" xfId="21012"/>
    <cellStyle name="CALC Percent Total 2 14 7 2" xfId="29329"/>
    <cellStyle name="CALC Percent Total 2 14 7 2 2" xfId="48467"/>
    <cellStyle name="CALC Percent Total 2 14 7 3" xfId="36410"/>
    <cellStyle name="CALC Percent Total 2 14 7 4" xfId="48468"/>
    <cellStyle name="CALC Percent Total 2 14 8" xfId="21519"/>
    <cellStyle name="CALC Percent Total 2 14 8 2" xfId="29820"/>
    <cellStyle name="CALC Percent Total 2 14 8 2 2" xfId="48469"/>
    <cellStyle name="CALC Percent Total 2 14 8 3" xfId="36880"/>
    <cellStyle name="CALC Percent Total 2 14 8 4" xfId="48470"/>
    <cellStyle name="CALC Percent Total 2 14 9" xfId="22447"/>
    <cellStyle name="CALC Percent Total 2 14 9 2" xfId="30743"/>
    <cellStyle name="CALC Percent Total 2 14 9 2 2" xfId="48471"/>
    <cellStyle name="CALC Percent Total 2 14 9 3" xfId="37763"/>
    <cellStyle name="CALC Percent Total 2 14 9 4" xfId="48472"/>
    <cellStyle name="CALC Percent Total 2 15" xfId="15062"/>
    <cellStyle name="CALC Percent Total 2 15 10" xfId="23422"/>
    <cellStyle name="CALC Percent Total 2 15 10 2" xfId="48473"/>
    <cellStyle name="CALC Percent Total 2 15 11" xfId="48474"/>
    <cellStyle name="CALC Percent Total 2 15 12" xfId="48475"/>
    <cellStyle name="CALC Percent Total 2 15 2" xfId="16142"/>
    <cellStyle name="CALC Percent Total 2 15 2 2" xfId="24457"/>
    <cellStyle name="CALC Percent Total 2 15 2 2 2" xfId="48476"/>
    <cellStyle name="CALC Percent Total 2 15 2 3" xfId="31734"/>
    <cellStyle name="CALC Percent Total 2 15 2 4" xfId="48477"/>
    <cellStyle name="CALC Percent Total 2 15 3" xfId="17109"/>
    <cellStyle name="CALC Percent Total 2 15 3 2" xfId="25430"/>
    <cellStyle name="CALC Percent Total 2 15 3 2 2" xfId="48478"/>
    <cellStyle name="CALC Percent Total 2 15 3 3" xfId="32668"/>
    <cellStyle name="CALC Percent Total 2 15 3 4" xfId="48479"/>
    <cellStyle name="CALC Percent Total 2 15 4" xfId="18136"/>
    <cellStyle name="CALC Percent Total 2 15 4 2" xfId="26456"/>
    <cellStyle name="CALC Percent Total 2 15 4 2 2" xfId="48480"/>
    <cellStyle name="CALC Percent Total 2 15 4 3" xfId="33645"/>
    <cellStyle name="CALC Percent Total 2 15 4 4" xfId="48481"/>
    <cellStyle name="CALC Percent Total 2 15 5" xfId="19120"/>
    <cellStyle name="CALC Percent Total 2 15 5 2" xfId="27440"/>
    <cellStyle name="CALC Percent Total 2 15 5 2 2" xfId="48482"/>
    <cellStyle name="CALC Percent Total 2 15 5 3" xfId="34588"/>
    <cellStyle name="CALC Percent Total 2 15 5 4" xfId="48483"/>
    <cellStyle name="CALC Percent Total 2 15 6" xfId="20088"/>
    <cellStyle name="CALC Percent Total 2 15 6 2" xfId="28410"/>
    <cellStyle name="CALC Percent Total 2 15 6 2 2" xfId="48484"/>
    <cellStyle name="CALC Percent Total 2 15 6 3" xfId="35535"/>
    <cellStyle name="CALC Percent Total 2 15 6 4" xfId="48485"/>
    <cellStyle name="CALC Percent Total 2 15 7" xfId="21045"/>
    <cellStyle name="CALC Percent Total 2 15 7 2" xfId="29362"/>
    <cellStyle name="CALC Percent Total 2 15 7 2 2" xfId="48486"/>
    <cellStyle name="CALC Percent Total 2 15 7 3" xfId="36442"/>
    <cellStyle name="CALC Percent Total 2 15 7 4" xfId="48487"/>
    <cellStyle name="CALC Percent Total 2 15 8" xfId="21552"/>
    <cellStyle name="CALC Percent Total 2 15 8 2" xfId="29853"/>
    <cellStyle name="CALC Percent Total 2 15 8 2 2" xfId="48488"/>
    <cellStyle name="CALC Percent Total 2 15 8 3" xfId="36912"/>
    <cellStyle name="CALC Percent Total 2 15 8 4" xfId="48489"/>
    <cellStyle name="CALC Percent Total 2 15 9" xfId="22480"/>
    <cellStyle name="CALC Percent Total 2 15 9 2" xfId="30776"/>
    <cellStyle name="CALC Percent Total 2 15 9 2 2" xfId="48490"/>
    <cellStyle name="CALC Percent Total 2 15 9 3" xfId="37795"/>
    <cellStyle name="CALC Percent Total 2 15 9 4" xfId="48491"/>
    <cellStyle name="CALC Percent Total 2 16" xfId="15147"/>
    <cellStyle name="CALC Percent Total 2 16 10" xfId="48492"/>
    <cellStyle name="CALC Percent Total 2 16 11" xfId="48493"/>
    <cellStyle name="CALC Percent Total 2 16 2" xfId="16227"/>
    <cellStyle name="CALC Percent Total 2 16 2 2" xfId="24540"/>
    <cellStyle name="CALC Percent Total 2 16 2 2 2" xfId="48494"/>
    <cellStyle name="CALC Percent Total 2 16 2 3" xfId="31815"/>
    <cellStyle name="CALC Percent Total 2 16 2 4" xfId="48495"/>
    <cellStyle name="CALC Percent Total 2 16 3" xfId="17193"/>
    <cellStyle name="CALC Percent Total 2 16 3 2" xfId="25514"/>
    <cellStyle name="CALC Percent Total 2 16 3 2 2" xfId="48496"/>
    <cellStyle name="CALC Percent Total 2 16 3 3" xfId="32748"/>
    <cellStyle name="CALC Percent Total 2 16 3 4" xfId="48497"/>
    <cellStyle name="CALC Percent Total 2 16 4" xfId="18221"/>
    <cellStyle name="CALC Percent Total 2 16 4 2" xfId="26541"/>
    <cellStyle name="CALC Percent Total 2 16 4 2 2" xfId="48498"/>
    <cellStyle name="CALC Percent Total 2 16 4 3" xfId="33726"/>
    <cellStyle name="CALC Percent Total 2 16 4 4" xfId="48499"/>
    <cellStyle name="CALC Percent Total 2 16 5" xfId="19205"/>
    <cellStyle name="CALC Percent Total 2 16 5 2" xfId="27525"/>
    <cellStyle name="CALC Percent Total 2 16 5 2 2" xfId="48500"/>
    <cellStyle name="CALC Percent Total 2 16 5 3" xfId="34673"/>
    <cellStyle name="CALC Percent Total 2 16 5 4" xfId="48501"/>
    <cellStyle name="CALC Percent Total 2 16 6" xfId="20173"/>
    <cellStyle name="CALC Percent Total 2 16 6 2" xfId="28495"/>
    <cellStyle name="CALC Percent Total 2 16 6 2 2" xfId="48502"/>
    <cellStyle name="CALC Percent Total 2 16 6 3" xfId="35618"/>
    <cellStyle name="CALC Percent Total 2 16 6 4" xfId="48503"/>
    <cellStyle name="CALC Percent Total 2 16 7" xfId="21634"/>
    <cellStyle name="CALC Percent Total 2 16 7 2" xfId="29935"/>
    <cellStyle name="CALC Percent Total 2 16 7 2 2" xfId="48504"/>
    <cellStyle name="CALC Percent Total 2 16 7 3" xfId="36992"/>
    <cellStyle name="CALC Percent Total 2 16 7 4" xfId="48505"/>
    <cellStyle name="CALC Percent Total 2 16 8" xfId="22562"/>
    <cellStyle name="CALC Percent Total 2 16 8 2" xfId="30858"/>
    <cellStyle name="CALC Percent Total 2 16 8 2 2" xfId="48506"/>
    <cellStyle name="CALC Percent Total 2 16 8 3" xfId="37875"/>
    <cellStyle name="CALC Percent Total 2 16 8 4" xfId="48507"/>
    <cellStyle name="CALC Percent Total 2 16 9" xfId="23504"/>
    <cellStyle name="CALC Percent Total 2 16 9 2" xfId="48508"/>
    <cellStyle name="CALC Percent Total 2 17" xfId="15167"/>
    <cellStyle name="CALC Percent Total 2 17 10" xfId="48509"/>
    <cellStyle name="CALC Percent Total 2 17 11" xfId="48510"/>
    <cellStyle name="CALC Percent Total 2 17 2" xfId="16247"/>
    <cellStyle name="CALC Percent Total 2 17 2 2" xfId="24560"/>
    <cellStyle name="CALC Percent Total 2 17 2 2 2" xfId="48511"/>
    <cellStyle name="CALC Percent Total 2 17 2 3" xfId="31833"/>
    <cellStyle name="CALC Percent Total 2 17 2 4" xfId="48512"/>
    <cellStyle name="CALC Percent Total 2 17 3" xfId="17213"/>
    <cellStyle name="CALC Percent Total 2 17 3 2" xfId="25534"/>
    <cellStyle name="CALC Percent Total 2 17 3 2 2" xfId="48513"/>
    <cellStyle name="CALC Percent Total 2 17 3 3" xfId="32766"/>
    <cellStyle name="CALC Percent Total 2 17 3 4" xfId="48514"/>
    <cellStyle name="CALC Percent Total 2 17 4" xfId="18241"/>
    <cellStyle name="CALC Percent Total 2 17 4 2" xfId="26561"/>
    <cellStyle name="CALC Percent Total 2 17 4 2 2" xfId="48515"/>
    <cellStyle name="CALC Percent Total 2 17 4 3" xfId="33744"/>
    <cellStyle name="CALC Percent Total 2 17 4 4" xfId="48516"/>
    <cellStyle name="CALC Percent Total 2 17 5" xfId="19225"/>
    <cellStyle name="CALC Percent Total 2 17 5 2" xfId="27545"/>
    <cellStyle name="CALC Percent Total 2 17 5 2 2" xfId="48517"/>
    <cellStyle name="CALC Percent Total 2 17 5 3" xfId="34693"/>
    <cellStyle name="CALC Percent Total 2 17 5 4" xfId="48518"/>
    <cellStyle name="CALC Percent Total 2 17 6" xfId="20193"/>
    <cellStyle name="CALC Percent Total 2 17 6 2" xfId="28515"/>
    <cellStyle name="CALC Percent Total 2 17 6 2 2" xfId="48519"/>
    <cellStyle name="CALC Percent Total 2 17 6 3" xfId="35636"/>
    <cellStyle name="CALC Percent Total 2 17 6 4" xfId="48520"/>
    <cellStyle name="CALC Percent Total 2 17 7" xfId="21654"/>
    <cellStyle name="CALC Percent Total 2 17 7 2" xfId="29955"/>
    <cellStyle name="CALC Percent Total 2 17 7 2 2" xfId="48521"/>
    <cellStyle name="CALC Percent Total 2 17 7 3" xfId="37010"/>
    <cellStyle name="CALC Percent Total 2 17 7 4" xfId="48522"/>
    <cellStyle name="CALC Percent Total 2 17 8" xfId="22582"/>
    <cellStyle name="CALC Percent Total 2 17 8 2" xfId="30878"/>
    <cellStyle name="CALC Percent Total 2 17 8 2 2" xfId="48523"/>
    <cellStyle name="CALC Percent Total 2 17 8 3" xfId="37893"/>
    <cellStyle name="CALC Percent Total 2 17 8 4" xfId="48524"/>
    <cellStyle name="CALC Percent Total 2 17 9" xfId="23524"/>
    <cellStyle name="CALC Percent Total 2 17 9 2" xfId="48525"/>
    <cellStyle name="CALC Percent Total 2 18" xfId="15189"/>
    <cellStyle name="CALC Percent Total 2 18 10" xfId="48526"/>
    <cellStyle name="CALC Percent Total 2 18 11" xfId="48527"/>
    <cellStyle name="CALC Percent Total 2 18 2" xfId="16269"/>
    <cellStyle name="CALC Percent Total 2 18 2 2" xfId="24582"/>
    <cellStyle name="CALC Percent Total 2 18 2 2 2" xfId="48528"/>
    <cellStyle name="CALC Percent Total 2 18 2 3" xfId="31854"/>
    <cellStyle name="CALC Percent Total 2 18 2 4" xfId="48529"/>
    <cellStyle name="CALC Percent Total 2 18 3" xfId="17235"/>
    <cellStyle name="CALC Percent Total 2 18 3 2" xfId="25556"/>
    <cellStyle name="CALC Percent Total 2 18 3 2 2" xfId="48530"/>
    <cellStyle name="CALC Percent Total 2 18 3 3" xfId="32787"/>
    <cellStyle name="CALC Percent Total 2 18 3 4" xfId="48531"/>
    <cellStyle name="CALC Percent Total 2 18 4" xfId="18263"/>
    <cellStyle name="CALC Percent Total 2 18 4 2" xfId="26583"/>
    <cellStyle name="CALC Percent Total 2 18 4 2 2" xfId="48532"/>
    <cellStyle name="CALC Percent Total 2 18 4 3" xfId="33765"/>
    <cellStyle name="CALC Percent Total 2 18 4 4" xfId="48533"/>
    <cellStyle name="CALC Percent Total 2 18 5" xfId="19247"/>
    <cellStyle name="CALC Percent Total 2 18 5 2" xfId="27567"/>
    <cellStyle name="CALC Percent Total 2 18 5 2 2" xfId="48534"/>
    <cellStyle name="CALC Percent Total 2 18 5 3" xfId="34715"/>
    <cellStyle name="CALC Percent Total 2 18 5 4" xfId="48535"/>
    <cellStyle name="CALC Percent Total 2 18 6" xfId="20215"/>
    <cellStyle name="CALC Percent Total 2 18 6 2" xfId="28537"/>
    <cellStyle name="CALC Percent Total 2 18 6 2 2" xfId="48536"/>
    <cellStyle name="CALC Percent Total 2 18 6 3" xfId="35657"/>
    <cellStyle name="CALC Percent Total 2 18 6 4" xfId="48537"/>
    <cellStyle name="CALC Percent Total 2 18 7" xfId="21676"/>
    <cellStyle name="CALC Percent Total 2 18 7 2" xfId="29977"/>
    <cellStyle name="CALC Percent Total 2 18 7 2 2" xfId="48538"/>
    <cellStyle name="CALC Percent Total 2 18 7 3" xfId="37031"/>
    <cellStyle name="CALC Percent Total 2 18 7 4" xfId="48539"/>
    <cellStyle name="CALC Percent Total 2 18 8" xfId="22604"/>
    <cellStyle name="CALC Percent Total 2 18 8 2" xfId="30900"/>
    <cellStyle name="CALC Percent Total 2 18 8 2 2" xfId="48540"/>
    <cellStyle name="CALC Percent Total 2 18 8 3" xfId="37914"/>
    <cellStyle name="CALC Percent Total 2 18 8 4" xfId="48541"/>
    <cellStyle name="CALC Percent Total 2 18 9" xfId="23546"/>
    <cellStyle name="CALC Percent Total 2 18 9 2" xfId="48542"/>
    <cellStyle name="CALC Percent Total 2 19" xfId="15205"/>
    <cellStyle name="CALC Percent Total 2 19 10" xfId="48543"/>
    <cellStyle name="CALC Percent Total 2 19 11" xfId="48544"/>
    <cellStyle name="CALC Percent Total 2 19 2" xfId="16285"/>
    <cellStyle name="CALC Percent Total 2 19 2 2" xfId="24598"/>
    <cellStyle name="CALC Percent Total 2 19 2 2 2" xfId="48545"/>
    <cellStyle name="CALC Percent Total 2 19 2 3" xfId="31868"/>
    <cellStyle name="CALC Percent Total 2 19 2 4" xfId="48546"/>
    <cellStyle name="CALC Percent Total 2 19 3" xfId="17251"/>
    <cellStyle name="CALC Percent Total 2 19 3 2" xfId="25572"/>
    <cellStyle name="CALC Percent Total 2 19 3 2 2" xfId="48547"/>
    <cellStyle name="CALC Percent Total 2 19 3 3" xfId="32801"/>
    <cellStyle name="CALC Percent Total 2 19 3 4" xfId="48548"/>
    <cellStyle name="CALC Percent Total 2 19 4" xfId="18279"/>
    <cellStyle name="CALC Percent Total 2 19 4 2" xfId="26599"/>
    <cellStyle name="CALC Percent Total 2 19 4 2 2" xfId="48549"/>
    <cellStyle name="CALC Percent Total 2 19 4 3" xfId="33779"/>
    <cellStyle name="CALC Percent Total 2 19 4 4" xfId="48550"/>
    <cellStyle name="CALC Percent Total 2 19 5" xfId="19263"/>
    <cellStyle name="CALC Percent Total 2 19 5 2" xfId="27583"/>
    <cellStyle name="CALC Percent Total 2 19 5 2 2" xfId="48551"/>
    <cellStyle name="CALC Percent Total 2 19 5 3" xfId="34731"/>
    <cellStyle name="CALC Percent Total 2 19 5 4" xfId="48552"/>
    <cellStyle name="CALC Percent Total 2 19 6" xfId="20231"/>
    <cellStyle name="CALC Percent Total 2 19 6 2" xfId="28553"/>
    <cellStyle name="CALC Percent Total 2 19 6 2 2" xfId="48553"/>
    <cellStyle name="CALC Percent Total 2 19 6 3" xfId="35671"/>
    <cellStyle name="CALC Percent Total 2 19 6 4" xfId="48554"/>
    <cellStyle name="CALC Percent Total 2 19 7" xfId="21692"/>
    <cellStyle name="CALC Percent Total 2 19 7 2" xfId="29993"/>
    <cellStyle name="CALC Percent Total 2 19 7 2 2" xfId="48555"/>
    <cellStyle name="CALC Percent Total 2 19 7 3" xfId="37045"/>
    <cellStyle name="CALC Percent Total 2 19 7 4" xfId="48556"/>
    <cellStyle name="CALC Percent Total 2 19 8" xfId="22620"/>
    <cellStyle name="CALC Percent Total 2 19 8 2" xfId="30916"/>
    <cellStyle name="CALC Percent Total 2 19 8 2 2" xfId="48557"/>
    <cellStyle name="CALC Percent Total 2 19 8 3" xfId="37928"/>
    <cellStyle name="CALC Percent Total 2 19 8 4" xfId="48558"/>
    <cellStyle name="CALC Percent Total 2 19 9" xfId="23562"/>
    <cellStyle name="CALC Percent Total 2 19 9 2" xfId="48559"/>
    <cellStyle name="CALC Percent Total 2 2" xfId="14524"/>
    <cellStyle name="CALC Percent Total 2 2 2" xfId="15586"/>
    <cellStyle name="CALC Percent Total 2 2 2 2" xfId="48560"/>
    <cellStyle name="CALC Percent Total 2 2 2 2 2" xfId="48561"/>
    <cellStyle name="CALC Percent Total 2 2 3" xfId="19656"/>
    <cellStyle name="CALC Percent Total 2 2 3 2" xfId="48562"/>
    <cellStyle name="CALC Percent Total 2 20" xfId="15270"/>
    <cellStyle name="CALC Percent Total 2 20 10" xfId="48563"/>
    <cellStyle name="CALC Percent Total 2 20 11" xfId="48564"/>
    <cellStyle name="CALC Percent Total 2 20 2" xfId="16350"/>
    <cellStyle name="CALC Percent Total 2 20 2 2" xfId="24663"/>
    <cellStyle name="CALC Percent Total 2 20 2 2 2" xfId="48565"/>
    <cellStyle name="CALC Percent Total 2 20 2 3" xfId="31930"/>
    <cellStyle name="CALC Percent Total 2 20 2 4" xfId="48566"/>
    <cellStyle name="CALC Percent Total 2 20 3" xfId="17316"/>
    <cellStyle name="CALC Percent Total 2 20 3 2" xfId="25637"/>
    <cellStyle name="CALC Percent Total 2 20 3 2 2" xfId="48567"/>
    <cellStyle name="CALC Percent Total 2 20 3 3" xfId="32863"/>
    <cellStyle name="CALC Percent Total 2 20 3 4" xfId="48568"/>
    <cellStyle name="CALC Percent Total 2 20 4" xfId="18344"/>
    <cellStyle name="CALC Percent Total 2 20 4 2" xfId="26664"/>
    <cellStyle name="CALC Percent Total 2 20 4 2 2" xfId="48569"/>
    <cellStyle name="CALC Percent Total 2 20 4 3" xfId="33841"/>
    <cellStyle name="CALC Percent Total 2 20 4 4" xfId="48570"/>
    <cellStyle name="CALC Percent Total 2 20 5" xfId="19328"/>
    <cellStyle name="CALC Percent Total 2 20 5 2" xfId="27648"/>
    <cellStyle name="CALC Percent Total 2 20 5 2 2" xfId="48571"/>
    <cellStyle name="CALC Percent Total 2 20 5 3" xfId="34796"/>
    <cellStyle name="CALC Percent Total 2 20 5 4" xfId="48572"/>
    <cellStyle name="CALC Percent Total 2 20 6" xfId="20296"/>
    <cellStyle name="CALC Percent Total 2 20 6 2" xfId="28618"/>
    <cellStyle name="CALC Percent Total 2 20 6 2 2" xfId="48573"/>
    <cellStyle name="CALC Percent Total 2 20 6 3" xfId="35733"/>
    <cellStyle name="CALC Percent Total 2 20 6 4" xfId="48574"/>
    <cellStyle name="CALC Percent Total 2 20 7" xfId="21757"/>
    <cellStyle name="CALC Percent Total 2 20 7 2" xfId="30058"/>
    <cellStyle name="CALC Percent Total 2 20 7 2 2" xfId="48575"/>
    <cellStyle name="CALC Percent Total 2 20 7 3" xfId="37107"/>
    <cellStyle name="CALC Percent Total 2 20 7 4" xfId="48576"/>
    <cellStyle name="CALC Percent Total 2 20 8" xfId="22685"/>
    <cellStyle name="CALC Percent Total 2 20 8 2" xfId="30981"/>
    <cellStyle name="CALC Percent Total 2 20 8 2 2" xfId="48577"/>
    <cellStyle name="CALC Percent Total 2 20 8 3" xfId="37990"/>
    <cellStyle name="CALC Percent Total 2 20 8 4" xfId="48578"/>
    <cellStyle name="CALC Percent Total 2 20 9" xfId="23627"/>
    <cellStyle name="CALC Percent Total 2 20 9 2" xfId="48579"/>
    <cellStyle name="CALC Percent Total 2 21" xfId="15286"/>
    <cellStyle name="CALC Percent Total 2 21 10" xfId="48580"/>
    <cellStyle name="CALC Percent Total 2 21 11" xfId="48581"/>
    <cellStyle name="CALC Percent Total 2 21 2" xfId="16366"/>
    <cellStyle name="CALC Percent Total 2 21 2 2" xfId="24679"/>
    <cellStyle name="CALC Percent Total 2 21 2 2 2" xfId="48582"/>
    <cellStyle name="CALC Percent Total 2 21 2 3" xfId="31946"/>
    <cellStyle name="CALC Percent Total 2 21 2 4" xfId="48583"/>
    <cellStyle name="CALC Percent Total 2 21 3" xfId="17332"/>
    <cellStyle name="CALC Percent Total 2 21 3 2" xfId="25653"/>
    <cellStyle name="CALC Percent Total 2 21 3 2 2" xfId="48584"/>
    <cellStyle name="CALC Percent Total 2 21 3 3" xfId="32879"/>
    <cellStyle name="CALC Percent Total 2 21 3 4" xfId="48585"/>
    <cellStyle name="CALC Percent Total 2 21 4" xfId="18360"/>
    <cellStyle name="CALC Percent Total 2 21 4 2" xfId="26680"/>
    <cellStyle name="CALC Percent Total 2 21 4 2 2" xfId="48586"/>
    <cellStyle name="CALC Percent Total 2 21 4 3" xfId="33857"/>
    <cellStyle name="CALC Percent Total 2 21 4 4" xfId="48587"/>
    <cellStyle name="CALC Percent Total 2 21 5" xfId="19344"/>
    <cellStyle name="CALC Percent Total 2 21 5 2" xfId="27664"/>
    <cellStyle name="CALC Percent Total 2 21 5 2 2" xfId="48588"/>
    <cellStyle name="CALC Percent Total 2 21 5 3" xfId="34812"/>
    <cellStyle name="CALC Percent Total 2 21 5 4" xfId="48589"/>
    <cellStyle name="CALC Percent Total 2 21 6" xfId="20312"/>
    <cellStyle name="CALC Percent Total 2 21 6 2" xfId="28634"/>
    <cellStyle name="CALC Percent Total 2 21 6 2 2" xfId="48590"/>
    <cellStyle name="CALC Percent Total 2 21 6 3" xfId="35749"/>
    <cellStyle name="CALC Percent Total 2 21 6 4" xfId="48591"/>
    <cellStyle name="CALC Percent Total 2 21 7" xfId="21773"/>
    <cellStyle name="CALC Percent Total 2 21 7 2" xfId="30074"/>
    <cellStyle name="CALC Percent Total 2 21 7 2 2" xfId="48592"/>
    <cellStyle name="CALC Percent Total 2 21 7 3" xfId="37123"/>
    <cellStyle name="CALC Percent Total 2 21 7 4" xfId="48593"/>
    <cellStyle name="CALC Percent Total 2 21 8" xfId="22701"/>
    <cellStyle name="CALC Percent Total 2 21 8 2" xfId="30997"/>
    <cellStyle name="CALC Percent Total 2 21 8 2 2" xfId="48594"/>
    <cellStyle name="CALC Percent Total 2 21 8 3" xfId="38006"/>
    <cellStyle name="CALC Percent Total 2 21 8 4" xfId="48595"/>
    <cellStyle name="CALC Percent Total 2 21 9" xfId="23643"/>
    <cellStyle name="CALC Percent Total 2 21 9 2" xfId="48596"/>
    <cellStyle name="CALC Percent Total 2 22" xfId="15220"/>
    <cellStyle name="CALC Percent Total 2 22 10" xfId="48597"/>
    <cellStyle name="CALC Percent Total 2 22 11" xfId="48598"/>
    <cellStyle name="CALC Percent Total 2 22 2" xfId="16300"/>
    <cellStyle name="CALC Percent Total 2 22 2 2" xfId="24613"/>
    <cellStyle name="CALC Percent Total 2 22 2 2 2" xfId="48599"/>
    <cellStyle name="CALC Percent Total 2 22 2 3" xfId="31882"/>
    <cellStyle name="CALC Percent Total 2 22 2 4" xfId="48600"/>
    <cellStyle name="CALC Percent Total 2 22 3" xfId="17266"/>
    <cellStyle name="CALC Percent Total 2 22 3 2" xfId="25587"/>
    <cellStyle name="CALC Percent Total 2 22 3 2 2" xfId="48601"/>
    <cellStyle name="CALC Percent Total 2 22 3 3" xfId="32815"/>
    <cellStyle name="CALC Percent Total 2 22 3 4" xfId="48602"/>
    <cellStyle name="CALC Percent Total 2 22 4" xfId="18294"/>
    <cellStyle name="CALC Percent Total 2 22 4 2" xfId="26614"/>
    <cellStyle name="CALC Percent Total 2 22 4 2 2" xfId="48603"/>
    <cellStyle name="CALC Percent Total 2 22 4 3" xfId="33793"/>
    <cellStyle name="CALC Percent Total 2 22 4 4" xfId="48604"/>
    <cellStyle name="CALC Percent Total 2 22 5" xfId="19278"/>
    <cellStyle name="CALC Percent Total 2 22 5 2" xfId="27598"/>
    <cellStyle name="CALC Percent Total 2 22 5 2 2" xfId="48605"/>
    <cellStyle name="CALC Percent Total 2 22 5 3" xfId="34746"/>
    <cellStyle name="CALC Percent Total 2 22 5 4" xfId="48606"/>
    <cellStyle name="CALC Percent Total 2 22 6" xfId="20246"/>
    <cellStyle name="CALC Percent Total 2 22 6 2" xfId="28568"/>
    <cellStyle name="CALC Percent Total 2 22 6 2 2" xfId="48607"/>
    <cellStyle name="CALC Percent Total 2 22 6 3" xfId="35685"/>
    <cellStyle name="CALC Percent Total 2 22 6 4" xfId="48608"/>
    <cellStyle name="CALC Percent Total 2 22 7" xfId="21707"/>
    <cellStyle name="CALC Percent Total 2 22 7 2" xfId="30008"/>
    <cellStyle name="CALC Percent Total 2 22 7 2 2" xfId="48609"/>
    <cellStyle name="CALC Percent Total 2 22 7 3" xfId="37059"/>
    <cellStyle name="CALC Percent Total 2 22 7 4" xfId="48610"/>
    <cellStyle name="CALC Percent Total 2 22 8" xfId="22635"/>
    <cellStyle name="CALC Percent Total 2 22 8 2" xfId="30931"/>
    <cellStyle name="CALC Percent Total 2 22 8 2 2" xfId="48611"/>
    <cellStyle name="CALC Percent Total 2 22 8 3" xfId="37942"/>
    <cellStyle name="CALC Percent Total 2 22 8 4" xfId="48612"/>
    <cellStyle name="CALC Percent Total 2 22 9" xfId="23577"/>
    <cellStyle name="CALC Percent Total 2 22 9 2" xfId="48613"/>
    <cellStyle name="CALC Percent Total 2 23" xfId="15379"/>
    <cellStyle name="CALC Percent Total 2 23 10" xfId="48614"/>
    <cellStyle name="CALC Percent Total 2 23 11" xfId="48615"/>
    <cellStyle name="CALC Percent Total 2 23 2" xfId="16459"/>
    <cellStyle name="CALC Percent Total 2 23 2 2" xfId="24772"/>
    <cellStyle name="CALC Percent Total 2 23 2 2 2" xfId="48616"/>
    <cellStyle name="CALC Percent Total 2 23 2 3" xfId="32036"/>
    <cellStyle name="CALC Percent Total 2 23 2 4" xfId="48617"/>
    <cellStyle name="CALC Percent Total 2 23 3" xfId="17425"/>
    <cellStyle name="CALC Percent Total 2 23 3 2" xfId="25746"/>
    <cellStyle name="CALC Percent Total 2 23 3 2 2" xfId="48618"/>
    <cellStyle name="CALC Percent Total 2 23 3 3" xfId="32969"/>
    <cellStyle name="CALC Percent Total 2 23 3 4" xfId="48619"/>
    <cellStyle name="CALC Percent Total 2 23 4" xfId="18453"/>
    <cellStyle name="CALC Percent Total 2 23 4 2" xfId="26773"/>
    <cellStyle name="CALC Percent Total 2 23 4 2 2" xfId="48620"/>
    <cellStyle name="CALC Percent Total 2 23 4 3" xfId="33947"/>
    <cellStyle name="CALC Percent Total 2 23 4 4" xfId="48621"/>
    <cellStyle name="CALC Percent Total 2 23 5" xfId="19436"/>
    <cellStyle name="CALC Percent Total 2 23 5 2" xfId="27757"/>
    <cellStyle name="CALC Percent Total 2 23 5 2 2" xfId="48622"/>
    <cellStyle name="CALC Percent Total 2 23 5 3" xfId="34905"/>
    <cellStyle name="CALC Percent Total 2 23 5 4" xfId="48623"/>
    <cellStyle name="CALC Percent Total 2 23 6" xfId="20405"/>
    <cellStyle name="CALC Percent Total 2 23 6 2" xfId="28727"/>
    <cellStyle name="CALC Percent Total 2 23 6 2 2" xfId="48624"/>
    <cellStyle name="CALC Percent Total 2 23 6 3" xfId="35839"/>
    <cellStyle name="CALC Percent Total 2 23 6 4" xfId="48625"/>
    <cellStyle name="CALC Percent Total 2 23 7" xfId="21866"/>
    <cellStyle name="CALC Percent Total 2 23 7 2" xfId="30167"/>
    <cellStyle name="CALC Percent Total 2 23 7 2 2" xfId="48626"/>
    <cellStyle name="CALC Percent Total 2 23 7 3" xfId="37212"/>
    <cellStyle name="CALC Percent Total 2 23 7 4" xfId="48627"/>
    <cellStyle name="CALC Percent Total 2 23 8" xfId="22794"/>
    <cellStyle name="CALC Percent Total 2 23 8 2" xfId="31090"/>
    <cellStyle name="CALC Percent Total 2 23 8 2 2" xfId="48628"/>
    <cellStyle name="CALC Percent Total 2 23 8 3" xfId="38096"/>
    <cellStyle name="CALC Percent Total 2 23 8 4" xfId="48629"/>
    <cellStyle name="CALC Percent Total 2 23 9" xfId="23736"/>
    <cellStyle name="CALC Percent Total 2 23 9 2" xfId="48630"/>
    <cellStyle name="CALC Percent Total 2 24" xfId="15393"/>
    <cellStyle name="CALC Percent Total 2 24 10" xfId="48631"/>
    <cellStyle name="CALC Percent Total 2 24 11" xfId="48632"/>
    <cellStyle name="CALC Percent Total 2 24 2" xfId="16473"/>
    <cellStyle name="CALC Percent Total 2 24 2 2" xfId="24786"/>
    <cellStyle name="CALC Percent Total 2 24 2 2 2" xfId="48633"/>
    <cellStyle name="CALC Percent Total 2 24 2 3" xfId="32050"/>
    <cellStyle name="CALC Percent Total 2 24 2 4" xfId="48634"/>
    <cellStyle name="CALC Percent Total 2 24 3" xfId="17439"/>
    <cellStyle name="CALC Percent Total 2 24 3 2" xfId="25760"/>
    <cellStyle name="CALC Percent Total 2 24 3 2 2" xfId="48635"/>
    <cellStyle name="CALC Percent Total 2 24 3 3" xfId="32983"/>
    <cellStyle name="CALC Percent Total 2 24 3 4" xfId="48636"/>
    <cellStyle name="CALC Percent Total 2 24 4" xfId="18467"/>
    <cellStyle name="CALC Percent Total 2 24 4 2" xfId="26787"/>
    <cellStyle name="CALC Percent Total 2 24 4 2 2" xfId="48637"/>
    <cellStyle name="CALC Percent Total 2 24 4 3" xfId="33961"/>
    <cellStyle name="CALC Percent Total 2 24 4 4" xfId="48638"/>
    <cellStyle name="CALC Percent Total 2 24 5" xfId="19450"/>
    <cellStyle name="CALC Percent Total 2 24 5 2" xfId="27771"/>
    <cellStyle name="CALC Percent Total 2 24 5 2 2" xfId="48639"/>
    <cellStyle name="CALC Percent Total 2 24 5 3" xfId="34919"/>
    <cellStyle name="CALC Percent Total 2 24 5 4" xfId="48640"/>
    <cellStyle name="CALC Percent Total 2 24 6" xfId="20419"/>
    <cellStyle name="CALC Percent Total 2 24 6 2" xfId="28741"/>
    <cellStyle name="CALC Percent Total 2 24 6 2 2" xfId="48641"/>
    <cellStyle name="CALC Percent Total 2 24 6 3" xfId="35853"/>
    <cellStyle name="CALC Percent Total 2 24 6 4" xfId="48642"/>
    <cellStyle name="CALC Percent Total 2 24 7" xfId="21880"/>
    <cellStyle name="CALC Percent Total 2 24 7 2" xfId="30181"/>
    <cellStyle name="CALC Percent Total 2 24 7 2 2" xfId="48643"/>
    <cellStyle name="CALC Percent Total 2 24 7 3" xfId="37226"/>
    <cellStyle name="CALC Percent Total 2 24 7 4" xfId="48644"/>
    <cellStyle name="CALC Percent Total 2 24 8" xfId="22808"/>
    <cellStyle name="CALC Percent Total 2 24 8 2" xfId="31104"/>
    <cellStyle name="CALC Percent Total 2 24 8 2 2" xfId="48645"/>
    <cellStyle name="CALC Percent Total 2 24 8 3" xfId="38110"/>
    <cellStyle name="CALC Percent Total 2 24 8 4" xfId="48646"/>
    <cellStyle name="CALC Percent Total 2 24 9" xfId="23750"/>
    <cellStyle name="CALC Percent Total 2 24 9 2" xfId="48647"/>
    <cellStyle name="CALC Percent Total 2 25" xfId="15409"/>
    <cellStyle name="CALC Percent Total 2 25 10" xfId="48648"/>
    <cellStyle name="CALC Percent Total 2 25 11" xfId="48649"/>
    <cellStyle name="CALC Percent Total 2 25 2" xfId="16489"/>
    <cellStyle name="CALC Percent Total 2 25 2 2" xfId="24802"/>
    <cellStyle name="CALC Percent Total 2 25 2 2 2" xfId="48650"/>
    <cellStyle name="CALC Percent Total 2 25 2 3" xfId="32064"/>
    <cellStyle name="CALC Percent Total 2 25 2 4" xfId="48651"/>
    <cellStyle name="CALC Percent Total 2 25 3" xfId="17455"/>
    <cellStyle name="CALC Percent Total 2 25 3 2" xfId="25776"/>
    <cellStyle name="CALC Percent Total 2 25 3 2 2" xfId="48652"/>
    <cellStyle name="CALC Percent Total 2 25 3 3" xfId="32997"/>
    <cellStyle name="CALC Percent Total 2 25 3 4" xfId="48653"/>
    <cellStyle name="CALC Percent Total 2 25 4" xfId="18483"/>
    <cellStyle name="CALC Percent Total 2 25 4 2" xfId="26803"/>
    <cellStyle name="CALC Percent Total 2 25 4 2 2" xfId="48654"/>
    <cellStyle name="CALC Percent Total 2 25 4 3" xfId="33975"/>
    <cellStyle name="CALC Percent Total 2 25 4 4" xfId="48655"/>
    <cellStyle name="CALC Percent Total 2 25 5" xfId="19466"/>
    <cellStyle name="CALC Percent Total 2 25 5 2" xfId="27787"/>
    <cellStyle name="CALC Percent Total 2 25 5 2 2" xfId="48656"/>
    <cellStyle name="CALC Percent Total 2 25 5 3" xfId="34935"/>
    <cellStyle name="CALC Percent Total 2 25 5 4" xfId="48657"/>
    <cellStyle name="CALC Percent Total 2 25 6" xfId="20435"/>
    <cellStyle name="CALC Percent Total 2 25 6 2" xfId="28757"/>
    <cellStyle name="CALC Percent Total 2 25 6 2 2" xfId="48658"/>
    <cellStyle name="CALC Percent Total 2 25 6 3" xfId="35867"/>
    <cellStyle name="CALC Percent Total 2 25 6 4" xfId="48659"/>
    <cellStyle name="CALC Percent Total 2 25 7" xfId="21896"/>
    <cellStyle name="CALC Percent Total 2 25 7 2" xfId="30197"/>
    <cellStyle name="CALC Percent Total 2 25 7 2 2" xfId="48660"/>
    <cellStyle name="CALC Percent Total 2 25 7 3" xfId="37240"/>
    <cellStyle name="CALC Percent Total 2 25 7 4" xfId="48661"/>
    <cellStyle name="CALC Percent Total 2 25 8" xfId="22824"/>
    <cellStyle name="CALC Percent Total 2 25 8 2" xfId="31120"/>
    <cellStyle name="CALC Percent Total 2 25 8 2 2" xfId="48662"/>
    <cellStyle name="CALC Percent Total 2 25 8 3" xfId="38124"/>
    <cellStyle name="CALC Percent Total 2 25 8 4" xfId="48663"/>
    <cellStyle name="CALC Percent Total 2 25 9" xfId="23766"/>
    <cellStyle name="CALC Percent Total 2 25 9 2" xfId="48664"/>
    <cellStyle name="CALC Percent Total 2 26" xfId="15425"/>
    <cellStyle name="CALC Percent Total 2 26 10" xfId="48665"/>
    <cellStyle name="CALC Percent Total 2 26 11" xfId="48666"/>
    <cellStyle name="CALC Percent Total 2 26 2" xfId="16505"/>
    <cellStyle name="CALC Percent Total 2 26 2 2" xfId="24818"/>
    <cellStyle name="CALC Percent Total 2 26 2 2 2" xfId="48667"/>
    <cellStyle name="CALC Percent Total 2 26 2 3" xfId="32079"/>
    <cellStyle name="CALC Percent Total 2 26 2 4" xfId="48668"/>
    <cellStyle name="CALC Percent Total 2 26 3" xfId="17471"/>
    <cellStyle name="CALC Percent Total 2 26 3 2" xfId="25792"/>
    <cellStyle name="CALC Percent Total 2 26 3 2 2" xfId="48669"/>
    <cellStyle name="CALC Percent Total 2 26 3 3" xfId="33012"/>
    <cellStyle name="CALC Percent Total 2 26 3 4" xfId="48670"/>
    <cellStyle name="CALC Percent Total 2 26 4" xfId="18499"/>
    <cellStyle name="CALC Percent Total 2 26 4 2" xfId="26819"/>
    <cellStyle name="CALC Percent Total 2 26 4 2 2" xfId="48671"/>
    <cellStyle name="CALC Percent Total 2 26 4 3" xfId="33990"/>
    <cellStyle name="CALC Percent Total 2 26 4 4" xfId="48672"/>
    <cellStyle name="CALC Percent Total 2 26 5" xfId="19482"/>
    <cellStyle name="CALC Percent Total 2 26 5 2" xfId="27803"/>
    <cellStyle name="CALC Percent Total 2 26 5 2 2" xfId="48673"/>
    <cellStyle name="CALC Percent Total 2 26 5 3" xfId="34951"/>
    <cellStyle name="CALC Percent Total 2 26 5 4" xfId="48674"/>
    <cellStyle name="CALC Percent Total 2 26 6" xfId="20451"/>
    <cellStyle name="CALC Percent Total 2 26 6 2" xfId="28773"/>
    <cellStyle name="CALC Percent Total 2 26 6 2 2" xfId="48675"/>
    <cellStyle name="CALC Percent Total 2 26 6 3" xfId="35882"/>
    <cellStyle name="CALC Percent Total 2 26 6 4" xfId="48676"/>
    <cellStyle name="CALC Percent Total 2 26 7" xfId="21912"/>
    <cellStyle name="CALC Percent Total 2 26 7 2" xfId="30213"/>
    <cellStyle name="CALC Percent Total 2 26 7 2 2" xfId="48677"/>
    <cellStyle name="CALC Percent Total 2 26 7 3" xfId="37255"/>
    <cellStyle name="CALC Percent Total 2 26 7 4" xfId="48678"/>
    <cellStyle name="CALC Percent Total 2 26 8" xfId="22840"/>
    <cellStyle name="CALC Percent Total 2 26 8 2" xfId="31136"/>
    <cellStyle name="CALC Percent Total 2 26 8 2 2" xfId="48679"/>
    <cellStyle name="CALC Percent Total 2 26 8 3" xfId="38139"/>
    <cellStyle name="CALC Percent Total 2 26 8 4" xfId="48680"/>
    <cellStyle name="CALC Percent Total 2 26 9" xfId="23782"/>
    <cellStyle name="CALC Percent Total 2 26 9 2" xfId="48681"/>
    <cellStyle name="CALC Percent Total 2 27" xfId="15439"/>
    <cellStyle name="CALC Percent Total 2 27 10" xfId="48682"/>
    <cellStyle name="CALC Percent Total 2 27 11" xfId="48683"/>
    <cellStyle name="CALC Percent Total 2 27 2" xfId="16519"/>
    <cellStyle name="CALC Percent Total 2 27 2 2" xfId="24832"/>
    <cellStyle name="CALC Percent Total 2 27 2 2 2" xfId="48684"/>
    <cellStyle name="CALC Percent Total 2 27 2 3" xfId="32093"/>
    <cellStyle name="CALC Percent Total 2 27 2 4" xfId="48685"/>
    <cellStyle name="CALC Percent Total 2 27 3" xfId="17485"/>
    <cellStyle name="CALC Percent Total 2 27 3 2" xfId="25806"/>
    <cellStyle name="CALC Percent Total 2 27 3 2 2" xfId="48686"/>
    <cellStyle name="CALC Percent Total 2 27 3 3" xfId="33026"/>
    <cellStyle name="CALC Percent Total 2 27 3 4" xfId="48687"/>
    <cellStyle name="CALC Percent Total 2 27 4" xfId="18513"/>
    <cellStyle name="CALC Percent Total 2 27 4 2" xfId="26833"/>
    <cellStyle name="CALC Percent Total 2 27 4 2 2" xfId="48688"/>
    <cellStyle name="CALC Percent Total 2 27 4 3" xfId="34004"/>
    <cellStyle name="CALC Percent Total 2 27 4 4" xfId="48689"/>
    <cellStyle name="CALC Percent Total 2 27 5" xfId="19496"/>
    <cellStyle name="CALC Percent Total 2 27 5 2" xfId="27817"/>
    <cellStyle name="CALC Percent Total 2 27 5 2 2" xfId="48690"/>
    <cellStyle name="CALC Percent Total 2 27 5 3" xfId="34965"/>
    <cellStyle name="CALC Percent Total 2 27 5 4" xfId="48691"/>
    <cellStyle name="CALC Percent Total 2 27 6" xfId="20465"/>
    <cellStyle name="CALC Percent Total 2 27 6 2" xfId="28787"/>
    <cellStyle name="CALC Percent Total 2 27 6 2 2" xfId="48692"/>
    <cellStyle name="CALC Percent Total 2 27 6 3" xfId="35896"/>
    <cellStyle name="CALC Percent Total 2 27 6 4" xfId="48693"/>
    <cellStyle name="CALC Percent Total 2 27 7" xfId="21926"/>
    <cellStyle name="CALC Percent Total 2 27 7 2" xfId="30227"/>
    <cellStyle name="CALC Percent Total 2 27 7 2 2" xfId="48694"/>
    <cellStyle name="CALC Percent Total 2 27 7 3" xfId="37269"/>
    <cellStyle name="CALC Percent Total 2 27 7 4" xfId="48695"/>
    <cellStyle name="CALC Percent Total 2 27 8" xfId="22854"/>
    <cellStyle name="CALC Percent Total 2 27 8 2" xfId="31150"/>
    <cellStyle name="CALC Percent Total 2 27 8 2 2" xfId="48696"/>
    <cellStyle name="CALC Percent Total 2 27 8 3" xfId="38153"/>
    <cellStyle name="CALC Percent Total 2 27 8 4" xfId="48697"/>
    <cellStyle name="CALC Percent Total 2 27 9" xfId="23796"/>
    <cellStyle name="CALC Percent Total 2 27 9 2" xfId="48698"/>
    <cellStyle name="CALC Percent Total 2 28" xfId="15453"/>
    <cellStyle name="CALC Percent Total 2 28 10" xfId="48699"/>
    <cellStyle name="CALC Percent Total 2 28 11" xfId="48700"/>
    <cellStyle name="CALC Percent Total 2 28 2" xfId="16533"/>
    <cellStyle name="CALC Percent Total 2 28 2 2" xfId="24846"/>
    <cellStyle name="CALC Percent Total 2 28 2 2 2" xfId="48701"/>
    <cellStyle name="CALC Percent Total 2 28 2 3" xfId="32107"/>
    <cellStyle name="CALC Percent Total 2 28 2 4" xfId="48702"/>
    <cellStyle name="CALC Percent Total 2 28 3" xfId="17499"/>
    <cellStyle name="CALC Percent Total 2 28 3 2" xfId="25820"/>
    <cellStyle name="CALC Percent Total 2 28 3 2 2" xfId="48703"/>
    <cellStyle name="CALC Percent Total 2 28 3 3" xfId="33040"/>
    <cellStyle name="CALC Percent Total 2 28 3 4" xfId="48704"/>
    <cellStyle name="CALC Percent Total 2 28 4" xfId="18527"/>
    <cellStyle name="CALC Percent Total 2 28 4 2" xfId="26847"/>
    <cellStyle name="CALC Percent Total 2 28 4 2 2" xfId="48705"/>
    <cellStyle name="CALC Percent Total 2 28 4 3" xfId="34018"/>
    <cellStyle name="CALC Percent Total 2 28 4 4" xfId="48706"/>
    <cellStyle name="CALC Percent Total 2 28 5" xfId="19510"/>
    <cellStyle name="CALC Percent Total 2 28 5 2" xfId="27831"/>
    <cellStyle name="CALC Percent Total 2 28 5 2 2" xfId="48707"/>
    <cellStyle name="CALC Percent Total 2 28 5 3" xfId="34979"/>
    <cellStyle name="CALC Percent Total 2 28 5 4" xfId="48708"/>
    <cellStyle name="CALC Percent Total 2 28 6" xfId="20479"/>
    <cellStyle name="CALC Percent Total 2 28 6 2" xfId="28801"/>
    <cellStyle name="CALC Percent Total 2 28 6 2 2" xfId="48709"/>
    <cellStyle name="CALC Percent Total 2 28 6 3" xfId="35910"/>
    <cellStyle name="CALC Percent Total 2 28 6 4" xfId="48710"/>
    <cellStyle name="CALC Percent Total 2 28 7" xfId="21940"/>
    <cellStyle name="CALC Percent Total 2 28 7 2" xfId="30241"/>
    <cellStyle name="CALC Percent Total 2 28 7 2 2" xfId="48711"/>
    <cellStyle name="CALC Percent Total 2 28 7 3" xfId="37283"/>
    <cellStyle name="CALC Percent Total 2 28 7 4" xfId="48712"/>
    <cellStyle name="CALC Percent Total 2 28 8" xfId="22868"/>
    <cellStyle name="CALC Percent Total 2 28 8 2" xfId="31164"/>
    <cellStyle name="CALC Percent Total 2 28 8 2 2" xfId="48713"/>
    <cellStyle name="CALC Percent Total 2 28 8 3" xfId="38167"/>
    <cellStyle name="CALC Percent Total 2 28 8 4" xfId="48714"/>
    <cellStyle name="CALC Percent Total 2 28 9" xfId="23810"/>
    <cellStyle name="CALC Percent Total 2 28 9 2" xfId="48715"/>
    <cellStyle name="CALC Percent Total 2 29" xfId="15485"/>
    <cellStyle name="CALC Percent Total 2 29 2" xfId="17531"/>
    <cellStyle name="CALC Percent Total 2 29 2 2" xfId="25851"/>
    <cellStyle name="CALC Percent Total 2 29 2 2 2" xfId="48716"/>
    <cellStyle name="CALC Percent Total 2 29 2 3" xfId="33069"/>
    <cellStyle name="CALC Percent Total 2 29 2 4" xfId="48717"/>
    <cellStyle name="CALC Percent Total 2 29 3" xfId="19542"/>
    <cellStyle name="CALC Percent Total 2 29 3 2" xfId="27863"/>
    <cellStyle name="CALC Percent Total 2 29 3 2 2" xfId="48718"/>
    <cellStyle name="CALC Percent Total 2 29 3 3" xfId="35011"/>
    <cellStyle name="CALC Percent Total 2 29 3 4" xfId="48719"/>
    <cellStyle name="CALC Percent Total 2 29 4" xfId="48720"/>
    <cellStyle name="CALC Percent Total 2 29 4 2" xfId="48721"/>
    <cellStyle name="CALC Percent Total 2 3" xfId="14525"/>
    <cellStyle name="CALC Percent Total 2 3 2" xfId="15587"/>
    <cellStyle name="CALC Percent Total 2 3 2 2" xfId="48722"/>
    <cellStyle name="CALC Percent Total 2 3 2 2 2" xfId="48723"/>
    <cellStyle name="CALC Percent Total 2 3 3" xfId="14528"/>
    <cellStyle name="CALC Percent Total 2 3 3 2" xfId="48724"/>
    <cellStyle name="CALC Percent Total 2 30" xfId="48725"/>
    <cellStyle name="CALC Percent Total 2 30 2" xfId="48726"/>
    <cellStyle name="CALC Percent Total 2 4" xfId="14546"/>
    <cellStyle name="CALC Percent Total 2 4 2" xfId="15625"/>
    <cellStyle name="CALC Percent Total 2 4 2 2" xfId="23939"/>
    <cellStyle name="CALC Percent Total 2 4 2 2 2" xfId="48727"/>
    <cellStyle name="CALC Percent Total 2 4 2 3" xfId="48728"/>
    <cellStyle name="CALC Percent Total 2 4 2 4" xfId="48729"/>
    <cellStyle name="CALC Percent Total 2 4 3" xfId="16593"/>
    <cellStyle name="CALC Percent Total 2 4 3 2" xfId="24910"/>
    <cellStyle name="CALC Percent Total 2 4 3 2 2" xfId="48730"/>
    <cellStyle name="CALC Percent Total 2 4 3 3" xfId="32170"/>
    <cellStyle name="CALC Percent Total 2 4 3 4" xfId="48731"/>
    <cellStyle name="CALC Percent Total 2 4 4" xfId="17612"/>
    <cellStyle name="CALC Percent Total 2 4 4 2" xfId="25935"/>
    <cellStyle name="CALC Percent Total 2 4 4 2 2" xfId="48732"/>
    <cellStyle name="CALC Percent Total 2 4 4 3" xfId="33147"/>
    <cellStyle name="CALC Percent Total 2 4 4 4" xfId="48733"/>
    <cellStyle name="CALC Percent Total 2 4 5" xfId="18594"/>
    <cellStyle name="CALC Percent Total 2 4 5 2" xfId="26913"/>
    <cellStyle name="CALC Percent Total 2 4 5 2 2" xfId="48734"/>
    <cellStyle name="CALC Percent Total 2 4 5 3" xfId="34082"/>
    <cellStyle name="CALC Percent Total 2 4 5 4" xfId="48735"/>
    <cellStyle name="CALC Percent Total 2 4 6" xfId="19562"/>
    <cellStyle name="CALC Percent Total 2 4 6 2" xfId="27883"/>
    <cellStyle name="CALC Percent Total 2 4 6 2 2" xfId="48736"/>
    <cellStyle name="CALC Percent Total 2 4 6 3" xfId="35030"/>
    <cellStyle name="CALC Percent Total 2 4 6 4" xfId="48737"/>
    <cellStyle name="CALC Percent Total 2 4 7" xfId="20520"/>
    <cellStyle name="CALC Percent Total 2 4 7 2" xfId="28842"/>
    <cellStyle name="CALC Percent Total 2 4 7 2 2" xfId="48738"/>
    <cellStyle name="CALC Percent Total 2 4 7 3" xfId="35947"/>
    <cellStyle name="CALC Percent Total 2 4 7 4" xfId="48739"/>
    <cellStyle name="CALC Percent Total 2 4 8" xfId="22903"/>
    <cellStyle name="CALC Percent Total 2 4 8 2" xfId="48740"/>
    <cellStyle name="CALC Percent Total 2 5" xfId="14607"/>
    <cellStyle name="CALC Percent Total 2 5 10" xfId="22968"/>
    <cellStyle name="CALC Percent Total 2 5 10 2" xfId="48741"/>
    <cellStyle name="CALC Percent Total 2 5 11" xfId="48742"/>
    <cellStyle name="CALC Percent Total 2 5 2" xfId="15687"/>
    <cellStyle name="CALC Percent Total 2 5 2 2" xfId="24003"/>
    <cellStyle name="CALC Percent Total 2 5 2 2 2" xfId="48743"/>
    <cellStyle name="CALC Percent Total 2 5 2 3" xfId="31298"/>
    <cellStyle name="CALC Percent Total 2 5 2 4" xfId="48744"/>
    <cellStyle name="CALC Percent Total 2 5 3" xfId="16654"/>
    <cellStyle name="CALC Percent Total 2 5 3 2" xfId="24974"/>
    <cellStyle name="CALC Percent Total 2 5 3 2 2" xfId="48745"/>
    <cellStyle name="CALC Percent Total 2 5 3 3" xfId="32231"/>
    <cellStyle name="CALC Percent Total 2 5 3 4" xfId="48746"/>
    <cellStyle name="CALC Percent Total 2 5 4" xfId="17676"/>
    <cellStyle name="CALC Percent Total 2 5 4 2" xfId="26000"/>
    <cellStyle name="CALC Percent Total 2 5 4 2 2" xfId="48747"/>
    <cellStyle name="CALC Percent Total 2 5 4 3" xfId="33208"/>
    <cellStyle name="CALC Percent Total 2 5 4 4" xfId="48748"/>
    <cellStyle name="CALC Percent Total 2 5 5" xfId="18659"/>
    <cellStyle name="CALC Percent Total 2 5 5 2" xfId="26980"/>
    <cellStyle name="CALC Percent Total 2 5 5 2 2" xfId="48749"/>
    <cellStyle name="CALC Percent Total 2 5 5 3" xfId="34146"/>
    <cellStyle name="CALC Percent Total 2 5 5 4" xfId="48750"/>
    <cellStyle name="CALC Percent Total 2 5 6" xfId="19628"/>
    <cellStyle name="CALC Percent Total 2 5 6 2" xfId="27949"/>
    <cellStyle name="CALC Percent Total 2 5 6 2 2" xfId="48751"/>
    <cellStyle name="CALC Percent Total 2 5 6 3" xfId="35092"/>
    <cellStyle name="CALC Percent Total 2 5 6 4" xfId="48752"/>
    <cellStyle name="CALC Percent Total 2 5 7" xfId="20585"/>
    <cellStyle name="CALC Percent Total 2 5 7 2" xfId="28907"/>
    <cellStyle name="CALC Percent Total 2 5 7 2 2" xfId="48753"/>
    <cellStyle name="CALC Percent Total 2 5 7 3" xfId="36008"/>
    <cellStyle name="CALC Percent Total 2 5 7 4" xfId="48754"/>
    <cellStyle name="CALC Percent Total 2 5 8" xfId="21364"/>
    <cellStyle name="CALC Percent Total 2 5 8 2" xfId="29667"/>
    <cellStyle name="CALC Percent Total 2 5 8 2 2" xfId="48755"/>
    <cellStyle name="CALC Percent Total 2 5 8 3" xfId="36732"/>
    <cellStyle name="CALC Percent Total 2 5 8 4" xfId="48756"/>
    <cellStyle name="CALC Percent Total 2 5 9" xfId="22022"/>
    <cellStyle name="CALC Percent Total 2 5 9 2" xfId="30321"/>
    <cellStyle name="CALC Percent Total 2 5 9 2 2" xfId="48757"/>
    <cellStyle name="CALC Percent Total 2 5 9 3" xfId="37359"/>
    <cellStyle name="CALC Percent Total 2 5 9 4" xfId="48758"/>
    <cellStyle name="CALC Percent Total 2 6" xfId="14627"/>
    <cellStyle name="CALC Percent Total 2 6 10" xfId="22989"/>
    <cellStyle name="CALC Percent Total 2 6 10 2" xfId="48759"/>
    <cellStyle name="CALC Percent Total 2 6 11" xfId="48760"/>
    <cellStyle name="CALC Percent Total 2 6 2" xfId="15708"/>
    <cellStyle name="CALC Percent Total 2 6 2 2" xfId="24024"/>
    <cellStyle name="CALC Percent Total 2 6 2 2 2" xfId="48761"/>
    <cellStyle name="CALC Percent Total 2 6 2 3" xfId="31318"/>
    <cellStyle name="CALC Percent Total 2 6 2 4" xfId="48762"/>
    <cellStyle name="CALC Percent Total 2 6 3" xfId="16675"/>
    <cellStyle name="CALC Percent Total 2 6 3 2" xfId="24995"/>
    <cellStyle name="CALC Percent Total 2 6 3 2 2" xfId="48763"/>
    <cellStyle name="CALC Percent Total 2 6 3 3" xfId="32251"/>
    <cellStyle name="CALC Percent Total 2 6 3 4" xfId="48764"/>
    <cellStyle name="CALC Percent Total 2 6 4" xfId="17698"/>
    <cellStyle name="CALC Percent Total 2 6 4 2" xfId="26021"/>
    <cellStyle name="CALC Percent Total 2 6 4 2 2" xfId="48765"/>
    <cellStyle name="CALC Percent Total 2 6 4 3" xfId="33228"/>
    <cellStyle name="CALC Percent Total 2 6 4 4" xfId="48766"/>
    <cellStyle name="CALC Percent Total 2 6 5" xfId="18681"/>
    <cellStyle name="CALC Percent Total 2 6 5 2" xfId="27002"/>
    <cellStyle name="CALC Percent Total 2 6 5 2 2" xfId="48767"/>
    <cellStyle name="CALC Percent Total 2 6 5 3" xfId="34167"/>
    <cellStyle name="CALC Percent Total 2 6 5 4" xfId="48768"/>
    <cellStyle name="CALC Percent Total 2 6 6" xfId="19650"/>
    <cellStyle name="CALC Percent Total 2 6 6 2" xfId="27971"/>
    <cellStyle name="CALC Percent Total 2 6 6 2 2" xfId="48769"/>
    <cellStyle name="CALC Percent Total 2 6 6 3" xfId="35113"/>
    <cellStyle name="CALC Percent Total 2 6 6 4" xfId="48770"/>
    <cellStyle name="CALC Percent Total 2 6 7" xfId="20607"/>
    <cellStyle name="CALC Percent Total 2 6 7 2" xfId="28928"/>
    <cellStyle name="CALC Percent Total 2 6 7 2 2" xfId="48771"/>
    <cellStyle name="CALC Percent Total 2 6 7 3" xfId="36028"/>
    <cellStyle name="CALC Percent Total 2 6 7 4" xfId="48772"/>
    <cellStyle name="CALC Percent Total 2 6 8" xfId="21094"/>
    <cellStyle name="CALC Percent Total 2 6 8 2" xfId="29411"/>
    <cellStyle name="CALC Percent Total 2 6 8 2 2" xfId="48773"/>
    <cellStyle name="CALC Percent Total 2 6 8 3" xfId="36486"/>
    <cellStyle name="CALC Percent Total 2 6 8 4" xfId="48774"/>
    <cellStyle name="CALC Percent Total 2 6 9" xfId="22044"/>
    <cellStyle name="CALC Percent Total 2 6 9 2" xfId="30342"/>
    <cellStyle name="CALC Percent Total 2 6 9 2 2" xfId="48775"/>
    <cellStyle name="CALC Percent Total 2 6 9 3" xfId="37379"/>
    <cellStyle name="CALC Percent Total 2 6 9 4" xfId="48776"/>
    <cellStyle name="CALC Percent Total 2 7" xfId="14646"/>
    <cellStyle name="CALC Percent Total 2 7 10" xfId="23008"/>
    <cellStyle name="CALC Percent Total 2 7 10 2" xfId="48777"/>
    <cellStyle name="CALC Percent Total 2 7 11" xfId="48778"/>
    <cellStyle name="CALC Percent Total 2 7 2" xfId="15727"/>
    <cellStyle name="CALC Percent Total 2 7 2 2" xfId="24043"/>
    <cellStyle name="CALC Percent Total 2 7 2 2 2" xfId="48779"/>
    <cellStyle name="CALC Percent Total 2 7 2 3" xfId="31336"/>
    <cellStyle name="CALC Percent Total 2 7 2 4" xfId="48780"/>
    <cellStyle name="CALC Percent Total 2 7 3" xfId="16693"/>
    <cellStyle name="CALC Percent Total 2 7 3 2" xfId="25014"/>
    <cellStyle name="CALC Percent Total 2 7 3 2 2" xfId="48781"/>
    <cellStyle name="CALC Percent Total 2 7 3 3" xfId="32269"/>
    <cellStyle name="CALC Percent Total 2 7 3 4" xfId="48782"/>
    <cellStyle name="CALC Percent Total 2 7 4" xfId="17717"/>
    <cellStyle name="CALC Percent Total 2 7 4 2" xfId="26040"/>
    <cellStyle name="CALC Percent Total 2 7 4 2 2" xfId="48783"/>
    <cellStyle name="CALC Percent Total 2 7 4 3" xfId="33246"/>
    <cellStyle name="CALC Percent Total 2 7 4 4" xfId="48784"/>
    <cellStyle name="CALC Percent Total 2 7 5" xfId="18700"/>
    <cellStyle name="CALC Percent Total 2 7 5 2" xfId="27021"/>
    <cellStyle name="CALC Percent Total 2 7 5 2 2" xfId="48785"/>
    <cellStyle name="CALC Percent Total 2 7 5 3" xfId="34185"/>
    <cellStyle name="CALC Percent Total 2 7 5 4" xfId="48786"/>
    <cellStyle name="CALC Percent Total 2 7 6" xfId="19669"/>
    <cellStyle name="CALC Percent Total 2 7 6 2" xfId="27990"/>
    <cellStyle name="CALC Percent Total 2 7 6 2 2" xfId="48787"/>
    <cellStyle name="CALC Percent Total 2 7 6 3" xfId="35131"/>
    <cellStyle name="CALC Percent Total 2 7 6 4" xfId="48788"/>
    <cellStyle name="CALC Percent Total 2 7 7" xfId="20626"/>
    <cellStyle name="CALC Percent Total 2 7 7 2" xfId="28947"/>
    <cellStyle name="CALC Percent Total 2 7 7 2 2" xfId="48789"/>
    <cellStyle name="CALC Percent Total 2 7 7 3" xfId="36046"/>
    <cellStyle name="CALC Percent Total 2 7 7 4" xfId="48790"/>
    <cellStyle name="CALC Percent Total 2 7 8" xfId="15540"/>
    <cellStyle name="CALC Percent Total 2 7 8 2" xfId="23875"/>
    <cellStyle name="CALC Percent Total 2 7 8 2 2" xfId="48791"/>
    <cellStyle name="CALC Percent Total 2 7 8 3" xfId="31220"/>
    <cellStyle name="CALC Percent Total 2 7 8 4" xfId="48792"/>
    <cellStyle name="CALC Percent Total 2 7 9" xfId="22063"/>
    <cellStyle name="CALC Percent Total 2 7 9 2" xfId="30361"/>
    <cellStyle name="CALC Percent Total 2 7 9 2 2" xfId="48793"/>
    <cellStyle name="CALC Percent Total 2 7 9 3" xfId="37397"/>
    <cellStyle name="CALC Percent Total 2 7 9 4" xfId="48794"/>
    <cellStyle name="CALC Percent Total 2 8" xfId="14692"/>
    <cellStyle name="CALC Percent Total 2 8 10" xfId="23055"/>
    <cellStyle name="CALC Percent Total 2 8 10 2" xfId="48795"/>
    <cellStyle name="CALC Percent Total 2 8 11" xfId="48796"/>
    <cellStyle name="CALC Percent Total 2 8 2" xfId="15773"/>
    <cellStyle name="CALC Percent Total 2 8 2 2" xfId="24090"/>
    <cellStyle name="CALC Percent Total 2 8 2 2 2" xfId="48797"/>
    <cellStyle name="CALC Percent Total 2 8 2 3" xfId="31381"/>
    <cellStyle name="CALC Percent Total 2 8 2 4" xfId="48798"/>
    <cellStyle name="CALC Percent Total 2 8 3" xfId="16739"/>
    <cellStyle name="CALC Percent Total 2 8 3 2" xfId="25061"/>
    <cellStyle name="CALC Percent Total 2 8 3 2 2" xfId="48799"/>
    <cellStyle name="CALC Percent Total 2 8 3 3" xfId="32314"/>
    <cellStyle name="CALC Percent Total 2 8 3 4" xfId="48800"/>
    <cellStyle name="CALC Percent Total 2 8 4" xfId="17763"/>
    <cellStyle name="CALC Percent Total 2 8 4 2" xfId="26087"/>
    <cellStyle name="CALC Percent Total 2 8 4 2 2" xfId="48801"/>
    <cellStyle name="CALC Percent Total 2 8 4 3" xfId="33291"/>
    <cellStyle name="CALC Percent Total 2 8 4 4" xfId="48802"/>
    <cellStyle name="CALC Percent Total 2 8 5" xfId="18747"/>
    <cellStyle name="CALC Percent Total 2 8 5 2" xfId="27068"/>
    <cellStyle name="CALC Percent Total 2 8 5 2 2" xfId="48803"/>
    <cellStyle name="CALC Percent Total 2 8 5 3" xfId="34230"/>
    <cellStyle name="CALC Percent Total 2 8 5 4" xfId="48804"/>
    <cellStyle name="CALC Percent Total 2 8 6" xfId="19716"/>
    <cellStyle name="CALC Percent Total 2 8 6 2" xfId="28037"/>
    <cellStyle name="CALC Percent Total 2 8 6 2 2" xfId="48805"/>
    <cellStyle name="CALC Percent Total 2 8 6 3" xfId="35176"/>
    <cellStyle name="CALC Percent Total 2 8 6 4" xfId="48806"/>
    <cellStyle name="CALC Percent Total 2 8 7" xfId="20673"/>
    <cellStyle name="CALC Percent Total 2 8 7 2" xfId="28994"/>
    <cellStyle name="CALC Percent Total 2 8 7 2 2" xfId="48807"/>
    <cellStyle name="CALC Percent Total 2 8 7 3" xfId="36091"/>
    <cellStyle name="CALC Percent Total 2 8 7 4" xfId="48808"/>
    <cellStyle name="CALC Percent Total 2 8 8" xfId="21339"/>
    <cellStyle name="CALC Percent Total 2 8 8 2" xfId="29643"/>
    <cellStyle name="CALC Percent Total 2 8 8 2 2" xfId="48809"/>
    <cellStyle name="CALC Percent Total 2 8 8 3" xfId="36709"/>
    <cellStyle name="CALC Percent Total 2 8 8 4" xfId="48810"/>
    <cellStyle name="CALC Percent Total 2 8 9" xfId="22110"/>
    <cellStyle name="CALC Percent Total 2 8 9 2" xfId="30408"/>
    <cellStyle name="CALC Percent Total 2 8 9 2 2" xfId="48811"/>
    <cellStyle name="CALC Percent Total 2 8 9 3" xfId="37442"/>
    <cellStyle name="CALC Percent Total 2 8 9 4" xfId="48812"/>
    <cellStyle name="CALC Percent Total 2 9" xfId="14746"/>
    <cellStyle name="CALC Percent Total 2 9 10" xfId="23110"/>
    <cellStyle name="CALC Percent Total 2 9 10 2" xfId="48813"/>
    <cellStyle name="CALC Percent Total 2 9 11" xfId="48814"/>
    <cellStyle name="CALC Percent Total 2 9 12" xfId="48815"/>
    <cellStyle name="CALC Percent Total 2 9 2" xfId="15827"/>
    <cellStyle name="CALC Percent Total 2 9 2 2" xfId="24145"/>
    <cellStyle name="CALC Percent Total 2 9 2 2 2" xfId="48816"/>
    <cellStyle name="CALC Percent Total 2 9 2 3" xfId="31433"/>
    <cellStyle name="CALC Percent Total 2 9 2 4" xfId="48817"/>
    <cellStyle name="CALC Percent Total 2 9 3" xfId="16793"/>
    <cellStyle name="CALC Percent Total 2 9 3 2" xfId="25117"/>
    <cellStyle name="CALC Percent Total 2 9 3 2 2" xfId="48818"/>
    <cellStyle name="CALC Percent Total 2 9 3 3" xfId="32366"/>
    <cellStyle name="CALC Percent Total 2 9 3 4" xfId="48819"/>
    <cellStyle name="CALC Percent Total 2 9 4" xfId="17819"/>
    <cellStyle name="CALC Percent Total 2 9 4 2" xfId="26143"/>
    <cellStyle name="CALC Percent Total 2 9 4 2 2" xfId="48820"/>
    <cellStyle name="CALC Percent Total 2 9 4 3" xfId="33343"/>
    <cellStyle name="CALC Percent Total 2 9 4 4" xfId="48821"/>
    <cellStyle name="CALC Percent Total 2 9 5" xfId="18803"/>
    <cellStyle name="CALC Percent Total 2 9 5 2" xfId="27124"/>
    <cellStyle name="CALC Percent Total 2 9 5 2 2" xfId="48822"/>
    <cellStyle name="CALC Percent Total 2 9 5 3" xfId="34283"/>
    <cellStyle name="CALC Percent Total 2 9 5 4" xfId="48823"/>
    <cellStyle name="CALC Percent Total 2 9 6" xfId="19771"/>
    <cellStyle name="CALC Percent Total 2 9 6 2" xfId="28093"/>
    <cellStyle name="CALC Percent Total 2 9 6 2 2" xfId="48824"/>
    <cellStyle name="CALC Percent Total 2 9 6 3" xfId="35229"/>
    <cellStyle name="CALC Percent Total 2 9 6 4" xfId="48825"/>
    <cellStyle name="CALC Percent Total 2 9 7" xfId="20729"/>
    <cellStyle name="CALC Percent Total 2 9 7 2" xfId="29050"/>
    <cellStyle name="CALC Percent Total 2 9 7 2 2" xfId="48826"/>
    <cellStyle name="CALC Percent Total 2 9 7 3" xfId="36142"/>
    <cellStyle name="CALC Percent Total 2 9 7 4" xfId="48827"/>
    <cellStyle name="CALC Percent Total 2 9 8" xfId="21156"/>
    <cellStyle name="CALC Percent Total 2 9 8 2" xfId="29468"/>
    <cellStyle name="CALC Percent Total 2 9 8 2 2" xfId="48828"/>
    <cellStyle name="CALC Percent Total 2 9 8 3" xfId="36540"/>
    <cellStyle name="CALC Percent Total 2 9 8 4" xfId="48829"/>
    <cellStyle name="CALC Percent Total 2 9 9" xfId="22165"/>
    <cellStyle name="CALC Percent Total 2 9 9 2" xfId="30463"/>
    <cellStyle name="CALC Percent Total 2 9 9 2 2" xfId="48830"/>
    <cellStyle name="CALC Percent Total 2 9 9 3" xfId="37494"/>
    <cellStyle name="CALC Percent Total 2 9 9 4" xfId="48831"/>
    <cellStyle name="CALC Percent Total 20" xfId="14799"/>
    <cellStyle name="CALC Percent Total 20 10" xfId="23163"/>
    <cellStyle name="CALC Percent Total 20 10 2" xfId="48832"/>
    <cellStyle name="CALC Percent Total 20 11" xfId="48833"/>
    <cellStyle name="CALC Percent Total 20 12" xfId="48834"/>
    <cellStyle name="CALC Percent Total 20 2" xfId="15880"/>
    <cellStyle name="CALC Percent Total 20 2 2" xfId="24198"/>
    <cellStyle name="CALC Percent Total 20 2 2 2" xfId="48835"/>
    <cellStyle name="CALC Percent Total 20 2 3" xfId="31484"/>
    <cellStyle name="CALC Percent Total 20 2 4" xfId="48836"/>
    <cellStyle name="CALC Percent Total 20 3" xfId="16846"/>
    <cellStyle name="CALC Percent Total 20 3 2" xfId="25170"/>
    <cellStyle name="CALC Percent Total 20 3 2 2" xfId="48837"/>
    <cellStyle name="CALC Percent Total 20 3 3" xfId="32417"/>
    <cellStyle name="CALC Percent Total 20 3 4" xfId="48838"/>
    <cellStyle name="CALC Percent Total 20 4" xfId="17873"/>
    <cellStyle name="CALC Percent Total 20 4 2" xfId="26196"/>
    <cellStyle name="CALC Percent Total 20 4 2 2" xfId="48839"/>
    <cellStyle name="CALC Percent Total 20 4 3" xfId="33394"/>
    <cellStyle name="CALC Percent Total 20 4 4" xfId="48840"/>
    <cellStyle name="CALC Percent Total 20 5" xfId="18857"/>
    <cellStyle name="CALC Percent Total 20 5 2" xfId="27177"/>
    <cellStyle name="CALC Percent Total 20 5 2 2" xfId="48841"/>
    <cellStyle name="CALC Percent Total 20 5 3" xfId="34334"/>
    <cellStyle name="CALC Percent Total 20 5 4" xfId="48842"/>
    <cellStyle name="CALC Percent Total 20 6" xfId="19825"/>
    <cellStyle name="CALC Percent Total 20 6 2" xfId="28147"/>
    <cellStyle name="CALC Percent Total 20 6 2 2" xfId="48843"/>
    <cellStyle name="CALC Percent Total 20 6 3" xfId="35281"/>
    <cellStyle name="CALC Percent Total 20 6 4" xfId="48844"/>
    <cellStyle name="CALC Percent Total 20 7" xfId="20783"/>
    <cellStyle name="CALC Percent Total 20 7 2" xfId="29103"/>
    <cellStyle name="CALC Percent Total 20 7 2 2" xfId="48845"/>
    <cellStyle name="CALC Percent Total 20 7 3" xfId="36193"/>
    <cellStyle name="CALC Percent Total 20 7 4" xfId="48846"/>
    <cellStyle name="CALC Percent Total 20 8" xfId="21122"/>
    <cellStyle name="CALC Percent Total 20 8 2" xfId="29436"/>
    <cellStyle name="CALC Percent Total 20 8 2 2" xfId="48847"/>
    <cellStyle name="CALC Percent Total 20 8 3" xfId="36509"/>
    <cellStyle name="CALC Percent Total 20 8 4" xfId="48848"/>
    <cellStyle name="CALC Percent Total 20 9" xfId="22219"/>
    <cellStyle name="CALC Percent Total 20 9 2" xfId="30517"/>
    <cellStyle name="CALC Percent Total 20 9 2 2" xfId="48849"/>
    <cellStyle name="CALC Percent Total 20 9 3" xfId="37545"/>
    <cellStyle name="CALC Percent Total 20 9 4" xfId="48850"/>
    <cellStyle name="CALC Percent Total 21" xfId="14750"/>
    <cellStyle name="CALC Percent Total 21 10" xfId="23114"/>
    <cellStyle name="CALC Percent Total 21 10 2" xfId="48851"/>
    <cellStyle name="CALC Percent Total 21 11" xfId="48852"/>
    <cellStyle name="CALC Percent Total 21 12" xfId="48853"/>
    <cellStyle name="CALC Percent Total 21 2" xfId="15831"/>
    <cellStyle name="CALC Percent Total 21 2 2" xfId="24149"/>
    <cellStyle name="CALC Percent Total 21 2 2 2" xfId="48854"/>
    <cellStyle name="CALC Percent Total 21 2 3" xfId="31437"/>
    <cellStyle name="CALC Percent Total 21 2 4" xfId="48855"/>
    <cellStyle name="CALC Percent Total 21 3" xfId="16797"/>
    <cellStyle name="CALC Percent Total 21 3 2" xfId="25121"/>
    <cellStyle name="CALC Percent Total 21 3 2 2" xfId="48856"/>
    <cellStyle name="CALC Percent Total 21 3 3" xfId="32370"/>
    <cellStyle name="CALC Percent Total 21 3 4" xfId="48857"/>
    <cellStyle name="CALC Percent Total 21 4" xfId="17823"/>
    <cellStyle name="CALC Percent Total 21 4 2" xfId="26147"/>
    <cellStyle name="CALC Percent Total 21 4 2 2" xfId="48858"/>
    <cellStyle name="CALC Percent Total 21 4 3" xfId="33347"/>
    <cellStyle name="CALC Percent Total 21 4 4" xfId="48859"/>
    <cellStyle name="CALC Percent Total 21 5" xfId="18807"/>
    <cellStyle name="CALC Percent Total 21 5 2" xfId="27128"/>
    <cellStyle name="CALC Percent Total 21 5 2 2" xfId="48860"/>
    <cellStyle name="CALC Percent Total 21 5 3" xfId="34287"/>
    <cellStyle name="CALC Percent Total 21 5 4" xfId="48861"/>
    <cellStyle name="CALC Percent Total 21 6" xfId="19775"/>
    <cellStyle name="CALC Percent Total 21 6 2" xfId="28097"/>
    <cellStyle name="CALC Percent Total 21 6 2 2" xfId="48862"/>
    <cellStyle name="CALC Percent Total 21 6 3" xfId="35233"/>
    <cellStyle name="CALC Percent Total 21 6 4" xfId="48863"/>
    <cellStyle name="CALC Percent Total 21 7" xfId="20733"/>
    <cellStyle name="CALC Percent Total 21 7 2" xfId="29054"/>
    <cellStyle name="CALC Percent Total 21 7 2 2" xfId="48864"/>
    <cellStyle name="CALC Percent Total 21 7 3" xfId="36146"/>
    <cellStyle name="CALC Percent Total 21 7 4" xfId="48865"/>
    <cellStyle name="CALC Percent Total 21 8" xfId="17558"/>
    <cellStyle name="CALC Percent Total 21 8 2" xfId="25877"/>
    <cellStyle name="CALC Percent Total 21 8 2 2" xfId="48866"/>
    <cellStyle name="CALC Percent Total 21 8 3" xfId="33092"/>
    <cellStyle name="CALC Percent Total 21 8 4" xfId="48867"/>
    <cellStyle name="CALC Percent Total 21 9" xfId="22169"/>
    <cellStyle name="CALC Percent Total 21 9 2" xfId="30467"/>
    <cellStyle name="CALC Percent Total 21 9 2 2" xfId="48868"/>
    <cellStyle name="CALC Percent Total 21 9 3" xfId="37498"/>
    <cellStyle name="CALC Percent Total 21 9 4" xfId="48869"/>
    <cellStyle name="CALC Percent Total 22" xfId="14809"/>
    <cellStyle name="CALC Percent Total 22 10" xfId="23173"/>
    <cellStyle name="CALC Percent Total 22 10 2" xfId="48870"/>
    <cellStyle name="CALC Percent Total 22 11" xfId="48871"/>
    <cellStyle name="CALC Percent Total 22 12" xfId="48872"/>
    <cellStyle name="CALC Percent Total 22 2" xfId="15890"/>
    <cellStyle name="CALC Percent Total 22 2 2" xfId="24208"/>
    <cellStyle name="CALC Percent Total 22 2 2 2" xfId="48873"/>
    <cellStyle name="CALC Percent Total 22 2 3" xfId="31494"/>
    <cellStyle name="CALC Percent Total 22 2 4" xfId="48874"/>
    <cellStyle name="CALC Percent Total 22 3" xfId="16856"/>
    <cellStyle name="CALC Percent Total 22 3 2" xfId="25180"/>
    <cellStyle name="CALC Percent Total 22 3 2 2" xfId="48875"/>
    <cellStyle name="CALC Percent Total 22 3 3" xfId="32427"/>
    <cellStyle name="CALC Percent Total 22 3 4" xfId="48876"/>
    <cellStyle name="CALC Percent Total 22 4" xfId="17883"/>
    <cellStyle name="CALC Percent Total 22 4 2" xfId="26206"/>
    <cellStyle name="CALC Percent Total 22 4 2 2" xfId="48877"/>
    <cellStyle name="CALC Percent Total 22 4 3" xfId="33404"/>
    <cellStyle name="CALC Percent Total 22 4 4" xfId="48878"/>
    <cellStyle name="CALC Percent Total 22 5" xfId="18867"/>
    <cellStyle name="CALC Percent Total 22 5 2" xfId="27187"/>
    <cellStyle name="CALC Percent Total 22 5 2 2" xfId="48879"/>
    <cellStyle name="CALC Percent Total 22 5 3" xfId="34344"/>
    <cellStyle name="CALC Percent Total 22 5 4" xfId="48880"/>
    <cellStyle name="CALC Percent Total 22 6" xfId="19835"/>
    <cellStyle name="CALC Percent Total 22 6 2" xfId="28157"/>
    <cellStyle name="CALC Percent Total 22 6 2 2" xfId="48881"/>
    <cellStyle name="CALC Percent Total 22 6 3" xfId="35291"/>
    <cellStyle name="CALC Percent Total 22 6 4" xfId="48882"/>
    <cellStyle name="CALC Percent Total 22 7" xfId="20793"/>
    <cellStyle name="CALC Percent Total 22 7 2" xfId="29113"/>
    <cellStyle name="CALC Percent Total 22 7 2 2" xfId="48883"/>
    <cellStyle name="CALC Percent Total 22 7 3" xfId="36202"/>
    <cellStyle name="CALC Percent Total 22 7 4" xfId="48884"/>
    <cellStyle name="CALC Percent Total 22 8" xfId="21349"/>
    <cellStyle name="CALC Percent Total 22 8 2" xfId="29652"/>
    <cellStyle name="CALC Percent Total 22 8 2 2" xfId="48885"/>
    <cellStyle name="CALC Percent Total 22 8 3" xfId="36717"/>
    <cellStyle name="CALC Percent Total 22 8 4" xfId="48886"/>
    <cellStyle name="CALC Percent Total 22 9" xfId="22228"/>
    <cellStyle name="CALC Percent Total 22 9 2" xfId="30527"/>
    <cellStyle name="CALC Percent Total 22 9 2 2" xfId="48887"/>
    <cellStyle name="CALC Percent Total 22 9 3" xfId="37555"/>
    <cellStyle name="CALC Percent Total 22 9 4" xfId="48888"/>
    <cellStyle name="CALC Percent Total 23" xfId="14806"/>
    <cellStyle name="CALC Percent Total 23 10" xfId="23170"/>
    <cellStyle name="CALC Percent Total 23 10 2" xfId="48889"/>
    <cellStyle name="CALC Percent Total 23 11" xfId="48890"/>
    <cellStyle name="CALC Percent Total 23 12" xfId="48891"/>
    <cellStyle name="CALC Percent Total 23 2" xfId="15887"/>
    <cellStyle name="CALC Percent Total 23 2 2" xfId="24205"/>
    <cellStyle name="CALC Percent Total 23 2 2 2" xfId="48892"/>
    <cellStyle name="CALC Percent Total 23 2 3" xfId="31491"/>
    <cellStyle name="CALC Percent Total 23 2 4" xfId="48893"/>
    <cellStyle name="CALC Percent Total 23 3" xfId="16853"/>
    <cellStyle name="CALC Percent Total 23 3 2" xfId="25177"/>
    <cellStyle name="CALC Percent Total 23 3 2 2" xfId="48894"/>
    <cellStyle name="CALC Percent Total 23 3 3" xfId="32424"/>
    <cellStyle name="CALC Percent Total 23 3 4" xfId="48895"/>
    <cellStyle name="CALC Percent Total 23 4" xfId="17880"/>
    <cellStyle name="CALC Percent Total 23 4 2" xfId="26203"/>
    <cellStyle name="CALC Percent Total 23 4 2 2" xfId="48896"/>
    <cellStyle name="CALC Percent Total 23 4 3" xfId="33401"/>
    <cellStyle name="CALC Percent Total 23 4 4" xfId="48897"/>
    <cellStyle name="CALC Percent Total 23 5" xfId="18864"/>
    <cellStyle name="CALC Percent Total 23 5 2" xfId="27184"/>
    <cellStyle name="CALC Percent Total 23 5 2 2" xfId="48898"/>
    <cellStyle name="CALC Percent Total 23 5 3" xfId="34341"/>
    <cellStyle name="CALC Percent Total 23 5 4" xfId="48899"/>
    <cellStyle name="CALC Percent Total 23 6" xfId="19832"/>
    <cellStyle name="CALC Percent Total 23 6 2" xfId="28154"/>
    <cellStyle name="CALC Percent Total 23 6 2 2" xfId="48900"/>
    <cellStyle name="CALC Percent Total 23 6 3" xfId="35288"/>
    <cellStyle name="CALC Percent Total 23 6 4" xfId="48901"/>
    <cellStyle name="CALC Percent Total 23 7" xfId="20790"/>
    <cellStyle name="CALC Percent Total 23 7 2" xfId="29110"/>
    <cellStyle name="CALC Percent Total 23 7 2 2" xfId="48902"/>
    <cellStyle name="CALC Percent Total 23 7 3" xfId="36199"/>
    <cellStyle name="CALC Percent Total 23 7 4" xfId="48903"/>
    <cellStyle name="CALC Percent Total 23 8" xfId="21210"/>
    <cellStyle name="CALC Percent Total 23 8 2" xfId="29521"/>
    <cellStyle name="CALC Percent Total 23 8 2 2" xfId="48904"/>
    <cellStyle name="CALC Percent Total 23 8 3" xfId="36590"/>
    <cellStyle name="CALC Percent Total 23 8 4" xfId="48905"/>
    <cellStyle name="CALC Percent Total 23 9" xfId="22225"/>
    <cellStyle name="CALC Percent Total 23 9 2" xfId="30524"/>
    <cellStyle name="CALC Percent Total 23 9 2 2" xfId="48906"/>
    <cellStyle name="CALC Percent Total 23 9 3" xfId="37552"/>
    <cellStyle name="CALC Percent Total 23 9 4" xfId="48907"/>
    <cellStyle name="CALC Percent Total 24" xfId="14816"/>
    <cellStyle name="CALC Percent Total 24 10" xfId="23180"/>
    <cellStyle name="CALC Percent Total 24 10 2" xfId="48908"/>
    <cellStyle name="CALC Percent Total 24 11" xfId="48909"/>
    <cellStyle name="CALC Percent Total 24 12" xfId="48910"/>
    <cellStyle name="CALC Percent Total 24 2" xfId="15897"/>
    <cellStyle name="CALC Percent Total 24 2 2" xfId="24215"/>
    <cellStyle name="CALC Percent Total 24 2 2 2" xfId="48911"/>
    <cellStyle name="CALC Percent Total 24 2 3" xfId="31501"/>
    <cellStyle name="CALC Percent Total 24 2 4" xfId="48912"/>
    <cellStyle name="CALC Percent Total 24 3" xfId="16863"/>
    <cellStyle name="CALC Percent Total 24 3 2" xfId="25187"/>
    <cellStyle name="CALC Percent Total 24 3 2 2" xfId="48913"/>
    <cellStyle name="CALC Percent Total 24 3 3" xfId="32434"/>
    <cellStyle name="CALC Percent Total 24 3 4" xfId="48914"/>
    <cellStyle name="CALC Percent Total 24 4" xfId="17890"/>
    <cellStyle name="CALC Percent Total 24 4 2" xfId="26213"/>
    <cellStyle name="CALC Percent Total 24 4 2 2" xfId="48915"/>
    <cellStyle name="CALC Percent Total 24 4 3" xfId="33411"/>
    <cellStyle name="CALC Percent Total 24 4 4" xfId="48916"/>
    <cellStyle name="CALC Percent Total 24 5" xfId="18874"/>
    <cellStyle name="CALC Percent Total 24 5 2" xfId="27194"/>
    <cellStyle name="CALC Percent Total 24 5 2 2" xfId="48917"/>
    <cellStyle name="CALC Percent Total 24 5 3" xfId="34351"/>
    <cellStyle name="CALC Percent Total 24 5 4" xfId="48918"/>
    <cellStyle name="CALC Percent Total 24 6" xfId="19842"/>
    <cellStyle name="CALC Percent Total 24 6 2" xfId="28164"/>
    <cellStyle name="CALC Percent Total 24 6 2 2" xfId="48919"/>
    <cellStyle name="CALC Percent Total 24 6 3" xfId="35298"/>
    <cellStyle name="CALC Percent Total 24 6 4" xfId="48920"/>
    <cellStyle name="CALC Percent Total 24 7" xfId="20800"/>
    <cellStyle name="CALC Percent Total 24 7 2" xfId="29120"/>
    <cellStyle name="CALC Percent Total 24 7 2 2" xfId="48921"/>
    <cellStyle name="CALC Percent Total 24 7 3" xfId="36209"/>
    <cellStyle name="CALC Percent Total 24 7 4" xfId="48922"/>
    <cellStyle name="CALC Percent Total 24 8" xfId="21217"/>
    <cellStyle name="CALC Percent Total 24 8 2" xfId="29528"/>
    <cellStyle name="CALC Percent Total 24 8 2 2" xfId="48923"/>
    <cellStyle name="CALC Percent Total 24 8 3" xfId="36597"/>
    <cellStyle name="CALC Percent Total 24 8 4" xfId="48924"/>
    <cellStyle name="CALC Percent Total 24 9" xfId="22235"/>
    <cellStyle name="CALC Percent Total 24 9 2" xfId="30534"/>
    <cellStyle name="CALC Percent Total 24 9 2 2" xfId="48925"/>
    <cellStyle name="CALC Percent Total 24 9 3" xfId="37562"/>
    <cellStyle name="CALC Percent Total 24 9 4" xfId="48926"/>
    <cellStyle name="CALC Percent Total 25" xfId="14783"/>
    <cellStyle name="CALC Percent Total 25 10" xfId="23147"/>
    <cellStyle name="CALC Percent Total 25 10 2" xfId="48927"/>
    <cellStyle name="CALC Percent Total 25 11" xfId="48928"/>
    <cellStyle name="CALC Percent Total 25 12" xfId="48929"/>
    <cellStyle name="CALC Percent Total 25 2" xfId="15864"/>
    <cellStyle name="CALC Percent Total 25 2 2" xfId="24182"/>
    <cellStyle name="CALC Percent Total 25 2 2 2" xfId="48930"/>
    <cellStyle name="CALC Percent Total 25 2 3" xfId="31469"/>
    <cellStyle name="CALC Percent Total 25 2 4" xfId="48931"/>
    <cellStyle name="CALC Percent Total 25 3" xfId="16830"/>
    <cellStyle name="CALC Percent Total 25 3 2" xfId="25154"/>
    <cellStyle name="CALC Percent Total 25 3 2 2" xfId="48932"/>
    <cellStyle name="CALC Percent Total 25 3 3" xfId="32402"/>
    <cellStyle name="CALC Percent Total 25 3 4" xfId="48933"/>
    <cellStyle name="CALC Percent Total 25 4" xfId="17856"/>
    <cellStyle name="CALC Percent Total 25 4 2" xfId="26180"/>
    <cellStyle name="CALC Percent Total 25 4 2 2" xfId="48934"/>
    <cellStyle name="CALC Percent Total 25 4 3" xfId="33379"/>
    <cellStyle name="CALC Percent Total 25 4 4" xfId="48935"/>
    <cellStyle name="CALC Percent Total 25 5" xfId="18840"/>
    <cellStyle name="CALC Percent Total 25 5 2" xfId="27161"/>
    <cellStyle name="CALC Percent Total 25 5 2 2" xfId="48936"/>
    <cellStyle name="CALC Percent Total 25 5 3" xfId="34319"/>
    <cellStyle name="CALC Percent Total 25 5 4" xfId="48937"/>
    <cellStyle name="CALC Percent Total 25 6" xfId="19808"/>
    <cellStyle name="CALC Percent Total 25 6 2" xfId="28130"/>
    <cellStyle name="CALC Percent Total 25 6 2 2" xfId="48938"/>
    <cellStyle name="CALC Percent Total 25 6 3" xfId="35265"/>
    <cellStyle name="CALC Percent Total 25 6 4" xfId="48939"/>
    <cellStyle name="CALC Percent Total 25 7" xfId="20766"/>
    <cellStyle name="CALC Percent Total 25 7 2" xfId="29087"/>
    <cellStyle name="CALC Percent Total 25 7 2 2" xfId="48940"/>
    <cellStyle name="CALC Percent Total 25 7 3" xfId="36178"/>
    <cellStyle name="CALC Percent Total 25 7 4" xfId="48941"/>
    <cellStyle name="CALC Percent Total 25 8" xfId="21087"/>
    <cellStyle name="CALC Percent Total 25 8 2" xfId="29404"/>
    <cellStyle name="CALC Percent Total 25 8 2 2" xfId="48942"/>
    <cellStyle name="CALC Percent Total 25 8 3" xfId="36480"/>
    <cellStyle name="CALC Percent Total 25 8 4" xfId="48943"/>
    <cellStyle name="CALC Percent Total 25 9" xfId="22202"/>
    <cellStyle name="CALC Percent Total 25 9 2" xfId="30500"/>
    <cellStyle name="CALC Percent Total 25 9 2 2" xfId="48944"/>
    <cellStyle name="CALC Percent Total 25 9 3" xfId="37530"/>
    <cellStyle name="CALC Percent Total 25 9 4" xfId="48945"/>
    <cellStyle name="CALC Percent Total 26" xfId="14812"/>
    <cellStyle name="CALC Percent Total 26 10" xfId="23176"/>
    <cellStyle name="CALC Percent Total 26 10 2" xfId="48946"/>
    <cellStyle name="CALC Percent Total 26 11" xfId="48947"/>
    <cellStyle name="CALC Percent Total 26 12" xfId="48948"/>
    <cellStyle name="CALC Percent Total 26 2" xfId="15893"/>
    <cellStyle name="CALC Percent Total 26 2 2" xfId="24211"/>
    <cellStyle name="CALC Percent Total 26 2 2 2" xfId="48949"/>
    <cellStyle name="CALC Percent Total 26 2 3" xfId="31497"/>
    <cellStyle name="CALC Percent Total 26 2 4" xfId="48950"/>
    <cellStyle name="CALC Percent Total 26 3" xfId="16859"/>
    <cellStyle name="CALC Percent Total 26 3 2" xfId="25183"/>
    <cellStyle name="CALC Percent Total 26 3 2 2" xfId="48951"/>
    <cellStyle name="CALC Percent Total 26 3 3" xfId="32430"/>
    <cellStyle name="CALC Percent Total 26 3 4" xfId="48952"/>
    <cellStyle name="CALC Percent Total 26 4" xfId="17886"/>
    <cellStyle name="CALC Percent Total 26 4 2" xfId="26209"/>
    <cellStyle name="CALC Percent Total 26 4 2 2" xfId="48953"/>
    <cellStyle name="CALC Percent Total 26 4 3" xfId="33407"/>
    <cellStyle name="CALC Percent Total 26 4 4" xfId="48954"/>
    <cellStyle name="CALC Percent Total 26 5" xfId="18870"/>
    <cellStyle name="CALC Percent Total 26 5 2" xfId="27190"/>
    <cellStyle name="CALC Percent Total 26 5 2 2" xfId="48955"/>
    <cellStyle name="CALC Percent Total 26 5 3" xfId="34347"/>
    <cellStyle name="CALC Percent Total 26 5 4" xfId="48956"/>
    <cellStyle name="CALC Percent Total 26 6" xfId="19838"/>
    <cellStyle name="CALC Percent Total 26 6 2" xfId="28160"/>
    <cellStyle name="CALC Percent Total 26 6 2 2" xfId="48957"/>
    <cellStyle name="CALC Percent Total 26 6 3" xfId="35294"/>
    <cellStyle name="CALC Percent Total 26 6 4" xfId="48958"/>
    <cellStyle name="CALC Percent Total 26 7" xfId="20796"/>
    <cellStyle name="CALC Percent Total 26 7 2" xfId="29116"/>
    <cellStyle name="CALC Percent Total 26 7 2 2" xfId="48959"/>
    <cellStyle name="CALC Percent Total 26 7 3" xfId="36205"/>
    <cellStyle name="CALC Percent Total 26 7 4" xfId="48960"/>
    <cellStyle name="CALC Percent Total 26 8" xfId="21313"/>
    <cellStyle name="CALC Percent Total 26 8 2" xfId="29619"/>
    <cellStyle name="CALC Percent Total 26 8 2 2" xfId="48961"/>
    <cellStyle name="CALC Percent Total 26 8 3" xfId="36686"/>
    <cellStyle name="CALC Percent Total 26 8 4" xfId="48962"/>
    <cellStyle name="CALC Percent Total 26 9" xfId="22231"/>
    <cellStyle name="CALC Percent Total 26 9 2" xfId="30530"/>
    <cellStyle name="CALC Percent Total 26 9 2 2" xfId="48963"/>
    <cellStyle name="CALC Percent Total 26 9 3" xfId="37558"/>
    <cellStyle name="CALC Percent Total 26 9 4" xfId="48964"/>
    <cellStyle name="CALC Percent Total 27" xfId="14786"/>
    <cellStyle name="CALC Percent Total 27 10" xfId="23151"/>
    <cellStyle name="CALC Percent Total 27 10 2" xfId="48965"/>
    <cellStyle name="CALC Percent Total 27 11" xfId="48966"/>
    <cellStyle name="CALC Percent Total 27 12" xfId="48967"/>
    <cellStyle name="CALC Percent Total 27 2" xfId="15867"/>
    <cellStyle name="CALC Percent Total 27 2 2" xfId="24186"/>
    <cellStyle name="CALC Percent Total 27 2 2 2" xfId="48968"/>
    <cellStyle name="CALC Percent Total 27 2 3" xfId="31473"/>
    <cellStyle name="CALC Percent Total 27 2 4" xfId="48969"/>
    <cellStyle name="CALC Percent Total 27 3" xfId="16833"/>
    <cellStyle name="CALC Percent Total 27 3 2" xfId="25158"/>
    <cellStyle name="CALC Percent Total 27 3 2 2" xfId="48970"/>
    <cellStyle name="CALC Percent Total 27 3 3" xfId="32406"/>
    <cellStyle name="CALC Percent Total 27 3 4" xfId="48971"/>
    <cellStyle name="CALC Percent Total 27 4" xfId="17860"/>
    <cellStyle name="CALC Percent Total 27 4 2" xfId="26184"/>
    <cellStyle name="CALC Percent Total 27 4 2 2" xfId="48972"/>
    <cellStyle name="CALC Percent Total 27 4 3" xfId="33383"/>
    <cellStyle name="CALC Percent Total 27 4 4" xfId="48973"/>
    <cellStyle name="CALC Percent Total 27 5" xfId="18844"/>
    <cellStyle name="CALC Percent Total 27 5 2" xfId="27165"/>
    <cellStyle name="CALC Percent Total 27 5 2 2" xfId="48974"/>
    <cellStyle name="CALC Percent Total 27 5 3" xfId="34323"/>
    <cellStyle name="CALC Percent Total 27 5 4" xfId="48975"/>
    <cellStyle name="CALC Percent Total 27 6" xfId="19812"/>
    <cellStyle name="CALC Percent Total 27 6 2" xfId="28134"/>
    <cellStyle name="CALC Percent Total 27 6 2 2" xfId="48976"/>
    <cellStyle name="CALC Percent Total 27 6 3" xfId="35269"/>
    <cellStyle name="CALC Percent Total 27 6 4" xfId="48977"/>
    <cellStyle name="CALC Percent Total 27 7" xfId="20770"/>
    <cellStyle name="CALC Percent Total 27 7 2" xfId="29091"/>
    <cellStyle name="CALC Percent Total 27 7 2 2" xfId="48978"/>
    <cellStyle name="CALC Percent Total 27 7 3" xfId="36182"/>
    <cellStyle name="CALC Percent Total 27 7 4" xfId="48979"/>
    <cellStyle name="CALC Percent Total 27 8" xfId="15498"/>
    <cellStyle name="CALC Percent Total 27 8 2" xfId="23838"/>
    <cellStyle name="CALC Percent Total 27 8 2 2" xfId="48980"/>
    <cellStyle name="CALC Percent Total 27 8 3" xfId="31187"/>
    <cellStyle name="CALC Percent Total 27 8 4" xfId="48981"/>
    <cellStyle name="CALC Percent Total 27 9" xfId="22206"/>
    <cellStyle name="CALC Percent Total 27 9 2" xfId="30504"/>
    <cellStyle name="CALC Percent Total 27 9 2 2" xfId="48982"/>
    <cellStyle name="CALC Percent Total 27 9 3" xfId="37534"/>
    <cellStyle name="CALC Percent Total 27 9 4" xfId="48983"/>
    <cellStyle name="CALC Percent Total 28" xfId="14839"/>
    <cellStyle name="CALC Percent Total 28 10" xfId="23202"/>
    <cellStyle name="CALC Percent Total 28 10 2" xfId="48984"/>
    <cellStyle name="CALC Percent Total 28 11" xfId="48985"/>
    <cellStyle name="CALC Percent Total 28 12" xfId="48986"/>
    <cellStyle name="CALC Percent Total 28 2" xfId="15920"/>
    <cellStyle name="CALC Percent Total 28 2 2" xfId="24237"/>
    <cellStyle name="CALC Percent Total 28 2 2 2" xfId="48987"/>
    <cellStyle name="CALC Percent Total 28 2 3" xfId="31521"/>
    <cellStyle name="CALC Percent Total 28 2 4" xfId="48988"/>
    <cellStyle name="CALC Percent Total 28 3" xfId="16886"/>
    <cellStyle name="CALC Percent Total 28 3 2" xfId="25209"/>
    <cellStyle name="CALC Percent Total 28 3 2 2" xfId="48989"/>
    <cellStyle name="CALC Percent Total 28 3 3" xfId="32454"/>
    <cellStyle name="CALC Percent Total 28 3 4" xfId="48990"/>
    <cellStyle name="CALC Percent Total 28 4" xfId="17913"/>
    <cellStyle name="CALC Percent Total 28 4 2" xfId="26235"/>
    <cellStyle name="CALC Percent Total 28 4 2 2" xfId="48991"/>
    <cellStyle name="CALC Percent Total 28 4 3" xfId="33431"/>
    <cellStyle name="CALC Percent Total 28 4 4" xfId="48992"/>
    <cellStyle name="CALC Percent Total 28 5" xfId="18897"/>
    <cellStyle name="CALC Percent Total 28 5 2" xfId="27217"/>
    <cellStyle name="CALC Percent Total 28 5 2 2" xfId="48993"/>
    <cellStyle name="CALC Percent Total 28 5 3" xfId="34372"/>
    <cellStyle name="CALC Percent Total 28 5 4" xfId="48994"/>
    <cellStyle name="CALC Percent Total 28 6" xfId="19865"/>
    <cellStyle name="CALC Percent Total 28 6 2" xfId="28187"/>
    <cellStyle name="CALC Percent Total 28 6 2 2" xfId="48995"/>
    <cellStyle name="CALC Percent Total 28 6 3" xfId="35319"/>
    <cellStyle name="CALC Percent Total 28 6 4" xfId="48996"/>
    <cellStyle name="CALC Percent Total 28 7" xfId="20823"/>
    <cellStyle name="CALC Percent Total 28 7 2" xfId="29142"/>
    <cellStyle name="CALC Percent Total 28 7 2 2" xfId="48997"/>
    <cellStyle name="CALC Percent Total 28 7 3" xfId="36229"/>
    <cellStyle name="CALC Percent Total 28 7 4" xfId="48998"/>
    <cellStyle name="CALC Percent Total 28 8" xfId="21302"/>
    <cellStyle name="CALC Percent Total 28 8 2" xfId="29609"/>
    <cellStyle name="CALC Percent Total 28 8 2 2" xfId="48999"/>
    <cellStyle name="CALC Percent Total 28 8 3" xfId="36676"/>
    <cellStyle name="CALC Percent Total 28 8 4" xfId="49000"/>
    <cellStyle name="CALC Percent Total 28 9" xfId="22258"/>
    <cellStyle name="CALC Percent Total 28 9 2" xfId="30556"/>
    <cellStyle name="CALC Percent Total 28 9 2 2" xfId="49001"/>
    <cellStyle name="CALC Percent Total 28 9 3" xfId="37582"/>
    <cellStyle name="CALC Percent Total 28 9 4" xfId="49002"/>
    <cellStyle name="CALC Percent Total 29" xfId="14843"/>
    <cellStyle name="CALC Percent Total 29 10" xfId="23206"/>
    <cellStyle name="CALC Percent Total 29 10 2" xfId="49003"/>
    <cellStyle name="CALC Percent Total 29 11" xfId="49004"/>
    <cellStyle name="CALC Percent Total 29 12" xfId="49005"/>
    <cellStyle name="CALC Percent Total 29 2" xfId="15924"/>
    <cellStyle name="CALC Percent Total 29 2 2" xfId="24241"/>
    <cellStyle name="CALC Percent Total 29 2 2 2" xfId="49006"/>
    <cellStyle name="CALC Percent Total 29 2 3" xfId="31525"/>
    <cellStyle name="CALC Percent Total 29 2 4" xfId="49007"/>
    <cellStyle name="CALC Percent Total 29 3" xfId="16890"/>
    <cellStyle name="CALC Percent Total 29 3 2" xfId="25213"/>
    <cellStyle name="CALC Percent Total 29 3 2 2" xfId="49008"/>
    <cellStyle name="CALC Percent Total 29 3 3" xfId="32458"/>
    <cellStyle name="CALC Percent Total 29 3 4" xfId="49009"/>
    <cellStyle name="CALC Percent Total 29 4" xfId="17917"/>
    <cellStyle name="CALC Percent Total 29 4 2" xfId="26239"/>
    <cellStyle name="CALC Percent Total 29 4 2 2" xfId="49010"/>
    <cellStyle name="CALC Percent Total 29 4 3" xfId="33435"/>
    <cellStyle name="CALC Percent Total 29 4 4" xfId="49011"/>
    <cellStyle name="CALC Percent Total 29 5" xfId="18901"/>
    <cellStyle name="CALC Percent Total 29 5 2" xfId="27221"/>
    <cellStyle name="CALC Percent Total 29 5 2 2" xfId="49012"/>
    <cellStyle name="CALC Percent Total 29 5 3" xfId="34376"/>
    <cellStyle name="CALC Percent Total 29 5 4" xfId="49013"/>
    <cellStyle name="CALC Percent Total 29 6" xfId="19869"/>
    <cellStyle name="CALC Percent Total 29 6 2" xfId="28191"/>
    <cellStyle name="CALC Percent Total 29 6 2 2" xfId="49014"/>
    <cellStyle name="CALC Percent Total 29 6 3" xfId="35323"/>
    <cellStyle name="CALC Percent Total 29 6 4" xfId="49015"/>
    <cellStyle name="CALC Percent Total 29 7" xfId="20827"/>
    <cellStyle name="CALC Percent Total 29 7 2" xfId="29146"/>
    <cellStyle name="CALC Percent Total 29 7 2 2" xfId="49016"/>
    <cellStyle name="CALC Percent Total 29 7 3" xfId="36233"/>
    <cellStyle name="CALC Percent Total 29 7 4" xfId="49017"/>
    <cellStyle name="CALC Percent Total 29 8" xfId="21201"/>
    <cellStyle name="CALC Percent Total 29 8 2" xfId="29513"/>
    <cellStyle name="CALC Percent Total 29 8 2 2" xfId="49018"/>
    <cellStyle name="CALC Percent Total 29 8 3" xfId="36583"/>
    <cellStyle name="CALC Percent Total 29 8 4" xfId="49019"/>
    <cellStyle name="CALC Percent Total 29 9" xfId="22262"/>
    <cellStyle name="CALC Percent Total 29 9 2" xfId="30560"/>
    <cellStyle name="CALC Percent Total 29 9 2 2" xfId="49020"/>
    <cellStyle name="CALC Percent Total 29 9 3" xfId="37586"/>
    <cellStyle name="CALC Percent Total 29 9 4" xfId="49021"/>
    <cellStyle name="CALC Percent Total 3" xfId="14535"/>
    <cellStyle name="CALC Percent Total 3 2" xfId="15611"/>
    <cellStyle name="CALC Percent Total 3 2 2" xfId="23925"/>
    <cellStyle name="CALC Percent Total 3 2 2 2" xfId="49022"/>
    <cellStyle name="CALC Percent Total 3 2 3" xfId="49023"/>
    <cellStyle name="CALC Percent Total 3 2 4" xfId="49024"/>
    <cellStyle name="CALC Percent Total 3 3" xfId="16580"/>
    <cellStyle name="CALC Percent Total 3 3 2" xfId="24896"/>
    <cellStyle name="CALC Percent Total 3 3 2 2" xfId="49025"/>
    <cellStyle name="CALC Percent Total 3 3 3" xfId="32156"/>
    <cellStyle name="CALC Percent Total 3 3 4" xfId="49026"/>
    <cellStyle name="CALC Percent Total 3 4" xfId="17598"/>
    <cellStyle name="CALC Percent Total 3 4 2" xfId="25920"/>
    <cellStyle name="CALC Percent Total 3 4 2 2" xfId="49027"/>
    <cellStyle name="CALC Percent Total 3 4 3" xfId="33133"/>
    <cellStyle name="CALC Percent Total 3 4 4" xfId="49028"/>
    <cellStyle name="CALC Percent Total 3 5" xfId="18579"/>
    <cellStyle name="CALC Percent Total 3 5 2" xfId="26898"/>
    <cellStyle name="CALC Percent Total 3 5 2 2" xfId="49029"/>
    <cellStyle name="CALC Percent Total 3 5 3" xfId="34067"/>
    <cellStyle name="CALC Percent Total 3 5 4" xfId="49030"/>
    <cellStyle name="CALC Percent Total 3 6" xfId="19547"/>
    <cellStyle name="CALC Percent Total 3 6 2" xfId="27868"/>
    <cellStyle name="CALC Percent Total 3 6 2 2" xfId="49031"/>
    <cellStyle name="CALC Percent Total 3 6 3" xfId="35016"/>
    <cellStyle name="CALC Percent Total 3 6 4" xfId="49032"/>
    <cellStyle name="CALC Percent Total 3 7" xfId="19454"/>
    <cellStyle name="CALC Percent Total 3 7 2" xfId="27775"/>
    <cellStyle name="CALC Percent Total 3 7 2 2" xfId="49033"/>
    <cellStyle name="CALC Percent Total 3 7 3" xfId="34923"/>
    <cellStyle name="CALC Percent Total 3 7 4" xfId="49034"/>
    <cellStyle name="CALC Percent Total 3 8" xfId="22889"/>
    <cellStyle name="CALC Percent Total 3 8 2" xfId="49035"/>
    <cellStyle name="CALC Percent Total 30" xfId="14840"/>
    <cellStyle name="CALC Percent Total 30 10" xfId="23203"/>
    <cellStyle name="CALC Percent Total 30 10 2" xfId="49036"/>
    <cellStyle name="CALC Percent Total 30 11" xfId="49037"/>
    <cellStyle name="CALC Percent Total 30 12" xfId="49038"/>
    <cellStyle name="CALC Percent Total 30 2" xfId="15921"/>
    <cellStyle name="CALC Percent Total 30 2 2" xfId="24238"/>
    <cellStyle name="CALC Percent Total 30 2 2 2" xfId="49039"/>
    <cellStyle name="CALC Percent Total 30 2 3" xfId="31522"/>
    <cellStyle name="CALC Percent Total 30 2 4" xfId="49040"/>
    <cellStyle name="CALC Percent Total 30 3" xfId="16887"/>
    <cellStyle name="CALC Percent Total 30 3 2" xfId="25210"/>
    <cellStyle name="CALC Percent Total 30 3 2 2" xfId="49041"/>
    <cellStyle name="CALC Percent Total 30 3 3" xfId="32455"/>
    <cellStyle name="CALC Percent Total 30 3 4" xfId="49042"/>
    <cellStyle name="CALC Percent Total 30 4" xfId="17914"/>
    <cellStyle name="CALC Percent Total 30 4 2" xfId="26236"/>
    <cellStyle name="CALC Percent Total 30 4 2 2" xfId="49043"/>
    <cellStyle name="CALC Percent Total 30 4 3" xfId="33432"/>
    <cellStyle name="CALC Percent Total 30 4 4" xfId="49044"/>
    <cellStyle name="CALC Percent Total 30 5" xfId="18898"/>
    <cellStyle name="CALC Percent Total 30 5 2" xfId="27218"/>
    <cellStyle name="CALC Percent Total 30 5 2 2" xfId="49045"/>
    <cellStyle name="CALC Percent Total 30 5 3" xfId="34373"/>
    <cellStyle name="CALC Percent Total 30 5 4" xfId="49046"/>
    <cellStyle name="CALC Percent Total 30 6" xfId="19866"/>
    <cellStyle name="CALC Percent Total 30 6 2" xfId="28188"/>
    <cellStyle name="CALC Percent Total 30 6 2 2" xfId="49047"/>
    <cellStyle name="CALC Percent Total 30 6 3" xfId="35320"/>
    <cellStyle name="CALC Percent Total 30 6 4" xfId="49048"/>
    <cellStyle name="CALC Percent Total 30 7" xfId="20824"/>
    <cellStyle name="CALC Percent Total 30 7 2" xfId="29143"/>
    <cellStyle name="CALC Percent Total 30 7 2 2" xfId="49049"/>
    <cellStyle name="CALC Percent Total 30 7 3" xfId="36230"/>
    <cellStyle name="CALC Percent Total 30 7 4" xfId="49050"/>
    <cellStyle name="CALC Percent Total 30 8" xfId="21259"/>
    <cellStyle name="CALC Percent Total 30 8 2" xfId="29568"/>
    <cellStyle name="CALC Percent Total 30 8 2 2" xfId="49051"/>
    <cellStyle name="CALC Percent Total 30 8 3" xfId="36636"/>
    <cellStyle name="CALC Percent Total 30 8 4" xfId="49052"/>
    <cellStyle name="CALC Percent Total 30 9" xfId="22259"/>
    <cellStyle name="CALC Percent Total 30 9 2" xfId="30557"/>
    <cellStyle name="CALC Percent Total 30 9 2 2" xfId="49053"/>
    <cellStyle name="CALC Percent Total 30 9 3" xfId="37583"/>
    <cellStyle name="CALC Percent Total 30 9 4" xfId="49054"/>
    <cellStyle name="CALC Percent Total 31" xfId="14844"/>
    <cellStyle name="CALC Percent Total 31 10" xfId="23207"/>
    <cellStyle name="CALC Percent Total 31 10 2" xfId="49055"/>
    <cellStyle name="CALC Percent Total 31 11" xfId="49056"/>
    <cellStyle name="CALC Percent Total 31 12" xfId="49057"/>
    <cellStyle name="CALC Percent Total 31 2" xfId="15925"/>
    <cellStyle name="CALC Percent Total 31 2 2" xfId="24242"/>
    <cellStyle name="CALC Percent Total 31 2 2 2" xfId="49058"/>
    <cellStyle name="CALC Percent Total 31 2 3" xfId="31526"/>
    <cellStyle name="CALC Percent Total 31 2 4" xfId="49059"/>
    <cellStyle name="CALC Percent Total 31 3" xfId="16891"/>
    <cellStyle name="CALC Percent Total 31 3 2" xfId="25214"/>
    <cellStyle name="CALC Percent Total 31 3 2 2" xfId="49060"/>
    <cellStyle name="CALC Percent Total 31 3 3" xfId="32459"/>
    <cellStyle name="CALC Percent Total 31 3 4" xfId="49061"/>
    <cellStyle name="CALC Percent Total 31 4" xfId="17918"/>
    <cellStyle name="CALC Percent Total 31 4 2" xfId="26240"/>
    <cellStyle name="CALC Percent Total 31 4 2 2" xfId="49062"/>
    <cellStyle name="CALC Percent Total 31 4 3" xfId="33436"/>
    <cellStyle name="CALC Percent Total 31 4 4" xfId="49063"/>
    <cellStyle name="CALC Percent Total 31 5" xfId="18902"/>
    <cellStyle name="CALC Percent Total 31 5 2" xfId="27222"/>
    <cellStyle name="CALC Percent Total 31 5 2 2" xfId="49064"/>
    <cellStyle name="CALC Percent Total 31 5 3" xfId="34377"/>
    <cellStyle name="CALC Percent Total 31 5 4" xfId="49065"/>
    <cellStyle name="CALC Percent Total 31 6" xfId="19870"/>
    <cellStyle name="CALC Percent Total 31 6 2" xfId="28192"/>
    <cellStyle name="CALC Percent Total 31 6 2 2" xfId="49066"/>
    <cellStyle name="CALC Percent Total 31 6 3" xfId="35324"/>
    <cellStyle name="CALC Percent Total 31 6 4" xfId="49067"/>
    <cellStyle name="CALC Percent Total 31 7" xfId="20828"/>
    <cellStyle name="CALC Percent Total 31 7 2" xfId="29147"/>
    <cellStyle name="CALC Percent Total 31 7 2 2" xfId="49068"/>
    <cellStyle name="CALC Percent Total 31 7 3" xfId="36234"/>
    <cellStyle name="CALC Percent Total 31 7 4" xfId="49069"/>
    <cellStyle name="CALC Percent Total 31 8" xfId="17564"/>
    <cellStyle name="CALC Percent Total 31 8 2" xfId="25883"/>
    <cellStyle name="CALC Percent Total 31 8 2 2" xfId="49070"/>
    <cellStyle name="CALC Percent Total 31 8 3" xfId="33098"/>
    <cellStyle name="CALC Percent Total 31 8 4" xfId="49071"/>
    <cellStyle name="CALC Percent Total 31 9" xfId="22263"/>
    <cellStyle name="CALC Percent Total 31 9 2" xfId="30561"/>
    <cellStyle name="CALC Percent Total 31 9 2 2" xfId="49072"/>
    <cellStyle name="CALC Percent Total 31 9 3" xfId="37587"/>
    <cellStyle name="CALC Percent Total 31 9 4" xfId="49073"/>
    <cellStyle name="CALC Percent Total 32" xfId="14847"/>
    <cellStyle name="CALC Percent Total 32 10" xfId="23210"/>
    <cellStyle name="CALC Percent Total 32 10 2" xfId="49074"/>
    <cellStyle name="CALC Percent Total 32 11" xfId="49075"/>
    <cellStyle name="CALC Percent Total 32 12" xfId="49076"/>
    <cellStyle name="CALC Percent Total 32 2" xfId="15928"/>
    <cellStyle name="CALC Percent Total 32 2 2" xfId="24245"/>
    <cellStyle name="CALC Percent Total 32 2 2 2" xfId="49077"/>
    <cellStyle name="CALC Percent Total 32 2 3" xfId="31529"/>
    <cellStyle name="CALC Percent Total 32 2 4" xfId="49078"/>
    <cellStyle name="CALC Percent Total 32 3" xfId="16894"/>
    <cellStyle name="CALC Percent Total 32 3 2" xfId="25217"/>
    <cellStyle name="CALC Percent Total 32 3 2 2" xfId="49079"/>
    <cellStyle name="CALC Percent Total 32 3 3" xfId="32462"/>
    <cellStyle name="CALC Percent Total 32 3 4" xfId="49080"/>
    <cellStyle name="CALC Percent Total 32 4" xfId="17921"/>
    <cellStyle name="CALC Percent Total 32 4 2" xfId="26243"/>
    <cellStyle name="CALC Percent Total 32 4 2 2" xfId="49081"/>
    <cellStyle name="CALC Percent Total 32 4 3" xfId="33439"/>
    <cellStyle name="CALC Percent Total 32 4 4" xfId="49082"/>
    <cellStyle name="CALC Percent Total 32 5" xfId="18905"/>
    <cellStyle name="CALC Percent Total 32 5 2" xfId="27225"/>
    <cellStyle name="CALC Percent Total 32 5 2 2" xfId="49083"/>
    <cellStyle name="CALC Percent Total 32 5 3" xfId="34380"/>
    <cellStyle name="CALC Percent Total 32 5 4" xfId="49084"/>
    <cellStyle name="CALC Percent Total 32 6" xfId="19873"/>
    <cellStyle name="CALC Percent Total 32 6 2" xfId="28195"/>
    <cellStyle name="CALC Percent Total 32 6 2 2" xfId="49085"/>
    <cellStyle name="CALC Percent Total 32 6 3" xfId="35327"/>
    <cellStyle name="CALC Percent Total 32 6 4" xfId="49086"/>
    <cellStyle name="CALC Percent Total 32 7" xfId="20831"/>
    <cellStyle name="CALC Percent Total 32 7 2" xfId="29150"/>
    <cellStyle name="CALC Percent Total 32 7 2 2" xfId="49087"/>
    <cellStyle name="CALC Percent Total 32 7 3" xfId="36237"/>
    <cellStyle name="CALC Percent Total 32 7 4" xfId="49088"/>
    <cellStyle name="CALC Percent Total 32 8" xfId="21127"/>
    <cellStyle name="CALC Percent Total 32 8 2" xfId="29441"/>
    <cellStyle name="CALC Percent Total 32 8 2 2" xfId="49089"/>
    <cellStyle name="CALC Percent Total 32 8 3" xfId="36514"/>
    <cellStyle name="CALC Percent Total 32 8 4" xfId="49090"/>
    <cellStyle name="CALC Percent Total 32 9" xfId="22266"/>
    <cellStyle name="CALC Percent Total 32 9 2" xfId="30564"/>
    <cellStyle name="CALC Percent Total 32 9 2 2" xfId="49091"/>
    <cellStyle name="CALC Percent Total 32 9 3" xfId="37590"/>
    <cellStyle name="CALC Percent Total 32 9 4" xfId="49092"/>
    <cellStyle name="CALC Percent Total 33" xfId="14789"/>
    <cellStyle name="CALC Percent Total 33 10" xfId="23154"/>
    <cellStyle name="CALC Percent Total 33 10 2" xfId="49093"/>
    <cellStyle name="CALC Percent Total 33 11" xfId="49094"/>
    <cellStyle name="CALC Percent Total 33 12" xfId="49095"/>
    <cellStyle name="CALC Percent Total 33 2" xfId="15870"/>
    <cellStyle name="CALC Percent Total 33 2 2" xfId="24189"/>
    <cellStyle name="CALC Percent Total 33 2 2 2" xfId="49096"/>
    <cellStyle name="CALC Percent Total 33 2 3" xfId="31475"/>
    <cellStyle name="CALC Percent Total 33 2 4" xfId="49097"/>
    <cellStyle name="CALC Percent Total 33 3" xfId="16836"/>
    <cellStyle name="CALC Percent Total 33 3 2" xfId="25161"/>
    <cellStyle name="CALC Percent Total 33 3 2 2" xfId="49098"/>
    <cellStyle name="CALC Percent Total 33 3 3" xfId="32408"/>
    <cellStyle name="CALC Percent Total 33 3 4" xfId="49099"/>
    <cellStyle name="CALC Percent Total 33 4" xfId="17863"/>
    <cellStyle name="CALC Percent Total 33 4 2" xfId="26187"/>
    <cellStyle name="CALC Percent Total 33 4 2 2" xfId="49100"/>
    <cellStyle name="CALC Percent Total 33 4 3" xfId="33385"/>
    <cellStyle name="CALC Percent Total 33 4 4" xfId="49101"/>
    <cellStyle name="CALC Percent Total 33 5" xfId="18847"/>
    <cellStyle name="CALC Percent Total 33 5 2" xfId="27168"/>
    <cellStyle name="CALC Percent Total 33 5 2 2" xfId="49102"/>
    <cellStyle name="CALC Percent Total 33 5 3" xfId="34325"/>
    <cellStyle name="CALC Percent Total 33 5 4" xfId="49103"/>
    <cellStyle name="CALC Percent Total 33 6" xfId="19815"/>
    <cellStyle name="CALC Percent Total 33 6 2" xfId="28137"/>
    <cellStyle name="CALC Percent Total 33 6 2 2" xfId="49104"/>
    <cellStyle name="CALC Percent Total 33 6 3" xfId="35271"/>
    <cellStyle name="CALC Percent Total 33 6 4" xfId="49105"/>
    <cellStyle name="CALC Percent Total 33 7" xfId="20773"/>
    <cellStyle name="CALC Percent Total 33 7 2" xfId="29094"/>
    <cellStyle name="CALC Percent Total 33 7 2 2" xfId="49106"/>
    <cellStyle name="CALC Percent Total 33 7 3" xfId="36184"/>
    <cellStyle name="CALC Percent Total 33 7 4" xfId="49107"/>
    <cellStyle name="CALC Percent Total 33 8" xfId="21336"/>
    <cellStyle name="CALC Percent Total 33 8 2" xfId="29640"/>
    <cellStyle name="CALC Percent Total 33 8 2 2" xfId="49108"/>
    <cellStyle name="CALC Percent Total 33 8 3" xfId="36706"/>
    <cellStyle name="CALC Percent Total 33 8 4" xfId="49109"/>
    <cellStyle name="CALC Percent Total 33 9" xfId="22209"/>
    <cellStyle name="CALC Percent Total 33 9 2" xfId="30507"/>
    <cellStyle name="CALC Percent Total 33 9 2 2" xfId="49110"/>
    <cellStyle name="CALC Percent Total 33 9 3" xfId="37536"/>
    <cellStyle name="CALC Percent Total 33 9 4" xfId="49111"/>
    <cellStyle name="CALC Percent Total 34" xfId="14734"/>
    <cellStyle name="CALC Percent Total 34 10" xfId="23098"/>
    <cellStyle name="CALC Percent Total 34 10 2" xfId="49112"/>
    <cellStyle name="CALC Percent Total 34 11" xfId="49113"/>
    <cellStyle name="CALC Percent Total 34 12" xfId="49114"/>
    <cellStyle name="CALC Percent Total 34 2" xfId="15815"/>
    <cellStyle name="CALC Percent Total 34 2 2" xfId="24133"/>
    <cellStyle name="CALC Percent Total 34 2 2 2" xfId="49115"/>
    <cellStyle name="CALC Percent Total 34 2 3" xfId="31421"/>
    <cellStyle name="CALC Percent Total 34 2 4" xfId="49116"/>
    <cellStyle name="CALC Percent Total 34 3" xfId="16781"/>
    <cellStyle name="CALC Percent Total 34 3 2" xfId="25105"/>
    <cellStyle name="CALC Percent Total 34 3 2 2" xfId="49117"/>
    <cellStyle name="CALC Percent Total 34 3 3" xfId="32354"/>
    <cellStyle name="CALC Percent Total 34 3 4" xfId="49118"/>
    <cellStyle name="CALC Percent Total 34 4" xfId="17807"/>
    <cellStyle name="CALC Percent Total 34 4 2" xfId="26131"/>
    <cellStyle name="CALC Percent Total 34 4 2 2" xfId="49119"/>
    <cellStyle name="CALC Percent Total 34 4 3" xfId="33331"/>
    <cellStyle name="CALC Percent Total 34 4 4" xfId="49120"/>
    <cellStyle name="CALC Percent Total 34 5" xfId="18791"/>
    <cellStyle name="CALC Percent Total 34 5 2" xfId="27112"/>
    <cellStyle name="CALC Percent Total 34 5 2 2" xfId="49121"/>
    <cellStyle name="CALC Percent Total 34 5 3" xfId="34271"/>
    <cellStyle name="CALC Percent Total 34 5 4" xfId="49122"/>
    <cellStyle name="CALC Percent Total 34 6" xfId="19759"/>
    <cellStyle name="CALC Percent Total 34 6 2" xfId="28081"/>
    <cellStyle name="CALC Percent Total 34 6 2 2" xfId="49123"/>
    <cellStyle name="CALC Percent Total 34 6 3" xfId="35217"/>
    <cellStyle name="CALC Percent Total 34 6 4" xfId="49124"/>
    <cellStyle name="CALC Percent Total 34 7" xfId="20717"/>
    <cellStyle name="CALC Percent Total 34 7 2" xfId="29038"/>
    <cellStyle name="CALC Percent Total 34 7 2 2" xfId="49125"/>
    <cellStyle name="CALC Percent Total 34 7 3" xfId="36131"/>
    <cellStyle name="CALC Percent Total 34 7 4" xfId="49126"/>
    <cellStyle name="CALC Percent Total 34 8" xfId="17554"/>
    <cellStyle name="CALC Percent Total 34 8 2" xfId="25873"/>
    <cellStyle name="CALC Percent Total 34 8 2 2" xfId="49127"/>
    <cellStyle name="CALC Percent Total 34 8 3" xfId="33090"/>
    <cellStyle name="CALC Percent Total 34 8 4" xfId="49128"/>
    <cellStyle name="CALC Percent Total 34 9" xfId="22153"/>
    <cellStyle name="CALC Percent Total 34 9 2" xfId="30451"/>
    <cellStyle name="CALC Percent Total 34 9 2 2" xfId="49129"/>
    <cellStyle name="CALC Percent Total 34 9 3" xfId="37482"/>
    <cellStyle name="CALC Percent Total 34 9 4" xfId="49130"/>
    <cellStyle name="CALC Percent Total 35" xfId="14848"/>
    <cellStyle name="CALC Percent Total 35 10" xfId="23211"/>
    <cellStyle name="CALC Percent Total 35 10 2" xfId="49131"/>
    <cellStyle name="CALC Percent Total 35 11" xfId="49132"/>
    <cellStyle name="CALC Percent Total 35 12" xfId="49133"/>
    <cellStyle name="CALC Percent Total 35 2" xfId="15929"/>
    <cellStyle name="CALC Percent Total 35 2 2" xfId="24246"/>
    <cellStyle name="CALC Percent Total 35 2 2 2" xfId="49134"/>
    <cellStyle name="CALC Percent Total 35 2 3" xfId="31530"/>
    <cellStyle name="CALC Percent Total 35 2 4" xfId="49135"/>
    <cellStyle name="CALC Percent Total 35 3" xfId="16895"/>
    <cellStyle name="CALC Percent Total 35 3 2" xfId="25218"/>
    <cellStyle name="CALC Percent Total 35 3 2 2" xfId="49136"/>
    <cellStyle name="CALC Percent Total 35 3 3" xfId="32463"/>
    <cellStyle name="CALC Percent Total 35 3 4" xfId="49137"/>
    <cellStyle name="CALC Percent Total 35 4" xfId="17922"/>
    <cellStyle name="CALC Percent Total 35 4 2" xfId="26244"/>
    <cellStyle name="CALC Percent Total 35 4 2 2" xfId="49138"/>
    <cellStyle name="CALC Percent Total 35 4 3" xfId="33440"/>
    <cellStyle name="CALC Percent Total 35 4 4" xfId="49139"/>
    <cellStyle name="CALC Percent Total 35 5" xfId="18906"/>
    <cellStyle name="CALC Percent Total 35 5 2" xfId="27226"/>
    <cellStyle name="CALC Percent Total 35 5 2 2" xfId="49140"/>
    <cellStyle name="CALC Percent Total 35 5 3" xfId="34381"/>
    <cellStyle name="CALC Percent Total 35 5 4" xfId="49141"/>
    <cellStyle name="CALC Percent Total 35 6" xfId="19874"/>
    <cellStyle name="CALC Percent Total 35 6 2" xfId="28196"/>
    <cellStyle name="CALC Percent Total 35 6 2 2" xfId="49142"/>
    <cellStyle name="CALC Percent Total 35 6 3" xfId="35328"/>
    <cellStyle name="CALC Percent Total 35 6 4" xfId="49143"/>
    <cellStyle name="CALC Percent Total 35 7" xfId="20832"/>
    <cellStyle name="CALC Percent Total 35 7 2" xfId="29151"/>
    <cellStyle name="CALC Percent Total 35 7 2 2" xfId="49144"/>
    <cellStyle name="CALC Percent Total 35 7 3" xfId="36238"/>
    <cellStyle name="CALC Percent Total 35 7 4" xfId="49145"/>
    <cellStyle name="CALC Percent Total 35 8" xfId="21114"/>
    <cellStyle name="CALC Percent Total 35 8 2" xfId="29428"/>
    <cellStyle name="CALC Percent Total 35 8 2 2" xfId="49146"/>
    <cellStyle name="CALC Percent Total 35 8 3" xfId="36501"/>
    <cellStyle name="CALC Percent Total 35 8 4" xfId="49147"/>
    <cellStyle name="CALC Percent Total 35 9" xfId="22267"/>
    <cellStyle name="CALC Percent Total 35 9 2" xfId="30565"/>
    <cellStyle name="CALC Percent Total 35 9 2 2" xfId="49148"/>
    <cellStyle name="CALC Percent Total 35 9 3" xfId="37591"/>
    <cellStyle name="CALC Percent Total 35 9 4" xfId="49149"/>
    <cellStyle name="CALC Percent Total 36" xfId="14845"/>
    <cellStyle name="CALC Percent Total 36 10" xfId="23208"/>
    <cellStyle name="CALC Percent Total 36 10 2" xfId="49150"/>
    <cellStyle name="CALC Percent Total 36 11" xfId="49151"/>
    <cellStyle name="CALC Percent Total 36 12" xfId="49152"/>
    <cellStyle name="CALC Percent Total 36 2" xfId="15926"/>
    <cellStyle name="CALC Percent Total 36 2 2" xfId="24243"/>
    <cellStyle name="CALC Percent Total 36 2 2 2" xfId="49153"/>
    <cellStyle name="CALC Percent Total 36 2 3" xfId="31527"/>
    <cellStyle name="CALC Percent Total 36 2 4" xfId="49154"/>
    <cellStyle name="CALC Percent Total 36 3" xfId="16892"/>
    <cellStyle name="CALC Percent Total 36 3 2" xfId="25215"/>
    <cellStyle name="CALC Percent Total 36 3 2 2" xfId="49155"/>
    <cellStyle name="CALC Percent Total 36 3 3" xfId="32460"/>
    <cellStyle name="CALC Percent Total 36 3 4" xfId="49156"/>
    <cellStyle name="CALC Percent Total 36 4" xfId="17919"/>
    <cellStyle name="CALC Percent Total 36 4 2" xfId="26241"/>
    <cellStyle name="CALC Percent Total 36 4 2 2" xfId="49157"/>
    <cellStyle name="CALC Percent Total 36 4 3" xfId="33437"/>
    <cellStyle name="CALC Percent Total 36 4 4" xfId="49158"/>
    <cellStyle name="CALC Percent Total 36 5" xfId="18903"/>
    <cellStyle name="CALC Percent Total 36 5 2" xfId="27223"/>
    <cellStyle name="CALC Percent Total 36 5 2 2" xfId="49159"/>
    <cellStyle name="CALC Percent Total 36 5 3" xfId="34378"/>
    <cellStyle name="CALC Percent Total 36 5 4" xfId="49160"/>
    <cellStyle name="CALC Percent Total 36 6" xfId="19871"/>
    <cellStyle name="CALC Percent Total 36 6 2" xfId="28193"/>
    <cellStyle name="CALC Percent Total 36 6 2 2" xfId="49161"/>
    <cellStyle name="CALC Percent Total 36 6 3" xfId="35325"/>
    <cellStyle name="CALC Percent Total 36 6 4" xfId="49162"/>
    <cellStyle name="CALC Percent Total 36 7" xfId="20829"/>
    <cellStyle name="CALC Percent Total 36 7 2" xfId="29148"/>
    <cellStyle name="CALC Percent Total 36 7 2 2" xfId="49163"/>
    <cellStyle name="CALC Percent Total 36 7 3" xfId="36235"/>
    <cellStyle name="CALC Percent Total 36 7 4" xfId="49164"/>
    <cellStyle name="CALC Percent Total 36 8" xfId="21153"/>
    <cellStyle name="CALC Percent Total 36 8 2" xfId="29465"/>
    <cellStyle name="CALC Percent Total 36 8 2 2" xfId="49165"/>
    <cellStyle name="CALC Percent Total 36 8 3" xfId="36537"/>
    <cellStyle name="CALC Percent Total 36 8 4" xfId="49166"/>
    <cellStyle name="CALC Percent Total 36 9" xfId="22264"/>
    <cellStyle name="CALC Percent Total 36 9 2" xfId="30562"/>
    <cellStyle name="CALC Percent Total 36 9 2 2" xfId="49167"/>
    <cellStyle name="CALC Percent Total 36 9 3" xfId="37588"/>
    <cellStyle name="CALC Percent Total 36 9 4" xfId="49168"/>
    <cellStyle name="CALC Percent Total 37" xfId="14785"/>
    <cellStyle name="CALC Percent Total 37 10" xfId="23150"/>
    <cellStyle name="CALC Percent Total 37 10 2" xfId="49169"/>
    <cellStyle name="CALC Percent Total 37 11" xfId="49170"/>
    <cellStyle name="CALC Percent Total 37 12" xfId="49171"/>
    <cellStyle name="CALC Percent Total 37 2" xfId="15866"/>
    <cellStyle name="CALC Percent Total 37 2 2" xfId="24185"/>
    <cellStyle name="CALC Percent Total 37 2 2 2" xfId="49172"/>
    <cellStyle name="CALC Percent Total 37 2 3" xfId="31472"/>
    <cellStyle name="CALC Percent Total 37 2 4" xfId="49173"/>
    <cellStyle name="CALC Percent Total 37 3" xfId="16832"/>
    <cellStyle name="CALC Percent Total 37 3 2" xfId="25157"/>
    <cellStyle name="CALC Percent Total 37 3 2 2" xfId="49174"/>
    <cellStyle name="CALC Percent Total 37 3 3" xfId="32405"/>
    <cellStyle name="CALC Percent Total 37 3 4" xfId="49175"/>
    <cellStyle name="CALC Percent Total 37 4" xfId="17859"/>
    <cellStyle name="CALC Percent Total 37 4 2" xfId="26183"/>
    <cellStyle name="CALC Percent Total 37 4 2 2" xfId="49176"/>
    <cellStyle name="CALC Percent Total 37 4 3" xfId="33382"/>
    <cellStyle name="CALC Percent Total 37 4 4" xfId="49177"/>
    <cellStyle name="CALC Percent Total 37 5" xfId="18843"/>
    <cellStyle name="CALC Percent Total 37 5 2" xfId="27164"/>
    <cellStyle name="CALC Percent Total 37 5 2 2" xfId="49178"/>
    <cellStyle name="CALC Percent Total 37 5 3" xfId="34322"/>
    <cellStyle name="CALC Percent Total 37 5 4" xfId="49179"/>
    <cellStyle name="CALC Percent Total 37 6" xfId="19811"/>
    <cellStyle name="CALC Percent Total 37 6 2" xfId="28133"/>
    <cellStyle name="CALC Percent Total 37 6 2 2" xfId="49180"/>
    <cellStyle name="CALC Percent Total 37 6 3" xfId="35268"/>
    <cellStyle name="CALC Percent Total 37 6 4" xfId="49181"/>
    <cellStyle name="CALC Percent Total 37 7" xfId="20769"/>
    <cellStyle name="CALC Percent Total 37 7 2" xfId="29090"/>
    <cellStyle name="CALC Percent Total 37 7 2 2" xfId="49182"/>
    <cellStyle name="CALC Percent Total 37 7 3" xfId="36181"/>
    <cellStyle name="CALC Percent Total 37 7 4" xfId="49183"/>
    <cellStyle name="CALC Percent Total 37 8" xfId="21095"/>
    <cellStyle name="CALC Percent Total 37 8 2" xfId="29412"/>
    <cellStyle name="CALC Percent Total 37 8 2 2" xfId="49184"/>
    <cellStyle name="CALC Percent Total 37 8 3" xfId="36487"/>
    <cellStyle name="CALC Percent Total 37 8 4" xfId="49185"/>
    <cellStyle name="CALC Percent Total 37 9" xfId="22205"/>
    <cellStyle name="CALC Percent Total 37 9 2" xfId="30503"/>
    <cellStyle name="CALC Percent Total 37 9 2 2" xfId="49186"/>
    <cellStyle name="CALC Percent Total 37 9 3" xfId="37533"/>
    <cellStyle name="CALC Percent Total 37 9 4" xfId="49187"/>
    <cellStyle name="CALC Percent Total 38" xfId="14749"/>
    <cellStyle name="CALC Percent Total 38 10" xfId="23113"/>
    <cellStyle name="CALC Percent Total 38 10 2" xfId="49188"/>
    <cellStyle name="CALC Percent Total 38 11" xfId="49189"/>
    <cellStyle name="CALC Percent Total 38 12" xfId="49190"/>
    <cellStyle name="CALC Percent Total 38 2" xfId="15830"/>
    <cellStyle name="CALC Percent Total 38 2 2" xfId="24148"/>
    <cellStyle name="CALC Percent Total 38 2 2 2" xfId="49191"/>
    <cellStyle name="CALC Percent Total 38 2 3" xfId="31436"/>
    <cellStyle name="CALC Percent Total 38 2 4" xfId="49192"/>
    <cellStyle name="CALC Percent Total 38 3" xfId="16796"/>
    <cellStyle name="CALC Percent Total 38 3 2" xfId="25120"/>
    <cellStyle name="CALC Percent Total 38 3 2 2" xfId="49193"/>
    <cellStyle name="CALC Percent Total 38 3 3" xfId="32369"/>
    <cellStyle name="CALC Percent Total 38 3 4" xfId="49194"/>
    <cellStyle name="CALC Percent Total 38 4" xfId="17822"/>
    <cellStyle name="CALC Percent Total 38 4 2" xfId="26146"/>
    <cellStyle name="CALC Percent Total 38 4 2 2" xfId="49195"/>
    <cellStyle name="CALC Percent Total 38 4 3" xfId="33346"/>
    <cellStyle name="CALC Percent Total 38 4 4" xfId="49196"/>
    <cellStyle name="CALC Percent Total 38 5" xfId="18806"/>
    <cellStyle name="CALC Percent Total 38 5 2" xfId="27127"/>
    <cellStyle name="CALC Percent Total 38 5 2 2" xfId="49197"/>
    <cellStyle name="CALC Percent Total 38 5 3" xfId="34286"/>
    <cellStyle name="CALC Percent Total 38 5 4" xfId="49198"/>
    <cellStyle name="CALC Percent Total 38 6" xfId="19774"/>
    <cellStyle name="CALC Percent Total 38 6 2" xfId="28096"/>
    <cellStyle name="CALC Percent Total 38 6 2 2" xfId="49199"/>
    <cellStyle name="CALC Percent Total 38 6 3" xfId="35232"/>
    <cellStyle name="CALC Percent Total 38 6 4" xfId="49200"/>
    <cellStyle name="CALC Percent Total 38 7" xfId="20732"/>
    <cellStyle name="CALC Percent Total 38 7 2" xfId="29053"/>
    <cellStyle name="CALC Percent Total 38 7 2 2" xfId="49201"/>
    <cellStyle name="CALC Percent Total 38 7 3" xfId="36145"/>
    <cellStyle name="CALC Percent Total 38 7 4" xfId="49202"/>
    <cellStyle name="CALC Percent Total 38 8" xfId="21117"/>
    <cellStyle name="CALC Percent Total 38 8 2" xfId="29431"/>
    <cellStyle name="CALC Percent Total 38 8 2 2" xfId="49203"/>
    <cellStyle name="CALC Percent Total 38 8 3" xfId="36504"/>
    <cellStyle name="CALC Percent Total 38 8 4" xfId="49204"/>
    <cellStyle name="CALC Percent Total 38 9" xfId="22168"/>
    <cellStyle name="CALC Percent Total 38 9 2" xfId="30466"/>
    <cellStyle name="CALC Percent Total 38 9 2 2" xfId="49205"/>
    <cellStyle name="CALC Percent Total 38 9 3" xfId="37497"/>
    <cellStyle name="CALC Percent Total 38 9 4" xfId="49206"/>
    <cellStyle name="CALC Percent Total 39" xfId="14920"/>
    <cellStyle name="CALC Percent Total 39 10" xfId="23283"/>
    <cellStyle name="CALC Percent Total 39 10 2" xfId="49207"/>
    <cellStyle name="CALC Percent Total 39 11" xfId="49208"/>
    <cellStyle name="CALC Percent Total 39 12" xfId="49209"/>
    <cellStyle name="CALC Percent Total 39 2" xfId="16001"/>
    <cellStyle name="CALC Percent Total 39 2 2" xfId="24318"/>
    <cellStyle name="CALC Percent Total 39 2 2 2" xfId="49210"/>
    <cellStyle name="CALC Percent Total 39 2 3" xfId="31598"/>
    <cellStyle name="CALC Percent Total 39 2 4" xfId="49211"/>
    <cellStyle name="CALC Percent Total 39 3" xfId="16967"/>
    <cellStyle name="CALC Percent Total 39 3 2" xfId="25290"/>
    <cellStyle name="CALC Percent Total 39 3 2 2" xfId="49212"/>
    <cellStyle name="CALC Percent Total 39 3 3" xfId="32531"/>
    <cellStyle name="CALC Percent Total 39 3 4" xfId="49213"/>
    <cellStyle name="CALC Percent Total 39 4" xfId="17994"/>
    <cellStyle name="CALC Percent Total 39 4 2" xfId="26316"/>
    <cellStyle name="CALC Percent Total 39 4 2 2" xfId="49214"/>
    <cellStyle name="CALC Percent Total 39 4 3" xfId="33508"/>
    <cellStyle name="CALC Percent Total 39 4 4" xfId="49215"/>
    <cellStyle name="CALC Percent Total 39 5" xfId="18978"/>
    <cellStyle name="CALC Percent Total 39 5 2" xfId="27298"/>
    <cellStyle name="CALC Percent Total 39 5 2 2" xfId="49216"/>
    <cellStyle name="CALC Percent Total 39 5 3" xfId="34449"/>
    <cellStyle name="CALC Percent Total 39 5 4" xfId="49217"/>
    <cellStyle name="CALC Percent Total 39 6" xfId="19946"/>
    <cellStyle name="CALC Percent Total 39 6 2" xfId="28268"/>
    <cellStyle name="CALC Percent Total 39 6 2 2" xfId="49218"/>
    <cellStyle name="CALC Percent Total 39 6 3" xfId="35396"/>
    <cellStyle name="CALC Percent Total 39 6 4" xfId="49219"/>
    <cellStyle name="CALC Percent Total 39 7" xfId="20904"/>
    <cellStyle name="CALC Percent Total 39 7 2" xfId="29223"/>
    <cellStyle name="CALC Percent Total 39 7 2 2" xfId="49220"/>
    <cellStyle name="CALC Percent Total 39 7 3" xfId="36306"/>
    <cellStyle name="CALC Percent Total 39 7 4" xfId="49221"/>
    <cellStyle name="CALC Percent Total 39 8" xfId="21411"/>
    <cellStyle name="CALC Percent Total 39 8 2" xfId="29714"/>
    <cellStyle name="CALC Percent Total 39 8 2 2" xfId="49222"/>
    <cellStyle name="CALC Percent Total 39 8 3" xfId="36776"/>
    <cellStyle name="CALC Percent Total 39 8 4" xfId="49223"/>
    <cellStyle name="CALC Percent Total 39 9" xfId="22339"/>
    <cellStyle name="CALC Percent Total 39 9 2" xfId="30637"/>
    <cellStyle name="CALC Percent Total 39 9 2 2" xfId="49224"/>
    <cellStyle name="CALC Percent Total 39 9 3" xfId="37659"/>
    <cellStyle name="CALC Percent Total 39 9 4" xfId="49225"/>
    <cellStyle name="CALC Percent Total 4" xfId="14584"/>
    <cellStyle name="CALC Percent Total 4 10" xfId="22943"/>
    <cellStyle name="CALC Percent Total 4 10 2" xfId="49226"/>
    <cellStyle name="CALC Percent Total 4 11" xfId="49227"/>
    <cellStyle name="CALC Percent Total 4 2" xfId="15664"/>
    <cellStyle name="CALC Percent Total 4 2 2" xfId="23979"/>
    <cellStyle name="CALC Percent Total 4 2 2 2" xfId="49228"/>
    <cellStyle name="CALC Percent Total 4 2 3" xfId="31276"/>
    <cellStyle name="CALC Percent Total 4 2 4" xfId="49229"/>
    <cellStyle name="CALC Percent Total 4 3" xfId="16631"/>
    <cellStyle name="CALC Percent Total 4 3 2" xfId="24950"/>
    <cellStyle name="CALC Percent Total 4 3 2 2" xfId="49230"/>
    <cellStyle name="CALC Percent Total 4 3 3" xfId="32209"/>
    <cellStyle name="CALC Percent Total 4 3 4" xfId="49231"/>
    <cellStyle name="CALC Percent Total 4 4" xfId="17652"/>
    <cellStyle name="CALC Percent Total 4 4 2" xfId="25976"/>
    <cellStyle name="CALC Percent Total 4 4 2 2" xfId="49232"/>
    <cellStyle name="CALC Percent Total 4 4 3" xfId="33186"/>
    <cellStyle name="CALC Percent Total 4 4 4" xfId="49233"/>
    <cellStyle name="CALC Percent Total 4 5" xfId="18635"/>
    <cellStyle name="CALC Percent Total 4 5 2" xfId="26955"/>
    <cellStyle name="CALC Percent Total 4 5 2 2" xfId="49234"/>
    <cellStyle name="CALC Percent Total 4 5 3" xfId="34123"/>
    <cellStyle name="CALC Percent Total 4 5 4" xfId="49235"/>
    <cellStyle name="CALC Percent Total 4 6" xfId="19604"/>
    <cellStyle name="CALC Percent Total 4 6 2" xfId="27924"/>
    <cellStyle name="CALC Percent Total 4 6 2 2" xfId="49236"/>
    <cellStyle name="CALC Percent Total 4 6 3" xfId="35069"/>
    <cellStyle name="CALC Percent Total 4 6 4" xfId="49237"/>
    <cellStyle name="CALC Percent Total 4 7" xfId="20561"/>
    <cellStyle name="CALC Percent Total 4 7 2" xfId="28883"/>
    <cellStyle name="CALC Percent Total 4 7 2 2" xfId="49238"/>
    <cellStyle name="CALC Percent Total 4 7 3" xfId="35986"/>
    <cellStyle name="CALC Percent Total 4 7 4" xfId="49239"/>
    <cellStyle name="CALC Percent Total 4 8" xfId="21184"/>
    <cellStyle name="CALC Percent Total 4 8 2" xfId="29496"/>
    <cellStyle name="CALC Percent Total 4 8 2 2" xfId="49240"/>
    <cellStyle name="CALC Percent Total 4 8 3" xfId="36567"/>
    <cellStyle name="CALC Percent Total 4 8 4" xfId="49241"/>
    <cellStyle name="CALC Percent Total 4 9" xfId="21997"/>
    <cellStyle name="CALC Percent Total 4 9 2" xfId="30297"/>
    <cellStyle name="CALC Percent Total 4 9 2 2" xfId="49242"/>
    <cellStyle name="CALC Percent Total 4 9 3" xfId="37337"/>
    <cellStyle name="CALC Percent Total 4 9 4" xfId="49243"/>
    <cellStyle name="CALC Percent Total 40" xfId="14937"/>
    <cellStyle name="CALC Percent Total 40 10" xfId="23300"/>
    <cellStyle name="CALC Percent Total 40 10 2" xfId="49244"/>
    <cellStyle name="CALC Percent Total 40 11" xfId="49245"/>
    <cellStyle name="CALC Percent Total 40 12" xfId="49246"/>
    <cellStyle name="CALC Percent Total 40 2" xfId="16018"/>
    <cellStyle name="CALC Percent Total 40 2 2" xfId="24335"/>
    <cellStyle name="CALC Percent Total 40 2 2 2" xfId="49247"/>
    <cellStyle name="CALC Percent Total 40 2 3" xfId="31615"/>
    <cellStyle name="CALC Percent Total 40 2 4" xfId="49248"/>
    <cellStyle name="CALC Percent Total 40 3" xfId="16984"/>
    <cellStyle name="CALC Percent Total 40 3 2" xfId="25307"/>
    <cellStyle name="CALC Percent Total 40 3 2 2" xfId="49249"/>
    <cellStyle name="CALC Percent Total 40 3 3" xfId="32548"/>
    <cellStyle name="CALC Percent Total 40 3 4" xfId="49250"/>
    <cellStyle name="CALC Percent Total 40 4" xfId="18011"/>
    <cellStyle name="CALC Percent Total 40 4 2" xfId="26333"/>
    <cellStyle name="CALC Percent Total 40 4 2 2" xfId="49251"/>
    <cellStyle name="CALC Percent Total 40 4 3" xfId="33525"/>
    <cellStyle name="CALC Percent Total 40 4 4" xfId="49252"/>
    <cellStyle name="CALC Percent Total 40 5" xfId="18995"/>
    <cellStyle name="CALC Percent Total 40 5 2" xfId="27315"/>
    <cellStyle name="CALC Percent Total 40 5 2 2" xfId="49253"/>
    <cellStyle name="CALC Percent Total 40 5 3" xfId="34466"/>
    <cellStyle name="CALC Percent Total 40 5 4" xfId="49254"/>
    <cellStyle name="CALC Percent Total 40 6" xfId="19963"/>
    <cellStyle name="CALC Percent Total 40 6 2" xfId="28285"/>
    <cellStyle name="CALC Percent Total 40 6 2 2" xfId="49255"/>
    <cellStyle name="CALC Percent Total 40 6 3" xfId="35413"/>
    <cellStyle name="CALC Percent Total 40 6 4" xfId="49256"/>
    <cellStyle name="CALC Percent Total 40 7" xfId="20921"/>
    <cellStyle name="CALC Percent Total 40 7 2" xfId="29240"/>
    <cellStyle name="CALC Percent Total 40 7 2 2" xfId="49257"/>
    <cellStyle name="CALC Percent Total 40 7 3" xfId="36323"/>
    <cellStyle name="CALC Percent Total 40 7 4" xfId="49258"/>
    <cellStyle name="CALC Percent Total 40 8" xfId="21428"/>
    <cellStyle name="CALC Percent Total 40 8 2" xfId="29731"/>
    <cellStyle name="CALC Percent Total 40 8 2 2" xfId="49259"/>
    <cellStyle name="CALC Percent Total 40 8 3" xfId="36793"/>
    <cellStyle name="CALC Percent Total 40 8 4" xfId="49260"/>
    <cellStyle name="CALC Percent Total 40 9" xfId="22356"/>
    <cellStyle name="CALC Percent Total 40 9 2" xfId="30654"/>
    <cellStyle name="CALC Percent Total 40 9 2 2" xfId="49261"/>
    <cellStyle name="CALC Percent Total 40 9 3" xfId="37676"/>
    <cellStyle name="CALC Percent Total 40 9 4" xfId="49262"/>
    <cellStyle name="CALC Percent Total 41" xfId="14916"/>
    <cellStyle name="CALC Percent Total 41 10" xfId="23279"/>
    <cellStyle name="CALC Percent Total 41 10 2" xfId="49263"/>
    <cellStyle name="CALC Percent Total 41 11" xfId="49264"/>
    <cellStyle name="CALC Percent Total 41 12" xfId="49265"/>
    <cellStyle name="CALC Percent Total 41 2" xfId="15997"/>
    <cellStyle name="CALC Percent Total 41 2 2" xfId="24314"/>
    <cellStyle name="CALC Percent Total 41 2 2 2" xfId="49266"/>
    <cellStyle name="CALC Percent Total 41 2 3" xfId="31594"/>
    <cellStyle name="CALC Percent Total 41 2 4" xfId="49267"/>
    <cellStyle name="CALC Percent Total 41 3" xfId="16963"/>
    <cellStyle name="CALC Percent Total 41 3 2" xfId="25286"/>
    <cellStyle name="CALC Percent Total 41 3 2 2" xfId="49268"/>
    <cellStyle name="CALC Percent Total 41 3 3" xfId="32527"/>
    <cellStyle name="CALC Percent Total 41 3 4" xfId="49269"/>
    <cellStyle name="CALC Percent Total 41 4" xfId="17990"/>
    <cellStyle name="CALC Percent Total 41 4 2" xfId="26312"/>
    <cellStyle name="CALC Percent Total 41 4 2 2" xfId="49270"/>
    <cellStyle name="CALC Percent Total 41 4 3" xfId="33504"/>
    <cellStyle name="CALC Percent Total 41 4 4" xfId="49271"/>
    <cellStyle name="CALC Percent Total 41 5" xfId="18974"/>
    <cellStyle name="CALC Percent Total 41 5 2" xfId="27294"/>
    <cellStyle name="CALC Percent Total 41 5 2 2" xfId="49272"/>
    <cellStyle name="CALC Percent Total 41 5 3" xfId="34445"/>
    <cellStyle name="CALC Percent Total 41 5 4" xfId="49273"/>
    <cellStyle name="CALC Percent Total 41 6" xfId="19942"/>
    <cellStyle name="CALC Percent Total 41 6 2" xfId="28264"/>
    <cellStyle name="CALC Percent Total 41 6 2 2" xfId="49274"/>
    <cellStyle name="CALC Percent Total 41 6 3" xfId="35392"/>
    <cellStyle name="CALC Percent Total 41 6 4" xfId="49275"/>
    <cellStyle name="CALC Percent Total 41 7" xfId="20900"/>
    <cellStyle name="CALC Percent Total 41 7 2" xfId="29219"/>
    <cellStyle name="CALC Percent Total 41 7 2 2" xfId="49276"/>
    <cellStyle name="CALC Percent Total 41 7 3" xfId="36302"/>
    <cellStyle name="CALC Percent Total 41 7 4" xfId="49277"/>
    <cellStyle name="CALC Percent Total 41 8" xfId="21407"/>
    <cellStyle name="CALC Percent Total 41 8 2" xfId="29710"/>
    <cellStyle name="CALC Percent Total 41 8 2 2" xfId="49278"/>
    <cellStyle name="CALC Percent Total 41 8 3" xfId="36772"/>
    <cellStyle name="CALC Percent Total 41 8 4" xfId="49279"/>
    <cellStyle name="CALC Percent Total 41 9" xfId="22335"/>
    <cellStyle name="CALC Percent Total 41 9 2" xfId="30633"/>
    <cellStyle name="CALC Percent Total 41 9 2 2" xfId="49280"/>
    <cellStyle name="CALC Percent Total 41 9 3" xfId="37655"/>
    <cellStyle name="CALC Percent Total 41 9 4" xfId="49281"/>
    <cellStyle name="CALC Percent Total 42" xfId="14911"/>
    <cellStyle name="CALC Percent Total 42 10" xfId="23274"/>
    <cellStyle name="CALC Percent Total 42 10 2" xfId="49282"/>
    <cellStyle name="CALC Percent Total 42 11" xfId="49283"/>
    <cellStyle name="CALC Percent Total 42 12" xfId="49284"/>
    <cellStyle name="CALC Percent Total 42 2" xfId="15992"/>
    <cellStyle name="CALC Percent Total 42 2 2" xfId="24309"/>
    <cellStyle name="CALC Percent Total 42 2 2 2" xfId="49285"/>
    <cellStyle name="CALC Percent Total 42 2 3" xfId="31589"/>
    <cellStyle name="CALC Percent Total 42 2 4" xfId="49286"/>
    <cellStyle name="CALC Percent Total 42 3" xfId="16958"/>
    <cellStyle name="CALC Percent Total 42 3 2" xfId="25281"/>
    <cellStyle name="CALC Percent Total 42 3 2 2" xfId="49287"/>
    <cellStyle name="CALC Percent Total 42 3 3" xfId="32522"/>
    <cellStyle name="CALC Percent Total 42 3 4" xfId="49288"/>
    <cellStyle name="CALC Percent Total 42 4" xfId="17985"/>
    <cellStyle name="CALC Percent Total 42 4 2" xfId="26307"/>
    <cellStyle name="CALC Percent Total 42 4 2 2" xfId="49289"/>
    <cellStyle name="CALC Percent Total 42 4 3" xfId="33499"/>
    <cellStyle name="CALC Percent Total 42 4 4" xfId="49290"/>
    <cellStyle name="CALC Percent Total 42 5" xfId="18969"/>
    <cellStyle name="CALC Percent Total 42 5 2" xfId="27289"/>
    <cellStyle name="CALC Percent Total 42 5 2 2" xfId="49291"/>
    <cellStyle name="CALC Percent Total 42 5 3" xfId="34440"/>
    <cellStyle name="CALC Percent Total 42 5 4" xfId="49292"/>
    <cellStyle name="CALC Percent Total 42 6" xfId="19937"/>
    <cellStyle name="CALC Percent Total 42 6 2" xfId="28259"/>
    <cellStyle name="CALC Percent Total 42 6 2 2" xfId="49293"/>
    <cellStyle name="CALC Percent Total 42 6 3" xfId="35387"/>
    <cellStyle name="CALC Percent Total 42 6 4" xfId="49294"/>
    <cellStyle name="CALC Percent Total 42 7" xfId="20895"/>
    <cellStyle name="CALC Percent Total 42 7 2" xfId="29214"/>
    <cellStyle name="CALC Percent Total 42 7 2 2" xfId="49295"/>
    <cellStyle name="CALC Percent Total 42 7 3" xfId="36297"/>
    <cellStyle name="CALC Percent Total 42 7 4" xfId="49296"/>
    <cellStyle name="CALC Percent Total 42 8" xfId="21402"/>
    <cellStyle name="CALC Percent Total 42 8 2" xfId="29705"/>
    <cellStyle name="CALC Percent Total 42 8 2 2" xfId="49297"/>
    <cellStyle name="CALC Percent Total 42 8 3" xfId="36767"/>
    <cellStyle name="CALC Percent Total 42 8 4" xfId="49298"/>
    <cellStyle name="CALC Percent Total 42 9" xfId="22330"/>
    <cellStyle name="CALC Percent Total 42 9 2" xfId="30628"/>
    <cellStyle name="CALC Percent Total 42 9 2 2" xfId="49299"/>
    <cellStyle name="CALC Percent Total 42 9 3" xfId="37650"/>
    <cellStyle name="CALC Percent Total 42 9 4" xfId="49300"/>
    <cellStyle name="CALC Percent Total 43" xfId="14915"/>
    <cellStyle name="CALC Percent Total 43 10" xfId="23278"/>
    <cellStyle name="CALC Percent Total 43 10 2" xfId="49301"/>
    <cellStyle name="CALC Percent Total 43 11" xfId="49302"/>
    <cellStyle name="CALC Percent Total 43 12" xfId="49303"/>
    <cellStyle name="CALC Percent Total 43 2" xfId="15996"/>
    <cellStyle name="CALC Percent Total 43 2 2" xfId="24313"/>
    <cellStyle name="CALC Percent Total 43 2 2 2" xfId="49304"/>
    <cellStyle name="CALC Percent Total 43 2 3" xfId="31593"/>
    <cellStyle name="CALC Percent Total 43 2 4" xfId="49305"/>
    <cellStyle name="CALC Percent Total 43 3" xfId="16962"/>
    <cellStyle name="CALC Percent Total 43 3 2" xfId="25285"/>
    <cellStyle name="CALC Percent Total 43 3 2 2" xfId="49306"/>
    <cellStyle name="CALC Percent Total 43 3 3" xfId="32526"/>
    <cellStyle name="CALC Percent Total 43 3 4" xfId="49307"/>
    <cellStyle name="CALC Percent Total 43 4" xfId="17989"/>
    <cellStyle name="CALC Percent Total 43 4 2" xfId="26311"/>
    <cellStyle name="CALC Percent Total 43 4 2 2" xfId="49308"/>
    <cellStyle name="CALC Percent Total 43 4 3" xfId="33503"/>
    <cellStyle name="CALC Percent Total 43 4 4" xfId="49309"/>
    <cellStyle name="CALC Percent Total 43 5" xfId="18973"/>
    <cellStyle name="CALC Percent Total 43 5 2" xfId="27293"/>
    <cellStyle name="CALC Percent Total 43 5 2 2" xfId="49310"/>
    <cellStyle name="CALC Percent Total 43 5 3" xfId="34444"/>
    <cellStyle name="CALC Percent Total 43 5 4" xfId="49311"/>
    <cellStyle name="CALC Percent Total 43 6" xfId="19941"/>
    <cellStyle name="CALC Percent Total 43 6 2" xfId="28263"/>
    <cellStyle name="CALC Percent Total 43 6 2 2" xfId="49312"/>
    <cellStyle name="CALC Percent Total 43 6 3" xfId="35391"/>
    <cellStyle name="CALC Percent Total 43 6 4" xfId="49313"/>
    <cellStyle name="CALC Percent Total 43 7" xfId="20899"/>
    <cellStyle name="CALC Percent Total 43 7 2" xfId="29218"/>
    <cellStyle name="CALC Percent Total 43 7 2 2" xfId="49314"/>
    <cellStyle name="CALC Percent Total 43 7 3" xfId="36301"/>
    <cellStyle name="CALC Percent Total 43 7 4" xfId="49315"/>
    <cellStyle name="CALC Percent Total 43 8" xfId="21406"/>
    <cellStyle name="CALC Percent Total 43 8 2" xfId="29709"/>
    <cellStyle name="CALC Percent Total 43 8 2 2" xfId="49316"/>
    <cellStyle name="CALC Percent Total 43 8 3" xfId="36771"/>
    <cellStyle name="CALC Percent Total 43 8 4" xfId="49317"/>
    <cellStyle name="CALC Percent Total 43 9" xfId="22334"/>
    <cellStyle name="CALC Percent Total 43 9 2" xfId="30632"/>
    <cellStyle name="CALC Percent Total 43 9 2 2" xfId="49318"/>
    <cellStyle name="CALC Percent Total 43 9 3" xfId="37654"/>
    <cellStyle name="CALC Percent Total 43 9 4" xfId="49319"/>
    <cellStyle name="CALC Percent Total 44" xfId="14914"/>
    <cellStyle name="CALC Percent Total 44 10" xfId="23277"/>
    <cellStyle name="CALC Percent Total 44 10 2" xfId="49320"/>
    <cellStyle name="CALC Percent Total 44 11" xfId="49321"/>
    <cellStyle name="CALC Percent Total 44 12" xfId="49322"/>
    <cellStyle name="CALC Percent Total 44 2" xfId="15995"/>
    <cellStyle name="CALC Percent Total 44 2 2" xfId="24312"/>
    <cellStyle name="CALC Percent Total 44 2 2 2" xfId="49323"/>
    <cellStyle name="CALC Percent Total 44 2 3" xfId="31592"/>
    <cellStyle name="CALC Percent Total 44 2 4" xfId="49324"/>
    <cellStyle name="CALC Percent Total 44 3" xfId="16961"/>
    <cellStyle name="CALC Percent Total 44 3 2" xfId="25284"/>
    <cellStyle name="CALC Percent Total 44 3 2 2" xfId="49325"/>
    <cellStyle name="CALC Percent Total 44 3 3" xfId="32525"/>
    <cellStyle name="CALC Percent Total 44 3 4" xfId="49326"/>
    <cellStyle name="CALC Percent Total 44 4" xfId="17988"/>
    <cellStyle name="CALC Percent Total 44 4 2" xfId="26310"/>
    <cellStyle name="CALC Percent Total 44 4 2 2" xfId="49327"/>
    <cellStyle name="CALC Percent Total 44 4 3" xfId="33502"/>
    <cellStyle name="CALC Percent Total 44 4 4" xfId="49328"/>
    <cellStyle name="CALC Percent Total 44 5" xfId="18972"/>
    <cellStyle name="CALC Percent Total 44 5 2" xfId="27292"/>
    <cellStyle name="CALC Percent Total 44 5 2 2" xfId="49329"/>
    <cellStyle name="CALC Percent Total 44 5 3" xfId="34443"/>
    <cellStyle name="CALC Percent Total 44 5 4" xfId="49330"/>
    <cellStyle name="CALC Percent Total 44 6" xfId="19940"/>
    <cellStyle name="CALC Percent Total 44 6 2" xfId="28262"/>
    <cellStyle name="CALC Percent Total 44 6 2 2" xfId="49331"/>
    <cellStyle name="CALC Percent Total 44 6 3" xfId="35390"/>
    <cellStyle name="CALC Percent Total 44 6 4" xfId="49332"/>
    <cellStyle name="CALC Percent Total 44 7" xfId="20898"/>
    <cellStyle name="CALC Percent Total 44 7 2" xfId="29217"/>
    <cellStyle name="CALC Percent Total 44 7 2 2" xfId="49333"/>
    <cellStyle name="CALC Percent Total 44 7 3" xfId="36300"/>
    <cellStyle name="CALC Percent Total 44 7 4" xfId="49334"/>
    <cellStyle name="CALC Percent Total 44 8" xfId="21405"/>
    <cellStyle name="CALC Percent Total 44 8 2" xfId="29708"/>
    <cellStyle name="CALC Percent Total 44 8 2 2" xfId="49335"/>
    <cellStyle name="CALC Percent Total 44 8 3" xfId="36770"/>
    <cellStyle name="CALC Percent Total 44 8 4" xfId="49336"/>
    <cellStyle name="CALC Percent Total 44 9" xfId="22333"/>
    <cellStyle name="CALC Percent Total 44 9 2" xfId="30631"/>
    <cellStyle name="CALC Percent Total 44 9 2 2" xfId="49337"/>
    <cellStyle name="CALC Percent Total 44 9 3" xfId="37653"/>
    <cellStyle name="CALC Percent Total 44 9 4" xfId="49338"/>
    <cellStyle name="CALC Percent Total 45" xfId="14922"/>
    <cellStyle name="CALC Percent Total 45 10" xfId="23285"/>
    <cellStyle name="CALC Percent Total 45 10 2" xfId="49339"/>
    <cellStyle name="CALC Percent Total 45 11" xfId="49340"/>
    <cellStyle name="CALC Percent Total 45 12" xfId="49341"/>
    <cellStyle name="CALC Percent Total 45 2" xfId="16003"/>
    <cellStyle name="CALC Percent Total 45 2 2" xfId="24320"/>
    <cellStyle name="CALC Percent Total 45 2 2 2" xfId="49342"/>
    <cellStyle name="CALC Percent Total 45 2 3" xfId="31600"/>
    <cellStyle name="CALC Percent Total 45 2 4" xfId="49343"/>
    <cellStyle name="CALC Percent Total 45 3" xfId="16969"/>
    <cellStyle name="CALC Percent Total 45 3 2" xfId="25292"/>
    <cellStyle name="CALC Percent Total 45 3 2 2" xfId="49344"/>
    <cellStyle name="CALC Percent Total 45 3 3" xfId="32533"/>
    <cellStyle name="CALC Percent Total 45 3 4" xfId="49345"/>
    <cellStyle name="CALC Percent Total 45 4" xfId="17996"/>
    <cellStyle name="CALC Percent Total 45 4 2" xfId="26318"/>
    <cellStyle name="CALC Percent Total 45 4 2 2" xfId="49346"/>
    <cellStyle name="CALC Percent Total 45 4 3" xfId="33510"/>
    <cellStyle name="CALC Percent Total 45 4 4" xfId="49347"/>
    <cellStyle name="CALC Percent Total 45 5" xfId="18980"/>
    <cellStyle name="CALC Percent Total 45 5 2" xfId="27300"/>
    <cellStyle name="CALC Percent Total 45 5 2 2" xfId="49348"/>
    <cellStyle name="CALC Percent Total 45 5 3" xfId="34451"/>
    <cellStyle name="CALC Percent Total 45 5 4" xfId="49349"/>
    <cellStyle name="CALC Percent Total 45 6" xfId="19948"/>
    <cellStyle name="CALC Percent Total 45 6 2" xfId="28270"/>
    <cellStyle name="CALC Percent Total 45 6 2 2" xfId="49350"/>
    <cellStyle name="CALC Percent Total 45 6 3" xfId="35398"/>
    <cellStyle name="CALC Percent Total 45 6 4" xfId="49351"/>
    <cellStyle name="CALC Percent Total 45 7" xfId="20906"/>
    <cellStyle name="CALC Percent Total 45 7 2" xfId="29225"/>
    <cellStyle name="CALC Percent Total 45 7 2 2" xfId="49352"/>
    <cellStyle name="CALC Percent Total 45 7 3" xfId="36308"/>
    <cellStyle name="CALC Percent Total 45 7 4" xfId="49353"/>
    <cellStyle name="CALC Percent Total 45 8" xfId="21413"/>
    <cellStyle name="CALC Percent Total 45 8 2" xfId="29716"/>
    <cellStyle name="CALC Percent Total 45 8 2 2" xfId="49354"/>
    <cellStyle name="CALC Percent Total 45 8 3" xfId="36778"/>
    <cellStyle name="CALC Percent Total 45 8 4" xfId="49355"/>
    <cellStyle name="CALC Percent Total 45 9" xfId="22341"/>
    <cellStyle name="CALC Percent Total 45 9 2" xfId="30639"/>
    <cellStyle name="CALC Percent Total 45 9 2 2" xfId="49356"/>
    <cellStyle name="CALC Percent Total 45 9 3" xfId="37661"/>
    <cellStyle name="CALC Percent Total 45 9 4" xfId="49357"/>
    <cellStyle name="CALC Percent Total 46" xfId="14943"/>
    <cellStyle name="CALC Percent Total 46 10" xfId="23306"/>
    <cellStyle name="CALC Percent Total 46 10 2" xfId="49358"/>
    <cellStyle name="CALC Percent Total 46 11" xfId="49359"/>
    <cellStyle name="CALC Percent Total 46 12" xfId="49360"/>
    <cellStyle name="CALC Percent Total 46 2" xfId="16024"/>
    <cellStyle name="CALC Percent Total 46 2 2" xfId="24341"/>
    <cellStyle name="CALC Percent Total 46 2 2 2" xfId="49361"/>
    <cellStyle name="CALC Percent Total 46 2 3" xfId="31621"/>
    <cellStyle name="CALC Percent Total 46 2 4" xfId="49362"/>
    <cellStyle name="CALC Percent Total 46 3" xfId="16990"/>
    <cellStyle name="CALC Percent Total 46 3 2" xfId="25313"/>
    <cellStyle name="CALC Percent Total 46 3 2 2" xfId="49363"/>
    <cellStyle name="CALC Percent Total 46 3 3" xfId="32554"/>
    <cellStyle name="CALC Percent Total 46 3 4" xfId="49364"/>
    <cellStyle name="CALC Percent Total 46 4" xfId="18017"/>
    <cellStyle name="CALC Percent Total 46 4 2" xfId="26339"/>
    <cellStyle name="CALC Percent Total 46 4 2 2" xfId="49365"/>
    <cellStyle name="CALC Percent Total 46 4 3" xfId="33531"/>
    <cellStyle name="CALC Percent Total 46 4 4" xfId="49366"/>
    <cellStyle name="CALC Percent Total 46 5" xfId="19001"/>
    <cellStyle name="CALC Percent Total 46 5 2" xfId="27321"/>
    <cellStyle name="CALC Percent Total 46 5 2 2" xfId="49367"/>
    <cellStyle name="CALC Percent Total 46 5 3" xfId="34472"/>
    <cellStyle name="CALC Percent Total 46 5 4" xfId="49368"/>
    <cellStyle name="CALC Percent Total 46 6" xfId="19969"/>
    <cellStyle name="CALC Percent Total 46 6 2" xfId="28291"/>
    <cellStyle name="CALC Percent Total 46 6 2 2" xfId="49369"/>
    <cellStyle name="CALC Percent Total 46 6 3" xfId="35419"/>
    <cellStyle name="CALC Percent Total 46 6 4" xfId="49370"/>
    <cellStyle name="CALC Percent Total 46 7" xfId="20927"/>
    <cellStyle name="CALC Percent Total 46 7 2" xfId="29246"/>
    <cellStyle name="CALC Percent Total 46 7 2 2" xfId="49371"/>
    <cellStyle name="CALC Percent Total 46 7 3" xfId="36329"/>
    <cellStyle name="CALC Percent Total 46 7 4" xfId="49372"/>
    <cellStyle name="CALC Percent Total 46 8" xfId="21434"/>
    <cellStyle name="CALC Percent Total 46 8 2" xfId="29737"/>
    <cellStyle name="CALC Percent Total 46 8 2 2" xfId="49373"/>
    <cellStyle name="CALC Percent Total 46 8 3" xfId="36799"/>
    <cellStyle name="CALC Percent Total 46 8 4" xfId="49374"/>
    <cellStyle name="CALC Percent Total 46 9" xfId="22362"/>
    <cellStyle name="CALC Percent Total 46 9 2" xfId="30660"/>
    <cellStyle name="CALC Percent Total 46 9 2 2" xfId="49375"/>
    <cellStyle name="CALC Percent Total 46 9 3" xfId="37682"/>
    <cellStyle name="CALC Percent Total 46 9 4" xfId="49376"/>
    <cellStyle name="CALC Percent Total 47" xfId="14923"/>
    <cellStyle name="CALC Percent Total 47 10" xfId="23286"/>
    <cellStyle name="CALC Percent Total 47 10 2" xfId="49377"/>
    <cellStyle name="CALC Percent Total 47 11" xfId="49378"/>
    <cellStyle name="CALC Percent Total 47 12" xfId="49379"/>
    <cellStyle name="CALC Percent Total 47 2" xfId="16004"/>
    <cellStyle name="CALC Percent Total 47 2 2" xfId="24321"/>
    <cellStyle name="CALC Percent Total 47 2 2 2" xfId="49380"/>
    <cellStyle name="CALC Percent Total 47 2 3" xfId="31601"/>
    <cellStyle name="CALC Percent Total 47 2 4" xfId="49381"/>
    <cellStyle name="CALC Percent Total 47 3" xfId="16970"/>
    <cellStyle name="CALC Percent Total 47 3 2" xfId="25293"/>
    <cellStyle name="CALC Percent Total 47 3 2 2" xfId="49382"/>
    <cellStyle name="CALC Percent Total 47 3 3" xfId="32534"/>
    <cellStyle name="CALC Percent Total 47 3 4" xfId="49383"/>
    <cellStyle name="CALC Percent Total 47 4" xfId="17997"/>
    <cellStyle name="CALC Percent Total 47 4 2" xfId="26319"/>
    <cellStyle name="CALC Percent Total 47 4 2 2" xfId="49384"/>
    <cellStyle name="CALC Percent Total 47 4 3" xfId="33511"/>
    <cellStyle name="CALC Percent Total 47 4 4" xfId="49385"/>
    <cellStyle name="CALC Percent Total 47 5" xfId="18981"/>
    <cellStyle name="CALC Percent Total 47 5 2" xfId="27301"/>
    <cellStyle name="CALC Percent Total 47 5 2 2" xfId="49386"/>
    <cellStyle name="CALC Percent Total 47 5 3" xfId="34452"/>
    <cellStyle name="CALC Percent Total 47 5 4" xfId="49387"/>
    <cellStyle name="CALC Percent Total 47 6" xfId="19949"/>
    <cellStyle name="CALC Percent Total 47 6 2" xfId="28271"/>
    <cellStyle name="CALC Percent Total 47 6 2 2" xfId="49388"/>
    <cellStyle name="CALC Percent Total 47 6 3" xfId="35399"/>
    <cellStyle name="CALC Percent Total 47 6 4" xfId="49389"/>
    <cellStyle name="CALC Percent Total 47 7" xfId="20907"/>
    <cellStyle name="CALC Percent Total 47 7 2" xfId="29226"/>
    <cellStyle name="CALC Percent Total 47 7 2 2" xfId="49390"/>
    <cellStyle name="CALC Percent Total 47 7 3" xfId="36309"/>
    <cellStyle name="CALC Percent Total 47 7 4" xfId="49391"/>
    <cellStyle name="CALC Percent Total 47 8" xfId="21414"/>
    <cellStyle name="CALC Percent Total 47 8 2" xfId="29717"/>
    <cellStyle name="CALC Percent Total 47 8 2 2" xfId="49392"/>
    <cellStyle name="CALC Percent Total 47 8 3" xfId="36779"/>
    <cellStyle name="CALC Percent Total 47 8 4" xfId="49393"/>
    <cellStyle name="CALC Percent Total 47 9" xfId="22342"/>
    <cellStyle name="CALC Percent Total 47 9 2" xfId="30640"/>
    <cellStyle name="CALC Percent Total 47 9 2 2" xfId="49394"/>
    <cellStyle name="CALC Percent Total 47 9 3" xfId="37662"/>
    <cellStyle name="CALC Percent Total 47 9 4" xfId="49395"/>
    <cellStyle name="CALC Percent Total 48" xfId="14908"/>
    <cellStyle name="CALC Percent Total 48 10" xfId="23271"/>
    <cellStyle name="CALC Percent Total 48 10 2" xfId="49396"/>
    <cellStyle name="CALC Percent Total 48 11" xfId="49397"/>
    <cellStyle name="CALC Percent Total 48 12" xfId="49398"/>
    <cellStyle name="CALC Percent Total 48 2" xfId="15989"/>
    <cellStyle name="CALC Percent Total 48 2 2" xfId="24306"/>
    <cellStyle name="CALC Percent Total 48 2 2 2" xfId="49399"/>
    <cellStyle name="CALC Percent Total 48 2 3" xfId="31586"/>
    <cellStyle name="CALC Percent Total 48 2 4" xfId="49400"/>
    <cellStyle name="CALC Percent Total 48 3" xfId="16955"/>
    <cellStyle name="CALC Percent Total 48 3 2" xfId="25278"/>
    <cellStyle name="CALC Percent Total 48 3 2 2" xfId="49401"/>
    <cellStyle name="CALC Percent Total 48 3 3" xfId="32519"/>
    <cellStyle name="CALC Percent Total 48 3 4" xfId="49402"/>
    <cellStyle name="CALC Percent Total 48 4" xfId="17982"/>
    <cellStyle name="CALC Percent Total 48 4 2" xfId="26304"/>
    <cellStyle name="CALC Percent Total 48 4 2 2" xfId="49403"/>
    <cellStyle name="CALC Percent Total 48 4 3" xfId="33496"/>
    <cellStyle name="CALC Percent Total 48 4 4" xfId="49404"/>
    <cellStyle name="CALC Percent Total 48 5" xfId="18966"/>
    <cellStyle name="CALC Percent Total 48 5 2" xfId="27286"/>
    <cellStyle name="CALC Percent Total 48 5 2 2" xfId="49405"/>
    <cellStyle name="CALC Percent Total 48 5 3" xfId="34437"/>
    <cellStyle name="CALC Percent Total 48 5 4" xfId="49406"/>
    <cellStyle name="CALC Percent Total 48 6" xfId="19934"/>
    <cellStyle name="CALC Percent Total 48 6 2" xfId="28256"/>
    <cellStyle name="CALC Percent Total 48 6 2 2" xfId="49407"/>
    <cellStyle name="CALC Percent Total 48 6 3" xfId="35384"/>
    <cellStyle name="CALC Percent Total 48 6 4" xfId="49408"/>
    <cellStyle name="CALC Percent Total 48 7" xfId="20892"/>
    <cellStyle name="CALC Percent Total 48 7 2" xfId="29211"/>
    <cellStyle name="CALC Percent Total 48 7 2 2" xfId="49409"/>
    <cellStyle name="CALC Percent Total 48 7 3" xfId="36294"/>
    <cellStyle name="CALC Percent Total 48 7 4" xfId="49410"/>
    <cellStyle name="CALC Percent Total 48 8" xfId="21399"/>
    <cellStyle name="CALC Percent Total 48 8 2" xfId="29702"/>
    <cellStyle name="CALC Percent Total 48 8 2 2" xfId="49411"/>
    <cellStyle name="CALC Percent Total 48 8 3" xfId="36764"/>
    <cellStyle name="CALC Percent Total 48 8 4" xfId="49412"/>
    <cellStyle name="CALC Percent Total 48 9" xfId="22327"/>
    <cellStyle name="CALC Percent Total 48 9 2" xfId="30625"/>
    <cellStyle name="CALC Percent Total 48 9 2 2" xfId="49413"/>
    <cellStyle name="CALC Percent Total 48 9 3" xfId="37647"/>
    <cellStyle name="CALC Percent Total 48 9 4" xfId="49414"/>
    <cellStyle name="CALC Percent Total 49" xfId="14948"/>
    <cellStyle name="CALC Percent Total 49 10" xfId="23311"/>
    <cellStyle name="CALC Percent Total 49 10 2" xfId="49415"/>
    <cellStyle name="CALC Percent Total 49 11" xfId="49416"/>
    <cellStyle name="CALC Percent Total 49 12" xfId="49417"/>
    <cellStyle name="CALC Percent Total 49 2" xfId="16029"/>
    <cellStyle name="CALC Percent Total 49 2 2" xfId="24346"/>
    <cellStyle name="CALC Percent Total 49 2 2 2" xfId="49418"/>
    <cellStyle name="CALC Percent Total 49 2 3" xfId="31626"/>
    <cellStyle name="CALC Percent Total 49 2 4" xfId="49419"/>
    <cellStyle name="CALC Percent Total 49 3" xfId="16995"/>
    <cellStyle name="CALC Percent Total 49 3 2" xfId="25318"/>
    <cellStyle name="CALC Percent Total 49 3 2 2" xfId="49420"/>
    <cellStyle name="CALC Percent Total 49 3 3" xfId="32559"/>
    <cellStyle name="CALC Percent Total 49 3 4" xfId="49421"/>
    <cellStyle name="CALC Percent Total 49 4" xfId="18022"/>
    <cellStyle name="CALC Percent Total 49 4 2" xfId="26344"/>
    <cellStyle name="CALC Percent Total 49 4 2 2" xfId="49422"/>
    <cellStyle name="CALC Percent Total 49 4 3" xfId="33536"/>
    <cellStyle name="CALC Percent Total 49 4 4" xfId="49423"/>
    <cellStyle name="CALC Percent Total 49 5" xfId="19006"/>
    <cellStyle name="CALC Percent Total 49 5 2" xfId="27326"/>
    <cellStyle name="CALC Percent Total 49 5 2 2" xfId="49424"/>
    <cellStyle name="CALC Percent Total 49 5 3" xfId="34477"/>
    <cellStyle name="CALC Percent Total 49 5 4" xfId="49425"/>
    <cellStyle name="CALC Percent Total 49 6" xfId="19974"/>
    <cellStyle name="CALC Percent Total 49 6 2" xfId="28296"/>
    <cellStyle name="CALC Percent Total 49 6 2 2" xfId="49426"/>
    <cellStyle name="CALC Percent Total 49 6 3" xfId="35424"/>
    <cellStyle name="CALC Percent Total 49 6 4" xfId="49427"/>
    <cellStyle name="CALC Percent Total 49 7" xfId="20932"/>
    <cellStyle name="CALC Percent Total 49 7 2" xfId="29251"/>
    <cellStyle name="CALC Percent Total 49 7 2 2" xfId="49428"/>
    <cellStyle name="CALC Percent Total 49 7 3" xfId="36334"/>
    <cellStyle name="CALC Percent Total 49 7 4" xfId="49429"/>
    <cellStyle name="CALC Percent Total 49 8" xfId="21439"/>
    <cellStyle name="CALC Percent Total 49 8 2" xfId="29742"/>
    <cellStyle name="CALC Percent Total 49 8 2 2" xfId="49430"/>
    <cellStyle name="CALC Percent Total 49 8 3" xfId="36804"/>
    <cellStyle name="CALC Percent Total 49 8 4" xfId="49431"/>
    <cellStyle name="CALC Percent Total 49 9" xfId="22367"/>
    <cellStyle name="CALC Percent Total 49 9 2" xfId="30665"/>
    <cellStyle name="CALC Percent Total 49 9 2 2" xfId="49432"/>
    <cellStyle name="CALC Percent Total 49 9 3" xfId="37687"/>
    <cellStyle name="CALC Percent Total 49 9 4" xfId="49433"/>
    <cellStyle name="CALC Percent Total 5" xfId="14554"/>
    <cellStyle name="CALC Percent Total 5 10" xfId="22910"/>
    <cellStyle name="CALC Percent Total 5 10 2" xfId="49434"/>
    <cellStyle name="CALC Percent Total 5 11" xfId="49435"/>
    <cellStyle name="CALC Percent Total 5 2" xfId="15633"/>
    <cellStyle name="CALC Percent Total 5 2 2" xfId="23946"/>
    <cellStyle name="CALC Percent Total 5 2 2 2" xfId="49436"/>
    <cellStyle name="CALC Percent Total 5 2 3" xfId="31243"/>
    <cellStyle name="CALC Percent Total 5 2 4" xfId="49437"/>
    <cellStyle name="CALC Percent Total 5 3" xfId="16600"/>
    <cellStyle name="CALC Percent Total 5 3 2" xfId="24917"/>
    <cellStyle name="CALC Percent Total 5 3 2 2" xfId="49438"/>
    <cellStyle name="CALC Percent Total 5 3 3" xfId="32176"/>
    <cellStyle name="CALC Percent Total 5 3 4" xfId="49439"/>
    <cellStyle name="CALC Percent Total 5 4" xfId="17620"/>
    <cellStyle name="CALC Percent Total 5 4 2" xfId="25943"/>
    <cellStyle name="CALC Percent Total 5 4 2 2" xfId="49440"/>
    <cellStyle name="CALC Percent Total 5 4 3" xfId="33153"/>
    <cellStyle name="CALC Percent Total 5 4 4" xfId="49441"/>
    <cellStyle name="CALC Percent Total 5 5" xfId="18602"/>
    <cellStyle name="CALC Percent Total 5 5 2" xfId="26921"/>
    <cellStyle name="CALC Percent Total 5 5 2 2" xfId="49442"/>
    <cellStyle name="CALC Percent Total 5 5 3" xfId="34089"/>
    <cellStyle name="CALC Percent Total 5 5 4" xfId="49443"/>
    <cellStyle name="CALC Percent Total 5 6" xfId="19570"/>
    <cellStyle name="CALC Percent Total 5 6 2" xfId="27891"/>
    <cellStyle name="CALC Percent Total 5 6 2 2" xfId="49444"/>
    <cellStyle name="CALC Percent Total 5 6 3" xfId="35036"/>
    <cellStyle name="CALC Percent Total 5 6 4" xfId="49445"/>
    <cellStyle name="CALC Percent Total 5 7" xfId="20528"/>
    <cellStyle name="CALC Percent Total 5 7 2" xfId="28850"/>
    <cellStyle name="CALC Percent Total 5 7 2 2" xfId="49446"/>
    <cellStyle name="CALC Percent Total 5 7 3" xfId="35953"/>
    <cellStyle name="CALC Percent Total 5 7 4" xfId="49447"/>
    <cellStyle name="CALC Percent Total 5 8" xfId="21229"/>
    <cellStyle name="CALC Percent Total 5 8 2" xfId="29540"/>
    <cellStyle name="CALC Percent Total 5 8 2 2" xfId="49448"/>
    <cellStyle name="CALC Percent Total 5 8 3" xfId="36609"/>
    <cellStyle name="CALC Percent Total 5 8 4" xfId="49449"/>
    <cellStyle name="CALC Percent Total 5 9" xfId="21963"/>
    <cellStyle name="CALC Percent Total 5 9 2" xfId="30264"/>
    <cellStyle name="CALC Percent Total 5 9 2 2" xfId="49450"/>
    <cellStyle name="CALC Percent Total 5 9 3" xfId="37304"/>
    <cellStyle name="CALC Percent Total 5 9 4" xfId="49451"/>
    <cellStyle name="CALC Percent Total 50" xfId="14957"/>
    <cellStyle name="CALC Percent Total 50 10" xfId="23319"/>
    <cellStyle name="CALC Percent Total 50 10 2" xfId="49452"/>
    <cellStyle name="CALC Percent Total 50 11" xfId="49453"/>
    <cellStyle name="CALC Percent Total 50 12" xfId="49454"/>
    <cellStyle name="CALC Percent Total 50 2" xfId="16038"/>
    <cellStyle name="CALC Percent Total 50 2 2" xfId="24354"/>
    <cellStyle name="CALC Percent Total 50 2 2 2" xfId="49455"/>
    <cellStyle name="CALC Percent Total 50 2 3" xfId="31634"/>
    <cellStyle name="CALC Percent Total 50 2 4" xfId="49456"/>
    <cellStyle name="CALC Percent Total 50 3" xfId="17004"/>
    <cellStyle name="CALC Percent Total 50 3 2" xfId="25326"/>
    <cellStyle name="CALC Percent Total 50 3 2 2" xfId="49457"/>
    <cellStyle name="CALC Percent Total 50 3 3" xfId="32567"/>
    <cellStyle name="CALC Percent Total 50 3 4" xfId="49458"/>
    <cellStyle name="CALC Percent Total 50 4" xfId="18031"/>
    <cellStyle name="CALC Percent Total 50 4 2" xfId="26352"/>
    <cellStyle name="CALC Percent Total 50 4 2 2" xfId="49459"/>
    <cellStyle name="CALC Percent Total 50 4 3" xfId="33544"/>
    <cellStyle name="CALC Percent Total 50 4 4" xfId="49460"/>
    <cellStyle name="CALC Percent Total 50 5" xfId="19015"/>
    <cellStyle name="CALC Percent Total 50 5 2" xfId="27335"/>
    <cellStyle name="CALC Percent Total 50 5 2 2" xfId="49461"/>
    <cellStyle name="CALC Percent Total 50 5 3" xfId="34486"/>
    <cellStyle name="CALC Percent Total 50 5 4" xfId="49462"/>
    <cellStyle name="CALC Percent Total 50 6" xfId="19983"/>
    <cellStyle name="CALC Percent Total 50 6 2" xfId="28305"/>
    <cellStyle name="CALC Percent Total 50 6 2 2" xfId="49463"/>
    <cellStyle name="CALC Percent Total 50 6 3" xfId="35433"/>
    <cellStyle name="CALC Percent Total 50 6 4" xfId="49464"/>
    <cellStyle name="CALC Percent Total 50 7" xfId="20941"/>
    <cellStyle name="CALC Percent Total 50 7 2" xfId="29259"/>
    <cellStyle name="CALC Percent Total 50 7 2 2" xfId="49465"/>
    <cellStyle name="CALC Percent Total 50 7 3" xfId="36342"/>
    <cellStyle name="CALC Percent Total 50 7 4" xfId="49466"/>
    <cellStyle name="CALC Percent Total 50 8" xfId="21448"/>
    <cellStyle name="CALC Percent Total 50 8 2" xfId="29750"/>
    <cellStyle name="CALC Percent Total 50 8 2 2" xfId="49467"/>
    <cellStyle name="CALC Percent Total 50 8 3" xfId="36812"/>
    <cellStyle name="CALC Percent Total 50 8 4" xfId="49468"/>
    <cellStyle name="CALC Percent Total 50 9" xfId="22376"/>
    <cellStyle name="CALC Percent Total 50 9 2" xfId="30673"/>
    <cellStyle name="CALC Percent Total 50 9 2 2" xfId="49469"/>
    <cellStyle name="CALC Percent Total 50 9 3" xfId="37695"/>
    <cellStyle name="CALC Percent Total 50 9 4" xfId="49470"/>
    <cellStyle name="CALC Percent Total 51" xfId="14868"/>
    <cellStyle name="CALC Percent Total 51 10" xfId="23231"/>
    <cellStyle name="CALC Percent Total 51 10 2" xfId="49471"/>
    <cellStyle name="CALC Percent Total 51 11" xfId="49472"/>
    <cellStyle name="CALC Percent Total 51 12" xfId="49473"/>
    <cellStyle name="CALC Percent Total 51 2" xfId="15949"/>
    <cellStyle name="CALC Percent Total 51 2 2" xfId="24266"/>
    <cellStyle name="CALC Percent Total 51 2 2 2" xfId="49474"/>
    <cellStyle name="CALC Percent Total 51 2 3" xfId="31550"/>
    <cellStyle name="CALC Percent Total 51 2 4" xfId="49475"/>
    <cellStyle name="CALC Percent Total 51 3" xfId="16915"/>
    <cellStyle name="CALC Percent Total 51 3 2" xfId="25238"/>
    <cellStyle name="CALC Percent Total 51 3 2 2" xfId="49476"/>
    <cellStyle name="CALC Percent Total 51 3 3" xfId="32483"/>
    <cellStyle name="CALC Percent Total 51 3 4" xfId="49477"/>
    <cellStyle name="CALC Percent Total 51 4" xfId="17942"/>
    <cellStyle name="CALC Percent Total 51 4 2" xfId="26264"/>
    <cellStyle name="CALC Percent Total 51 4 2 2" xfId="49478"/>
    <cellStyle name="CALC Percent Total 51 4 3" xfId="33460"/>
    <cellStyle name="CALC Percent Total 51 4 4" xfId="49479"/>
    <cellStyle name="CALC Percent Total 51 5" xfId="18926"/>
    <cellStyle name="CALC Percent Total 51 5 2" xfId="27246"/>
    <cellStyle name="CALC Percent Total 51 5 2 2" xfId="49480"/>
    <cellStyle name="CALC Percent Total 51 5 3" xfId="34401"/>
    <cellStyle name="CALC Percent Total 51 5 4" xfId="49481"/>
    <cellStyle name="CALC Percent Total 51 6" xfId="19894"/>
    <cellStyle name="CALC Percent Total 51 6 2" xfId="28216"/>
    <cellStyle name="CALC Percent Total 51 6 2 2" xfId="49482"/>
    <cellStyle name="CALC Percent Total 51 6 3" xfId="35348"/>
    <cellStyle name="CALC Percent Total 51 6 4" xfId="49483"/>
    <cellStyle name="CALC Percent Total 51 7" xfId="20852"/>
    <cellStyle name="CALC Percent Total 51 7 2" xfId="29171"/>
    <cellStyle name="CALC Percent Total 51 7 2 2" xfId="49484"/>
    <cellStyle name="CALC Percent Total 51 7 3" xfId="36258"/>
    <cellStyle name="CALC Percent Total 51 7 4" xfId="49485"/>
    <cellStyle name="CALC Percent Total 51 8" xfId="15493"/>
    <cellStyle name="CALC Percent Total 51 8 2" xfId="23833"/>
    <cellStyle name="CALC Percent Total 51 8 2 2" xfId="49486"/>
    <cellStyle name="CALC Percent Total 51 8 3" xfId="31182"/>
    <cellStyle name="CALC Percent Total 51 8 4" xfId="49487"/>
    <cellStyle name="CALC Percent Total 51 9" xfId="22287"/>
    <cellStyle name="CALC Percent Total 51 9 2" xfId="30585"/>
    <cellStyle name="CALC Percent Total 51 9 2 2" xfId="49488"/>
    <cellStyle name="CALC Percent Total 51 9 3" xfId="37611"/>
    <cellStyle name="CALC Percent Total 51 9 4" xfId="49489"/>
    <cellStyle name="CALC Percent Total 52" xfId="14904"/>
    <cellStyle name="CALC Percent Total 52 10" xfId="23267"/>
    <cellStyle name="CALC Percent Total 52 10 2" xfId="49490"/>
    <cellStyle name="CALC Percent Total 52 11" xfId="49491"/>
    <cellStyle name="CALC Percent Total 52 12" xfId="49492"/>
    <cellStyle name="CALC Percent Total 52 2" xfId="15985"/>
    <cellStyle name="CALC Percent Total 52 2 2" xfId="24302"/>
    <cellStyle name="CALC Percent Total 52 2 2 2" xfId="49493"/>
    <cellStyle name="CALC Percent Total 52 2 3" xfId="31582"/>
    <cellStyle name="CALC Percent Total 52 2 4" xfId="49494"/>
    <cellStyle name="CALC Percent Total 52 3" xfId="16951"/>
    <cellStyle name="CALC Percent Total 52 3 2" xfId="25274"/>
    <cellStyle name="CALC Percent Total 52 3 2 2" xfId="49495"/>
    <cellStyle name="CALC Percent Total 52 3 3" xfId="32515"/>
    <cellStyle name="CALC Percent Total 52 3 4" xfId="49496"/>
    <cellStyle name="CALC Percent Total 52 4" xfId="17978"/>
    <cellStyle name="CALC Percent Total 52 4 2" xfId="26300"/>
    <cellStyle name="CALC Percent Total 52 4 2 2" xfId="49497"/>
    <cellStyle name="CALC Percent Total 52 4 3" xfId="33492"/>
    <cellStyle name="CALC Percent Total 52 4 4" xfId="49498"/>
    <cellStyle name="CALC Percent Total 52 5" xfId="18962"/>
    <cellStyle name="CALC Percent Total 52 5 2" xfId="27282"/>
    <cellStyle name="CALC Percent Total 52 5 2 2" xfId="49499"/>
    <cellStyle name="CALC Percent Total 52 5 3" xfId="34433"/>
    <cellStyle name="CALC Percent Total 52 5 4" xfId="49500"/>
    <cellStyle name="CALC Percent Total 52 6" xfId="19930"/>
    <cellStyle name="CALC Percent Total 52 6 2" xfId="28252"/>
    <cellStyle name="CALC Percent Total 52 6 2 2" xfId="49501"/>
    <cellStyle name="CALC Percent Total 52 6 3" xfId="35380"/>
    <cellStyle name="CALC Percent Total 52 6 4" xfId="49502"/>
    <cellStyle name="CALC Percent Total 52 7" xfId="20888"/>
    <cellStyle name="CALC Percent Total 52 7 2" xfId="29207"/>
    <cellStyle name="CALC Percent Total 52 7 2 2" xfId="49503"/>
    <cellStyle name="CALC Percent Total 52 7 3" xfId="36290"/>
    <cellStyle name="CALC Percent Total 52 7 4" xfId="49504"/>
    <cellStyle name="CALC Percent Total 52 8" xfId="21395"/>
    <cellStyle name="CALC Percent Total 52 8 2" xfId="29698"/>
    <cellStyle name="CALC Percent Total 52 8 2 2" xfId="49505"/>
    <cellStyle name="CALC Percent Total 52 8 3" xfId="36760"/>
    <cellStyle name="CALC Percent Total 52 8 4" xfId="49506"/>
    <cellStyle name="CALC Percent Total 52 9" xfId="22323"/>
    <cellStyle name="CALC Percent Total 52 9 2" xfId="30621"/>
    <cellStyle name="CALC Percent Total 52 9 2 2" xfId="49507"/>
    <cellStyle name="CALC Percent Total 52 9 3" xfId="37643"/>
    <cellStyle name="CALC Percent Total 52 9 4" xfId="49508"/>
    <cellStyle name="CALC Percent Total 53" xfId="15005"/>
    <cellStyle name="CALC Percent Total 53 10" xfId="23366"/>
    <cellStyle name="CALC Percent Total 53 10 2" xfId="49509"/>
    <cellStyle name="CALC Percent Total 53 11" xfId="49510"/>
    <cellStyle name="CALC Percent Total 53 12" xfId="49511"/>
    <cellStyle name="CALC Percent Total 53 2" xfId="16086"/>
    <cellStyle name="CALC Percent Total 53 2 2" xfId="24401"/>
    <cellStyle name="CALC Percent Total 53 2 2 2" xfId="49512"/>
    <cellStyle name="CALC Percent Total 53 2 3" xfId="31680"/>
    <cellStyle name="CALC Percent Total 53 2 4" xfId="49513"/>
    <cellStyle name="CALC Percent Total 53 3" xfId="17052"/>
    <cellStyle name="CALC Percent Total 53 3 2" xfId="25373"/>
    <cellStyle name="CALC Percent Total 53 3 2 2" xfId="49514"/>
    <cellStyle name="CALC Percent Total 53 3 3" xfId="32613"/>
    <cellStyle name="CALC Percent Total 53 3 4" xfId="49515"/>
    <cellStyle name="CALC Percent Total 53 4" xfId="18079"/>
    <cellStyle name="CALC Percent Total 53 4 2" xfId="26399"/>
    <cellStyle name="CALC Percent Total 53 4 2 2" xfId="49516"/>
    <cellStyle name="CALC Percent Total 53 4 3" xfId="33590"/>
    <cellStyle name="CALC Percent Total 53 4 4" xfId="49517"/>
    <cellStyle name="CALC Percent Total 53 5" xfId="19063"/>
    <cellStyle name="CALC Percent Total 53 5 2" xfId="27383"/>
    <cellStyle name="CALC Percent Total 53 5 2 2" xfId="49518"/>
    <cellStyle name="CALC Percent Total 53 5 3" xfId="34533"/>
    <cellStyle name="CALC Percent Total 53 5 4" xfId="49519"/>
    <cellStyle name="CALC Percent Total 53 6" xfId="20031"/>
    <cellStyle name="CALC Percent Total 53 6 2" xfId="28353"/>
    <cellStyle name="CALC Percent Total 53 6 2 2" xfId="49520"/>
    <cellStyle name="CALC Percent Total 53 6 3" xfId="35480"/>
    <cellStyle name="CALC Percent Total 53 6 4" xfId="49521"/>
    <cellStyle name="CALC Percent Total 53 7" xfId="20989"/>
    <cellStyle name="CALC Percent Total 53 7 2" xfId="29306"/>
    <cellStyle name="CALC Percent Total 53 7 2 2" xfId="49522"/>
    <cellStyle name="CALC Percent Total 53 7 3" xfId="36388"/>
    <cellStyle name="CALC Percent Total 53 7 4" xfId="49523"/>
    <cellStyle name="CALC Percent Total 53 8" xfId="21496"/>
    <cellStyle name="CALC Percent Total 53 8 2" xfId="29797"/>
    <cellStyle name="CALC Percent Total 53 8 2 2" xfId="49524"/>
    <cellStyle name="CALC Percent Total 53 8 3" xfId="36858"/>
    <cellStyle name="CALC Percent Total 53 8 4" xfId="49525"/>
    <cellStyle name="CALC Percent Total 53 9" xfId="22424"/>
    <cellStyle name="CALC Percent Total 53 9 2" xfId="30720"/>
    <cellStyle name="CALC Percent Total 53 9 2 2" xfId="49526"/>
    <cellStyle name="CALC Percent Total 53 9 3" xfId="37741"/>
    <cellStyle name="CALC Percent Total 53 9 4" xfId="49527"/>
    <cellStyle name="CALC Percent Total 54" xfId="14998"/>
    <cellStyle name="CALC Percent Total 54 10" xfId="23359"/>
    <cellStyle name="CALC Percent Total 54 10 2" xfId="49528"/>
    <cellStyle name="CALC Percent Total 54 11" xfId="49529"/>
    <cellStyle name="CALC Percent Total 54 12" xfId="49530"/>
    <cellStyle name="CALC Percent Total 54 2" xfId="16079"/>
    <cellStyle name="CALC Percent Total 54 2 2" xfId="24394"/>
    <cellStyle name="CALC Percent Total 54 2 2 2" xfId="49531"/>
    <cellStyle name="CALC Percent Total 54 2 3" xfId="31673"/>
    <cellStyle name="CALC Percent Total 54 2 4" xfId="49532"/>
    <cellStyle name="CALC Percent Total 54 3" xfId="17045"/>
    <cellStyle name="CALC Percent Total 54 3 2" xfId="25366"/>
    <cellStyle name="CALC Percent Total 54 3 2 2" xfId="49533"/>
    <cellStyle name="CALC Percent Total 54 3 3" xfId="32606"/>
    <cellStyle name="CALC Percent Total 54 3 4" xfId="49534"/>
    <cellStyle name="CALC Percent Total 54 4" xfId="18072"/>
    <cellStyle name="CALC Percent Total 54 4 2" xfId="26392"/>
    <cellStyle name="CALC Percent Total 54 4 2 2" xfId="49535"/>
    <cellStyle name="CALC Percent Total 54 4 3" xfId="33583"/>
    <cellStyle name="CALC Percent Total 54 4 4" xfId="49536"/>
    <cellStyle name="CALC Percent Total 54 5" xfId="19056"/>
    <cellStyle name="CALC Percent Total 54 5 2" xfId="27376"/>
    <cellStyle name="CALC Percent Total 54 5 2 2" xfId="49537"/>
    <cellStyle name="CALC Percent Total 54 5 3" xfId="34526"/>
    <cellStyle name="CALC Percent Total 54 5 4" xfId="49538"/>
    <cellStyle name="CALC Percent Total 54 6" xfId="20024"/>
    <cellStyle name="CALC Percent Total 54 6 2" xfId="28346"/>
    <cellStyle name="CALC Percent Total 54 6 2 2" xfId="49539"/>
    <cellStyle name="CALC Percent Total 54 6 3" xfId="35473"/>
    <cellStyle name="CALC Percent Total 54 6 4" xfId="49540"/>
    <cellStyle name="CALC Percent Total 54 7" xfId="20982"/>
    <cellStyle name="CALC Percent Total 54 7 2" xfId="29299"/>
    <cellStyle name="CALC Percent Total 54 7 2 2" xfId="49541"/>
    <cellStyle name="CALC Percent Total 54 7 3" xfId="36381"/>
    <cellStyle name="CALC Percent Total 54 7 4" xfId="49542"/>
    <cellStyle name="CALC Percent Total 54 8" xfId="21489"/>
    <cellStyle name="CALC Percent Total 54 8 2" xfId="29790"/>
    <cellStyle name="CALC Percent Total 54 8 2 2" xfId="49543"/>
    <cellStyle name="CALC Percent Total 54 8 3" xfId="36851"/>
    <cellStyle name="CALC Percent Total 54 8 4" xfId="49544"/>
    <cellStyle name="CALC Percent Total 54 9" xfId="22417"/>
    <cellStyle name="CALC Percent Total 54 9 2" xfId="30713"/>
    <cellStyle name="CALC Percent Total 54 9 2 2" xfId="49545"/>
    <cellStyle name="CALC Percent Total 54 9 3" xfId="37734"/>
    <cellStyle name="CALC Percent Total 54 9 4" xfId="49546"/>
    <cellStyle name="CALC Percent Total 55" xfId="15006"/>
    <cellStyle name="CALC Percent Total 55 10" xfId="23367"/>
    <cellStyle name="CALC Percent Total 55 10 2" xfId="49547"/>
    <cellStyle name="CALC Percent Total 55 11" xfId="49548"/>
    <cellStyle name="CALC Percent Total 55 12" xfId="49549"/>
    <cellStyle name="CALC Percent Total 55 2" xfId="16087"/>
    <cellStyle name="CALC Percent Total 55 2 2" xfId="24402"/>
    <cellStyle name="CALC Percent Total 55 2 2 2" xfId="49550"/>
    <cellStyle name="CALC Percent Total 55 2 3" xfId="31681"/>
    <cellStyle name="CALC Percent Total 55 2 4" xfId="49551"/>
    <cellStyle name="CALC Percent Total 55 3" xfId="17053"/>
    <cellStyle name="CALC Percent Total 55 3 2" xfId="25374"/>
    <cellStyle name="CALC Percent Total 55 3 2 2" xfId="49552"/>
    <cellStyle name="CALC Percent Total 55 3 3" xfId="32614"/>
    <cellStyle name="CALC Percent Total 55 3 4" xfId="49553"/>
    <cellStyle name="CALC Percent Total 55 4" xfId="18080"/>
    <cellStyle name="CALC Percent Total 55 4 2" xfId="26400"/>
    <cellStyle name="CALC Percent Total 55 4 2 2" xfId="49554"/>
    <cellStyle name="CALC Percent Total 55 4 3" xfId="33591"/>
    <cellStyle name="CALC Percent Total 55 4 4" xfId="49555"/>
    <cellStyle name="CALC Percent Total 55 5" xfId="19064"/>
    <cellStyle name="CALC Percent Total 55 5 2" xfId="27384"/>
    <cellStyle name="CALC Percent Total 55 5 2 2" xfId="49556"/>
    <cellStyle name="CALC Percent Total 55 5 3" xfId="34534"/>
    <cellStyle name="CALC Percent Total 55 5 4" xfId="49557"/>
    <cellStyle name="CALC Percent Total 55 6" xfId="20032"/>
    <cellStyle name="CALC Percent Total 55 6 2" xfId="28354"/>
    <cellStyle name="CALC Percent Total 55 6 2 2" xfId="49558"/>
    <cellStyle name="CALC Percent Total 55 6 3" xfId="35481"/>
    <cellStyle name="CALC Percent Total 55 6 4" xfId="49559"/>
    <cellStyle name="CALC Percent Total 55 7" xfId="20990"/>
    <cellStyle name="CALC Percent Total 55 7 2" xfId="29307"/>
    <cellStyle name="CALC Percent Total 55 7 2 2" xfId="49560"/>
    <cellStyle name="CALC Percent Total 55 7 3" xfId="36389"/>
    <cellStyle name="CALC Percent Total 55 7 4" xfId="49561"/>
    <cellStyle name="CALC Percent Total 55 8" xfId="21497"/>
    <cellStyle name="CALC Percent Total 55 8 2" xfId="29798"/>
    <cellStyle name="CALC Percent Total 55 8 2 2" xfId="49562"/>
    <cellStyle name="CALC Percent Total 55 8 3" xfId="36859"/>
    <cellStyle name="CALC Percent Total 55 8 4" xfId="49563"/>
    <cellStyle name="CALC Percent Total 55 9" xfId="22425"/>
    <cellStyle name="CALC Percent Total 55 9 2" xfId="30721"/>
    <cellStyle name="CALC Percent Total 55 9 2 2" xfId="49564"/>
    <cellStyle name="CALC Percent Total 55 9 3" xfId="37742"/>
    <cellStyle name="CALC Percent Total 55 9 4" xfId="49565"/>
    <cellStyle name="CALC Percent Total 56" xfId="14974"/>
    <cellStyle name="CALC Percent Total 56 10" xfId="23335"/>
    <cellStyle name="CALC Percent Total 56 10 2" xfId="49566"/>
    <cellStyle name="CALC Percent Total 56 11" xfId="49567"/>
    <cellStyle name="CALC Percent Total 56 12" xfId="49568"/>
    <cellStyle name="CALC Percent Total 56 2" xfId="16055"/>
    <cellStyle name="CALC Percent Total 56 2 2" xfId="24370"/>
    <cellStyle name="CALC Percent Total 56 2 2 2" xfId="49569"/>
    <cellStyle name="CALC Percent Total 56 2 3" xfId="31649"/>
    <cellStyle name="CALC Percent Total 56 2 4" xfId="49570"/>
    <cellStyle name="CALC Percent Total 56 3" xfId="17021"/>
    <cellStyle name="CALC Percent Total 56 3 2" xfId="25342"/>
    <cellStyle name="CALC Percent Total 56 3 2 2" xfId="49571"/>
    <cellStyle name="CALC Percent Total 56 3 3" xfId="32582"/>
    <cellStyle name="CALC Percent Total 56 3 4" xfId="49572"/>
    <cellStyle name="CALC Percent Total 56 4" xfId="18048"/>
    <cellStyle name="CALC Percent Total 56 4 2" xfId="26368"/>
    <cellStyle name="CALC Percent Total 56 4 2 2" xfId="49573"/>
    <cellStyle name="CALC Percent Total 56 4 3" xfId="33559"/>
    <cellStyle name="CALC Percent Total 56 4 4" xfId="49574"/>
    <cellStyle name="CALC Percent Total 56 5" xfId="19032"/>
    <cellStyle name="CALC Percent Total 56 5 2" xfId="27352"/>
    <cellStyle name="CALC Percent Total 56 5 2 2" xfId="49575"/>
    <cellStyle name="CALC Percent Total 56 5 3" xfId="34502"/>
    <cellStyle name="CALC Percent Total 56 5 4" xfId="49576"/>
    <cellStyle name="CALC Percent Total 56 6" xfId="20000"/>
    <cellStyle name="CALC Percent Total 56 6 2" xfId="28322"/>
    <cellStyle name="CALC Percent Total 56 6 2 2" xfId="49577"/>
    <cellStyle name="CALC Percent Total 56 6 3" xfId="35449"/>
    <cellStyle name="CALC Percent Total 56 6 4" xfId="49578"/>
    <cellStyle name="CALC Percent Total 56 7" xfId="20958"/>
    <cellStyle name="CALC Percent Total 56 7 2" xfId="29275"/>
    <cellStyle name="CALC Percent Total 56 7 2 2" xfId="49579"/>
    <cellStyle name="CALC Percent Total 56 7 3" xfId="36357"/>
    <cellStyle name="CALC Percent Total 56 7 4" xfId="49580"/>
    <cellStyle name="CALC Percent Total 56 8" xfId="21465"/>
    <cellStyle name="CALC Percent Total 56 8 2" xfId="29766"/>
    <cellStyle name="CALC Percent Total 56 8 2 2" xfId="49581"/>
    <cellStyle name="CALC Percent Total 56 8 3" xfId="36827"/>
    <cellStyle name="CALC Percent Total 56 8 4" xfId="49582"/>
    <cellStyle name="CALC Percent Total 56 9" xfId="22393"/>
    <cellStyle name="CALC Percent Total 56 9 2" xfId="30689"/>
    <cellStyle name="CALC Percent Total 56 9 2 2" xfId="49583"/>
    <cellStyle name="CALC Percent Total 56 9 3" xfId="37710"/>
    <cellStyle name="CALC Percent Total 56 9 4" xfId="49584"/>
    <cellStyle name="CALC Percent Total 57" xfId="14996"/>
    <cellStyle name="CALC Percent Total 57 10" xfId="23357"/>
    <cellStyle name="CALC Percent Total 57 10 2" xfId="49585"/>
    <cellStyle name="CALC Percent Total 57 11" xfId="49586"/>
    <cellStyle name="CALC Percent Total 57 12" xfId="49587"/>
    <cellStyle name="CALC Percent Total 57 2" xfId="16077"/>
    <cellStyle name="CALC Percent Total 57 2 2" xfId="24392"/>
    <cellStyle name="CALC Percent Total 57 2 2 2" xfId="49588"/>
    <cellStyle name="CALC Percent Total 57 2 3" xfId="31671"/>
    <cellStyle name="CALC Percent Total 57 2 4" xfId="49589"/>
    <cellStyle name="CALC Percent Total 57 3" xfId="17043"/>
    <cellStyle name="CALC Percent Total 57 3 2" xfId="25364"/>
    <cellStyle name="CALC Percent Total 57 3 2 2" xfId="49590"/>
    <cellStyle name="CALC Percent Total 57 3 3" xfId="32604"/>
    <cellStyle name="CALC Percent Total 57 3 4" xfId="49591"/>
    <cellStyle name="CALC Percent Total 57 4" xfId="18070"/>
    <cellStyle name="CALC Percent Total 57 4 2" xfId="26390"/>
    <cellStyle name="CALC Percent Total 57 4 2 2" xfId="49592"/>
    <cellStyle name="CALC Percent Total 57 4 3" xfId="33581"/>
    <cellStyle name="CALC Percent Total 57 4 4" xfId="49593"/>
    <cellStyle name="CALC Percent Total 57 5" xfId="19054"/>
    <cellStyle name="CALC Percent Total 57 5 2" xfId="27374"/>
    <cellStyle name="CALC Percent Total 57 5 2 2" xfId="49594"/>
    <cellStyle name="CALC Percent Total 57 5 3" xfId="34524"/>
    <cellStyle name="CALC Percent Total 57 5 4" xfId="49595"/>
    <cellStyle name="CALC Percent Total 57 6" xfId="20022"/>
    <cellStyle name="CALC Percent Total 57 6 2" xfId="28344"/>
    <cellStyle name="CALC Percent Total 57 6 2 2" xfId="49596"/>
    <cellStyle name="CALC Percent Total 57 6 3" xfId="35471"/>
    <cellStyle name="CALC Percent Total 57 6 4" xfId="49597"/>
    <cellStyle name="CALC Percent Total 57 7" xfId="20980"/>
    <cellStyle name="CALC Percent Total 57 7 2" xfId="29297"/>
    <cellStyle name="CALC Percent Total 57 7 2 2" xfId="49598"/>
    <cellStyle name="CALC Percent Total 57 7 3" xfId="36379"/>
    <cellStyle name="CALC Percent Total 57 7 4" xfId="49599"/>
    <cellStyle name="CALC Percent Total 57 8" xfId="21487"/>
    <cellStyle name="CALC Percent Total 57 8 2" xfId="29788"/>
    <cellStyle name="CALC Percent Total 57 8 2 2" xfId="49600"/>
    <cellStyle name="CALC Percent Total 57 8 3" xfId="36849"/>
    <cellStyle name="CALC Percent Total 57 8 4" xfId="49601"/>
    <cellStyle name="CALC Percent Total 57 9" xfId="22415"/>
    <cellStyle name="CALC Percent Total 57 9 2" xfId="30711"/>
    <cellStyle name="CALC Percent Total 57 9 2 2" xfId="49602"/>
    <cellStyle name="CALC Percent Total 57 9 3" xfId="37732"/>
    <cellStyle name="CALC Percent Total 57 9 4" xfId="49603"/>
    <cellStyle name="CALC Percent Total 58" xfId="14983"/>
    <cellStyle name="CALC Percent Total 58 10" xfId="23344"/>
    <cellStyle name="CALC Percent Total 58 10 2" xfId="49604"/>
    <cellStyle name="CALC Percent Total 58 11" xfId="49605"/>
    <cellStyle name="CALC Percent Total 58 12" xfId="49606"/>
    <cellStyle name="CALC Percent Total 58 2" xfId="16064"/>
    <cellStyle name="CALC Percent Total 58 2 2" xfId="24379"/>
    <cellStyle name="CALC Percent Total 58 2 2 2" xfId="49607"/>
    <cellStyle name="CALC Percent Total 58 2 3" xfId="31658"/>
    <cellStyle name="CALC Percent Total 58 2 4" xfId="49608"/>
    <cellStyle name="CALC Percent Total 58 3" xfId="17030"/>
    <cellStyle name="CALC Percent Total 58 3 2" xfId="25351"/>
    <cellStyle name="CALC Percent Total 58 3 2 2" xfId="49609"/>
    <cellStyle name="CALC Percent Total 58 3 3" xfId="32591"/>
    <cellStyle name="CALC Percent Total 58 3 4" xfId="49610"/>
    <cellStyle name="CALC Percent Total 58 4" xfId="18057"/>
    <cellStyle name="CALC Percent Total 58 4 2" xfId="26377"/>
    <cellStyle name="CALC Percent Total 58 4 2 2" xfId="49611"/>
    <cellStyle name="CALC Percent Total 58 4 3" xfId="33568"/>
    <cellStyle name="CALC Percent Total 58 4 4" xfId="49612"/>
    <cellStyle name="CALC Percent Total 58 5" xfId="19041"/>
    <cellStyle name="CALC Percent Total 58 5 2" xfId="27361"/>
    <cellStyle name="CALC Percent Total 58 5 2 2" xfId="49613"/>
    <cellStyle name="CALC Percent Total 58 5 3" xfId="34511"/>
    <cellStyle name="CALC Percent Total 58 5 4" xfId="49614"/>
    <cellStyle name="CALC Percent Total 58 6" xfId="20009"/>
    <cellStyle name="CALC Percent Total 58 6 2" xfId="28331"/>
    <cellStyle name="CALC Percent Total 58 6 2 2" xfId="49615"/>
    <cellStyle name="CALC Percent Total 58 6 3" xfId="35458"/>
    <cellStyle name="CALC Percent Total 58 6 4" xfId="49616"/>
    <cellStyle name="CALC Percent Total 58 7" xfId="20967"/>
    <cellStyle name="CALC Percent Total 58 7 2" xfId="29284"/>
    <cellStyle name="CALC Percent Total 58 7 2 2" xfId="49617"/>
    <cellStyle name="CALC Percent Total 58 7 3" xfId="36366"/>
    <cellStyle name="CALC Percent Total 58 7 4" xfId="49618"/>
    <cellStyle name="CALC Percent Total 58 8" xfId="21474"/>
    <cellStyle name="CALC Percent Total 58 8 2" xfId="29775"/>
    <cellStyle name="CALC Percent Total 58 8 2 2" xfId="49619"/>
    <cellStyle name="CALC Percent Total 58 8 3" xfId="36836"/>
    <cellStyle name="CALC Percent Total 58 8 4" xfId="49620"/>
    <cellStyle name="CALC Percent Total 58 9" xfId="22402"/>
    <cellStyle name="CALC Percent Total 58 9 2" xfId="30698"/>
    <cellStyle name="CALC Percent Total 58 9 2 2" xfId="49621"/>
    <cellStyle name="CALC Percent Total 58 9 3" xfId="37719"/>
    <cellStyle name="CALC Percent Total 58 9 4" xfId="49622"/>
    <cellStyle name="CALC Percent Total 59" xfId="15048"/>
    <cellStyle name="CALC Percent Total 59 10" xfId="23408"/>
    <cellStyle name="CALC Percent Total 59 10 2" xfId="49623"/>
    <cellStyle name="CALC Percent Total 59 11" xfId="49624"/>
    <cellStyle name="CALC Percent Total 59 12" xfId="49625"/>
    <cellStyle name="CALC Percent Total 59 2" xfId="16128"/>
    <cellStyle name="CALC Percent Total 59 2 2" xfId="24443"/>
    <cellStyle name="CALC Percent Total 59 2 2 2" xfId="49626"/>
    <cellStyle name="CALC Percent Total 59 2 3" xfId="31720"/>
    <cellStyle name="CALC Percent Total 59 2 4" xfId="49627"/>
    <cellStyle name="CALC Percent Total 59 3" xfId="17095"/>
    <cellStyle name="CALC Percent Total 59 3 2" xfId="25416"/>
    <cellStyle name="CALC Percent Total 59 3 2 2" xfId="49628"/>
    <cellStyle name="CALC Percent Total 59 3 3" xfId="32654"/>
    <cellStyle name="CALC Percent Total 59 3 4" xfId="49629"/>
    <cellStyle name="CALC Percent Total 59 4" xfId="18122"/>
    <cellStyle name="CALC Percent Total 59 4 2" xfId="26442"/>
    <cellStyle name="CALC Percent Total 59 4 2 2" xfId="49630"/>
    <cellStyle name="CALC Percent Total 59 4 3" xfId="33631"/>
    <cellStyle name="CALC Percent Total 59 4 4" xfId="49631"/>
    <cellStyle name="CALC Percent Total 59 5" xfId="19106"/>
    <cellStyle name="CALC Percent Total 59 5 2" xfId="27426"/>
    <cellStyle name="CALC Percent Total 59 5 2 2" xfId="49632"/>
    <cellStyle name="CALC Percent Total 59 5 3" xfId="34574"/>
    <cellStyle name="CALC Percent Total 59 5 4" xfId="49633"/>
    <cellStyle name="CALC Percent Total 59 6" xfId="20074"/>
    <cellStyle name="CALC Percent Total 59 6 2" xfId="28396"/>
    <cellStyle name="CALC Percent Total 59 6 2 2" xfId="49634"/>
    <cellStyle name="CALC Percent Total 59 6 3" xfId="35521"/>
    <cellStyle name="CALC Percent Total 59 6 4" xfId="49635"/>
    <cellStyle name="CALC Percent Total 59 7" xfId="21031"/>
    <cellStyle name="CALC Percent Total 59 7 2" xfId="29348"/>
    <cellStyle name="CALC Percent Total 59 7 2 2" xfId="49636"/>
    <cellStyle name="CALC Percent Total 59 7 3" xfId="36428"/>
    <cellStyle name="CALC Percent Total 59 7 4" xfId="49637"/>
    <cellStyle name="CALC Percent Total 59 8" xfId="21538"/>
    <cellStyle name="CALC Percent Total 59 8 2" xfId="29839"/>
    <cellStyle name="CALC Percent Total 59 8 2 2" xfId="49638"/>
    <cellStyle name="CALC Percent Total 59 8 3" xfId="36898"/>
    <cellStyle name="CALC Percent Total 59 8 4" xfId="49639"/>
    <cellStyle name="CALC Percent Total 59 9" xfId="22466"/>
    <cellStyle name="CALC Percent Total 59 9 2" xfId="30762"/>
    <cellStyle name="CALC Percent Total 59 9 2 2" xfId="49640"/>
    <cellStyle name="CALC Percent Total 59 9 3" xfId="37781"/>
    <cellStyle name="CALC Percent Total 59 9 4" xfId="49641"/>
    <cellStyle name="CALC Percent Total 6" xfId="14562"/>
    <cellStyle name="CALC Percent Total 6 10" xfId="22918"/>
    <cellStyle name="CALC Percent Total 6 10 2" xfId="49642"/>
    <cellStyle name="CALC Percent Total 6 11" xfId="49643"/>
    <cellStyle name="CALC Percent Total 6 2" xfId="15641"/>
    <cellStyle name="CALC Percent Total 6 2 2" xfId="23954"/>
    <cellStyle name="CALC Percent Total 6 2 2 2" xfId="49644"/>
    <cellStyle name="CALC Percent Total 6 2 3" xfId="31251"/>
    <cellStyle name="CALC Percent Total 6 2 4" xfId="49645"/>
    <cellStyle name="CALC Percent Total 6 3" xfId="16608"/>
    <cellStyle name="CALC Percent Total 6 3 2" xfId="24925"/>
    <cellStyle name="CALC Percent Total 6 3 2 2" xfId="49646"/>
    <cellStyle name="CALC Percent Total 6 3 3" xfId="32184"/>
    <cellStyle name="CALC Percent Total 6 3 4" xfId="49647"/>
    <cellStyle name="CALC Percent Total 6 4" xfId="17628"/>
    <cellStyle name="CALC Percent Total 6 4 2" xfId="25951"/>
    <cellStyle name="CALC Percent Total 6 4 2 2" xfId="49648"/>
    <cellStyle name="CALC Percent Total 6 4 3" xfId="33161"/>
    <cellStyle name="CALC Percent Total 6 4 4" xfId="49649"/>
    <cellStyle name="CALC Percent Total 6 5" xfId="18610"/>
    <cellStyle name="CALC Percent Total 6 5 2" xfId="26929"/>
    <cellStyle name="CALC Percent Total 6 5 2 2" xfId="49650"/>
    <cellStyle name="CALC Percent Total 6 5 3" xfId="34097"/>
    <cellStyle name="CALC Percent Total 6 5 4" xfId="49651"/>
    <cellStyle name="CALC Percent Total 6 6" xfId="19578"/>
    <cellStyle name="CALC Percent Total 6 6 2" xfId="27899"/>
    <cellStyle name="CALC Percent Total 6 6 2 2" xfId="49652"/>
    <cellStyle name="CALC Percent Total 6 6 3" xfId="35044"/>
    <cellStyle name="CALC Percent Total 6 6 4" xfId="49653"/>
    <cellStyle name="CALC Percent Total 6 7" xfId="20536"/>
    <cellStyle name="CALC Percent Total 6 7 2" xfId="28858"/>
    <cellStyle name="CALC Percent Total 6 7 2 2" xfId="49654"/>
    <cellStyle name="CALC Percent Total 6 7 3" xfId="35961"/>
    <cellStyle name="CALC Percent Total 6 7 4" xfId="49655"/>
    <cellStyle name="CALC Percent Total 6 8" xfId="21059"/>
    <cellStyle name="CALC Percent Total 6 8 2" xfId="29376"/>
    <cellStyle name="CALC Percent Total 6 8 2 2" xfId="49656"/>
    <cellStyle name="CALC Percent Total 6 8 3" xfId="36455"/>
    <cellStyle name="CALC Percent Total 6 8 4" xfId="49657"/>
    <cellStyle name="CALC Percent Total 6 9" xfId="21971"/>
    <cellStyle name="CALC Percent Total 6 9 2" xfId="30272"/>
    <cellStyle name="CALC Percent Total 6 9 2 2" xfId="49658"/>
    <cellStyle name="CALC Percent Total 6 9 3" xfId="37312"/>
    <cellStyle name="CALC Percent Total 6 9 4" xfId="49659"/>
    <cellStyle name="CALC Percent Total 60" xfId="14994"/>
    <cellStyle name="CALC Percent Total 60 10" xfId="23355"/>
    <cellStyle name="CALC Percent Total 60 10 2" xfId="49660"/>
    <cellStyle name="CALC Percent Total 60 11" xfId="49661"/>
    <cellStyle name="CALC Percent Total 60 12" xfId="49662"/>
    <cellStyle name="CALC Percent Total 60 2" xfId="16075"/>
    <cellStyle name="CALC Percent Total 60 2 2" xfId="24390"/>
    <cellStyle name="CALC Percent Total 60 2 2 2" xfId="49663"/>
    <cellStyle name="CALC Percent Total 60 2 3" xfId="31669"/>
    <cellStyle name="CALC Percent Total 60 2 4" xfId="49664"/>
    <cellStyle name="CALC Percent Total 60 3" xfId="17041"/>
    <cellStyle name="CALC Percent Total 60 3 2" xfId="25362"/>
    <cellStyle name="CALC Percent Total 60 3 2 2" xfId="49665"/>
    <cellStyle name="CALC Percent Total 60 3 3" xfId="32602"/>
    <cellStyle name="CALC Percent Total 60 3 4" xfId="49666"/>
    <cellStyle name="CALC Percent Total 60 4" xfId="18068"/>
    <cellStyle name="CALC Percent Total 60 4 2" xfId="26388"/>
    <cellStyle name="CALC Percent Total 60 4 2 2" xfId="49667"/>
    <cellStyle name="CALC Percent Total 60 4 3" xfId="33579"/>
    <cellStyle name="CALC Percent Total 60 4 4" xfId="49668"/>
    <cellStyle name="CALC Percent Total 60 5" xfId="19052"/>
    <cellStyle name="CALC Percent Total 60 5 2" xfId="27372"/>
    <cellStyle name="CALC Percent Total 60 5 2 2" xfId="49669"/>
    <cellStyle name="CALC Percent Total 60 5 3" xfId="34522"/>
    <cellStyle name="CALC Percent Total 60 5 4" xfId="49670"/>
    <cellStyle name="CALC Percent Total 60 6" xfId="20020"/>
    <cellStyle name="CALC Percent Total 60 6 2" xfId="28342"/>
    <cellStyle name="CALC Percent Total 60 6 2 2" xfId="49671"/>
    <cellStyle name="CALC Percent Total 60 6 3" xfId="35469"/>
    <cellStyle name="CALC Percent Total 60 6 4" xfId="49672"/>
    <cellStyle name="CALC Percent Total 60 7" xfId="20978"/>
    <cellStyle name="CALC Percent Total 60 7 2" xfId="29295"/>
    <cellStyle name="CALC Percent Total 60 7 2 2" xfId="49673"/>
    <cellStyle name="CALC Percent Total 60 7 3" xfId="36377"/>
    <cellStyle name="CALC Percent Total 60 7 4" xfId="49674"/>
    <cellStyle name="CALC Percent Total 60 8" xfId="21485"/>
    <cellStyle name="CALC Percent Total 60 8 2" xfId="29786"/>
    <cellStyle name="CALC Percent Total 60 8 2 2" xfId="49675"/>
    <cellStyle name="CALC Percent Total 60 8 3" xfId="36847"/>
    <cellStyle name="CALC Percent Total 60 8 4" xfId="49676"/>
    <cellStyle name="CALC Percent Total 60 9" xfId="22413"/>
    <cellStyle name="CALC Percent Total 60 9 2" xfId="30709"/>
    <cellStyle name="CALC Percent Total 60 9 2 2" xfId="49677"/>
    <cellStyle name="CALC Percent Total 60 9 3" xfId="37730"/>
    <cellStyle name="CALC Percent Total 60 9 4" xfId="49678"/>
    <cellStyle name="CALC Percent Total 61" xfId="14984"/>
    <cellStyle name="CALC Percent Total 61 10" xfId="23345"/>
    <cellStyle name="CALC Percent Total 61 10 2" xfId="49679"/>
    <cellStyle name="CALC Percent Total 61 11" xfId="49680"/>
    <cellStyle name="CALC Percent Total 61 12" xfId="49681"/>
    <cellStyle name="CALC Percent Total 61 2" xfId="16065"/>
    <cellStyle name="CALC Percent Total 61 2 2" xfId="24380"/>
    <cellStyle name="CALC Percent Total 61 2 2 2" xfId="49682"/>
    <cellStyle name="CALC Percent Total 61 2 3" xfId="31659"/>
    <cellStyle name="CALC Percent Total 61 2 4" xfId="49683"/>
    <cellStyle name="CALC Percent Total 61 3" xfId="17031"/>
    <cellStyle name="CALC Percent Total 61 3 2" xfId="25352"/>
    <cellStyle name="CALC Percent Total 61 3 2 2" xfId="49684"/>
    <cellStyle name="CALC Percent Total 61 3 3" xfId="32592"/>
    <cellStyle name="CALC Percent Total 61 3 4" xfId="49685"/>
    <cellStyle name="CALC Percent Total 61 4" xfId="18058"/>
    <cellStyle name="CALC Percent Total 61 4 2" xfId="26378"/>
    <cellStyle name="CALC Percent Total 61 4 2 2" xfId="49686"/>
    <cellStyle name="CALC Percent Total 61 4 3" xfId="33569"/>
    <cellStyle name="CALC Percent Total 61 4 4" xfId="49687"/>
    <cellStyle name="CALC Percent Total 61 5" xfId="19042"/>
    <cellStyle name="CALC Percent Total 61 5 2" xfId="27362"/>
    <cellStyle name="CALC Percent Total 61 5 2 2" xfId="49688"/>
    <cellStyle name="CALC Percent Total 61 5 3" xfId="34512"/>
    <cellStyle name="CALC Percent Total 61 5 4" xfId="49689"/>
    <cellStyle name="CALC Percent Total 61 6" xfId="20010"/>
    <cellStyle name="CALC Percent Total 61 6 2" xfId="28332"/>
    <cellStyle name="CALC Percent Total 61 6 2 2" xfId="49690"/>
    <cellStyle name="CALC Percent Total 61 6 3" xfId="35459"/>
    <cellStyle name="CALC Percent Total 61 6 4" xfId="49691"/>
    <cellStyle name="CALC Percent Total 61 7" xfId="20968"/>
    <cellStyle name="CALC Percent Total 61 7 2" xfId="29285"/>
    <cellStyle name="CALC Percent Total 61 7 2 2" xfId="49692"/>
    <cellStyle name="CALC Percent Total 61 7 3" xfId="36367"/>
    <cellStyle name="CALC Percent Total 61 7 4" xfId="49693"/>
    <cellStyle name="CALC Percent Total 61 8" xfId="21475"/>
    <cellStyle name="CALC Percent Total 61 8 2" xfId="29776"/>
    <cellStyle name="CALC Percent Total 61 8 2 2" xfId="49694"/>
    <cellStyle name="CALC Percent Total 61 8 3" xfId="36837"/>
    <cellStyle name="CALC Percent Total 61 8 4" xfId="49695"/>
    <cellStyle name="CALC Percent Total 61 9" xfId="22403"/>
    <cellStyle name="CALC Percent Total 61 9 2" xfId="30699"/>
    <cellStyle name="CALC Percent Total 61 9 2 2" xfId="49696"/>
    <cellStyle name="CALC Percent Total 61 9 3" xfId="37720"/>
    <cellStyle name="CALC Percent Total 61 9 4" xfId="49697"/>
    <cellStyle name="CALC Percent Total 62" xfId="14985"/>
    <cellStyle name="CALC Percent Total 62 10" xfId="23346"/>
    <cellStyle name="CALC Percent Total 62 10 2" xfId="49698"/>
    <cellStyle name="CALC Percent Total 62 11" xfId="49699"/>
    <cellStyle name="CALC Percent Total 62 12" xfId="49700"/>
    <cellStyle name="CALC Percent Total 62 2" xfId="16066"/>
    <cellStyle name="CALC Percent Total 62 2 2" xfId="24381"/>
    <cellStyle name="CALC Percent Total 62 2 2 2" xfId="49701"/>
    <cellStyle name="CALC Percent Total 62 2 3" xfId="31660"/>
    <cellStyle name="CALC Percent Total 62 2 4" xfId="49702"/>
    <cellStyle name="CALC Percent Total 62 3" xfId="17032"/>
    <cellStyle name="CALC Percent Total 62 3 2" xfId="25353"/>
    <cellStyle name="CALC Percent Total 62 3 2 2" xfId="49703"/>
    <cellStyle name="CALC Percent Total 62 3 3" xfId="32593"/>
    <cellStyle name="CALC Percent Total 62 3 4" xfId="49704"/>
    <cellStyle name="CALC Percent Total 62 4" xfId="18059"/>
    <cellStyle name="CALC Percent Total 62 4 2" xfId="26379"/>
    <cellStyle name="CALC Percent Total 62 4 2 2" xfId="49705"/>
    <cellStyle name="CALC Percent Total 62 4 3" xfId="33570"/>
    <cellStyle name="CALC Percent Total 62 4 4" xfId="49706"/>
    <cellStyle name="CALC Percent Total 62 5" xfId="19043"/>
    <cellStyle name="CALC Percent Total 62 5 2" xfId="27363"/>
    <cellStyle name="CALC Percent Total 62 5 2 2" xfId="49707"/>
    <cellStyle name="CALC Percent Total 62 5 3" xfId="34513"/>
    <cellStyle name="CALC Percent Total 62 5 4" xfId="49708"/>
    <cellStyle name="CALC Percent Total 62 6" xfId="20011"/>
    <cellStyle name="CALC Percent Total 62 6 2" xfId="28333"/>
    <cellStyle name="CALC Percent Total 62 6 2 2" xfId="49709"/>
    <cellStyle name="CALC Percent Total 62 6 3" xfId="35460"/>
    <cellStyle name="CALC Percent Total 62 6 4" xfId="49710"/>
    <cellStyle name="CALC Percent Total 62 7" xfId="20969"/>
    <cellStyle name="CALC Percent Total 62 7 2" xfId="29286"/>
    <cellStyle name="CALC Percent Total 62 7 2 2" xfId="49711"/>
    <cellStyle name="CALC Percent Total 62 7 3" xfId="36368"/>
    <cellStyle name="CALC Percent Total 62 7 4" xfId="49712"/>
    <cellStyle name="CALC Percent Total 62 8" xfId="21476"/>
    <cellStyle name="CALC Percent Total 62 8 2" xfId="29777"/>
    <cellStyle name="CALC Percent Total 62 8 2 2" xfId="49713"/>
    <cellStyle name="CALC Percent Total 62 8 3" xfId="36838"/>
    <cellStyle name="CALC Percent Total 62 8 4" xfId="49714"/>
    <cellStyle name="CALC Percent Total 62 9" xfId="22404"/>
    <cellStyle name="CALC Percent Total 62 9 2" xfId="30700"/>
    <cellStyle name="CALC Percent Total 62 9 2 2" xfId="49715"/>
    <cellStyle name="CALC Percent Total 62 9 3" xfId="37721"/>
    <cellStyle name="CALC Percent Total 62 9 4" xfId="49716"/>
    <cellStyle name="CALC Percent Total 63" xfId="15069"/>
    <cellStyle name="CALC Percent Total 63 10" xfId="23429"/>
    <cellStyle name="CALC Percent Total 63 10 2" xfId="49717"/>
    <cellStyle name="CALC Percent Total 63 11" xfId="49718"/>
    <cellStyle name="CALC Percent Total 63 12" xfId="49719"/>
    <cellStyle name="CALC Percent Total 63 2" xfId="16149"/>
    <cellStyle name="CALC Percent Total 63 2 2" xfId="24464"/>
    <cellStyle name="CALC Percent Total 63 2 2 2" xfId="49720"/>
    <cellStyle name="CALC Percent Total 63 2 3" xfId="31741"/>
    <cellStyle name="CALC Percent Total 63 2 4" xfId="49721"/>
    <cellStyle name="CALC Percent Total 63 3" xfId="17116"/>
    <cellStyle name="CALC Percent Total 63 3 2" xfId="25437"/>
    <cellStyle name="CALC Percent Total 63 3 2 2" xfId="49722"/>
    <cellStyle name="CALC Percent Total 63 3 3" xfId="32675"/>
    <cellStyle name="CALC Percent Total 63 3 4" xfId="49723"/>
    <cellStyle name="CALC Percent Total 63 4" xfId="18143"/>
    <cellStyle name="CALC Percent Total 63 4 2" xfId="26463"/>
    <cellStyle name="CALC Percent Total 63 4 2 2" xfId="49724"/>
    <cellStyle name="CALC Percent Total 63 4 3" xfId="33652"/>
    <cellStyle name="CALC Percent Total 63 4 4" xfId="49725"/>
    <cellStyle name="CALC Percent Total 63 5" xfId="19127"/>
    <cellStyle name="CALC Percent Total 63 5 2" xfId="27447"/>
    <cellStyle name="CALC Percent Total 63 5 2 2" xfId="49726"/>
    <cellStyle name="CALC Percent Total 63 5 3" xfId="34595"/>
    <cellStyle name="CALC Percent Total 63 5 4" xfId="49727"/>
    <cellStyle name="CALC Percent Total 63 6" xfId="20095"/>
    <cellStyle name="CALC Percent Total 63 6 2" xfId="28417"/>
    <cellStyle name="CALC Percent Total 63 6 2 2" xfId="49728"/>
    <cellStyle name="CALC Percent Total 63 6 3" xfId="35542"/>
    <cellStyle name="CALC Percent Total 63 6 4" xfId="49729"/>
    <cellStyle name="CALC Percent Total 63 7" xfId="21052"/>
    <cellStyle name="CALC Percent Total 63 7 2" xfId="29369"/>
    <cellStyle name="CALC Percent Total 63 7 2 2" xfId="49730"/>
    <cellStyle name="CALC Percent Total 63 7 3" xfId="36449"/>
    <cellStyle name="CALC Percent Total 63 7 4" xfId="49731"/>
    <cellStyle name="CALC Percent Total 63 8" xfId="21559"/>
    <cellStyle name="CALC Percent Total 63 8 2" xfId="29860"/>
    <cellStyle name="CALC Percent Total 63 8 2 2" xfId="49732"/>
    <cellStyle name="CALC Percent Total 63 8 3" xfId="36919"/>
    <cellStyle name="CALC Percent Total 63 8 4" xfId="49733"/>
    <cellStyle name="CALC Percent Total 63 9" xfId="22487"/>
    <cellStyle name="CALC Percent Total 63 9 2" xfId="30783"/>
    <cellStyle name="CALC Percent Total 63 9 2 2" xfId="49734"/>
    <cellStyle name="CALC Percent Total 63 9 3" xfId="37802"/>
    <cellStyle name="CALC Percent Total 63 9 4" xfId="49735"/>
    <cellStyle name="CALC Percent Total 64" xfId="15041"/>
    <cellStyle name="CALC Percent Total 64 10" xfId="23401"/>
    <cellStyle name="CALC Percent Total 64 10 2" xfId="49736"/>
    <cellStyle name="CALC Percent Total 64 11" xfId="49737"/>
    <cellStyle name="CALC Percent Total 64 12" xfId="49738"/>
    <cellStyle name="CALC Percent Total 64 2" xfId="16121"/>
    <cellStyle name="CALC Percent Total 64 2 2" xfId="24436"/>
    <cellStyle name="CALC Percent Total 64 2 2 2" xfId="49739"/>
    <cellStyle name="CALC Percent Total 64 2 3" xfId="31713"/>
    <cellStyle name="CALC Percent Total 64 2 4" xfId="49740"/>
    <cellStyle name="CALC Percent Total 64 3" xfId="17088"/>
    <cellStyle name="CALC Percent Total 64 3 2" xfId="25409"/>
    <cellStyle name="CALC Percent Total 64 3 2 2" xfId="49741"/>
    <cellStyle name="CALC Percent Total 64 3 3" xfId="32647"/>
    <cellStyle name="CALC Percent Total 64 3 4" xfId="49742"/>
    <cellStyle name="CALC Percent Total 64 4" xfId="18115"/>
    <cellStyle name="CALC Percent Total 64 4 2" xfId="26435"/>
    <cellStyle name="CALC Percent Total 64 4 2 2" xfId="49743"/>
    <cellStyle name="CALC Percent Total 64 4 3" xfId="33624"/>
    <cellStyle name="CALC Percent Total 64 4 4" xfId="49744"/>
    <cellStyle name="CALC Percent Total 64 5" xfId="19099"/>
    <cellStyle name="CALC Percent Total 64 5 2" xfId="27419"/>
    <cellStyle name="CALC Percent Total 64 5 2 2" xfId="49745"/>
    <cellStyle name="CALC Percent Total 64 5 3" xfId="34567"/>
    <cellStyle name="CALC Percent Total 64 5 4" xfId="49746"/>
    <cellStyle name="CALC Percent Total 64 6" xfId="20067"/>
    <cellStyle name="CALC Percent Total 64 6 2" xfId="28389"/>
    <cellStyle name="CALC Percent Total 64 6 2 2" xfId="49747"/>
    <cellStyle name="CALC Percent Total 64 6 3" xfId="35514"/>
    <cellStyle name="CALC Percent Total 64 6 4" xfId="49748"/>
    <cellStyle name="CALC Percent Total 64 7" xfId="21024"/>
    <cellStyle name="CALC Percent Total 64 7 2" xfId="29341"/>
    <cellStyle name="CALC Percent Total 64 7 2 2" xfId="49749"/>
    <cellStyle name="CALC Percent Total 64 7 3" xfId="36421"/>
    <cellStyle name="CALC Percent Total 64 7 4" xfId="49750"/>
    <cellStyle name="CALC Percent Total 64 8" xfId="21531"/>
    <cellStyle name="CALC Percent Total 64 8 2" xfId="29832"/>
    <cellStyle name="CALC Percent Total 64 8 2 2" xfId="49751"/>
    <cellStyle name="CALC Percent Total 64 8 3" xfId="36891"/>
    <cellStyle name="CALC Percent Total 64 8 4" xfId="49752"/>
    <cellStyle name="CALC Percent Total 64 9" xfId="22459"/>
    <cellStyle name="CALC Percent Total 64 9 2" xfId="30755"/>
    <cellStyle name="CALC Percent Total 64 9 2 2" xfId="49753"/>
    <cellStyle name="CALC Percent Total 64 9 3" xfId="37774"/>
    <cellStyle name="CALC Percent Total 64 9 4" xfId="49754"/>
    <cellStyle name="CALC Percent Total 65" xfId="15066"/>
    <cellStyle name="CALC Percent Total 65 10" xfId="23426"/>
    <cellStyle name="CALC Percent Total 65 10 2" xfId="49755"/>
    <cellStyle name="CALC Percent Total 65 11" xfId="49756"/>
    <cellStyle name="CALC Percent Total 65 12" xfId="49757"/>
    <cellStyle name="CALC Percent Total 65 2" xfId="16146"/>
    <cellStyle name="CALC Percent Total 65 2 2" xfId="24461"/>
    <cellStyle name="CALC Percent Total 65 2 2 2" xfId="49758"/>
    <cellStyle name="CALC Percent Total 65 2 3" xfId="31738"/>
    <cellStyle name="CALC Percent Total 65 2 4" xfId="49759"/>
    <cellStyle name="CALC Percent Total 65 3" xfId="17113"/>
    <cellStyle name="CALC Percent Total 65 3 2" xfId="25434"/>
    <cellStyle name="CALC Percent Total 65 3 2 2" xfId="49760"/>
    <cellStyle name="CALC Percent Total 65 3 3" xfId="32672"/>
    <cellStyle name="CALC Percent Total 65 3 4" xfId="49761"/>
    <cellStyle name="CALC Percent Total 65 4" xfId="18140"/>
    <cellStyle name="CALC Percent Total 65 4 2" xfId="26460"/>
    <cellStyle name="CALC Percent Total 65 4 2 2" xfId="49762"/>
    <cellStyle name="CALC Percent Total 65 4 3" xfId="33649"/>
    <cellStyle name="CALC Percent Total 65 4 4" xfId="49763"/>
    <cellStyle name="CALC Percent Total 65 5" xfId="19124"/>
    <cellStyle name="CALC Percent Total 65 5 2" xfId="27444"/>
    <cellStyle name="CALC Percent Total 65 5 2 2" xfId="49764"/>
    <cellStyle name="CALC Percent Total 65 5 3" xfId="34592"/>
    <cellStyle name="CALC Percent Total 65 5 4" xfId="49765"/>
    <cellStyle name="CALC Percent Total 65 6" xfId="20092"/>
    <cellStyle name="CALC Percent Total 65 6 2" xfId="28414"/>
    <cellStyle name="CALC Percent Total 65 6 2 2" xfId="49766"/>
    <cellStyle name="CALC Percent Total 65 6 3" xfId="35539"/>
    <cellStyle name="CALC Percent Total 65 6 4" xfId="49767"/>
    <cellStyle name="CALC Percent Total 65 7" xfId="21049"/>
    <cellStyle name="CALC Percent Total 65 7 2" xfId="29366"/>
    <cellStyle name="CALC Percent Total 65 7 2 2" xfId="49768"/>
    <cellStyle name="CALC Percent Total 65 7 3" xfId="36446"/>
    <cellStyle name="CALC Percent Total 65 7 4" xfId="49769"/>
    <cellStyle name="CALC Percent Total 65 8" xfId="21556"/>
    <cellStyle name="CALC Percent Total 65 8 2" xfId="29857"/>
    <cellStyle name="CALC Percent Total 65 8 2 2" xfId="49770"/>
    <cellStyle name="CALC Percent Total 65 8 3" xfId="36916"/>
    <cellStyle name="CALC Percent Total 65 8 4" xfId="49771"/>
    <cellStyle name="CALC Percent Total 65 9" xfId="22484"/>
    <cellStyle name="CALC Percent Total 65 9 2" xfId="30780"/>
    <cellStyle name="CALC Percent Total 65 9 2 2" xfId="49772"/>
    <cellStyle name="CALC Percent Total 65 9 3" xfId="37799"/>
    <cellStyle name="CALC Percent Total 65 9 4" xfId="49773"/>
    <cellStyle name="CALC Percent Total 66" xfId="15038"/>
    <cellStyle name="CALC Percent Total 66 10" xfId="23398"/>
    <cellStyle name="CALC Percent Total 66 10 2" xfId="49774"/>
    <cellStyle name="CALC Percent Total 66 11" xfId="49775"/>
    <cellStyle name="CALC Percent Total 66 12" xfId="49776"/>
    <cellStyle name="CALC Percent Total 66 2" xfId="16118"/>
    <cellStyle name="CALC Percent Total 66 2 2" xfId="24433"/>
    <cellStyle name="CALC Percent Total 66 2 2 2" xfId="49777"/>
    <cellStyle name="CALC Percent Total 66 2 3" xfId="31710"/>
    <cellStyle name="CALC Percent Total 66 2 4" xfId="49778"/>
    <cellStyle name="CALC Percent Total 66 3" xfId="17085"/>
    <cellStyle name="CALC Percent Total 66 3 2" xfId="25406"/>
    <cellStyle name="CALC Percent Total 66 3 2 2" xfId="49779"/>
    <cellStyle name="CALC Percent Total 66 3 3" xfId="32644"/>
    <cellStyle name="CALC Percent Total 66 3 4" xfId="49780"/>
    <cellStyle name="CALC Percent Total 66 4" xfId="18112"/>
    <cellStyle name="CALC Percent Total 66 4 2" xfId="26432"/>
    <cellStyle name="CALC Percent Total 66 4 2 2" xfId="49781"/>
    <cellStyle name="CALC Percent Total 66 4 3" xfId="33621"/>
    <cellStyle name="CALC Percent Total 66 4 4" xfId="49782"/>
    <cellStyle name="CALC Percent Total 66 5" xfId="19096"/>
    <cellStyle name="CALC Percent Total 66 5 2" xfId="27416"/>
    <cellStyle name="CALC Percent Total 66 5 2 2" xfId="49783"/>
    <cellStyle name="CALC Percent Total 66 5 3" xfId="34564"/>
    <cellStyle name="CALC Percent Total 66 5 4" xfId="49784"/>
    <cellStyle name="CALC Percent Total 66 6" xfId="20064"/>
    <cellStyle name="CALC Percent Total 66 6 2" xfId="28386"/>
    <cellStyle name="CALC Percent Total 66 6 2 2" xfId="49785"/>
    <cellStyle name="CALC Percent Total 66 6 3" xfId="35511"/>
    <cellStyle name="CALC Percent Total 66 6 4" xfId="49786"/>
    <cellStyle name="CALC Percent Total 66 7" xfId="21021"/>
    <cellStyle name="CALC Percent Total 66 7 2" xfId="29338"/>
    <cellStyle name="CALC Percent Total 66 7 2 2" xfId="49787"/>
    <cellStyle name="CALC Percent Total 66 7 3" xfId="36418"/>
    <cellStyle name="CALC Percent Total 66 7 4" xfId="49788"/>
    <cellStyle name="CALC Percent Total 66 8" xfId="21528"/>
    <cellStyle name="CALC Percent Total 66 8 2" xfId="29829"/>
    <cellStyle name="CALC Percent Total 66 8 2 2" xfId="49789"/>
    <cellStyle name="CALC Percent Total 66 8 3" xfId="36888"/>
    <cellStyle name="CALC Percent Total 66 8 4" xfId="49790"/>
    <cellStyle name="CALC Percent Total 66 9" xfId="22456"/>
    <cellStyle name="CALC Percent Total 66 9 2" xfId="30752"/>
    <cellStyle name="CALC Percent Total 66 9 2 2" xfId="49791"/>
    <cellStyle name="CALC Percent Total 66 9 3" xfId="37771"/>
    <cellStyle name="CALC Percent Total 66 9 4" xfId="49792"/>
    <cellStyle name="CALC Percent Total 67" xfId="15037"/>
    <cellStyle name="CALC Percent Total 67 10" xfId="23397"/>
    <cellStyle name="CALC Percent Total 67 10 2" xfId="49793"/>
    <cellStyle name="CALC Percent Total 67 11" xfId="49794"/>
    <cellStyle name="CALC Percent Total 67 12" xfId="49795"/>
    <cellStyle name="CALC Percent Total 67 2" xfId="16117"/>
    <cellStyle name="CALC Percent Total 67 2 2" xfId="24432"/>
    <cellStyle name="CALC Percent Total 67 2 2 2" xfId="49796"/>
    <cellStyle name="CALC Percent Total 67 2 3" xfId="31709"/>
    <cellStyle name="CALC Percent Total 67 2 4" xfId="49797"/>
    <cellStyle name="CALC Percent Total 67 3" xfId="17084"/>
    <cellStyle name="CALC Percent Total 67 3 2" xfId="25405"/>
    <cellStyle name="CALC Percent Total 67 3 2 2" xfId="49798"/>
    <cellStyle name="CALC Percent Total 67 3 3" xfId="32643"/>
    <cellStyle name="CALC Percent Total 67 3 4" xfId="49799"/>
    <cellStyle name="CALC Percent Total 67 4" xfId="18111"/>
    <cellStyle name="CALC Percent Total 67 4 2" xfId="26431"/>
    <cellStyle name="CALC Percent Total 67 4 2 2" xfId="49800"/>
    <cellStyle name="CALC Percent Total 67 4 3" xfId="33620"/>
    <cellStyle name="CALC Percent Total 67 4 4" xfId="49801"/>
    <cellStyle name="CALC Percent Total 67 5" xfId="19095"/>
    <cellStyle name="CALC Percent Total 67 5 2" xfId="27415"/>
    <cellStyle name="CALC Percent Total 67 5 2 2" xfId="49802"/>
    <cellStyle name="CALC Percent Total 67 5 3" xfId="34563"/>
    <cellStyle name="CALC Percent Total 67 5 4" xfId="49803"/>
    <cellStyle name="CALC Percent Total 67 6" xfId="20063"/>
    <cellStyle name="CALC Percent Total 67 6 2" xfId="28385"/>
    <cellStyle name="CALC Percent Total 67 6 2 2" xfId="49804"/>
    <cellStyle name="CALC Percent Total 67 6 3" xfId="35510"/>
    <cellStyle name="CALC Percent Total 67 6 4" xfId="49805"/>
    <cellStyle name="CALC Percent Total 67 7" xfId="21020"/>
    <cellStyle name="CALC Percent Total 67 7 2" xfId="29337"/>
    <cellStyle name="CALC Percent Total 67 7 2 2" xfId="49806"/>
    <cellStyle name="CALC Percent Total 67 7 3" xfId="36417"/>
    <cellStyle name="CALC Percent Total 67 7 4" xfId="49807"/>
    <cellStyle name="CALC Percent Total 67 8" xfId="21527"/>
    <cellStyle name="CALC Percent Total 67 8 2" xfId="29828"/>
    <cellStyle name="CALC Percent Total 67 8 2 2" xfId="49808"/>
    <cellStyle name="CALC Percent Total 67 8 3" xfId="36887"/>
    <cellStyle name="CALC Percent Total 67 8 4" xfId="49809"/>
    <cellStyle name="CALC Percent Total 67 9" xfId="22455"/>
    <cellStyle name="CALC Percent Total 67 9 2" xfId="30751"/>
    <cellStyle name="CALC Percent Total 67 9 2 2" xfId="49810"/>
    <cellStyle name="CALC Percent Total 67 9 3" xfId="37770"/>
    <cellStyle name="CALC Percent Total 67 9 4" xfId="49811"/>
    <cellStyle name="CALC Percent Total 68" xfId="15081"/>
    <cellStyle name="CALC Percent Total 68 10" xfId="23440"/>
    <cellStyle name="CALC Percent Total 68 10 2" xfId="49812"/>
    <cellStyle name="CALC Percent Total 68 11" xfId="49813"/>
    <cellStyle name="CALC Percent Total 68 12" xfId="49814"/>
    <cellStyle name="CALC Percent Total 68 2" xfId="16161"/>
    <cellStyle name="CALC Percent Total 68 2 2" xfId="24475"/>
    <cellStyle name="CALC Percent Total 68 2 2 2" xfId="49815"/>
    <cellStyle name="CALC Percent Total 68 2 3" xfId="31752"/>
    <cellStyle name="CALC Percent Total 68 2 4" xfId="49816"/>
    <cellStyle name="CALC Percent Total 68 3" xfId="17128"/>
    <cellStyle name="CALC Percent Total 68 3 2" xfId="25449"/>
    <cellStyle name="CALC Percent Total 68 3 2 2" xfId="49817"/>
    <cellStyle name="CALC Percent Total 68 3 3" xfId="32686"/>
    <cellStyle name="CALC Percent Total 68 3 4" xfId="49818"/>
    <cellStyle name="CALC Percent Total 68 4" xfId="18155"/>
    <cellStyle name="CALC Percent Total 68 4 2" xfId="26475"/>
    <cellStyle name="CALC Percent Total 68 4 2 2" xfId="49819"/>
    <cellStyle name="CALC Percent Total 68 4 3" xfId="33663"/>
    <cellStyle name="CALC Percent Total 68 4 4" xfId="49820"/>
    <cellStyle name="CALC Percent Total 68 5" xfId="19139"/>
    <cellStyle name="CALC Percent Total 68 5 2" xfId="27459"/>
    <cellStyle name="CALC Percent Total 68 5 2 2" xfId="49821"/>
    <cellStyle name="CALC Percent Total 68 5 3" xfId="34607"/>
    <cellStyle name="CALC Percent Total 68 5 4" xfId="49822"/>
    <cellStyle name="CALC Percent Total 68 6" xfId="20107"/>
    <cellStyle name="CALC Percent Total 68 6 2" xfId="28429"/>
    <cellStyle name="CALC Percent Total 68 6 2 2" xfId="49823"/>
    <cellStyle name="CALC Percent Total 68 6 3" xfId="35554"/>
    <cellStyle name="CALC Percent Total 68 6 4" xfId="49824"/>
    <cellStyle name="CALC Percent Total 68 7" xfId="21063"/>
    <cellStyle name="CALC Percent Total 68 7 2" xfId="29380"/>
    <cellStyle name="CALC Percent Total 68 7 2 2" xfId="49825"/>
    <cellStyle name="CALC Percent Total 68 7 3" xfId="36459"/>
    <cellStyle name="CALC Percent Total 68 7 4" xfId="49826"/>
    <cellStyle name="CALC Percent Total 68 8" xfId="21570"/>
    <cellStyle name="CALC Percent Total 68 8 2" xfId="29871"/>
    <cellStyle name="CALC Percent Total 68 8 2 2" xfId="49827"/>
    <cellStyle name="CALC Percent Total 68 8 3" xfId="36930"/>
    <cellStyle name="CALC Percent Total 68 8 4" xfId="49828"/>
    <cellStyle name="CALC Percent Total 68 9" xfId="22498"/>
    <cellStyle name="CALC Percent Total 68 9 2" xfId="30794"/>
    <cellStyle name="CALC Percent Total 68 9 2 2" xfId="49829"/>
    <cellStyle name="CALC Percent Total 68 9 3" xfId="37813"/>
    <cellStyle name="CALC Percent Total 68 9 4" xfId="49830"/>
    <cellStyle name="CALC Percent Total 69" xfId="15053"/>
    <cellStyle name="CALC Percent Total 69 10" xfId="23413"/>
    <cellStyle name="CALC Percent Total 69 10 2" xfId="49831"/>
    <cellStyle name="CALC Percent Total 69 11" xfId="49832"/>
    <cellStyle name="CALC Percent Total 69 12" xfId="49833"/>
    <cellStyle name="CALC Percent Total 69 2" xfId="16133"/>
    <cellStyle name="CALC Percent Total 69 2 2" xfId="24448"/>
    <cellStyle name="CALC Percent Total 69 2 2 2" xfId="49834"/>
    <cellStyle name="CALC Percent Total 69 2 3" xfId="31725"/>
    <cellStyle name="CALC Percent Total 69 2 4" xfId="49835"/>
    <cellStyle name="CALC Percent Total 69 3" xfId="17100"/>
    <cellStyle name="CALC Percent Total 69 3 2" xfId="25421"/>
    <cellStyle name="CALC Percent Total 69 3 2 2" xfId="49836"/>
    <cellStyle name="CALC Percent Total 69 3 3" xfId="32659"/>
    <cellStyle name="CALC Percent Total 69 3 4" xfId="49837"/>
    <cellStyle name="CALC Percent Total 69 4" xfId="18127"/>
    <cellStyle name="CALC Percent Total 69 4 2" xfId="26447"/>
    <cellStyle name="CALC Percent Total 69 4 2 2" xfId="49838"/>
    <cellStyle name="CALC Percent Total 69 4 3" xfId="33636"/>
    <cellStyle name="CALC Percent Total 69 4 4" xfId="49839"/>
    <cellStyle name="CALC Percent Total 69 5" xfId="19111"/>
    <cellStyle name="CALC Percent Total 69 5 2" xfId="27431"/>
    <cellStyle name="CALC Percent Total 69 5 2 2" xfId="49840"/>
    <cellStyle name="CALC Percent Total 69 5 3" xfId="34579"/>
    <cellStyle name="CALC Percent Total 69 5 4" xfId="49841"/>
    <cellStyle name="CALC Percent Total 69 6" xfId="20079"/>
    <cellStyle name="CALC Percent Total 69 6 2" xfId="28401"/>
    <cellStyle name="CALC Percent Total 69 6 2 2" xfId="49842"/>
    <cellStyle name="CALC Percent Total 69 6 3" xfId="35526"/>
    <cellStyle name="CALC Percent Total 69 6 4" xfId="49843"/>
    <cellStyle name="CALC Percent Total 69 7" xfId="21036"/>
    <cellStyle name="CALC Percent Total 69 7 2" xfId="29353"/>
    <cellStyle name="CALC Percent Total 69 7 2 2" xfId="49844"/>
    <cellStyle name="CALC Percent Total 69 7 3" xfId="36433"/>
    <cellStyle name="CALC Percent Total 69 7 4" xfId="49845"/>
    <cellStyle name="CALC Percent Total 69 8" xfId="21543"/>
    <cellStyle name="CALC Percent Total 69 8 2" xfId="29844"/>
    <cellStyle name="CALC Percent Total 69 8 2 2" xfId="49846"/>
    <cellStyle name="CALC Percent Total 69 8 3" xfId="36903"/>
    <cellStyle name="CALC Percent Total 69 8 4" xfId="49847"/>
    <cellStyle name="CALC Percent Total 69 9" xfId="22471"/>
    <cellStyle name="CALC Percent Total 69 9 2" xfId="30767"/>
    <cellStyle name="CALC Percent Total 69 9 2 2" xfId="49848"/>
    <cellStyle name="CALC Percent Total 69 9 3" xfId="37786"/>
    <cellStyle name="CALC Percent Total 69 9 4" xfId="49849"/>
    <cellStyle name="CALC Percent Total 7" xfId="14575"/>
    <cellStyle name="CALC Percent Total 7 10" xfId="22934"/>
    <cellStyle name="CALC Percent Total 7 10 2" xfId="49850"/>
    <cellStyle name="CALC Percent Total 7 11" xfId="49851"/>
    <cellStyle name="CALC Percent Total 7 2" xfId="15656"/>
    <cellStyle name="CALC Percent Total 7 2 2" xfId="23970"/>
    <cellStyle name="CALC Percent Total 7 2 2 2" xfId="49852"/>
    <cellStyle name="CALC Percent Total 7 2 3" xfId="31267"/>
    <cellStyle name="CALC Percent Total 7 2 4" xfId="49853"/>
    <cellStyle name="CALC Percent Total 7 3" xfId="16623"/>
    <cellStyle name="CALC Percent Total 7 3 2" xfId="24941"/>
    <cellStyle name="CALC Percent Total 7 3 2 2" xfId="49854"/>
    <cellStyle name="CALC Percent Total 7 3 3" xfId="32200"/>
    <cellStyle name="CALC Percent Total 7 3 4" xfId="49855"/>
    <cellStyle name="CALC Percent Total 7 4" xfId="17644"/>
    <cellStyle name="CALC Percent Total 7 4 2" xfId="25967"/>
    <cellStyle name="CALC Percent Total 7 4 2 2" xfId="49856"/>
    <cellStyle name="CALC Percent Total 7 4 3" xfId="33177"/>
    <cellStyle name="CALC Percent Total 7 4 4" xfId="49857"/>
    <cellStyle name="CALC Percent Total 7 5" xfId="18626"/>
    <cellStyle name="CALC Percent Total 7 5 2" xfId="26946"/>
    <cellStyle name="CALC Percent Total 7 5 2 2" xfId="49858"/>
    <cellStyle name="CALC Percent Total 7 5 3" xfId="34114"/>
    <cellStyle name="CALC Percent Total 7 5 4" xfId="49859"/>
    <cellStyle name="CALC Percent Total 7 6" xfId="19595"/>
    <cellStyle name="CALC Percent Total 7 6 2" xfId="27915"/>
    <cellStyle name="CALC Percent Total 7 6 2 2" xfId="49860"/>
    <cellStyle name="CALC Percent Total 7 6 3" xfId="35060"/>
    <cellStyle name="CALC Percent Total 7 6 4" xfId="49861"/>
    <cellStyle name="CALC Percent Total 7 7" xfId="20552"/>
    <cellStyle name="CALC Percent Total 7 7 2" xfId="28874"/>
    <cellStyle name="CALC Percent Total 7 7 2 2" xfId="49862"/>
    <cellStyle name="CALC Percent Total 7 7 3" xfId="35977"/>
    <cellStyle name="CALC Percent Total 7 7 4" xfId="49863"/>
    <cellStyle name="CALC Percent Total 7 8" xfId="21252"/>
    <cellStyle name="CALC Percent Total 7 8 2" xfId="29561"/>
    <cellStyle name="CALC Percent Total 7 8 2 2" xfId="49864"/>
    <cellStyle name="CALC Percent Total 7 8 3" xfId="36629"/>
    <cellStyle name="CALC Percent Total 7 8 4" xfId="49865"/>
    <cellStyle name="CALC Percent Total 7 9" xfId="21988"/>
    <cellStyle name="CALC Percent Total 7 9 2" xfId="30288"/>
    <cellStyle name="CALC Percent Total 7 9 2 2" xfId="49866"/>
    <cellStyle name="CALC Percent Total 7 9 3" xfId="37328"/>
    <cellStyle name="CALC Percent Total 7 9 4" xfId="49867"/>
    <cellStyle name="CALC Percent Total 70" xfId="15021"/>
    <cellStyle name="CALC Percent Total 70 10" xfId="23381"/>
    <cellStyle name="CALC Percent Total 70 10 2" xfId="49868"/>
    <cellStyle name="CALC Percent Total 70 11" xfId="49869"/>
    <cellStyle name="CALC Percent Total 70 12" xfId="49870"/>
    <cellStyle name="CALC Percent Total 70 2" xfId="16101"/>
    <cellStyle name="CALC Percent Total 70 2 2" xfId="24416"/>
    <cellStyle name="CALC Percent Total 70 2 2 2" xfId="49871"/>
    <cellStyle name="CALC Percent Total 70 2 3" xfId="31694"/>
    <cellStyle name="CALC Percent Total 70 2 4" xfId="49872"/>
    <cellStyle name="CALC Percent Total 70 3" xfId="17068"/>
    <cellStyle name="CALC Percent Total 70 3 2" xfId="25389"/>
    <cellStyle name="CALC Percent Total 70 3 2 2" xfId="49873"/>
    <cellStyle name="CALC Percent Total 70 3 3" xfId="32628"/>
    <cellStyle name="CALC Percent Total 70 3 4" xfId="49874"/>
    <cellStyle name="CALC Percent Total 70 4" xfId="18095"/>
    <cellStyle name="CALC Percent Total 70 4 2" xfId="26415"/>
    <cellStyle name="CALC Percent Total 70 4 2 2" xfId="49875"/>
    <cellStyle name="CALC Percent Total 70 4 3" xfId="33605"/>
    <cellStyle name="CALC Percent Total 70 4 4" xfId="49876"/>
    <cellStyle name="CALC Percent Total 70 5" xfId="19079"/>
    <cellStyle name="CALC Percent Total 70 5 2" xfId="27399"/>
    <cellStyle name="CALC Percent Total 70 5 2 2" xfId="49877"/>
    <cellStyle name="CALC Percent Total 70 5 3" xfId="34548"/>
    <cellStyle name="CALC Percent Total 70 5 4" xfId="49878"/>
    <cellStyle name="CALC Percent Total 70 6" xfId="20047"/>
    <cellStyle name="CALC Percent Total 70 6 2" xfId="28369"/>
    <cellStyle name="CALC Percent Total 70 6 2 2" xfId="49879"/>
    <cellStyle name="CALC Percent Total 70 6 3" xfId="35495"/>
    <cellStyle name="CALC Percent Total 70 6 4" xfId="49880"/>
    <cellStyle name="CALC Percent Total 70 7" xfId="21004"/>
    <cellStyle name="CALC Percent Total 70 7 2" xfId="29321"/>
    <cellStyle name="CALC Percent Total 70 7 2 2" xfId="49881"/>
    <cellStyle name="CALC Percent Total 70 7 3" xfId="36402"/>
    <cellStyle name="CALC Percent Total 70 7 4" xfId="49882"/>
    <cellStyle name="CALC Percent Total 70 8" xfId="21511"/>
    <cellStyle name="CALC Percent Total 70 8 2" xfId="29812"/>
    <cellStyle name="CALC Percent Total 70 8 2 2" xfId="49883"/>
    <cellStyle name="CALC Percent Total 70 8 3" xfId="36872"/>
    <cellStyle name="CALC Percent Total 70 8 4" xfId="49884"/>
    <cellStyle name="CALC Percent Total 70 9" xfId="22439"/>
    <cellStyle name="CALC Percent Total 70 9 2" xfId="30735"/>
    <cellStyle name="CALC Percent Total 70 9 2 2" xfId="49885"/>
    <cellStyle name="CALC Percent Total 70 9 3" xfId="37755"/>
    <cellStyle name="CALC Percent Total 70 9 4" xfId="49886"/>
    <cellStyle name="CALC Percent Total 71" xfId="15068"/>
    <cellStyle name="CALC Percent Total 71 10" xfId="23428"/>
    <cellStyle name="CALC Percent Total 71 10 2" xfId="49887"/>
    <cellStyle name="CALC Percent Total 71 11" xfId="49888"/>
    <cellStyle name="CALC Percent Total 71 12" xfId="49889"/>
    <cellStyle name="CALC Percent Total 71 2" xfId="16148"/>
    <cellStyle name="CALC Percent Total 71 2 2" xfId="24463"/>
    <cellStyle name="CALC Percent Total 71 2 2 2" xfId="49890"/>
    <cellStyle name="CALC Percent Total 71 2 3" xfId="31740"/>
    <cellStyle name="CALC Percent Total 71 2 4" xfId="49891"/>
    <cellStyle name="CALC Percent Total 71 3" xfId="17115"/>
    <cellStyle name="CALC Percent Total 71 3 2" xfId="25436"/>
    <cellStyle name="CALC Percent Total 71 3 2 2" xfId="49892"/>
    <cellStyle name="CALC Percent Total 71 3 3" xfId="32674"/>
    <cellStyle name="CALC Percent Total 71 3 4" xfId="49893"/>
    <cellStyle name="CALC Percent Total 71 4" xfId="18142"/>
    <cellStyle name="CALC Percent Total 71 4 2" xfId="26462"/>
    <cellStyle name="CALC Percent Total 71 4 2 2" xfId="49894"/>
    <cellStyle name="CALC Percent Total 71 4 3" xfId="33651"/>
    <cellStyle name="CALC Percent Total 71 4 4" xfId="49895"/>
    <cellStyle name="CALC Percent Total 71 5" xfId="19126"/>
    <cellStyle name="CALC Percent Total 71 5 2" xfId="27446"/>
    <cellStyle name="CALC Percent Total 71 5 2 2" xfId="49896"/>
    <cellStyle name="CALC Percent Total 71 5 3" xfId="34594"/>
    <cellStyle name="CALC Percent Total 71 5 4" xfId="49897"/>
    <cellStyle name="CALC Percent Total 71 6" xfId="20094"/>
    <cellStyle name="CALC Percent Total 71 6 2" xfId="28416"/>
    <cellStyle name="CALC Percent Total 71 6 2 2" xfId="49898"/>
    <cellStyle name="CALC Percent Total 71 6 3" xfId="35541"/>
    <cellStyle name="CALC Percent Total 71 6 4" xfId="49899"/>
    <cellStyle name="CALC Percent Total 71 7" xfId="21051"/>
    <cellStyle name="CALC Percent Total 71 7 2" xfId="29368"/>
    <cellStyle name="CALC Percent Total 71 7 2 2" xfId="49900"/>
    <cellStyle name="CALC Percent Total 71 7 3" xfId="36448"/>
    <cellStyle name="CALC Percent Total 71 7 4" xfId="49901"/>
    <cellStyle name="CALC Percent Total 71 8" xfId="21558"/>
    <cellStyle name="CALC Percent Total 71 8 2" xfId="29859"/>
    <cellStyle name="CALC Percent Total 71 8 2 2" xfId="49902"/>
    <cellStyle name="CALC Percent Total 71 8 3" xfId="36918"/>
    <cellStyle name="CALC Percent Total 71 8 4" xfId="49903"/>
    <cellStyle name="CALC Percent Total 71 9" xfId="22486"/>
    <cellStyle name="CALC Percent Total 71 9 2" xfId="30782"/>
    <cellStyle name="CALC Percent Total 71 9 2 2" xfId="49904"/>
    <cellStyle name="CALC Percent Total 71 9 3" xfId="37801"/>
    <cellStyle name="CALC Percent Total 71 9 4" xfId="49905"/>
    <cellStyle name="CALC Percent Total 72" xfId="15039"/>
    <cellStyle name="CALC Percent Total 72 10" xfId="23399"/>
    <cellStyle name="CALC Percent Total 72 10 2" xfId="49906"/>
    <cellStyle name="CALC Percent Total 72 11" xfId="49907"/>
    <cellStyle name="CALC Percent Total 72 12" xfId="49908"/>
    <cellStyle name="CALC Percent Total 72 2" xfId="16119"/>
    <cellStyle name="CALC Percent Total 72 2 2" xfId="24434"/>
    <cellStyle name="CALC Percent Total 72 2 2 2" xfId="49909"/>
    <cellStyle name="CALC Percent Total 72 2 3" xfId="31711"/>
    <cellStyle name="CALC Percent Total 72 2 4" xfId="49910"/>
    <cellStyle name="CALC Percent Total 72 3" xfId="17086"/>
    <cellStyle name="CALC Percent Total 72 3 2" xfId="25407"/>
    <cellStyle name="CALC Percent Total 72 3 2 2" xfId="49911"/>
    <cellStyle name="CALC Percent Total 72 3 3" xfId="32645"/>
    <cellStyle name="CALC Percent Total 72 3 4" xfId="49912"/>
    <cellStyle name="CALC Percent Total 72 4" xfId="18113"/>
    <cellStyle name="CALC Percent Total 72 4 2" xfId="26433"/>
    <cellStyle name="CALC Percent Total 72 4 2 2" xfId="49913"/>
    <cellStyle name="CALC Percent Total 72 4 3" xfId="33622"/>
    <cellStyle name="CALC Percent Total 72 4 4" xfId="49914"/>
    <cellStyle name="CALC Percent Total 72 5" xfId="19097"/>
    <cellStyle name="CALC Percent Total 72 5 2" xfId="27417"/>
    <cellStyle name="CALC Percent Total 72 5 2 2" xfId="49915"/>
    <cellStyle name="CALC Percent Total 72 5 3" xfId="34565"/>
    <cellStyle name="CALC Percent Total 72 5 4" xfId="49916"/>
    <cellStyle name="CALC Percent Total 72 6" xfId="20065"/>
    <cellStyle name="CALC Percent Total 72 6 2" xfId="28387"/>
    <cellStyle name="CALC Percent Total 72 6 2 2" xfId="49917"/>
    <cellStyle name="CALC Percent Total 72 6 3" xfId="35512"/>
    <cellStyle name="CALC Percent Total 72 6 4" xfId="49918"/>
    <cellStyle name="CALC Percent Total 72 7" xfId="21022"/>
    <cellStyle name="CALC Percent Total 72 7 2" xfId="29339"/>
    <cellStyle name="CALC Percent Total 72 7 2 2" xfId="49919"/>
    <cellStyle name="CALC Percent Total 72 7 3" xfId="36419"/>
    <cellStyle name="CALC Percent Total 72 7 4" xfId="49920"/>
    <cellStyle name="CALC Percent Total 72 8" xfId="21529"/>
    <cellStyle name="CALC Percent Total 72 8 2" xfId="29830"/>
    <cellStyle name="CALC Percent Total 72 8 2 2" xfId="49921"/>
    <cellStyle name="CALC Percent Total 72 8 3" xfId="36889"/>
    <cellStyle name="CALC Percent Total 72 8 4" xfId="49922"/>
    <cellStyle name="CALC Percent Total 72 9" xfId="22457"/>
    <cellStyle name="CALC Percent Total 72 9 2" xfId="30753"/>
    <cellStyle name="CALC Percent Total 72 9 2 2" xfId="49923"/>
    <cellStyle name="CALC Percent Total 72 9 3" xfId="37772"/>
    <cellStyle name="CALC Percent Total 72 9 4" xfId="49924"/>
    <cellStyle name="CALC Percent Total 73" xfId="15121"/>
    <cellStyle name="CALC Percent Total 73 10" xfId="49925"/>
    <cellStyle name="CALC Percent Total 73 11" xfId="49926"/>
    <cellStyle name="CALC Percent Total 73 2" xfId="16201"/>
    <cellStyle name="CALC Percent Total 73 2 2" xfId="24514"/>
    <cellStyle name="CALC Percent Total 73 2 2 2" xfId="49927"/>
    <cellStyle name="CALC Percent Total 73 2 3" xfId="31791"/>
    <cellStyle name="CALC Percent Total 73 2 4" xfId="49928"/>
    <cellStyle name="CALC Percent Total 73 3" xfId="17167"/>
    <cellStyle name="CALC Percent Total 73 3 2" xfId="25488"/>
    <cellStyle name="CALC Percent Total 73 3 2 2" xfId="49929"/>
    <cellStyle name="CALC Percent Total 73 3 3" xfId="32724"/>
    <cellStyle name="CALC Percent Total 73 3 4" xfId="49930"/>
    <cellStyle name="CALC Percent Total 73 4" xfId="18195"/>
    <cellStyle name="CALC Percent Total 73 4 2" xfId="26515"/>
    <cellStyle name="CALC Percent Total 73 4 2 2" xfId="49931"/>
    <cellStyle name="CALC Percent Total 73 4 3" xfId="33702"/>
    <cellStyle name="CALC Percent Total 73 4 4" xfId="49932"/>
    <cellStyle name="CALC Percent Total 73 5" xfId="19179"/>
    <cellStyle name="CALC Percent Total 73 5 2" xfId="27499"/>
    <cellStyle name="CALC Percent Total 73 5 2 2" xfId="49933"/>
    <cellStyle name="CALC Percent Total 73 5 3" xfId="34647"/>
    <cellStyle name="CALC Percent Total 73 5 4" xfId="49934"/>
    <cellStyle name="CALC Percent Total 73 6" xfId="20147"/>
    <cellStyle name="CALC Percent Total 73 6 2" xfId="28469"/>
    <cellStyle name="CALC Percent Total 73 6 2 2" xfId="49935"/>
    <cellStyle name="CALC Percent Total 73 6 3" xfId="35594"/>
    <cellStyle name="CALC Percent Total 73 6 4" xfId="49936"/>
    <cellStyle name="CALC Percent Total 73 7" xfId="21608"/>
    <cellStyle name="CALC Percent Total 73 7 2" xfId="29909"/>
    <cellStyle name="CALC Percent Total 73 7 2 2" xfId="49937"/>
    <cellStyle name="CALC Percent Total 73 7 3" xfId="36968"/>
    <cellStyle name="CALC Percent Total 73 7 4" xfId="49938"/>
    <cellStyle name="CALC Percent Total 73 8" xfId="22536"/>
    <cellStyle name="CALC Percent Total 73 8 2" xfId="30832"/>
    <cellStyle name="CALC Percent Total 73 8 2 2" xfId="49939"/>
    <cellStyle name="CALC Percent Total 73 8 3" xfId="37851"/>
    <cellStyle name="CALC Percent Total 73 8 4" xfId="49940"/>
    <cellStyle name="CALC Percent Total 73 9" xfId="23478"/>
    <cellStyle name="CALC Percent Total 73 9 2" xfId="49941"/>
    <cellStyle name="CALC Percent Total 74" xfId="15092"/>
    <cellStyle name="CALC Percent Total 74 10" xfId="49942"/>
    <cellStyle name="CALC Percent Total 74 11" xfId="49943"/>
    <cellStyle name="CALC Percent Total 74 2" xfId="16172"/>
    <cellStyle name="CALC Percent Total 74 2 2" xfId="24485"/>
    <cellStyle name="CALC Percent Total 74 2 2 2" xfId="49944"/>
    <cellStyle name="CALC Percent Total 74 2 3" xfId="31762"/>
    <cellStyle name="CALC Percent Total 74 2 4" xfId="49945"/>
    <cellStyle name="CALC Percent Total 74 3" xfId="17138"/>
    <cellStyle name="CALC Percent Total 74 3 2" xfId="25459"/>
    <cellStyle name="CALC Percent Total 74 3 2 2" xfId="49946"/>
    <cellStyle name="CALC Percent Total 74 3 3" xfId="32695"/>
    <cellStyle name="CALC Percent Total 74 3 4" xfId="49947"/>
    <cellStyle name="CALC Percent Total 74 4" xfId="18166"/>
    <cellStyle name="CALC Percent Total 74 4 2" xfId="26486"/>
    <cellStyle name="CALC Percent Total 74 4 2 2" xfId="49948"/>
    <cellStyle name="CALC Percent Total 74 4 3" xfId="33673"/>
    <cellStyle name="CALC Percent Total 74 4 4" xfId="49949"/>
    <cellStyle name="CALC Percent Total 74 5" xfId="19150"/>
    <cellStyle name="CALC Percent Total 74 5 2" xfId="27470"/>
    <cellStyle name="CALC Percent Total 74 5 2 2" xfId="49950"/>
    <cellStyle name="CALC Percent Total 74 5 3" xfId="34618"/>
    <cellStyle name="CALC Percent Total 74 5 4" xfId="49951"/>
    <cellStyle name="CALC Percent Total 74 6" xfId="20118"/>
    <cellStyle name="CALC Percent Total 74 6 2" xfId="28440"/>
    <cellStyle name="CALC Percent Total 74 6 2 2" xfId="49952"/>
    <cellStyle name="CALC Percent Total 74 6 3" xfId="35565"/>
    <cellStyle name="CALC Percent Total 74 6 4" xfId="49953"/>
    <cellStyle name="CALC Percent Total 74 7" xfId="21579"/>
    <cellStyle name="CALC Percent Total 74 7 2" xfId="29880"/>
    <cellStyle name="CALC Percent Total 74 7 2 2" xfId="49954"/>
    <cellStyle name="CALC Percent Total 74 7 3" xfId="36939"/>
    <cellStyle name="CALC Percent Total 74 7 4" xfId="49955"/>
    <cellStyle name="CALC Percent Total 74 8" xfId="22507"/>
    <cellStyle name="CALC Percent Total 74 8 2" xfId="30803"/>
    <cellStyle name="CALC Percent Total 74 8 2 2" xfId="49956"/>
    <cellStyle name="CALC Percent Total 74 8 3" xfId="37822"/>
    <cellStyle name="CALC Percent Total 74 8 4" xfId="49957"/>
    <cellStyle name="CALC Percent Total 74 9" xfId="23449"/>
    <cellStyle name="CALC Percent Total 74 9 2" xfId="49958"/>
    <cellStyle name="CALC Percent Total 75" xfId="15171"/>
    <cellStyle name="CALC Percent Total 75 10" xfId="49959"/>
    <cellStyle name="CALC Percent Total 75 11" xfId="49960"/>
    <cellStyle name="CALC Percent Total 75 2" xfId="16251"/>
    <cellStyle name="CALC Percent Total 75 2 2" xfId="24564"/>
    <cellStyle name="CALC Percent Total 75 2 2 2" xfId="49961"/>
    <cellStyle name="CALC Percent Total 75 2 3" xfId="31836"/>
    <cellStyle name="CALC Percent Total 75 2 4" xfId="49962"/>
    <cellStyle name="CALC Percent Total 75 3" xfId="17217"/>
    <cellStyle name="CALC Percent Total 75 3 2" xfId="25538"/>
    <cellStyle name="CALC Percent Total 75 3 2 2" xfId="49963"/>
    <cellStyle name="CALC Percent Total 75 3 3" xfId="32769"/>
    <cellStyle name="CALC Percent Total 75 3 4" xfId="49964"/>
    <cellStyle name="CALC Percent Total 75 4" xfId="18245"/>
    <cellStyle name="CALC Percent Total 75 4 2" xfId="26565"/>
    <cellStyle name="CALC Percent Total 75 4 2 2" xfId="49965"/>
    <cellStyle name="CALC Percent Total 75 4 3" xfId="33747"/>
    <cellStyle name="CALC Percent Total 75 4 4" xfId="49966"/>
    <cellStyle name="CALC Percent Total 75 5" xfId="19229"/>
    <cellStyle name="CALC Percent Total 75 5 2" xfId="27549"/>
    <cellStyle name="CALC Percent Total 75 5 2 2" xfId="49967"/>
    <cellStyle name="CALC Percent Total 75 5 3" xfId="34697"/>
    <cellStyle name="CALC Percent Total 75 5 4" xfId="49968"/>
    <cellStyle name="CALC Percent Total 75 6" xfId="20197"/>
    <cellStyle name="CALC Percent Total 75 6 2" xfId="28519"/>
    <cellStyle name="CALC Percent Total 75 6 2 2" xfId="49969"/>
    <cellStyle name="CALC Percent Total 75 6 3" xfId="35639"/>
    <cellStyle name="CALC Percent Total 75 6 4" xfId="49970"/>
    <cellStyle name="CALC Percent Total 75 7" xfId="21658"/>
    <cellStyle name="CALC Percent Total 75 7 2" xfId="29959"/>
    <cellStyle name="CALC Percent Total 75 7 2 2" xfId="49971"/>
    <cellStyle name="CALC Percent Total 75 7 3" xfId="37013"/>
    <cellStyle name="CALC Percent Total 75 7 4" xfId="49972"/>
    <cellStyle name="CALC Percent Total 75 8" xfId="22586"/>
    <cellStyle name="CALC Percent Total 75 8 2" xfId="30882"/>
    <cellStyle name="CALC Percent Total 75 8 2 2" xfId="49973"/>
    <cellStyle name="CALC Percent Total 75 8 3" xfId="37896"/>
    <cellStyle name="CALC Percent Total 75 8 4" xfId="49974"/>
    <cellStyle name="CALC Percent Total 75 9" xfId="23528"/>
    <cellStyle name="CALC Percent Total 75 9 2" xfId="49975"/>
    <cellStyle name="CALC Percent Total 76" xfId="15183"/>
    <cellStyle name="CALC Percent Total 76 10" xfId="49976"/>
    <cellStyle name="CALC Percent Total 76 11" xfId="49977"/>
    <cellStyle name="CALC Percent Total 76 2" xfId="16263"/>
    <cellStyle name="CALC Percent Total 76 2 2" xfId="24576"/>
    <cellStyle name="CALC Percent Total 76 2 2 2" xfId="49978"/>
    <cellStyle name="CALC Percent Total 76 2 3" xfId="31848"/>
    <cellStyle name="CALC Percent Total 76 2 4" xfId="49979"/>
    <cellStyle name="CALC Percent Total 76 3" xfId="17229"/>
    <cellStyle name="CALC Percent Total 76 3 2" xfId="25550"/>
    <cellStyle name="CALC Percent Total 76 3 2 2" xfId="49980"/>
    <cellStyle name="CALC Percent Total 76 3 3" xfId="32781"/>
    <cellStyle name="CALC Percent Total 76 3 4" xfId="49981"/>
    <cellStyle name="CALC Percent Total 76 4" xfId="18257"/>
    <cellStyle name="CALC Percent Total 76 4 2" xfId="26577"/>
    <cellStyle name="CALC Percent Total 76 4 2 2" xfId="49982"/>
    <cellStyle name="CALC Percent Total 76 4 3" xfId="33759"/>
    <cellStyle name="CALC Percent Total 76 4 4" xfId="49983"/>
    <cellStyle name="CALC Percent Total 76 5" xfId="19241"/>
    <cellStyle name="CALC Percent Total 76 5 2" xfId="27561"/>
    <cellStyle name="CALC Percent Total 76 5 2 2" xfId="49984"/>
    <cellStyle name="CALC Percent Total 76 5 3" xfId="34709"/>
    <cellStyle name="CALC Percent Total 76 5 4" xfId="49985"/>
    <cellStyle name="CALC Percent Total 76 6" xfId="20209"/>
    <cellStyle name="CALC Percent Total 76 6 2" xfId="28531"/>
    <cellStyle name="CALC Percent Total 76 6 2 2" xfId="49986"/>
    <cellStyle name="CALC Percent Total 76 6 3" xfId="35651"/>
    <cellStyle name="CALC Percent Total 76 6 4" xfId="49987"/>
    <cellStyle name="CALC Percent Total 76 7" xfId="21670"/>
    <cellStyle name="CALC Percent Total 76 7 2" xfId="29971"/>
    <cellStyle name="CALC Percent Total 76 7 2 2" xfId="49988"/>
    <cellStyle name="CALC Percent Total 76 7 3" xfId="37025"/>
    <cellStyle name="CALC Percent Total 76 7 4" xfId="49989"/>
    <cellStyle name="CALC Percent Total 76 8" xfId="22598"/>
    <cellStyle name="CALC Percent Total 76 8 2" xfId="30894"/>
    <cellStyle name="CALC Percent Total 76 8 2 2" xfId="49990"/>
    <cellStyle name="CALC Percent Total 76 8 3" xfId="37908"/>
    <cellStyle name="CALC Percent Total 76 8 4" xfId="49991"/>
    <cellStyle name="CALC Percent Total 76 9" xfId="23540"/>
    <cellStyle name="CALC Percent Total 76 9 2" xfId="49992"/>
    <cellStyle name="CALC Percent Total 77" xfId="15103"/>
    <cellStyle name="CALC Percent Total 77 10" xfId="49993"/>
    <cellStyle name="CALC Percent Total 77 11" xfId="49994"/>
    <cellStyle name="CALC Percent Total 77 2" xfId="16183"/>
    <cellStyle name="CALC Percent Total 77 2 2" xfId="24496"/>
    <cellStyle name="CALC Percent Total 77 2 2 2" xfId="49995"/>
    <cellStyle name="CALC Percent Total 77 2 3" xfId="31773"/>
    <cellStyle name="CALC Percent Total 77 2 4" xfId="49996"/>
    <cellStyle name="CALC Percent Total 77 3" xfId="17149"/>
    <cellStyle name="CALC Percent Total 77 3 2" xfId="25470"/>
    <cellStyle name="CALC Percent Total 77 3 2 2" xfId="49997"/>
    <cellStyle name="CALC Percent Total 77 3 3" xfId="32706"/>
    <cellStyle name="CALC Percent Total 77 3 4" xfId="49998"/>
    <cellStyle name="CALC Percent Total 77 4" xfId="18177"/>
    <cellStyle name="CALC Percent Total 77 4 2" xfId="26497"/>
    <cellStyle name="CALC Percent Total 77 4 2 2" xfId="49999"/>
    <cellStyle name="CALC Percent Total 77 4 3" xfId="33684"/>
    <cellStyle name="CALC Percent Total 77 4 4" xfId="50000"/>
    <cellStyle name="CALC Percent Total 77 5" xfId="19161"/>
    <cellStyle name="CALC Percent Total 77 5 2" xfId="27481"/>
    <cellStyle name="CALC Percent Total 77 5 2 2" xfId="50001"/>
    <cellStyle name="CALC Percent Total 77 5 3" xfId="34629"/>
    <cellStyle name="CALC Percent Total 77 5 4" xfId="50002"/>
    <cellStyle name="CALC Percent Total 77 6" xfId="20129"/>
    <cellStyle name="CALC Percent Total 77 6 2" xfId="28451"/>
    <cellStyle name="CALC Percent Total 77 6 2 2" xfId="50003"/>
    <cellStyle name="CALC Percent Total 77 6 3" xfId="35576"/>
    <cellStyle name="CALC Percent Total 77 6 4" xfId="50004"/>
    <cellStyle name="CALC Percent Total 77 7" xfId="21590"/>
    <cellStyle name="CALC Percent Total 77 7 2" xfId="29891"/>
    <cellStyle name="CALC Percent Total 77 7 2 2" xfId="50005"/>
    <cellStyle name="CALC Percent Total 77 7 3" xfId="36950"/>
    <cellStyle name="CALC Percent Total 77 7 4" xfId="50006"/>
    <cellStyle name="CALC Percent Total 77 8" xfId="22518"/>
    <cellStyle name="CALC Percent Total 77 8 2" xfId="30814"/>
    <cellStyle name="CALC Percent Total 77 8 2 2" xfId="50007"/>
    <cellStyle name="CALC Percent Total 77 8 3" xfId="37833"/>
    <cellStyle name="CALC Percent Total 77 8 4" xfId="50008"/>
    <cellStyle name="CALC Percent Total 77 9" xfId="23460"/>
    <cellStyle name="CALC Percent Total 77 9 2" xfId="50009"/>
    <cellStyle name="CALC Percent Total 78" xfId="15247"/>
    <cellStyle name="CALC Percent Total 78 10" xfId="50010"/>
    <cellStyle name="CALC Percent Total 78 11" xfId="50011"/>
    <cellStyle name="CALC Percent Total 78 2" xfId="16327"/>
    <cellStyle name="CALC Percent Total 78 2 2" xfId="24640"/>
    <cellStyle name="CALC Percent Total 78 2 2 2" xfId="50012"/>
    <cellStyle name="CALC Percent Total 78 2 3" xfId="31907"/>
    <cellStyle name="CALC Percent Total 78 2 4" xfId="50013"/>
    <cellStyle name="CALC Percent Total 78 3" xfId="17293"/>
    <cellStyle name="CALC Percent Total 78 3 2" xfId="25614"/>
    <cellStyle name="CALC Percent Total 78 3 2 2" xfId="50014"/>
    <cellStyle name="CALC Percent Total 78 3 3" xfId="32840"/>
    <cellStyle name="CALC Percent Total 78 3 4" xfId="50015"/>
    <cellStyle name="CALC Percent Total 78 4" xfId="18321"/>
    <cellStyle name="CALC Percent Total 78 4 2" xfId="26641"/>
    <cellStyle name="CALC Percent Total 78 4 2 2" xfId="50016"/>
    <cellStyle name="CALC Percent Total 78 4 3" xfId="33818"/>
    <cellStyle name="CALC Percent Total 78 4 4" xfId="50017"/>
    <cellStyle name="CALC Percent Total 78 5" xfId="19305"/>
    <cellStyle name="CALC Percent Total 78 5 2" xfId="27625"/>
    <cellStyle name="CALC Percent Total 78 5 2 2" xfId="50018"/>
    <cellStyle name="CALC Percent Total 78 5 3" xfId="34773"/>
    <cellStyle name="CALC Percent Total 78 5 4" xfId="50019"/>
    <cellStyle name="CALC Percent Total 78 6" xfId="20273"/>
    <cellStyle name="CALC Percent Total 78 6 2" xfId="28595"/>
    <cellStyle name="CALC Percent Total 78 6 2 2" xfId="50020"/>
    <cellStyle name="CALC Percent Total 78 6 3" xfId="35710"/>
    <cellStyle name="CALC Percent Total 78 6 4" xfId="50021"/>
    <cellStyle name="CALC Percent Total 78 7" xfId="21734"/>
    <cellStyle name="CALC Percent Total 78 7 2" xfId="30035"/>
    <cellStyle name="CALC Percent Total 78 7 2 2" xfId="50022"/>
    <cellStyle name="CALC Percent Total 78 7 3" xfId="37084"/>
    <cellStyle name="CALC Percent Total 78 7 4" xfId="50023"/>
    <cellStyle name="CALC Percent Total 78 8" xfId="22662"/>
    <cellStyle name="CALC Percent Total 78 8 2" xfId="30958"/>
    <cellStyle name="CALC Percent Total 78 8 2 2" xfId="50024"/>
    <cellStyle name="CALC Percent Total 78 8 3" xfId="37967"/>
    <cellStyle name="CALC Percent Total 78 8 4" xfId="50025"/>
    <cellStyle name="CALC Percent Total 78 9" xfId="23604"/>
    <cellStyle name="CALC Percent Total 78 9 2" xfId="50026"/>
    <cellStyle name="CALC Percent Total 79" xfId="15217"/>
    <cellStyle name="CALC Percent Total 79 10" xfId="50027"/>
    <cellStyle name="CALC Percent Total 79 11" xfId="50028"/>
    <cellStyle name="CALC Percent Total 79 2" xfId="16297"/>
    <cellStyle name="CALC Percent Total 79 2 2" xfId="24610"/>
    <cellStyle name="CALC Percent Total 79 2 2 2" xfId="50029"/>
    <cellStyle name="CALC Percent Total 79 2 3" xfId="31879"/>
    <cellStyle name="CALC Percent Total 79 2 4" xfId="50030"/>
    <cellStyle name="CALC Percent Total 79 3" xfId="17263"/>
    <cellStyle name="CALC Percent Total 79 3 2" xfId="25584"/>
    <cellStyle name="CALC Percent Total 79 3 2 2" xfId="50031"/>
    <cellStyle name="CALC Percent Total 79 3 3" xfId="32812"/>
    <cellStyle name="CALC Percent Total 79 3 4" xfId="50032"/>
    <cellStyle name="CALC Percent Total 79 4" xfId="18291"/>
    <cellStyle name="CALC Percent Total 79 4 2" xfId="26611"/>
    <cellStyle name="CALC Percent Total 79 4 2 2" xfId="50033"/>
    <cellStyle name="CALC Percent Total 79 4 3" xfId="33790"/>
    <cellStyle name="CALC Percent Total 79 4 4" xfId="50034"/>
    <cellStyle name="CALC Percent Total 79 5" xfId="19275"/>
    <cellStyle name="CALC Percent Total 79 5 2" xfId="27595"/>
    <cellStyle name="CALC Percent Total 79 5 2 2" xfId="50035"/>
    <cellStyle name="CALC Percent Total 79 5 3" xfId="34743"/>
    <cellStyle name="CALC Percent Total 79 5 4" xfId="50036"/>
    <cellStyle name="CALC Percent Total 79 6" xfId="20243"/>
    <cellStyle name="CALC Percent Total 79 6 2" xfId="28565"/>
    <cellStyle name="CALC Percent Total 79 6 2 2" xfId="50037"/>
    <cellStyle name="CALC Percent Total 79 6 3" xfId="35682"/>
    <cellStyle name="CALC Percent Total 79 6 4" xfId="50038"/>
    <cellStyle name="CALC Percent Total 79 7" xfId="21704"/>
    <cellStyle name="CALC Percent Total 79 7 2" xfId="30005"/>
    <cellStyle name="CALC Percent Total 79 7 2 2" xfId="50039"/>
    <cellStyle name="CALC Percent Total 79 7 3" xfId="37056"/>
    <cellStyle name="CALC Percent Total 79 7 4" xfId="50040"/>
    <cellStyle name="CALC Percent Total 79 8" xfId="22632"/>
    <cellStyle name="CALC Percent Total 79 8 2" xfId="30928"/>
    <cellStyle name="CALC Percent Total 79 8 2 2" xfId="50041"/>
    <cellStyle name="CALC Percent Total 79 8 3" xfId="37939"/>
    <cellStyle name="CALC Percent Total 79 8 4" xfId="50042"/>
    <cellStyle name="CALC Percent Total 79 9" xfId="23574"/>
    <cellStyle name="CALC Percent Total 79 9 2" xfId="50043"/>
    <cellStyle name="CALC Percent Total 8" xfId="14555"/>
    <cellStyle name="CALC Percent Total 8 10" xfId="22911"/>
    <cellStyle name="CALC Percent Total 8 10 2" xfId="50044"/>
    <cellStyle name="CALC Percent Total 8 11" xfId="50045"/>
    <cellStyle name="CALC Percent Total 8 2" xfId="15634"/>
    <cellStyle name="CALC Percent Total 8 2 2" xfId="23947"/>
    <cellStyle name="CALC Percent Total 8 2 2 2" xfId="50046"/>
    <cellStyle name="CALC Percent Total 8 2 3" xfId="31244"/>
    <cellStyle name="CALC Percent Total 8 2 4" xfId="50047"/>
    <cellStyle name="CALC Percent Total 8 3" xfId="16601"/>
    <cellStyle name="CALC Percent Total 8 3 2" xfId="24918"/>
    <cellStyle name="CALC Percent Total 8 3 2 2" xfId="50048"/>
    <cellStyle name="CALC Percent Total 8 3 3" xfId="32177"/>
    <cellStyle name="CALC Percent Total 8 3 4" xfId="50049"/>
    <cellStyle name="CALC Percent Total 8 4" xfId="17621"/>
    <cellStyle name="CALC Percent Total 8 4 2" xfId="25944"/>
    <cellStyle name="CALC Percent Total 8 4 2 2" xfId="50050"/>
    <cellStyle name="CALC Percent Total 8 4 3" xfId="33154"/>
    <cellStyle name="CALC Percent Total 8 4 4" xfId="50051"/>
    <cellStyle name="CALC Percent Total 8 5" xfId="18603"/>
    <cellStyle name="CALC Percent Total 8 5 2" xfId="26922"/>
    <cellStyle name="CALC Percent Total 8 5 2 2" xfId="50052"/>
    <cellStyle name="CALC Percent Total 8 5 3" xfId="34090"/>
    <cellStyle name="CALC Percent Total 8 5 4" xfId="50053"/>
    <cellStyle name="CALC Percent Total 8 6" xfId="19571"/>
    <cellStyle name="CALC Percent Total 8 6 2" xfId="27892"/>
    <cellStyle name="CALC Percent Total 8 6 2 2" xfId="50054"/>
    <cellStyle name="CALC Percent Total 8 6 3" xfId="35037"/>
    <cellStyle name="CALC Percent Total 8 6 4" xfId="50055"/>
    <cellStyle name="CALC Percent Total 8 7" xfId="20529"/>
    <cellStyle name="CALC Percent Total 8 7 2" xfId="28851"/>
    <cellStyle name="CALC Percent Total 8 7 2 2" xfId="50056"/>
    <cellStyle name="CALC Percent Total 8 7 3" xfId="35954"/>
    <cellStyle name="CALC Percent Total 8 7 4" xfId="50057"/>
    <cellStyle name="CALC Percent Total 8 8" xfId="21172"/>
    <cellStyle name="CALC Percent Total 8 8 2" xfId="29484"/>
    <cellStyle name="CALC Percent Total 8 8 2 2" xfId="50058"/>
    <cellStyle name="CALC Percent Total 8 8 3" xfId="36555"/>
    <cellStyle name="CALC Percent Total 8 8 4" xfId="50059"/>
    <cellStyle name="CALC Percent Total 8 9" xfId="21964"/>
    <cellStyle name="CALC Percent Total 8 9 2" xfId="30265"/>
    <cellStyle name="CALC Percent Total 8 9 2 2" xfId="50060"/>
    <cellStyle name="CALC Percent Total 8 9 3" xfId="37305"/>
    <cellStyle name="CALC Percent Total 8 9 4" xfId="50061"/>
    <cellStyle name="CALC Percent Total 80" xfId="15241"/>
    <cellStyle name="CALC Percent Total 80 10" xfId="50062"/>
    <cellStyle name="CALC Percent Total 80 11" xfId="50063"/>
    <cellStyle name="CALC Percent Total 80 2" xfId="16321"/>
    <cellStyle name="CALC Percent Total 80 2 2" xfId="24634"/>
    <cellStyle name="CALC Percent Total 80 2 2 2" xfId="50064"/>
    <cellStyle name="CALC Percent Total 80 2 3" xfId="31901"/>
    <cellStyle name="CALC Percent Total 80 2 4" xfId="50065"/>
    <cellStyle name="CALC Percent Total 80 3" xfId="17287"/>
    <cellStyle name="CALC Percent Total 80 3 2" xfId="25608"/>
    <cellStyle name="CALC Percent Total 80 3 2 2" xfId="50066"/>
    <cellStyle name="CALC Percent Total 80 3 3" xfId="32834"/>
    <cellStyle name="CALC Percent Total 80 3 4" xfId="50067"/>
    <cellStyle name="CALC Percent Total 80 4" xfId="18315"/>
    <cellStyle name="CALC Percent Total 80 4 2" xfId="26635"/>
    <cellStyle name="CALC Percent Total 80 4 2 2" xfId="50068"/>
    <cellStyle name="CALC Percent Total 80 4 3" xfId="33812"/>
    <cellStyle name="CALC Percent Total 80 4 4" xfId="50069"/>
    <cellStyle name="CALC Percent Total 80 5" xfId="19299"/>
    <cellStyle name="CALC Percent Total 80 5 2" xfId="27619"/>
    <cellStyle name="CALC Percent Total 80 5 2 2" xfId="50070"/>
    <cellStyle name="CALC Percent Total 80 5 3" xfId="34767"/>
    <cellStyle name="CALC Percent Total 80 5 4" xfId="50071"/>
    <cellStyle name="CALC Percent Total 80 6" xfId="20267"/>
    <cellStyle name="CALC Percent Total 80 6 2" xfId="28589"/>
    <cellStyle name="CALC Percent Total 80 6 2 2" xfId="50072"/>
    <cellStyle name="CALC Percent Total 80 6 3" xfId="35704"/>
    <cellStyle name="CALC Percent Total 80 6 4" xfId="50073"/>
    <cellStyle name="CALC Percent Total 80 7" xfId="21728"/>
    <cellStyle name="CALC Percent Total 80 7 2" xfId="30029"/>
    <cellStyle name="CALC Percent Total 80 7 2 2" xfId="50074"/>
    <cellStyle name="CALC Percent Total 80 7 3" xfId="37078"/>
    <cellStyle name="CALC Percent Total 80 7 4" xfId="50075"/>
    <cellStyle name="CALC Percent Total 80 8" xfId="22656"/>
    <cellStyle name="CALC Percent Total 80 8 2" xfId="30952"/>
    <cellStyle name="CALC Percent Total 80 8 2 2" xfId="50076"/>
    <cellStyle name="CALC Percent Total 80 8 3" xfId="37961"/>
    <cellStyle name="CALC Percent Total 80 8 4" xfId="50077"/>
    <cellStyle name="CALC Percent Total 80 9" xfId="23598"/>
    <cellStyle name="CALC Percent Total 80 9 2" xfId="50078"/>
    <cellStyle name="CALC Percent Total 81" xfId="15226"/>
    <cellStyle name="CALC Percent Total 81 10" xfId="50079"/>
    <cellStyle name="CALC Percent Total 81 11" xfId="50080"/>
    <cellStyle name="CALC Percent Total 81 2" xfId="16306"/>
    <cellStyle name="CALC Percent Total 81 2 2" xfId="24619"/>
    <cellStyle name="CALC Percent Total 81 2 2 2" xfId="50081"/>
    <cellStyle name="CALC Percent Total 81 2 3" xfId="31887"/>
    <cellStyle name="CALC Percent Total 81 2 4" xfId="50082"/>
    <cellStyle name="CALC Percent Total 81 3" xfId="17272"/>
    <cellStyle name="CALC Percent Total 81 3 2" xfId="25593"/>
    <cellStyle name="CALC Percent Total 81 3 2 2" xfId="50083"/>
    <cellStyle name="CALC Percent Total 81 3 3" xfId="32820"/>
    <cellStyle name="CALC Percent Total 81 3 4" xfId="50084"/>
    <cellStyle name="CALC Percent Total 81 4" xfId="18300"/>
    <cellStyle name="CALC Percent Total 81 4 2" xfId="26620"/>
    <cellStyle name="CALC Percent Total 81 4 2 2" xfId="50085"/>
    <cellStyle name="CALC Percent Total 81 4 3" xfId="33798"/>
    <cellStyle name="CALC Percent Total 81 4 4" xfId="50086"/>
    <cellStyle name="CALC Percent Total 81 5" xfId="19284"/>
    <cellStyle name="CALC Percent Total 81 5 2" xfId="27604"/>
    <cellStyle name="CALC Percent Total 81 5 2 2" xfId="50087"/>
    <cellStyle name="CALC Percent Total 81 5 3" xfId="34752"/>
    <cellStyle name="CALC Percent Total 81 5 4" xfId="50088"/>
    <cellStyle name="CALC Percent Total 81 6" xfId="20252"/>
    <cellStyle name="CALC Percent Total 81 6 2" xfId="28574"/>
    <cellStyle name="CALC Percent Total 81 6 2 2" xfId="50089"/>
    <cellStyle name="CALC Percent Total 81 6 3" xfId="35690"/>
    <cellStyle name="CALC Percent Total 81 6 4" xfId="50090"/>
    <cellStyle name="CALC Percent Total 81 7" xfId="21713"/>
    <cellStyle name="CALC Percent Total 81 7 2" xfId="30014"/>
    <cellStyle name="CALC Percent Total 81 7 2 2" xfId="50091"/>
    <cellStyle name="CALC Percent Total 81 7 3" xfId="37064"/>
    <cellStyle name="CALC Percent Total 81 7 4" xfId="50092"/>
    <cellStyle name="CALC Percent Total 81 8" xfId="22641"/>
    <cellStyle name="CALC Percent Total 81 8 2" xfId="30937"/>
    <cellStyle name="CALC Percent Total 81 8 2 2" xfId="50093"/>
    <cellStyle name="CALC Percent Total 81 8 3" xfId="37947"/>
    <cellStyle name="CALC Percent Total 81 8 4" xfId="50094"/>
    <cellStyle name="CALC Percent Total 81 9" xfId="23583"/>
    <cellStyle name="CALC Percent Total 81 9 2" xfId="50095"/>
    <cellStyle name="CALC Percent Total 82" xfId="15299"/>
    <cellStyle name="CALC Percent Total 82 10" xfId="50096"/>
    <cellStyle name="CALC Percent Total 82 11" xfId="50097"/>
    <cellStyle name="CALC Percent Total 82 2" xfId="16379"/>
    <cellStyle name="CALC Percent Total 82 2 2" xfId="24692"/>
    <cellStyle name="CALC Percent Total 82 2 2 2" xfId="50098"/>
    <cellStyle name="CALC Percent Total 82 2 3" xfId="31958"/>
    <cellStyle name="CALC Percent Total 82 2 4" xfId="50099"/>
    <cellStyle name="CALC Percent Total 82 3" xfId="17345"/>
    <cellStyle name="CALC Percent Total 82 3 2" xfId="25666"/>
    <cellStyle name="CALC Percent Total 82 3 2 2" xfId="50100"/>
    <cellStyle name="CALC Percent Total 82 3 3" xfId="32891"/>
    <cellStyle name="CALC Percent Total 82 3 4" xfId="50101"/>
    <cellStyle name="CALC Percent Total 82 4" xfId="18373"/>
    <cellStyle name="CALC Percent Total 82 4 2" xfId="26693"/>
    <cellStyle name="CALC Percent Total 82 4 2 2" xfId="50102"/>
    <cellStyle name="CALC Percent Total 82 4 3" xfId="33869"/>
    <cellStyle name="CALC Percent Total 82 4 4" xfId="50103"/>
    <cellStyle name="CALC Percent Total 82 5" xfId="19356"/>
    <cellStyle name="CALC Percent Total 82 5 2" xfId="27677"/>
    <cellStyle name="CALC Percent Total 82 5 2 2" xfId="50104"/>
    <cellStyle name="CALC Percent Total 82 5 3" xfId="34825"/>
    <cellStyle name="CALC Percent Total 82 5 4" xfId="50105"/>
    <cellStyle name="CALC Percent Total 82 6" xfId="20325"/>
    <cellStyle name="CALC Percent Total 82 6 2" xfId="28647"/>
    <cellStyle name="CALC Percent Total 82 6 2 2" xfId="50106"/>
    <cellStyle name="CALC Percent Total 82 6 3" xfId="35761"/>
    <cellStyle name="CALC Percent Total 82 6 4" xfId="50107"/>
    <cellStyle name="CALC Percent Total 82 7" xfId="21786"/>
    <cellStyle name="CALC Percent Total 82 7 2" xfId="30087"/>
    <cellStyle name="CALC Percent Total 82 7 2 2" xfId="50108"/>
    <cellStyle name="CALC Percent Total 82 7 3" xfId="37135"/>
    <cellStyle name="CALC Percent Total 82 7 4" xfId="50109"/>
    <cellStyle name="CALC Percent Total 82 8" xfId="22714"/>
    <cellStyle name="CALC Percent Total 82 8 2" xfId="31010"/>
    <cellStyle name="CALC Percent Total 82 8 2 2" xfId="50110"/>
    <cellStyle name="CALC Percent Total 82 8 3" xfId="38018"/>
    <cellStyle name="CALC Percent Total 82 8 4" xfId="50111"/>
    <cellStyle name="CALC Percent Total 82 9" xfId="23656"/>
    <cellStyle name="CALC Percent Total 82 9 2" xfId="50112"/>
    <cellStyle name="CALC Percent Total 83" xfId="15302"/>
    <cellStyle name="CALC Percent Total 83 10" xfId="50113"/>
    <cellStyle name="CALC Percent Total 83 11" xfId="50114"/>
    <cellStyle name="CALC Percent Total 83 2" xfId="16382"/>
    <cellStyle name="CALC Percent Total 83 2 2" xfId="24695"/>
    <cellStyle name="CALC Percent Total 83 2 2 2" xfId="50115"/>
    <cellStyle name="CALC Percent Total 83 2 3" xfId="31961"/>
    <cellStyle name="CALC Percent Total 83 2 4" xfId="50116"/>
    <cellStyle name="CALC Percent Total 83 3" xfId="17348"/>
    <cellStyle name="CALC Percent Total 83 3 2" xfId="25669"/>
    <cellStyle name="CALC Percent Total 83 3 2 2" xfId="50117"/>
    <cellStyle name="CALC Percent Total 83 3 3" xfId="32894"/>
    <cellStyle name="CALC Percent Total 83 3 4" xfId="50118"/>
    <cellStyle name="CALC Percent Total 83 4" xfId="18376"/>
    <cellStyle name="CALC Percent Total 83 4 2" xfId="26696"/>
    <cellStyle name="CALC Percent Total 83 4 2 2" xfId="50119"/>
    <cellStyle name="CALC Percent Total 83 4 3" xfId="33872"/>
    <cellStyle name="CALC Percent Total 83 4 4" xfId="50120"/>
    <cellStyle name="CALC Percent Total 83 5" xfId="19359"/>
    <cellStyle name="CALC Percent Total 83 5 2" xfId="27680"/>
    <cellStyle name="CALC Percent Total 83 5 2 2" xfId="50121"/>
    <cellStyle name="CALC Percent Total 83 5 3" xfId="34828"/>
    <cellStyle name="CALC Percent Total 83 5 4" xfId="50122"/>
    <cellStyle name="CALC Percent Total 83 6" xfId="20328"/>
    <cellStyle name="CALC Percent Total 83 6 2" xfId="28650"/>
    <cellStyle name="CALC Percent Total 83 6 2 2" xfId="50123"/>
    <cellStyle name="CALC Percent Total 83 6 3" xfId="35764"/>
    <cellStyle name="CALC Percent Total 83 6 4" xfId="50124"/>
    <cellStyle name="CALC Percent Total 83 7" xfId="21789"/>
    <cellStyle name="CALC Percent Total 83 7 2" xfId="30090"/>
    <cellStyle name="CALC Percent Total 83 7 2 2" xfId="50125"/>
    <cellStyle name="CALC Percent Total 83 7 3" xfId="37138"/>
    <cellStyle name="CALC Percent Total 83 7 4" xfId="50126"/>
    <cellStyle name="CALC Percent Total 83 8" xfId="22717"/>
    <cellStyle name="CALC Percent Total 83 8 2" xfId="31013"/>
    <cellStyle name="CALC Percent Total 83 8 2 2" xfId="50127"/>
    <cellStyle name="CALC Percent Total 83 8 3" xfId="38021"/>
    <cellStyle name="CALC Percent Total 83 8 4" xfId="50128"/>
    <cellStyle name="CALC Percent Total 83 9" xfId="23659"/>
    <cellStyle name="CALC Percent Total 83 9 2" xfId="50129"/>
    <cellStyle name="CALC Percent Total 84" xfId="15276"/>
    <cellStyle name="CALC Percent Total 84 10" xfId="50130"/>
    <cellStyle name="CALC Percent Total 84 11" xfId="50131"/>
    <cellStyle name="CALC Percent Total 84 2" xfId="16356"/>
    <cellStyle name="CALC Percent Total 84 2 2" xfId="24669"/>
    <cellStyle name="CALC Percent Total 84 2 2 2" xfId="50132"/>
    <cellStyle name="CALC Percent Total 84 2 3" xfId="31936"/>
    <cellStyle name="CALC Percent Total 84 2 4" xfId="50133"/>
    <cellStyle name="CALC Percent Total 84 3" xfId="17322"/>
    <cellStyle name="CALC Percent Total 84 3 2" xfId="25643"/>
    <cellStyle name="CALC Percent Total 84 3 2 2" xfId="50134"/>
    <cellStyle name="CALC Percent Total 84 3 3" xfId="32869"/>
    <cellStyle name="CALC Percent Total 84 3 4" xfId="50135"/>
    <cellStyle name="CALC Percent Total 84 4" xfId="18350"/>
    <cellStyle name="CALC Percent Total 84 4 2" xfId="26670"/>
    <cellStyle name="CALC Percent Total 84 4 2 2" xfId="50136"/>
    <cellStyle name="CALC Percent Total 84 4 3" xfId="33847"/>
    <cellStyle name="CALC Percent Total 84 4 4" xfId="50137"/>
    <cellStyle name="CALC Percent Total 84 5" xfId="19334"/>
    <cellStyle name="CALC Percent Total 84 5 2" xfId="27654"/>
    <cellStyle name="CALC Percent Total 84 5 2 2" xfId="50138"/>
    <cellStyle name="CALC Percent Total 84 5 3" xfId="34802"/>
    <cellStyle name="CALC Percent Total 84 5 4" xfId="50139"/>
    <cellStyle name="CALC Percent Total 84 6" xfId="20302"/>
    <cellStyle name="CALC Percent Total 84 6 2" xfId="28624"/>
    <cellStyle name="CALC Percent Total 84 6 2 2" xfId="50140"/>
    <cellStyle name="CALC Percent Total 84 6 3" xfId="35739"/>
    <cellStyle name="CALC Percent Total 84 6 4" xfId="50141"/>
    <cellStyle name="CALC Percent Total 84 7" xfId="21763"/>
    <cellStyle name="CALC Percent Total 84 7 2" xfId="30064"/>
    <cellStyle name="CALC Percent Total 84 7 2 2" xfId="50142"/>
    <cellStyle name="CALC Percent Total 84 7 3" xfId="37113"/>
    <cellStyle name="CALC Percent Total 84 7 4" xfId="50143"/>
    <cellStyle name="CALC Percent Total 84 8" xfId="22691"/>
    <cellStyle name="CALC Percent Total 84 8 2" xfId="30987"/>
    <cellStyle name="CALC Percent Total 84 8 2 2" xfId="50144"/>
    <cellStyle name="CALC Percent Total 84 8 3" xfId="37996"/>
    <cellStyle name="CALC Percent Total 84 8 4" xfId="50145"/>
    <cellStyle name="CALC Percent Total 84 9" xfId="23633"/>
    <cellStyle name="CALC Percent Total 84 9 2" xfId="50146"/>
    <cellStyle name="CALC Percent Total 85" xfId="15315"/>
    <cellStyle name="CALC Percent Total 85 10" xfId="50147"/>
    <cellStyle name="CALC Percent Total 85 11" xfId="50148"/>
    <cellStyle name="CALC Percent Total 85 2" xfId="16395"/>
    <cellStyle name="CALC Percent Total 85 2 2" xfId="24708"/>
    <cellStyle name="CALC Percent Total 85 2 2 2" xfId="50149"/>
    <cellStyle name="CALC Percent Total 85 2 3" xfId="31973"/>
    <cellStyle name="CALC Percent Total 85 2 4" xfId="50150"/>
    <cellStyle name="CALC Percent Total 85 3" xfId="17361"/>
    <cellStyle name="CALC Percent Total 85 3 2" xfId="25682"/>
    <cellStyle name="CALC Percent Total 85 3 2 2" xfId="50151"/>
    <cellStyle name="CALC Percent Total 85 3 3" xfId="32906"/>
    <cellStyle name="CALC Percent Total 85 3 4" xfId="50152"/>
    <cellStyle name="CALC Percent Total 85 4" xfId="18389"/>
    <cellStyle name="CALC Percent Total 85 4 2" xfId="26709"/>
    <cellStyle name="CALC Percent Total 85 4 2 2" xfId="50153"/>
    <cellStyle name="CALC Percent Total 85 4 3" xfId="33884"/>
    <cellStyle name="CALC Percent Total 85 4 4" xfId="50154"/>
    <cellStyle name="CALC Percent Total 85 5" xfId="19372"/>
    <cellStyle name="CALC Percent Total 85 5 2" xfId="27693"/>
    <cellStyle name="CALC Percent Total 85 5 2 2" xfId="50155"/>
    <cellStyle name="CALC Percent Total 85 5 3" xfId="34841"/>
    <cellStyle name="CALC Percent Total 85 5 4" xfId="50156"/>
    <cellStyle name="CALC Percent Total 85 6" xfId="20341"/>
    <cellStyle name="CALC Percent Total 85 6 2" xfId="28663"/>
    <cellStyle name="CALC Percent Total 85 6 2 2" xfId="50157"/>
    <cellStyle name="CALC Percent Total 85 6 3" xfId="35776"/>
    <cellStyle name="CALC Percent Total 85 6 4" xfId="50158"/>
    <cellStyle name="CALC Percent Total 85 7" xfId="21802"/>
    <cellStyle name="CALC Percent Total 85 7 2" xfId="30103"/>
    <cellStyle name="CALC Percent Total 85 7 2 2" xfId="50159"/>
    <cellStyle name="CALC Percent Total 85 7 3" xfId="37150"/>
    <cellStyle name="CALC Percent Total 85 7 4" xfId="50160"/>
    <cellStyle name="CALC Percent Total 85 8" xfId="22730"/>
    <cellStyle name="CALC Percent Total 85 8 2" xfId="31026"/>
    <cellStyle name="CALC Percent Total 85 8 2 2" xfId="50161"/>
    <cellStyle name="CALC Percent Total 85 8 3" xfId="38033"/>
    <cellStyle name="CALC Percent Total 85 8 4" xfId="50162"/>
    <cellStyle name="CALC Percent Total 85 9" xfId="23672"/>
    <cellStyle name="CALC Percent Total 85 9 2" xfId="50163"/>
    <cellStyle name="CALC Percent Total 86" xfId="15320"/>
    <cellStyle name="CALC Percent Total 86 10" xfId="50164"/>
    <cellStyle name="CALC Percent Total 86 11" xfId="50165"/>
    <cellStyle name="CALC Percent Total 86 2" xfId="16400"/>
    <cellStyle name="CALC Percent Total 86 2 2" xfId="24713"/>
    <cellStyle name="CALC Percent Total 86 2 2 2" xfId="50166"/>
    <cellStyle name="CALC Percent Total 86 2 3" xfId="31978"/>
    <cellStyle name="CALC Percent Total 86 2 4" xfId="50167"/>
    <cellStyle name="CALC Percent Total 86 3" xfId="17366"/>
    <cellStyle name="CALC Percent Total 86 3 2" xfId="25687"/>
    <cellStyle name="CALC Percent Total 86 3 2 2" xfId="50168"/>
    <cellStyle name="CALC Percent Total 86 3 3" xfId="32911"/>
    <cellStyle name="CALC Percent Total 86 3 4" xfId="50169"/>
    <cellStyle name="CALC Percent Total 86 4" xfId="18394"/>
    <cellStyle name="CALC Percent Total 86 4 2" xfId="26714"/>
    <cellStyle name="CALC Percent Total 86 4 2 2" xfId="50170"/>
    <cellStyle name="CALC Percent Total 86 4 3" xfId="33889"/>
    <cellStyle name="CALC Percent Total 86 4 4" xfId="50171"/>
    <cellStyle name="CALC Percent Total 86 5" xfId="19377"/>
    <cellStyle name="CALC Percent Total 86 5 2" xfId="27698"/>
    <cellStyle name="CALC Percent Total 86 5 2 2" xfId="50172"/>
    <cellStyle name="CALC Percent Total 86 5 3" xfId="34846"/>
    <cellStyle name="CALC Percent Total 86 5 4" xfId="50173"/>
    <cellStyle name="CALC Percent Total 86 6" xfId="20346"/>
    <cellStyle name="CALC Percent Total 86 6 2" xfId="28668"/>
    <cellStyle name="CALC Percent Total 86 6 2 2" xfId="50174"/>
    <cellStyle name="CALC Percent Total 86 6 3" xfId="35781"/>
    <cellStyle name="CALC Percent Total 86 6 4" xfId="50175"/>
    <cellStyle name="CALC Percent Total 86 7" xfId="21807"/>
    <cellStyle name="CALC Percent Total 86 7 2" xfId="30108"/>
    <cellStyle name="CALC Percent Total 86 7 2 2" xfId="50176"/>
    <cellStyle name="CALC Percent Total 86 7 3" xfId="37155"/>
    <cellStyle name="CALC Percent Total 86 7 4" xfId="50177"/>
    <cellStyle name="CALC Percent Total 86 8" xfId="22735"/>
    <cellStyle name="CALC Percent Total 86 8 2" xfId="31031"/>
    <cellStyle name="CALC Percent Total 86 8 2 2" xfId="50178"/>
    <cellStyle name="CALC Percent Total 86 8 3" xfId="38038"/>
    <cellStyle name="CALC Percent Total 86 8 4" xfId="50179"/>
    <cellStyle name="CALC Percent Total 86 9" xfId="23677"/>
    <cellStyle name="CALC Percent Total 86 9 2" xfId="50180"/>
    <cellStyle name="CALC Percent Total 87" xfId="15246"/>
    <cellStyle name="CALC Percent Total 87 10" xfId="50181"/>
    <cellStyle name="CALC Percent Total 87 11" xfId="50182"/>
    <cellStyle name="CALC Percent Total 87 2" xfId="16326"/>
    <cellStyle name="CALC Percent Total 87 2 2" xfId="24639"/>
    <cellStyle name="CALC Percent Total 87 2 2 2" xfId="50183"/>
    <cellStyle name="CALC Percent Total 87 2 3" xfId="31906"/>
    <cellStyle name="CALC Percent Total 87 2 4" xfId="50184"/>
    <cellStyle name="CALC Percent Total 87 3" xfId="17292"/>
    <cellStyle name="CALC Percent Total 87 3 2" xfId="25613"/>
    <cellStyle name="CALC Percent Total 87 3 2 2" xfId="50185"/>
    <cellStyle name="CALC Percent Total 87 3 3" xfId="32839"/>
    <cellStyle name="CALC Percent Total 87 3 4" xfId="50186"/>
    <cellStyle name="CALC Percent Total 87 4" xfId="18320"/>
    <cellStyle name="CALC Percent Total 87 4 2" xfId="26640"/>
    <cellStyle name="CALC Percent Total 87 4 2 2" xfId="50187"/>
    <cellStyle name="CALC Percent Total 87 4 3" xfId="33817"/>
    <cellStyle name="CALC Percent Total 87 4 4" xfId="50188"/>
    <cellStyle name="CALC Percent Total 87 5" xfId="19304"/>
    <cellStyle name="CALC Percent Total 87 5 2" xfId="27624"/>
    <cellStyle name="CALC Percent Total 87 5 2 2" xfId="50189"/>
    <cellStyle name="CALC Percent Total 87 5 3" xfId="34772"/>
    <cellStyle name="CALC Percent Total 87 5 4" xfId="50190"/>
    <cellStyle name="CALC Percent Total 87 6" xfId="20272"/>
    <cellStyle name="CALC Percent Total 87 6 2" xfId="28594"/>
    <cellStyle name="CALC Percent Total 87 6 2 2" xfId="50191"/>
    <cellStyle name="CALC Percent Total 87 6 3" xfId="35709"/>
    <cellStyle name="CALC Percent Total 87 6 4" xfId="50192"/>
    <cellStyle name="CALC Percent Total 87 7" xfId="21733"/>
    <cellStyle name="CALC Percent Total 87 7 2" xfId="30034"/>
    <cellStyle name="CALC Percent Total 87 7 2 2" xfId="50193"/>
    <cellStyle name="CALC Percent Total 87 7 3" xfId="37083"/>
    <cellStyle name="CALC Percent Total 87 7 4" xfId="50194"/>
    <cellStyle name="CALC Percent Total 87 8" xfId="22661"/>
    <cellStyle name="CALC Percent Total 87 8 2" xfId="30957"/>
    <cellStyle name="CALC Percent Total 87 8 2 2" xfId="50195"/>
    <cellStyle name="CALC Percent Total 87 8 3" xfId="37966"/>
    <cellStyle name="CALC Percent Total 87 8 4" xfId="50196"/>
    <cellStyle name="CALC Percent Total 87 9" xfId="23603"/>
    <cellStyle name="CALC Percent Total 87 9 2" xfId="50197"/>
    <cellStyle name="CALC Percent Total 88" xfId="15317"/>
    <cellStyle name="CALC Percent Total 88 10" xfId="50198"/>
    <cellStyle name="CALC Percent Total 88 11" xfId="50199"/>
    <cellStyle name="CALC Percent Total 88 2" xfId="16397"/>
    <cellStyle name="CALC Percent Total 88 2 2" xfId="24710"/>
    <cellStyle name="CALC Percent Total 88 2 2 2" xfId="50200"/>
    <cellStyle name="CALC Percent Total 88 2 3" xfId="31975"/>
    <cellStyle name="CALC Percent Total 88 2 4" xfId="50201"/>
    <cellStyle name="CALC Percent Total 88 3" xfId="17363"/>
    <cellStyle name="CALC Percent Total 88 3 2" xfId="25684"/>
    <cellStyle name="CALC Percent Total 88 3 2 2" xfId="50202"/>
    <cellStyle name="CALC Percent Total 88 3 3" xfId="32908"/>
    <cellStyle name="CALC Percent Total 88 3 4" xfId="50203"/>
    <cellStyle name="CALC Percent Total 88 4" xfId="18391"/>
    <cellStyle name="CALC Percent Total 88 4 2" xfId="26711"/>
    <cellStyle name="CALC Percent Total 88 4 2 2" xfId="50204"/>
    <cellStyle name="CALC Percent Total 88 4 3" xfId="33886"/>
    <cellStyle name="CALC Percent Total 88 4 4" xfId="50205"/>
    <cellStyle name="CALC Percent Total 88 5" xfId="19374"/>
    <cellStyle name="CALC Percent Total 88 5 2" xfId="27695"/>
    <cellStyle name="CALC Percent Total 88 5 2 2" xfId="50206"/>
    <cellStyle name="CALC Percent Total 88 5 3" xfId="34843"/>
    <cellStyle name="CALC Percent Total 88 5 4" xfId="50207"/>
    <cellStyle name="CALC Percent Total 88 6" xfId="20343"/>
    <cellStyle name="CALC Percent Total 88 6 2" xfId="28665"/>
    <cellStyle name="CALC Percent Total 88 6 2 2" xfId="50208"/>
    <cellStyle name="CALC Percent Total 88 6 3" xfId="35778"/>
    <cellStyle name="CALC Percent Total 88 6 4" xfId="50209"/>
    <cellStyle name="CALC Percent Total 88 7" xfId="21804"/>
    <cellStyle name="CALC Percent Total 88 7 2" xfId="30105"/>
    <cellStyle name="CALC Percent Total 88 7 2 2" xfId="50210"/>
    <cellStyle name="CALC Percent Total 88 7 3" xfId="37152"/>
    <cellStyle name="CALC Percent Total 88 7 4" xfId="50211"/>
    <cellStyle name="CALC Percent Total 88 8" xfId="22732"/>
    <cellStyle name="CALC Percent Total 88 8 2" xfId="31028"/>
    <cellStyle name="CALC Percent Total 88 8 2 2" xfId="50212"/>
    <cellStyle name="CALC Percent Total 88 8 3" xfId="38035"/>
    <cellStyle name="CALC Percent Total 88 8 4" xfId="50213"/>
    <cellStyle name="CALC Percent Total 88 9" xfId="23674"/>
    <cellStyle name="CALC Percent Total 88 9 2" xfId="50214"/>
    <cellStyle name="CALC Percent Total 89" xfId="15322"/>
    <cellStyle name="CALC Percent Total 89 10" xfId="50215"/>
    <cellStyle name="CALC Percent Total 89 11" xfId="50216"/>
    <cellStyle name="CALC Percent Total 89 2" xfId="16402"/>
    <cellStyle name="CALC Percent Total 89 2 2" xfId="24715"/>
    <cellStyle name="CALC Percent Total 89 2 2 2" xfId="50217"/>
    <cellStyle name="CALC Percent Total 89 2 3" xfId="31980"/>
    <cellStyle name="CALC Percent Total 89 2 4" xfId="50218"/>
    <cellStyle name="CALC Percent Total 89 3" xfId="17368"/>
    <cellStyle name="CALC Percent Total 89 3 2" xfId="25689"/>
    <cellStyle name="CALC Percent Total 89 3 2 2" xfId="50219"/>
    <cellStyle name="CALC Percent Total 89 3 3" xfId="32913"/>
    <cellStyle name="CALC Percent Total 89 3 4" xfId="50220"/>
    <cellStyle name="CALC Percent Total 89 4" xfId="18396"/>
    <cellStyle name="CALC Percent Total 89 4 2" xfId="26716"/>
    <cellStyle name="CALC Percent Total 89 4 2 2" xfId="50221"/>
    <cellStyle name="CALC Percent Total 89 4 3" xfId="33891"/>
    <cellStyle name="CALC Percent Total 89 4 4" xfId="50222"/>
    <cellStyle name="CALC Percent Total 89 5" xfId="19379"/>
    <cellStyle name="CALC Percent Total 89 5 2" xfId="27700"/>
    <cellStyle name="CALC Percent Total 89 5 2 2" xfId="50223"/>
    <cellStyle name="CALC Percent Total 89 5 3" xfId="34848"/>
    <cellStyle name="CALC Percent Total 89 5 4" xfId="50224"/>
    <cellStyle name="CALC Percent Total 89 6" xfId="20348"/>
    <cellStyle name="CALC Percent Total 89 6 2" xfId="28670"/>
    <cellStyle name="CALC Percent Total 89 6 2 2" xfId="50225"/>
    <cellStyle name="CALC Percent Total 89 6 3" xfId="35783"/>
    <cellStyle name="CALC Percent Total 89 6 4" xfId="50226"/>
    <cellStyle name="CALC Percent Total 89 7" xfId="21809"/>
    <cellStyle name="CALC Percent Total 89 7 2" xfId="30110"/>
    <cellStyle name="CALC Percent Total 89 7 2 2" xfId="50227"/>
    <cellStyle name="CALC Percent Total 89 7 3" xfId="37157"/>
    <cellStyle name="CALC Percent Total 89 7 4" xfId="50228"/>
    <cellStyle name="CALC Percent Total 89 8" xfId="22737"/>
    <cellStyle name="CALC Percent Total 89 8 2" xfId="31033"/>
    <cellStyle name="CALC Percent Total 89 8 2 2" xfId="50229"/>
    <cellStyle name="CALC Percent Total 89 8 3" xfId="38040"/>
    <cellStyle name="CALC Percent Total 89 8 4" xfId="50230"/>
    <cellStyle name="CALC Percent Total 89 9" xfId="23679"/>
    <cellStyle name="CALC Percent Total 89 9 2" xfId="50231"/>
    <cellStyle name="CALC Percent Total 9" xfId="14652"/>
    <cellStyle name="CALC Percent Total 9 10" xfId="23014"/>
    <cellStyle name="CALC Percent Total 9 10 2" xfId="50232"/>
    <cellStyle name="CALC Percent Total 9 11" xfId="50233"/>
    <cellStyle name="CALC Percent Total 9 2" xfId="15733"/>
    <cellStyle name="CALC Percent Total 9 2 2" xfId="24049"/>
    <cellStyle name="CALC Percent Total 9 2 2 2" xfId="50234"/>
    <cellStyle name="CALC Percent Total 9 2 3" xfId="31341"/>
    <cellStyle name="CALC Percent Total 9 2 4" xfId="50235"/>
    <cellStyle name="CALC Percent Total 9 3" xfId="16699"/>
    <cellStyle name="CALC Percent Total 9 3 2" xfId="25020"/>
    <cellStyle name="CALC Percent Total 9 3 2 2" xfId="50236"/>
    <cellStyle name="CALC Percent Total 9 3 3" xfId="32274"/>
    <cellStyle name="CALC Percent Total 9 3 4" xfId="50237"/>
    <cellStyle name="CALC Percent Total 9 4" xfId="17723"/>
    <cellStyle name="CALC Percent Total 9 4 2" xfId="26046"/>
    <cellStyle name="CALC Percent Total 9 4 2 2" xfId="50238"/>
    <cellStyle name="CALC Percent Total 9 4 3" xfId="33251"/>
    <cellStyle name="CALC Percent Total 9 4 4" xfId="50239"/>
    <cellStyle name="CALC Percent Total 9 5" xfId="18706"/>
    <cellStyle name="CALC Percent Total 9 5 2" xfId="27027"/>
    <cellStyle name="CALC Percent Total 9 5 2 2" xfId="50240"/>
    <cellStyle name="CALC Percent Total 9 5 3" xfId="34190"/>
    <cellStyle name="CALC Percent Total 9 5 4" xfId="50241"/>
    <cellStyle name="CALC Percent Total 9 6" xfId="19675"/>
    <cellStyle name="CALC Percent Total 9 6 2" xfId="27996"/>
    <cellStyle name="CALC Percent Total 9 6 2 2" xfId="50242"/>
    <cellStyle name="CALC Percent Total 9 6 3" xfId="35136"/>
    <cellStyle name="CALC Percent Total 9 6 4" xfId="50243"/>
    <cellStyle name="CALC Percent Total 9 7" xfId="20632"/>
    <cellStyle name="CALC Percent Total 9 7 2" xfId="28953"/>
    <cellStyle name="CALC Percent Total 9 7 2 2" xfId="50244"/>
    <cellStyle name="CALC Percent Total 9 7 3" xfId="36051"/>
    <cellStyle name="CALC Percent Total 9 7 4" xfId="50245"/>
    <cellStyle name="CALC Percent Total 9 8" xfId="21186"/>
    <cellStyle name="CALC Percent Total 9 8 2" xfId="29498"/>
    <cellStyle name="CALC Percent Total 9 8 2 2" xfId="50246"/>
    <cellStyle name="CALC Percent Total 9 8 3" xfId="36569"/>
    <cellStyle name="CALC Percent Total 9 8 4" xfId="50247"/>
    <cellStyle name="CALC Percent Total 9 9" xfId="22069"/>
    <cellStyle name="CALC Percent Total 9 9 2" xfId="30367"/>
    <cellStyle name="CALC Percent Total 9 9 2 2" xfId="50248"/>
    <cellStyle name="CALC Percent Total 9 9 3" xfId="37402"/>
    <cellStyle name="CALC Percent Total 9 9 4" xfId="50249"/>
    <cellStyle name="CALC Percent Total 90" xfId="15325"/>
    <cellStyle name="CALC Percent Total 90 10" xfId="50250"/>
    <cellStyle name="CALC Percent Total 90 11" xfId="50251"/>
    <cellStyle name="CALC Percent Total 90 2" xfId="16405"/>
    <cellStyle name="CALC Percent Total 90 2 2" xfId="24718"/>
    <cellStyle name="CALC Percent Total 90 2 2 2" xfId="50252"/>
    <cellStyle name="CALC Percent Total 90 2 3" xfId="31983"/>
    <cellStyle name="CALC Percent Total 90 2 4" xfId="50253"/>
    <cellStyle name="CALC Percent Total 90 3" xfId="17371"/>
    <cellStyle name="CALC Percent Total 90 3 2" xfId="25692"/>
    <cellStyle name="CALC Percent Total 90 3 2 2" xfId="50254"/>
    <cellStyle name="CALC Percent Total 90 3 3" xfId="32916"/>
    <cellStyle name="CALC Percent Total 90 3 4" xfId="50255"/>
    <cellStyle name="CALC Percent Total 90 4" xfId="18399"/>
    <cellStyle name="CALC Percent Total 90 4 2" xfId="26719"/>
    <cellStyle name="CALC Percent Total 90 4 2 2" xfId="50256"/>
    <cellStyle name="CALC Percent Total 90 4 3" xfId="33894"/>
    <cellStyle name="CALC Percent Total 90 4 4" xfId="50257"/>
    <cellStyle name="CALC Percent Total 90 5" xfId="19382"/>
    <cellStyle name="CALC Percent Total 90 5 2" xfId="27703"/>
    <cellStyle name="CALC Percent Total 90 5 2 2" xfId="50258"/>
    <cellStyle name="CALC Percent Total 90 5 3" xfId="34851"/>
    <cellStyle name="CALC Percent Total 90 5 4" xfId="50259"/>
    <cellStyle name="CALC Percent Total 90 6" xfId="20351"/>
    <cellStyle name="CALC Percent Total 90 6 2" xfId="28673"/>
    <cellStyle name="CALC Percent Total 90 6 2 2" xfId="50260"/>
    <cellStyle name="CALC Percent Total 90 6 3" xfId="35786"/>
    <cellStyle name="CALC Percent Total 90 6 4" xfId="50261"/>
    <cellStyle name="CALC Percent Total 90 7" xfId="21812"/>
    <cellStyle name="CALC Percent Total 90 7 2" xfId="30113"/>
    <cellStyle name="CALC Percent Total 90 7 2 2" xfId="50262"/>
    <cellStyle name="CALC Percent Total 90 7 3" xfId="37160"/>
    <cellStyle name="CALC Percent Total 90 7 4" xfId="50263"/>
    <cellStyle name="CALC Percent Total 90 8" xfId="22740"/>
    <cellStyle name="CALC Percent Total 90 8 2" xfId="31036"/>
    <cellStyle name="CALC Percent Total 90 8 2 2" xfId="50264"/>
    <cellStyle name="CALC Percent Total 90 8 3" xfId="38043"/>
    <cellStyle name="CALC Percent Total 90 8 4" xfId="50265"/>
    <cellStyle name="CALC Percent Total 90 9" xfId="23682"/>
    <cellStyle name="CALC Percent Total 90 9 2" xfId="50266"/>
    <cellStyle name="CALC Percent Total 91" xfId="15361"/>
    <cellStyle name="CALC Percent Total 91 10" xfId="50267"/>
    <cellStyle name="CALC Percent Total 91 11" xfId="50268"/>
    <cellStyle name="CALC Percent Total 91 2" xfId="16441"/>
    <cellStyle name="CALC Percent Total 91 2 2" xfId="24754"/>
    <cellStyle name="CALC Percent Total 91 2 2 2" xfId="50269"/>
    <cellStyle name="CALC Percent Total 91 2 3" xfId="32018"/>
    <cellStyle name="CALC Percent Total 91 2 4" xfId="50270"/>
    <cellStyle name="CALC Percent Total 91 3" xfId="17407"/>
    <cellStyle name="CALC Percent Total 91 3 2" xfId="25728"/>
    <cellStyle name="CALC Percent Total 91 3 2 2" xfId="50271"/>
    <cellStyle name="CALC Percent Total 91 3 3" xfId="32951"/>
    <cellStyle name="CALC Percent Total 91 3 4" xfId="50272"/>
    <cellStyle name="CALC Percent Total 91 4" xfId="18435"/>
    <cellStyle name="CALC Percent Total 91 4 2" xfId="26755"/>
    <cellStyle name="CALC Percent Total 91 4 2 2" xfId="50273"/>
    <cellStyle name="CALC Percent Total 91 4 3" xfId="33929"/>
    <cellStyle name="CALC Percent Total 91 4 4" xfId="50274"/>
    <cellStyle name="CALC Percent Total 91 5" xfId="19418"/>
    <cellStyle name="CALC Percent Total 91 5 2" xfId="27739"/>
    <cellStyle name="CALC Percent Total 91 5 2 2" xfId="50275"/>
    <cellStyle name="CALC Percent Total 91 5 3" xfId="34887"/>
    <cellStyle name="CALC Percent Total 91 5 4" xfId="50276"/>
    <cellStyle name="CALC Percent Total 91 6" xfId="20387"/>
    <cellStyle name="CALC Percent Total 91 6 2" xfId="28709"/>
    <cellStyle name="CALC Percent Total 91 6 2 2" xfId="50277"/>
    <cellStyle name="CALC Percent Total 91 6 3" xfId="35821"/>
    <cellStyle name="CALC Percent Total 91 6 4" xfId="50278"/>
    <cellStyle name="CALC Percent Total 91 7" xfId="21848"/>
    <cellStyle name="CALC Percent Total 91 7 2" xfId="30149"/>
    <cellStyle name="CALC Percent Total 91 7 2 2" xfId="50279"/>
    <cellStyle name="CALC Percent Total 91 7 3" xfId="37194"/>
    <cellStyle name="CALC Percent Total 91 7 4" xfId="50280"/>
    <cellStyle name="CALC Percent Total 91 8" xfId="22776"/>
    <cellStyle name="CALC Percent Total 91 8 2" xfId="31072"/>
    <cellStyle name="CALC Percent Total 91 8 2 2" xfId="50281"/>
    <cellStyle name="CALC Percent Total 91 8 3" xfId="38078"/>
    <cellStyle name="CALC Percent Total 91 8 4" xfId="50282"/>
    <cellStyle name="CALC Percent Total 91 9" xfId="23718"/>
    <cellStyle name="CALC Percent Total 91 9 2" xfId="50283"/>
    <cellStyle name="CALC Percent Total 92" xfId="15373"/>
    <cellStyle name="CALC Percent Total 92 10" xfId="50284"/>
    <cellStyle name="CALC Percent Total 92 11" xfId="50285"/>
    <cellStyle name="CALC Percent Total 92 2" xfId="16453"/>
    <cellStyle name="CALC Percent Total 92 2 2" xfId="24766"/>
    <cellStyle name="CALC Percent Total 92 2 2 2" xfId="50286"/>
    <cellStyle name="CALC Percent Total 92 2 3" xfId="32030"/>
    <cellStyle name="CALC Percent Total 92 2 4" xfId="50287"/>
    <cellStyle name="CALC Percent Total 92 3" xfId="17419"/>
    <cellStyle name="CALC Percent Total 92 3 2" xfId="25740"/>
    <cellStyle name="CALC Percent Total 92 3 2 2" xfId="50288"/>
    <cellStyle name="CALC Percent Total 92 3 3" xfId="32963"/>
    <cellStyle name="CALC Percent Total 92 3 4" xfId="50289"/>
    <cellStyle name="CALC Percent Total 92 4" xfId="18447"/>
    <cellStyle name="CALC Percent Total 92 4 2" xfId="26767"/>
    <cellStyle name="CALC Percent Total 92 4 2 2" xfId="50290"/>
    <cellStyle name="CALC Percent Total 92 4 3" xfId="33941"/>
    <cellStyle name="CALC Percent Total 92 4 4" xfId="50291"/>
    <cellStyle name="CALC Percent Total 92 5" xfId="19430"/>
    <cellStyle name="CALC Percent Total 92 5 2" xfId="27751"/>
    <cellStyle name="CALC Percent Total 92 5 2 2" xfId="50292"/>
    <cellStyle name="CALC Percent Total 92 5 3" xfId="34899"/>
    <cellStyle name="CALC Percent Total 92 5 4" xfId="50293"/>
    <cellStyle name="CALC Percent Total 92 6" xfId="20399"/>
    <cellStyle name="CALC Percent Total 92 6 2" xfId="28721"/>
    <cellStyle name="CALC Percent Total 92 6 2 2" xfId="50294"/>
    <cellStyle name="CALC Percent Total 92 6 3" xfId="35833"/>
    <cellStyle name="CALC Percent Total 92 6 4" xfId="50295"/>
    <cellStyle name="CALC Percent Total 92 7" xfId="21860"/>
    <cellStyle name="CALC Percent Total 92 7 2" xfId="30161"/>
    <cellStyle name="CALC Percent Total 92 7 2 2" xfId="50296"/>
    <cellStyle name="CALC Percent Total 92 7 3" xfId="37206"/>
    <cellStyle name="CALC Percent Total 92 7 4" xfId="50297"/>
    <cellStyle name="CALC Percent Total 92 8" xfId="22788"/>
    <cellStyle name="CALC Percent Total 92 8 2" xfId="31084"/>
    <cellStyle name="CALC Percent Total 92 8 2 2" xfId="50298"/>
    <cellStyle name="CALC Percent Total 92 8 3" xfId="38090"/>
    <cellStyle name="CALC Percent Total 92 8 4" xfId="50299"/>
    <cellStyle name="CALC Percent Total 92 9" xfId="23730"/>
    <cellStyle name="CALC Percent Total 92 9 2" xfId="50300"/>
    <cellStyle name="CALC Percent Total 93" xfId="15367"/>
    <cellStyle name="CALC Percent Total 93 10" xfId="50301"/>
    <cellStyle name="CALC Percent Total 93 11" xfId="50302"/>
    <cellStyle name="CALC Percent Total 93 2" xfId="16447"/>
    <cellStyle name="CALC Percent Total 93 2 2" xfId="24760"/>
    <cellStyle name="CALC Percent Total 93 2 2 2" xfId="50303"/>
    <cellStyle name="CALC Percent Total 93 2 3" xfId="32024"/>
    <cellStyle name="CALC Percent Total 93 2 4" xfId="50304"/>
    <cellStyle name="CALC Percent Total 93 3" xfId="17413"/>
    <cellStyle name="CALC Percent Total 93 3 2" xfId="25734"/>
    <cellStyle name="CALC Percent Total 93 3 2 2" xfId="50305"/>
    <cellStyle name="CALC Percent Total 93 3 3" xfId="32957"/>
    <cellStyle name="CALC Percent Total 93 3 4" xfId="50306"/>
    <cellStyle name="CALC Percent Total 93 4" xfId="18441"/>
    <cellStyle name="CALC Percent Total 93 4 2" xfId="26761"/>
    <cellStyle name="CALC Percent Total 93 4 2 2" xfId="50307"/>
    <cellStyle name="CALC Percent Total 93 4 3" xfId="33935"/>
    <cellStyle name="CALC Percent Total 93 4 4" xfId="50308"/>
    <cellStyle name="CALC Percent Total 93 5" xfId="19424"/>
    <cellStyle name="CALC Percent Total 93 5 2" xfId="27745"/>
    <cellStyle name="CALC Percent Total 93 5 2 2" xfId="50309"/>
    <cellStyle name="CALC Percent Total 93 5 3" xfId="34893"/>
    <cellStyle name="CALC Percent Total 93 5 4" xfId="50310"/>
    <cellStyle name="CALC Percent Total 93 6" xfId="20393"/>
    <cellStyle name="CALC Percent Total 93 6 2" xfId="28715"/>
    <cellStyle name="CALC Percent Total 93 6 2 2" xfId="50311"/>
    <cellStyle name="CALC Percent Total 93 6 3" xfId="35827"/>
    <cellStyle name="CALC Percent Total 93 6 4" xfId="50312"/>
    <cellStyle name="CALC Percent Total 93 7" xfId="21854"/>
    <cellStyle name="CALC Percent Total 93 7 2" xfId="30155"/>
    <cellStyle name="CALC Percent Total 93 7 2 2" xfId="50313"/>
    <cellStyle name="CALC Percent Total 93 7 3" xfId="37200"/>
    <cellStyle name="CALC Percent Total 93 7 4" xfId="50314"/>
    <cellStyle name="CALC Percent Total 93 8" xfId="22782"/>
    <cellStyle name="CALC Percent Total 93 8 2" xfId="31078"/>
    <cellStyle name="CALC Percent Total 93 8 2 2" xfId="50315"/>
    <cellStyle name="CALC Percent Total 93 8 3" xfId="38084"/>
    <cellStyle name="CALC Percent Total 93 8 4" xfId="50316"/>
    <cellStyle name="CALC Percent Total 93 9" xfId="23724"/>
    <cellStyle name="CALC Percent Total 93 9 2" xfId="50317"/>
    <cellStyle name="CALC Percent Total 94" xfId="15355"/>
    <cellStyle name="CALC Percent Total 94 10" xfId="50318"/>
    <cellStyle name="CALC Percent Total 94 11" xfId="50319"/>
    <cellStyle name="CALC Percent Total 94 2" xfId="16435"/>
    <cellStyle name="CALC Percent Total 94 2 2" xfId="24748"/>
    <cellStyle name="CALC Percent Total 94 2 2 2" xfId="50320"/>
    <cellStyle name="CALC Percent Total 94 2 3" xfId="32012"/>
    <cellStyle name="CALC Percent Total 94 2 4" xfId="50321"/>
    <cellStyle name="CALC Percent Total 94 3" xfId="17401"/>
    <cellStyle name="CALC Percent Total 94 3 2" xfId="25722"/>
    <cellStyle name="CALC Percent Total 94 3 2 2" xfId="50322"/>
    <cellStyle name="CALC Percent Total 94 3 3" xfId="32945"/>
    <cellStyle name="CALC Percent Total 94 3 4" xfId="50323"/>
    <cellStyle name="CALC Percent Total 94 4" xfId="18429"/>
    <cellStyle name="CALC Percent Total 94 4 2" xfId="26749"/>
    <cellStyle name="CALC Percent Total 94 4 2 2" xfId="50324"/>
    <cellStyle name="CALC Percent Total 94 4 3" xfId="33923"/>
    <cellStyle name="CALC Percent Total 94 4 4" xfId="50325"/>
    <cellStyle name="CALC Percent Total 94 5" xfId="19412"/>
    <cellStyle name="CALC Percent Total 94 5 2" xfId="27733"/>
    <cellStyle name="CALC Percent Total 94 5 2 2" xfId="50326"/>
    <cellStyle name="CALC Percent Total 94 5 3" xfId="34881"/>
    <cellStyle name="CALC Percent Total 94 5 4" xfId="50327"/>
    <cellStyle name="CALC Percent Total 94 6" xfId="20381"/>
    <cellStyle name="CALC Percent Total 94 6 2" xfId="28703"/>
    <cellStyle name="CALC Percent Total 94 6 2 2" xfId="50328"/>
    <cellStyle name="CALC Percent Total 94 6 3" xfId="35815"/>
    <cellStyle name="CALC Percent Total 94 6 4" xfId="50329"/>
    <cellStyle name="CALC Percent Total 94 7" xfId="21842"/>
    <cellStyle name="CALC Percent Total 94 7 2" xfId="30143"/>
    <cellStyle name="CALC Percent Total 94 7 2 2" xfId="50330"/>
    <cellStyle name="CALC Percent Total 94 7 3" xfId="37189"/>
    <cellStyle name="CALC Percent Total 94 7 4" xfId="50331"/>
    <cellStyle name="CALC Percent Total 94 8" xfId="22770"/>
    <cellStyle name="CALC Percent Total 94 8 2" xfId="31066"/>
    <cellStyle name="CALC Percent Total 94 8 2 2" xfId="50332"/>
    <cellStyle name="CALC Percent Total 94 8 3" xfId="38072"/>
    <cellStyle name="CALC Percent Total 94 8 4" xfId="50333"/>
    <cellStyle name="CALC Percent Total 94 9" xfId="23712"/>
    <cellStyle name="CALC Percent Total 94 9 2" xfId="50334"/>
    <cellStyle name="CALC Percent Total 95" xfId="15363"/>
    <cellStyle name="CALC Percent Total 95 10" xfId="50335"/>
    <cellStyle name="CALC Percent Total 95 11" xfId="50336"/>
    <cellStyle name="CALC Percent Total 95 2" xfId="16443"/>
    <cellStyle name="CALC Percent Total 95 2 2" xfId="24756"/>
    <cellStyle name="CALC Percent Total 95 2 2 2" xfId="50337"/>
    <cellStyle name="CALC Percent Total 95 2 3" xfId="32020"/>
    <cellStyle name="CALC Percent Total 95 2 4" xfId="50338"/>
    <cellStyle name="CALC Percent Total 95 3" xfId="17409"/>
    <cellStyle name="CALC Percent Total 95 3 2" xfId="25730"/>
    <cellStyle name="CALC Percent Total 95 3 2 2" xfId="50339"/>
    <cellStyle name="CALC Percent Total 95 3 3" xfId="32953"/>
    <cellStyle name="CALC Percent Total 95 3 4" xfId="50340"/>
    <cellStyle name="CALC Percent Total 95 4" xfId="18437"/>
    <cellStyle name="CALC Percent Total 95 4 2" xfId="26757"/>
    <cellStyle name="CALC Percent Total 95 4 2 2" xfId="50341"/>
    <cellStyle name="CALC Percent Total 95 4 3" xfId="33931"/>
    <cellStyle name="CALC Percent Total 95 4 4" xfId="50342"/>
    <cellStyle name="CALC Percent Total 95 5" xfId="19420"/>
    <cellStyle name="CALC Percent Total 95 5 2" xfId="27741"/>
    <cellStyle name="CALC Percent Total 95 5 2 2" xfId="50343"/>
    <cellStyle name="CALC Percent Total 95 5 3" xfId="34889"/>
    <cellStyle name="CALC Percent Total 95 5 4" xfId="50344"/>
    <cellStyle name="CALC Percent Total 95 6" xfId="20389"/>
    <cellStyle name="CALC Percent Total 95 6 2" xfId="28711"/>
    <cellStyle name="CALC Percent Total 95 6 2 2" xfId="50345"/>
    <cellStyle name="CALC Percent Total 95 6 3" xfId="35823"/>
    <cellStyle name="CALC Percent Total 95 6 4" xfId="50346"/>
    <cellStyle name="CALC Percent Total 95 7" xfId="21850"/>
    <cellStyle name="CALC Percent Total 95 7 2" xfId="30151"/>
    <cellStyle name="CALC Percent Total 95 7 2 2" xfId="50347"/>
    <cellStyle name="CALC Percent Total 95 7 3" xfId="37196"/>
    <cellStyle name="CALC Percent Total 95 7 4" xfId="50348"/>
    <cellStyle name="CALC Percent Total 95 8" xfId="22778"/>
    <cellStyle name="CALC Percent Total 95 8 2" xfId="31074"/>
    <cellStyle name="CALC Percent Total 95 8 2 2" xfId="50349"/>
    <cellStyle name="CALC Percent Total 95 8 3" xfId="38080"/>
    <cellStyle name="CALC Percent Total 95 8 4" xfId="50350"/>
    <cellStyle name="CALC Percent Total 95 9" xfId="23720"/>
    <cellStyle name="CALC Percent Total 95 9 2" xfId="50351"/>
    <cellStyle name="CALC Percent Total 96" xfId="15372"/>
    <cellStyle name="CALC Percent Total 96 10" xfId="50352"/>
    <cellStyle name="CALC Percent Total 96 11" xfId="50353"/>
    <cellStyle name="CALC Percent Total 96 2" xfId="16452"/>
    <cellStyle name="CALC Percent Total 96 2 2" xfId="24765"/>
    <cellStyle name="CALC Percent Total 96 2 2 2" xfId="50354"/>
    <cellStyle name="CALC Percent Total 96 2 3" xfId="32029"/>
    <cellStyle name="CALC Percent Total 96 2 4" xfId="50355"/>
    <cellStyle name="CALC Percent Total 96 3" xfId="17418"/>
    <cellStyle name="CALC Percent Total 96 3 2" xfId="25739"/>
    <cellStyle name="CALC Percent Total 96 3 2 2" xfId="50356"/>
    <cellStyle name="CALC Percent Total 96 3 3" xfId="32962"/>
    <cellStyle name="CALC Percent Total 96 3 4" xfId="50357"/>
    <cellStyle name="CALC Percent Total 96 4" xfId="18446"/>
    <cellStyle name="CALC Percent Total 96 4 2" xfId="26766"/>
    <cellStyle name="CALC Percent Total 96 4 2 2" xfId="50358"/>
    <cellStyle name="CALC Percent Total 96 4 3" xfId="33940"/>
    <cellStyle name="CALC Percent Total 96 4 4" xfId="50359"/>
    <cellStyle name="CALC Percent Total 96 5" xfId="19429"/>
    <cellStyle name="CALC Percent Total 96 5 2" xfId="27750"/>
    <cellStyle name="CALC Percent Total 96 5 2 2" xfId="50360"/>
    <cellStyle name="CALC Percent Total 96 5 3" xfId="34898"/>
    <cellStyle name="CALC Percent Total 96 5 4" xfId="50361"/>
    <cellStyle name="CALC Percent Total 96 6" xfId="20398"/>
    <cellStyle name="CALC Percent Total 96 6 2" xfId="28720"/>
    <cellStyle name="CALC Percent Total 96 6 2 2" xfId="50362"/>
    <cellStyle name="CALC Percent Total 96 6 3" xfId="35832"/>
    <cellStyle name="CALC Percent Total 96 6 4" xfId="50363"/>
    <cellStyle name="CALC Percent Total 96 7" xfId="21859"/>
    <cellStyle name="CALC Percent Total 96 7 2" xfId="30160"/>
    <cellStyle name="CALC Percent Total 96 7 2 2" xfId="50364"/>
    <cellStyle name="CALC Percent Total 96 7 3" xfId="37205"/>
    <cellStyle name="CALC Percent Total 96 7 4" xfId="50365"/>
    <cellStyle name="CALC Percent Total 96 8" xfId="22787"/>
    <cellStyle name="CALC Percent Total 96 8 2" xfId="31083"/>
    <cellStyle name="CALC Percent Total 96 8 2 2" xfId="50366"/>
    <cellStyle name="CALC Percent Total 96 8 3" xfId="38089"/>
    <cellStyle name="CALC Percent Total 96 8 4" xfId="50367"/>
    <cellStyle name="CALC Percent Total 96 9" xfId="23729"/>
    <cellStyle name="CALC Percent Total 96 9 2" xfId="50368"/>
    <cellStyle name="CALC Percent Total 97" xfId="15338"/>
    <cellStyle name="CALC Percent Total 97 10" xfId="50369"/>
    <cellStyle name="CALC Percent Total 97 11" xfId="50370"/>
    <cellStyle name="CALC Percent Total 97 2" xfId="16418"/>
    <cellStyle name="CALC Percent Total 97 2 2" xfId="24731"/>
    <cellStyle name="CALC Percent Total 97 2 2 2" xfId="50371"/>
    <cellStyle name="CALC Percent Total 97 2 3" xfId="31996"/>
    <cellStyle name="CALC Percent Total 97 2 4" xfId="50372"/>
    <cellStyle name="CALC Percent Total 97 3" xfId="17384"/>
    <cellStyle name="CALC Percent Total 97 3 2" xfId="25705"/>
    <cellStyle name="CALC Percent Total 97 3 2 2" xfId="50373"/>
    <cellStyle name="CALC Percent Total 97 3 3" xfId="32929"/>
    <cellStyle name="CALC Percent Total 97 3 4" xfId="50374"/>
    <cellStyle name="CALC Percent Total 97 4" xfId="18412"/>
    <cellStyle name="CALC Percent Total 97 4 2" xfId="26732"/>
    <cellStyle name="CALC Percent Total 97 4 2 2" xfId="50375"/>
    <cellStyle name="CALC Percent Total 97 4 3" xfId="33907"/>
    <cellStyle name="CALC Percent Total 97 4 4" xfId="50376"/>
    <cellStyle name="CALC Percent Total 97 5" xfId="19395"/>
    <cellStyle name="CALC Percent Total 97 5 2" xfId="27716"/>
    <cellStyle name="CALC Percent Total 97 5 2 2" xfId="50377"/>
    <cellStyle name="CALC Percent Total 97 5 3" xfId="34864"/>
    <cellStyle name="CALC Percent Total 97 5 4" xfId="50378"/>
    <cellStyle name="CALC Percent Total 97 6" xfId="20364"/>
    <cellStyle name="CALC Percent Total 97 6 2" xfId="28686"/>
    <cellStyle name="CALC Percent Total 97 6 2 2" xfId="50379"/>
    <cellStyle name="CALC Percent Total 97 6 3" xfId="35799"/>
    <cellStyle name="CALC Percent Total 97 6 4" xfId="50380"/>
    <cellStyle name="CALC Percent Total 97 7" xfId="21825"/>
    <cellStyle name="CALC Percent Total 97 7 2" xfId="30126"/>
    <cellStyle name="CALC Percent Total 97 7 2 2" xfId="50381"/>
    <cellStyle name="CALC Percent Total 97 7 3" xfId="37173"/>
    <cellStyle name="CALC Percent Total 97 7 4" xfId="50382"/>
    <cellStyle name="CALC Percent Total 97 8" xfId="22753"/>
    <cellStyle name="CALC Percent Total 97 8 2" xfId="31049"/>
    <cellStyle name="CALC Percent Total 97 8 2 2" xfId="50383"/>
    <cellStyle name="CALC Percent Total 97 8 3" xfId="38056"/>
    <cellStyle name="CALC Percent Total 97 8 4" xfId="50384"/>
    <cellStyle name="CALC Percent Total 97 9" xfId="23695"/>
    <cellStyle name="CALC Percent Total 97 9 2" xfId="50385"/>
    <cellStyle name="CALC Percent Total 98" xfId="15350"/>
    <cellStyle name="CALC Percent Total 98 10" xfId="50386"/>
    <cellStyle name="CALC Percent Total 98 11" xfId="50387"/>
    <cellStyle name="CALC Percent Total 98 2" xfId="16430"/>
    <cellStyle name="CALC Percent Total 98 2 2" xfId="24743"/>
    <cellStyle name="CALC Percent Total 98 2 2 2" xfId="50388"/>
    <cellStyle name="CALC Percent Total 98 2 3" xfId="32007"/>
    <cellStyle name="CALC Percent Total 98 2 4" xfId="50389"/>
    <cellStyle name="CALC Percent Total 98 3" xfId="17396"/>
    <cellStyle name="CALC Percent Total 98 3 2" xfId="25717"/>
    <cellStyle name="CALC Percent Total 98 3 2 2" xfId="50390"/>
    <cellStyle name="CALC Percent Total 98 3 3" xfId="32940"/>
    <cellStyle name="CALC Percent Total 98 3 4" xfId="50391"/>
    <cellStyle name="CALC Percent Total 98 4" xfId="18424"/>
    <cellStyle name="CALC Percent Total 98 4 2" xfId="26744"/>
    <cellStyle name="CALC Percent Total 98 4 2 2" xfId="50392"/>
    <cellStyle name="CALC Percent Total 98 4 3" xfId="33918"/>
    <cellStyle name="CALC Percent Total 98 4 4" xfId="50393"/>
    <cellStyle name="CALC Percent Total 98 5" xfId="19407"/>
    <cellStyle name="CALC Percent Total 98 5 2" xfId="27728"/>
    <cellStyle name="CALC Percent Total 98 5 2 2" xfId="50394"/>
    <cellStyle name="CALC Percent Total 98 5 3" xfId="34876"/>
    <cellStyle name="CALC Percent Total 98 5 4" xfId="50395"/>
    <cellStyle name="CALC Percent Total 98 6" xfId="20376"/>
    <cellStyle name="CALC Percent Total 98 6 2" xfId="28698"/>
    <cellStyle name="CALC Percent Total 98 6 2 2" xfId="50396"/>
    <cellStyle name="CALC Percent Total 98 6 3" xfId="35810"/>
    <cellStyle name="CALC Percent Total 98 6 4" xfId="50397"/>
    <cellStyle name="CALC Percent Total 98 7" xfId="21837"/>
    <cellStyle name="CALC Percent Total 98 7 2" xfId="30138"/>
    <cellStyle name="CALC Percent Total 98 7 2 2" xfId="50398"/>
    <cellStyle name="CALC Percent Total 98 7 3" xfId="37184"/>
    <cellStyle name="CALC Percent Total 98 7 4" xfId="50399"/>
    <cellStyle name="CALC Percent Total 98 8" xfId="22765"/>
    <cellStyle name="CALC Percent Total 98 8 2" xfId="31061"/>
    <cellStyle name="CALC Percent Total 98 8 2 2" xfId="50400"/>
    <cellStyle name="CALC Percent Total 98 8 3" xfId="38067"/>
    <cellStyle name="CALC Percent Total 98 8 4" xfId="50401"/>
    <cellStyle name="CALC Percent Total 98 9" xfId="23707"/>
    <cellStyle name="CALC Percent Total 98 9 2" xfId="50402"/>
    <cellStyle name="CALC Percent Total 99" xfId="15456"/>
    <cellStyle name="CALC Percent Total 99 10" xfId="50403"/>
    <cellStyle name="CALC Percent Total 99 11" xfId="50404"/>
    <cellStyle name="CALC Percent Total 99 2" xfId="16536"/>
    <cellStyle name="CALC Percent Total 99 2 2" xfId="24849"/>
    <cellStyle name="CALC Percent Total 99 2 2 2" xfId="50405"/>
    <cellStyle name="CALC Percent Total 99 2 3" xfId="32110"/>
    <cellStyle name="CALC Percent Total 99 2 4" xfId="50406"/>
    <cellStyle name="CALC Percent Total 99 3" xfId="17502"/>
    <cellStyle name="CALC Percent Total 99 3 2" xfId="25823"/>
    <cellStyle name="CALC Percent Total 99 3 2 2" xfId="50407"/>
    <cellStyle name="CALC Percent Total 99 3 3" xfId="33043"/>
    <cellStyle name="CALC Percent Total 99 3 4" xfId="50408"/>
    <cellStyle name="CALC Percent Total 99 4" xfId="18530"/>
    <cellStyle name="CALC Percent Total 99 4 2" xfId="26850"/>
    <cellStyle name="CALC Percent Total 99 4 2 2" xfId="50409"/>
    <cellStyle name="CALC Percent Total 99 4 3" xfId="34021"/>
    <cellStyle name="CALC Percent Total 99 4 4" xfId="50410"/>
    <cellStyle name="CALC Percent Total 99 5" xfId="19513"/>
    <cellStyle name="CALC Percent Total 99 5 2" xfId="27834"/>
    <cellStyle name="CALC Percent Total 99 5 2 2" xfId="50411"/>
    <cellStyle name="CALC Percent Total 99 5 3" xfId="34982"/>
    <cellStyle name="CALC Percent Total 99 5 4" xfId="50412"/>
    <cellStyle name="CALC Percent Total 99 6" xfId="20482"/>
    <cellStyle name="CALC Percent Total 99 6 2" xfId="28804"/>
    <cellStyle name="CALC Percent Total 99 6 2 2" xfId="50413"/>
    <cellStyle name="CALC Percent Total 99 6 3" xfId="35913"/>
    <cellStyle name="CALC Percent Total 99 6 4" xfId="50414"/>
    <cellStyle name="CALC Percent Total 99 7" xfId="21943"/>
    <cellStyle name="CALC Percent Total 99 7 2" xfId="30244"/>
    <cellStyle name="CALC Percent Total 99 7 2 2" xfId="50415"/>
    <cellStyle name="CALC Percent Total 99 7 3" xfId="37286"/>
    <cellStyle name="CALC Percent Total 99 7 4" xfId="50416"/>
    <cellStyle name="CALC Percent Total 99 8" xfId="22871"/>
    <cellStyle name="CALC Percent Total 99 8 2" xfId="31167"/>
    <cellStyle name="CALC Percent Total 99 8 2 2" xfId="50417"/>
    <cellStyle name="CALC Percent Total 99 8 3" xfId="38170"/>
    <cellStyle name="CALC Percent Total 99 8 4" xfId="50418"/>
    <cellStyle name="CALC Percent Total 99 9" xfId="23813"/>
    <cellStyle name="CALC Percent Total 99 9 2" xfId="50419"/>
    <cellStyle name="Calc_PCT_initial_plan_form_template_10.12.20" xfId="50420"/>
    <cellStyle name="Calculated Field" xfId="50421"/>
    <cellStyle name="Calculation 2" xfId="30"/>
    <cellStyle name="Calculation 2 10" xfId="1089"/>
    <cellStyle name="Calculation 2 10 10" xfId="14833"/>
    <cellStyle name="Calculation 2 10 11" xfId="23196"/>
    <cellStyle name="Calculation 2 10 2" xfId="1087"/>
    <cellStyle name="Calculation 2 10 2 2" xfId="1885"/>
    <cellStyle name="Calculation 2 10 2 2 2" xfId="5305"/>
    <cellStyle name="Calculation 2 10 2 2 2 2" xfId="12145"/>
    <cellStyle name="Calculation 2 10 2 2 3" xfId="8725"/>
    <cellStyle name="Calculation 2 10 2 3" xfId="3025"/>
    <cellStyle name="Calculation 2 10 2 3 2" xfId="6445"/>
    <cellStyle name="Calculation 2 10 2 3 2 2" xfId="13285"/>
    <cellStyle name="Calculation 2 10 2 3 3" xfId="9865"/>
    <cellStyle name="Calculation 2 10 2 4" xfId="4165"/>
    <cellStyle name="Calculation 2 10 2 4 2" xfId="11005"/>
    <cellStyle name="Calculation 2 10 2 5" xfId="7585"/>
    <cellStyle name="Calculation 2 10 2 6" xfId="15914"/>
    <cellStyle name="Calculation 2 10 2 7" xfId="24231"/>
    <cellStyle name="Calculation 2 10 2 8" xfId="31515"/>
    <cellStyle name="Calculation 2 10 3" xfId="1893"/>
    <cellStyle name="Calculation 2 10 3 2" xfId="5313"/>
    <cellStyle name="Calculation 2 10 3 2 2" xfId="12153"/>
    <cellStyle name="Calculation 2 10 3 2 3" xfId="50422"/>
    <cellStyle name="Calculation 2 10 3 3" xfId="8733"/>
    <cellStyle name="Calculation 2 10 3 4" xfId="16880"/>
    <cellStyle name="Calculation 2 10 3 5" xfId="25203"/>
    <cellStyle name="Calculation 2 10 3 6" xfId="32448"/>
    <cellStyle name="Calculation 2 10 4" xfId="3033"/>
    <cellStyle name="Calculation 2 10 4 2" xfId="6453"/>
    <cellStyle name="Calculation 2 10 4 2 2" xfId="13293"/>
    <cellStyle name="Calculation 2 10 4 2 3" xfId="50423"/>
    <cellStyle name="Calculation 2 10 4 3" xfId="9873"/>
    <cellStyle name="Calculation 2 10 4 4" xfId="17907"/>
    <cellStyle name="Calculation 2 10 4 5" xfId="26229"/>
    <cellStyle name="Calculation 2 10 4 6" xfId="33425"/>
    <cellStyle name="Calculation 2 10 5" xfId="4173"/>
    <cellStyle name="Calculation 2 10 5 2" xfId="11013"/>
    <cellStyle name="Calculation 2 10 5 2 2" xfId="50424"/>
    <cellStyle name="Calculation 2 10 5 2 3" xfId="50425"/>
    <cellStyle name="Calculation 2 10 5 3" xfId="18891"/>
    <cellStyle name="Calculation 2 10 5 4" xfId="27211"/>
    <cellStyle name="Calculation 2 10 5 5" xfId="34366"/>
    <cellStyle name="Calculation 2 10 6" xfId="7593"/>
    <cellStyle name="Calculation 2 10 6 2" xfId="19859"/>
    <cellStyle name="Calculation 2 10 6 2 2" xfId="50426"/>
    <cellStyle name="Calculation 2 10 6 2 3" xfId="50427"/>
    <cellStyle name="Calculation 2 10 6 3" xfId="28181"/>
    <cellStyle name="Calculation 2 10 6 4" xfId="35313"/>
    <cellStyle name="Calculation 2 10 7" xfId="20817"/>
    <cellStyle name="Calculation 2 10 7 2" xfId="29136"/>
    <cellStyle name="Calculation 2 10 7 2 2" xfId="50428"/>
    <cellStyle name="Calculation 2 10 7 2 3" xfId="50429"/>
    <cellStyle name="Calculation 2 10 7 3" xfId="36223"/>
    <cellStyle name="Calculation 2 10 7 4" xfId="50430"/>
    <cellStyle name="Calculation 2 10 8" xfId="20490"/>
    <cellStyle name="Calculation 2 10 8 2" xfId="28812"/>
    <cellStyle name="Calculation 2 10 8 2 2" xfId="50431"/>
    <cellStyle name="Calculation 2 10 8 2 3" xfId="50432"/>
    <cellStyle name="Calculation 2 10 8 3" xfId="35920"/>
    <cellStyle name="Calculation 2 10 8 4" xfId="50433"/>
    <cellStyle name="Calculation 2 10 9" xfId="22252"/>
    <cellStyle name="Calculation 2 10 9 2" xfId="30550"/>
    <cellStyle name="Calculation 2 10 9 2 2" xfId="50434"/>
    <cellStyle name="Calculation 2 10 9 2 3" xfId="50435"/>
    <cellStyle name="Calculation 2 10 9 3" xfId="37576"/>
    <cellStyle name="Calculation 2 10 9 4" xfId="50436"/>
    <cellStyle name="Calculation 2 11" xfId="14865"/>
    <cellStyle name="Calculation 2 11 10" xfId="23228"/>
    <cellStyle name="Calculation 2 11 11" xfId="50437"/>
    <cellStyle name="Calculation 2 11 2" xfId="15946"/>
    <cellStyle name="Calculation 2 11 2 2" xfId="24263"/>
    <cellStyle name="Calculation 2 11 2 2 2" xfId="50438"/>
    <cellStyle name="Calculation 2 11 2 2 3" xfId="50439"/>
    <cellStyle name="Calculation 2 11 2 3" xfId="31547"/>
    <cellStyle name="Calculation 2 11 2 4" xfId="50440"/>
    <cellStyle name="Calculation 2 11 3" xfId="16912"/>
    <cellStyle name="Calculation 2 11 3 2" xfId="25235"/>
    <cellStyle name="Calculation 2 11 3 2 2" xfId="50441"/>
    <cellStyle name="Calculation 2 11 3 2 3" xfId="50442"/>
    <cellStyle name="Calculation 2 11 3 3" xfId="32480"/>
    <cellStyle name="Calculation 2 11 3 4" xfId="50443"/>
    <cellStyle name="Calculation 2 11 4" xfId="17939"/>
    <cellStyle name="Calculation 2 11 4 2" xfId="26261"/>
    <cellStyle name="Calculation 2 11 4 2 2" xfId="50444"/>
    <cellStyle name="Calculation 2 11 4 2 3" xfId="50445"/>
    <cellStyle name="Calculation 2 11 4 3" xfId="33457"/>
    <cellStyle name="Calculation 2 11 4 4" xfId="50446"/>
    <cellStyle name="Calculation 2 11 5" xfId="18923"/>
    <cellStyle name="Calculation 2 11 5 2" xfId="27243"/>
    <cellStyle name="Calculation 2 11 5 2 2" xfId="50447"/>
    <cellStyle name="Calculation 2 11 5 2 3" xfId="50448"/>
    <cellStyle name="Calculation 2 11 5 3" xfId="34398"/>
    <cellStyle name="Calculation 2 11 5 4" xfId="50449"/>
    <cellStyle name="Calculation 2 11 6" xfId="19891"/>
    <cellStyle name="Calculation 2 11 6 2" xfId="28213"/>
    <cellStyle name="Calculation 2 11 6 2 2" xfId="50450"/>
    <cellStyle name="Calculation 2 11 6 2 3" xfId="50451"/>
    <cellStyle name="Calculation 2 11 6 3" xfId="35345"/>
    <cellStyle name="Calculation 2 11 6 4" xfId="50452"/>
    <cellStyle name="Calculation 2 11 7" xfId="20849"/>
    <cellStyle name="Calculation 2 11 7 2" xfId="29168"/>
    <cellStyle name="Calculation 2 11 7 2 2" xfId="50453"/>
    <cellStyle name="Calculation 2 11 7 2 3" xfId="50454"/>
    <cellStyle name="Calculation 2 11 7 3" xfId="36255"/>
    <cellStyle name="Calculation 2 11 7 4" xfId="50455"/>
    <cellStyle name="Calculation 2 11 8" xfId="16557"/>
    <cellStyle name="Calculation 2 11 8 2" xfId="24870"/>
    <cellStyle name="Calculation 2 11 8 2 2" xfId="50456"/>
    <cellStyle name="Calculation 2 11 8 2 3" xfId="50457"/>
    <cellStyle name="Calculation 2 11 8 3" xfId="32130"/>
    <cellStyle name="Calculation 2 11 8 4" xfId="50458"/>
    <cellStyle name="Calculation 2 11 9" xfId="22284"/>
    <cellStyle name="Calculation 2 11 9 2" xfId="30582"/>
    <cellStyle name="Calculation 2 11 9 2 2" xfId="50459"/>
    <cellStyle name="Calculation 2 11 9 2 3" xfId="50460"/>
    <cellStyle name="Calculation 2 11 9 3" xfId="37608"/>
    <cellStyle name="Calculation 2 11 9 4" xfId="50461"/>
    <cellStyle name="Calculation 2 12" xfId="14949"/>
    <cellStyle name="Calculation 2 12 10" xfId="23312"/>
    <cellStyle name="Calculation 2 12 11" xfId="50462"/>
    <cellStyle name="Calculation 2 12 2" xfId="16030"/>
    <cellStyle name="Calculation 2 12 2 2" xfId="24347"/>
    <cellStyle name="Calculation 2 12 2 2 2" xfId="50463"/>
    <cellStyle name="Calculation 2 12 2 2 3" xfId="50464"/>
    <cellStyle name="Calculation 2 12 2 3" xfId="31627"/>
    <cellStyle name="Calculation 2 12 2 4" xfId="50465"/>
    <cellStyle name="Calculation 2 12 3" xfId="16996"/>
    <cellStyle name="Calculation 2 12 3 2" xfId="25319"/>
    <cellStyle name="Calculation 2 12 3 2 2" xfId="50466"/>
    <cellStyle name="Calculation 2 12 3 2 3" xfId="50467"/>
    <cellStyle name="Calculation 2 12 3 3" xfId="32560"/>
    <cellStyle name="Calculation 2 12 3 4" xfId="50468"/>
    <cellStyle name="Calculation 2 12 4" xfId="18023"/>
    <cellStyle name="Calculation 2 12 4 2" xfId="26345"/>
    <cellStyle name="Calculation 2 12 4 2 2" xfId="50469"/>
    <cellStyle name="Calculation 2 12 4 2 3" xfId="50470"/>
    <cellStyle name="Calculation 2 12 4 3" xfId="33537"/>
    <cellStyle name="Calculation 2 12 4 4" xfId="50471"/>
    <cellStyle name="Calculation 2 12 5" xfId="19007"/>
    <cellStyle name="Calculation 2 12 5 2" xfId="27327"/>
    <cellStyle name="Calculation 2 12 5 2 2" xfId="50472"/>
    <cellStyle name="Calculation 2 12 5 2 3" xfId="50473"/>
    <cellStyle name="Calculation 2 12 5 3" xfId="34478"/>
    <cellStyle name="Calculation 2 12 5 4" xfId="50474"/>
    <cellStyle name="Calculation 2 12 6" xfId="19975"/>
    <cellStyle name="Calculation 2 12 6 2" xfId="28297"/>
    <cellStyle name="Calculation 2 12 6 2 2" xfId="50475"/>
    <cellStyle name="Calculation 2 12 6 2 3" xfId="50476"/>
    <cellStyle name="Calculation 2 12 6 3" xfId="35425"/>
    <cellStyle name="Calculation 2 12 6 4" xfId="50477"/>
    <cellStyle name="Calculation 2 12 7" xfId="20933"/>
    <cellStyle name="Calculation 2 12 7 2" xfId="29252"/>
    <cellStyle name="Calculation 2 12 7 2 2" xfId="50478"/>
    <cellStyle name="Calculation 2 12 7 2 3" xfId="50479"/>
    <cellStyle name="Calculation 2 12 7 3" xfId="36335"/>
    <cellStyle name="Calculation 2 12 7 4" xfId="50480"/>
    <cellStyle name="Calculation 2 12 8" xfId="21440"/>
    <cellStyle name="Calculation 2 12 8 2" xfId="29743"/>
    <cellStyle name="Calculation 2 12 8 2 2" xfId="50481"/>
    <cellStyle name="Calculation 2 12 8 2 3" xfId="50482"/>
    <cellStyle name="Calculation 2 12 8 3" xfId="36805"/>
    <cellStyle name="Calculation 2 12 8 4" xfId="50483"/>
    <cellStyle name="Calculation 2 12 9" xfId="22368"/>
    <cellStyle name="Calculation 2 12 9 2" xfId="30666"/>
    <cellStyle name="Calculation 2 12 9 2 2" xfId="50484"/>
    <cellStyle name="Calculation 2 12 9 2 3" xfId="50485"/>
    <cellStyle name="Calculation 2 12 9 3" xfId="37688"/>
    <cellStyle name="Calculation 2 12 9 4" xfId="50486"/>
    <cellStyle name="Calculation 2 13" xfId="14982"/>
    <cellStyle name="Calculation 2 13 10" xfId="23343"/>
    <cellStyle name="Calculation 2 13 11" xfId="50487"/>
    <cellStyle name="Calculation 2 13 2" xfId="16063"/>
    <cellStyle name="Calculation 2 13 2 2" xfId="24378"/>
    <cellStyle name="Calculation 2 13 2 2 2" xfId="50488"/>
    <cellStyle name="Calculation 2 13 2 2 3" xfId="50489"/>
    <cellStyle name="Calculation 2 13 2 3" xfId="31657"/>
    <cellStyle name="Calculation 2 13 2 4" xfId="50490"/>
    <cellStyle name="Calculation 2 13 3" xfId="17029"/>
    <cellStyle name="Calculation 2 13 3 2" xfId="25350"/>
    <cellStyle name="Calculation 2 13 3 2 2" xfId="50491"/>
    <cellStyle name="Calculation 2 13 3 2 3" xfId="50492"/>
    <cellStyle name="Calculation 2 13 3 3" xfId="32590"/>
    <cellStyle name="Calculation 2 13 3 4" xfId="50493"/>
    <cellStyle name="Calculation 2 13 4" xfId="18056"/>
    <cellStyle name="Calculation 2 13 4 2" xfId="26376"/>
    <cellStyle name="Calculation 2 13 4 2 2" xfId="50494"/>
    <cellStyle name="Calculation 2 13 4 2 3" xfId="50495"/>
    <cellStyle name="Calculation 2 13 4 3" xfId="33567"/>
    <cellStyle name="Calculation 2 13 4 4" xfId="50496"/>
    <cellStyle name="Calculation 2 13 5" xfId="19040"/>
    <cellStyle name="Calculation 2 13 5 2" xfId="27360"/>
    <cellStyle name="Calculation 2 13 5 2 2" xfId="50497"/>
    <cellStyle name="Calculation 2 13 5 2 3" xfId="50498"/>
    <cellStyle name="Calculation 2 13 5 3" xfId="34510"/>
    <cellStyle name="Calculation 2 13 5 4" xfId="50499"/>
    <cellStyle name="Calculation 2 13 6" xfId="20008"/>
    <cellStyle name="Calculation 2 13 6 2" xfId="28330"/>
    <cellStyle name="Calculation 2 13 6 2 2" xfId="50500"/>
    <cellStyle name="Calculation 2 13 6 2 3" xfId="50501"/>
    <cellStyle name="Calculation 2 13 6 3" xfId="35457"/>
    <cellStyle name="Calculation 2 13 6 4" xfId="50502"/>
    <cellStyle name="Calculation 2 13 7" xfId="20966"/>
    <cellStyle name="Calculation 2 13 7 2" xfId="29283"/>
    <cellStyle name="Calculation 2 13 7 2 2" xfId="50503"/>
    <cellStyle name="Calculation 2 13 7 2 3" xfId="50504"/>
    <cellStyle name="Calculation 2 13 7 3" xfId="36365"/>
    <cellStyle name="Calculation 2 13 7 4" xfId="50505"/>
    <cellStyle name="Calculation 2 13 8" xfId="21473"/>
    <cellStyle name="Calculation 2 13 8 2" xfId="29774"/>
    <cellStyle name="Calculation 2 13 8 2 2" xfId="50506"/>
    <cellStyle name="Calculation 2 13 8 2 3" xfId="50507"/>
    <cellStyle name="Calculation 2 13 8 3" xfId="36835"/>
    <cellStyle name="Calculation 2 13 8 4" xfId="50508"/>
    <cellStyle name="Calculation 2 13 9" xfId="22401"/>
    <cellStyle name="Calculation 2 13 9 2" xfId="30697"/>
    <cellStyle name="Calculation 2 13 9 2 2" xfId="50509"/>
    <cellStyle name="Calculation 2 13 9 2 3" xfId="50510"/>
    <cellStyle name="Calculation 2 13 9 3" xfId="37718"/>
    <cellStyle name="Calculation 2 13 9 4" xfId="50511"/>
    <cellStyle name="Calculation 2 14" xfId="15101"/>
    <cellStyle name="Calculation 2 14 10" xfId="50512"/>
    <cellStyle name="Calculation 2 14 2" xfId="16181"/>
    <cellStyle name="Calculation 2 14 2 2" xfId="24494"/>
    <cellStyle name="Calculation 2 14 2 2 2" xfId="50513"/>
    <cellStyle name="Calculation 2 14 2 2 3" xfId="50514"/>
    <cellStyle name="Calculation 2 14 2 3" xfId="31771"/>
    <cellStyle name="Calculation 2 14 2 4" xfId="50515"/>
    <cellStyle name="Calculation 2 14 3" xfId="17147"/>
    <cellStyle name="Calculation 2 14 3 2" xfId="25468"/>
    <cellStyle name="Calculation 2 14 3 2 2" xfId="50516"/>
    <cellStyle name="Calculation 2 14 3 2 3" xfId="50517"/>
    <cellStyle name="Calculation 2 14 3 3" xfId="32704"/>
    <cellStyle name="Calculation 2 14 3 4" xfId="50518"/>
    <cellStyle name="Calculation 2 14 4" xfId="18175"/>
    <cellStyle name="Calculation 2 14 4 2" xfId="26495"/>
    <cellStyle name="Calculation 2 14 4 2 2" xfId="50519"/>
    <cellStyle name="Calculation 2 14 4 2 3" xfId="50520"/>
    <cellStyle name="Calculation 2 14 4 3" xfId="33682"/>
    <cellStyle name="Calculation 2 14 4 4" xfId="50521"/>
    <cellStyle name="Calculation 2 14 5" xfId="19159"/>
    <cellStyle name="Calculation 2 14 5 2" xfId="27479"/>
    <cellStyle name="Calculation 2 14 5 2 2" xfId="50522"/>
    <cellStyle name="Calculation 2 14 5 2 3" xfId="50523"/>
    <cellStyle name="Calculation 2 14 5 3" xfId="34627"/>
    <cellStyle name="Calculation 2 14 5 4" xfId="50524"/>
    <cellStyle name="Calculation 2 14 6" xfId="20127"/>
    <cellStyle name="Calculation 2 14 6 2" xfId="28449"/>
    <cellStyle name="Calculation 2 14 6 2 2" xfId="50525"/>
    <cellStyle name="Calculation 2 14 6 2 3" xfId="50526"/>
    <cellStyle name="Calculation 2 14 6 3" xfId="35574"/>
    <cellStyle name="Calculation 2 14 6 4" xfId="50527"/>
    <cellStyle name="Calculation 2 14 7" xfId="21588"/>
    <cellStyle name="Calculation 2 14 7 2" xfId="29889"/>
    <cellStyle name="Calculation 2 14 7 2 2" xfId="50528"/>
    <cellStyle name="Calculation 2 14 7 2 3" xfId="50529"/>
    <cellStyle name="Calculation 2 14 7 3" xfId="36948"/>
    <cellStyle name="Calculation 2 14 7 4" xfId="50530"/>
    <cellStyle name="Calculation 2 14 8" xfId="22516"/>
    <cellStyle name="Calculation 2 14 8 2" xfId="30812"/>
    <cellStyle name="Calculation 2 14 8 2 2" xfId="50531"/>
    <cellStyle name="Calculation 2 14 8 2 3" xfId="50532"/>
    <cellStyle name="Calculation 2 14 8 3" xfId="37831"/>
    <cellStyle name="Calculation 2 14 8 4" xfId="50533"/>
    <cellStyle name="Calculation 2 14 9" xfId="23458"/>
    <cellStyle name="Calculation 2 15" xfId="15131"/>
    <cellStyle name="Calculation 2 15 10" xfId="50534"/>
    <cellStyle name="Calculation 2 15 2" xfId="16211"/>
    <cellStyle name="Calculation 2 15 2 2" xfId="24524"/>
    <cellStyle name="Calculation 2 15 2 2 2" xfId="50535"/>
    <cellStyle name="Calculation 2 15 2 2 3" xfId="50536"/>
    <cellStyle name="Calculation 2 15 2 3" xfId="31800"/>
    <cellStyle name="Calculation 2 15 2 4" xfId="50537"/>
    <cellStyle name="Calculation 2 15 3" xfId="17177"/>
    <cellStyle name="Calculation 2 15 3 2" xfId="25498"/>
    <cellStyle name="Calculation 2 15 3 2 2" xfId="50538"/>
    <cellStyle name="Calculation 2 15 3 2 3" xfId="50539"/>
    <cellStyle name="Calculation 2 15 3 3" xfId="32733"/>
    <cellStyle name="Calculation 2 15 3 4" xfId="50540"/>
    <cellStyle name="Calculation 2 15 4" xfId="18205"/>
    <cellStyle name="Calculation 2 15 4 2" xfId="26525"/>
    <cellStyle name="Calculation 2 15 4 2 2" xfId="50541"/>
    <cellStyle name="Calculation 2 15 4 2 3" xfId="50542"/>
    <cellStyle name="Calculation 2 15 4 3" xfId="33711"/>
    <cellStyle name="Calculation 2 15 4 4" xfId="50543"/>
    <cellStyle name="Calculation 2 15 5" xfId="19189"/>
    <cellStyle name="Calculation 2 15 5 2" xfId="27509"/>
    <cellStyle name="Calculation 2 15 5 2 2" xfId="50544"/>
    <cellStyle name="Calculation 2 15 5 2 3" xfId="50545"/>
    <cellStyle name="Calculation 2 15 5 3" xfId="34657"/>
    <cellStyle name="Calculation 2 15 5 4" xfId="50546"/>
    <cellStyle name="Calculation 2 15 6" xfId="20157"/>
    <cellStyle name="Calculation 2 15 6 2" xfId="28479"/>
    <cellStyle name="Calculation 2 15 6 2 2" xfId="50547"/>
    <cellStyle name="Calculation 2 15 6 2 3" xfId="50548"/>
    <cellStyle name="Calculation 2 15 6 3" xfId="35603"/>
    <cellStyle name="Calculation 2 15 6 4" xfId="50549"/>
    <cellStyle name="Calculation 2 15 7" xfId="21618"/>
    <cellStyle name="Calculation 2 15 7 2" xfId="29919"/>
    <cellStyle name="Calculation 2 15 7 2 2" xfId="50550"/>
    <cellStyle name="Calculation 2 15 7 2 3" xfId="50551"/>
    <cellStyle name="Calculation 2 15 7 3" xfId="36977"/>
    <cellStyle name="Calculation 2 15 7 4" xfId="50552"/>
    <cellStyle name="Calculation 2 15 8" xfId="22546"/>
    <cellStyle name="Calculation 2 15 8 2" xfId="30842"/>
    <cellStyle name="Calculation 2 15 8 2 2" xfId="50553"/>
    <cellStyle name="Calculation 2 15 8 2 3" xfId="50554"/>
    <cellStyle name="Calculation 2 15 8 3" xfId="37860"/>
    <cellStyle name="Calculation 2 15 8 4" xfId="50555"/>
    <cellStyle name="Calculation 2 15 9" xfId="23488"/>
    <cellStyle name="Calculation 2 16" xfId="15088"/>
    <cellStyle name="Calculation 2 16 10" xfId="50556"/>
    <cellStyle name="Calculation 2 16 2" xfId="16168"/>
    <cellStyle name="Calculation 2 16 2 2" xfId="24481"/>
    <cellStyle name="Calculation 2 16 2 2 2" xfId="50557"/>
    <cellStyle name="Calculation 2 16 2 2 3" xfId="50558"/>
    <cellStyle name="Calculation 2 16 2 3" xfId="31758"/>
    <cellStyle name="Calculation 2 16 2 4" xfId="50559"/>
    <cellStyle name="Calculation 2 16 3" xfId="17134"/>
    <cellStyle name="Calculation 2 16 3 2" xfId="25455"/>
    <cellStyle name="Calculation 2 16 3 2 2" xfId="50560"/>
    <cellStyle name="Calculation 2 16 3 2 3" xfId="50561"/>
    <cellStyle name="Calculation 2 16 3 3" xfId="32691"/>
    <cellStyle name="Calculation 2 16 3 4" xfId="50562"/>
    <cellStyle name="Calculation 2 16 4" xfId="18162"/>
    <cellStyle name="Calculation 2 16 4 2" xfId="26482"/>
    <cellStyle name="Calculation 2 16 4 2 2" xfId="50563"/>
    <cellStyle name="Calculation 2 16 4 2 3" xfId="50564"/>
    <cellStyle name="Calculation 2 16 4 3" xfId="33669"/>
    <cellStyle name="Calculation 2 16 4 4" xfId="50565"/>
    <cellStyle name="Calculation 2 16 5" xfId="19146"/>
    <cellStyle name="Calculation 2 16 5 2" xfId="27466"/>
    <cellStyle name="Calculation 2 16 5 2 2" xfId="50566"/>
    <cellStyle name="Calculation 2 16 5 2 3" xfId="50567"/>
    <cellStyle name="Calculation 2 16 5 3" xfId="34614"/>
    <cellStyle name="Calculation 2 16 5 4" xfId="50568"/>
    <cellStyle name="Calculation 2 16 6" xfId="20114"/>
    <cellStyle name="Calculation 2 16 6 2" xfId="28436"/>
    <cellStyle name="Calculation 2 16 6 2 2" xfId="50569"/>
    <cellStyle name="Calculation 2 16 6 2 3" xfId="50570"/>
    <cellStyle name="Calculation 2 16 6 3" xfId="35561"/>
    <cellStyle name="Calculation 2 16 6 4" xfId="50571"/>
    <cellStyle name="Calculation 2 16 7" xfId="21575"/>
    <cellStyle name="Calculation 2 16 7 2" xfId="29876"/>
    <cellStyle name="Calculation 2 16 7 2 2" xfId="50572"/>
    <cellStyle name="Calculation 2 16 7 2 3" xfId="50573"/>
    <cellStyle name="Calculation 2 16 7 3" xfId="36935"/>
    <cellStyle name="Calculation 2 16 7 4" xfId="50574"/>
    <cellStyle name="Calculation 2 16 8" xfId="22503"/>
    <cellStyle name="Calculation 2 16 8 2" xfId="30799"/>
    <cellStyle name="Calculation 2 16 8 2 2" xfId="50575"/>
    <cellStyle name="Calculation 2 16 8 2 3" xfId="50576"/>
    <cellStyle name="Calculation 2 16 8 3" xfId="37818"/>
    <cellStyle name="Calculation 2 16 8 4" xfId="50577"/>
    <cellStyle name="Calculation 2 16 9" xfId="23445"/>
    <cellStyle name="Calculation 2 17" xfId="15221"/>
    <cellStyle name="Calculation 2 17 10" xfId="50578"/>
    <cellStyle name="Calculation 2 17 2" xfId="16301"/>
    <cellStyle name="Calculation 2 17 2 2" xfId="24614"/>
    <cellStyle name="Calculation 2 17 2 2 2" xfId="50579"/>
    <cellStyle name="Calculation 2 17 2 2 3" xfId="50580"/>
    <cellStyle name="Calculation 2 17 2 3" xfId="31883"/>
    <cellStyle name="Calculation 2 17 2 4" xfId="50581"/>
    <cellStyle name="Calculation 2 17 3" xfId="17267"/>
    <cellStyle name="Calculation 2 17 3 2" xfId="25588"/>
    <cellStyle name="Calculation 2 17 3 2 2" xfId="50582"/>
    <cellStyle name="Calculation 2 17 3 2 3" xfId="50583"/>
    <cellStyle name="Calculation 2 17 3 3" xfId="32816"/>
    <cellStyle name="Calculation 2 17 3 4" xfId="50584"/>
    <cellStyle name="Calculation 2 17 4" xfId="18295"/>
    <cellStyle name="Calculation 2 17 4 2" xfId="26615"/>
    <cellStyle name="Calculation 2 17 4 2 2" xfId="50585"/>
    <cellStyle name="Calculation 2 17 4 2 3" xfId="50586"/>
    <cellStyle name="Calculation 2 17 4 3" xfId="33794"/>
    <cellStyle name="Calculation 2 17 4 4" xfId="50587"/>
    <cellStyle name="Calculation 2 17 5" xfId="19279"/>
    <cellStyle name="Calculation 2 17 5 2" xfId="27599"/>
    <cellStyle name="Calculation 2 17 5 2 2" xfId="50588"/>
    <cellStyle name="Calculation 2 17 5 2 3" xfId="50589"/>
    <cellStyle name="Calculation 2 17 5 3" xfId="34747"/>
    <cellStyle name="Calculation 2 17 5 4" xfId="50590"/>
    <cellStyle name="Calculation 2 17 6" xfId="20247"/>
    <cellStyle name="Calculation 2 17 6 2" xfId="28569"/>
    <cellStyle name="Calculation 2 17 6 2 2" xfId="50591"/>
    <cellStyle name="Calculation 2 17 6 2 3" xfId="50592"/>
    <cellStyle name="Calculation 2 17 6 3" xfId="35686"/>
    <cellStyle name="Calculation 2 17 6 4" xfId="50593"/>
    <cellStyle name="Calculation 2 17 7" xfId="21708"/>
    <cellStyle name="Calculation 2 17 7 2" xfId="30009"/>
    <cellStyle name="Calculation 2 17 7 2 2" xfId="50594"/>
    <cellStyle name="Calculation 2 17 7 2 3" xfId="50595"/>
    <cellStyle name="Calculation 2 17 7 3" xfId="37060"/>
    <cellStyle name="Calculation 2 17 7 4" xfId="50596"/>
    <cellStyle name="Calculation 2 17 8" xfId="22636"/>
    <cellStyle name="Calculation 2 17 8 2" xfId="30932"/>
    <cellStyle name="Calculation 2 17 8 2 2" xfId="50597"/>
    <cellStyle name="Calculation 2 17 8 2 3" xfId="50598"/>
    <cellStyle name="Calculation 2 17 8 3" xfId="37943"/>
    <cellStyle name="Calculation 2 17 8 4" xfId="50599"/>
    <cellStyle name="Calculation 2 17 9" xfId="23578"/>
    <cellStyle name="Calculation 2 18" xfId="15290"/>
    <cellStyle name="Calculation 2 18 10" xfId="50600"/>
    <cellStyle name="Calculation 2 18 2" xfId="16370"/>
    <cellStyle name="Calculation 2 18 2 2" xfId="24683"/>
    <cellStyle name="Calculation 2 18 2 2 2" xfId="50601"/>
    <cellStyle name="Calculation 2 18 2 2 3" xfId="50602"/>
    <cellStyle name="Calculation 2 18 2 3" xfId="31949"/>
    <cellStyle name="Calculation 2 18 2 4" xfId="50603"/>
    <cellStyle name="Calculation 2 18 3" xfId="17336"/>
    <cellStyle name="Calculation 2 18 3 2" xfId="25657"/>
    <cellStyle name="Calculation 2 18 3 2 2" xfId="50604"/>
    <cellStyle name="Calculation 2 18 3 2 3" xfId="50605"/>
    <cellStyle name="Calculation 2 18 3 3" xfId="32882"/>
    <cellStyle name="Calculation 2 18 3 4" xfId="50606"/>
    <cellStyle name="Calculation 2 18 4" xfId="18364"/>
    <cellStyle name="Calculation 2 18 4 2" xfId="26684"/>
    <cellStyle name="Calculation 2 18 4 2 2" xfId="50607"/>
    <cellStyle name="Calculation 2 18 4 2 3" xfId="50608"/>
    <cellStyle name="Calculation 2 18 4 3" xfId="33860"/>
    <cellStyle name="Calculation 2 18 4 4" xfId="50609"/>
    <cellStyle name="Calculation 2 18 5" xfId="19347"/>
    <cellStyle name="Calculation 2 18 5 2" xfId="27668"/>
    <cellStyle name="Calculation 2 18 5 2 2" xfId="50610"/>
    <cellStyle name="Calculation 2 18 5 2 3" xfId="50611"/>
    <cellStyle name="Calculation 2 18 5 3" xfId="34816"/>
    <cellStyle name="Calculation 2 18 5 4" xfId="50612"/>
    <cellStyle name="Calculation 2 18 6" xfId="20316"/>
    <cellStyle name="Calculation 2 18 6 2" xfId="28638"/>
    <cellStyle name="Calculation 2 18 6 2 2" xfId="50613"/>
    <cellStyle name="Calculation 2 18 6 2 3" xfId="50614"/>
    <cellStyle name="Calculation 2 18 6 3" xfId="35752"/>
    <cellStyle name="Calculation 2 18 6 4" xfId="50615"/>
    <cellStyle name="Calculation 2 18 7" xfId="21777"/>
    <cellStyle name="Calculation 2 18 7 2" xfId="30078"/>
    <cellStyle name="Calculation 2 18 7 2 2" xfId="50616"/>
    <cellStyle name="Calculation 2 18 7 2 3" xfId="50617"/>
    <cellStyle name="Calculation 2 18 7 3" xfId="37126"/>
    <cellStyle name="Calculation 2 18 7 4" xfId="50618"/>
    <cellStyle name="Calculation 2 18 8" xfId="22705"/>
    <cellStyle name="Calculation 2 18 8 2" xfId="31001"/>
    <cellStyle name="Calculation 2 18 8 2 2" xfId="50619"/>
    <cellStyle name="Calculation 2 18 8 2 3" xfId="50620"/>
    <cellStyle name="Calculation 2 18 8 3" xfId="38009"/>
    <cellStyle name="Calculation 2 18 8 4" xfId="50621"/>
    <cellStyle name="Calculation 2 18 9" xfId="23647"/>
    <cellStyle name="Calculation 2 19" xfId="15351"/>
    <cellStyle name="Calculation 2 19 10" xfId="50622"/>
    <cellStyle name="Calculation 2 19 11" xfId="50623"/>
    <cellStyle name="Calculation 2 19 2" xfId="16431"/>
    <cellStyle name="Calculation 2 19 2 2" xfId="24744"/>
    <cellStyle name="Calculation 2 19 2 2 2" xfId="50624"/>
    <cellStyle name="Calculation 2 19 2 2 3" xfId="50625"/>
    <cellStyle name="Calculation 2 19 2 3" xfId="32008"/>
    <cellStyle name="Calculation 2 19 2 4" xfId="50626"/>
    <cellStyle name="Calculation 2 19 3" xfId="17397"/>
    <cellStyle name="Calculation 2 19 3 2" xfId="25718"/>
    <cellStyle name="Calculation 2 19 3 2 2" xfId="50627"/>
    <cellStyle name="Calculation 2 19 3 2 3" xfId="50628"/>
    <cellStyle name="Calculation 2 19 3 3" xfId="32941"/>
    <cellStyle name="Calculation 2 19 3 4" xfId="50629"/>
    <cellStyle name="Calculation 2 19 4" xfId="18425"/>
    <cellStyle name="Calculation 2 19 4 2" xfId="26745"/>
    <cellStyle name="Calculation 2 19 4 2 2" xfId="50630"/>
    <cellStyle name="Calculation 2 19 4 2 3" xfId="50631"/>
    <cellStyle name="Calculation 2 19 4 3" xfId="33919"/>
    <cellStyle name="Calculation 2 19 4 4" xfId="50632"/>
    <cellStyle name="Calculation 2 19 5" xfId="19408"/>
    <cellStyle name="Calculation 2 19 5 2" xfId="27729"/>
    <cellStyle name="Calculation 2 19 5 2 2" xfId="50633"/>
    <cellStyle name="Calculation 2 19 5 2 3" xfId="50634"/>
    <cellStyle name="Calculation 2 19 5 3" xfId="34877"/>
    <cellStyle name="Calculation 2 19 5 4" xfId="50635"/>
    <cellStyle name="Calculation 2 19 6" xfId="20377"/>
    <cellStyle name="Calculation 2 19 6 2" xfId="28699"/>
    <cellStyle name="Calculation 2 19 6 2 2" xfId="50636"/>
    <cellStyle name="Calculation 2 19 6 2 3" xfId="50637"/>
    <cellStyle name="Calculation 2 19 6 3" xfId="35811"/>
    <cellStyle name="Calculation 2 19 6 4" xfId="50638"/>
    <cellStyle name="Calculation 2 19 7" xfId="21838"/>
    <cellStyle name="Calculation 2 19 7 2" xfId="30139"/>
    <cellStyle name="Calculation 2 19 7 2 2" xfId="50639"/>
    <cellStyle name="Calculation 2 19 7 2 3" xfId="50640"/>
    <cellStyle name="Calculation 2 19 7 3" xfId="37185"/>
    <cellStyle name="Calculation 2 19 7 4" xfId="50641"/>
    <cellStyle name="Calculation 2 19 8" xfId="22766"/>
    <cellStyle name="Calculation 2 19 8 2" xfId="31062"/>
    <cellStyle name="Calculation 2 19 8 2 2" xfId="50642"/>
    <cellStyle name="Calculation 2 19 8 2 3" xfId="50643"/>
    <cellStyle name="Calculation 2 19 8 3" xfId="38068"/>
    <cellStyle name="Calculation 2 19 8 4" xfId="50644"/>
    <cellStyle name="Calculation 2 19 9" xfId="23708"/>
    <cellStyle name="Calculation 2 19 9 2" xfId="50645"/>
    <cellStyle name="Calculation 2 19 9 3" xfId="50646"/>
    <cellStyle name="Calculation 2 2" xfId="52"/>
    <cellStyle name="Calculation 2 2 10" xfId="14653"/>
    <cellStyle name="Calculation 2 2 10 10" xfId="23015"/>
    <cellStyle name="Calculation 2 2 10 2" xfId="15734"/>
    <cellStyle name="Calculation 2 2 10 2 2" xfId="24050"/>
    <cellStyle name="Calculation 2 2 10 2 2 2" xfId="50647"/>
    <cellStyle name="Calculation 2 2 10 2 2 3" xfId="50648"/>
    <cellStyle name="Calculation 2 2 10 2 3" xfId="31342"/>
    <cellStyle name="Calculation 2 2 10 2 4" xfId="50649"/>
    <cellStyle name="Calculation 2 2 10 3" xfId="16700"/>
    <cellStyle name="Calculation 2 2 10 3 2" xfId="25021"/>
    <cellStyle name="Calculation 2 2 10 3 2 2" xfId="50650"/>
    <cellStyle name="Calculation 2 2 10 3 2 3" xfId="50651"/>
    <cellStyle name="Calculation 2 2 10 3 3" xfId="32275"/>
    <cellStyle name="Calculation 2 2 10 3 4" xfId="50652"/>
    <cellStyle name="Calculation 2 2 10 4" xfId="17724"/>
    <cellStyle name="Calculation 2 2 10 4 2" xfId="26047"/>
    <cellStyle name="Calculation 2 2 10 4 2 2" xfId="50653"/>
    <cellStyle name="Calculation 2 2 10 4 2 3" xfId="50654"/>
    <cellStyle name="Calculation 2 2 10 4 3" xfId="33252"/>
    <cellStyle name="Calculation 2 2 10 4 4" xfId="50655"/>
    <cellStyle name="Calculation 2 2 10 5" xfId="18707"/>
    <cellStyle name="Calculation 2 2 10 5 2" xfId="27028"/>
    <cellStyle name="Calculation 2 2 10 5 2 2" xfId="50656"/>
    <cellStyle name="Calculation 2 2 10 5 2 3" xfId="50657"/>
    <cellStyle name="Calculation 2 2 10 5 3" xfId="34191"/>
    <cellStyle name="Calculation 2 2 10 5 4" xfId="50658"/>
    <cellStyle name="Calculation 2 2 10 6" xfId="19676"/>
    <cellStyle name="Calculation 2 2 10 6 2" xfId="27997"/>
    <cellStyle name="Calculation 2 2 10 6 2 2" xfId="50659"/>
    <cellStyle name="Calculation 2 2 10 6 2 3" xfId="50660"/>
    <cellStyle name="Calculation 2 2 10 6 3" xfId="35137"/>
    <cellStyle name="Calculation 2 2 10 6 4" xfId="50661"/>
    <cellStyle name="Calculation 2 2 10 7" xfId="20633"/>
    <cellStyle name="Calculation 2 2 10 7 2" xfId="28954"/>
    <cellStyle name="Calculation 2 2 10 7 2 2" xfId="50662"/>
    <cellStyle name="Calculation 2 2 10 7 2 3" xfId="50663"/>
    <cellStyle name="Calculation 2 2 10 7 3" xfId="36052"/>
    <cellStyle name="Calculation 2 2 10 7 4" xfId="50664"/>
    <cellStyle name="Calculation 2 2 10 8" xfId="21080"/>
    <cellStyle name="Calculation 2 2 10 8 2" xfId="29397"/>
    <cellStyle name="Calculation 2 2 10 8 2 2" xfId="50665"/>
    <cellStyle name="Calculation 2 2 10 8 2 3" xfId="50666"/>
    <cellStyle name="Calculation 2 2 10 8 3" xfId="36473"/>
    <cellStyle name="Calculation 2 2 10 8 4" xfId="50667"/>
    <cellStyle name="Calculation 2 2 10 9" xfId="22070"/>
    <cellStyle name="Calculation 2 2 10 9 2" xfId="30368"/>
    <cellStyle name="Calculation 2 2 10 9 2 2" xfId="50668"/>
    <cellStyle name="Calculation 2 2 10 9 2 3" xfId="50669"/>
    <cellStyle name="Calculation 2 2 10 9 3" xfId="37403"/>
    <cellStyle name="Calculation 2 2 10 9 4" xfId="50670"/>
    <cellStyle name="Calculation 2 2 11" xfId="14684"/>
    <cellStyle name="Calculation 2 2 11 10" xfId="23047"/>
    <cellStyle name="Calculation 2 2 11 2" xfId="15765"/>
    <cellStyle name="Calculation 2 2 11 2 2" xfId="24082"/>
    <cellStyle name="Calculation 2 2 11 2 2 2" xfId="50671"/>
    <cellStyle name="Calculation 2 2 11 2 2 3" xfId="50672"/>
    <cellStyle name="Calculation 2 2 11 2 3" xfId="31373"/>
    <cellStyle name="Calculation 2 2 11 2 4" xfId="50673"/>
    <cellStyle name="Calculation 2 2 11 3" xfId="16731"/>
    <cellStyle name="Calculation 2 2 11 3 2" xfId="25053"/>
    <cellStyle name="Calculation 2 2 11 3 2 2" xfId="50674"/>
    <cellStyle name="Calculation 2 2 11 3 2 3" xfId="50675"/>
    <cellStyle name="Calculation 2 2 11 3 3" xfId="32306"/>
    <cellStyle name="Calculation 2 2 11 3 4" xfId="50676"/>
    <cellStyle name="Calculation 2 2 11 4" xfId="17755"/>
    <cellStyle name="Calculation 2 2 11 4 2" xfId="26079"/>
    <cellStyle name="Calculation 2 2 11 4 2 2" xfId="50677"/>
    <cellStyle name="Calculation 2 2 11 4 2 3" xfId="50678"/>
    <cellStyle name="Calculation 2 2 11 4 3" xfId="33283"/>
    <cellStyle name="Calculation 2 2 11 4 4" xfId="50679"/>
    <cellStyle name="Calculation 2 2 11 5" xfId="18739"/>
    <cellStyle name="Calculation 2 2 11 5 2" xfId="27060"/>
    <cellStyle name="Calculation 2 2 11 5 2 2" xfId="50680"/>
    <cellStyle name="Calculation 2 2 11 5 2 3" xfId="50681"/>
    <cellStyle name="Calculation 2 2 11 5 3" xfId="34222"/>
    <cellStyle name="Calculation 2 2 11 5 4" xfId="50682"/>
    <cellStyle name="Calculation 2 2 11 6" xfId="19708"/>
    <cellStyle name="Calculation 2 2 11 6 2" xfId="28029"/>
    <cellStyle name="Calculation 2 2 11 6 2 2" xfId="50683"/>
    <cellStyle name="Calculation 2 2 11 6 2 3" xfId="50684"/>
    <cellStyle name="Calculation 2 2 11 6 3" xfId="35168"/>
    <cellStyle name="Calculation 2 2 11 6 4" xfId="50685"/>
    <cellStyle name="Calculation 2 2 11 7" xfId="20665"/>
    <cellStyle name="Calculation 2 2 11 7 2" xfId="28986"/>
    <cellStyle name="Calculation 2 2 11 7 2 2" xfId="50686"/>
    <cellStyle name="Calculation 2 2 11 7 2 3" xfId="50687"/>
    <cellStyle name="Calculation 2 2 11 7 3" xfId="36083"/>
    <cellStyle name="Calculation 2 2 11 7 4" xfId="50688"/>
    <cellStyle name="Calculation 2 2 11 8" xfId="21137"/>
    <cellStyle name="Calculation 2 2 11 8 2" xfId="29451"/>
    <cellStyle name="Calculation 2 2 11 8 2 2" xfId="50689"/>
    <cellStyle name="Calculation 2 2 11 8 2 3" xfId="50690"/>
    <cellStyle name="Calculation 2 2 11 8 3" xfId="36523"/>
    <cellStyle name="Calculation 2 2 11 8 4" xfId="50691"/>
    <cellStyle name="Calculation 2 2 11 9" xfId="22102"/>
    <cellStyle name="Calculation 2 2 11 9 2" xfId="30400"/>
    <cellStyle name="Calculation 2 2 11 9 2 2" xfId="50692"/>
    <cellStyle name="Calculation 2 2 11 9 2 3" xfId="50693"/>
    <cellStyle name="Calculation 2 2 11 9 3" xfId="37434"/>
    <cellStyle name="Calculation 2 2 11 9 4" xfId="50694"/>
    <cellStyle name="Calculation 2 2 12" xfId="14671"/>
    <cellStyle name="Calculation 2 2 12 10" xfId="23033"/>
    <cellStyle name="Calculation 2 2 12 2" xfId="15752"/>
    <cellStyle name="Calculation 2 2 12 2 2" xfId="24068"/>
    <cellStyle name="Calculation 2 2 12 2 2 2" xfId="50695"/>
    <cellStyle name="Calculation 2 2 12 2 2 3" xfId="50696"/>
    <cellStyle name="Calculation 2 2 12 2 3" xfId="31360"/>
    <cellStyle name="Calculation 2 2 12 2 4" xfId="50697"/>
    <cellStyle name="Calculation 2 2 12 3" xfId="16718"/>
    <cellStyle name="Calculation 2 2 12 3 2" xfId="25039"/>
    <cellStyle name="Calculation 2 2 12 3 2 2" xfId="50698"/>
    <cellStyle name="Calculation 2 2 12 3 2 3" xfId="50699"/>
    <cellStyle name="Calculation 2 2 12 3 3" xfId="32293"/>
    <cellStyle name="Calculation 2 2 12 3 4" xfId="50700"/>
    <cellStyle name="Calculation 2 2 12 4" xfId="17742"/>
    <cellStyle name="Calculation 2 2 12 4 2" xfId="26065"/>
    <cellStyle name="Calculation 2 2 12 4 2 2" xfId="50701"/>
    <cellStyle name="Calculation 2 2 12 4 2 3" xfId="50702"/>
    <cellStyle name="Calculation 2 2 12 4 3" xfId="33270"/>
    <cellStyle name="Calculation 2 2 12 4 4" xfId="50703"/>
    <cellStyle name="Calculation 2 2 12 5" xfId="18725"/>
    <cellStyle name="Calculation 2 2 12 5 2" xfId="27046"/>
    <cellStyle name="Calculation 2 2 12 5 2 2" xfId="50704"/>
    <cellStyle name="Calculation 2 2 12 5 2 3" xfId="50705"/>
    <cellStyle name="Calculation 2 2 12 5 3" xfId="34209"/>
    <cellStyle name="Calculation 2 2 12 5 4" xfId="50706"/>
    <cellStyle name="Calculation 2 2 12 6" xfId="19694"/>
    <cellStyle name="Calculation 2 2 12 6 2" xfId="28015"/>
    <cellStyle name="Calculation 2 2 12 6 2 2" xfId="50707"/>
    <cellStyle name="Calculation 2 2 12 6 2 3" xfId="50708"/>
    <cellStyle name="Calculation 2 2 12 6 3" xfId="35155"/>
    <cellStyle name="Calculation 2 2 12 6 4" xfId="50709"/>
    <cellStyle name="Calculation 2 2 12 7" xfId="20651"/>
    <cellStyle name="Calculation 2 2 12 7 2" xfId="28972"/>
    <cellStyle name="Calculation 2 2 12 7 2 2" xfId="50710"/>
    <cellStyle name="Calculation 2 2 12 7 2 3" xfId="50711"/>
    <cellStyle name="Calculation 2 2 12 7 3" xfId="36070"/>
    <cellStyle name="Calculation 2 2 12 7 4" xfId="50712"/>
    <cellStyle name="Calculation 2 2 12 8" xfId="21277"/>
    <cellStyle name="Calculation 2 2 12 8 2" xfId="29585"/>
    <cellStyle name="Calculation 2 2 12 8 2 2" xfId="50713"/>
    <cellStyle name="Calculation 2 2 12 8 2 3" xfId="50714"/>
    <cellStyle name="Calculation 2 2 12 8 3" xfId="36652"/>
    <cellStyle name="Calculation 2 2 12 8 4" xfId="50715"/>
    <cellStyle name="Calculation 2 2 12 9" xfId="22088"/>
    <cellStyle name="Calculation 2 2 12 9 2" xfId="30386"/>
    <cellStyle name="Calculation 2 2 12 9 2 2" xfId="50716"/>
    <cellStyle name="Calculation 2 2 12 9 2 3" xfId="50717"/>
    <cellStyle name="Calculation 2 2 12 9 3" xfId="37421"/>
    <cellStyle name="Calculation 2 2 12 9 4" xfId="50718"/>
    <cellStyle name="Calculation 2 2 13" xfId="14755"/>
    <cellStyle name="Calculation 2 2 13 10" xfId="23119"/>
    <cellStyle name="Calculation 2 2 13 11" xfId="50719"/>
    <cellStyle name="Calculation 2 2 13 2" xfId="15836"/>
    <cellStyle name="Calculation 2 2 13 2 2" xfId="24154"/>
    <cellStyle name="Calculation 2 2 13 2 2 2" xfId="50720"/>
    <cellStyle name="Calculation 2 2 13 2 2 3" xfId="50721"/>
    <cellStyle name="Calculation 2 2 13 2 3" xfId="31442"/>
    <cellStyle name="Calculation 2 2 13 2 4" xfId="50722"/>
    <cellStyle name="Calculation 2 2 13 3" xfId="16802"/>
    <cellStyle name="Calculation 2 2 13 3 2" xfId="25126"/>
    <cellStyle name="Calculation 2 2 13 3 2 2" xfId="50723"/>
    <cellStyle name="Calculation 2 2 13 3 2 3" xfId="50724"/>
    <cellStyle name="Calculation 2 2 13 3 3" xfId="32375"/>
    <cellStyle name="Calculation 2 2 13 3 4" xfId="50725"/>
    <cellStyle name="Calculation 2 2 13 4" xfId="17828"/>
    <cellStyle name="Calculation 2 2 13 4 2" xfId="26152"/>
    <cellStyle name="Calculation 2 2 13 4 2 2" xfId="50726"/>
    <cellStyle name="Calculation 2 2 13 4 2 3" xfId="50727"/>
    <cellStyle name="Calculation 2 2 13 4 3" xfId="33352"/>
    <cellStyle name="Calculation 2 2 13 4 4" xfId="50728"/>
    <cellStyle name="Calculation 2 2 13 5" xfId="18812"/>
    <cellStyle name="Calculation 2 2 13 5 2" xfId="27133"/>
    <cellStyle name="Calculation 2 2 13 5 2 2" xfId="50729"/>
    <cellStyle name="Calculation 2 2 13 5 2 3" xfId="50730"/>
    <cellStyle name="Calculation 2 2 13 5 3" xfId="34292"/>
    <cellStyle name="Calculation 2 2 13 5 4" xfId="50731"/>
    <cellStyle name="Calculation 2 2 13 6" xfId="19780"/>
    <cellStyle name="Calculation 2 2 13 6 2" xfId="28102"/>
    <cellStyle name="Calculation 2 2 13 6 2 2" xfId="50732"/>
    <cellStyle name="Calculation 2 2 13 6 2 3" xfId="50733"/>
    <cellStyle name="Calculation 2 2 13 6 3" xfId="35238"/>
    <cellStyle name="Calculation 2 2 13 6 4" xfId="50734"/>
    <cellStyle name="Calculation 2 2 13 7" xfId="20738"/>
    <cellStyle name="Calculation 2 2 13 7 2" xfId="29059"/>
    <cellStyle name="Calculation 2 2 13 7 2 2" xfId="50735"/>
    <cellStyle name="Calculation 2 2 13 7 2 3" xfId="50736"/>
    <cellStyle name="Calculation 2 2 13 7 3" xfId="36151"/>
    <cellStyle name="Calculation 2 2 13 7 4" xfId="50737"/>
    <cellStyle name="Calculation 2 2 13 8" xfId="21099"/>
    <cellStyle name="Calculation 2 2 13 8 2" xfId="29416"/>
    <cellStyle name="Calculation 2 2 13 8 2 2" xfId="50738"/>
    <cellStyle name="Calculation 2 2 13 8 2 3" xfId="50739"/>
    <cellStyle name="Calculation 2 2 13 8 3" xfId="36490"/>
    <cellStyle name="Calculation 2 2 13 8 4" xfId="50740"/>
    <cellStyle name="Calculation 2 2 13 9" xfId="22174"/>
    <cellStyle name="Calculation 2 2 13 9 2" xfId="30472"/>
    <cellStyle name="Calculation 2 2 13 9 2 2" xfId="50741"/>
    <cellStyle name="Calculation 2 2 13 9 2 3" xfId="50742"/>
    <cellStyle name="Calculation 2 2 13 9 3" xfId="37503"/>
    <cellStyle name="Calculation 2 2 13 9 4" xfId="50743"/>
    <cellStyle name="Calculation 2 2 14" xfId="14792"/>
    <cellStyle name="Calculation 2 2 14 10" xfId="23157"/>
    <cellStyle name="Calculation 2 2 14 11" xfId="50744"/>
    <cellStyle name="Calculation 2 2 14 2" xfId="15873"/>
    <cellStyle name="Calculation 2 2 14 2 2" xfId="24192"/>
    <cellStyle name="Calculation 2 2 14 2 2 2" xfId="50745"/>
    <cellStyle name="Calculation 2 2 14 2 2 3" xfId="50746"/>
    <cellStyle name="Calculation 2 2 14 2 3" xfId="31478"/>
    <cellStyle name="Calculation 2 2 14 2 4" xfId="50747"/>
    <cellStyle name="Calculation 2 2 14 3" xfId="16839"/>
    <cellStyle name="Calculation 2 2 14 3 2" xfId="25164"/>
    <cellStyle name="Calculation 2 2 14 3 2 2" xfId="50748"/>
    <cellStyle name="Calculation 2 2 14 3 2 3" xfId="50749"/>
    <cellStyle name="Calculation 2 2 14 3 3" xfId="32411"/>
    <cellStyle name="Calculation 2 2 14 3 4" xfId="50750"/>
    <cellStyle name="Calculation 2 2 14 4" xfId="17866"/>
    <cellStyle name="Calculation 2 2 14 4 2" xfId="26190"/>
    <cellStyle name="Calculation 2 2 14 4 2 2" xfId="50751"/>
    <cellStyle name="Calculation 2 2 14 4 2 3" xfId="50752"/>
    <cellStyle name="Calculation 2 2 14 4 3" xfId="33388"/>
    <cellStyle name="Calculation 2 2 14 4 4" xfId="50753"/>
    <cellStyle name="Calculation 2 2 14 5" xfId="18850"/>
    <cellStyle name="Calculation 2 2 14 5 2" xfId="27171"/>
    <cellStyle name="Calculation 2 2 14 5 2 2" xfId="50754"/>
    <cellStyle name="Calculation 2 2 14 5 2 3" xfId="50755"/>
    <cellStyle name="Calculation 2 2 14 5 3" xfId="34328"/>
    <cellStyle name="Calculation 2 2 14 5 4" xfId="50756"/>
    <cellStyle name="Calculation 2 2 14 6" xfId="19818"/>
    <cellStyle name="Calculation 2 2 14 6 2" xfId="28140"/>
    <cellStyle name="Calculation 2 2 14 6 2 2" xfId="50757"/>
    <cellStyle name="Calculation 2 2 14 6 2 3" xfId="50758"/>
    <cellStyle name="Calculation 2 2 14 6 3" xfId="35274"/>
    <cellStyle name="Calculation 2 2 14 6 4" xfId="50759"/>
    <cellStyle name="Calculation 2 2 14 7" xfId="20776"/>
    <cellStyle name="Calculation 2 2 14 7 2" xfId="29097"/>
    <cellStyle name="Calculation 2 2 14 7 2 2" xfId="50760"/>
    <cellStyle name="Calculation 2 2 14 7 2 3" xfId="50761"/>
    <cellStyle name="Calculation 2 2 14 7 3" xfId="36187"/>
    <cellStyle name="Calculation 2 2 14 7 4" xfId="50762"/>
    <cellStyle name="Calculation 2 2 14 8" xfId="21301"/>
    <cellStyle name="Calculation 2 2 14 8 2" xfId="29608"/>
    <cellStyle name="Calculation 2 2 14 8 2 2" xfId="50763"/>
    <cellStyle name="Calculation 2 2 14 8 2 3" xfId="50764"/>
    <cellStyle name="Calculation 2 2 14 8 3" xfId="36675"/>
    <cellStyle name="Calculation 2 2 14 8 4" xfId="50765"/>
    <cellStyle name="Calculation 2 2 14 9" xfId="22212"/>
    <cellStyle name="Calculation 2 2 14 9 2" xfId="30510"/>
    <cellStyle name="Calculation 2 2 14 9 2 2" xfId="50766"/>
    <cellStyle name="Calculation 2 2 14 9 2 3" xfId="50767"/>
    <cellStyle name="Calculation 2 2 14 9 3" xfId="37539"/>
    <cellStyle name="Calculation 2 2 14 9 4" xfId="50768"/>
    <cellStyle name="Calculation 2 2 15" xfId="14701"/>
    <cellStyle name="Calculation 2 2 15 10" xfId="23063"/>
    <cellStyle name="Calculation 2 2 15 11" xfId="50769"/>
    <cellStyle name="Calculation 2 2 15 2" xfId="15782"/>
    <cellStyle name="Calculation 2 2 15 2 2" xfId="24098"/>
    <cellStyle name="Calculation 2 2 15 2 2 2" xfId="50770"/>
    <cellStyle name="Calculation 2 2 15 2 2 3" xfId="50771"/>
    <cellStyle name="Calculation 2 2 15 2 3" xfId="31387"/>
    <cellStyle name="Calculation 2 2 15 2 4" xfId="50772"/>
    <cellStyle name="Calculation 2 2 15 3" xfId="16748"/>
    <cellStyle name="Calculation 2 2 15 3 2" xfId="25070"/>
    <cellStyle name="Calculation 2 2 15 3 2 2" xfId="50773"/>
    <cellStyle name="Calculation 2 2 15 3 2 3" xfId="50774"/>
    <cellStyle name="Calculation 2 2 15 3 3" xfId="32320"/>
    <cellStyle name="Calculation 2 2 15 3 4" xfId="50775"/>
    <cellStyle name="Calculation 2 2 15 4" xfId="17772"/>
    <cellStyle name="Calculation 2 2 15 4 2" xfId="26096"/>
    <cellStyle name="Calculation 2 2 15 4 2 2" xfId="50776"/>
    <cellStyle name="Calculation 2 2 15 4 2 3" xfId="50777"/>
    <cellStyle name="Calculation 2 2 15 4 3" xfId="33297"/>
    <cellStyle name="Calculation 2 2 15 4 4" xfId="50778"/>
    <cellStyle name="Calculation 2 2 15 5" xfId="18756"/>
    <cellStyle name="Calculation 2 2 15 5 2" xfId="27077"/>
    <cellStyle name="Calculation 2 2 15 5 2 2" xfId="50779"/>
    <cellStyle name="Calculation 2 2 15 5 2 3" xfId="50780"/>
    <cellStyle name="Calculation 2 2 15 5 3" xfId="34237"/>
    <cellStyle name="Calculation 2 2 15 5 4" xfId="50781"/>
    <cellStyle name="Calculation 2 2 15 6" xfId="19725"/>
    <cellStyle name="Calculation 2 2 15 6 2" xfId="28046"/>
    <cellStyle name="Calculation 2 2 15 6 2 2" xfId="50782"/>
    <cellStyle name="Calculation 2 2 15 6 2 3" xfId="50783"/>
    <cellStyle name="Calculation 2 2 15 6 3" xfId="35183"/>
    <cellStyle name="Calculation 2 2 15 6 4" xfId="50784"/>
    <cellStyle name="Calculation 2 2 15 7" xfId="20682"/>
    <cellStyle name="Calculation 2 2 15 7 2" xfId="29003"/>
    <cellStyle name="Calculation 2 2 15 7 2 2" xfId="50785"/>
    <cellStyle name="Calculation 2 2 15 7 2 3" xfId="50786"/>
    <cellStyle name="Calculation 2 2 15 7 3" xfId="36097"/>
    <cellStyle name="Calculation 2 2 15 7 4" xfId="50787"/>
    <cellStyle name="Calculation 2 2 15 8" xfId="21155"/>
    <cellStyle name="Calculation 2 2 15 8 2" xfId="29467"/>
    <cellStyle name="Calculation 2 2 15 8 2 2" xfId="50788"/>
    <cellStyle name="Calculation 2 2 15 8 2 3" xfId="50789"/>
    <cellStyle name="Calculation 2 2 15 8 3" xfId="36539"/>
    <cellStyle name="Calculation 2 2 15 8 4" xfId="50790"/>
    <cellStyle name="Calculation 2 2 15 9" xfId="22118"/>
    <cellStyle name="Calculation 2 2 15 9 2" xfId="30416"/>
    <cellStyle name="Calculation 2 2 15 9 2 2" xfId="50791"/>
    <cellStyle name="Calculation 2 2 15 9 2 3" xfId="50792"/>
    <cellStyle name="Calculation 2 2 15 9 3" xfId="37448"/>
    <cellStyle name="Calculation 2 2 15 9 4" xfId="50793"/>
    <cellStyle name="Calculation 2 2 16" xfId="14834"/>
    <cellStyle name="Calculation 2 2 16 10" xfId="23197"/>
    <cellStyle name="Calculation 2 2 16 11" xfId="50794"/>
    <cellStyle name="Calculation 2 2 16 2" xfId="15915"/>
    <cellStyle name="Calculation 2 2 16 2 2" xfId="24232"/>
    <cellStyle name="Calculation 2 2 16 2 2 2" xfId="50795"/>
    <cellStyle name="Calculation 2 2 16 2 2 3" xfId="50796"/>
    <cellStyle name="Calculation 2 2 16 2 3" xfId="31516"/>
    <cellStyle name="Calculation 2 2 16 2 4" xfId="50797"/>
    <cellStyle name="Calculation 2 2 16 3" xfId="16881"/>
    <cellStyle name="Calculation 2 2 16 3 2" xfId="25204"/>
    <cellStyle name="Calculation 2 2 16 3 2 2" xfId="50798"/>
    <cellStyle name="Calculation 2 2 16 3 2 3" xfId="50799"/>
    <cellStyle name="Calculation 2 2 16 3 3" xfId="32449"/>
    <cellStyle name="Calculation 2 2 16 3 4" xfId="50800"/>
    <cellStyle name="Calculation 2 2 16 4" xfId="17908"/>
    <cellStyle name="Calculation 2 2 16 4 2" xfId="26230"/>
    <cellStyle name="Calculation 2 2 16 4 2 2" xfId="50801"/>
    <cellStyle name="Calculation 2 2 16 4 2 3" xfId="50802"/>
    <cellStyle name="Calculation 2 2 16 4 3" xfId="33426"/>
    <cellStyle name="Calculation 2 2 16 4 4" xfId="50803"/>
    <cellStyle name="Calculation 2 2 16 5" xfId="18892"/>
    <cellStyle name="Calculation 2 2 16 5 2" xfId="27212"/>
    <cellStyle name="Calculation 2 2 16 5 2 2" xfId="50804"/>
    <cellStyle name="Calculation 2 2 16 5 2 3" xfId="50805"/>
    <cellStyle name="Calculation 2 2 16 5 3" xfId="34367"/>
    <cellStyle name="Calculation 2 2 16 5 4" xfId="50806"/>
    <cellStyle name="Calculation 2 2 16 6" xfId="19860"/>
    <cellStyle name="Calculation 2 2 16 6 2" xfId="28182"/>
    <cellStyle name="Calculation 2 2 16 6 2 2" xfId="50807"/>
    <cellStyle name="Calculation 2 2 16 6 2 3" xfId="50808"/>
    <cellStyle name="Calculation 2 2 16 6 3" xfId="35314"/>
    <cellStyle name="Calculation 2 2 16 6 4" xfId="50809"/>
    <cellStyle name="Calculation 2 2 16 7" xfId="20818"/>
    <cellStyle name="Calculation 2 2 16 7 2" xfId="29137"/>
    <cellStyle name="Calculation 2 2 16 7 2 2" xfId="50810"/>
    <cellStyle name="Calculation 2 2 16 7 2 3" xfId="50811"/>
    <cellStyle name="Calculation 2 2 16 7 3" xfId="36224"/>
    <cellStyle name="Calculation 2 2 16 7 4" xfId="50812"/>
    <cellStyle name="Calculation 2 2 16 8" xfId="21369"/>
    <cellStyle name="Calculation 2 2 16 8 2" xfId="29672"/>
    <cellStyle name="Calculation 2 2 16 8 2 2" xfId="50813"/>
    <cellStyle name="Calculation 2 2 16 8 2 3" xfId="50814"/>
    <cellStyle name="Calculation 2 2 16 8 3" xfId="36736"/>
    <cellStyle name="Calculation 2 2 16 8 4" xfId="50815"/>
    <cellStyle name="Calculation 2 2 16 9" xfId="22253"/>
    <cellStyle name="Calculation 2 2 16 9 2" xfId="30551"/>
    <cellStyle name="Calculation 2 2 16 9 2 2" xfId="50816"/>
    <cellStyle name="Calculation 2 2 16 9 2 3" xfId="50817"/>
    <cellStyle name="Calculation 2 2 16 9 3" xfId="37577"/>
    <cellStyle name="Calculation 2 2 16 9 4" xfId="50818"/>
    <cellStyle name="Calculation 2 2 17" xfId="14871"/>
    <cellStyle name="Calculation 2 2 17 10" xfId="23234"/>
    <cellStyle name="Calculation 2 2 17 11" xfId="50819"/>
    <cellStyle name="Calculation 2 2 17 2" xfId="15952"/>
    <cellStyle name="Calculation 2 2 17 2 2" xfId="24269"/>
    <cellStyle name="Calculation 2 2 17 2 2 2" xfId="50820"/>
    <cellStyle name="Calculation 2 2 17 2 2 3" xfId="50821"/>
    <cellStyle name="Calculation 2 2 17 2 3" xfId="31552"/>
    <cellStyle name="Calculation 2 2 17 2 4" xfId="50822"/>
    <cellStyle name="Calculation 2 2 17 3" xfId="16918"/>
    <cellStyle name="Calculation 2 2 17 3 2" xfId="25241"/>
    <cellStyle name="Calculation 2 2 17 3 2 2" xfId="50823"/>
    <cellStyle name="Calculation 2 2 17 3 2 3" xfId="50824"/>
    <cellStyle name="Calculation 2 2 17 3 3" xfId="32485"/>
    <cellStyle name="Calculation 2 2 17 3 4" xfId="50825"/>
    <cellStyle name="Calculation 2 2 17 4" xfId="17945"/>
    <cellStyle name="Calculation 2 2 17 4 2" xfId="26267"/>
    <cellStyle name="Calculation 2 2 17 4 2 2" xfId="50826"/>
    <cellStyle name="Calculation 2 2 17 4 2 3" xfId="50827"/>
    <cellStyle name="Calculation 2 2 17 4 3" xfId="33462"/>
    <cellStyle name="Calculation 2 2 17 4 4" xfId="50828"/>
    <cellStyle name="Calculation 2 2 17 5" xfId="18929"/>
    <cellStyle name="Calculation 2 2 17 5 2" xfId="27249"/>
    <cellStyle name="Calculation 2 2 17 5 2 2" xfId="50829"/>
    <cellStyle name="Calculation 2 2 17 5 2 3" xfId="50830"/>
    <cellStyle name="Calculation 2 2 17 5 3" xfId="34403"/>
    <cellStyle name="Calculation 2 2 17 5 4" xfId="50831"/>
    <cellStyle name="Calculation 2 2 17 6" xfId="19897"/>
    <cellStyle name="Calculation 2 2 17 6 2" xfId="28219"/>
    <cellStyle name="Calculation 2 2 17 6 2 2" xfId="50832"/>
    <cellStyle name="Calculation 2 2 17 6 2 3" xfId="50833"/>
    <cellStyle name="Calculation 2 2 17 6 3" xfId="35350"/>
    <cellStyle name="Calculation 2 2 17 6 4" xfId="50834"/>
    <cellStyle name="Calculation 2 2 17 7" xfId="20855"/>
    <cellStyle name="Calculation 2 2 17 7 2" xfId="29174"/>
    <cellStyle name="Calculation 2 2 17 7 2 2" xfId="50835"/>
    <cellStyle name="Calculation 2 2 17 7 2 3" xfId="50836"/>
    <cellStyle name="Calculation 2 2 17 7 3" xfId="36260"/>
    <cellStyle name="Calculation 2 2 17 7 4" xfId="50837"/>
    <cellStyle name="Calculation 2 2 17 8" xfId="17573"/>
    <cellStyle name="Calculation 2 2 17 8 2" xfId="25892"/>
    <cellStyle name="Calculation 2 2 17 8 2 2" xfId="50838"/>
    <cellStyle name="Calculation 2 2 17 8 2 3" xfId="50839"/>
    <cellStyle name="Calculation 2 2 17 8 3" xfId="33105"/>
    <cellStyle name="Calculation 2 2 17 8 4" xfId="50840"/>
    <cellStyle name="Calculation 2 2 17 9" xfId="22290"/>
    <cellStyle name="Calculation 2 2 17 9 2" xfId="30588"/>
    <cellStyle name="Calculation 2 2 17 9 2 2" xfId="50841"/>
    <cellStyle name="Calculation 2 2 17 9 2 3" xfId="50842"/>
    <cellStyle name="Calculation 2 2 17 9 3" xfId="37613"/>
    <cellStyle name="Calculation 2 2 17 9 4" xfId="50843"/>
    <cellStyle name="Calculation 2 2 18" xfId="14887"/>
    <cellStyle name="Calculation 2 2 18 10" xfId="23250"/>
    <cellStyle name="Calculation 2 2 18 11" xfId="50844"/>
    <cellStyle name="Calculation 2 2 18 2" xfId="15968"/>
    <cellStyle name="Calculation 2 2 18 2 2" xfId="24285"/>
    <cellStyle name="Calculation 2 2 18 2 2 2" xfId="50845"/>
    <cellStyle name="Calculation 2 2 18 2 2 3" xfId="50846"/>
    <cellStyle name="Calculation 2 2 18 2 3" xfId="31566"/>
    <cellStyle name="Calculation 2 2 18 2 4" xfId="50847"/>
    <cellStyle name="Calculation 2 2 18 3" xfId="16934"/>
    <cellStyle name="Calculation 2 2 18 3 2" xfId="25257"/>
    <cellStyle name="Calculation 2 2 18 3 2 2" xfId="50848"/>
    <cellStyle name="Calculation 2 2 18 3 2 3" xfId="50849"/>
    <cellStyle name="Calculation 2 2 18 3 3" xfId="32499"/>
    <cellStyle name="Calculation 2 2 18 3 4" xfId="50850"/>
    <cellStyle name="Calculation 2 2 18 4" xfId="17961"/>
    <cellStyle name="Calculation 2 2 18 4 2" xfId="26283"/>
    <cellStyle name="Calculation 2 2 18 4 2 2" xfId="50851"/>
    <cellStyle name="Calculation 2 2 18 4 2 3" xfId="50852"/>
    <cellStyle name="Calculation 2 2 18 4 3" xfId="33476"/>
    <cellStyle name="Calculation 2 2 18 4 4" xfId="50853"/>
    <cellStyle name="Calculation 2 2 18 5" xfId="18945"/>
    <cellStyle name="Calculation 2 2 18 5 2" xfId="27265"/>
    <cellStyle name="Calculation 2 2 18 5 2 2" xfId="50854"/>
    <cellStyle name="Calculation 2 2 18 5 2 3" xfId="50855"/>
    <cellStyle name="Calculation 2 2 18 5 3" xfId="34417"/>
    <cellStyle name="Calculation 2 2 18 5 4" xfId="50856"/>
    <cellStyle name="Calculation 2 2 18 6" xfId="19913"/>
    <cellStyle name="Calculation 2 2 18 6 2" xfId="28235"/>
    <cellStyle name="Calculation 2 2 18 6 2 2" xfId="50857"/>
    <cellStyle name="Calculation 2 2 18 6 2 3" xfId="50858"/>
    <cellStyle name="Calculation 2 2 18 6 3" xfId="35364"/>
    <cellStyle name="Calculation 2 2 18 6 4" xfId="50859"/>
    <cellStyle name="Calculation 2 2 18 7" xfId="20871"/>
    <cellStyle name="Calculation 2 2 18 7 2" xfId="29190"/>
    <cellStyle name="Calculation 2 2 18 7 2 2" xfId="50860"/>
    <cellStyle name="Calculation 2 2 18 7 2 3" xfId="50861"/>
    <cellStyle name="Calculation 2 2 18 7 3" xfId="36274"/>
    <cellStyle name="Calculation 2 2 18 7 4" xfId="50862"/>
    <cellStyle name="Calculation 2 2 18 8" xfId="21378"/>
    <cellStyle name="Calculation 2 2 18 8 2" xfId="29681"/>
    <cellStyle name="Calculation 2 2 18 8 2 2" xfId="50863"/>
    <cellStyle name="Calculation 2 2 18 8 2 3" xfId="50864"/>
    <cellStyle name="Calculation 2 2 18 8 3" xfId="36744"/>
    <cellStyle name="Calculation 2 2 18 8 4" xfId="50865"/>
    <cellStyle name="Calculation 2 2 18 9" xfId="22306"/>
    <cellStyle name="Calculation 2 2 18 9 2" xfId="30604"/>
    <cellStyle name="Calculation 2 2 18 9 2 2" xfId="50866"/>
    <cellStyle name="Calculation 2 2 18 9 2 3" xfId="50867"/>
    <cellStyle name="Calculation 2 2 18 9 3" xfId="37627"/>
    <cellStyle name="Calculation 2 2 18 9 4" xfId="50868"/>
    <cellStyle name="Calculation 2 2 19" xfId="14931"/>
    <cellStyle name="Calculation 2 2 19 10" xfId="23294"/>
    <cellStyle name="Calculation 2 2 19 11" xfId="50869"/>
    <cellStyle name="Calculation 2 2 19 2" xfId="16012"/>
    <cellStyle name="Calculation 2 2 19 2 2" xfId="24329"/>
    <cellStyle name="Calculation 2 2 19 2 2 2" xfId="50870"/>
    <cellStyle name="Calculation 2 2 19 2 2 3" xfId="50871"/>
    <cellStyle name="Calculation 2 2 19 2 3" xfId="31609"/>
    <cellStyle name="Calculation 2 2 19 2 4" xfId="50872"/>
    <cellStyle name="Calculation 2 2 19 3" xfId="16978"/>
    <cellStyle name="Calculation 2 2 19 3 2" xfId="25301"/>
    <cellStyle name="Calculation 2 2 19 3 2 2" xfId="50873"/>
    <cellStyle name="Calculation 2 2 19 3 2 3" xfId="50874"/>
    <cellStyle name="Calculation 2 2 19 3 3" xfId="32542"/>
    <cellStyle name="Calculation 2 2 19 3 4" xfId="50875"/>
    <cellStyle name="Calculation 2 2 19 4" xfId="18005"/>
    <cellStyle name="Calculation 2 2 19 4 2" xfId="26327"/>
    <cellStyle name="Calculation 2 2 19 4 2 2" xfId="50876"/>
    <cellStyle name="Calculation 2 2 19 4 2 3" xfId="50877"/>
    <cellStyle name="Calculation 2 2 19 4 3" xfId="33519"/>
    <cellStyle name="Calculation 2 2 19 4 4" xfId="50878"/>
    <cellStyle name="Calculation 2 2 19 5" xfId="18989"/>
    <cellStyle name="Calculation 2 2 19 5 2" xfId="27309"/>
    <cellStyle name="Calculation 2 2 19 5 2 2" xfId="50879"/>
    <cellStyle name="Calculation 2 2 19 5 2 3" xfId="50880"/>
    <cellStyle name="Calculation 2 2 19 5 3" xfId="34460"/>
    <cellStyle name="Calculation 2 2 19 5 4" xfId="50881"/>
    <cellStyle name="Calculation 2 2 19 6" xfId="19957"/>
    <cellStyle name="Calculation 2 2 19 6 2" xfId="28279"/>
    <cellStyle name="Calculation 2 2 19 6 2 2" xfId="50882"/>
    <cellStyle name="Calculation 2 2 19 6 2 3" xfId="50883"/>
    <cellStyle name="Calculation 2 2 19 6 3" xfId="35407"/>
    <cellStyle name="Calculation 2 2 19 6 4" xfId="50884"/>
    <cellStyle name="Calculation 2 2 19 7" xfId="20915"/>
    <cellStyle name="Calculation 2 2 19 7 2" xfId="29234"/>
    <cellStyle name="Calculation 2 2 19 7 2 2" xfId="50885"/>
    <cellStyle name="Calculation 2 2 19 7 2 3" xfId="50886"/>
    <cellStyle name="Calculation 2 2 19 7 3" xfId="36317"/>
    <cellStyle name="Calculation 2 2 19 7 4" xfId="50887"/>
    <cellStyle name="Calculation 2 2 19 8" xfId="21422"/>
    <cellStyle name="Calculation 2 2 19 8 2" xfId="29725"/>
    <cellStyle name="Calculation 2 2 19 8 2 2" xfId="50888"/>
    <cellStyle name="Calculation 2 2 19 8 2 3" xfId="50889"/>
    <cellStyle name="Calculation 2 2 19 8 3" xfId="36787"/>
    <cellStyle name="Calculation 2 2 19 8 4" xfId="50890"/>
    <cellStyle name="Calculation 2 2 19 9" xfId="22350"/>
    <cellStyle name="Calculation 2 2 19 9 2" xfId="30648"/>
    <cellStyle name="Calculation 2 2 19 9 2 2" xfId="50891"/>
    <cellStyle name="Calculation 2 2 19 9 2 3" xfId="50892"/>
    <cellStyle name="Calculation 2 2 19 9 3" xfId="37670"/>
    <cellStyle name="Calculation 2 2 19 9 4" xfId="50893"/>
    <cellStyle name="Calculation 2 2 2" xfId="78"/>
    <cellStyle name="Calculation 2 2 2 10" xfId="14443"/>
    <cellStyle name="Calculation 2 2 2 10 2" xfId="50894"/>
    <cellStyle name="Calculation 2 2 2 10 3" xfId="50895"/>
    <cellStyle name="Calculation 2 2 2 11" xfId="50896"/>
    <cellStyle name="Calculation 2 2 2 12" xfId="50897"/>
    <cellStyle name="Calculation 2 2 2 13" xfId="50898"/>
    <cellStyle name="Calculation 2 2 2 14" xfId="50899"/>
    <cellStyle name="Calculation 2 2 2 15" xfId="60649"/>
    <cellStyle name="Calculation 2 2 2 2" xfId="152"/>
    <cellStyle name="Calculation 2 2 2 2 2" xfId="278"/>
    <cellStyle name="Calculation 2 2 2 2 2 2" xfId="687"/>
    <cellStyle name="Calculation 2 2 2 2 2 2 2" xfId="1638"/>
    <cellStyle name="Calculation 2 2 2 2 2 2 2 2" xfId="769"/>
    <cellStyle name="Calculation 2 2 2 2 2 2 2 2 2" xfId="2498"/>
    <cellStyle name="Calculation 2 2 2 2 2 2 2 2 2 2" xfId="5918"/>
    <cellStyle name="Calculation 2 2 2 2 2 2 2 2 2 2 2" xfId="12758"/>
    <cellStyle name="Calculation 2 2 2 2 2 2 2 2 2 3" xfId="9338"/>
    <cellStyle name="Calculation 2 2 2 2 2 2 2 2 3" xfId="3638"/>
    <cellStyle name="Calculation 2 2 2 2 2 2 2 2 3 2" xfId="7058"/>
    <cellStyle name="Calculation 2 2 2 2 2 2 2 2 3 2 2" xfId="13898"/>
    <cellStyle name="Calculation 2 2 2 2 2 2 2 2 3 3" xfId="10478"/>
    <cellStyle name="Calculation 2 2 2 2 2 2 2 2 4" xfId="4778"/>
    <cellStyle name="Calculation 2 2 2 2 2 2 2 2 4 2" xfId="11618"/>
    <cellStyle name="Calculation 2 2 2 2 2 2 2 2 5" xfId="8198"/>
    <cellStyle name="Calculation 2 2 2 2 2 2 2 3" xfId="2472"/>
    <cellStyle name="Calculation 2 2 2 2 2 2 2 3 2" xfId="5892"/>
    <cellStyle name="Calculation 2 2 2 2 2 2 2 3 2 2" xfId="12732"/>
    <cellStyle name="Calculation 2 2 2 2 2 2 2 3 3" xfId="9312"/>
    <cellStyle name="Calculation 2 2 2 2 2 2 2 4" xfId="3612"/>
    <cellStyle name="Calculation 2 2 2 2 2 2 2 4 2" xfId="7032"/>
    <cellStyle name="Calculation 2 2 2 2 2 2 2 4 2 2" xfId="13872"/>
    <cellStyle name="Calculation 2 2 2 2 2 2 2 4 3" xfId="10452"/>
    <cellStyle name="Calculation 2 2 2 2 2 2 2 5" xfId="4752"/>
    <cellStyle name="Calculation 2 2 2 2 2 2 2 5 2" xfId="11592"/>
    <cellStyle name="Calculation 2 2 2 2 2 2 2 6" xfId="8172"/>
    <cellStyle name="Calculation 2 2 2 2 2 2 3" xfId="38531"/>
    <cellStyle name="Calculation 2 2 2 2 2 2 4" xfId="50900"/>
    <cellStyle name="Calculation 2 2 2 2 2 2 5" xfId="50901"/>
    <cellStyle name="Calculation 2 2 2 2 2 2 6" xfId="50902"/>
    <cellStyle name="Calculation 2 2 2 2 2 2 7" xfId="60652"/>
    <cellStyle name="Calculation 2 2 2 2 2 3" xfId="1284"/>
    <cellStyle name="Calculation 2 2 2 2 2 3 2" xfId="986"/>
    <cellStyle name="Calculation 2 2 2 2 2 3 2 2" xfId="2527"/>
    <cellStyle name="Calculation 2 2 2 2 2 3 2 2 2" xfId="5947"/>
    <cellStyle name="Calculation 2 2 2 2 2 3 2 2 2 2" xfId="12787"/>
    <cellStyle name="Calculation 2 2 2 2 2 3 2 2 3" xfId="9367"/>
    <cellStyle name="Calculation 2 2 2 2 2 3 2 3" xfId="3667"/>
    <cellStyle name="Calculation 2 2 2 2 2 3 2 3 2" xfId="7087"/>
    <cellStyle name="Calculation 2 2 2 2 2 3 2 3 2 2" xfId="13927"/>
    <cellStyle name="Calculation 2 2 2 2 2 3 2 3 3" xfId="10507"/>
    <cellStyle name="Calculation 2 2 2 2 2 3 2 4" xfId="4807"/>
    <cellStyle name="Calculation 2 2 2 2 2 3 2 4 2" xfId="11647"/>
    <cellStyle name="Calculation 2 2 2 2 2 3 2 5" xfId="8227"/>
    <cellStyle name="Calculation 2 2 2 2 2 3 3" xfId="2104"/>
    <cellStyle name="Calculation 2 2 2 2 2 3 3 2" xfId="5524"/>
    <cellStyle name="Calculation 2 2 2 2 2 3 3 2 2" xfId="12364"/>
    <cellStyle name="Calculation 2 2 2 2 2 3 3 3" xfId="8944"/>
    <cellStyle name="Calculation 2 2 2 2 2 3 4" xfId="3244"/>
    <cellStyle name="Calculation 2 2 2 2 2 3 4 2" xfId="6664"/>
    <cellStyle name="Calculation 2 2 2 2 2 3 4 2 2" xfId="13504"/>
    <cellStyle name="Calculation 2 2 2 2 2 3 4 3" xfId="10084"/>
    <cellStyle name="Calculation 2 2 2 2 2 3 5" xfId="4384"/>
    <cellStyle name="Calculation 2 2 2 2 2 3 5 2" xfId="11224"/>
    <cellStyle name="Calculation 2 2 2 2 2 3 6" xfId="7804"/>
    <cellStyle name="Calculation 2 2 2 2 2 4" xfId="38294"/>
    <cellStyle name="Calculation 2 2 2 2 2 5" xfId="50903"/>
    <cellStyle name="Calculation 2 2 2 2 2 6" xfId="50904"/>
    <cellStyle name="Calculation 2 2 2 2 2 7" xfId="50905"/>
    <cellStyle name="Calculation 2 2 2 2 2 8" xfId="50906"/>
    <cellStyle name="Calculation 2 2 2 2 2 9" xfId="60651"/>
    <cellStyle name="Calculation 2 2 2 2 3" xfId="599"/>
    <cellStyle name="Calculation 2 2 2 2 3 2" xfId="1586"/>
    <cellStyle name="Calculation 2 2 2 2 3 2 2" xfId="818"/>
    <cellStyle name="Calculation 2 2 2 2 3 2 2 2" xfId="2686"/>
    <cellStyle name="Calculation 2 2 2 2 3 2 2 2 2" xfId="6106"/>
    <cellStyle name="Calculation 2 2 2 2 3 2 2 2 2 2" xfId="12946"/>
    <cellStyle name="Calculation 2 2 2 2 3 2 2 2 3" xfId="9526"/>
    <cellStyle name="Calculation 2 2 2 2 3 2 2 3" xfId="3826"/>
    <cellStyle name="Calculation 2 2 2 2 3 2 2 3 2" xfId="7246"/>
    <cellStyle name="Calculation 2 2 2 2 3 2 2 3 2 2" xfId="14086"/>
    <cellStyle name="Calculation 2 2 2 2 3 2 2 3 3" xfId="10666"/>
    <cellStyle name="Calculation 2 2 2 2 3 2 2 4" xfId="4966"/>
    <cellStyle name="Calculation 2 2 2 2 3 2 2 4 2" xfId="11806"/>
    <cellStyle name="Calculation 2 2 2 2 3 2 2 5" xfId="8386"/>
    <cellStyle name="Calculation 2 2 2 2 3 2 3" xfId="2411"/>
    <cellStyle name="Calculation 2 2 2 2 3 2 3 2" xfId="5831"/>
    <cellStyle name="Calculation 2 2 2 2 3 2 3 2 2" xfId="12671"/>
    <cellStyle name="Calculation 2 2 2 2 3 2 3 3" xfId="9251"/>
    <cellStyle name="Calculation 2 2 2 2 3 2 4" xfId="3551"/>
    <cellStyle name="Calculation 2 2 2 2 3 2 4 2" xfId="6971"/>
    <cellStyle name="Calculation 2 2 2 2 3 2 4 2 2" xfId="13811"/>
    <cellStyle name="Calculation 2 2 2 2 3 2 4 3" xfId="10391"/>
    <cellStyle name="Calculation 2 2 2 2 3 2 5" xfId="4691"/>
    <cellStyle name="Calculation 2 2 2 2 3 2 5 2" xfId="11531"/>
    <cellStyle name="Calculation 2 2 2 2 3 2 6" xfId="8111"/>
    <cellStyle name="Calculation 2 2 2 2 3 3" xfId="38480"/>
    <cellStyle name="Calculation 2 2 2 2 3 4" xfId="50907"/>
    <cellStyle name="Calculation 2 2 2 2 3 5" xfId="50908"/>
    <cellStyle name="Calculation 2 2 2 2 3 6" xfId="50909"/>
    <cellStyle name="Calculation 2 2 2 2 3 7" xfId="60653"/>
    <cellStyle name="Calculation 2 2 2 2 4" xfId="1160"/>
    <cellStyle name="Calculation 2 2 2 2 4 2" xfId="1789"/>
    <cellStyle name="Calculation 2 2 2 2 4 2 2" xfId="2929"/>
    <cellStyle name="Calculation 2 2 2 2 4 2 2 2" xfId="6349"/>
    <cellStyle name="Calculation 2 2 2 2 4 2 2 2 2" xfId="13189"/>
    <cellStyle name="Calculation 2 2 2 2 4 2 2 3" xfId="9769"/>
    <cellStyle name="Calculation 2 2 2 2 4 2 3" xfId="4069"/>
    <cellStyle name="Calculation 2 2 2 2 4 2 3 2" xfId="7489"/>
    <cellStyle name="Calculation 2 2 2 2 4 2 3 2 2" xfId="14329"/>
    <cellStyle name="Calculation 2 2 2 2 4 2 3 3" xfId="10909"/>
    <cellStyle name="Calculation 2 2 2 2 4 2 4" xfId="5209"/>
    <cellStyle name="Calculation 2 2 2 2 4 2 4 2" xfId="12049"/>
    <cellStyle name="Calculation 2 2 2 2 4 2 5" xfId="8629"/>
    <cellStyle name="Calculation 2 2 2 2 4 3" xfId="1979"/>
    <cellStyle name="Calculation 2 2 2 2 4 3 2" xfId="5399"/>
    <cellStyle name="Calculation 2 2 2 2 4 3 2 2" xfId="12239"/>
    <cellStyle name="Calculation 2 2 2 2 4 3 3" xfId="8819"/>
    <cellStyle name="Calculation 2 2 2 2 4 4" xfId="3119"/>
    <cellStyle name="Calculation 2 2 2 2 4 4 2" xfId="6539"/>
    <cellStyle name="Calculation 2 2 2 2 4 4 2 2" xfId="13379"/>
    <cellStyle name="Calculation 2 2 2 2 4 4 3" xfId="9959"/>
    <cellStyle name="Calculation 2 2 2 2 4 5" xfId="4259"/>
    <cellStyle name="Calculation 2 2 2 2 4 5 2" xfId="11099"/>
    <cellStyle name="Calculation 2 2 2 2 4 6" xfId="7679"/>
    <cellStyle name="Calculation 2 2 2 2 5" xfId="15588"/>
    <cellStyle name="Calculation 2 2 2 2 6" xfId="23900"/>
    <cellStyle name="Calculation 2 2 2 2 7" xfId="38216"/>
    <cellStyle name="Calculation 2 2 2 2 8" xfId="50910"/>
    <cellStyle name="Calculation 2 2 2 2 9" xfId="60650"/>
    <cellStyle name="Calculation 2 2 2 3" xfId="318"/>
    <cellStyle name="Calculation 2 2 2 3 2" xfId="175"/>
    <cellStyle name="Calculation 2 2 2 3 2 2" xfId="1183"/>
    <cellStyle name="Calculation 2 2 2 3 2 2 2" xfId="1036"/>
    <cellStyle name="Calculation 2 2 2 3 2 2 2 2" xfId="2716"/>
    <cellStyle name="Calculation 2 2 2 3 2 2 2 2 2" xfId="6136"/>
    <cellStyle name="Calculation 2 2 2 3 2 2 2 2 2 2" xfId="12976"/>
    <cellStyle name="Calculation 2 2 2 3 2 2 2 2 3" xfId="9556"/>
    <cellStyle name="Calculation 2 2 2 3 2 2 2 3" xfId="3856"/>
    <cellStyle name="Calculation 2 2 2 3 2 2 2 3 2" xfId="7276"/>
    <cellStyle name="Calculation 2 2 2 3 2 2 2 3 2 2" xfId="14116"/>
    <cellStyle name="Calculation 2 2 2 3 2 2 2 3 3" xfId="10696"/>
    <cellStyle name="Calculation 2 2 2 3 2 2 2 4" xfId="4996"/>
    <cellStyle name="Calculation 2 2 2 3 2 2 2 4 2" xfId="11836"/>
    <cellStyle name="Calculation 2 2 2 3 2 2 2 5" xfId="8416"/>
    <cellStyle name="Calculation 2 2 2 3 2 2 3" xfId="2002"/>
    <cellStyle name="Calculation 2 2 2 3 2 2 3 2" xfId="5422"/>
    <cellStyle name="Calculation 2 2 2 3 2 2 3 2 2" xfId="12262"/>
    <cellStyle name="Calculation 2 2 2 3 2 2 3 3" xfId="8842"/>
    <cellStyle name="Calculation 2 2 2 3 2 2 4" xfId="3142"/>
    <cellStyle name="Calculation 2 2 2 3 2 2 4 2" xfId="6562"/>
    <cellStyle name="Calculation 2 2 2 3 2 2 4 2 2" xfId="13402"/>
    <cellStyle name="Calculation 2 2 2 3 2 2 4 3" xfId="9982"/>
    <cellStyle name="Calculation 2 2 2 3 2 2 5" xfId="4282"/>
    <cellStyle name="Calculation 2 2 2 3 2 2 5 2" xfId="11122"/>
    <cellStyle name="Calculation 2 2 2 3 2 2 6" xfId="7702"/>
    <cellStyle name="Calculation 2 2 2 3 2 3" xfId="38234"/>
    <cellStyle name="Calculation 2 2 2 3 2 4" xfId="50911"/>
    <cellStyle name="Calculation 2 2 2 3 2 5" xfId="50912"/>
    <cellStyle name="Calculation 2 2 2 3 2 6" xfId="50913"/>
    <cellStyle name="Calculation 2 2 2 3 2 7" xfId="50914"/>
    <cellStyle name="Calculation 2 2 2 3 2 8" xfId="60655"/>
    <cellStyle name="Calculation 2 2 2 3 3" xfId="1323"/>
    <cellStyle name="Calculation 2 2 2 3 3 2" xfId="1876"/>
    <cellStyle name="Calculation 2 2 2 3 3 2 2" xfId="3016"/>
    <cellStyle name="Calculation 2 2 2 3 3 2 2 2" xfId="6436"/>
    <cellStyle name="Calculation 2 2 2 3 3 2 2 2 2" xfId="13276"/>
    <cellStyle name="Calculation 2 2 2 3 3 2 2 3" xfId="9856"/>
    <cellStyle name="Calculation 2 2 2 3 3 2 3" xfId="4156"/>
    <cellStyle name="Calculation 2 2 2 3 3 2 3 2" xfId="7576"/>
    <cellStyle name="Calculation 2 2 2 3 3 2 3 2 2" xfId="14416"/>
    <cellStyle name="Calculation 2 2 2 3 3 2 3 3" xfId="10996"/>
    <cellStyle name="Calculation 2 2 2 3 3 2 4" xfId="5296"/>
    <cellStyle name="Calculation 2 2 2 3 3 2 4 2" xfId="12136"/>
    <cellStyle name="Calculation 2 2 2 3 3 2 5" xfId="8716"/>
    <cellStyle name="Calculation 2 2 2 3 3 3" xfId="2144"/>
    <cellStyle name="Calculation 2 2 2 3 3 3 2" xfId="5564"/>
    <cellStyle name="Calculation 2 2 2 3 3 3 2 2" xfId="12404"/>
    <cellStyle name="Calculation 2 2 2 3 3 3 3" xfId="8984"/>
    <cellStyle name="Calculation 2 2 2 3 3 4" xfId="3284"/>
    <cellStyle name="Calculation 2 2 2 3 3 4 2" xfId="6704"/>
    <cellStyle name="Calculation 2 2 2 3 3 4 2 2" xfId="13544"/>
    <cellStyle name="Calculation 2 2 2 3 3 4 3" xfId="10124"/>
    <cellStyle name="Calculation 2 2 2 3 3 5" xfId="4424"/>
    <cellStyle name="Calculation 2 2 2 3 3 5 2" xfId="11264"/>
    <cellStyle name="Calculation 2 2 2 3 3 6" xfId="7844"/>
    <cellStyle name="Calculation 2 2 2 3 4" xfId="16558"/>
    <cellStyle name="Calculation 2 2 2 3 5" xfId="24871"/>
    <cellStyle name="Calculation 2 2 2 3 6" xfId="32131"/>
    <cellStyle name="Calculation 2 2 2 3 7" xfId="50915"/>
    <cellStyle name="Calculation 2 2 2 3 8" xfId="50916"/>
    <cellStyle name="Calculation 2 2 2 3 9" xfId="60654"/>
    <cellStyle name="Calculation 2 2 2 4" xfId="219"/>
    <cellStyle name="Calculation 2 2 2 4 2" xfId="531"/>
    <cellStyle name="Calculation 2 2 2 4 2 2" xfId="1535"/>
    <cellStyle name="Calculation 2 2 2 4 2 2 2" xfId="1792"/>
    <cellStyle name="Calculation 2 2 2 4 2 2 2 2" xfId="2932"/>
    <cellStyle name="Calculation 2 2 2 4 2 2 2 2 2" xfId="6352"/>
    <cellStyle name="Calculation 2 2 2 4 2 2 2 2 2 2" xfId="13192"/>
    <cellStyle name="Calculation 2 2 2 4 2 2 2 2 3" xfId="9772"/>
    <cellStyle name="Calculation 2 2 2 4 2 2 2 3" xfId="4072"/>
    <cellStyle name="Calculation 2 2 2 4 2 2 2 3 2" xfId="7492"/>
    <cellStyle name="Calculation 2 2 2 4 2 2 2 3 2 2" xfId="14332"/>
    <cellStyle name="Calculation 2 2 2 4 2 2 2 3 3" xfId="10912"/>
    <cellStyle name="Calculation 2 2 2 4 2 2 2 4" xfId="5212"/>
    <cellStyle name="Calculation 2 2 2 4 2 2 2 4 2" xfId="12052"/>
    <cellStyle name="Calculation 2 2 2 4 2 2 2 5" xfId="8632"/>
    <cellStyle name="Calculation 2 2 2 4 2 2 3" xfId="2356"/>
    <cellStyle name="Calculation 2 2 2 4 2 2 3 2" xfId="5776"/>
    <cellStyle name="Calculation 2 2 2 4 2 2 3 2 2" xfId="12616"/>
    <cellStyle name="Calculation 2 2 2 4 2 2 3 3" xfId="9196"/>
    <cellStyle name="Calculation 2 2 2 4 2 2 4" xfId="3496"/>
    <cellStyle name="Calculation 2 2 2 4 2 2 4 2" xfId="6916"/>
    <cellStyle name="Calculation 2 2 2 4 2 2 4 2 2" xfId="13756"/>
    <cellStyle name="Calculation 2 2 2 4 2 2 4 3" xfId="10336"/>
    <cellStyle name="Calculation 2 2 2 4 2 2 5" xfId="4636"/>
    <cellStyle name="Calculation 2 2 2 4 2 2 5 2" xfId="11476"/>
    <cellStyle name="Calculation 2 2 2 4 2 2 6" xfId="8056"/>
    <cellStyle name="Calculation 2 2 2 4 2 3" xfId="38450"/>
    <cellStyle name="Calculation 2 2 2 4 2 4" xfId="50917"/>
    <cellStyle name="Calculation 2 2 2 4 2 5" xfId="50918"/>
    <cellStyle name="Calculation 2 2 2 4 2 6" xfId="50919"/>
    <cellStyle name="Calculation 2 2 2 4 2 7" xfId="50920"/>
    <cellStyle name="Calculation 2 2 2 4 2 8" xfId="60657"/>
    <cellStyle name="Calculation 2 2 2 4 3" xfId="1226"/>
    <cellStyle name="Calculation 2 2 2 4 3 2" xfId="1729"/>
    <cellStyle name="Calculation 2 2 2 4 3 2 2" xfId="2869"/>
    <cellStyle name="Calculation 2 2 2 4 3 2 2 2" xfId="6289"/>
    <cellStyle name="Calculation 2 2 2 4 3 2 2 2 2" xfId="13129"/>
    <cellStyle name="Calculation 2 2 2 4 3 2 2 3" xfId="9709"/>
    <cellStyle name="Calculation 2 2 2 4 3 2 3" xfId="4009"/>
    <cellStyle name="Calculation 2 2 2 4 3 2 3 2" xfId="7429"/>
    <cellStyle name="Calculation 2 2 2 4 3 2 3 2 2" xfId="14269"/>
    <cellStyle name="Calculation 2 2 2 4 3 2 3 3" xfId="10849"/>
    <cellStyle name="Calculation 2 2 2 4 3 2 4" xfId="5149"/>
    <cellStyle name="Calculation 2 2 2 4 3 2 4 2" xfId="11989"/>
    <cellStyle name="Calculation 2 2 2 4 3 2 5" xfId="8569"/>
    <cellStyle name="Calculation 2 2 2 4 3 3" xfId="2046"/>
    <cellStyle name="Calculation 2 2 2 4 3 3 2" xfId="5466"/>
    <cellStyle name="Calculation 2 2 2 4 3 3 2 2" xfId="12306"/>
    <cellStyle name="Calculation 2 2 2 4 3 3 3" xfId="8886"/>
    <cellStyle name="Calculation 2 2 2 4 3 4" xfId="3186"/>
    <cellStyle name="Calculation 2 2 2 4 3 4 2" xfId="6606"/>
    <cellStyle name="Calculation 2 2 2 4 3 4 2 2" xfId="13446"/>
    <cellStyle name="Calculation 2 2 2 4 3 4 3" xfId="10026"/>
    <cellStyle name="Calculation 2 2 2 4 3 5" xfId="4326"/>
    <cellStyle name="Calculation 2 2 2 4 3 5 2" xfId="11166"/>
    <cellStyle name="Calculation 2 2 2 4 3 6" xfId="7746"/>
    <cellStyle name="Calculation 2 2 2 4 4" xfId="17576"/>
    <cellStyle name="Calculation 2 2 2 4 5" xfId="25895"/>
    <cellStyle name="Calculation 2 2 2 4 6" xfId="33108"/>
    <cellStyle name="Calculation 2 2 2 4 7" xfId="50921"/>
    <cellStyle name="Calculation 2 2 2 4 8" xfId="50922"/>
    <cellStyle name="Calculation 2 2 2 4 9" xfId="60656"/>
    <cellStyle name="Calculation 2 2 2 5" xfId="481"/>
    <cellStyle name="Calculation 2 2 2 5 2" xfId="437"/>
    <cellStyle name="Calculation 2 2 2 5 2 2" xfId="1441"/>
    <cellStyle name="Calculation 2 2 2 5 2 2 2" xfId="1683"/>
    <cellStyle name="Calculation 2 2 2 5 2 2 2 2" xfId="2823"/>
    <cellStyle name="Calculation 2 2 2 5 2 2 2 2 2" xfId="6243"/>
    <cellStyle name="Calculation 2 2 2 5 2 2 2 2 2 2" xfId="13083"/>
    <cellStyle name="Calculation 2 2 2 5 2 2 2 2 3" xfId="9663"/>
    <cellStyle name="Calculation 2 2 2 5 2 2 2 3" xfId="3963"/>
    <cellStyle name="Calculation 2 2 2 5 2 2 2 3 2" xfId="7383"/>
    <cellStyle name="Calculation 2 2 2 5 2 2 2 3 2 2" xfId="14223"/>
    <cellStyle name="Calculation 2 2 2 5 2 2 2 3 3" xfId="10803"/>
    <cellStyle name="Calculation 2 2 2 5 2 2 2 4" xfId="5103"/>
    <cellStyle name="Calculation 2 2 2 5 2 2 2 4 2" xfId="11943"/>
    <cellStyle name="Calculation 2 2 2 5 2 2 2 5" xfId="8523"/>
    <cellStyle name="Calculation 2 2 2 5 2 2 3" xfId="2262"/>
    <cellStyle name="Calculation 2 2 2 5 2 2 3 2" xfId="5682"/>
    <cellStyle name="Calculation 2 2 2 5 2 2 3 2 2" xfId="12522"/>
    <cellStyle name="Calculation 2 2 2 5 2 2 3 3" xfId="9102"/>
    <cellStyle name="Calculation 2 2 2 5 2 2 4" xfId="3402"/>
    <cellStyle name="Calculation 2 2 2 5 2 2 4 2" xfId="6822"/>
    <cellStyle name="Calculation 2 2 2 5 2 2 4 2 2" xfId="13662"/>
    <cellStyle name="Calculation 2 2 2 5 2 2 4 3" xfId="10242"/>
    <cellStyle name="Calculation 2 2 2 5 2 2 5" xfId="4542"/>
    <cellStyle name="Calculation 2 2 2 5 2 2 5 2" xfId="11382"/>
    <cellStyle name="Calculation 2 2 2 5 2 2 6" xfId="7962"/>
    <cellStyle name="Calculation 2 2 2 5 2 3" xfId="38400"/>
    <cellStyle name="Calculation 2 2 2 5 2 4" xfId="50923"/>
    <cellStyle name="Calculation 2 2 2 5 2 5" xfId="50924"/>
    <cellStyle name="Calculation 2 2 2 5 2 6" xfId="50925"/>
    <cellStyle name="Calculation 2 2 2 5 2 7" xfId="50926"/>
    <cellStyle name="Calculation 2 2 2 5 2 8" xfId="60659"/>
    <cellStyle name="Calculation 2 2 2 5 3" xfId="1485"/>
    <cellStyle name="Calculation 2 2 2 5 3 2" xfId="867"/>
    <cellStyle name="Calculation 2 2 2 5 3 2 2" xfId="2663"/>
    <cellStyle name="Calculation 2 2 2 5 3 2 2 2" xfId="6083"/>
    <cellStyle name="Calculation 2 2 2 5 3 2 2 2 2" xfId="12923"/>
    <cellStyle name="Calculation 2 2 2 5 3 2 2 3" xfId="9503"/>
    <cellStyle name="Calculation 2 2 2 5 3 2 3" xfId="3803"/>
    <cellStyle name="Calculation 2 2 2 5 3 2 3 2" xfId="7223"/>
    <cellStyle name="Calculation 2 2 2 5 3 2 3 2 2" xfId="14063"/>
    <cellStyle name="Calculation 2 2 2 5 3 2 3 3" xfId="10643"/>
    <cellStyle name="Calculation 2 2 2 5 3 2 4" xfId="4943"/>
    <cellStyle name="Calculation 2 2 2 5 3 2 4 2" xfId="11783"/>
    <cellStyle name="Calculation 2 2 2 5 3 2 5" xfId="8363"/>
    <cellStyle name="Calculation 2 2 2 5 3 3" xfId="2306"/>
    <cellStyle name="Calculation 2 2 2 5 3 3 2" xfId="5726"/>
    <cellStyle name="Calculation 2 2 2 5 3 3 2 2" xfId="12566"/>
    <cellStyle name="Calculation 2 2 2 5 3 3 3" xfId="9146"/>
    <cellStyle name="Calculation 2 2 2 5 3 4" xfId="3446"/>
    <cellStyle name="Calculation 2 2 2 5 3 4 2" xfId="6866"/>
    <cellStyle name="Calculation 2 2 2 5 3 4 2 2" xfId="13706"/>
    <cellStyle name="Calculation 2 2 2 5 3 4 3" xfId="10286"/>
    <cellStyle name="Calculation 2 2 2 5 3 5" xfId="4586"/>
    <cellStyle name="Calculation 2 2 2 5 3 5 2" xfId="11426"/>
    <cellStyle name="Calculation 2 2 2 5 3 6" xfId="8006"/>
    <cellStyle name="Calculation 2 2 2 5 4" xfId="16545"/>
    <cellStyle name="Calculation 2 2 2 5 5" xfId="24858"/>
    <cellStyle name="Calculation 2 2 2 5 6" xfId="32118"/>
    <cellStyle name="Calculation 2 2 2 5 7" xfId="50927"/>
    <cellStyle name="Calculation 2 2 2 5 8" xfId="50928"/>
    <cellStyle name="Calculation 2 2 2 5 9" xfId="60658"/>
    <cellStyle name="Calculation 2 2 2 6" xfId="486"/>
    <cellStyle name="Calculation 2 2 2 6 2" xfId="187"/>
    <cellStyle name="Calculation 2 2 2 6 2 2" xfId="1195"/>
    <cellStyle name="Calculation 2 2 2 6 2 2 2" xfId="1030"/>
    <cellStyle name="Calculation 2 2 2 6 2 2 2 2" xfId="2612"/>
    <cellStyle name="Calculation 2 2 2 6 2 2 2 2 2" xfId="6032"/>
    <cellStyle name="Calculation 2 2 2 6 2 2 2 2 2 2" xfId="12872"/>
    <cellStyle name="Calculation 2 2 2 6 2 2 2 2 3" xfId="9452"/>
    <cellStyle name="Calculation 2 2 2 6 2 2 2 3" xfId="3752"/>
    <cellStyle name="Calculation 2 2 2 6 2 2 2 3 2" xfId="7172"/>
    <cellStyle name="Calculation 2 2 2 6 2 2 2 3 2 2" xfId="14012"/>
    <cellStyle name="Calculation 2 2 2 6 2 2 2 3 3" xfId="10592"/>
    <cellStyle name="Calculation 2 2 2 6 2 2 2 4" xfId="4892"/>
    <cellStyle name="Calculation 2 2 2 6 2 2 2 4 2" xfId="11732"/>
    <cellStyle name="Calculation 2 2 2 6 2 2 2 5" xfId="8312"/>
    <cellStyle name="Calculation 2 2 2 6 2 2 3" xfId="2014"/>
    <cellStyle name="Calculation 2 2 2 6 2 2 3 2" xfId="5434"/>
    <cellStyle name="Calculation 2 2 2 6 2 2 3 2 2" xfId="12274"/>
    <cellStyle name="Calculation 2 2 2 6 2 2 3 3" xfId="8854"/>
    <cellStyle name="Calculation 2 2 2 6 2 2 4" xfId="3154"/>
    <cellStyle name="Calculation 2 2 2 6 2 2 4 2" xfId="6574"/>
    <cellStyle name="Calculation 2 2 2 6 2 2 4 2 2" xfId="13414"/>
    <cellStyle name="Calculation 2 2 2 6 2 2 4 3" xfId="9994"/>
    <cellStyle name="Calculation 2 2 2 6 2 2 5" xfId="4294"/>
    <cellStyle name="Calculation 2 2 2 6 2 2 5 2" xfId="11134"/>
    <cellStyle name="Calculation 2 2 2 6 2 2 6" xfId="7714"/>
    <cellStyle name="Calculation 2 2 2 6 2 3" xfId="38242"/>
    <cellStyle name="Calculation 2 2 2 6 2 4" xfId="50929"/>
    <cellStyle name="Calculation 2 2 2 6 2 5" xfId="50930"/>
    <cellStyle name="Calculation 2 2 2 6 2 6" xfId="50931"/>
    <cellStyle name="Calculation 2 2 2 6 2 7" xfId="50932"/>
    <cellStyle name="Calculation 2 2 2 6 2 8" xfId="60661"/>
    <cellStyle name="Calculation 2 2 2 6 3" xfId="1490"/>
    <cellStyle name="Calculation 2 2 2 6 3 2" xfId="864"/>
    <cellStyle name="Calculation 2 2 2 6 3 2 2" xfId="2579"/>
    <cellStyle name="Calculation 2 2 2 6 3 2 2 2" xfId="5999"/>
    <cellStyle name="Calculation 2 2 2 6 3 2 2 2 2" xfId="12839"/>
    <cellStyle name="Calculation 2 2 2 6 3 2 2 3" xfId="9419"/>
    <cellStyle name="Calculation 2 2 2 6 3 2 3" xfId="3719"/>
    <cellStyle name="Calculation 2 2 2 6 3 2 3 2" xfId="7139"/>
    <cellStyle name="Calculation 2 2 2 6 3 2 3 2 2" xfId="13979"/>
    <cellStyle name="Calculation 2 2 2 6 3 2 3 3" xfId="10559"/>
    <cellStyle name="Calculation 2 2 2 6 3 2 4" xfId="4859"/>
    <cellStyle name="Calculation 2 2 2 6 3 2 4 2" xfId="11699"/>
    <cellStyle name="Calculation 2 2 2 6 3 2 5" xfId="8279"/>
    <cellStyle name="Calculation 2 2 2 6 3 3" xfId="2311"/>
    <cellStyle name="Calculation 2 2 2 6 3 3 2" xfId="5731"/>
    <cellStyle name="Calculation 2 2 2 6 3 3 2 2" xfId="12571"/>
    <cellStyle name="Calculation 2 2 2 6 3 3 3" xfId="9151"/>
    <cellStyle name="Calculation 2 2 2 6 3 4" xfId="3451"/>
    <cellStyle name="Calculation 2 2 2 6 3 4 2" xfId="6871"/>
    <cellStyle name="Calculation 2 2 2 6 3 4 2 2" xfId="13711"/>
    <cellStyle name="Calculation 2 2 2 6 3 4 3" xfId="10291"/>
    <cellStyle name="Calculation 2 2 2 6 3 5" xfId="4591"/>
    <cellStyle name="Calculation 2 2 2 6 3 5 2" xfId="11431"/>
    <cellStyle name="Calculation 2 2 2 6 3 6" xfId="8011"/>
    <cellStyle name="Calculation 2 2 2 6 4" xfId="15492"/>
    <cellStyle name="Calculation 2 2 2 6 5" xfId="23832"/>
    <cellStyle name="Calculation 2 2 2 6 6" xfId="31181"/>
    <cellStyle name="Calculation 2 2 2 6 7" xfId="50933"/>
    <cellStyle name="Calculation 2 2 2 6 8" xfId="50934"/>
    <cellStyle name="Calculation 2 2 2 6 9" xfId="60660"/>
    <cellStyle name="Calculation 2 2 2 7" xfId="1109"/>
    <cellStyle name="Calculation 2 2 2 7 2" xfId="1772"/>
    <cellStyle name="Calculation 2 2 2 7 2 2" xfId="2912"/>
    <cellStyle name="Calculation 2 2 2 7 2 2 2" xfId="6332"/>
    <cellStyle name="Calculation 2 2 2 7 2 2 2 2" xfId="13172"/>
    <cellStyle name="Calculation 2 2 2 7 2 2 3" xfId="9752"/>
    <cellStyle name="Calculation 2 2 2 7 2 3" xfId="4052"/>
    <cellStyle name="Calculation 2 2 2 7 2 3 2" xfId="7472"/>
    <cellStyle name="Calculation 2 2 2 7 2 3 2 2" xfId="14312"/>
    <cellStyle name="Calculation 2 2 2 7 2 3 3" xfId="10892"/>
    <cellStyle name="Calculation 2 2 2 7 2 4" xfId="5192"/>
    <cellStyle name="Calculation 2 2 2 7 2 4 2" xfId="12032"/>
    <cellStyle name="Calculation 2 2 2 7 2 5" xfId="8612"/>
    <cellStyle name="Calculation 2 2 2 7 3" xfId="1918"/>
    <cellStyle name="Calculation 2 2 2 7 3 2" xfId="5338"/>
    <cellStyle name="Calculation 2 2 2 7 3 2 2" xfId="12178"/>
    <cellStyle name="Calculation 2 2 2 7 3 3" xfId="8758"/>
    <cellStyle name="Calculation 2 2 2 7 4" xfId="3058"/>
    <cellStyle name="Calculation 2 2 2 7 4 2" xfId="6478"/>
    <cellStyle name="Calculation 2 2 2 7 4 2 2" xfId="13318"/>
    <cellStyle name="Calculation 2 2 2 7 4 3" xfId="9898"/>
    <cellStyle name="Calculation 2 2 2 7 5" xfId="4198"/>
    <cellStyle name="Calculation 2 2 2 7 5 2" xfId="11038"/>
    <cellStyle name="Calculation 2 2 2 7 6" xfId="7618"/>
    <cellStyle name="Calculation 2 2 2 7 7" xfId="15502"/>
    <cellStyle name="Calculation 2 2 2 7 8" xfId="23843"/>
    <cellStyle name="Calculation 2 2 2 7 9" xfId="31192"/>
    <cellStyle name="Calculation 2 2 2 8" xfId="21273"/>
    <cellStyle name="Calculation 2 2 2 8 2" xfId="29581"/>
    <cellStyle name="Calculation 2 2 2 8 2 2" xfId="50935"/>
    <cellStyle name="Calculation 2 2 2 8 2 3" xfId="50936"/>
    <cellStyle name="Calculation 2 2 2 8 3" xfId="36648"/>
    <cellStyle name="Calculation 2 2 2 8 4" xfId="50937"/>
    <cellStyle name="Calculation 2 2 2 9" xfId="21149"/>
    <cellStyle name="Calculation 2 2 2 9 2" xfId="29461"/>
    <cellStyle name="Calculation 2 2 2 9 2 2" xfId="50938"/>
    <cellStyle name="Calculation 2 2 2 9 2 3" xfId="50939"/>
    <cellStyle name="Calculation 2 2 2 9 3" xfId="36533"/>
    <cellStyle name="Calculation 2 2 2 9 4" xfId="50940"/>
    <cellStyle name="Calculation 2 2 20" xfId="14902"/>
    <cellStyle name="Calculation 2 2 20 10" xfId="23265"/>
    <cellStyle name="Calculation 2 2 20 11" xfId="50941"/>
    <cellStyle name="Calculation 2 2 20 2" xfId="15983"/>
    <cellStyle name="Calculation 2 2 20 2 2" xfId="24300"/>
    <cellStyle name="Calculation 2 2 20 2 2 2" xfId="50942"/>
    <cellStyle name="Calculation 2 2 20 2 2 3" xfId="50943"/>
    <cellStyle name="Calculation 2 2 20 2 3" xfId="31580"/>
    <cellStyle name="Calculation 2 2 20 2 4" xfId="50944"/>
    <cellStyle name="Calculation 2 2 20 3" xfId="16949"/>
    <cellStyle name="Calculation 2 2 20 3 2" xfId="25272"/>
    <cellStyle name="Calculation 2 2 20 3 2 2" xfId="50945"/>
    <cellStyle name="Calculation 2 2 20 3 2 3" xfId="50946"/>
    <cellStyle name="Calculation 2 2 20 3 3" xfId="32513"/>
    <cellStyle name="Calculation 2 2 20 3 4" xfId="50947"/>
    <cellStyle name="Calculation 2 2 20 4" xfId="17976"/>
    <cellStyle name="Calculation 2 2 20 4 2" xfId="26298"/>
    <cellStyle name="Calculation 2 2 20 4 2 2" xfId="50948"/>
    <cellStyle name="Calculation 2 2 20 4 2 3" xfId="50949"/>
    <cellStyle name="Calculation 2 2 20 4 3" xfId="33490"/>
    <cellStyle name="Calculation 2 2 20 4 4" xfId="50950"/>
    <cellStyle name="Calculation 2 2 20 5" xfId="18960"/>
    <cellStyle name="Calculation 2 2 20 5 2" xfId="27280"/>
    <cellStyle name="Calculation 2 2 20 5 2 2" xfId="50951"/>
    <cellStyle name="Calculation 2 2 20 5 2 3" xfId="50952"/>
    <cellStyle name="Calculation 2 2 20 5 3" xfId="34431"/>
    <cellStyle name="Calculation 2 2 20 5 4" xfId="50953"/>
    <cellStyle name="Calculation 2 2 20 6" xfId="19928"/>
    <cellStyle name="Calculation 2 2 20 6 2" xfId="28250"/>
    <cellStyle name="Calculation 2 2 20 6 2 2" xfId="50954"/>
    <cellStyle name="Calculation 2 2 20 6 2 3" xfId="50955"/>
    <cellStyle name="Calculation 2 2 20 6 3" xfId="35378"/>
    <cellStyle name="Calculation 2 2 20 6 4" xfId="50956"/>
    <cellStyle name="Calculation 2 2 20 7" xfId="20886"/>
    <cellStyle name="Calculation 2 2 20 7 2" xfId="29205"/>
    <cellStyle name="Calculation 2 2 20 7 2 2" xfId="50957"/>
    <cellStyle name="Calculation 2 2 20 7 2 3" xfId="50958"/>
    <cellStyle name="Calculation 2 2 20 7 3" xfId="36288"/>
    <cellStyle name="Calculation 2 2 20 7 4" xfId="50959"/>
    <cellStyle name="Calculation 2 2 20 8" xfId="21393"/>
    <cellStyle name="Calculation 2 2 20 8 2" xfId="29696"/>
    <cellStyle name="Calculation 2 2 20 8 2 2" xfId="50960"/>
    <cellStyle name="Calculation 2 2 20 8 2 3" xfId="50961"/>
    <cellStyle name="Calculation 2 2 20 8 3" xfId="36758"/>
    <cellStyle name="Calculation 2 2 20 8 4" xfId="50962"/>
    <cellStyle name="Calculation 2 2 20 9" xfId="22321"/>
    <cellStyle name="Calculation 2 2 20 9 2" xfId="30619"/>
    <cellStyle name="Calculation 2 2 20 9 2 2" xfId="50963"/>
    <cellStyle name="Calculation 2 2 20 9 2 3" xfId="50964"/>
    <cellStyle name="Calculation 2 2 20 9 3" xfId="37641"/>
    <cellStyle name="Calculation 2 2 20 9 4" xfId="50965"/>
    <cellStyle name="Calculation 2 2 21" xfId="14962"/>
    <cellStyle name="Calculation 2 2 21 10" xfId="23323"/>
    <cellStyle name="Calculation 2 2 21 11" xfId="50966"/>
    <cellStyle name="Calculation 2 2 21 2" xfId="16043"/>
    <cellStyle name="Calculation 2 2 21 2 2" xfId="24358"/>
    <cellStyle name="Calculation 2 2 21 2 2 2" xfId="50967"/>
    <cellStyle name="Calculation 2 2 21 2 2 3" xfId="50968"/>
    <cellStyle name="Calculation 2 2 21 2 3" xfId="31637"/>
    <cellStyle name="Calculation 2 2 21 2 4" xfId="50969"/>
    <cellStyle name="Calculation 2 2 21 3" xfId="17009"/>
    <cellStyle name="Calculation 2 2 21 3 2" xfId="25330"/>
    <cellStyle name="Calculation 2 2 21 3 2 2" xfId="50970"/>
    <cellStyle name="Calculation 2 2 21 3 2 3" xfId="50971"/>
    <cellStyle name="Calculation 2 2 21 3 3" xfId="32570"/>
    <cellStyle name="Calculation 2 2 21 3 4" xfId="50972"/>
    <cellStyle name="Calculation 2 2 21 4" xfId="18036"/>
    <cellStyle name="Calculation 2 2 21 4 2" xfId="26356"/>
    <cellStyle name="Calculation 2 2 21 4 2 2" xfId="50973"/>
    <cellStyle name="Calculation 2 2 21 4 2 3" xfId="50974"/>
    <cellStyle name="Calculation 2 2 21 4 3" xfId="33547"/>
    <cellStyle name="Calculation 2 2 21 4 4" xfId="50975"/>
    <cellStyle name="Calculation 2 2 21 5" xfId="19020"/>
    <cellStyle name="Calculation 2 2 21 5 2" xfId="27340"/>
    <cellStyle name="Calculation 2 2 21 5 2 2" xfId="50976"/>
    <cellStyle name="Calculation 2 2 21 5 2 3" xfId="50977"/>
    <cellStyle name="Calculation 2 2 21 5 3" xfId="34490"/>
    <cellStyle name="Calculation 2 2 21 5 4" xfId="50978"/>
    <cellStyle name="Calculation 2 2 21 6" xfId="19988"/>
    <cellStyle name="Calculation 2 2 21 6 2" xfId="28310"/>
    <cellStyle name="Calculation 2 2 21 6 2 2" xfId="50979"/>
    <cellStyle name="Calculation 2 2 21 6 2 3" xfId="50980"/>
    <cellStyle name="Calculation 2 2 21 6 3" xfId="35437"/>
    <cellStyle name="Calculation 2 2 21 6 4" xfId="50981"/>
    <cellStyle name="Calculation 2 2 21 7" xfId="20946"/>
    <cellStyle name="Calculation 2 2 21 7 2" xfId="29263"/>
    <cellStyle name="Calculation 2 2 21 7 2 2" xfId="50982"/>
    <cellStyle name="Calculation 2 2 21 7 2 3" xfId="50983"/>
    <cellStyle name="Calculation 2 2 21 7 3" xfId="36345"/>
    <cellStyle name="Calculation 2 2 21 7 4" xfId="50984"/>
    <cellStyle name="Calculation 2 2 21 8" xfId="21453"/>
    <cellStyle name="Calculation 2 2 21 8 2" xfId="29754"/>
    <cellStyle name="Calculation 2 2 21 8 2 2" xfId="50985"/>
    <cellStyle name="Calculation 2 2 21 8 2 3" xfId="50986"/>
    <cellStyle name="Calculation 2 2 21 8 3" xfId="36815"/>
    <cellStyle name="Calculation 2 2 21 8 4" xfId="50987"/>
    <cellStyle name="Calculation 2 2 21 9" xfId="22381"/>
    <cellStyle name="Calculation 2 2 21 9 2" xfId="30677"/>
    <cellStyle name="Calculation 2 2 21 9 2 2" xfId="50988"/>
    <cellStyle name="Calculation 2 2 21 9 2 3" xfId="50989"/>
    <cellStyle name="Calculation 2 2 21 9 3" xfId="37698"/>
    <cellStyle name="Calculation 2 2 21 9 4" xfId="50990"/>
    <cellStyle name="Calculation 2 2 22" xfId="15022"/>
    <cellStyle name="Calculation 2 2 22 10" xfId="23382"/>
    <cellStyle name="Calculation 2 2 22 11" xfId="50991"/>
    <cellStyle name="Calculation 2 2 22 2" xfId="16102"/>
    <cellStyle name="Calculation 2 2 22 2 2" xfId="24417"/>
    <cellStyle name="Calculation 2 2 22 2 2 2" xfId="50992"/>
    <cellStyle name="Calculation 2 2 22 2 2 3" xfId="50993"/>
    <cellStyle name="Calculation 2 2 22 2 3" xfId="31695"/>
    <cellStyle name="Calculation 2 2 22 2 4" xfId="50994"/>
    <cellStyle name="Calculation 2 2 22 3" xfId="17069"/>
    <cellStyle name="Calculation 2 2 22 3 2" xfId="25390"/>
    <cellStyle name="Calculation 2 2 22 3 2 2" xfId="50995"/>
    <cellStyle name="Calculation 2 2 22 3 2 3" xfId="50996"/>
    <cellStyle name="Calculation 2 2 22 3 3" xfId="32629"/>
    <cellStyle name="Calculation 2 2 22 3 4" xfId="50997"/>
    <cellStyle name="Calculation 2 2 22 4" xfId="18096"/>
    <cellStyle name="Calculation 2 2 22 4 2" xfId="26416"/>
    <cellStyle name="Calculation 2 2 22 4 2 2" xfId="50998"/>
    <cellStyle name="Calculation 2 2 22 4 2 3" xfId="50999"/>
    <cellStyle name="Calculation 2 2 22 4 3" xfId="33606"/>
    <cellStyle name="Calculation 2 2 22 4 4" xfId="51000"/>
    <cellStyle name="Calculation 2 2 22 5" xfId="19080"/>
    <cellStyle name="Calculation 2 2 22 5 2" xfId="27400"/>
    <cellStyle name="Calculation 2 2 22 5 2 2" xfId="51001"/>
    <cellStyle name="Calculation 2 2 22 5 2 3" xfId="51002"/>
    <cellStyle name="Calculation 2 2 22 5 3" xfId="34549"/>
    <cellStyle name="Calculation 2 2 22 5 4" xfId="51003"/>
    <cellStyle name="Calculation 2 2 22 6" xfId="20048"/>
    <cellStyle name="Calculation 2 2 22 6 2" xfId="28370"/>
    <cellStyle name="Calculation 2 2 22 6 2 2" xfId="51004"/>
    <cellStyle name="Calculation 2 2 22 6 2 3" xfId="51005"/>
    <cellStyle name="Calculation 2 2 22 6 3" xfId="35496"/>
    <cellStyle name="Calculation 2 2 22 6 4" xfId="51006"/>
    <cellStyle name="Calculation 2 2 22 7" xfId="21005"/>
    <cellStyle name="Calculation 2 2 22 7 2" xfId="29322"/>
    <cellStyle name="Calculation 2 2 22 7 2 2" xfId="51007"/>
    <cellStyle name="Calculation 2 2 22 7 2 3" xfId="51008"/>
    <cellStyle name="Calculation 2 2 22 7 3" xfId="36403"/>
    <cellStyle name="Calculation 2 2 22 7 4" xfId="51009"/>
    <cellStyle name="Calculation 2 2 22 8" xfId="21512"/>
    <cellStyle name="Calculation 2 2 22 8 2" xfId="29813"/>
    <cellStyle name="Calculation 2 2 22 8 2 2" xfId="51010"/>
    <cellStyle name="Calculation 2 2 22 8 2 3" xfId="51011"/>
    <cellStyle name="Calculation 2 2 22 8 3" xfId="36873"/>
    <cellStyle name="Calculation 2 2 22 8 4" xfId="51012"/>
    <cellStyle name="Calculation 2 2 22 9" xfId="22440"/>
    <cellStyle name="Calculation 2 2 22 9 2" xfId="30736"/>
    <cellStyle name="Calculation 2 2 22 9 2 2" xfId="51013"/>
    <cellStyle name="Calculation 2 2 22 9 2 3" xfId="51014"/>
    <cellStyle name="Calculation 2 2 22 9 3" xfId="37756"/>
    <cellStyle name="Calculation 2 2 22 9 4" xfId="51015"/>
    <cellStyle name="Calculation 2 2 23" xfId="15076"/>
    <cellStyle name="Calculation 2 2 23 10" xfId="51016"/>
    <cellStyle name="Calculation 2 2 23 2" xfId="16156"/>
    <cellStyle name="Calculation 2 2 23 2 2" xfId="24470"/>
    <cellStyle name="Calculation 2 2 23 2 2 2" xfId="51017"/>
    <cellStyle name="Calculation 2 2 23 2 2 3" xfId="51018"/>
    <cellStyle name="Calculation 2 2 23 2 3" xfId="31747"/>
    <cellStyle name="Calculation 2 2 23 2 4" xfId="51019"/>
    <cellStyle name="Calculation 2 2 23 3" xfId="17123"/>
    <cellStyle name="Calculation 2 2 23 3 2" xfId="25444"/>
    <cellStyle name="Calculation 2 2 23 3 2 2" xfId="51020"/>
    <cellStyle name="Calculation 2 2 23 3 2 3" xfId="51021"/>
    <cellStyle name="Calculation 2 2 23 3 3" xfId="32681"/>
    <cellStyle name="Calculation 2 2 23 3 4" xfId="51022"/>
    <cellStyle name="Calculation 2 2 23 4" xfId="18150"/>
    <cellStyle name="Calculation 2 2 23 4 2" xfId="26470"/>
    <cellStyle name="Calculation 2 2 23 4 2 2" xfId="51023"/>
    <cellStyle name="Calculation 2 2 23 4 2 3" xfId="51024"/>
    <cellStyle name="Calculation 2 2 23 4 3" xfId="33658"/>
    <cellStyle name="Calculation 2 2 23 4 4" xfId="51025"/>
    <cellStyle name="Calculation 2 2 23 5" xfId="19134"/>
    <cellStyle name="Calculation 2 2 23 5 2" xfId="27454"/>
    <cellStyle name="Calculation 2 2 23 5 2 2" xfId="51026"/>
    <cellStyle name="Calculation 2 2 23 5 2 3" xfId="51027"/>
    <cellStyle name="Calculation 2 2 23 5 3" xfId="34602"/>
    <cellStyle name="Calculation 2 2 23 5 4" xfId="51028"/>
    <cellStyle name="Calculation 2 2 23 6" xfId="20102"/>
    <cellStyle name="Calculation 2 2 23 6 2" xfId="28424"/>
    <cellStyle name="Calculation 2 2 23 6 2 2" xfId="51029"/>
    <cellStyle name="Calculation 2 2 23 6 2 3" xfId="51030"/>
    <cellStyle name="Calculation 2 2 23 6 3" xfId="35549"/>
    <cellStyle name="Calculation 2 2 23 6 4" xfId="51031"/>
    <cellStyle name="Calculation 2 2 23 7" xfId="21565"/>
    <cellStyle name="Calculation 2 2 23 7 2" xfId="29866"/>
    <cellStyle name="Calculation 2 2 23 7 2 2" xfId="51032"/>
    <cellStyle name="Calculation 2 2 23 7 2 3" xfId="51033"/>
    <cellStyle name="Calculation 2 2 23 7 3" xfId="36925"/>
    <cellStyle name="Calculation 2 2 23 7 4" xfId="51034"/>
    <cellStyle name="Calculation 2 2 23 8" xfId="22493"/>
    <cellStyle name="Calculation 2 2 23 8 2" xfId="30789"/>
    <cellStyle name="Calculation 2 2 23 8 2 2" xfId="51035"/>
    <cellStyle name="Calculation 2 2 23 8 2 3" xfId="51036"/>
    <cellStyle name="Calculation 2 2 23 8 3" xfId="37808"/>
    <cellStyle name="Calculation 2 2 23 8 4" xfId="51037"/>
    <cellStyle name="Calculation 2 2 23 9" xfId="23435"/>
    <cellStyle name="Calculation 2 2 24" xfId="15136"/>
    <cellStyle name="Calculation 2 2 24 10" xfId="51038"/>
    <cellStyle name="Calculation 2 2 24 2" xfId="16216"/>
    <cellStyle name="Calculation 2 2 24 2 2" xfId="24529"/>
    <cellStyle name="Calculation 2 2 24 2 2 2" xfId="51039"/>
    <cellStyle name="Calculation 2 2 24 2 2 3" xfId="51040"/>
    <cellStyle name="Calculation 2 2 24 2 3" xfId="31804"/>
    <cellStyle name="Calculation 2 2 24 2 4" xfId="51041"/>
    <cellStyle name="Calculation 2 2 24 3" xfId="17182"/>
    <cellStyle name="Calculation 2 2 24 3 2" xfId="25503"/>
    <cellStyle name="Calculation 2 2 24 3 2 2" xfId="51042"/>
    <cellStyle name="Calculation 2 2 24 3 2 3" xfId="51043"/>
    <cellStyle name="Calculation 2 2 24 3 3" xfId="32737"/>
    <cellStyle name="Calculation 2 2 24 3 4" xfId="51044"/>
    <cellStyle name="Calculation 2 2 24 4" xfId="18210"/>
    <cellStyle name="Calculation 2 2 24 4 2" xfId="26530"/>
    <cellStyle name="Calculation 2 2 24 4 2 2" xfId="51045"/>
    <cellStyle name="Calculation 2 2 24 4 2 3" xfId="51046"/>
    <cellStyle name="Calculation 2 2 24 4 3" xfId="33715"/>
    <cellStyle name="Calculation 2 2 24 4 4" xfId="51047"/>
    <cellStyle name="Calculation 2 2 24 5" xfId="19194"/>
    <cellStyle name="Calculation 2 2 24 5 2" xfId="27514"/>
    <cellStyle name="Calculation 2 2 24 5 2 2" xfId="51048"/>
    <cellStyle name="Calculation 2 2 24 5 2 3" xfId="51049"/>
    <cellStyle name="Calculation 2 2 24 5 3" xfId="34662"/>
    <cellStyle name="Calculation 2 2 24 5 4" xfId="51050"/>
    <cellStyle name="Calculation 2 2 24 6" xfId="20162"/>
    <cellStyle name="Calculation 2 2 24 6 2" xfId="28484"/>
    <cellStyle name="Calculation 2 2 24 6 2 2" xfId="51051"/>
    <cellStyle name="Calculation 2 2 24 6 2 3" xfId="51052"/>
    <cellStyle name="Calculation 2 2 24 6 3" xfId="35607"/>
    <cellStyle name="Calculation 2 2 24 6 4" xfId="51053"/>
    <cellStyle name="Calculation 2 2 24 7" xfId="21623"/>
    <cellStyle name="Calculation 2 2 24 7 2" xfId="29924"/>
    <cellStyle name="Calculation 2 2 24 7 2 2" xfId="51054"/>
    <cellStyle name="Calculation 2 2 24 7 2 3" xfId="51055"/>
    <cellStyle name="Calculation 2 2 24 7 3" xfId="36981"/>
    <cellStyle name="Calculation 2 2 24 7 4" xfId="51056"/>
    <cellStyle name="Calculation 2 2 24 8" xfId="22551"/>
    <cellStyle name="Calculation 2 2 24 8 2" xfId="30847"/>
    <cellStyle name="Calculation 2 2 24 8 2 2" xfId="51057"/>
    <cellStyle name="Calculation 2 2 24 8 2 3" xfId="51058"/>
    <cellStyle name="Calculation 2 2 24 8 3" xfId="37864"/>
    <cellStyle name="Calculation 2 2 24 8 4" xfId="51059"/>
    <cellStyle name="Calculation 2 2 24 9" xfId="23493"/>
    <cellStyle name="Calculation 2 2 25" xfId="15155"/>
    <cellStyle name="Calculation 2 2 25 10" xfId="51060"/>
    <cellStyle name="Calculation 2 2 25 2" xfId="16235"/>
    <cellStyle name="Calculation 2 2 25 2 2" xfId="24548"/>
    <cellStyle name="Calculation 2 2 25 2 2 2" xfId="51061"/>
    <cellStyle name="Calculation 2 2 25 2 2 3" xfId="51062"/>
    <cellStyle name="Calculation 2 2 25 2 3" xfId="31821"/>
    <cellStyle name="Calculation 2 2 25 2 4" xfId="51063"/>
    <cellStyle name="Calculation 2 2 25 3" xfId="17201"/>
    <cellStyle name="Calculation 2 2 25 3 2" xfId="25522"/>
    <cellStyle name="Calculation 2 2 25 3 2 2" xfId="51064"/>
    <cellStyle name="Calculation 2 2 25 3 2 3" xfId="51065"/>
    <cellStyle name="Calculation 2 2 25 3 3" xfId="32754"/>
    <cellStyle name="Calculation 2 2 25 3 4" xfId="51066"/>
    <cellStyle name="Calculation 2 2 25 4" xfId="18229"/>
    <cellStyle name="Calculation 2 2 25 4 2" xfId="26549"/>
    <cellStyle name="Calculation 2 2 25 4 2 2" xfId="51067"/>
    <cellStyle name="Calculation 2 2 25 4 2 3" xfId="51068"/>
    <cellStyle name="Calculation 2 2 25 4 3" xfId="33732"/>
    <cellStyle name="Calculation 2 2 25 4 4" xfId="51069"/>
    <cellStyle name="Calculation 2 2 25 5" xfId="19213"/>
    <cellStyle name="Calculation 2 2 25 5 2" xfId="27533"/>
    <cellStyle name="Calculation 2 2 25 5 2 2" xfId="51070"/>
    <cellStyle name="Calculation 2 2 25 5 2 3" xfId="51071"/>
    <cellStyle name="Calculation 2 2 25 5 3" xfId="34681"/>
    <cellStyle name="Calculation 2 2 25 5 4" xfId="51072"/>
    <cellStyle name="Calculation 2 2 25 6" xfId="20181"/>
    <cellStyle name="Calculation 2 2 25 6 2" xfId="28503"/>
    <cellStyle name="Calculation 2 2 25 6 2 2" xfId="51073"/>
    <cellStyle name="Calculation 2 2 25 6 2 3" xfId="51074"/>
    <cellStyle name="Calculation 2 2 25 6 3" xfId="35624"/>
    <cellStyle name="Calculation 2 2 25 6 4" xfId="51075"/>
    <cellStyle name="Calculation 2 2 25 7" xfId="21642"/>
    <cellStyle name="Calculation 2 2 25 7 2" xfId="29943"/>
    <cellStyle name="Calculation 2 2 25 7 2 2" xfId="51076"/>
    <cellStyle name="Calculation 2 2 25 7 2 3" xfId="51077"/>
    <cellStyle name="Calculation 2 2 25 7 3" xfId="36998"/>
    <cellStyle name="Calculation 2 2 25 7 4" xfId="51078"/>
    <cellStyle name="Calculation 2 2 25 8" xfId="22570"/>
    <cellStyle name="Calculation 2 2 25 8 2" xfId="30866"/>
    <cellStyle name="Calculation 2 2 25 8 2 2" xfId="51079"/>
    <cellStyle name="Calculation 2 2 25 8 2 3" xfId="51080"/>
    <cellStyle name="Calculation 2 2 25 8 3" xfId="37881"/>
    <cellStyle name="Calculation 2 2 25 8 4" xfId="51081"/>
    <cellStyle name="Calculation 2 2 25 9" xfId="23512"/>
    <cellStyle name="Calculation 2 2 26" xfId="15178"/>
    <cellStyle name="Calculation 2 2 26 10" xfId="51082"/>
    <cellStyle name="Calculation 2 2 26 2" xfId="16258"/>
    <cellStyle name="Calculation 2 2 26 2 2" xfId="24571"/>
    <cellStyle name="Calculation 2 2 26 2 2 2" xfId="51083"/>
    <cellStyle name="Calculation 2 2 26 2 2 3" xfId="51084"/>
    <cellStyle name="Calculation 2 2 26 2 3" xfId="31843"/>
    <cellStyle name="Calculation 2 2 26 2 4" xfId="51085"/>
    <cellStyle name="Calculation 2 2 26 3" xfId="17224"/>
    <cellStyle name="Calculation 2 2 26 3 2" xfId="25545"/>
    <cellStyle name="Calculation 2 2 26 3 2 2" xfId="51086"/>
    <cellStyle name="Calculation 2 2 26 3 2 3" xfId="51087"/>
    <cellStyle name="Calculation 2 2 26 3 3" xfId="32776"/>
    <cellStyle name="Calculation 2 2 26 3 4" xfId="51088"/>
    <cellStyle name="Calculation 2 2 26 4" xfId="18252"/>
    <cellStyle name="Calculation 2 2 26 4 2" xfId="26572"/>
    <cellStyle name="Calculation 2 2 26 4 2 2" xfId="51089"/>
    <cellStyle name="Calculation 2 2 26 4 2 3" xfId="51090"/>
    <cellStyle name="Calculation 2 2 26 4 3" xfId="33754"/>
    <cellStyle name="Calculation 2 2 26 4 4" xfId="51091"/>
    <cellStyle name="Calculation 2 2 26 5" xfId="19236"/>
    <cellStyle name="Calculation 2 2 26 5 2" xfId="27556"/>
    <cellStyle name="Calculation 2 2 26 5 2 2" xfId="51092"/>
    <cellStyle name="Calculation 2 2 26 5 2 3" xfId="51093"/>
    <cellStyle name="Calculation 2 2 26 5 3" xfId="34704"/>
    <cellStyle name="Calculation 2 2 26 5 4" xfId="51094"/>
    <cellStyle name="Calculation 2 2 26 6" xfId="20204"/>
    <cellStyle name="Calculation 2 2 26 6 2" xfId="28526"/>
    <cellStyle name="Calculation 2 2 26 6 2 2" xfId="51095"/>
    <cellStyle name="Calculation 2 2 26 6 2 3" xfId="51096"/>
    <cellStyle name="Calculation 2 2 26 6 3" xfId="35646"/>
    <cellStyle name="Calculation 2 2 26 6 4" xfId="51097"/>
    <cellStyle name="Calculation 2 2 26 7" xfId="21665"/>
    <cellStyle name="Calculation 2 2 26 7 2" xfId="29966"/>
    <cellStyle name="Calculation 2 2 26 7 2 2" xfId="51098"/>
    <cellStyle name="Calculation 2 2 26 7 2 3" xfId="51099"/>
    <cellStyle name="Calculation 2 2 26 7 3" xfId="37020"/>
    <cellStyle name="Calculation 2 2 26 7 4" xfId="51100"/>
    <cellStyle name="Calculation 2 2 26 8" xfId="22593"/>
    <cellStyle name="Calculation 2 2 26 8 2" xfId="30889"/>
    <cellStyle name="Calculation 2 2 26 8 2 2" xfId="51101"/>
    <cellStyle name="Calculation 2 2 26 8 2 3" xfId="51102"/>
    <cellStyle name="Calculation 2 2 26 8 3" xfId="37903"/>
    <cellStyle name="Calculation 2 2 26 8 4" xfId="51103"/>
    <cellStyle name="Calculation 2 2 26 9" xfId="23535"/>
    <cellStyle name="Calculation 2 2 27" xfId="15129"/>
    <cellStyle name="Calculation 2 2 27 10" xfId="51104"/>
    <cellStyle name="Calculation 2 2 27 2" xfId="16209"/>
    <cellStyle name="Calculation 2 2 27 2 2" xfId="24522"/>
    <cellStyle name="Calculation 2 2 27 2 2 2" xfId="51105"/>
    <cellStyle name="Calculation 2 2 27 2 2 3" xfId="51106"/>
    <cellStyle name="Calculation 2 2 27 2 3" xfId="31799"/>
    <cellStyle name="Calculation 2 2 27 2 4" xfId="51107"/>
    <cellStyle name="Calculation 2 2 27 3" xfId="17175"/>
    <cellStyle name="Calculation 2 2 27 3 2" xfId="25496"/>
    <cellStyle name="Calculation 2 2 27 3 2 2" xfId="51108"/>
    <cellStyle name="Calculation 2 2 27 3 2 3" xfId="51109"/>
    <cellStyle name="Calculation 2 2 27 3 3" xfId="32732"/>
    <cellStyle name="Calculation 2 2 27 3 4" xfId="51110"/>
    <cellStyle name="Calculation 2 2 27 4" xfId="18203"/>
    <cellStyle name="Calculation 2 2 27 4 2" xfId="26523"/>
    <cellStyle name="Calculation 2 2 27 4 2 2" xfId="51111"/>
    <cellStyle name="Calculation 2 2 27 4 2 3" xfId="51112"/>
    <cellStyle name="Calculation 2 2 27 4 3" xfId="33710"/>
    <cellStyle name="Calculation 2 2 27 4 4" xfId="51113"/>
    <cellStyle name="Calculation 2 2 27 5" xfId="19187"/>
    <cellStyle name="Calculation 2 2 27 5 2" xfId="27507"/>
    <cellStyle name="Calculation 2 2 27 5 2 2" xfId="51114"/>
    <cellStyle name="Calculation 2 2 27 5 2 3" xfId="51115"/>
    <cellStyle name="Calculation 2 2 27 5 3" xfId="34655"/>
    <cellStyle name="Calculation 2 2 27 5 4" xfId="51116"/>
    <cellStyle name="Calculation 2 2 27 6" xfId="20155"/>
    <cellStyle name="Calculation 2 2 27 6 2" xfId="28477"/>
    <cellStyle name="Calculation 2 2 27 6 2 2" xfId="51117"/>
    <cellStyle name="Calculation 2 2 27 6 2 3" xfId="51118"/>
    <cellStyle name="Calculation 2 2 27 6 3" xfId="35602"/>
    <cellStyle name="Calculation 2 2 27 6 4" xfId="51119"/>
    <cellStyle name="Calculation 2 2 27 7" xfId="21616"/>
    <cellStyle name="Calculation 2 2 27 7 2" xfId="29917"/>
    <cellStyle name="Calculation 2 2 27 7 2 2" xfId="51120"/>
    <cellStyle name="Calculation 2 2 27 7 2 3" xfId="51121"/>
    <cellStyle name="Calculation 2 2 27 7 3" xfId="36976"/>
    <cellStyle name="Calculation 2 2 27 7 4" xfId="51122"/>
    <cellStyle name="Calculation 2 2 27 8" xfId="22544"/>
    <cellStyle name="Calculation 2 2 27 8 2" xfId="30840"/>
    <cellStyle name="Calculation 2 2 27 8 2 2" xfId="51123"/>
    <cellStyle name="Calculation 2 2 27 8 2 3" xfId="51124"/>
    <cellStyle name="Calculation 2 2 27 8 3" xfId="37859"/>
    <cellStyle name="Calculation 2 2 27 8 4" xfId="51125"/>
    <cellStyle name="Calculation 2 2 27 9" xfId="23486"/>
    <cellStyle name="Calculation 2 2 28" xfId="15194"/>
    <cellStyle name="Calculation 2 2 28 10" xfId="51126"/>
    <cellStyle name="Calculation 2 2 28 2" xfId="16274"/>
    <cellStyle name="Calculation 2 2 28 2 2" xfId="24587"/>
    <cellStyle name="Calculation 2 2 28 2 2 2" xfId="51127"/>
    <cellStyle name="Calculation 2 2 28 2 2 3" xfId="51128"/>
    <cellStyle name="Calculation 2 2 28 2 3" xfId="31857"/>
    <cellStyle name="Calculation 2 2 28 2 4" xfId="51129"/>
    <cellStyle name="Calculation 2 2 28 3" xfId="17240"/>
    <cellStyle name="Calculation 2 2 28 3 2" xfId="25561"/>
    <cellStyle name="Calculation 2 2 28 3 2 2" xfId="51130"/>
    <cellStyle name="Calculation 2 2 28 3 2 3" xfId="51131"/>
    <cellStyle name="Calculation 2 2 28 3 3" xfId="32790"/>
    <cellStyle name="Calculation 2 2 28 3 4" xfId="51132"/>
    <cellStyle name="Calculation 2 2 28 4" xfId="18268"/>
    <cellStyle name="Calculation 2 2 28 4 2" xfId="26588"/>
    <cellStyle name="Calculation 2 2 28 4 2 2" xfId="51133"/>
    <cellStyle name="Calculation 2 2 28 4 2 3" xfId="51134"/>
    <cellStyle name="Calculation 2 2 28 4 3" xfId="33768"/>
    <cellStyle name="Calculation 2 2 28 4 4" xfId="51135"/>
    <cellStyle name="Calculation 2 2 28 5" xfId="19252"/>
    <cellStyle name="Calculation 2 2 28 5 2" xfId="27572"/>
    <cellStyle name="Calculation 2 2 28 5 2 2" xfId="51136"/>
    <cellStyle name="Calculation 2 2 28 5 2 3" xfId="51137"/>
    <cellStyle name="Calculation 2 2 28 5 3" xfId="34720"/>
    <cellStyle name="Calculation 2 2 28 5 4" xfId="51138"/>
    <cellStyle name="Calculation 2 2 28 6" xfId="20220"/>
    <cellStyle name="Calculation 2 2 28 6 2" xfId="28542"/>
    <cellStyle name="Calculation 2 2 28 6 2 2" xfId="51139"/>
    <cellStyle name="Calculation 2 2 28 6 2 3" xfId="51140"/>
    <cellStyle name="Calculation 2 2 28 6 3" xfId="35660"/>
    <cellStyle name="Calculation 2 2 28 6 4" xfId="51141"/>
    <cellStyle name="Calculation 2 2 28 7" xfId="21681"/>
    <cellStyle name="Calculation 2 2 28 7 2" xfId="29982"/>
    <cellStyle name="Calculation 2 2 28 7 2 2" xfId="51142"/>
    <cellStyle name="Calculation 2 2 28 7 2 3" xfId="51143"/>
    <cellStyle name="Calculation 2 2 28 7 3" xfId="37034"/>
    <cellStyle name="Calculation 2 2 28 7 4" xfId="51144"/>
    <cellStyle name="Calculation 2 2 28 8" xfId="22609"/>
    <cellStyle name="Calculation 2 2 28 8 2" xfId="30905"/>
    <cellStyle name="Calculation 2 2 28 8 2 2" xfId="51145"/>
    <cellStyle name="Calculation 2 2 28 8 2 3" xfId="51146"/>
    <cellStyle name="Calculation 2 2 28 8 3" xfId="37917"/>
    <cellStyle name="Calculation 2 2 28 8 4" xfId="51147"/>
    <cellStyle name="Calculation 2 2 28 9" xfId="23551"/>
    <cellStyle name="Calculation 2 2 29" xfId="15259"/>
    <cellStyle name="Calculation 2 2 29 10" xfId="51148"/>
    <cellStyle name="Calculation 2 2 29 2" xfId="16339"/>
    <cellStyle name="Calculation 2 2 29 2 2" xfId="24652"/>
    <cellStyle name="Calculation 2 2 29 2 2 2" xfId="51149"/>
    <cellStyle name="Calculation 2 2 29 2 2 3" xfId="51150"/>
    <cellStyle name="Calculation 2 2 29 2 3" xfId="31919"/>
    <cellStyle name="Calculation 2 2 29 2 4" xfId="51151"/>
    <cellStyle name="Calculation 2 2 29 3" xfId="17305"/>
    <cellStyle name="Calculation 2 2 29 3 2" xfId="25626"/>
    <cellStyle name="Calculation 2 2 29 3 2 2" xfId="51152"/>
    <cellStyle name="Calculation 2 2 29 3 2 3" xfId="51153"/>
    <cellStyle name="Calculation 2 2 29 3 3" xfId="32852"/>
    <cellStyle name="Calculation 2 2 29 3 4" xfId="51154"/>
    <cellStyle name="Calculation 2 2 29 4" xfId="18333"/>
    <cellStyle name="Calculation 2 2 29 4 2" xfId="26653"/>
    <cellStyle name="Calculation 2 2 29 4 2 2" xfId="51155"/>
    <cellStyle name="Calculation 2 2 29 4 2 3" xfId="51156"/>
    <cellStyle name="Calculation 2 2 29 4 3" xfId="33830"/>
    <cellStyle name="Calculation 2 2 29 4 4" xfId="51157"/>
    <cellStyle name="Calculation 2 2 29 5" xfId="19317"/>
    <cellStyle name="Calculation 2 2 29 5 2" xfId="27637"/>
    <cellStyle name="Calculation 2 2 29 5 2 2" xfId="51158"/>
    <cellStyle name="Calculation 2 2 29 5 2 3" xfId="51159"/>
    <cellStyle name="Calculation 2 2 29 5 3" xfId="34785"/>
    <cellStyle name="Calculation 2 2 29 5 4" xfId="51160"/>
    <cellStyle name="Calculation 2 2 29 6" xfId="20285"/>
    <cellStyle name="Calculation 2 2 29 6 2" xfId="28607"/>
    <cellStyle name="Calculation 2 2 29 6 2 2" xfId="51161"/>
    <cellStyle name="Calculation 2 2 29 6 2 3" xfId="51162"/>
    <cellStyle name="Calculation 2 2 29 6 3" xfId="35722"/>
    <cellStyle name="Calculation 2 2 29 6 4" xfId="51163"/>
    <cellStyle name="Calculation 2 2 29 7" xfId="21746"/>
    <cellStyle name="Calculation 2 2 29 7 2" xfId="30047"/>
    <cellStyle name="Calculation 2 2 29 7 2 2" xfId="51164"/>
    <cellStyle name="Calculation 2 2 29 7 2 3" xfId="51165"/>
    <cellStyle name="Calculation 2 2 29 7 3" xfId="37096"/>
    <cellStyle name="Calculation 2 2 29 7 4" xfId="51166"/>
    <cellStyle name="Calculation 2 2 29 8" xfId="22674"/>
    <cellStyle name="Calculation 2 2 29 8 2" xfId="30970"/>
    <cellStyle name="Calculation 2 2 29 8 2 2" xfId="51167"/>
    <cellStyle name="Calculation 2 2 29 8 2 3" xfId="51168"/>
    <cellStyle name="Calculation 2 2 29 8 3" xfId="37979"/>
    <cellStyle name="Calculation 2 2 29 8 4" xfId="51169"/>
    <cellStyle name="Calculation 2 2 29 9" xfId="23616"/>
    <cellStyle name="Calculation 2 2 3" xfId="114"/>
    <cellStyle name="Calculation 2 2 3 10" xfId="14442"/>
    <cellStyle name="Calculation 2 2 3 10 2" xfId="51170"/>
    <cellStyle name="Calculation 2 2 3 10 3" xfId="51171"/>
    <cellStyle name="Calculation 2 2 3 11" xfId="51172"/>
    <cellStyle name="Calculation 2 2 3 12" xfId="51173"/>
    <cellStyle name="Calculation 2 2 3 13" xfId="51174"/>
    <cellStyle name="Calculation 2 2 3 14" xfId="51175"/>
    <cellStyle name="Calculation 2 2 3 15" xfId="60662"/>
    <cellStyle name="Calculation 2 2 3 2" xfId="246"/>
    <cellStyle name="Calculation 2 2 3 2 2" xfId="657"/>
    <cellStyle name="Calculation 2 2 3 2 2 2" xfId="1608"/>
    <cellStyle name="Calculation 2 2 3 2 2 2 2" xfId="799"/>
    <cellStyle name="Calculation 2 2 3 2 2 2 2 2" xfId="2511"/>
    <cellStyle name="Calculation 2 2 3 2 2 2 2 2 2" xfId="5931"/>
    <cellStyle name="Calculation 2 2 3 2 2 2 2 2 2 2" xfId="12771"/>
    <cellStyle name="Calculation 2 2 3 2 2 2 2 2 3" xfId="9351"/>
    <cellStyle name="Calculation 2 2 3 2 2 2 2 3" xfId="3651"/>
    <cellStyle name="Calculation 2 2 3 2 2 2 2 3 2" xfId="7071"/>
    <cellStyle name="Calculation 2 2 3 2 2 2 2 3 2 2" xfId="13911"/>
    <cellStyle name="Calculation 2 2 3 2 2 2 2 3 3" xfId="10491"/>
    <cellStyle name="Calculation 2 2 3 2 2 2 2 4" xfId="4791"/>
    <cellStyle name="Calculation 2 2 3 2 2 2 2 4 2" xfId="11631"/>
    <cellStyle name="Calculation 2 2 3 2 2 2 2 5" xfId="8211"/>
    <cellStyle name="Calculation 2 2 3 2 2 2 3" xfId="2442"/>
    <cellStyle name="Calculation 2 2 3 2 2 2 3 2" xfId="5862"/>
    <cellStyle name="Calculation 2 2 3 2 2 2 3 2 2" xfId="12702"/>
    <cellStyle name="Calculation 2 2 3 2 2 2 3 3" xfId="9282"/>
    <cellStyle name="Calculation 2 2 3 2 2 2 4" xfId="3582"/>
    <cellStyle name="Calculation 2 2 3 2 2 2 4 2" xfId="7002"/>
    <cellStyle name="Calculation 2 2 3 2 2 2 4 2 2" xfId="13842"/>
    <cellStyle name="Calculation 2 2 3 2 2 2 4 3" xfId="10422"/>
    <cellStyle name="Calculation 2 2 3 2 2 2 5" xfId="4722"/>
    <cellStyle name="Calculation 2 2 3 2 2 2 5 2" xfId="11562"/>
    <cellStyle name="Calculation 2 2 3 2 2 2 6" xfId="8142"/>
    <cellStyle name="Calculation 2 2 3 2 2 3" xfId="38501"/>
    <cellStyle name="Calculation 2 2 3 2 2 4" xfId="51176"/>
    <cellStyle name="Calculation 2 2 3 2 2 5" xfId="51177"/>
    <cellStyle name="Calculation 2 2 3 2 2 6" xfId="51178"/>
    <cellStyle name="Calculation 2 2 3 2 2 7" xfId="51179"/>
    <cellStyle name="Calculation 2 2 3 2 2 8" xfId="60664"/>
    <cellStyle name="Calculation 2 2 3 2 3" xfId="1253"/>
    <cellStyle name="Calculation 2 2 3 2 3 2" xfId="1771"/>
    <cellStyle name="Calculation 2 2 3 2 3 2 2" xfId="2911"/>
    <cellStyle name="Calculation 2 2 3 2 3 2 2 2" xfId="6331"/>
    <cellStyle name="Calculation 2 2 3 2 3 2 2 2 2" xfId="13171"/>
    <cellStyle name="Calculation 2 2 3 2 3 2 2 3" xfId="9751"/>
    <cellStyle name="Calculation 2 2 3 2 3 2 3" xfId="4051"/>
    <cellStyle name="Calculation 2 2 3 2 3 2 3 2" xfId="7471"/>
    <cellStyle name="Calculation 2 2 3 2 3 2 3 2 2" xfId="14311"/>
    <cellStyle name="Calculation 2 2 3 2 3 2 3 3" xfId="10891"/>
    <cellStyle name="Calculation 2 2 3 2 3 2 4" xfId="5191"/>
    <cellStyle name="Calculation 2 2 3 2 3 2 4 2" xfId="12031"/>
    <cellStyle name="Calculation 2 2 3 2 3 2 5" xfId="8611"/>
    <cellStyle name="Calculation 2 2 3 2 3 3" xfId="2073"/>
    <cellStyle name="Calculation 2 2 3 2 3 3 2" xfId="5493"/>
    <cellStyle name="Calculation 2 2 3 2 3 3 2 2" xfId="12333"/>
    <cellStyle name="Calculation 2 2 3 2 3 3 3" xfId="8913"/>
    <cellStyle name="Calculation 2 2 3 2 3 4" xfId="3213"/>
    <cellStyle name="Calculation 2 2 3 2 3 4 2" xfId="6633"/>
    <cellStyle name="Calculation 2 2 3 2 3 4 2 2" xfId="13473"/>
    <cellStyle name="Calculation 2 2 3 2 3 4 3" xfId="10053"/>
    <cellStyle name="Calculation 2 2 3 2 3 5" xfId="4353"/>
    <cellStyle name="Calculation 2 2 3 2 3 5 2" xfId="11193"/>
    <cellStyle name="Calculation 2 2 3 2 3 6" xfId="7773"/>
    <cellStyle name="Calculation 2 2 3 2 4" xfId="15589"/>
    <cellStyle name="Calculation 2 2 3 2 5" xfId="23901"/>
    <cellStyle name="Calculation 2 2 3 2 6" xfId="38267"/>
    <cellStyle name="Calculation 2 2 3 2 7" xfId="51180"/>
    <cellStyle name="Calculation 2 2 3 2 8" xfId="60663"/>
    <cellStyle name="Calculation 2 2 3 3" xfId="569"/>
    <cellStyle name="Calculation 2 2 3 3 2" xfId="1556"/>
    <cellStyle name="Calculation 2 2 3 3 2 2" xfId="833"/>
    <cellStyle name="Calculation 2 2 3 3 2 2 2" xfId="2592"/>
    <cellStyle name="Calculation 2 2 3 3 2 2 2 2" xfId="6012"/>
    <cellStyle name="Calculation 2 2 3 3 2 2 2 2 2" xfId="12852"/>
    <cellStyle name="Calculation 2 2 3 3 2 2 2 3" xfId="9432"/>
    <cellStyle name="Calculation 2 2 3 3 2 2 3" xfId="3732"/>
    <cellStyle name="Calculation 2 2 3 3 2 2 3 2" xfId="7152"/>
    <cellStyle name="Calculation 2 2 3 3 2 2 3 2 2" xfId="13992"/>
    <cellStyle name="Calculation 2 2 3 3 2 2 3 3" xfId="10572"/>
    <cellStyle name="Calculation 2 2 3 3 2 2 4" xfId="4872"/>
    <cellStyle name="Calculation 2 2 3 3 2 2 4 2" xfId="11712"/>
    <cellStyle name="Calculation 2 2 3 3 2 2 5" xfId="8292"/>
    <cellStyle name="Calculation 2 2 3 3 2 3" xfId="2381"/>
    <cellStyle name="Calculation 2 2 3 3 2 3 2" xfId="5801"/>
    <cellStyle name="Calculation 2 2 3 3 2 3 2 2" xfId="12641"/>
    <cellStyle name="Calculation 2 2 3 3 2 3 3" xfId="9221"/>
    <cellStyle name="Calculation 2 2 3 3 2 4" xfId="3521"/>
    <cellStyle name="Calculation 2 2 3 3 2 4 2" xfId="6941"/>
    <cellStyle name="Calculation 2 2 3 3 2 4 2 2" xfId="13781"/>
    <cellStyle name="Calculation 2 2 3 3 2 4 3" xfId="10361"/>
    <cellStyle name="Calculation 2 2 3 3 2 5" xfId="4661"/>
    <cellStyle name="Calculation 2 2 3 3 2 5 2" xfId="11501"/>
    <cellStyle name="Calculation 2 2 3 3 2 6" xfId="8081"/>
    <cellStyle name="Calculation 2 2 3 3 3" xfId="16559"/>
    <cellStyle name="Calculation 2 2 3 3 4" xfId="24872"/>
    <cellStyle name="Calculation 2 2 3 3 5" xfId="32132"/>
    <cellStyle name="Calculation 2 2 3 3 6" xfId="51181"/>
    <cellStyle name="Calculation 2 2 3 3 7" xfId="51182"/>
    <cellStyle name="Calculation 2 2 3 3 8" xfId="51183"/>
    <cellStyle name="Calculation 2 2 3 3 9" xfId="60665"/>
    <cellStyle name="Calculation 2 2 3 4" xfId="1130"/>
    <cellStyle name="Calculation 2 2 3 4 2" xfId="1062"/>
    <cellStyle name="Calculation 2 2 3 4 2 2" xfId="2714"/>
    <cellStyle name="Calculation 2 2 3 4 2 2 2" xfId="6134"/>
    <cellStyle name="Calculation 2 2 3 4 2 2 2 2" xfId="12974"/>
    <cellStyle name="Calculation 2 2 3 4 2 2 3" xfId="9554"/>
    <cellStyle name="Calculation 2 2 3 4 2 3" xfId="3854"/>
    <cellStyle name="Calculation 2 2 3 4 2 3 2" xfId="7274"/>
    <cellStyle name="Calculation 2 2 3 4 2 3 2 2" xfId="14114"/>
    <cellStyle name="Calculation 2 2 3 4 2 3 3" xfId="10694"/>
    <cellStyle name="Calculation 2 2 3 4 2 4" xfId="4994"/>
    <cellStyle name="Calculation 2 2 3 4 2 4 2" xfId="11834"/>
    <cellStyle name="Calculation 2 2 3 4 2 5" xfId="8414"/>
    <cellStyle name="Calculation 2 2 3 4 3" xfId="1944"/>
    <cellStyle name="Calculation 2 2 3 4 3 2" xfId="5364"/>
    <cellStyle name="Calculation 2 2 3 4 3 2 2" xfId="12204"/>
    <cellStyle name="Calculation 2 2 3 4 3 3" xfId="8784"/>
    <cellStyle name="Calculation 2 2 3 4 4" xfId="3084"/>
    <cellStyle name="Calculation 2 2 3 4 4 2" xfId="6504"/>
    <cellStyle name="Calculation 2 2 3 4 4 2 2" xfId="13344"/>
    <cellStyle name="Calculation 2 2 3 4 4 3" xfId="9924"/>
    <cellStyle name="Calculation 2 2 3 4 5" xfId="4224"/>
    <cellStyle name="Calculation 2 2 3 4 5 2" xfId="11064"/>
    <cellStyle name="Calculation 2 2 3 4 6" xfId="7644"/>
    <cellStyle name="Calculation 2 2 3 4 7" xfId="17577"/>
    <cellStyle name="Calculation 2 2 3 4 8" xfId="25896"/>
    <cellStyle name="Calculation 2 2 3 4 9" xfId="33109"/>
    <cellStyle name="Calculation 2 2 3 5" xfId="16554"/>
    <cellStyle name="Calculation 2 2 3 5 2" xfId="24867"/>
    <cellStyle name="Calculation 2 2 3 5 2 2" xfId="51184"/>
    <cellStyle name="Calculation 2 2 3 5 2 3" xfId="51185"/>
    <cellStyle name="Calculation 2 2 3 5 3" xfId="32127"/>
    <cellStyle name="Calculation 2 2 3 5 4" xfId="51186"/>
    <cellStyle name="Calculation 2 2 3 6" xfId="15567"/>
    <cellStyle name="Calculation 2 2 3 6 2" xfId="23892"/>
    <cellStyle name="Calculation 2 2 3 6 2 2" xfId="51187"/>
    <cellStyle name="Calculation 2 2 3 6 2 3" xfId="51188"/>
    <cellStyle name="Calculation 2 2 3 6 3" xfId="31236"/>
    <cellStyle name="Calculation 2 2 3 6 4" xfId="51189"/>
    <cellStyle name="Calculation 2 2 3 7" xfId="17557"/>
    <cellStyle name="Calculation 2 2 3 7 2" xfId="25876"/>
    <cellStyle name="Calculation 2 2 3 7 2 2" xfId="51190"/>
    <cellStyle name="Calculation 2 2 3 7 2 3" xfId="51191"/>
    <cellStyle name="Calculation 2 2 3 7 3" xfId="33091"/>
    <cellStyle name="Calculation 2 2 3 7 4" xfId="51192"/>
    <cellStyle name="Calculation 2 2 3 8" xfId="21175"/>
    <cellStyle name="Calculation 2 2 3 8 2" xfId="29487"/>
    <cellStyle name="Calculation 2 2 3 8 2 2" xfId="51193"/>
    <cellStyle name="Calculation 2 2 3 8 2 3" xfId="51194"/>
    <cellStyle name="Calculation 2 2 3 8 3" xfId="36558"/>
    <cellStyle name="Calculation 2 2 3 8 4" xfId="51195"/>
    <cellStyle name="Calculation 2 2 3 9" xfId="21951"/>
    <cellStyle name="Calculation 2 2 3 9 2" xfId="30252"/>
    <cellStyle name="Calculation 2 2 3 9 2 2" xfId="51196"/>
    <cellStyle name="Calculation 2 2 3 9 2 3" xfId="51197"/>
    <cellStyle name="Calculation 2 2 3 9 3" xfId="37293"/>
    <cellStyle name="Calculation 2 2 3 9 4" xfId="51198"/>
    <cellStyle name="Calculation 2 2 30" xfId="15228"/>
    <cellStyle name="Calculation 2 2 30 10" xfId="51199"/>
    <cellStyle name="Calculation 2 2 30 2" xfId="16308"/>
    <cellStyle name="Calculation 2 2 30 2 2" xfId="24621"/>
    <cellStyle name="Calculation 2 2 30 2 2 2" xfId="51200"/>
    <cellStyle name="Calculation 2 2 30 2 2 3" xfId="51201"/>
    <cellStyle name="Calculation 2 2 30 2 3" xfId="31888"/>
    <cellStyle name="Calculation 2 2 30 2 4" xfId="51202"/>
    <cellStyle name="Calculation 2 2 30 3" xfId="17274"/>
    <cellStyle name="Calculation 2 2 30 3 2" xfId="25595"/>
    <cellStyle name="Calculation 2 2 30 3 2 2" xfId="51203"/>
    <cellStyle name="Calculation 2 2 30 3 2 3" xfId="51204"/>
    <cellStyle name="Calculation 2 2 30 3 3" xfId="32821"/>
    <cellStyle name="Calculation 2 2 30 3 4" xfId="51205"/>
    <cellStyle name="Calculation 2 2 30 4" xfId="18302"/>
    <cellStyle name="Calculation 2 2 30 4 2" xfId="26622"/>
    <cellStyle name="Calculation 2 2 30 4 2 2" xfId="51206"/>
    <cellStyle name="Calculation 2 2 30 4 2 3" xfId="51207"/>
    <cellStyle name="Calculation 2 2 30 4 3" xfId="33799"/>
    <cellStyle name="Calculation 2 2 30 4 4" xfId="51208"/>
    <cellStyle name="Calculation 2 2 30 5" xfId="19286"/>
    <cellStyle name="Calculation 2 2 30 5 2" xfId="27606"/>
    <cellStyle name="Calculation 2 2 30 5 2 2" xfId="51209"/>
    <cellStyle name="Calculation 2 2 30 5 2 3" xfId="51210"/>
    <cellStyle name="Calculation 2 2 30 5 3" xfId="34754"/>
    <cellStyle name="Calculation 2 2 30 5 4" xfId="51211"/>
    <cellStyle name="Calculation 2 2 30 6" xfId="20254"/>
    <cellStyle name="Calculation 2 2 30 6 2" xfId="28576"/>
    <cellStyle name="Calculation 2 2 30 6 2 2" xfId="51212"/>
    <cellStyle name="Calculation 2 2 30 6 2 3" xfId="51213"/>
    <cellStyle name="Calculation 2 2 30 6 3" xfId="35691"/>
    <cellStyle name="Calculation 2 2 30 6 4" xfId="51214"/>
    <cellStyle name="Calculation 2 2 30 7" xfId="21715"/>
    <cellStyle name="Calculation 2 2 30 7 2" xfId="30016"/>
    <cellStyle name="Calculation 2 2 30 7 2 2" xfId="51215"/>
    <cellStyle name="Calculation 2 2 30 7 2 3" xfId="51216"/>
    <cellStyle name="Calculation 2 2 30 7 3" xfId="37065"/>
    <cellStyle name="Calculation 2 2 30 7 4" xfId="51217"/>
    <cellStyle name="Calculation 2 2 30 8" xfId="22643"/>
    <cellStyle name="Calculation 2 2 30 8 2" xfId="30939"/>
    <cellStyle name="Calculation 2 2 30 8 2 2" xfId="51218"/>
    <cellStyle name="Calculation 2 2 30 8 2 3" xfId="51219"/>
    <cellStyle name="Calculation 2 2 30 8 3" xfId="37948"/>
    <cellStyle name="Calculation 2 2 30 8 4" xfId="51220"/>
    <cellStyle name="Calculation 2 2 30 9" xfId="23585"/>
    <cellStyle name="Calculation 2 2 31" xfId="15294"/>
    <cellStyle name="Calculation 2 2 31 10" xfId="51221"/>
    <cellStyle name="Calculation 2 2 31 2" xfId="16374"/>
    <cellStyle name="Calculation 2 2 31 2 2" xfId="24687"/>
    <cellStyle name="Calculation 2 2 31 2 2 2" xfId="51222"/>
    <cellStyle name="Calculation 2 2 31 2 2 3" xfId="51223"/>
    <cellStyle name="Calculation 2 2 31 2 3" xfId="31953"/>
    <cellStyle name="Calculation 2 2 31 2 4" xfId="51224"/>
    <cellStyle name="Calculation 2 2 31 3" xfId="17340"/>
    <cellStyle name="Calculation 2 2 31 3 2" xfId="25661"/>
    <cellStyle name="Calculation 2 2 31 3 2 2" xfId="51225"/>
    <cellStyle name="Calculation 2 2 31 3 2 3" xfId="51226"/>
    <cellStyle name="Calculation 2 2 31 3 3" xfId="32886"/>
    <cellStyle name="Calculation 2 2 31 3 4" xfId="51227"/>
    <cellStyle name="Calculation 2 2 31 4" xfId="18368"/>
    <cellStyle name="Calculation 2 2 31 4 2" xfId="26688"/>
    <cellStyle name="Calculation 2 2 31 4 2 2" xfId="51228"/>
    <cellStyle name="Calculation 2 2 31 4 2 3" xfId="51229"/>
    <cellStyle name="Calculation 2 2 31 4 3" xfId="33864"/>
    <cellStyle name="Calculation 2 2 31 4 4" xfId="51230"/>
    <cellStyle name="Calculation 2 2 31 5" xfId="19351"/>
    <cellStyle name="Calculation 2 2 31 5 2" xfId="27672"/>
    <cellStyle name="Calculation 2 2 31 5 2 2" xfId="51231"/>
    <cellStyle name="Calculation 2 2 31 5 2 3" xfId="51232"/>
    <cellStyle name="Calculation 2 2 31 5 3" xfId="34820"/>
    <cellStyle name="Calculation 2 2 31 5 4" xfId="51233"/>
    <cellStyle name="Calculation 2 2 31 6" xfId="20320"/>
    <cellStyle name="Calculation 2 2 31 6 2" xfId="28642"/>
    <cellStyle name="Calculation 2 2 31 6 2 2" xfId="51234"/>
    <cellStyle name="Calculation 2 2 31 6 2 3" xfId="51235"/>
    <cellStyle name="Calculation 2 2 31 6 3" xfId="35756"/>
    <cellStyle name="Calculation 2 2 31 6 4" xfId="51236"/>
    <cellStyle name="Calculation 2 2 31 7" xfId="21781"/>
    <cellStyle name="Calculation 2 2 31 7 2" xfId="30082"/>
    <cellStyle name="Calculation 2 2 31 7 2 2" xfId="51237"/>
    <cellStyle name="Calculation 2 2 31 7 2 3" xfId="51238"/>
    <cellStyle name="Calculation 2 2 31 7 3" xfId="37130"/>
    <cellStyle name="Calculation 2 2 31 7 4" xfId="51239"/>
    <cellStyle name="Calculation 2 2 31 8" xfId="22709"/>
    <cellStyle name="Calculation 2 2 31 8 2" xfId="31005"/>
    <cellStyle name="Calculation 2 2 31 8 2 2" xfId="51240"/>
    <cellStyle name="Calculation 2 2 31 8 2 3" xfId="51241"/>
    <cellStyle name="Calculation 2 2 31 8 3" xfId="38013"/>
    <cellStyle name="Calculation 2 2 31 8 4" xfId="51242"/>
    <cellStyle name="Calculation 2 2 31 9" xfId="23651"/>
    <cellStyle name="Calculation 2 2 32" xfId="15277"/>
    <cellStyle name="Calculation 2 2 32 10" xfId="51243"/>
    <cellStyle name="Calculation 2 2 32 11" xfId="51244"/>
    <cellStyle name="Calculation 2 2 32 2" xfId="16357"/>
    <cellStyle name="Calculation 2 2 32 2 2" xfId="24670"/>
    <cellStyle name="Calculation 2 2 32 2 2 2" xfId="51245"/>
    <cellStyle name="Calculation 2 2 32 2 2 3" xfId="51246"/>
    <cellStyle name="Calculation 2 2 32 2 3" xfId="31937"/>
    <cellStyle name="Calculation 2 2 32 2 4" xfId="51247"/>
    <cellStyle name="Calculation 2 2 32 3" xfId="17323"/>
    <cellStyle name="Calculation 2 2 32 3 2" xfId="25644"/>
    <cellStyle name="Calculation 2 2 32 3 2 2" xfId="51248"/>
    <cellStyle name="Calculation 2 2 32 3 2 3" xfId="51249"/>
    <cellStyle name="Calculation 2 2 32 3 3" xfId="32870"/>
    <cellStyle name="Calculation 2 2 32 3 4" xfId="51250"/>
    <cellStyle name="Calculation 2 2 32 4" xfId="18351"/>
    <cellStyle name="Calculation 2 2 32 4 2" xfId="26671"/>
    <cellStyle name="Calculation 2 2 32 4 2 2" xfId="51251"/>
    <cellStyle name="Calculation 2 2 32 4 2 3" xfId="51252"/>
    <cellStyle name="Calculation 2 2 32 4 3" xfId="33848"/>
    <cellStyle name="Calculation 2 2 32 4 4" xfId="51253"/>
    <cellStyle name="Calculation 2 2 32 5" xfId="19335"/>
    <cellStyle name="Calculation 2 2 32 5 2" xfId="27655"/>
    <cellStyle name="Calculation 2 2 32 5 2 2" xfId="51254"/>
    <cellStyle name="Calculation 2 2 32 5 2 3" xfId="51255"/>
    <cellStyle name="Calculation 2 2 32 5 3" xfId="34803"/>
    <cellStyle name="Calculation 2 2 32 5 4" xfId="51256"/>
    <cellStyle name="Calculation 2 2 32 6" xfId="20303"/>
    <cellStyle name="Calculation 2 2 32 6 2" xfId="28625"/>
    <cellStyle name="Calculation 2 2 32 6 2 2" xfId="51257"/>
    <cellStyle name="Calculation 2 2 32 6 2 3" xfId="51258"/>
    <cellStyle name="Calculation 2 2 32 6 3" xfId="35740"/>
    <cellStyle name="Calculation 2 2 32 6 4" xfId="51259"/>
    <cellStyle name="Calculation 2 2 32 7" xfId="21764"/>
    <cellStyle name="Calculation 2 2 32 7 2" xfId="30065"/>
    <cellStyle name="Calculation 2 2 32 7 2 2" xfId="51260"/>
    <cellStyle name="Calculation 2 2 32 7 2 3" xfId="51261"/>
    <cellStyle name="Calculation 2 2 32 7 3" xfId="37114"/>
    <cellStyle name="Calculation 2 2 32 7 4" xfId="51262"/>
    <cellStyle name="Calculation 2 2 32 8" xfId="22692"/>
    <cellStyle name="Calculation 2 2 32 8 2" xfId="30988"/>
    <cellStyle name="Calculation 2 2 32 8 2 2" xfId="51263"/>
    <cellStyle name="Calculation 2 2 32 8 2 3" xfId="51264"/>
    <cellStyle name="Calculation 2 2 32 8 3" xfId="37997"/>
    <cellStyle name="Calculation 2 2 32 8 4" xfId="51265"/>
    <cellStyle name="Calculation 2 2 32 9" xfId="23634"/>
    <cellStyle name="Calculation 2 2 32 9 2" xfId="51266"/>
    <cellStyle name="Calculation 2 2 32 9 3" xfId="51267"/>
    <cellStyle name="Calculation 2 2 33" xfId="15309"/>
    <cellStyle name="Calculation 2 2 33 10" xfId="51268"/>
    <cellStyle name="Calculation 2 2 33 2" xfId="16389"/>
    <cellStyle name="Calculation 2 2 33 2 2" xfId="24702"/>
    <cellStyle name="Calculation 2 2 33 2 2 2" xfId="51269"/>
    <cellStyle name="Calculation 2 2 33 2 2 3" xfId="51270"/>
    <cellStyle name="Calculation 2 2 33 2 3" xfId="31967"/>
    <cellStyle name="Calculation 2 2 33 2 4" xfId="51271"/>
    <cellStyle name="Calculation 2 2 33 3" xfId="17355"/>
    <cellStyle name="Calculation 2 2 33 3 2" xfId="25676"/>
    <cellStyle name="Calculation 2 2 33 3 2 2" xfId="51272"/>
    <cellStyle name="Calculation 2 2 33 3 2 3" xfId="51273"/>
    <cellStyle name="Calculation 2 2 33 3 3" xfId="32900"/>
    <cellStyle name="Calculation 2 2 33 3 4" xfId="51274"/>
    <cellStyle name="Calculation 2 2 33 4" xfId="18383"/>
    <cellStyle name="Calculation 2 2 33 4 2" xfId="26703"/>
    <cellStyle name="Calculation 2 2 33 4 2 2" xfId="51275"/>
    <cellStyle name="Calculation 2 2 33 4 2 3" xfId="51276"/>
    <cellStyle name="Calculation 2 2 33 4 3" xfId="33878"/>
    <cellStyle name="Calculation 2 2 33 4 4" xfId="51277"/>
    <cellStyle name="Calculation 2 2 33 5" xfId="19366"/>
    <cellStyle name="Calculation 2 2 33 5 2" xfId="27687"/>
    <cellStyle name="Calculation 2 2 33 5 2 2" xfId="51278"/>
    <cellStyle name="Calculation 2 2 33 5 2 3" xfId="51279"/>
    <cellStyle name="Calculation 2 2 33 5 3" xfId="34835"/>
    <cellStyle name="Calculation 2 2 33 5 4" xfId="51280"/>
    <cellStyle name="Calculation 2 2 33 6" xfId="20335"/>
    <cellStyle name="Calculation 2 2 33 6 2" xfId="28657"/>
    <cellStyle name="Calculation 2 2 33 6 2 2" xfId="51281"/>
    <cellStyle name="Calculation 2 2 33 6 2 3" xfId="51282"/>
    <cellStyle name="Calculation 2 2 33 6 3" xfId="35770"/>
    <cellStyle name="Calculation 2 2 33 6 4" xfId="51283"/>
    <cellStyle name="Calculation 2 2 33 7" xfId="21796"/>
    <cellStyle name="Calculation 2 2 33 7 2" xfId="30097"/>
    <cellStyle name="Calculation 2 2 33 7 2 2" xfId="51284"/>
    <cellStyle name="Calculation 2 2 33 7 2 3" xfId="51285"/>
    <cellStyle name="Calculation 2 2 33 7 3" xfId="37144"/>
    <cellStyle name="Calculation 2 2 33 7 4" xfId="51286"/>
    <cellStyle name="Calculation 2 2 33 8" xfId="22724"/>
    <cellStyle name="Calculation 2 2 33 8 2" xfId="31020"/>
    <cellStyle name="Calculation 2 2 33 8 2 2" xfId="51287"/>
    <cellStyle name="Calculation 2 2 33 8 2 3" xfId="51288"/>
    <cellStyle name="Calculation 2 2 33 8 3" xfId="38027"/>
    <cellStyle name="Calculation 2 2 33 8 4" xfId="51289"/>
    <cellStyle name="Calculation 2 2 33 9" xfId="23666"/>
    <cellStyle name="Calculation 2 2 34" xfId="15369"/>
    <cellStyle name="Calculation 2 2 34 10" xfId="51290"/>
    <cellStyle name="Calculation 2 2 34 11" xfId="51291"/>
    <cellStyle name="Calculation 2 2 34 2" xfId="16449"/>
    <cellStyle name="Calculation 2 2 34 2 2" xfId="24762"/>
    <cellStyle name="Calculation 2 2 34 2 2 2" xfId="51292"/>
    <cellStyle name="Calculation 2 2 34 2 2 3" xfId="51293"/>
    <cellStyle name="Calculation 2 2 34 2 3" xfId="32026"/>
    <cellStyle name="Calculation 2 2 34 2 4" xfId="51294"/>
    <cellStyle name="Calculation 2 2 34 3" xfId="17415"/>
    <cellStyle name="Calculation 2 2 34 3 2" xfId="25736"/>
    <cellStyle name="Calculation 2 2 34 3 2 2" xfId="51295"/>
    <cellStyle name="Calculation 2 2 34 3 2 3" xfId="51296"/>
    <cellStyle name="Calculation 2 2 34 3 3" xfId="32959"/>
    <cellStyle name="Calculation 2 2 34 3 4" xfId="51297"/>
    <cellStyle name="Calculation 2 2 34 4" xfId="18443"/>
    <cellStyle name="Calculation 2 2 34 4 2" xfId="26763"/>
    <cellStyle name="Calculation 2 2 34 4 2 2" xfId="51298"/>
    <cellStyle name="Calculation 2 2 34 4 2 3" xfId="51299"/>
    <cellStyle name="Calculation 2 2 34 4 3" xfId="33937"/>
    <cellStyle name="Calculation 2 2 34 4 4" xfId="51300"/>
    <cellStyle name="Calculation 2 2 34 5" xfId="19426"/>
    <cellStyle name="Calculation 2 2 34 5 2" xfId="27747"/>
    <cellStyle name="Calculation 2 2 34 5 2 2" xfId="51301"/>
    <cellStyle name="Calculation 2 2 34 5 2 3" xfId="51302"/>
    <cellStyle name="Calculation 2 2 34 5 3" xfId="34895"/>
    <cellStyle name="Calculation 2 2 34 5 4" xfId="51303"/>
    <cellStyle name="Calculation 2 2 34 6" xfId="20395"/>
    <cellStyle name="Calculation 2 2 34 6 2" xfId="28717"/>
    <cellStyle name="Calculation 2 2 34 6 2 2" xfId="51304"/>
    <cellStyle name="Calculation 2 2 34 6 2 3" xfId="51305"/>
    <cellStyle name="Calculation 2 2 34 6 3" xfId="35829"/>
    <cellStyle name="Calculation 2 2 34 6 4" xfId="51306"/>
    <cellStyle name="Calculation 2 2 34 7" xfId="21856"/>
    <cellStyle name="Calculation 2 2 34 7 2" xfId="30157"/>
    <cellStyle name="Calculation 2 2 34 7 2 2" xfId="51307"/>
    <cellStyle name="Calculation 2 2 34 7 2 3" xfId="51308"/>
    <cellStyle name="Calculation 2 2 34 7 3" xfId="37202"/>
    <cellStyle name="Calculation 2 2 34 7 4" xfId="51309"/>
    <cellStyle name="Calculation 2 2 34 8" xfId="22784"/>
    <cellStyle name="Calculation 2 2 34 8 2" xfId="31080"/>
    <cellStyle name="Calculation 2 2 34 8 2 2" xfId="51310"/>
    <cellStyle name="Calculation 2 2 34 8 2 3" xfId="51311"/>
    <cellStyle name="Calculation 2 2 34 8 3" xfId="38086"/>
    <cellStyle name="Calculation 2 2 34 8 4" xfId="51312"/>
    <cellStyle name="Calculation 2 2 34 9" xfId="23726"/>
    <cellStyle name="Calculation 2 2 34 9 2" xfId="51313"/>
    <cellStyle name="Calculation 2 2 34 9 3" xfId="51314"/>
    <cellStyle name="Calculation 2 2 35" xfId="15336"/>
    <cellStyle name="Calculation 2 2 35 10" xfId="51315"/>
    <cellStyle name="Calculation 2 2 35 11" xfId="51316"/>
    <cellStyle name="Calculation 2 2 35 2" xfId="16416"/>
    <cellStyle name="Calculation 2 2 35 2 2" xfId="24729"/>
    <cellStyle name="Calculation 2 2 35 2 2 2" xfId="51317"/>
    <cellStyle name="Calculation 2 2 35 2 2 3" xfId="51318"/>
    <cellStyle name="Calculation 2 2 35 2 3" xfId="31994"/>
    <cellStyle name="Calculation 2 2 35 2 4" xfId="51319"/>
    <cellStyle name="Calculation 2 2 35 3" xfId="17382"/>
    <cellStyle name="Calculation 2 2 35 3 2" xfId="25703"/>
    <cellStyle name="Calculation 2 2 35 3 2 2" xfId="51320"/>
    <cellStyle name="Calculation 2 2 35 3 2 3" xfId="51321"/>
    <cellStyle name="Calculation 2 2 35 3 3" xfId="32927"/>
    <cellStyle name="Calculation 2 2 35 3 4" xfId="51322"/>
    <cellStyle name="Calculation 2 2 35 4" xfId="18410"/>
    <cellStyle name="Calculation 2 2 35 4 2" xfId="26730"/>
    <cellStyle name="Calculation 2 2 35 4 2 2" xfId="51323"/>
    <cellStyle name="Calculation 2 2 35 4 2 3" xfId="51324"/>
    <cellStyle name="Calculation 2 2 35 4 3" xfId="33905"/>
    <cellStyle name="Calculation 2 2 35 4 4" xfId="51325"/>
    <cellStyle name="Calculation 2 2 35 5" xfId="19393"/>
    <cellStyle name="Calculation 2 2 35 5 2" xfId="27714"/>
    <cellStyle name="Calculation 2 2 35 5 2 2" xfId="51326"/>
    <cellStyle name="Calculation 2 2 35 5 2 3" xfId="51327"/>
    <cellStyle name="Calculation 2 2 35 5 3" xfId="34862"/>
    <cellStyle name="Calculation 2 2 35 5 4" xfId="51328"/>
    <cellStyle name="Calculation 2 2 35 6" xfId="20362"/>
    <cellStyle name="Calculation 2 2 35 6 2" xfId="28684"/>
    <cellStyle name="Calculation 2 2 35 6 2 2" xfId="51329"/>
    <cellStyle name="Calculation 2 2 35 6 2 3" xfId="51330"/>
    <cellStyle name="Calculation 2 2 35 6 3" xfId="35797"/>
    <cellStyle name="Calculation 2 2 35 6 4" xfId="51331"/>
    <cellStyle name="Calculation 2 2 35 7" xfId="21823"/>
    <cellStyle name="Calculation 2 2 35 7 2" xfId="30124"/>
    <cellStyle name="Calculation 2 2 35 7 2 2" xfId="51332"/>
    <cellStyle name="Calculation 2 2 35 7 2 3" xfId="51333"/>
    <cellStyle name="Calculation 2 2 35 7 3" xfId="37171"/>
    <cellStyle name="Calculation 2 2 35 7 4" xfId="51334"/>
    <cellStyle name="Calculation 2 2 35 8" xfId="22751"/>
    <cellStyle name="Calculation 2 2 35 8 2" xfId="31047"/>
    <cellStyle name="Calculation 2 2 35 8 2 2" xfId="51335"/>
    <cellStyle name="Calculation 2 2 35 8 2 3" xfId="51336"/>
    <cellStyle name="Calculation 2 2 35 8 3" xfId="38054"/>
    <cellStyle name="Calculation 2 2 35 8 4" xfId="51337"/>
    <cellStyle name="Calculation 2 2 35 9" xfId="23693"/>
    <cellStyle name="Calculation 2 2 35 9 2" xfId="51338"/>
    <cellStyle name="Calculation 2 2 35 9 3" xfId="51339"/>
    <cellStyle name="Calculation 2 2 36" xfId="15382"/>
    <cellStyle name="Calculation 2 2 36 10" xfId="51340"/>
    <cellStyle name="Calculation 2 2 36 11" xfId="51341"/>
    <cellStyle name="Calculation 2 2 36 2" xfId="16462"/>
    <cellStyle name="Calculation 2 2 36 2 2" xfId="24775"/>
    <cellStyle name="Calculation 2 2 36 2 2 2" xfId="51342"/>
    <cellStyle name="Calculation 2 2 36 2 2 3" xfId="51343"/>
    <cellStyle name="Calculation 2 2 36 2 3" xfId="32039"/>
    <cellStyle name="Calculation 2 2 36 2 4" xfId="51344"/>
    <cellStyle name="Calculation 2 2 36 3" xfId="17428"/>
    <cellStyle name="Calculation 2 2 36 3 2" xfId="25749"/>
    <cellStyle name="Calculation 2 2 36 3 2 2" xfId="51345"/>
    <cellStyle name="Calculation 2 2 36 3 2 3" xfId="51346"/>
    <cellStyle name="Calculation 2 2 36 3 3" xfId="32972"/>
    <cellStyle name="Calculation 2 2 36 3 4" xfId="51347"/>
    <cellStyle name="Calculation 2 2 36 4" xfId="18456"/>
    <cellStyle name="Calculation 2 2 36 4 2" xfId="26776"/>
    <cellStyle name="Calculation 2 2 36 4 2 2" xfId="51348"/>
    <cellStyle name="Calculation 2 2 36 4 2 3" xfId="51349"/>
    <cellStyle name="Calculation 2 2 36 4 3" xfId="33950"/>
    <cellStyle name="Calculation 2 2 36 4 4" xfId="51350"/>
    <cellStyle name="Calculation 2 2 36 5" xfId="19439"/>
    <cellStyle name="Calculation 2 2 36 5 2" xfId="27760"/>
    <cellStyle name="Calculation 2 2 36 5 2 2" xfId="51351"/>
    <cellStyle name="Calculation 2 2 36 5 2 3" xfId="51352"/>
    <cellStyle name="Calculation 2 2 36 5 3" xfId="34908"/>
    <cellStyle name="Calculation 2 2 36 5 4" xfId="51353"/>
    <cellStyle name="Calculation 2 2 36 6" xfId="20408"/>
    <cellStyle name="Calculation 2 2 36 6 2" xfId="28730"/>
    <cellStyle name="Calculation 2 2 36 6 2 2" xfId="51354"/>
    <cellStyle name="Calculation 2 2 36 6 2 3" xfId="51355"/>
    <cellStyle name="Calculation 2 2 36 6 3" xfId="35842"/>
    <cellStyle name="Calculation 2 2 36 6 4" xfId="51356"/>
    <cellStyle name="Calculation 2 2 36 7" xfId="21869"/>
    <cellStyle name="Calculation 2 2 36 7 2" xfId="30170"/>
    <cellStyle name="Calculation 2 2 36 7 2 2" xfId="51357"/>
    <cellStyle name="Calculation 2 2 36 7 2 3" xfId="51358"/>
    <cellStyle name="Calculation 2 2 36 7 3" xfId="37215"/>
    <cellStyle name="Calculation 2 2 36 7 4" xfId="51359"/>
    <cellStyle name="Calculation 2 2 36 8" xfId="22797"/>
    <cellStyle name="Calculation 2 2 36 8 2" xfId="31093"/>
    <cellStyle name="Calculation 2 2 36 8 2 2" xfId="51360"/>
    <cellStyle name="Calculation 2 2 36 8 2 3" xfId="51361"/>
    <cellStyle name="Calculation 2 2 36 8 3" xfId="38099"/>
    <cellStyle name="Calculation 2 2 36 8 4" xfId="51362"/>
    <cellStyle name="Calculation 2 2 36 9" xfId="23739"/>
    <cellStyle name="Calculation 2 2 36 9 2" xfId="51363"/>
    <cellStyle name="Calculation 2 2 36 9 3" xfId="51364"/>
    <cellStyle name="Calculation 2 2 37" xfId="15398"/>
    <cellStyle name="Calculation 2 2 37 10" xfId="51365"/>
    <cellStyle name="Calculation 2 2 37 11" xfId="51366"/>
    <cellStyle name="Calculation 2 2 37 2" xfId="16478"/>
    <cellStyle name="Calculation 2 2 37 2 2" xfId="24791"/>
    <cellStyle name="Calculation 2 2 37 2 2 2" xfId="51367"/>
    <cellStyle name="Calculation 2 2 37 2 2 3" xfId="51368"/>
    <cellStyle name="Calculation 2 2 37 2 3" xfId="32053"/>
    <cellStyle name="Calculation 2 2 37 2 4" xfId="51369"/>
    <cellStyle name="Calculation 2 2 37 3" xfId="17444"/>
    <cellStyle name="Calculation 2 2 37 3 2" xfId="25765"/>
    <cellStyle name="Calculation 2 2 37 3 2 2" xfId="51370"/>
    <cellStyle name="Calculation 2 2 37 3 2 3" xfId="51371"/>
    <cellStyle name="Calculation 2 2 37 3 3" xfId="32986"/>
    <cellStyle name="Calculation 2 2 37 3 4" xfId="51372"/>
    <cellStyle name="Calculation 2 2 37 4" xfId="18472"/>
    <cellStyle name="Calculation 2 2 37 4 2" xfId="26792"/>
    <cellStyle name="Calculation 2 2 37 4 2 2" xfId="51373"/>
    <cellStyle name="Calculation 2 2 37 4 2 3" xfId="51374"/>
    <cellStyle name="Calculation 2 2 37 4 3" xfId="33964"/>
    <cellStyle name="Calculation 2 2 37 4 4" xfId="51375"/>
    <cellStyle name="Calculation 2 2 37 5" xfId="19455"/>
    <cellStyle name="Calculation 2 2 37 5 2" xfId="27776"/>
    <cellStyle name="Calculation 2 2 37 5 2 2" xfId="51376"/>
    <cellStyle name="Calculation 2 2 37 5 2 3" xfId="51377"/>
    <cellStyle name="Calculation 2 2 37 5 3" xfId="34924"/>
    <cellStyle name="Calculation 2 2 37 5 4" xfId="51378"/>
    <cellStyle name="Calculation 2 2 37 6" xfId="20424"/>
    <cellStyle name="Calculation 2 2 37 6 2" xfId="28746"/>
    <cellStyle name="Calculation 2 2 37 6 2 2" xfId="51379"/>
    <cellStyle name="Calculation 2 2 37 6 2 3" xfId="51380"/>
    <cellStyle name="Calculation 2 2 37 6 3" xfId="35856"/>
    <cellStyle name="Calculation 2 2 37 6 4" xfId="51381"/>
    <cellStyle name="Calculation 2 2 37 7" xfId="21885"/>
    <cellStyle name="Calculation 2 2 37 7 2" xfId="30186"/>
    <cellStyle name="Calculation 2 2 37 7 2 2" xfId="51382"/>
    <cellStyle name="Calculation 2 2 37 7 2 3" xfId="51383"/>
    <cellStyle name="Calculation 2 2 37 7 3" xfId="37229"/>
    <cellStyle name="Calculation 2 2 37 7 4" xfId="51384"/>
    <cellStyle name="Calculation 2 2 37 8" xfId="22813"/>
    <cellStyle name="Calculation 2 2 37 8 2" xfId="31109"/>
    <cellStyle name="Calculation 2 2 37 8 2 2" xfId="51385"/>
    <cellStyle name="Calculation 2 2 37 8 2 3" xfId="51386"/>
    <cellStyle name="Calculation 2 2 37 8 3" xfId="38113"/>
    <cellStyle name="Calculation 2 2 37 8 4" xfId="51387"/>
    <cellStyle name="Calculation 2 2 37 9" xfId="23755"/>
    <cellStyle name="Calculation 2 2 37 9 2" xfId="51388"/>
    <cellStyle name="Calculation 2 2 37 9 3" xfId="51389"/>
    <cellStyle name="Calculation 2 2 38" xfId="15414"/>
    <cellStyle name="Calculation 2 2 38 10" xfId="51390"/>
    <cellStyle name="Calculation 2 2 38 11" xfId="51391"/>
    <cellStyle name="Calculation 2 2 38 2" xfId="16494"/>
    <cellStyle name="Calculation 2 2 38 2 2" xfId="24807"/>
    <cellStyle name="Calculation 2 2 38 2 2 2" xfId="51392"/>
    <cellStyle name="Calculation 2 2 38 2 2 3" xfId="51393"/>
    <cellStyle name="Calculation 2 2 38 2 3" xfId="32068"/>
    <cellStyle name="Calculation 2 2 38 2 4" xfId="51394"/>
    <cellStyle name="Calculation 2 2 38 3" xfId="17460"/>
    <cellStyle name="Calculation 2 2 38 3 2" xfId="25781"/>
    <cellStyle name="Calculation 2 2 38 3 2 2" xfId="51395"/>
    <cellStyle name="Calculation 2 2 38 3 2 3" xfId="51396"/>
    <cellStyle name="Calculation 2 2 38 3 3" xfId="33001"/>
    <cellStyle name="Calculation 2 2 38 3 4" xfId="51397"/>
    <cellStyle name="Calculation 2 2 38 4" xfId="18488"/>
    <cellStyle name="Calculation 2 2 38 4 2" xfId="26808"/>
    <cellStyle name="Calculation 2 2 38 4 2 2" xfId="51398"/>
    <cellStyle name="Calculation 2 2 38 4 2 3" xfId="51399"/>
    <cellStyle name="Calculation 2 2 38 4 3" xfId="33979"/>
    <cellStyle name="Calculation 2 2 38 4 4" xfId="51400"/>
    <cellStyle name="Calculation 2 2 38 5" xfId="19471"/>
    <cellStyle name="Calculation 2 2 38 5 2" xfId="27792"/>
    <cellStyle name="Calculation 2 2 38 5 2 2" xfId="51401"/>
    <cellStyle name="Calculation 2 2 38 5 2 3" xfId="51402"/>
    <cellStyle name="Calculation 2 2 38 5 3" xfId="34940"/>
    <cellStyle name="Calculation 2 2 38 5 4" xfId="51403"/>
    <cellStyle name="Calculation 2 2 38 6" xfId="20440"/>
    <cellStyle name="Calculation 2 2 38 6 2" xfId="28762"/>
    <cellStyle name="Calculation 2 2 38 6 2 2" xfId="51404"/>
    <cellStyle name="Calculation 2 2 38 6 2 3" xfId="51405"/>
    <cellStyle name="Calculation 2 2 38 6 3" xfId="35871"/>
    <cellStyle name="Calculation 2 2 38 6 4" xfId="51406"/>
    <cellStyle name="Calculation 2 2 38 7" xfId="21901"/>
    <cellStyle name="Calculation 2 2 38 7 2" xfId="30202"/>
    <cellStyle name="Calculation 2 2 38 7 2 2" xfId="51407"/>
    <cellStyle name="Calculation 2 2 38 7 2 3" xfId="51408"/>
    <cellStyle name="Calculation 2 2 38 7 3" xfId="37244"/>
    <cellStyle name="Calculation 2 2 38 7 4" xfId="51409"/>
    <cellStyle name="Calculation 2 2 38 8" xfId="22829"/>
    <cellStyle name="Calculation 2 2 38 8 2" xfId="31125"/>
    <cellStyle name="Calculation 2 2 38 8 2 2" xfId="51410"/>
    <cellStyle name="Calculation 2 2 38 8 2 3" xfId="51411"/>
    <cellStyle name="Calculation 2 2 38 8 3" xfId="38128"/>
    <cellStyle name="Calculation 2 2 38 8 4" xfId="51412"/>
    <cellStyle name="Calculation 2 2 38 9" xfId="23771"/>
    <cellStyle name="Calculation 2 2 38 9 2" xfId="51413"/>
    <cellStyle name="Calculation 2 2 38 9 3" xfId="51414"/>
    <cellStyle name="Calculation 2 2 39" xfId="15428"/>
    <cellStyle name="Calculation 2 2 39 10" xfId="51415"/>
    <cellStyle name="Calculation 2 2 39 11" xfId="51416"/>
    <cellStyle name="Calculation 2 2 39 2" xfId="16508"/>
    <cellStyle name="Calculation 2 2 39 2 2" xfId="24821"/>
    <cellStyle name="Calculation 2 2 39 2 2 2" xfId="51417"/>
    <cellStyle name="Calculation 2 2 39 2 2 3" xfId="51418"/>
    <cellStyle name="Calculation 2 2 39 2 3" xfId="32082"/>
    <cellStyle name="Calculation 2 2 39 2 4" xfId="51419"/>
    <cellStyle name="Calculation 2 2 39 3" xfId="17474"/>
    <cellStyle name="Calculation 2 2 39 3 2" xfId="25795"/>
    <cellStyle name="Calculation 2 2 39 3 2 2" xfId="51420"/>
    <cellStyle name="Calculation 2 2 39 3 2 3" xfId="51421"/>
    <cellStyle name="Calculation 2 2 39 3 3" xfId="33015"/>
    <cellStyle name="Calculation 2 2 39 3 4" xfId="51422"/>
    <cellStyle name="Calculation 2 2 39 4" xfId="18502"/>
    <cellStyle name="Calculation 2 2 39 4 2" xfId="26822"/>
    <cellStyle name="Calculation 2 2 39 4 2 2" xfId="51423"/>
    <cellStyle name="Calculation 2 2 39 4 2 3" xfId="51424"/>
    <cellStyle name="Calculation 2 2 39 4 3" xfId="33993"/>
    <cellStyle name="Calculation 2 2 39 4 4" xfId="51425"/>
    <cellStyle name="Calculation 2 2 39 5" xfId="19485"/>
    <cellStyle name="Calculation 2 2 39 5 2" xfId="27806"/>
    <cellStyle name="Calculation 2 2 39 5 2 2" xfId="51426"/>
    <cellStyle name="Calculation 2 2 39 5 2 3" xfId="51427"/>
    <cellStyle name="Calculation 2 2 39 5 3" xfId="34954"/>
    <cellStyle name="Calculation 2 2 39 5 4" xfId="51428"/>
    <cellStyle name="Calculation 2 2 39 6" xfId="20454"/>
    <cellStyle name="Calculation 2 2 39 6 2" xfId="28776"/>
    <cellStyle name="Calculation 2 2 39 6 2 2" xfId="51429"/>
    <cellStyle name="Calculation 2 2 39 6 2 3" xfId="51430"/>
    <cellStyle name="Calculation 2 2 39 6 3" xfId="35885"/>
    <cellStyle name="Calculation 2 2 39 6 4" xfId="51431"/>
    <cellStyle name="Calculation 2 2 39 7" xfId="21915"/>
    <cellStyle name="Calculation 2 2 39 7 2" xfId="30216"/>
    <cellStyle name="Calculation 2 2 39 7 2 2" xfId="51432"/>
    <cellStyle name="Calculation 2 2 39 7 2 3" xfId="51433"/>
    <cellStyle name="Calculation 2 2 39 7 3" xfId="37258"/>
    <cellStyle name="Calculation 2 2 39 7 4" xfId="51434"/>
    <cellStyle name="Calculation 2 2 39 8" xfId="22843"/>
    <cellStyle name="Calculation 2 2 39 8 2" xfId="31139"/>
    <cellStyle name="Calculation 2 2 39 8 2 2" xfId="51435"/>
    <cellStyle name="Calculation 2 2 39 8 2 3" xfId="51436"/>
    <cellStyle name="Calculation 2 2 39 8 3" xfId="38142"/>
    <cellStyle name="Calculation 2 2 39 8 4" xfId="51437"/>
    <cellStyle name="Calculation 2 2 39 9" xfId="23785"/>
    <cellStyle name="Calculation 2 2 39 9 2" xfId="51438"/>
    <cellStyle name="Calculation 2 2 39 9 3" xfId="51439"/>
    <cellStyle name="Calculation 2 2 4" xfId="136"/>
    <cellStyle name="Calculation 2 2 4 10" xfId="51440"/>
    <cellStyle name="Calculation 2 2 4 11" xfId="51441"/>
    <cellStyle name="Calculation 2 2 4 12" xfId="51442"/>
    <cellStyle name="Calculation 2 2 4 13" xfId="60666"/>
    <cellStyle name="Calculation 2 2 4 2" xfId="262"/>
    <cellStyle name="Calculation 2 2 4 2 2" xfId="672"/>
    <cellStyle name="Calculation 2 2 4 2 2 2" xfId="1623"/>
    <cellStyle name="Calculation 2 2 4 2 2 2 2" xfId="784"/>
    <cellStyle name="Calculation 2 2 4 2 2 2 2 2" xfId="2747"/>
    <cellStyle name="Calculation 2 2 4 2 2 2 2 2 2" xfId="6167"/>
    <cellStyle name="Calculation 2 2 4 2 2 2 2 2 2 2" xfId="13007"/>
    <cellStyle name="Calculation 2 2 4 2 2 2 2 2 3" xfId="9587"/>
    <cellStyle name="Calculation 2 2 4 2 2 2 2 3" xfId="3887"/>
    <cellStyle name="Calculation 2 2 4 2 2 2 2 3 2" xfId="7307"/>
    <cellStyle name="Calculation 2 2 4 2 2 2 2 3 2 2" xfId="14147"/>
    <cellStyle name="Calculation 2 2 4 2 2 2 2 3 3" xfId="10727"/>
    <cellStyle name="Calculation 2 2 4 2 2 2 2 4" xfId="5027"/>
    <cellStyle name="Calculation 2 2 4 2 2 2 2 4 2" xfId="11867"/>
    <cellStyle name="Calculation 2 2 4 2 2 2 2 5" xfId="8447"/>
    <cellStyle name="Calculation 2 2 4 2 2 2 3" xfId="2457"/>
    <cellStyle name="Calculation 2 2 4 2 2 2 3 2" xfId="5877"/>
    <cellStyle name="Calculation 2 2 4 2 2 2 3 2 2" xfId="12717"/>
    <cellStyle name="Calculation 2 2 4 2 2 2 3 3" xfId="9297"/>
    <cellStyle name="Calculation 2 2 4 2 2 2 4" xfId="3597"/>
    <cellStyle name="Calculation 2 2 4 2 2 2 4 2" xfId="7017"/>
    <cellStyle name="Calculation 2 2 4 2 2 2 4 2 2" xfId="13857"/>
    <cellStyle name="Calculation 2 2 4 2 2 2 4 3" xfId="10437"/>
    <cellStyle name="Calculation 2 2 4 2 2 2 5" xfId="4737"/>
    <cellStyle name="Calculation 2 2 4 2 2 2 5 2" xfId="11577"/>
    <cellStyle name="Calculation 2 2 4 2 2 2 6" xfId="8157"/>
    <cellStyle name="Calculation 2 2 4 2 2 3" xfId="38516"/>
    <cellStyle name="Calculation 2 2 4 2 2 4" xfId="51443"/>
    <cellStyle name="Calculation 2 2 4 2 2 5" xfId="51444"/>
    <cellStyle name="Calculation 2 2 4 2 2 6" xfId="51445"/>
    <cellStyle name="Calculation 2 2 4 2 2 7" xfId="51446"/>
    <cellStyle name="Calculation 2 2 4 2 2 8" xfId="60668"/>
    <cellStyle name="Calculation 2 2 4 2 3" xfId="1269"/>
    <cellStyle name="Calculation 2 2 4 2 3 2" xfId="1662"/>
    <cellStyle name="Calculation 2 2 4 2 3 2 2" xfId="2802"/>
    <cellStyle name="Calculation 2 2 4 2 3 2 2 2" xfId="6222"/>
    <cellStyle name="Calculation 2 2 4 2 3 2 2 2 2" xfId="13062"/>
    <cellStyle name="Calculation 2 2 4 2 3 2 2 3" xfId="9642"/>
    <cellStyle name="Calculation 2 2 4 2 3 2 3" xfId="3942"/>
    <cellStyle name="Calculation 2 2 4 2 3 2 3 2" xfId="7362"/>
    <cellStyle name="Calculation 2 2 4 2 3 2 3 2 2" xfId="14202"/>
    <cellStyle name="Calculation 2 2 4 2 3 2 3 3" xfId="10782"/>
    <cellStyle name="Calculation 2 2 4 2 3 2 4" xfId="5082"/>
    <cellStyle name="Calculation 2 2 4 2 3 2 4 2" xfId="11922"/>
    <cellStyle name="Calculation 2 2 4 2 3 2 5" xfId="8502"/>
    <cellStyle name="Calculation 2 2 4 2 3 3" xfId="2089"/>
    <cellStyle name="Calculation 2 2 4 2 3 3 2" xfId="5509"/>
    <cellStyle name="Calculation 2 2 4 2 3 3 2 2" xfId="12349"/>
    <cellStyle name="Calculation 2 2 4 2 3 3 3" xfId="8929"/>
    <cellStyle name="Calculation 2 2 4 2 3 4" xfId="3229"/>
    <cellStyle name="Calculation 2 2 4 2 3 4 2" xfId="6649"/>
    <cellStyle name="Calculation 2 2 4 2 3 4 2 2" xfId="13489"/>
    <cellStyle name="Calculation 2 2 4 2 3 4 3" xfId="10069"/>
    <cellStyle name="Calculation 2 2 4 2 3 5" xfId="4369"/>
    <cellStyle name="Calculation 2 2 4 2 3 5 2" xfId="11209"/>
    <cellStyle name="Calculation 2 2 4 2 3 6" xfId="7789"/>
    <cellStyle name="Calculation 2 2 4 2 4" xfId="15615"/>
    <cellStyle name="Calculation 2 2 4 2 5" xfId="23928"/>
    <cellStyle name="Calculation 2 2 4 2 6" xfId="38279"/>
    <cellStyle name="Calculation 2 2 4 2 7" xfId="51447"/>
    <cellStyle name="Calculation 2 2 4 2 8" xfId="60667"/>
    <cellStyle name="Calculation 2 2 4 3" xfId="584"/>
    <cellStyle name="Calculation 2 2 4 3 2" xfId="1571"/>
    <cellStyle name="Calculation 2 2 4 3 2 2" xfId="825"/>
    <cellStyle name="Calculation 2 2 4 3 2 2 2" xfId="2573"/>
    <cellStyle name="Calculation 2 2 4 3 2 2 2 2" xfId="5993"/>
    <cellStyle name="Calculation 2 2 4 3 2 2 2 2 2" xfId="12833"/>
    <cellStyle name="Calculation 2 2 4 3 2 2 2 3" xfId="9413"/>
    <cellStyle name="Calculation 2 2 4 3 2 2 3" xfId="3713"/>
    <cellStyle name="Calculation 2 2 4 3 2 2 3 2" xfId="7133"/>
    <cellStyle name="Calculation 2 2 4 3 2 2 3 2 2" xfId="13973"/>
    <cellStyle name="Calculation 2 2 4 3 2 2 3 3" xfId="10553"/>
    <cellStyle name="Calculation 2 2 4 3 2 2 4" xfId="4853"/>
    <cellStyle name="Calculation 2 2 4 3 2 2 4 2" xfId="11693"/>
    <cellStyle name="Calculation 2 2 4 3 2 2 5" xfId="8273"/>
    <cellStyle name="Calculation 2 2 4 3 2 3" xfId="2396"/>
    <cellStyle name="Calculation 2 2 4 3 2 3 2" xfId="5816"/>
    <cellStyle name="Calculation 2 2 4 3 2 3 2 2" xfId="12656"/>
    <cellStyle name="Calculation 2 2 4 3 2 3 3" xfId="9236"/>
    <cellStyle name="Calculation 2 2 4 3 2 4" xfId="3536"/>
    <cellStyle name="Calculation 2 2 4 3 2 4 2" xfId="6956"/>
    <cellStyle name="Calculation 2 2 4 3 2 4 2 2" xfId="13796"/>
    <cellStyle name="Calculation 2 2 4 3 2 4 3" xfId="10376"/>
    <cellStyle name="Calculation 2 2 4 3 2 5" xfId="4676"/>
    <cellStyle name="Calculation 2 2 4 3 2 5 2" xfId="11516"/>
    <cellStyle name="Calculation 2 2 4 3 2 6" xfId="8096"/>
    <cellStyle name="Calculation 2 2 4 3 3" xfId="16583"/>
    <cellStyle name="Calculation 2 2 4 3 4" xfId="24899"/>
    <cellStyle name="Calculation 2 2 4 3 5" xfId="32159"/>
    <cellStyle name="Calculation 2 2 4 3 6" xfId="51448"/>
    <cellStyle name="Calculation 2 2 4 3 7" xfId="51449"/>
    <cellStyle name="Calculation 2 2 4 3 8" xfId="51450"/>
    <cellStyle name="Calculation 2 2 4 3 9" xfId="60669"/>
    <cellStyle name="Calculation 2 2 4 4" xfId="1145"/>
    <cellStyle name="Calculation 2 2 4 4 2" xfId="1055"/>
    <cellStyle name="Calculation 2 2 4 4 2 2" xfId="2733"/>
    <cellStyle name="Calculation 2 2 4 4 2 2 2" xfId="6153"/>
    <cellStyle name="Calculation 2 2 4 4 2 2 2 2" xfId="12993"/>
    <cellStyle name="Calculation 2 2 4 4 2 2 3" xfId="9573"/>
    <cellStyle name="Calculation 2 2 4 4 2 3" xfId="3873"/>
    <cellStyle name="Calculation 2 2 4 4 2 3 2" xfId="7293"/>
    <cellStyle name="Calculation 2 2 4 4 2 3 2 2" xfId="14133"/>
    <cellStyle name="Calculation 2 2 4 4 2 3 3" xfId="10713"/>
    <cellStyle name="Calculation 2 2 4 4 2 4" xfId="5013"/>
    <cellStyle name="Calculation 2 2 4 4 2 4 2" xfId="11853"/>
    <cellStyle name="Calculation 2 2 4 4 2 5" xfId="8433"/>
    <cellStyle name="Calculation 2 2 4 4 3" xfId="1964"/>
    <cellStyle name="Calculation 2 2 4 4 3 2" xfId="5384"/>
    <cellStyle name="Calculation 2 2 4 4 3 2 2" xfId="12224"/>
    <cellStyle name="Calculation 2 2 4 4 3 3" xfId="8804"/>
    <cellStyle name="Calculation 2 2 4 4 4" xfId="3104"/>
    <cellStyle name="Calculation 2 2 4 4 4 2" xfId="6524"/>
    <cellStyle name="Calculation 2 2 4 4 4 2 2" xfId="13364"/>
    <cellStyle name="Calculation 2 2 4 4 4 3" xfId="9944"/>
    <cellStyle name="Calculation 2 2 4 4 5" xfId="4244"/>
    <cellStyle name="Calculation 2 2 4 4 5 2" xfId="11084"/>
    <cellStyle name="Calculation 2 2 4 4 6" xfId="7664"/>
    <cellStyle name="Calculation 2 2 4 4 7" xfId="17602"/>
    <cellStyle name="Calculation 2 2 4 4 8" xfId="25924"/>
    <cellStyle name="Calculation 2 2 4 4 9" xfId="33136"/>
    <cellStyle name="Calculation 2 2 4 5" xfId="18583"/>
    <cellStyle name="Calculation 2 2 4 5 2" xfId="26902"/>
    <cellStyle name="Calculation 2 2 4 5 2 2" xfId="51451"/>
    <cellStyle name="Calculation 2 2 4 5 2 3" xfId="51452"/>
    <cellStyle name="Calculation 2 2 4 5 3" xfId="34071"/>
    <cellStyle name="Calculation 2 2 4 5 4" xfId="51453"/>
    <cellStyle name="Calculation 2 2 4 6" xfId="19551"/>
    <cellStyle name="Calculation 2 2 4 6 2" xfId="27872"/>
    <cellStyle name="Calculation 2 2 4 6 2 2" xfId="51454"/>
    <cellStyle name="Calculation 2 2 4 6 2 3" xfId="51455"/>
    <cellStyle name="Calculation 2 2 4 6 3" xfId="35019"/>
    <cellStyle name="Calculation 2 2 4 6 4" xfId="51456"/>
    <cellStyle name="Calculation 2 2 4 7" xfId="20509"/>
    <cellStyle name="Calculation 2 2 4 7 2" xfId="28831"/>
    <cellStyle name="Calculation 2 2 4 7 2 2" xfId="51457"/>
    <cellStyle name="Calculation 2 2 4 7 2 3" xfId="51458"/>
    <cellStyle name="Calculation 2 2 4 7 3" xfId="35936"/>
    <cellStyle name="Calculation 2 2 4 7 4" xfId="51459"/>
    <cellStyle name="Calculation 2 2 4 8" xfId="22892"/>
    <cellStyle name="Calculation 2 2 4 8 2" xfId="51460"/>
    <cellStyle name="Calculation 2 2 4 8 3" xfId="51461"/>
    <cellStyle name="Calculation 2 2 4 9" xfId="51462"/>
    <cellStyle name="Calculation 2 2 40" xfId="15442"/>
    <cellStyle name="Calculation 2 2 40 10" xfId="51463"/>
    <cellStyle name="Calculation 2 2 40 11" xfId="51464"/>
    <cellStyle name="Calculation 2 2 40 2" xfId="16522"/>
    <cellStyle name="Calculation 2 2 40 2 2" xfId="24835"/>
    <cellStyle name="Calculation 2 2 40 2 2 2" xfId="51465"/>
    <cellStyle name="Calculation 2 2 40 2 2 3" xfId="51466"/>
    <cellStyle name="Calculation 2 2 40 2 3" xfId="32096"/>
    <cellStyle name="Calculation 2 2 40 2 4" xfId="51467"/>
    <cellStyle name="Calculation 2 2 40 3" xfId="17488"/>
    <cellStyle name="Calculation 2 2 40 3 2" xfId="25809"/>
    <cellStyle name="Calculation 2 2 40 3 2 2" xfId="51468"/>
    <cellStyle name="Calculation 2 2 40 3 2 3" xfId="51469"/>
    <cellStyle name="Calculation 2 2 40 3 3" xfId="33029"/>
    <cellStyle name="Calculation 2 2 40 3 4" xfId="51470"/>
    <cellStyle name="Calculation 2 2 40 4" xfId="18516"/>
    <cellStyle name="Calculation 2 2 40 4 2" xfId="26836"/>
    <cellStyle name="Calculation 2 2 40 4 2 2" xfId="51471"/>
    <cellStyle name="Calculation 2 2 40 4 2 3" xfId="51472"/>
    <cellStyle name="Calculation 2 2 40 4 3" xfId="34007"/>
    <cellStyle name="Calculation 2 2 40 4 4" xfId="51473"/>
    <cellStyle name="Calculation 2 2 40 5" xfId="19499"/>
    <cellStyle name="Calculation 2 2 40 5 2" xfId="27820"/>
    <cellStyle name="Calculation 2 2 40 5 2 2" xfId="51474"/>
    <cellStyle name="Calculation 2 2 40 5 2 3" xfId="51475"/>
    <cellStyle name="Calculation 2 2 40 5 3" xfId="34968"/>
    <cellStyle name="Calculation 2 2 40 5 4" xfId="51476"/>
    <cellStyle name="Calculation 2 2 40 6" xfId="20468"/>
    <cellStyle name="Calculation 2 2 40 6 2" xfId="28790"/>
    <cellStyle name="Calculation 2 2 40 6 2 2" xfId="51477"/>
    <cellStyle name="Calculation 2 2 40 6 2 3" xfId="51478"/>
    <cellStyle name="Calculation 2 2 40 6 3" xfId="35899"/>
    <cellStyle name="Calculation 2 2 40 6 4" xfId="51479"/>
    <cellStyle name="Calculation 2 2 40 7" xfId="21929"/>
    <cellStyle name="Calculation 2 2 40 7 2" xfId="30230"/>
    <cellStyle name="Calculation 2 2 40 7 2 2" xfId="51480"/>
    <cellStyle name="Calculation 2 2 40 7 2 3" xfId="51481"/>
    <cellStyle name="Calculation 2 2 40 7 3" xfId="37272"/>
    <cellStyle name="Calculation 2 2 40 7 4" xfId="51482"/>
    <cellStyle name="Calculation 2 2 40 8" xfId="22857"/>
    <cellStyle name="Calculation 2 2 40 8 2" xfId="31153"/>
    <cellStyle name="Calculation 2 2 40 8 2 2" xfId="51483"/>
    <cellStyle name="Calculation 2 2 40 8 2 3" xfId="51484"/>
    <cellStyle name="Calculation 2 2 40 8 3" xfId="38156"/>
    <cellStyle name="Calculation 2 2 40 8 4" xfId="51485"/>
    <cellStyle name="Calculation 2 2 40 9" xfId="23799"/>
    <cellStyle name="Calculation 2 2 40 9 2" xfId="51486"/>
    <cellStyle name="Calculation 2 2 40 9 3" xfId="51487"/>
    <cellStyle name="Calculation 2 2 41" xfId="15364"/>
    <cellStyle name="Calculation 2 2 41 10" xfId="51488"/>
    <cellStyle name="Calculation 2 2 41 11" xfId="51489"/>
    <cellStyle name="Calculation 2 2 41 2" xfId="16444"/>
    <cellStyle name="Calculation 2 2 41 2 2" xfId="24757"/>
    <cellStyle name="Calculation 2 2 41 2 2 2" xfId="51490"/>
    <cellStyle name="Calculation 2 2 41 2 2 3" xfId="51491"/>
    <cellStyle name="Calculation 2 2 41 2 3" xfId="32021"/>
    <cellStyle name="Calculation 2 2 41 2 4" xfId="51492"/>
    <cellStyle name="Calculation 2 2 41 3" xfId="17410"/>
    <cellStyle name="Calculation 2 2 41 3 2" xfId="25731"/>
    <cellStyle name="Calculation 2 2 41 3 2 2" xfId="51493"/>
    <cellStyle name="Calculation 2 2 41 3 2 3" xfId="51494"/>
    <cellStyle name="Calculation 2 2 41 3 3" xfId="32954"/>
    <cellStyle name="Calculation 2 2 41 3 4" xfId="51495"/>
    <cellStyle name="Calculation 2 2 41 4" xfId="18438"/>
    <cellStyle name="Calculation 2 2 41 4 2" xfId="26758"/>
    <cellStyle name="Calculation 2 2 41 4 2 2" xfId="51496"/>
    <cellStyle name="Calculation 2 2 41 4 2 3" xfId="51497"/>
    <cellStyle name="Calculation 2 2 41 4 3" xfId="33932"/>
    <cellStyle name="Calculation 2 2 41 4 4" xfId="51498"/>
    <cellStyle name="Calculation 2 2 41 5" xfId="19421"/>
    <cellStyle name="Calculation 2 2 41 5 2" xfId="27742"/>
    <cellStyle name="Calculation 2 2 41 5 2 2" xfId="51499"/>
    <cellStyle name="Calculation 2 2 41 5 2 3" xfId="51500"/>
    <cellStyle name="Calculation 2 2 41 5 3" xfId="34890"/>
    <cellStyle name="Calculation 2 2 41 5 4" xfId="51501"/>
    <cellStyle name="Calculation 2 2 41 6" xfId="20390"/>
    <cellStyle name="Calculation 2 2 41 6 2" xfId="28712"/>
    <cellStyle name="Calculation 2 2 41 6 2 2" xfId="51502"/>
    <cellStyle name="Calculation 2 2 41 6 2 3" xfId="51503"/>
    <cellStyle name="Calculation 2 2 41 6 3" xfId="35824"/>
    <cellStyle name="Calculation 2 2 41 6 4" xfId="51504"/>
    <cellStyle name="Calculation 2 2 41 7" xfId="21851"/>
    <cellStyle name="Calculation 2 2 41 7 2" xfId="30152"/>
    <cellStyle name="Calculation 2 2 41 7 2 2" xfId="51505"/>
    <cellStyle name="Calculation 2 2 41 7 2 3" xfId="51506"/>
    <cellStyle name="Calculation 2 2 41 7 3" xfId="37197"/>
    <cellStyle name="Calculation 2 2 41 7 4" xfId="51507"/>
    <cellStyle name="Calculation 2 2 41 8" xfId="22779"/>
    <cellStyle name="Calculation 2 2 41 8 2" xfId="31075"/>
    <cellStyle name="Calculation 2 2 41 8 2 2" xfId="51508"/>
    <cellStyle name="Calculation 2 2 41 8 2 3" xfId="51509"/>
    <cellStyle name="Calculation 2 2 41 8 3" xfId="38081"/>
    <cellStyle name="Calculation 2 2 41 8 4" xfId="51510"/>
    <cellStyle name="Calculation 2 2 41 9" xfId="23721"/>
    <cellStyle name="Calculation 2 2 41 9 2" xfId="51511"/>
    <cellStyle name="Calculation 2 2 41 9 3" xfId="51512"/>
    <cellStyle name="Calculation 2 2 42" xfId="15474"/>
    <cellStyle name="Calculation 2 2 42 10" xfId="51513"/>
    <cellStyle name="Calculation 2 2 42 11" xfId="51514"/>
    <cellStyle name="Calculation 2 2 42 2" xfId="16548"/>
    <cellStyle name="Calculation 2 2 42 2 2" xfId="24861"/>
    <cellStyle name="Calculation 2 2 42 2 2 2" xfId="51515"/>
    <cellStyle name="Calculation 2 2 42 2 2 3" xfId="51516"/>
    <cellStyle name="Calculation 2 2 42 2 3" xfId="32121"/>
    <cellStyle name="Calculation 2 2 42 2 4" xfId="51517"/>
    <cellStyle name="Calculation 2 2 42 3" xfId="17520"/>
    <cellStyle name="Calculation 2 2 42 3 2" xfId="25840"/>
    <cellStyle name="Calculation 2 2 42 3 2 2" xfId="51518"/>
    <cellStyle name="Calculation 2 2 42 3 2 3" xfId="51519"/>
    <cellStyle name="Calculation 2 2 42 3 3" xfId="33058"/>
    <cellStyle name="Calculation 2 2 42 3 4" xfId="51520"/>
    <cellStyle name="Calculation 2 2 42 4" xfId="18547"/>
    <cellStyle name="Calculation 2 2 42 4 2" xfId="26864"/>
    <cellStyle name="Calculation 2 2 42 4 2 2" xfId="51521"/>
    <cellStyle name="Calculation 2 2 42 4 2 3" xfId="51522"/>
    <cellStyle name="Calculation 2 2 42 4 3" xfId="34034"/>
    <cellStyle name="Calculation 2 2 42 4 4" xfId="51523"/>
    <cellStyle name="Calculation 2 2 42 5" xfId="19531"/>
    <cellStyle name="Calculation 2 2 42 5 2" xfId="27852"/>
    <cellStyle name="Calculation 2 2 42 5 2 2" xfId="51524"/>
    <cellStyle name="Calculation 2 2 42 5 2 3" xfId="51525"/>
    <cellStyle name="Calculation 2 2 42 5 3" xfId="35000"/>
    <cellStyle name="Calculation 2 2 42 5 4" xfId="51526"/>
    <cellStyle name="Calculation 2 2 42 6" xfId="20495"/>
    <cellStyle name="Calculation 2 2 42 6 2" xfId="28817"/>
    <cellStyle name="Calculation 2 2 42 6 2 2" xfId="51527"/>
    <cellStyle name="Calculation 2 2 42 6 2 3" xfId="51528"/>
    <cellStyle name="Calculation 2 2 42 6 3" xfId="35924"/>
    <cellStyle name="Calculation 2 2 42 6 4" xfId="51529"/>
    <cellStyle name="Calculation 2 2 42 7" xfId="21955"/>
    <cellStyle name="Calculation 2 2 42 7 2" xfId="30256"/>
    <cellStyle name="Calculation 2 2 42 7 2 2" xfId="51530"/>
    <cellStyle name="Calculation 2 2 42 7 2 3" xfId="51531"/>
    <cellStyle name="Calculation 2 2 42 7 3" xfId="37296"/>
    <cellStyle name="Calculation 2 2 42 7 4" xfId="51532"/>
    <cellStyle name="Calculation 2 2 42 8" xfId="22879"/>
    <cellStyle name="Calculation 2 2 42 8 2" xfId="31175"/>
    <cellStyle name="Calculation 2 2 42 8 2 2" xfId="51533"/>
    <cellStyle name="Calculation 2 2 42 8 2 3" xfId="51534"/>
    <cellStyle name="Calculation 2 2 42 8 3" xfId="38177"/>
    <cellStyle name="Calculation 2 2 42 8 4" xfId="51535"/>
    <cellStyle name="Calculation 2 2 42 9" xfId="23824"/>
    <cellStyle name="Calculation 2 2 42 9 2" xfId="51536"/>
    <cellStyle name="Calculation 2 2 42 9 3" xfId="51537"/>
    <cellStyle name="Calculation 2 2 43" xfId="16546"/>
    <cellStyle name="Calculation 2 2 43 2" xfId="24859"/>
    <cellStyle name="Calculation 2 2 43 2 2" xfId="51538"/>
    <cellStyle name="Calculation 2 2 43 2 3" xfId="51539"/>
    <cellStyle name="Calculation 2 2 43 3" xfId="32119"/>
    <cellStyle name="Calculation 2 2 43 4" xfId="51540"/>
    <cellStyle name="Calculation 2 2 44" xfId="15558"/>
    <cellStyle name="Calculation 2 2 44 2" xfId="23886"/>
    <cellStyle name="Calculation 2 2 44 2 2" xfId="51541"/>
    <cellStyle name="Calculation 2 2 44 2 3" xfId="51542"/>
    <cellStyle name="Calculation 2 2 44 3" xfId="31230"/>
    <cellStyle name="Calculation 2 2 44 4" xfId="51543"/>
    <cellStyle name="Calculation 2 2 45" xfId="20038"/>
    <cellStyle name="Calculation 2 2 45 2" xfId="28360"/>
    <cellStyle name="Calculation 2 2 45 2 2" xfId="51544"/>
    <cellStyle name="Calculation 2 2 45 2 3" xfId="51545"/>
    <cellStyle name="Calculation 2 2 45 3" xfId="35487"/>
    <cellStyle name="Calculation 2 2 45 4" xfId="51546"/>
    <cellStyle name="Calculation 2 2 46" xfId="21151"/>
    <cellStyle name="Calculation 2 2 46 2" xfId="29463"/>
    <cellStyle name="Calculation 2 2 46 2 2" xfId="51547"/>
    <cellStyle name="Calculation 2 2 46 2 3" xfId="51548"/>
    <cellStyle name="Calculation 2 2 46 3" xfId="36535"/>
    <cellStyle name="Calculation 2 2 46 4" xfId="51549"/>
    <cellStyle name="Calculation 2 2 47" xfId="14633"/>
    <cellStyle name="Calculation 2 2 47 2" xfId="51550"/>
    <cellStyle name="Calculation 2 2 47 3" xfId="51551"/>
    <cellStyle name="Calculation 2 2 48" xfId="51552"/>
    <cellStyle name="Calculation 2 2 49" xfId="51553"/>
    <cellStyle name="Calculation 2 2 5" xfId="303"/>
    <cellStyle name="Calculation 2 2 5 10" xfId="14597"/>
    <cellStyle name="Calculation 2 2 5 11" xfId="22957"/>
    <cellStyle name="Calculation 2 2 5 12" xfId="51554"/>
    <cellStyle name="Calculation 2 2 5 13" xfId="51555"/>
    <cellStyle name="Calculation 2 2 5 14" xfId="51556"/>
    <cellStyle name="Calculation 2 2 5 15" xfId="60670"/>
    <cellStyle name="Calculation 2 2 5 2" xfId="223"/>
    <cellStyle name="Calculation 2 2 5 2 2" xfId="1230"/>
    <cellStyle name="Calculation 2 2 5 2 2 2" xfId="1766"/>
    <cellStyle name="Calculation 2 2 5 2 2 2 2" xfId="2906"/>
    <cellStyle name="Calculation 2 2 5 2 2 2 2 2" xfId="6326"/>
    <cellStyle name="Calculation 2 2 5 2 2 2 2 2 2" xfId="13166"/>
    <cellStyle name="Calculation 2 2 5 2 2 2 2 3" xfId="9746"/>
    <cellStyle name="Calculation 2 2 5 2 2 2 3" xfId="4046"/>
    <cellStyle name="Calculation 2 2 5 2 2 2 3 2" xfId="7466"/>
    <cellStyle name="Calculation 2 2 5 2 2 2 3 2 2" xfId="14306"/>
    <cellStyle name="Calculation 2 2 5 2 2 2 3 3" xfId="10886"/>
    <cellStyle name="Calculation 2 2 5 2 2 2 4" xfId="5186"/>
    <cellStyle name="Calculation 2 2 5 2 2 2 4 2" xfId="12026"/>
    <cellStyle name="Calculation 2 2 5 2 2 2 5" xfId="8606"/>
    <cellStyle name="Calculation 2 2 5 2 2 3" xfId="2050"/>
    <cellStyle name="Calculation 2 2 5 2 2 3 2" xfId="5470"/>
    <cellStyle name="Calculation 2 2 5 2 2 3 2 2" xfId="12310"/>
    <cellStyle name="Calculation 2 2 5 2 2 3 3" xfId="8890"/>
    <cellStyle name="Calculation 2 2 5 2 2 4" xfId="3190"/>
    <cellStyle name="Calculation 2 2 5 2 2 4 2" xfId="6610"/>
    <cellStyle name="Calculation 2 2 5 2 2 4 2 2" xfId="13450"/>
    <cellStyle name="Calculation 2 2 5 2 2 4 3" xfId="10030"/>
    <cellStyle name="Calculation 2 2 5 2 2 5" xfId="4330"/>
    <cellStyle name="Calculation 2 2 5 2 2 5 2" xfId="11170"/>
    <cellStyle name="Calculation 2 2 5 2 2 6" xfId="7750"/>
    <cellStyle name="Calculation 2 2 5 2 3" xfId="15677"/>
    <cellStyle name="Calculation 2 2 5 2 4" xfId="23992"/>
    <cellStyle name="Calculation 2 2 5 2 5" xfId="31287"/>
    <cellStyle name="Calculation 2 2 5 2 6" xfId="51557"/>
    <cellStyle name="Calculation 2 2 5 2 7" xfId="51558"/>
    <cellStyle name="Calculation 2 2 5 2 8" xfId="51559"/>
    <cellStyle name="Calculation 2 2 5 2 9" xfId="60671"/>
    <cellStyle name="Calculation 2 2 5 3" xfId="1309"/>
    <cellStyle name="Calculation 2 2 5 3 2" xfId="974"/>
    <cellStyle name="Calculation 2 2 5 3 2 2" xfId="2625"/>
    <cellStyle name="Calculation 2 2 5 3 2 2 2" xfId="6045"/>
    <cellStyle name="Calculation 2 2 5 3 2 2 2 2" xfId="12885"/>
    <cellStyle name="Calculation 2 2 5 3 2 2 3" xfId="9465"/>
    <cellStyle name="Calculation 2 2 5 3 2 3" xfId="3765"/>
    <cellStyle name="Calculation 2 2 5 3 2 3 2" xfId="7185"/>
    <cellStyle name="Calculation 2 2 5 3 2 3 2 2" xfId="14025"/>
    <cellStyle name="Calculation 2 2 5 3 2 3 3" xfId="10605"/>
    <cellStyle name="Calculation 2 2 5 3 2 4" xfId="4905"/>
    <cellStyle name="Calculation 2 2 5 3 2 4 2" xfId="11745"/>
    <cellStyle name="Calculation 2 2 5 3 2 5" xfId="8325"/>
    <cellStyle name="Calculation 2 2 5 3 3" xfId="2129"/>
    <cellStyle name="Calculation 2 2 5 3 3 2" xfId="5549"/>
    <cellStyle name="Calculation 2 2 5 3 3 2 2" xfId="12389"/>
    <cellStyle name="Calculation 2 2 5 3 3 3" xfId="8969"/>
    <cellStyle name="Calculation 2 2 5 3 4" xfId="3269"/>
    <cellStyle name="Calculation 2 2 5 3 4 2" xfId="6689"/>
    <cellStyle name="Calculation 2 2 5 3 4 2 2" xfId="13529"/>
    <cellStyle name="Calculation 2 2 5 3 4 3" xfId="10109"/>
    <cellStyle name="Calculation 2 2 5 3 5" xfId="4409"/>
    <cellStyle name="Calculation 2 2 5 3 5 2" xfId="11249"/>
    <cellStyle name="Calculation 2 2 5 3 6" xfId="7829"/>
    <cellStyle name="Calculation 2 2 5 3 7" xfId="16644"/>
    <cellStyle name="Calculation 2 2 5 3 8" xfId="24963"/>
    <cellStyle name="Calculation 2 2 5 3 9" xfId="32220"/>
    <cellStyle name="Calculation 2 2 5 4" xfId="17665"/>
    <cellStyle name="Calculation 2 2 5 4 2" xfId="25989"/>
    <cellStyle name="Calculation 2 2 5 4 2 2" xfId="51560"/>
    <cellStyle name="Calculation 2 2 5 4 2 3" xfId="51561"/>
    <cellStyle name="Calculation 2 2 5 4 3" xfId="33197"/>
    <cellStyle name="Calculation 2 2 5 4 4" xfId="51562"/>
    <cellStyle name="Calculation 2 2 5 5" xfId="18648"/>
    <cellStyle name="Calculation 2 2 5 5 2" xfId="26969"/>
    <cellStyle name="Calculation 2 2 5 5 2 2" xfId="51563"/>
    <cellStyle name="Calculation 2 2 5 5 2 3" xfId="51564"/>
    <cellStyle name="Calculation 2 2 5 5 3" xfId="34135"/>
    <cellStyle name="Calculation 2 2 5 5 4" xfId="51565"/>
    <cellStyle name="Calculation 2 2 5 6" xfId="19617"/>
    <cellStyle name="Calculation 2 2 5 6 2" xfId="27938"/>
    <cellStyle name="Calculation 2 2 5 6 2 2" xfId="51566"/>
    <cellStyle name="Calculation 2 2 5 6 2 3" xfId="51567"/>
    <cellStyle name="Calculation 2 2 5 6 3" xfId="35081"/>
    <cellStyle name="Calculation 2 2 5 6 4" xfId="51568"/>
    <cellStyle name="Calculation 2 2 5 7" xfId="20574"/>
    <cellStyle name="Calculation 2 2 5 7 2" xfId="28896"/>
    <cellStyle name="Calculation 2 2 5 7 2 2" xfId="51569"/>
    <cellStyle name="Calculation 2 2 5 7 2 3" xfId="51570"/>
    <cellStyle name="Calculation 2 2 5 7 3" xfId="35997"/>
    <cellStyle name="Calculation 2 2 5 7 4" xfId="51571"/>
    <cellStyle name="Calculation 2 2 5 8" xfId="21306"/>
    <cellStyle name="Calculation 2 2 5 8 2" xfId="29613"/>
    <cellStyle name="Calculation 2 2 5 8 2 2" xfId="51572"/>
    <cellStyle name="Calculation 2 2 5 8 2 3" xfId="51573"/>
    <cellStyle name="Calculation 2 2 5 8 3" xfId="36680"/>
    <cellStyle name="Calculation 2 2 5 8 4" xfId="51574"/>
    <cellStyle name="Calculation 2 2 5 9" xfId="22011"/>
    <cellStyle name="Calculation 2 2 5 9 2" xfId="30310"/>
    <cellStyle name="Calculation 2 2 5 9 2 2" xfId="51575"/>
    <cellStyle name="Calculation 2 2 5 9 2 3" xfId="51576"/>
    <cellStyle name="Calculation 2 2 5 9 3" xfId="37348"/>
    <cellStyle name="Calculation 2 2 5 9 4" xfId="51577"/>
    <cellStyle name="Calculation 2 2 50" xfId="51578"/>
    <cellStyle name="Calculation 2 2 51" xfId="51579"/>
    <cellStyle name="Calculation 2 2 52" xfId="60648"/>
    <cellStyle name="Calculation 2 2 6" xfId="200"/>
    <cellStyle name="Calculation 2 2 6 10" xfId="14614"/>
    <cellStyle name="Calculation 2 2 6 11" xfId="22975"/>
    <cellStyle name="Calculation 2 2 6 12" xfId="51580"/>
    <cellStyle name="Calculation 2 2 6 13" xfId="51581"/>
    <cellStyle name="Calculation 2 2 6 14" xfId="51582"/>
    <cellStyle name="Calculation 2 2 6 15" xfId="60672"/>
    <cellStyle name="Calculation 2 2 6 2" xfId="540"/>
    <cellStyle name="Calculation 2 2 6 2 2" xfId="1544"/>
    <cellStyle name="Calculation 2 2 6 2 2 2" xfId="1836"/>
    <cellStyle name="Calculation 2 2 6 2 2 2 2" xfId="2976"/>
    <cellStyle name="Calculation 2 2 6 2 2 2 2 2" xfId="6396"/>
    <cellStyle name="Calculation 2 2 6 2 2 2 2 2 2" xfId="13236"/>
    <cellStyle name="Calculation 2 2 6 2 2 2 2 3" xfId="9816"/>
    <cellStyle name="Calculation 2 2 6 2 2 2 3" xfId="4116"/>
    <cellStyle name="Calculation 2 2 6 2 2 2 3 2" xfId="7536"/>
    <cellStyle name="Calculation 2 2 6 2 2 2 3 2 2" xfId="14376"/>
    <cellStyle name="Calculation 2 2 6 2 2 2 3 3" xfId="10956"/>
    <cellStyle name="Calculation 2 2 6 2 2 2 4" xfId="5256"/>
    <cellStyle name="Calculation 2 2 6 2 2 2 4 2" xfId="12096"/>
    <cellStyle name="Calculation 2 2 6 2 2 2 5" xfId="8676"/>
    <cellStyle name="Calculation 2 2 6 2 2 3" xfId="2365"/>
    <cellStyle name="Calculation 2 2 6 2 2 3 2" xfId="5785"/>
    <cellStyle name="Calculation 2 2 6 2 2 3 2 2" xfId="12625"/>
    <cellStyle name="Calculation 2 2 6 2 2 3 3" xfId="9205"/>
    <cellStyle name="Calculation 2 2 6 2 2 4" xfId="3505"/>
    <cellStyle name="Calculation 2 2 6 2 2 4 2" xfId="6925"/>
    <cellStyle name="Calculation 2 2 6 2 2 4 2 2" xfId="13765"/>
    <cellStyle name="Calculation 2 2 6 2 2 4 3" xfId="10345"/>
    <cellStyle name="Calculation 2 2 6 2 2 5" xfId="4645"/>
    <cellStyle name="Calculation 2 2 6 2 2 5 2" xfId="11485"/>
    <cellStyle name="Calculation 2 2 6 2 2 6" xfId="8065"/>
    <cellStyle name="Calculation 2 2 6 2 3" xfId="15694"/>
    <cellStyle name="Calculation 2 2 6 2 4" xfId="24010"/>
    <cellStyle name="Calculation 2 2 6 2 5" xfId="31304"/>
    <cellStyle name="Calculation 2 2 6 2 6" xfId="51583"/>
    <cellStyle name="Calculation 2 2 6 2 7" xfId="51584"/>
    <cellStyle name="Calculation 2 2 6 2 8" xfId="51585"/>
    <cellStyle name="Calculation 2 2 6 2 9" xfId="60673"/>
    <cellStyle name="Calculation 2 2 6 3" xfId="1208"/>
    <cellStyle name="Calculation 2 2 6 3 2" xfId="1023"/>
    <cellStyle name="Calculation 2 2 6 3 2 2" xfId="2661"/>
    <cellStyle name="Calculation 2 2 6 3 2 2 2" xfId="6081"/>
    <cellStyle name="Calculation 2 2 6 3 2 2 2 2" xfId="12921"/>
    <cellStyle name="Calculation 2 2 6 3 2 2 3" xfId="9501"/>
    <cellStyle name="Calculation 2 2 6 3 2 3" xfId="3801"/>
    <cellStyle name="Calculation 2 2 6 3 2 3 2" xfId="7221"/>
    <cellStyle name="Calculation 2 2 6 3 2 3 2 2" xfId="14061"/>
    <cellStyle name="Calculation 2 2 6 3 2 3 3" xfId="10641"/>
    <cellStyle name="Calculation 2 2 6 3 2 4" xfId="4941"/>
    <cellStyle name="Calculation 2 2 6 3 2 4 2" xfId="11781"/>
    <cellStyle name="Calculation 2 2 6 3 2 5" xfId="8361"/>
    <cellStyle name="Calculation 2 2 6 3 3" xfId="2027"/>
    <cellStyle name="Calculation 2 2 6 3 3 2" xfId="5447"/>
    <cellStyle name="Calculation 2 2 6 3 3 2 2" xfId="12287"/>
    <cellStyle name="Calculation 2 2 6 3 3 3" xfId="8867"/>
    <cellStyle name="Calculation 2 2 6 3 4" xfId="3167"/>
    <cellStyle name="Calculation 2 2 6 3 4 2" xfId="6587"/>
    <cellStyle name="Calculation 2 2 6 3 4 2 2" xfId="13427"/>
    <cellStyle name="Calculation 2 2 6 3 4 3" xfId="10007"/>
    <cellStyle name="Calculation 2 2 6 3 5" xfId="4307"/>
    <cellStyle name="Calculation 2 2 6 3 5 2" xfId="11147"/>
    <cellStyle name="Calculation 2 2 6 3 6" xfId="7727"/>
    <cellStyle name="Calculation 2 2 6 3 7" xfId="16661"/>
    <cellStyle name="Calculation 2 2 6 3 8" xfId="24981"/>
    <cellStyle name="Calculation 2 2 6 3 9" xfId="32237"/>
    <cellStyle name="Calculation 2 2 6 4" xfId="17683"/>
    <cellStyle name="Calculation 2 2 6 4 2" xfId="26007"/>
    <cellStyle name="Calculation 2 2 6 4 2 2" xfId="51586"/>
    <cellStyle name="Calculation 2 2 6 4 2 3" xfId="51587"/>
    <cellStyle name="Calculation 2 2 6 4 3" xfId="33214"/>
    <cellStyle name="Calculation 2 2 6 4 4" xfId="51588"/>
    <cellStyle name="Calculation 2 2 6 5" xfId="18666"/>
    <cellStyle name="Calculation 2 2 6 5 2" xfId="26987"/>
    <cellStyle name="Calculation 2 2 6 5 2 2" xfId="51589"/>
    <cellStyle name="Calculation 2 2 6 5 2 3" xfId="51590"/>
    <cellStyle name="Calculation 2 2 6 5 3" xfId="34152"/>
    <cellStyle name="Calculation 2 2 6 5 4" xfId="51591"/>
    <cellStyle name="Calculation 2 2 6 6" xfId="19635"/>
    <cellStyle name="Calculation 2 2 6 6 2" xfId="27956"/>
    <cellStyle name="Calculation 2 2 6 6 2 2" xfId="51592"/>
    <cellStyle name="Calculation 2 2 6 6 2 3" xfId="51593"/>
    <cellStyle name="Calculation 2 2 6 6 3" xfId="35098"/>
    <cellStyle name="Calculation 2 2 6 6 4" xfId="51594"/>
    <cellStyle name="Calculation 2 2 6 7" xfId="20592"/>
    <cellStyle name="Calculation 2 2 6 7 2" xfId="28914"/>
    <cellStyle name="Calculation 2 2 6 7 2 2" xfId="51595"/>
    <cellStyle name="Calculation 2 2 6 7 2 3" xfId="51596"/>
    <cellStyle name="Calculation 2 2 6 7 3" xfId="36014"/>
    <cellStyle name="Calculation 2 2 6 7 4" xfId="51597"/>
    <cellStyle name="Calculation 2 2 6 8" xfId="21344"/>
    <cellStyle name="Calculation 2 2 6 8 2" xfId="29648"/>
    <cellStyle name="Calculation 2 2 6 8 2 2" xfId="51598"/>
    <cellStyle name="Calculation 2 2 6 8 2 3" xfId="51599"/>
    <cellStyle name="Calculation 2 2 6 8 3" xfId="36713"/>
    <cellStyle name="Calculation 2 2 6 8 4" xfId="51600"/>
    <cellStyle name="Calculation 2 2 6 9" xfId="22029"/>
    <cellStyle name="Calculation 2 2 6 9 2" xfId="30328"/>
    <cellStyle name="Calculation 2 2 6 9 2 2" xfId="51601"/>
    <cellStyle name="Calculation 2 2 6 9 2 3" xfId="51602"/>
    <cellStyle name="Calculation 2 2 6 9 3" xfId="37365"/>
    <cellStyle name="Calculation 2 2 6 9 4" xfId="51603"/>
    <cellStyle name="Calculation 2 2 7" xfId="396"/>
    <cellStyle name="Calculation 2 2 7 10" xfId="14570"/>
    <cellStyle name="Calculation 2 2 7 11" xfId="22925"/>
    <cellStyle name="Calculation 2 2 7 12" xfId="51604"/>
    <cellStyle name="Calculation 2 2 7 13" xfId="51605"/>
    <cellStyle name="Calculation 2 2 7 14" xfId="51606"/>
    <cellStyle name="Calculation 2 2 7 15" xfId="60674"/>
    <cellStyle name="Calculation 2 2 7 2" xfId="183"/>
    <cellStyle name="Calculation 2 2 7 2 2" xfId="1191"/>
    <cellStyle name="Calculation 2 2 7 2 2 2" xfId="1032"/>
    <cellStyle name="Calculation 2 2 7 2 2 2 2" xfId="2693"/>
    <cellStyle name="Calculation 2 2 7 2 2 2 2 2" xfId="6113"/>
    <cellStyle name="Calculation 2 2 7 2 2 2 2 2 2" xfId="12953"/>
    <cellStyle name="Calculation 2 2 7 2 2 2 2 3" xfId="9533"/>
    <cellStyle name="Calculation 2 2 7 2 2 2 3" xfId="3833"/>
    <cellStyle name="Calculation 2 2 7 2 2 2 3 2" xfId="7253"/>
    <cellStyle name="Calculation 2 2 7 2 2 2 3 2 2" xfId="14093"/>
    <cellStyle name="Calculation 2 2 7 2 2 2 3 3" xfId="10673"/>
    <cellStyle name="Calculation 2 2 7 2 2 2 4" xfId="4973"/>
    <cellStyle name="Calculation 2 2 7 2 2 2 4 2" xfId="11813"/>
    <cellStyle name="Calculation 2 2 7 2 2 2 5" xfId="8393"/>
    <cellStyle name="Calculation 2 2 7 2 2 3" xfId="2010"/>
    <cellStyle name="Calculation 2 2 7 2 2 3 2" xfId="5430"/>
    <cellStyle name="Calculation 2 2 7 2 2 3 2 2" xfId="12270"/>
    <cellStyle name="Calculation 2 2 7 2 2 3 3" xfId="8850"/>
    <cellStyle name="Calculation 2 2 7 2 2 4" xfId="3150"/>
    <cellStyle name="Calculation 2 2 7 2 2 4 2" xfId="6570"/>
    <cellStyle name="Calculation 2 2 7 2 2 4 2 2" xfId="13410"/>
    <cellStyle name="Calculation 2 2 7 2 2 4 3" xfId="9990"/>
    <cellStyle name="Calculation 2 2 7 2 2 5" xfId="4290"/>
    <cellStyle name="Calculation 2 2 7 2 2 5 2" xfId="11130"/>
    <cellStyle name="Calculation 2 2 7 2 2 6" xfId="7710"/>
    <cellStyle name="Calculation 2 2 7 2 3" xfId="15649"/>
    <cellStyle name="Calculation 2 2 7 2 4" xfId="23961"/>
    <cellStyle name="Calculation 2 2 7 2 5" xfId="31258"/>
    <cellStyle name="Calculation 2 2 7 2 6" xfId="51607"/>
    <cellStyle name="Calculation 2 2 7 2 7" xfId="51608"/>
    <cellStyle name="Calculation 2 2 7 2 8" xfId="51609"/>
    <cellStyle name="Calculation 2 2 7 2 9" xfId="60675"/>
    <cellStyle name="Calculation 2 2 7 3" xfId="1401"/>
    <cellStyle name="Calculation 2 2 7 3 2" xfId="744"/>
    <cellStyle name="Calculation 2 2 7 3 2 2" xfId="2556"/>
    <cellStyle name="Calculation 2 2 7 3 2 2 2" xfId="5976"/>
    <cellStyle name="Calculation 2 2 7 3 2 2 2 2" xfId="12816"/>
    <cellStyle name="Calculation 2 2 7 3 2 2 3" xfId="9396"/>
    <cellStyle name="Calculation 2 2 7 3 2 3" xfId="3696"/>
    <cellStyle name="Calculation 2 2 7 3 2 3 2" xfId="7116"/>
    <cellStyle name="Calculation 2 2 7 3 2 3 2 2" xfId="13956"/>
    <cellStyle name="Calculation 2 2 7 3 2 3 3" xfId="10536"/>
    <cellStyle name="Calculation 2 2 7 3 2 4" xfId="4836"/>
    <cellStyle name="Calculation 2 2 7 3 2 4 2" xfId="11676"/>
    <cellStyle name="Calculation 2 2 7 3 2 5" xfId="8256"/>
    <cellStyle name="Calculation 2 2 7 3 3" xfId="2222"/>
    <cellStyle name="Calculation 2 2 7 3 3 2" xfId="5642"/>
    <cellStyle name="Calculation 2 2 7 3 3 2 2" xfId="12482"/>
    <cellStyle name="Calculation 2 2 7 3 3 3" xfId="9062"/>
    <cellStyle name="Calculation 2 2 7 3 4" xfId="3362"/>
    <cellStyle name="Calculation 2 2 7 3 4 2" xfId="6782"/>
    <cellStyle name="Calculation 2 2 7 3 4 2 2" xfId="13622"/>
    <cellStyle name="Calculation 2 2 7 3 4 3" xfId="10202"/>
    <cellStyle name="Calculation 2 2 7 3 5" xfId="4502"/>
    <cellStyle name="Calculation 2 2 7 3 5 2" xfId="11342"/>
    <cellStyle name="Calculation 2 2 7 3 6" xfId="7922"/>
    <cellStyle name="Calculation 2 2 7 3 7" xfId="16616"/>
    <cellStyle name="Calculation 2 2 7 3 8" xfId="24932"/>
    <cellStyle name="Calculation 2 2 7 3 9" xfId="32191"/>
    <cellStyle name="Calculation 2 2 7 4" xfId="17636"/>
    <cellStyle name="Calculation 2 2 7 4 2" xfId="25958"/>
    <cellStyle name="Calculation 2 2 7 4 2 2" xfId="51610"/>
    <cellStyle name="Calculation 2 2 7 4 2 3" xfId="51611"/>
    <cellStyle name="Calculation 2 2 7 4 3" xfId="33168"/>
    <cellStyle name="Calculation 2 2 7 4 4" xfId="51612"/>
    <cellStyle name="Calculation 2 2 7 5" xfId="18618"/>
    <cellStyle name="Calculation 2 2 7 5 2" xfId="26937"/>
    <cellStyle name="Calculation 2 2 7 5 2 2" xfId="51613"/>
    <cellStyle name="Calculation 2 2 7 5 2 3" xfId="51614"/>
    <cellStyle name="Calculation 2 2 7 5 3" xfId="34105"/>
    <cellStyle name="Calculation 2 2 7 5 4" xfId="51615"/>
    <cellStyle name="Calculation 2 2 7 6" xfId="19586"/>
    <cellStyle name="Calculation 2 2 7 6 2" xfId="27906"/>
    <cellStyle name="Calculation 2 2 7 6 2 2" xfId="51616"/>
    <cellStyle name="Calculation 2 2 7 6 2 3" xfId="51617"/>
    <cellStyle name="Calculation 2 2 7 6 3" xfId="35051"/>
    <cellStyle name="Calculation 2 2 7 6 4" xfId="51618"/>
    <cellStyle name="Calculation 2 2 7 7" xfId="20544"/>
    <cellStyle name="Calculation 2 2 7 7 2" xfId="28865"/>
    <cellStyle name="Calculation 2 2 7 7 2 2" xfId="51619"/>
    <cellStyle name="Calculation 2 2 7 7 2 3" xfId="51620"/>
    <cellStyle name="Calculation 2 2 7 7 3" xfId="35968"/>
    <cellStyle name="Calculation 2 2 7 7 4" xfId="51621"/>
    <cellStyle name="Calculation 2 2 7 8" xfId="21271"/>
    <cellStyle name="Calculation 2 2 7 8 2" xfId="29579"/>
    <cellStyle name="Calculation 2 2 7 8 2 2" xfId="51622"/>
    <cellStyle name="Calculation 2 2 7 8 2 3" xfId="51623"/>
    <cellStyle name="Calculation 2 2 7 8 3" xfId="36646"/>
    <cellStyle name="Calculation 2 2 7 8 4" xfId="51624"/>
    <cellStyle name="Calculation 2 2 7 9" xfId="21979"/>
    <cellStyle name="Calculation 2 2 7 9 2" xfId="30279"/>
    <cellStyle name="Calculation 2 2 7 9 2 2" xfId="51625"/>
    <cellStyle name="Calculation 2 2 7 9 2 3" xfId="51626"/>
    <cellStyle name="Calculation 2 2 7 9 3" xfId="37319"/>
    <cellStyle name="Calculation 2 2 7 9 4" xfId="51627"/>
    <cellStyle name="Calculation 2 2 8" xfId="413"/>
    <cellStyle name="Calculation 2 2 8 10" xfId="14631"/>
    <cellStyle name="Calculation 2 2 8 11" xfId="22993"/>
    <cellStyle name="Calculation 2 2 8 12" xfId="51628"/>
    <cellStyle name="Calculation 2 2 8 13" xfId="51629"/>
    <cellStyle name="Calculation 2 2 8 14" xfId="51630"/>
    <cellStyle name="Calculation 2 2 8 15" xfId="60676"/>
    <cellStyle name="Calculation 2 2 8 2" xfId="184"/>
    <cellStyle name="Calculation 2 2 8 2 2" xfId="1192"/>
    <cellStyle name="Calculation 2 2 8 2 2 2" xfId="1031"/>
    <cellStyle name="Calculation 2 2 8 2 2 2 2" xfId="2438"/>
    <cellStyle name="Calculation 2 2 8 2 2 2 2 2" xfId="5858"/>
    <cellStyle name="Calculation 2 2 8 2 2 2 2 2 2" xfId="12698"/>
    <cellStyle name="Calculation 2 2 8 2 2 2 2 3" xfId="9278"/>
    <cellStyle name="Calculation 2 2 8 2 2 2 3" xfId="3578"/>
    <cellStyle name="Calculation 2 2 8 2 2 2 3 2" xfId="6998"/>
    <cellStyle name="Calculation 2 2 8 2 2 2 3 2 2" xfId="13838"/>
    <cellStyle name="Calculation 2 2 8 2 2 2 3 3" xfId="10418"/>
    <cellStyle name="Calculation 2 2 8 2 2 2 4" xfId="4718"/>
    <cellStyle name="Calculation 2 2 8 2 2 2 4 2" xfId="11558"/>
    <cellStyle name="Calculation 2 2 8 2 2 2 5" xfId="8138"/>
    <cellStyle name="Calculation 2 2 8 2 2 3" xfId="2011"/>
    <cellStyle name="Calculation 2 2 8 2 2 3 2" xfId="5431"/>
    <cellStyle name="Calculation 2 2 8 2 2 3 2 2" xfId="12271"/>
    <cellStyle name="Calculation 2 2 8 2 2 3 3" xfId="8851"/>
    <cellStyle name="Calculation 2 2 8 2 2 4" xfId="3151"/>
    <cellStyle name="Calculation 2 2 8 2 2 4 2" xfId="6571"/>
    <cellStyle name="Calculation 2 2 8 2 2 4 2 2" xfId="13411"/>
    <cellStyle name="Calculation 2 2 8 2 2 4 3" xfId="9991"/>
    <cellStyle name="Calculation 2 2 8 2 2 5" xfId="4291"/>
    <cellStyle name="Calculation 2 2 8 2 2 5 2" xfId="11131"/>
    <cellStyle name="Calculation 2 2 8 2 2 6" xfId="7711"/>
    <cellStyle name="Calculation 2 2 8 2 3" xfId="15712"/>
    <cellStyle name="Calculation 2 2 8 2 4" xfId="24028"/>
    <cellStyle name="Calculation 2 2 8 2 5" xfId="31321"/>
    <cellStyle name="Calculation 2 2 8 2 6" xfId="51631"/>
    <cellStyle name="Calculation 2 2 8 2 7" xfId="51632"/>
    <cellStyle name="Calculation 2 2 8 2 8" xfId="51633"/>
    <cellStyle name="Calculation 2 2 8 2 9" xfId="60677"/>
    <cellStyle name="Calculation 2 2 8 3" xfId="1418"/>
    <cellStyle name="Calculation 2 2 8 3 2" xfId="1745"/>
    <cellStyle name="Calculation 2 2 8 3 2 2" xfId="2885"/>
    <cellStyle name="Calculation 2 2 8 3 2 2 2" xfId="6305"/>
    <cellStyle name="Calculation 2 2 8 3 2 2 2 2" xfId="13145"/>
    <cellStyle name="Calculation 2 2 8 3 2 2 3" xfId="9725"/>
    <cellStyle name="Calculation 2 2 8 3 2 3" xfId="4025"/>
    <cellStyle name="Calculation 2 2 8 3 2 3 2" xfId="7445"/>
    <cellStyle name="Calculation 2 2 8 3 2 3 2 2" xfId="14285"/>
    <cellStyle name="Calculation 2 2 8 3 2 3 3" xfId="10865"/>
    <cellStyle name="Calculation 2 2 8 3 2 4" xfId="5165"/>
    <cellStyle name="Calculation 2 2 8 3 2 4 2" xfId="12005"/>
    <cellStyle name="Calculation 2 2 8 3 2 5" xfId="8585"/>
    <cellStyle name="Calculation 2 2 8 3 3" xfId="2239"/>
    <cellStyle name="Calculation 2 2 8 3 3 2" xfId="5659"/>
    <cellStyle name="Calculation 2 2 8 3 3 2 2" xfId="12499"/>
    <cellStyle name="Calculation 2 2 8 3 3 3" xfId="9079"/>
    <cellStyle name="Calculation 2 2 8 3 4" xfId="3379"/>
    <cellStyle name="Calculation 2 2 8 3 4 2" xfId="6799"/>
    <cellStyle name="Calculation 2 2 8 3 4 2 2" xfId="13639"/>
    <cellStyle name="Calculation 2 2 8 3 4 3" xfId="10219"/>
    <cellStyle name="Calculation 2 2 8 3 5" xfId="4519"/>
    <cellStyle name="Calculation 2 2 8 3 5 2" xfId="11359"/>
    <cellStyle name="Calculation 2 2 8 3 6" xfId="7939"/>
    <cellStyle name="Calculation 2 2 8 3 7" xfId="16679"/>
    <cellStyle name="Calculation 2 2 8 3 8" xfId="24999"/>
    <cellStyle name="Calculation 2 2 8 3 9" xfId="32254"/>
    <cellStyle name="Calculation 2 2 8 4" xfId="17702"/>
    <cellStyle name="Calculation 2 2 8 4 2" xfId="26025"/>
    <cellStyle name="Calculation 2 2 8 4 2 2" xfId="51634"/>
    <cellStyle name="Calculation 2 2 8 4 2 3" xfId="51635"/>
    <cellStyle name="Calculation 2 2 8 4 3" xfId="33231"/>
    <cellStyle name="Calculation 2 2 8 4 4" xfId="51636"/>
    <cellStyle name="Calculation 2 2 8 5" xfId="18685"/>
    <cellStyle name="Calculation 2 2 8 5 2" xfId="27006"/>
    <cellStyle name="Calculation 2 2 8 5 2 2" xfId="51637"/>
    <cellStyle name="Calculation 2 2 8 5 2 3" xfId="51638"/>
    <cellStyle name="Calculation 2 2 8 5 3" xfId="34170"/>
    <cellStyle name="Calculation 2 2 8 5 4" xfId="51639"/>
    <cellStyle name="Calculation 2 2 8 6" xfId="19654"/>
    <cellStyle name="Calculation 2 2 8 6 2" xfId="27975"/>
    <cellStyle name="Calculation 2 2 8 6 2 2" xfId="51640"/>
    <cellStyle name="Calculation 2 2 8 6 2 3" xfId="51641"/>
    <cellStyle name="Calculation 2 2 8 6 3" xfId="35116"/>
    <cellStyle name="Calculation 2 2 8 6 4" xfId="51642"/>
    <cellStyle name="Calculation 2 2 8 7" xfId="20611"/>
    <cellStyle name="Calculation 2 2 8 7 2" xfId="28932"/>
    <cellStyle name="Calculation 2 2 8 7 2 2" xfId="51643"/>
    <cellStyle name="Calculation 2 2 8 7 2 3" xfId="51644"/>
    <cellStyle name="Calculation 2 2 8 7 3" xfId="36031"/>
    <cellStyle name="Calculation 2 2 8 7 4" xfId="51645"/>
    <cellStyle name="Calculation 2 2 8 8" xfId="18554"/>
    <cellStyle name="Calculation 2 2 8 8 2" xfId="26871"/>
    <cellStyle name="Calculation 2 2 8 8 2 2" xfId="51646"/>
    <cellStyle name="Calculation 2 2 8 8 2 3" xfId="51647"/>
    <cellStyle name="Calculation 2 2 8 8 3" xfId="34041"/>
    <cellStyle name="Calculation 2 2 8 8 4" xfId="51648"/>
    <cellStyle name="Calculation 2 2 8 9" xfId="22048"/>
    <cellStyle name="Calculation 2 2 8 9 2" xfId="30346"/>
    <cellStyle name="Calculation 2 2 8 9 2 2" xfId="51649"/>
    <cellStyle name="Calculation 2 2 8 9 2 3" xfId="51650"/>
    <cellStyle name="Calculation 2 2 8 9 3" xfId="37382"/>
    <cellStyle name="Calculation 2 2 8 9 4" xfId="51651"/>
    <cellStyle name="Calculation 2 2 9" xfId="1094"/>
    <cellStyle name="Calculation 2 2 9 10" xfId="14591"/>
    <cellStyle name="Calculation 2 2 9 11" xfId="22950"/>
    <cellStyle name="Calculation 2 2 9 2" xfId="1082"/>
    <cellStyle name="Calculation 2 2 9 2 2" xfId="2630"/>
    <cellStyle name="Calculation 2 2 9 2 2 2" xfId="6050"/>
    <cellStyle name="Calculation 2 2 9 2 2 2 2" xfId="12890"/>
    <cellStyle name="Calculation 2 2 9 2 2 3" xfId="9470"/>
    <cellStyle name="Calculation 2 2 9 2 3" xfId="3770"/>
    <cellStyle name="Calculation 2 2 9 2 3 2" xfId="7190"/>
    <cellStyle name="Calculation 2 2 9 2 3 2 2" xfId="14030"/>
    <cellStyle name="Calculation 2 2 9 2 3 3" xfId="10610"/>
    <cellStyle name="Calculation 2 2 9 2 4" xfId="4910"/>
    <cellStyle name="Calculation 2 2 9 2 4 2" xfId="11750"/>
    <cellStyle name="Calculation 2 2 9 2 5" xfId="8330"/>
    <cellStyle name="Calculation 2 2 9 2 6" xfId="15671"/>
    <cellStyle name="Calculation 2 2 9 2 7" xfId="23985"/>
    <cellStyle name="Calculation 2 2 9 2 8" xfId="31281"/>
    <cellStyle name="Calculation 2 2 9 3" xfId="1901"/>
    <cellStyle name="Calculation 2 2 9 3 2" xfId="5321"/>
    <cellStyle name="Calculation 2 2 9 3 2 2" xfId="12161"/>
    <cellStyle name="Calculation 2 2 9 3 2 3" xfId="51652"/>
    <cellStyle name="Calculation 2 2 9 3 3" xfId="8741"/>
    <cellStyle name="Calculation 2 2 9 3 4" xfId="16638"/>
    <cellStyle name="Calculation 2 2 9 3 5" xfId="24956"/>
    <cellStyle name="Calculation 2 2 9 3 6" xfId="32214"/>
    <cellStyle name="Calculation 2 2 9 4" xfId="3041"/>
    <cellStyle name="Calculation 2 2 9 4 2" xfId="6461"/>
    <cellStyle name="Calculation 2 2 9 4 2 2" xfId="13301"/>
    <cellStyle name="Calculation 2 2 9 4 2 3" xfId="51653"/>
    <cellStyle name="Calculation 2 2 9 4 3" xfId="9881"/>
    <cellStyle name="Calculation 2 2 9 4 4" xfId="17659"/>
    <cellStyle name="Calculation 2 2 9 4 5" xfId="25982"/>
    <cellStyle name="Calculation 2 2 9 4 6" xfId="33191"/>
    <cellStyle name="Calculation 2 2 9 5" xfId="4181"/>
    <cellStyle name="Calculation 2 2 9 5 2" xfId="11021"/>
    <cellStyle name="Calculation 2 2 9 5 2 2" xfId="51654"/>
    <cellStyle name="Calculation 2 2 9 5 2 3" xfId="51655"/>
    <cellStyle name="Calculation 2 2 9 5 3" xfId="18642"/>
    <cellStyle name="Calculation 2 2 9 5 4" xfId="26962"/>
    <cellStyle name="Calculation 2 2 9 5 5" xfId="34129"/>
    <cellStyle name="Calculation 2 2 9 6" xfId="7601"/>
    <cellStyle name="Calculation 2 2 9 6 2" xfId="19611"/>
    <cellStyle name="Calculation 2 2 9 6 2 2" xfId="51656"/>
    <cellStyle name="Calculation 2 2 9 6 2 3" xfId="51657"/>
    <cellStyle name="Calculation 2 2 9 6 3" xfId="27931"/>
    <cellStyle name="Calculation 2 2 9 6 4" xfId="35075"/>
    <cellStyle name="Calculation 2 2 9 7" xfId="20568"/>
    <cellStyle name="Calculation 2 2 9 7 2" xfId="28889"/>
    <cellStyle name="Calculation 2 2 9 7 2 2" xfId="51658"/>
    <cellStyle name="Calculation 2 2 9 7 2 3" xfId="51659"/>
    <cellStyle name="Calculation 2 2 9 7 3" xfId="35991"/>
    <cellStyle name="Calculation 2 2 9 7 4" xfId="51660"/>
    <cellStyle name="Calculation 2 2 9 8" xfId="21101"/>
    <cellStyle name="Calculation 2 2 9 8 2" xfId="29418"/>
    <cellStyle name="Calculation 2 2 9 8 2 2" xfId="51661"/>
    <cellStyle name="Calculation 2 2 9 8 2 3" xfId="51662"/>
    <cellStyle name="Calculation 2 2 9 8 3" xfId="36492"/>
    <cellStyle name="Calculation 2 2 9 8 4" xfId="51663"/>
    <cellStyle name="Calculation 2 2 9 9" xfId="22004"/>
    <cellStyle name="Calculation 2 2 9 9 2" xfId="30303"/>
    <cellStyle name="Calculation 2 2 9 9 2 2" xfId="51664"/>
    <cellStyle name="Calculation 2 2 9 9 2 3" xfId="51665"/>
    <cellStyle name="Calculation 2 2 9 9 3" xfId="37342"/>
    <cellStyle name="Calculation 2 2 9 9 4" xfId="51666"/>
    <cellStyle name="Calculation 2 20" xfId="15459"/>
    <cellStyle name="Calculation 2 20 10" xfId="51667"/>
    <cellStyle name="Calculation 2 20 11" xfId="51668"/>
    <cellStyle name="Calculation 2 20 2" xfId="16539"/>
    <cellStyle name="Calculation 2 20 2 2" xfId="24852"/>
    <cellStyle name="Calculation 2 20 2 2 2" xfId="51669"/>
    <cellStyle name="Calculation 2 20 2 2 3" xfId="51670"/>
    <cellStyle name="Calculation 2 20 2 3" xfId="32112"/>
    <cellStyle name="Calculation 2 20 2 4" xfId="51671"/>
    <cellStyle name="Calculation 2 20 3" xfId="17505"/>
    <cellStyle name="Calculation 2 20 3 2" xfId="25826"/>
    <cellStyle name="Calculation 2 20 3 2 2" xfId="51672"/>
    <cellStyle name="Calculation 2 20 3 2 3" xfId="51673"/>
    <cellStyle name="Calculation 2 20 3 3" xfId="33045"/>
    <cellStyle name="Calculation 2 20 3 4" xfId="51674"/>
    <cellStyle name="Calculation 2 20 4" xfId="18533"/>
    <cellStyle name="Calculation 2 20 4 2" xfId="26853"/>
    <cellStyle name="Calculation 2 20 4 2 2" xfId="51675"/>
    <cellStyle name="Calculation 2 20 4 2 3" xfId="51676"/>
    <cellStyle name="Calculation 2 20 4 3" xfId="34023"/>
    <cellStyle name="Calculation 2 20 4 4" xfId="51677"/>
    <cellStyle name="Calculation 2 20 5" xfId="19516"/>
    <cellStyle name="Calculation 2 20 5 2" xfId="27837"/>
    <cellStyle name="Calculation 2 20 5 2 2" xfId="51678"/>
    <cellStyle name="Calculation 2 20 5 2 3" xfId="51679"/>
    <cellStyle name="Calculation 2 20 5 3" xfId="34985"/>
    <cellStyle name="Calculation 2 20 5 4" xfId="51680"/>
    <cellStyle name="Calculation 2 20 6" xfId="20485"/>
    <cellStyle name="Calculation 2 20 6 2" xfId="28807"/>
    <cellStyle name="Calculation 2 20 6 2 2" xfId="51681"/>
    <cellStyle name="Calculation 2 20 6 2 3" xfId="51682"/>
    <cellStyle name="Calculation 2 20 6 3" xfId="35915"/>
    <cellStyle name="Calculation 2 20 6 4" xfId="51683"/>
    <cellStyle name="Calculation 2 20 7" xfId="21946"/>
    <cellStyle name="Calculation 2 20 7 2" xfId="30247"/>
    <cellStyle name="Calculation 2 20 7 2 2" xfId="51684"/>
    <cellStyle name="Calculation 2 20 7 2 3" xfId="51685"/>
    <cellStyle name="Calculation 2 20 7 3" xfId="37288"/>
    <cellStyle name="Calculation 2 20 7 4" xfId="51686"/>
    <cellStyle name="Calculation 2 20 8" xfId="22874"/>
    <cellStyle name="Calculation 2 20 8 2" xfId="31170"/>
    <cellStyle name="Calculation 2 20 8 2 2" xfId="51687"/>
    <cellStyle name="Calculation 2 20 8 2 3" xfId="51688"/>
    <cellStyle name="Calculation 2 20 8 3" xfId="38172"/>
    <cellStyle name="Calculation 2 20 8 4" xfId="51689"/>
    <cellStyle name="Calculation 2 20 9" xfId="23816"/>
    <cellStyle name="Calculation 2 20 9 2" xfId="51690"/>
    <cellStyle name="Calculation 2 20 9 3" xfId="51691"/>
    <cellStyle name="Calculation 2 21" xfId="16544"/>
    <cellStyle name="Calculation 2 21 2" xfId="24857"/>
    <cellStyle name="Calculation 2 21 2 2" xfId="51692"/>
    <cellStyle name="Calculation 2 21 2 3" xfId="51693"/>
    <cellStyle name="Calculation 2 21 3" xfId="32117"/>
    <cellStyle name="Calculation 2 21 4" xfId="51694"/>
    <cellStyle name="Calculation 2 22" xfId="15557"/>
    <cellStyle name="Calculation 2 22 2" xfId="23885"/>
    <cellStyle name="Calculation 2 22 2 2" xfId="51695"/>
    <cellStyle name="Calculation 2 22 2 3" xfId="51696"/>
    <cellStyle name="Calculation 2 22 3" xfId="31229"/>
    <cellStyle name="Calculation 2 22 4" xfId="51697"/>
    <cellStyle name="Calculation 2 23" xfId="15505"/>
    <cellStyle name="Calculation 2 23 2" xfId="23845"/>
    <cellStyle name="Calculation 2 23 2 2" xfId="51698"/>
    <cellStyle name="Calculation 2 23 2 3" xfId="51699"/>
    <cellStyle name="Calculation 2 23 3" xfId="31194"/>
    <cellStyle name="Calculation 2 23 4" xfId="51700"/>
    <cellStyle name="Calculation 2 24" xfId="21088"/>
    <cellStyle name="Calculation 2 24 2" xfId="29405"/>
    <cellStyle name="Calculation 2 24 2 2" xfId="51701"/>
    <cellStyle name="Calculation 2 24 2 3" xfId="51702"/>
    <cellStyle name="Calculation 2 24 3" xfId="36481"/>
    <cellStyle name="Calculation 2 24 4" xfId="51703"/>
    <cellStyle name="Calculation 2 25" xfId="15714"/>
    <cellStyle name="Calculation 2 25 2" xfId="51704"/>
    <cellStyle name="Calculation 2 25 3" xfId="51705"/>
    <cellStyle name="Calculation 2 26" xfId="51706"/>
    <cellStyle name="Calculation 2 27" xfId="51707"/>
    <cellStyle name="Calculation 2 28" xfId="51708"/>
    <cellStyle name="Calculation 2 29" xfId="51709"/>
    <cellStyle name="Calculation 2 3" xfId="70"/>
    <cellStyle name="Calculation 2 3 10" xfId="51710"/>
    <cellStyle name="Calculation 2 3 11" xfId="51711"/>
    <cellStyle name="Calculation 2 3 12" xfId="51712"/>
    <cellStyle name="Calculation 2 3 13" xfId="60678"/>
    <cellStyle name="Calculation 2 3 2" xfId="147"/>
    <cellStyle name="Calculation 2 3 2 2" xfId="273"/>
    <cellStyle name="Calculation 2 3 2 2 2" xfId="682"/>
    <cellStyle name="Calculation 2 3 2 2 2 2" xfId="1633"/>
    <cellStyle name="Calculation 2 3 2 2 2 2 2" xfId="774"/>
    <cellStyle name="Calculation 2 3 2 2 2 2 2 2" xfId="2674"/>
    <cellStyle name="Calculation 2 3 2 2 2 2 2 2 2" xfId="6094"/>
    <cellStyle name="Calculation 2 3 2 2 2 2 2 2 2 2" xfId="12934"/>
    <cellStyle name="Calculation 2 3 2 2 2 2 2 2 3" xfId="9514"/>
    <cellStyle name="Calculation 2 3 2 2 2 2 2 3" xfId="3814"/>
    <cellStyle name="Calculation 2 3 2 2 2 2 2 3 2" xfId="7234"/>
    <cellStyle name="Calculation 2 3 2 2 2 2 2 3 2 2" xfId="14074"/>
    <cellStyle name="Calculation 2 3 2 2 2 2 2 3 3" xfId="10654"/>
    <cellStyle name="Calculation 2 3 2 2 2 2 2 4" xfId="4954"/>
    <cellStyle name="Calculation 2 3 2 2 2 2 2 4 2" xfId="11794"/>
    <cellStyle name="Calculation 2 3 2 2 2 2 2 5" xfId="8374"/>
    <cellStyle name="Calculation 2 3 2 2 2 2 3" xfId="2467"/>
    <cellStyle name="Calculation 2 3 2 2 2 2 3 2" xfId="5887"/>
    <cellStyle name="Calculation 2 3 2 2 2 2 3 2 2" xfId="12727"/>
    <cellStyle name="Calculation 2 3 2 2 2 2 3 3" xfId="9307"/>
    <cellStyle name="Calculation 2 3 2 2 2 2 4" xfId="3607"/>
    <cellStyle name="Calculation 2 3 2 2 2 2 4 2" xfId="7027"/>
    <cellStyle name="Calculation 2 3 2 2 2 2 4 2 2" xfId="13867"/>
    <cellStyle name="Calculation 2 3 2 2 2 2 4 3" xfId="10447"/>
    <cellStyle name="Calculation 2 3 2 2 2 2 5" xfId="4747"/>
    <cellStyle name="Calculation 2 3 2 2 2 2 5 2" xfId="11587"/>
    <cellStyle name="Calculation 2 3 2 2 2 2 6" xfId="8167"/>
    <cellStyle name="Calculation 2 3 2 2 2 3" xfId="38526"/>
    <cellStyle name="Calculation 2 3 2 2 2 4" xfId="51713"/>
    <cellStyle name="Calculation 2 3 2 2 2 5" xfId="51714"/>
    <cellStyle name="Calculation 2 3 2 2 2 6" xfId="51715"/>
    <cellStyle name="Calculation 2 3 2 2 2 7" xfId="60681"/>
    <cellStyle name="Calculation 2 3 2 2 3" xfId="1279"/>
    <cellStyle name="Calculation 2 3 2 2 3 2" xfId="1712"/>
    <cellStyle name="Calculation 2 3 2 2 3 2 2" xfId="2852"/>
    <cellStyle name="Calculation 2 3 2 2 3 2 2 2" xfId="6272"/>
    <cellStyle name="Calculation 2 3 2 2 3 2 2 2 2" xfId="13112"/>
    <cellStyle name="Calculation 2 3 2 2 3 2 2 3" xfId="9692"/>
    <cellStyle name="Calculation 2 3 2 2 3 2 3" xfId="3992"/>
    <cellStyle name="Calculation 2 3 2 2 3 2 3 2" xfId="7412"/>
    <cellStyle name="Calculation 2 3 2 2 3 2 3 2 2" xfId="14252"/>
    <cellStyle name="Calculation 2 3 2 2 3 2 3 3" xfId="10832"/>
    <cellStyle name="Calculation 2 3 2 2 3 2 4" xfId="5132"/>
    <cellStyle name="Calculation 2 3 2 2 3 2 4 2" xfId="11972"/>
    <cellStyle name="Calculation 2 3 2 2 3 2 5" xfId="8552"/>
    <cellStyle name="Calculation 2 3 2 2 3 3" xfId="2099"/>
    <cellStyle name="Calculation 2 3 2 2 3 3 2" xfId="5519"/>
    <cellStyle name="Calculation 2 3 2 2 3 3 2 2" xfId="12359"/>
    <cellStyle name="Calculation 2 3 2 2 3 3 3" xfId="8939"/>
    <cellStyle name="Calculation 2 3 2 2 3 4" xfId="3239"/>
    <cellStyle name="Calculation 2 3 2 2 3 4 2" xfId="6659"/>
    <cellStyle name="Calculation 2 3 2 2 3 4 2 2" xfId="13499"/>
    <cellStyle name="Calculation 2 3 2 2 3 4 3" xfId="10079"/>
    <cellStyle name="Calculation 2 3 2 2 3 5" xfId="4379"/>
    <cellStyle name="Calculation 2 3 2 2 3 5 2" xfId="11219"/>
    <cellStyle name="Calculation 2 3 2 2 3 6" xfId="7799"/>
    <cellStyle name="Calculation 2 3 2 2 4" xfId="38289"/>
    <cellStyle name="Calculation 2 3 2 2 5" xfId="51716"/>
    <cellStyle name="Calculation 2 3 2 2 6" xfId="51717"/>
    <cellStyle name="Calculation 2 3 2 2 7" xfId="51718"/>
    <cellStyle name="Calculation 2 3 2 2 8" xfId="51719"/>
    <cellStyle name="Calculation 2 3 2 2 9" xfId="60680"/>
    <cellStyle name="Calculation 2 3 2 3" xfId="594"/>
    <cellStyle name="Calculation 2 3 2 3 2" xfId="1581"/>
    <cellStyle name="Calculation 2 3 2 3 2 2" xfId="1697"/>
    <cellStyle name="Calculation 2 3 2 3 2 2 2" xfId="2837"/>
    <cellStyle name="Calculation 2 3 2 3 2 2 2 2" xfId="6257"/>
    <cellStyle name="Calculation 2 3 2 3 2 2 2 2 2" xfId="13097"/>
    <cellStyle name="Calculation 2 3 2 3 2 2 2 3" xfId="9677"/>
    <cellStyle name="Calculation 2 3 2 3 2 2 3" xfId="3977"/>
    <cellStyle name="Calculation 2 3 2 3 2 2 3 2" xfId="7397"/>
    <cellStyle name="Calculation 2 3 2 3 2 2 3 2 2" xfId="14237"/>
    <cellStyle name="Calculation 2 3 2 3 2 2 3 3" xfId="10817"/>
    <cellStyle name="Calculation 2 3 2 3 2 2 4" xfId="5117"/>
    <cellStyle name="Calculation 2 3 2 3 2 2 4 2" xfId="11957"/>
    <cellStyle name="Calculation 2 3 2 3 2 2 5" xfId="8537"/>
    <cellStyle name="Calculation 2 3 2 3 2 3" xfId="2406"/>
    <cellStyle name="Calculation 2 3 2 3 2 3 2" xfId="5826"/>
    <cellStyle name="Calculation 2 3 2 3 2 3 2 2" xfId="12666"/>
    <cellStyle name="Calculation 2 3 2 3 2 3 3" xfId="9246"/>
    <cellStyle name="Calculation 2 3 2 3 2 4" xfId="3546"/>
    <cellStyle name="Calculation 2 3 2 3 2 4 2" xfId="6966"/>
    <cellStyle name="Calculation 2 3 2 3 2 4 2 2" xfId="13806"/>
    <cellStyle name="Calculation 2 3 2 3 2 4 3" xfId="10386"/>
    <cellStyle name="Calculation 2 3 2 3 2 5" xfId="4686"/>
    <cellStyle name="Calculation 2 3 2 3 2 5 2" xfId="11526"/>
    <cellStyle name="Calculation 2 3 2 3 2 6" xfId="8106"/>
    <cellStyle name="Calculation 2 3 2 3 3" xfId="38475"/>
    <cellStyle name="Calculation 2 3 2 3 4" xfId="51720"/>
    <cellStyle name="Calculation 2 3 2 3 5" xfId="51721"/>
    <cellStyle name="Calculation 2 3 2 3 6" xfId="51722"/>
    <cellStyle name="Calculation 2 3 2 3 7" xfId="60682"/>
    <cellStyle name="Calculation 2 3 2 4" xfId="1155"/>
    <cellStyle name="Calculation 2 3 2 4 2" xfId="1051"/>
    <cellStyle name="Calculation 2 3 2 4 2 2" xfId="2739"/>
    <cellStyle name="Calculation 2 3 2 4 2 2 2" xfId="6159"/>
    <cellStyle name="Calculation 2 3 2 4 2 2 2 2" xfId="12999"/>
    <cellStyle name="Calculation 2 3 2 4 2 2 3" xfId="9579"/>
    <cellStyle name="Calculation 2 3 2 4 2 3" xfId="3879"/>
    <cellStyle name="Calculation 2 3 2 4 2 3 2" xfId="7299"/>
    <cellStyle name="Calculation 2 3 2 4 2 3 2 2" xfId="14139"/>
    <cellStyle name="Calculation 2 3 2 4 2 3 3" xfId="10719"/>
    <cellStyle name="Calculation 2 3 2 4 2 4" xfId="5019"/>
    <cellStyle name="Calculation 2 3 2 4 2 4 2" xfId="11859"/>
    <cellStyle name="Calculation 2 3 2 4 2 5" xfId="8439"/>
    <cellStyle name="Calculation 2 3 2 4 3" xfId="1974"/>
    <cellStyle name="Calculation 2 3 2 4 3 2" xfId="5394"/>
    <cellStyle name="Calculation 2 3 2 4 3 2 2" xfId="12234"/>
    <cellStyle name="Calculation 2 3 2 4 3 3" xfId="8814"/>
    <cellStyle name="Calculation 2 3 2 4 4" xfId="3114"/>
    <cellStyle name="Calculation 2 3 2 4 4 2" xfId="6534"/>
    <cellStyle name="Calculation 2 3 2 4 4 2 2" xfId="13374"/>
    <cellStyle name="Calculation 2 3 2 4 4 3" xfId="9954"/>
    <cellStyle name="Calculation 2 3 2 4 5" xfId="4254"/>
    <cellStyle name="Calculation 2 3 2 4 5 2" xfId="11094"/>
    <cellStyle name="Calculation 2 3 2 4 6" xfId="7674"/>
    <cellStyle name="Calculation 2 3 2 5" xfId="15600"/>
    <cellStyle name="Calculation 2 3 2 6" xfId="23914"/>
    <cellStyle name="Calculation 2 3 2 7" xfId="38211"/>
    <cellStyle name="Calculation 2 3 2 8" xfId="51723"/>
    <cellStyle name="Calculation 2 3 2 9" xfId="60679"/>
    <cellStyle name="Calculation 2 3 3" xfId="313"/>
    <cellStyle name="Calculation 2 3 3 2" xfId="186"/>
    <cellStyle name="Calculation 2 3 3 2 2" xfId="1194"/>
    <cellStyle name="Calculation 2 3 3 2 2 2" xfId="1815"/>
    <cellStyle name="Calculation 2 3 3 2 2 2 2" xfId="2955"/>
    <cellStyle name="Calculation 2 3 3 2 2 2 2 2" xfId="6375"/>
    <cellStyle name="Calculation 2 3 3 2 2 2 2 2 2" xfId="13215"/>
    <cellStyle name="Calculation 2 3 3 2 2 2 2 3" xfId="9795"/>
    <cellStyle name="Calculation 2 3 3 2 2 2 3" xfId="4095"/>
    <cellStyle name="Calculation 2 3 3 2 2 2 3 2" xfId="7515"/>
    <cellStyle name="Calculation 2 3 3 2 2 2 3 2 2" xfId="14355"/>
    <cellStyle name="Calculation 2 3 3 2 2 2 3 3" xfId="10935"/>
    <cellStyle name="Calculation 2 3 3 2 2 2 4" xfId="5235"/>
    <cellStyle name="Calculation 2 3 3 2 2 2 4 2" xfId="12075"/>
    <cellStyle name="Calculation 2 3 3 2 2 2 5" xfId="8655"/>
    <cellStyle name="Calculation 2 3 3 2 2 3" xfId="2013"/>
    <cellStyle name="Calculation 2 3 3 2 2 3 2" xfId="5433"/>
    <cellStyle name="Calculation 2 3 3 2 2 3 2 2" xfId="12273"/>
    <cellStyle name="Calculation 2 3 3 2 2 3 3" xfId="8853"/>
    <cellStyle name="Calculation 2 3 3 2 2 4" xfId="3153"/>
    <cellStyle name="Calculation 2 3 3 2 2 4 2" xfId="6573"/>
    <cellStyle name="Calculation 2 3 3 2 2 4 2 2" xfId="13413"/>
    <cellStyle name="Calculation 2 3 3 2 2 4 3" xfId="9993"/>
    <cellStyle name="Calculation 2 3 3 2 2 5" xfId="4293"/>
    <cellStyle name="Calculation 2 3 3 2 2 5 2" xfId="11133"/>
    <cellStyle name="Calculation 2 3 3 2 2 6" xfId="7713"/>
    <cellStyle name="Calculation 2 3 3 2 3" xfId="38241"/>
    <cellStyle name="Calculation 2 3 3 2 4" xfId="51724"/>
    <cellStyle name="Calculation 2 3 3 2 5" xfId="51725"/>
    <cellStyle name="Calculation 2 3 3 2 6" xfId="51726"/>
    <cellStyle name="Calculation 2 3 3 2 7" xfId="51727"/>
    <cellStyle name="Calculation 2 3 3 2 8" xfId="60684"/>
    <cellStyle name="Calculation 2 3 3 3" xfId="1318"/>
    <cellStyle name="Calculation 2 3 3 3 2" xfId="969"/>
    <cellStyle name="Calculation 2 3 3 3 2 2" xfId="2670"/>
    <cellStyle name="Calculation 2 3 3 3 2 2 2" xfId="6090"/>
    <cellStyle name="Calculation 2 3 3 3 2 2 2 2" xfId="12930"/>
    <cellStyle name="Calculation 2 3 3 3 2 2 3" xfId="9510"/>
    <cellStyle name="Calculation 2 3 3 3 2 3" xfId="3810"/>
    <cellStyle name="Calculation 2 3 3 3 2 3 2" xfId="7230"/>
    <cellStyle name="Calculation 2 3 3 3 2 3 2 2" xfId="14070"/>
    <cellStyle name="Calculation 2 3 3 3 2 3 3" xfId="10650"/>
    <cellStyle name="Calculation 2 3 3 3 2 4" xfId="4950"/>
    <cellStyle name="Calculation 2 3 3 3 2 4 2" xfId="11790"/>
    <cellStyle name="Calculation 2 3 3 3 2 5" xfId="8370"/>
    <cellStyle name="Calculation 2 3 3 3 3" xfId="2139"/>
    <cellStyle name="Calculation 2 3 3 3 3 2" xfId="5559"/>
    <cellStyle name="Calculation 2 3 3 3 3 2 2" xfId="12399"/>
    <cellStyle name="Calculation 2 3 3 3 3 3" xfId="8979"/>
    <cellStyle name="Calculation 2 3 3 3 4" xfId="3279"/>
    <cellStyle name="Calculation 2 3 3 3 4 2" xfId="6699"/>
    <cellStyle name="Calculation 2 3 3 3 4 2 2" xfId="13539"/>
    <cellStyle name="Calculation 2 3 3 3 4 3" xfId="10119"/>
    <cellStyle name="Calculation 2 3 3 3 5" xfId="4419"/>
    <cellStyle name="Calculation 2 3 3 3 5 2" xfId="11259"/>
    <cellStyle name="Calculation 2 3 3 3 6" xfId="7839"/>
    <cellStyle name="Calculation 2 3 3 4" xfId="16570"/>
    <cellStyle name="Calculation 2 3 3 5" xfId="24885"/>
    <cellStyle name="Calculation 2 3 3 6" xfId="32145"/>
    <cellStyle name="Calculation 2 3 3 7" xfId="51728"/>
    <cellStyle name="Calculation 2 3 3 8" xfId="51729"/>
    <cellStyle name="Calculation 2 3 3 9" xfId="60683"/>
    <cellStyle name="Calculation 2 3 4" xfId="212"/>
    <cellStyle name="Calculation 2 3 4 2" xfId="429"/>
    <cellStyle name="Calculation 2 3 4 2 2" xfId="1434"/>
    <cellStyle name="Calculation 2 3 4 2 2 2" xfId="1837"/>
    <cellStyle name="Calculation 2 3 4 2 2 2 2" xfId="2977"/>
    <cellStyle name="Calculation 2 3 4 2 2 2 2 2" xfId="6397"/>
    <cellStyle name="Calculation 2 3 4 2 2 2 2 2 2" xfId="13237"/>
    <cellStyle name="Calculation 2 3 4 2 2 2 2 3" xfId="9817"/>
    <cellStyle name="Calculation 2 3 4 2 2 2 3" xfId="4117"/>
    <cellStyle name="Calculation 2 3 4 2 2 2 3 2" xfId="7537"/>
    <cellStyle name="Calculation 2 3 4 2 2 2 3 2 2" xfId="14377"/>
    <cellStyle name="Calculation 2 3 4 2 2 2 3 3" xfId="10957"/>
    <cellStyle name="Calculation 2 3 4 2 2 2 4" xfId="5257"/>
    <cellStyle name="Calculation 2 3 4 2 2 2 4 2" xfId="12097"/>
    <cellStyle name="Calculation 2 3 4 2 2 2 5" xfId="8677"/>
    <cellStyle name="Calculation 2 3 4 2 2 3" xfId="2255"/>
    <cellStyle name="Calculation 2 3 4 2 2 3 2" xfId="5675"/>
    <cellStyle name="Calculation 2 3 4 2 2 3 2 2" xfId="12515"/>
    <cellStyle name="Calculation 2 3 4 2 2 3 3" xfId="9095"/>
    <cellStyle name="Calculation 2 3 4 2 2 4" xfId="3395"/>
    <cellStyle name="Calculation 2 3 4 2 2 4 2" xfId="6815"/>
    <cellStyle name="Calculation 2 3 4 2 2 4 2 2" xfId="13655"/>
    <cellStyle name="Calculation 2 3 4 2 2 4 3" xfId="10235"/>
    <cellStyle name="Calculation 2 3 4 2 2 5" xfId="4535"/>
    <cellStyle name="Calculation 2 3 4 2 2 5 2" xfId="11375"/>
    <cellStyle name="Calculation 2 3 4 2 2 6" xfId="7955"/>
    <cellStyle name="Calculation 2 3 4 2 3" xfId="38395"/>
    <cellStyle name="Calculation 2 3 4 2 4" xfId="51730"/>
    <cellStyle name="Calculation 2 3 4 2 5" xfId="51731"/>
    <cellStyle name="Calculation 2 3 4 2 6" xfId="51732"/>
    <cellStyle name="Calculation 2 3 4 2 7" xfId="51733"/>
    <cellStyle name="Calculation 2 3 4 2 8" xfId="60686"/>
    <cellStyle name="Calculation 2 3 4 3" xfId="1219"/>
    <cellStyle name="Calculation 2 3 4 3 2" xfId="1778"/>
    <cellStyle name="Calculation 2 3 4 3 2 2" xfId="2918"/>
    <cellStyle name="Calculation 2 3 4 3 2 2 2" xfId="6338"/>
    <cellStyle name="Calculation 2 3 4 3 2 2 2 2" xfId="13178"/>
    <cellStyle name="Calculation 2 3 4 3 2 2 3" xfId="9758"/>
    <cellStyle name="Calculation 2 3 4 3 2 3" xfId="4058"/>
    <cellStyle name="Calculation 2 3 4 3 2 3 2" xfId="7478"/>
    <cellStyle name="Calculation 2 3 4 3 2 3 2 2" xfId="14318"/>
    <cellStyle name="Calculation 2 3 4 3 2 3 3" xfId="10898"/>
    <cellStyle name="Calculation 2 3 4 3 2 4" xfId="5198"/>
    <cellStyle name="Calculation 2 3 4 3 2 4 2" xfId="12038"/>
    <cellStyle name="Calculation 2 3 4 3 2 5" xfId="8618"/>
    <cellStyle name="Calculation 2 3 4 3 3" xfId="2039"/>
    <cellStyle name="Calculation 2 3 4 3 3 2" xfId="5459"/>
    <cellStyle name="Calculation 2 3 4 3 3 2 2" xfId="12299"/>
    <cellStyle name="Calculation 2 3 4 3 3 3" xfId="8879"/>
    <cellStyle name="Calculation 2 3 4 3 4" xfId="3179"/>
    <cellStyle name="Calculation 2 3 4 3 4 2" xfId="6599"/>
    <cellStyle name="Calculation 2 3 4 3 4 2 2" xfId="13439"/>
    <cellStyle name="Calculation 2 3 4 3 4 3" xfId="10019"/>
    <cellStyle name="Calculation 2 3 4 3 5" xfId="4319"/>
    <cellStyle name="Calculation 2 3 4 3 5 2" xfId="11159"/>
    <cellStyle name="Calculation 2 3 4 3 6" xfId="7739"/>
    <cellStyle name="Calculation 2 3 4 4" xfId="17588"/>
    <cellStyle name="Calculation 2 3 4 5" xfId="25909"/>
    <cellStyle name="Calculation 2 3 4 6" xfId="33122"/>
    <cellStyle name="Calculation 2 3 4 7" xfId="51734"/>
    <cellStyle name="Calculation 2 3 4 8" xfId="51735"/>
    <cellStyle name="Calculation 2 3 4 9" xfId="60685"/>
    <cellStyle name="Calculation 2 3 5" xfId="422"/>
    <cellStyle name="Calculation 2 3 5 2" xfId="449"/>
    <cellStyle name="Calculation 2 3 5 2 2" xfId="1453"/>
    <cellStyle name="Calculation 2 3 5 2 2 2" xfId="1865"/>
    <cellStyle name="Calculation 2 3 5 2 2 2 2" xfId="3005"/>
    <cellStyle name="Calculation 2 3 5 2 2 2 2 2" xfId="6425"/>
    <cellStyle name="Calculation 2 3 5 2 2 2 2 2 2" xfId="13265"/>
    <cellStyle name="Calculation 2 3 5 2 2 2 2 3" xfId="9845"/>
    <cellStyle name="Calculation 2 3 5 2 2 2 3" xfId="4145"/>
    <cellStyle name="Calculation 2 3 5 2 2 2 3 2" xfId="7565"/>
    <cellStyle name="Calculation 2 3 5 2 2 2 3 2 2" xfId="14405"/>
    <cellStyle name="Calculation 2 3 5 2 2 2 3 3" xfId="10985"/>
    <cellStyle name="Calculation 2 3 5 2 2 2 4" xfId="5285"/>
    <cellStyle name="Calculation 2 3 5 2 2 2 4 2" xfId="12125"/>
    <cellStyle name="Calculation 2 3 5 2 2 2 5" xfId="8705"/>
    <cellStyle name="Calculation 2 3 5 2 2 3" xfId="2274"/>
    <cellStyle name="Calculation 2 3 5 2 2 3 2" xfId="5694"/>
    <cellStyle name="Calculation 2 3 5 2 2 3 2 2" xfId="12534"/>
    <cellStyle name="Calculation 2 3 5 2 2 3 3" xfId="9114"/>
    <cellStyle name="Calculation 2 3 5 2 2 4" xfId="3414"/>
    <cellStyle name="Calculation 2 3 5 2 2 4 2" xfId="6834"/>
    <cellStyle name="Calculation 2 3 5 2 2 4 2 2" xfId="13674"/>
    <cellStyle name="Calculation 2 3 5 2 2 4 3" xfId="10254"/>
    <cellStyle name="Calculation 2 3 5 2 2 5" xfId="4554"/>
    <cellStyle name="Calculation 2 3 5 2 2 5 2" xfId="11394"/>
    <cellStyle name="Calculation 2 3 5 2 2 6" xfId="7974"/>
    <cellStyle name="Calculation 2 3 5 2 3" xfId="38410"/>
    <cellStyle name="Calculation 2 3 5 2 4" xfId="51736"/>
    <cellStyle name="Calculation 2 3 5 2 5" xfId="51737"/>
    <cellStyle name="Calculation 2 3 5 2 6" xfId="51738"/>
    <cellStyle name="Calculation 2 3 5 2 7" xfId="51739"/>
    <cellStyle name="Calculation 2 3 5 2 8" xfId="60688"/>
    <cellStyle name="Calculation 2 3 5 3" xfId="1427"/>
    <cellStyle name="Calculation 2 3 5 3 2" xfId="896"/>
    <cellStyle name="Calculation 2 3 5 3 2 2" xfId="2646"/>
    <cellStyle name="Calculation 2 3 5 3 2 2 2" xfId="6066"/>
    <cellStyle name="Calculation 2 3 5 3 2 2 2 2" xfId="12906"/>
    <cellStyle name="Calculation 2 3 5 3 2 2 3" xfId="9486"/>
    <cellStyle name="Calculation 2 3 5 3 2 3" xfId="3786"/>
    <cellStyle name="Calculation 2 3 5 3 2 3 2" xfId="7206"/>
    <cellStyle name="Calculation 2 3 5 3 2 3 2 2" xfId="14046"/>
    <cellStyle name="Calculation 2 3 5 3 2 3 3" xfId="10626"/>
    <cellStyle name="Calculation 2 3 5 3 2 4" xfId="4926"/>
    <cellStyle name="Calculation 2 3 5 3 2 4 2" xfId="11766"/>
    <cellStyle name="Calculation 2 3 5 3 2 5" xfId="8346"/>
    <cellStyle name="Calculation 2 3 5 3 3" xfId="2248"/>
    <cellStyle name="Calculation 2 3 5 3 3 2" xfId="5668"/>
    <cellStyle name="Calculation 2 3 5 3 3 2 2" xfId="12508"/>
    <cellStyle name="Calculation 2 3 5 3 3 3" xfId="9088"/>
    <cellStyle name="Calculation 2 3 5 3 4" xfId="3388"/>
    <cellStyle name="Calculation 2 3 5 3 4 2" xfId="6808"/>
    <cellStyle name="Calculation 2 3 5 3 4 2 2" xfId="13648"/>
    <cellStyle name="Calculation 2 3 5 3 4 3" xfId="10228"/>
    <cellStyle name="Calculation 2 3 5 3 5" xfId="4528"/>
    <cellStyle name="Calculation 2 3 5 3 5 2" xfId="11368"/>
    <cellStyle name="Calculation 2 3 5 3 6" xfId="7948"/>
    <cellStyle name="Calculation 2 3 5 4" xfId="18569"/>
    <cellStyle name="Calculation 2 3 5 5" xfId="26887"/>
    <cellStyle name="Calculation 2 3 5 6" xfId="34056"/>
    <cellStyle name="Calculation 2 3 5 7" xfId="51740"/>
    <cellStyle name="Calculation 2 3 5 8" xfId="51741"/>
    <cellStyle name="Calculation 2 3 5 9" xfId="60687"/>
    <cellStyle name="Calculation 2 3 6" xfId="509"/>
    <cellStyle name="Calculation 2 3 6 2" xfId="453"/>
    <cellStyle name="Calculation 2 3 6 2 2" xfId="1457"/>
    <cellStyle name="Calculation 2 3 6 2 2 2" xfId="880"/>
    <cellStyle name="Calculation 2 3 6 2 2 2 2" xfId="2718"/>
    <cellStyle name="Calculation 2 3 6 2 2 2 2 2" xfId="6138"/>
    <cellStyle name="Calculation 2 3 6 2 2 2 2 2 2" xfId="12978"/>
    <cellStyle name="Calculation 2 3 6 2 2 2 2 3" xfId="9558"/>
    <cellStyle name="Calculation 2 3 6 2 2 2 3" xfId="3858"/>
    <cellStyle name="Calculation 2 3 6 2 2 2 3 2" xfId="7278"/>
    <cellStyle name="Calculation 2 3 6 2 2 2 3 2 2" xfId="14118"/>
    <cellStyle name="Calculation 2 3 6 2 2 2 3 3" xfId="10698"/>
    <cellStyle name="Calculation 2 3 6 2 2 2 4" xfId="4998"/>
    <cellStyle name="Calculation 2 3 6 2 2 2 4 2" xfId="11838"/>
    <cellStyle name="Calculation 2 3 6 2 2 2 5" xfId="8418"/>
    <cellStyle name="Calculation 2 3 6 2 2 3" xfId="2278"/>
    <cellStyle name="Calculation 2 3 6 2 2 3 2" xfId="5698"/>
    <cellStyle name="Calculation 2 3 6 2 2 3 2 2" xfId="12538"/>
    <cellStyle name="Calculation 2 3 6 2 2 3 3" xfId="9118"/>
    <cellStyle name="Calculation 2 3 6 2 2 4" xfId="3418"/>
    <cellStyle name="Calculation 2 3 6 2 2 4 2" xfId="6838"/>
    <cellStyle name="Calculation 2 3 6 2 2 4 2 2" xfId="13678"/>
    <cellStyle name="Calculation 2 3 6 2 2 4 3" xfId="10258"/>
    <cellStyle name="Calculation 2 3 6 2 2 5" xfId="4558"/>
    <cellStyle name="Calculation 2 3 6 2 2 5 2" xfId="11398"/>
    <cellStyle name="Calculation 2 3 6 2 2 6" xfId="7978"/>
    <cellStyle name="Calculation 2 3 6 2 3" xfId="38414"/>
    <cellStyle name="Calculation 2 3 6 2 4" xfId="51742"/>
    <cellStyle name="Calculation 2 3 6 2 5" xfId="51743"/>
    <cellStyle name="Calculation 2 3 6 2 6" xfId="51744"/>
    <cellStyle name="Calculation 2 3 6 2 7" xfId="51745"/>
    <cellStyle name="Calculation 2 3 6 2 8" xfId="60690"/>
    <cellStyle name="Calculation 2 3 6 3" xfId="1513"/>
    <cellStyle name="Calculation 2 3 6 3 2" xfId="1797"/>
    <cellStyle name="Calculation 2 3 6 3 2 2" xfId="2937"/>
    <cellStyle name="Calculation 2 3 6 3 2 2 2" xfId="6357"/>
    <cellStyle name="Calculation 2 3 6 3 2 2 2 2" xfId="13197"/>
    <cellStyle name="Calculation 2 3 6 3 2 2 3" xfId="9777"/>
    <cellStyle name="Calculation 2 3 6 3 2 3" xfId="4077"/>
    <cellStyle name="Calculation 2 3 6 3 2 3 2" xfId="7497"/>
    <cellStyle name="Calculation 2 3 6 3 2 3 2 2" xfId="14337"/>
    <cellStyle name="Calculation 2 3 6 3 2 3 3" xfId="10917"/>
    <cellStyle name="Calculation 2 3 6 3 2 4" xfId="5217"/>
    <cellStyle name="Calculation 2 3 6 3 2 4 2" xfId="12057"/>
    <cellStyle name="Calculation 2 3 6 3 2 5" xfId="8637"/>
    <cellStyle name="Calculation 2 3 6 3 3" xfId="2334"/>
    <cellStyle name="Calculation 2 3 6 3 3 2" xfId="5754"/>
    <cellStyle name="Calculation 2 3 6 3 3 2 2" xfId="12594"/>
    <cellStyle name="Calculation 2 3 6 3 3 3" xfId="9174"/>
    <cellStyle name="Calculation 2 3 6 3 4" xfId="3474"/>
    <cellStyle name="Calculation 2 3 6 3 4 2" xfId="6894"/>
    <cellStyle name="Calculation 2 3 6 3 4 2 2" xfId="13734"/>
    <cellStyle name="Calculation 2 3 6 3 4 3" xfId="10314"/>
    <cellStyle name="Calculation 2 3 6 3 5" xfId="4614"/>
    <cellStyle name="Calculation 2 3 6 3 5 2" xfId="11454"/>
    <cellStyle name="Calculation 2 3 6 3 6" xfId="8034"/>
    <cellStyle name="Calculation 2 3 6 4" xfId="17544"/>
    <cellStyle name="Calculation 2 3 6 5" xfId="25862"/>
    <cellStyle name="Calculation 2 3 6 6" xfId="33079"/>
    <cellStyle name="Calculation 2 3 6 7" xfId="51746"/>
    <cellStyle name="Calculation 2 3 6 8" xfId="51747"/>
    <cellStyle name="Calculation 2 3 6 9" xfId="60689"/>
    <cellStyle name="Calculation 2 3 7" xfId="1104"/>
    <cellStyle name="Calculation 2 3 7 2" xfId="1074"/>
    <cellStyle name="Calculation 2 3 7 2 2" xfId="1892"/>
    <cellStyle name="Calculation 2 3 7 2 2 2" xfId="5312"/>
    <cellStyle name="Calculation 2 3 7 2 2 2 2" xfId="12152"/>
    <cellStyle name="Calculation 2 3 7 2 2 3" xfId="8732"/>
    <cellStyle name="Calculation 2 3 7 2 3" xfId="3032"/>
    <cellStyle name="Calculation 2 3 7 2 3 2" xfId="6452"/>
    <cellStyle name="Calculation 2 3 7 2 3 2 2" xfId="13292"/>
    <cellStyle name="Calculation 2 3 7 2 3 3" xfId="9872"/>
    <cellStyle name="Calculation 2 3 7 2 4" xfId="4172"/>
    <cellStyle name="Calculation 2 3 7 2 4 2" xfId="11012"/>
    <cellStyle name="Calculation 2 3 7 2 5" xfId="7592"/>
    <cellStyle name="Calculation 2 3 7 3" xfId="1913"/>
    <cellStyle name="Calculation 2 3 7 3 2" xfId="5333"/>
    <cellStyle name="Calculation 2 3 7 3 2 2" xfId="12173"/>
    <cellStyle name="Calculation 2 3 7 3 3" xfId="8753"/>
    <cellStyle name="Calculation 2 3 7 4" xfId="3053"/>
    <cellStyle name="Calculation 2 3 7 4 2" xfId="6473"/>
    <cellStyle name="Calculation 2 3 7 4 2 2" xfId="13313"/>
    <cellStyle name="Calculation 2 3 7 4 3" xfId="9893"/>
    <cellStyle name="Calculation 2 3 7 5" xfId="4193"/>
    <cellStyle name="Calculation 2 3 7 5 2" xfId="11033"/>
    <cellStyle name="Calculation 2 3 7 6" xfId="7613"/>
    <cellStyle name="Calculation 2 3 7 7" xfId="19250"/>
    <cellStyle name="Calculation 2 3 7 8" xfId="27570"/>
    <cellStyle name="Calculation 2 3 7 9" xfId="34718"/>
    <cellStyle name="Calculation 2 3 8" xfId="14428"/>
    <cellStyle name="Calculation 2 3 8 2" xfId="51748"/>
    <cellStyle name="Calculation 2 3 8 3" xfId="51749"/>
    <cellStyle name="Calculation 2 3 9" xfId="51750"/>
    <cellStyle name="Calculation 2 30" xfId="60647"/>
    <cellStyle name="Calculation 2 4" xfId="104"/>
    <cellStyle name="Calculation 2 4 10" xfId="14565"/>
    <cellStyle name="Calculation 2 4 11" xfId="22921"/>
    <cellStyle name="Calculation 2 4 12" xfId="51751"/>
    <cellStyle name="Calculation 2 4 13" xfId="51752"/>
    <cellStyle name="Calculation 2 4 14" xfId="51753"/>
    <cellStyle name="Calculation 2 4 15" xfId="60691"/>
    <cellStyle name="Calculation 2 4 2" xfId="163"/>
    <cellStyle name="Calculation 2 4 2 10" xfId="60692"/>
    <cellStyle name="Calculation 2 4 2 2" xfId="289"/>
    <cellStyle name="Calculation 2 4 2 2 2" xfId="698"/>
    <cellStyle name="Calculation 2 4 2 2 2 2" xfId="1649"/>
    <cellStyle name="Calculation 2 4 2 2 2 2 2" xfId="758"/>
    <cellStyle name="Calculation 2 4 2 2 2 2 2 2" xfId="2766"/>
    <cellStyle name="Calculation 2 4 2 2 2 2 2 2 2" xfId="6186"/>
    <cellStyle name="Calculation 2 4 2 2 2 2 2 2 2 2" xfId="13026"/>
    <cellStyle name="Calculation 2 4 2 2 2 2 2 2 3" xfId="9606"/>
    <cellStyle name="Calculation 2 4 2 2 2 2 2 3" xfId="3906"/>
    <cellStyle name="Calculation 2 4 2 2 2 2 2 3 2" xfId="7326"/>
    <cellStyle name="Calculation 2 4 2 2 2 2 2 3 2 2" xfId="14166"/>
    <cellStyle name="Calculation 2 4 2 2 2 2 2 3 3" xfId="10746"/>
    <cellStyle name="Calculation 2 4 2 2 2 2 2 4" xfId="5046"/>
    <cellStyle name="Calculation 2 4 2 2 2 2 2 4 2" xfId="11886"/>
    <cellStyle name="Calculation 2 4 2 2 2 2 2 5" xfId="8466"/>
    <cellStyle name="Calculation 2 4 2 2 2 2 3" xfId="2483"/>
    <cellStyle name="Calculation 2 4 2 2 2 2 3 2" xfId="5903"/>
    <cellStyle name="Calculation 2 4 2 2 2 2 3 2 2" xfId="12743"/>
    <cellStyle name="Calculation 2 4 2 2 2 2 3 3" xfId="9323"/>
    <cellStyle name="Calculation 2 4 2 2 2 2 4" xfId="3623"/>
    <cellStyle name="Calculation 2 4 2 2 2 2 4 2" xfId="7043"/>
    <cellStyle name="Calculation 2 4 2 2 2 2 4 2 2" xfId="13883"/>
    <cellStyle name="Calculation 2 4 2 2 2 2 4 3" xfId="10463"/>
    <cellStyle name="Calculation 2 4 2 2 2 2 5" xfId="4763"/>
    <cellStyle name="Calculation 2 4 2 2 2 2 5 2" xfId="11603"/>
    <cellStyle name="Calculation 2 4 2 2 2 2 6" xfId="8183"/>
    <cellStyle name="Calculation 2 4 2 2 2 3" xfId="38542"/>
    <cellStyle name="Calculation 2 4 2 2 2 4" xfId="51754"/>
    <cellStyle name="Calculation 2 4 2 2 2 5" xfId="51755"/>
    <cellStyle name="Calculation 2 4 2 2 2 6" xfId="51756"/>
    <cellStyle name="Calculation 2 4 2 2 2 7" xfId="60694"/>
    <cellStyle name="Calculation 2 4 2 2 3" xfId="1295"/>
    <cellStyle name="Calculation 2 4 2 2 3 2" xfId="1844"/>
    <cellStyle name="Calculation 2 4 2 2 3 2 2" xfId="2984"/>
    <cellStyle name="Calculation 2 4 2 2 3 2 2 2" xfId="6404"/>
    <cellStyle name="Calculation 2 4 2 2 3 2 2 2 2" xfId="13244"/>
    <cellStyle name="Calculation 2 4 2 2 3 2 2 3" xfId="9824"/>
    <cellStyle name="Calculation 2 4 2 2 3 2 3" xfId="4124"/>
    <cellStyle name="Calculation 2 4 2 2 3 2 3 2" xfId="7544"/>
    <cellStyle name="Calculation 2 4 2 2 3 2 3 2 2" xfId="14384"/>
    <cellStyle name="Calculation 2 4 2 2 3 2 3 3" xfId="10964"/>
    <cellStyle name="Calculation 2 4 2 2 3 2 4" xfId="5264"/>
    <cellStyle name="Calculation 2 4 2 2 3 2 4 2" xfId="12104"/>
    <cellStyle name="Calculation 2 4 2 2 3 2 5" xfId="8684"/>
    <cellStyle name="Calculation 2 4 2 2 3 3" xfId="2115"/>
    <cellStyle name="Calculation 2 4 2 2 3 3 2" xfId="5535"/>
    <cellStyle name="Calculation 2 4 2 2 3 3 2 2" xfId="12375"/>
    <cellStyle name="Calculation 2 4 2 2 3 3 3" xfId="8955"/>
    <cellStyle name="Calculation 2 4 2 2 3 4" xfId="3255"/>
    <cellStyle name="Calculation 2 4 2 2 3 4 2" xfId="6675"/>
    <cellStyle name="Calculation 2 4 2 2 3 4 2 2" xfId="13515"/>
    <cellStyle name="Calculation 2 4 2 2 3 4 3" xfId="10095"/>
    <cellStyle name="Calculation 2 4 2 2 3 5" xfId="4395"/>
    <cellStyle name="Calculation 2 4 2 2 3 5 2" xfId="11235"/>
    <cellStyle name="Calculation 2 4 2 2 3 6" xfId="7815"/>
    <cellStyle name="Calculation 2 4 2 2 4" xfId="38305"/>
    <cellStyle name="Calculation 2 4 2 2 5" xfId="51757"/>
    <cellStyle name="Calculation 2 4 2 2 6" xfId="51758"/>
    <cellStyle name="Calculation 2 4 2 2 7" xfId="51759"/>
    <cellStyle name="Calculation 2 4 2 2 8" xfId="51760"/>
    <cellStyle name="Calculation 2 4 2 2 9" xfId="60693"/>
    <cellStyle name="Calculation 2 4 2 3" xfId="610"/>
    <cellStyle name="Calculation 2 4 2 3 2" xfId="1597"/>
    <cellStyle name="Calculation 2 4 2 3 2 2" xfId="810"/>
    <cellStyle name="Calculation 2 4 2 3 2 2 2" xfId="2737"/>
    <cellStyle name="Calculation 2 4 2 3 2 2 2 2" xfId="6157"/>
    <cellStyle name="Calculation 2 4 2 3 2 2 2 2 2" xfId="12997"/>
    <cellStyle name="Calculation 2 4 2 3 2 2 2 3" xfId="9577"/>
    <cellStyle name="Calculation 2 4 2 3 2 2 3" xfId="3877"/>
    <cellStyle name="Calculation 2 4 2 3 2 2 3 2" xfId="7297"/>
    <cellStyle name="Calculation 2 4 2 3 2 2 3 2 2" xfId="14137"/>
    <cellStyle name="Calculation 2 4 2 3 2 2 3 3" xfId="10717"/>
    <cellStyle name="Calculation 2 4 2 3 2 2 4" xfId="5017"/>
    <cellStyle name="Calculation 2 4 2 3 2 2 4 2" xfId="11857"/>
    <cellStyle name="Calculation 2 4 2 3 2 2 5" xfId="8437"/>
    <cellStyle name="Calculation 2 4 2 3 2 3" xfId="2422"/>
    <cellStyle name="Calculation 2 4 2 3 2 3 2" xfId="5842"/>
    <cellStyle name="Calculation 2 4 2 3 2 3 2 2" xfId="12682"/>
    <cellStyle name="Calculation 2 4 2 3 2 3 3" xfId="9262"/>
    <cellStyle name="Calculation 2 4 2 3 2 4" xfId="3562"/>
    <cellStyle name="Calculation 2 4 2 3 2 4 2" xfId="6982"/>
    <cellStyle name="Calculation 2 4 2 3 2 4 2 2" xfId="13822"/>
    <cellStyle name="Calculation 2 4 2 3 2 4 3" xfId="10402"/>
    <cellStyle name="Calculation 2 4 2 3 2 5" xfId="4702"/>
    <cellStyle name="Calculation 2 4 2 3 2 5 2" xfId="11542"/>
    <cellStyle name="Calculation 2 4 2 3 2 6" xfId="8122"/>
    <cellStyle name="Calculation 2 4 2 3 3" xfId="38491"/>
    <cellStyle name="Calculation 2 4 2 3 4" xfId="51761"/>
    <cellStyle name="Calculation 2 4 2 3 5" xfId="51762"/>
    <cellStyle name="Calculation 2 4 2 3 6" xfId="51763"/>
    <cellStyle name="Calculation 2 4 2 3 7" xfId="60695"/>
    <cellStyle name="Calculation 2 4 2 4" xfId="1171"/>
    <cellStyle name="Calculation 2 4 2 4 2" xfId="1042"/>
    <cellStyle name="Calculation 2 4 2 4 2 2" xfId="1891"/>
    <cellStyle name="Calculation 2 4 2 4 2 2 2" xfId="5311"/>
    <cellStyle name="Calculation 2 4 2 4 2 2 2 2" xfId="12151"/>
    <cellStyle name="Calculation 2 4 2 4 2 2 3" xfId="8731"/>
    <cellStyle name="Calculation 2 4 2 4 2 3" xfId="3031"/>
    <cellStyle name="Calculation 2 4 2 4 2 3 2" xfId="6451"/>
    <cellStyle name="Calculation 2 4 2 4 2 3 2 2" xfId="13291"/>
    <cellStyle name="Calculation 2 4 2 4 2 3 3" xfId="9871"/>
    <cellStyle name="Calculation 2 4 2 4 2 4" xfId="4171"/>
    <cellStyle name="Calculation 2 4 2 4 2 4 2" xfId="11011"/>
    <cellStyle name="Calculation 2 4 2 4 2 5" xfId="7591"/>
    <cellStyle name="Calculation 2 4 2 4 3" xfId="1990"/>
    <cellStyle name="Calculation 2 4 2 4 3 2" xfId="5410"/>
    <cellStyle name="Calculation 2 4 2 4 3 2 2" xfId="12250"/>
    <cellStyle name="Calculation 2 4 2 4 3 3" xfId="8830"/>
    <cellStyle name="Calculation 2 4 2 4 4" xfId="3130"/>
    <cellStyle name="Calculation 2 4 2 4 4 2" xfId="6550"/>
    <cellStyle name="Calculation 2 4 2 4 4 2 2" xfId="13390"/>
    <cellStyle name="Calculation 2 4 2 4 4 3" xfId="9970"/>
    <cellStyle name="Calculation 2 4 2 4 5" xfId="4270"/>
    <cellStyle name="Calculation 2 4 2 4 5 2" xfId="11110"/>
    <cellStyle name="Calculation 2 4 2 4 6" xfId="7690"/>
    <cellStyle name="Calculation 2 4 2 5" xfId="15644"/>
    <cellStyle name="Calculation 2 4 2 6" xfId="23957"/>
    <cellStyle name="Calculation 2 4 2 7" xfId="31254"/>
    <cellStyle name="Calculation 2 4 2 8" xfId="51764"/>
    <cellStyle name="Calculation 2 4 2 9" xfId="51765"/>
    <cellStyle name="Calculation 2 4 3" xfId="329"/>
    <cellStyle name="Calculation 2 4 3 2" xfId="384"/>
    <cellStyle name="Calculation 2 4 3 2 2" xfId="1389"/>
    <cellStyle name="Calculation 2 4 3 2 2 2" xfId="1691"/>
    <cellStyle name="Calculation 2 4 3 2 2 2 2" xfId="2831"/>
    <cellStyle name="Calculation 2 4 3 2 2 2 2 2" xfId="6251"/>
    <cellStyle name="Calculation 2 4 3 2 2 2 2 2 2" xfId="13091"/>
    <cellStyle name="Calculation 2 4 3 2 2 2 2 3" xfId="9671"/>
    <cellStyle name="Calculation 2 4 3 2 2 2 3" xfId="3971"/>
    <cellStyle name="Calculation 2 4 3 2 2 2 3 2" xfId="7391"/>
    <cellStyle name="Calculation 2 4 3 2 2 2 3 2 2" xfId="14231"/>
    <cellStyle name="Calculation 2 4 3 2 2 2 3 3" xfId="10811"/>
    <cellStyle name="Calculation 2 4 3 2 2 2 4" xfId="5111"/>
    <cellStyle name="Calculation 2 4 3 2 2 2 4 2" xfId="11951"/>
    <cellStyle name="Calculation 2 4 3 2 2 2 5" xfId="8531"/>
    <cellStyle name="Calculation 2 4 3 2 2 3" xfId="2210"/>
    <cellStyle name="Calculation 2 4 3 2 2 3 2" xfId="5630"/>
    <cellStyle name="Calculation 2 4 3 2 2 3 2 2" xfId="12470"/>
    <cellStyle name="Calculation 2 4 3 2 2 3 3" xfId="9050"/>
    <cellStyle name="Calculation 2 4 3 2 2 4" xfId="3350"/>
    <cellStyle name="Calculation 2 4 3 2 2 4 2" xfId="6770"/>
    <cellStyle name="Calculation 2 4 3 2 2 4 2 2" xfId="13610"/>
    <cellStyle name="Calculation 2 4 3 2 2 4 3" xfId="10190"/>
    <cellStyle name="Calculation 2 4 3 2 2 5" xfId="4490"/>
    <cellStyle name="Calculation 2 4 3 2 2 5 2" xfId="11330"/>
    <cellStyle name="Calculation 2 4 3 2 2 6" xfId="7910"/>
    <cellStyle name="Calculation 2 4 3 2 3" xfId="38366"/>
    <cellStyle name="Calculation 2 4 3 2 4" xfId="51766"/>
    <cellStyle name="Calculation 2 4 3 2 5" xfId="51767"/>
    <cellStyle name="Calculation 2 4 3 2 6" xfId="51768"/>
    <cellStyle name="Calculation 2 4 3 2 7" xfId="51769"/>
    <cellStyle name="Calculation 2 4 3 2 8" xfId="60697"/>
    <cellStyle name="Calculation 2 4 3 3" xfId="1334"/>
    <cellStyle name="Calculation 2 4 3 3 2" xfId="958"/>
    <cellStyle name="Calculation 2 4 3 3 2 2" xfId="2689"/>
    <cellStyle name="Calculation 2 4 3 3 2 2 2" xfId="6109"/>
    <cellStyle name="Calculation 2 4 3 3 2 2 2 2" xfId="12949"/>
    <cellStyle name="Calculation 2 4 3 3 2 2 3" xfId="9529"/>
    <cellStyle name="Calculation 2 4 3 3 2 3" xfId="3829"/>
    <cellStyle name="Calculation 2 4 3 3 2 3 2" xfId="7249"/>
    <cellStyle name="Calculation 2 4 3 3 2 3 2 2" xfId="14089"/>
    <cellStyle name="Calculation 2 4 3 3 2 3 3" xfId="10669"/>
    <cellStyle name="Calculation 2 4 3 3 2 4" xfId="4969"/>
    <cellStyle name="Calculation 2 4 3 3 2 4 2" xfId="11809"/>
    <cellStyle name="Calculation 2 4 3 3 2 5" xfId="8389"/>
    <cellStyle name="Calculation 2 4 3 3 3" xfId="2155"/>
    <cellStyle name="Calculation 2 4 3 3 3 2" xfId="5575"/>
    <cellStyle name="Calculation 2 4 3 3 3 2 2" xfId="12415"/>
    <cellStyle name="Calculation 2 4 3 3 3 3" xfId="8995"/>
    <cellStyle name="Calculation 2 4 3 3 4" xfId="3295"/>
    <cellStyle name="Calculation 2 4 3 3 4 2" xfId="6715"/>
    <cellStyle name="Calculation 2 4 3 3 4 2 2" xfId="13555"/>
    <cellStyle name="Calculation 2 4 3 3 4 3" xfId="10135"/>
    <cellStyle name="Calculation 2 4 3 3 5" xfId="4435"/>
    <cellStyle name="Calculation 2 4 3 3 5 2" xfId="11275"/>
    <cellStyle name="Calculation 2 4 3 3 6" xfId="7855"/>
    <cellStyle name="Calculation 2 4 3 4" xfId="16611"/>
    <cellStyle name="Calculation 2 4 3 5" xfId="24928"/>
    <cellStyle name="Calculation 2 4 3 6" xfId="32187"/>
    <cellStyle name="Calculation 2 4 3 7" xfId="51770"/>
    <cellStyle name="Calculation 2 4 3 8" xfId="51771"/>
    <cellStyle name="Calculation 2 4 3 9" xfId="60696"/>
    <cellStyle name="Calculation 2 4 4" xfId="236"/>
    <cellStyle name="Calculation 2 4 4 2" xfId="180"/>
    <cellStyle name="Calculation 2 4 4 2 2" xfId="1188"/>
    <cellStyle name="Calculation 2 4 4 2 2 2" xfId="1866"/>
    <cellStyle name="Calculation 2 4 4 2 2 2 2" xfId="3006"/>
    <cellStyle name="Calculation 2 4 4 2 2 2 2 2" xfId="6426"/>
    <cellStyle name="Calculation 2 4 4 2 2 2 2 2 2" xfId="13266"/>
    <cellStyle name="Calculation 2 4 4 2 2 2 2 3" xfId="9846"/>
    <cellStyle name="Calculation 2 4 4 2 2 2 3" xfId="4146"/>
    <cellStyle name="Calculation 2 4 4 2 2 2 3 2" xfId="7566"/>
    <cellStyle name="Calculation 2 4 4 2 2 2 3 2 2" xfId="14406"/>
    <cellStyle name="Calculation 2 4 4 2 2 2 3 3" xfId="10986"/>
    <cellStyle name="Calculation 2 4 4 2 2 2 4" xfId="5286"/>
    <cellStyle name="Calculation 2 4 4 2 2 2 4 2" xfId="12126"/>
    <cellStyle name="Calculation 2 4 4 2 2 2 5" xfId="8706"/>
    <cellStyle name="Calculation 2 4 4 2 2 3" xfId="2007"/>
    <cellStyle name="Calculation 2 4 4 2 2 3 2" xfId="5427"/>
    <cellStyle name="Calculation 2 4 4 2 2 3 2 2" xfId="12267"/>
    <cellStyle name="Calculation 2 4 4 2 2 3 3" xfId="8847"/>
    <cellStyle name="Calculation 2 4 4 2 2 4" xfId="3147"/>
    <cellStyle name="Calculation 2 4 4 2 2 4 2" xfId="6567"/>
    <cellStyle name="Calculation 2 4 4 2 2 4 2 2" xfId="13407"/>
    <cellStyle name="Calculation 2 4 4 2 2 4 3" xfId="9987"/>
    <cellStyle name="Calculation 2 4 4 2 2 5" xfId="4287"/>
    <cellStyle name="Calculation 2 4 4 2 2 5 2" xfId="11127"/>
    <cellStyle name="Calculation 2 4 4 2 2 6" xfId="7707"/>
    <cellStyle name="Calculation 2 4 4 2 3" xfId="38237"/>
    <cellStyle name="Calculation 2 4 4 2 4" xfId="51772"/>
    <cellStyle name="Calculation 2 4 4 2 5" xfId="51773"/>
    <cellStyle name="Calculation 2 4 4 2 6" xfId="51774"/>
    <cellStyle name="Calculation 2 4 4 2 7" xfId="51775"/>
    <cellStyle name="Calculation 2 4 4 2 8" xfId="60699"/>
    <cellStyle name="Calculation 2 4 4 3" xfId="1243"/>
    <cellStyle name="Calculation 2 4 4 3 2" xfId="1666"/>
    <cellStyle name="Calculation 2 4 4 3 2 2" xfId="2806"/>
    <cellStyle name="Calculation 2 4 4 3 2 2 2" xfId="6226"/>
    <cellStyle name="Calculation 2 4 4 3 2 2 2 2" xfId="13066"/>
    <cellStyle name="Calculation 2 4 4 3 2 2 3" xfId="9646"/>
    <cellStyle name="Calculation 2 4 4 3 2 3" xfId="3946"/>
    <cellStyle name="Calculation 2 4 4 3 2 3 2" xfId="7366"/>
    <cellStyle name="Calculation 2 4 4 3 2 3 2 2" xfId="14206"/>
    <cellStyle name="Calculation 2 4 4 3 2 3 3" xfId="10786"/>
    <cellStyle name="Calculation 2 4 4 3 2 4" xfId="5086"/>
    <cellStyle name="Calculation 2 4 4 3 2 4 2" xfId="11926"/>
    <cellStyle name="Calculation 2 4 4 3 2 5" xfId="8506"/>
    <cellStyle name="Calculation 2 4 4 3 3" xfId="2063"/>
    <cellStyle name="Calculation 2 4 4 3 3 2" xfId="5483"/>
    <cellStyle name="Calculation 2 4 4 3 3 2 2" xfId="12323"/>
    <cellStyle name="Calculation 2 4 4 3 3 3" xfId="8903"/>
    <cellStyle name="Calculation 2 4 4 3 4" xfId="3203"/>
    <cellStyle name="Calculation 2 4 4 3 4 2" xfId="6623"/>
    <cellStyle name="Calculation 2 4 4 3 4 2 2" xfId="13463"/>
    <cellStyle name="Calculation 2 4 4 3 4 3" xfId="10043"/>
    <cellStyle name="Calculation 2 4 4 3 5" xfId="4343"/>
    <cellStyle name="Calculation 2 4 4 3 5 2" xfId="11183"/>
    <cellStyle name="Calculation 2 4 4 3 6" xfId="7763"/>
    <cellStyle name="Calculation 2 4 4 4" xfId="17631"/>
    <cellStyle name="Calculation 2 4 4 5" xfId="25954"/>
    <cellStyle name="Calculation 2 4 4 6" xfId="33164"/>
    <cellStyle name="Calculation 2 4 4 7" xfId="51776"/>
    <cellStyle name="Calculation 2 4 4 8" xfId="51777"/>
    <cellStyle name="Calculation 2 4 4 9" xfId="60698"/>
    <cellStyle name="Calculation 2 4 5" xfId="494"/>
    <cellStyle name="Calculation 2 4 5 2" xfId="388"/>
    <cellStyle name="Calculation 2 4 5 2 2" xfId="1393"/>
    <cellStyle name="Calculation 2 4 5 2 2 2" xfId="1879"/>
    <cellStyle name="Calculation 2 4 5 2 2 2 2" xfId="3019"/>
    <cellStyle name="Calculation 2 4 5 2 2 2 2 2" xfId="6439"/>
    <cellStyle name="Calculation 2 4 5 2 2 2 2 2 2" xfId="13279"/>
    <cellStyle name="Calculation 2 4 5 2 2 2 2 3" xfId="9859"/>
    <cellStyle name="Calculation 2 4 5 2 2 2 3" xfId="4159"/>
    <cellStyle name="Calculation 2 4 5 2 2 2 3 2" xfId="7579"/>
    <cellStyle name="Calculation 2 4 5 2 2 2 3 2 2" xfId="14419"/>
    <cellStyle name="Calculation 2 4 5 2 2 2 3 3" xfId="10999"/>
    <cellStyle name="Calculation 2 4 5 2 2 2 4" xfId="5299"/>
    <cellStyle name="Calculation 2 4 5 2 2 2 4 2" xfId="12139"/>
    <cellStyle name="Calculation 2 4 5 2 2 2 5" xfId="8719"/>
    <cellStyle name="Calculation 2 4 5 2 2 3" xfId="2214"/>
    <cellStyle name="Calculation 2 4 5 2 2 3 2" xfId="5634"/>
    <cellStyle name="Calculation 2 4 5 2 2 3 2 2" xfId="12474"/>
    <cellStyle name="Calculation 2 4 5 2 2 3 3" xfId="9054"/>
    <cellStyle name="Calculation 2 4 5 2 2 4" xfId="3354"/>
    <cellStyle name="Calculation 2 4 5 2 2 4 2" xfId="6774"/>
    <cellStyle name="Calculation 2 4 5 2 2 4 2 2" xfId="13614"/>
    <cellStyle name="Calculation 2 4 5 2 2 4 3" xfId="10194"/>
    <cellStyle name="Calculation 2 4 5 2 2 5" xfId="4494"/>
    <cellStyle name="Calculation 2 4 5 2 2 5 2" xfId="11334"/>
    <cellStyle name="Calculation 2 4 5 2 2 6" xfId="7914"/>
    <cellStyle name="Calculation 2 4 5 2 3" xfId="38370"/>
    <cellStyle name="Calculation 2 4 5 2 4" xfId="51778"/>
    <cellStyle name="Calculation 2 4 5 2 5" xfId="51779"/>
    <cellStyle name="Calculation 2 4 5 2 6" xfId="51780"/>
    <cellStyle name="Calculation 2 4 5 2 7" xfId="51781"/>
    <cellStyle name="Calculation 2 4 5 2 8" xfId="60701"/>
    <cellStyle name="Calculation 2 4 5 3" xfId="1498"/>
    <cellStyle name="Calculation 2 4 5 3 2" xfId="860"/>
    <cellStyle name="Calculation 2 4 5 3 2 2" xfId="2777"/>
    <cellStyle name="Calculation 2 4 5 3 2 2 2" xfId="6197"/>
    <cellStyle name="Calculation 2 4 5 3 2 2 2 2" xfId="13037"/>
    <cellStyle name="Calculation 2 4 5 3 2 2 3" xfId="9617"/>
    <cellStyle name="Calculation 2 4 5 3 2 3" xfId="3917"/>
    <cellStyle name="Calculation 2 4 5 3 2 3 2" xfId="7337"/>
    <cellStyle name="Calculation 2 4 5 3 2 3 2 2" xfId="14177"/>
    <cellStyle name="Calculation 2 4 5 3 2 3 3" xfId="10757"/>
    <cellStyle name="Calculation 2 4 5 3 2 4" xfId="5057"/>
    <cellStyle name="Calculation 2 4 5 3 2 4 2" xfId="11897"/>
    <cellStyle name="Calculation 2 4 5 3 2 5" xfId="8477"/>
    <cellStyle name="Calculation 2 4 5 3 3" xfId="2319"/>
    <cellStyle name="Calculation 2 4 5 3 3 2" xfId="5739"/>
    <cellStyle name="Calculation 2 4 5 3 3 2 2" xfId="12579"/>
    <cellStyle name="Calculation 2 4 5 3 3 3" xfId="9159"/>
    <cellStyle name="Calculation 2 4 5 3 4" xfId="3459"/>
    <cellStyle name="Calculation 2 4 5 3 4 2" xfId="6879"/>
    <cellStyle name="Calculation 2 4 5 3 4 2 2" xfId="13719"/>
    <cellStyle name="Calculation 2 4 5 3 4 3" xfId="10299"/>
    <cellStyle name="Calculation 2 4 5 3 5" xfId="4599"/>
    <cellStyle name="Calculation 2 4 5 3 5 2" xfId="11439"/>
    <cellStyle name="Calculation 2 4 5 3 6" xfId="8019"/>
    <cellStyle name="Calculation 2 4 5 4" xfId="18613"/>
    <cellStyle name="Calculation 2 4 5 5" xfId="26932"/>
    <cellStyle name="Calculation 2 4 5 6" xfId="34100"/>
    <cellStyle name="Calculation 2 4 5 7" xfId="51782"/>
    <cellStyle name="Calculation 2 4 5 8" xfId="51783"/>
    <cellStyle name="Calculation 2 4 5 9" xfId="60700"/>
    <cellStyle name="Calculation 2 4 6" xfId="514"/>
    <cellStyle name="Calculation 2 4 6 2" xfId="178"/>
    <cellStyle name="Calculation 2 4 6 2 2" xfId="1186"/>
    <cellStyle name="Calculation 2 4 6 2 2 2" xfId="1035"/>
    <cellStyle name="Calculation 2 4 6 2 2 2 2" xfId="2432"/>
    <cellStyle name="Calculation 2 4 6 2 2 2 2 2" xfId="5852"/>
    <cellStyle name="Calculation 2 4 6 2 2 2 2 2 2" xfId="12692"/>
    <cellStyle name="Calculation 2 4 6 2 2 2 2 3" xfId="9272"/>
    <cellStyle name="Calculation 2 4 6 2 2 2 3" xfId="3572"/>
    <cellStyle name="Calculation 2 4 6 2 2 2 3 2" xfId="6992"/>
    <cellStyle name="Calculation 2 4 6 2 2 2 3 2 2" xfId="13832"/>
    <cellStyle name="Calculation 2 4 6 2 2 2 3 3" xfId="10412"/>
    <cellStyle name="Calculation 2 4 6 2 2 2 4" xfId="4712"/>
    <cellStyle name="Calculation 2 4 6 2 2 2 4 2" xfId="11552"/>
    <cellStyle name="Calculation 2 4 6 2 2 2 5" xfId="8132"/>
    <cellStyle name="Calculation 2 4 6 2 2 3" xfId="2005"/>
    <cellStyle name="Calculation 2 4 6 2 2 3 2" xfId="5425"/>
    <cellStyle name="Calculation 2 4 6 2 2 3 2 2" xfId="12265"/>
    <cellStyle name="Calculation 2 4 6 2 2 3 3" xfId="8845"/>
    <cellStyle name="Calculation 2 4 6 2 2 4" xfId="3145"/>
    <cellStyle name="Calculation 2 4 6 2 2 4 2" xfId="6565"/>
    <cellStyle name="Calculation 2 4 6 2 2 4 2 2" xfId="13405"/>
    <cellStyle name="Calculation 2 4 6 2 2 4 3" xfId="9985"/>
    <cellStyle name="Calculation 2 4 6 2 2 5" xfId="4285"/>
    <cellStyle name="Calculation 2 4 6 2 2 5 2" xfId="11125"/>
    <cellStyle name="Calculation 2 4 6 2 2 6" xfId="7705"/>
    <cellStyle name="Calculation 2 4 6 2 3" xfId="38235"/>
    <cellStyle name="Calculation 2 4 6 2 4" xfId="51784"/>
    <cellStyle name="Calculation 2 4 6 2 5" xfId="51785"/>
    <cellStyle name="Calculation 2 4 6 2 6" xfId="51786"/>
    <cellStyle name="Calculation 2 4 6 2 7" xfId="51787"/>
    <cellStyle name="Calculation 2 4 6 2 8" xfId="60703"/>
    <cellStyle name="Calculation 2 4 6 3" xfId="1518"/>
    <cellStyle name="Calculation 2 4 6 3 2" xfId="1800"/>
    <cellStyle name="Calculation 2 4 6 3 2 2" xfId="2940"/>
    <cellStyle name="Calculation 2 4 6 3 2 2 2" xfId="6360"/>
    <cellStyle name="Calculation 2 4 6 3 2 2 2 2" xfId="13200"/>
    <cellStyle name="Calculation 2 4 6 3 2 2 3" xfId="9780"/>
    <cellStyle name="Calculation 2 4 6 3 2 3" xfId="4080"/>
    <cellStyle name="Calculation 2 4 6 3 2 3 2" xfId="7500"/>
    <cellStyle name="Calculation 2 4 6 3 2 3 2 2" xfId="14340"/>
    <cellStyle name="Calculation 2 4 6 3 2 3 3" xfId="10920"/>
    <cellStyle name="Calculation 2 4 6 3 2 4" xfId="5220"/>
    <cellStyle name="Calculation 2 4 6 3 2 4 2" xfId="12060"/>
    <cellStyle name="Calculation 2 4 6 3 2 5" xfId="8640"/>
    <cellStyle name="Calculation 2 4 6 3 3" xfId="2339"/>
    <cellStyle name="Calculation 2 4 6 3 3 2" xfId="5759"/>
    <cellStyle name="Calculation 2 4 6 3 3 2 2" xfId="12599"/>
    <cellStyle name="Calculation 2 4 6 3 3 3" xfId="9179"/>
    <cellStyle name="Calculation 2 4 6 3 4" xfId="3479"/>
    <cellStyle name="Calculation 2 4 6 3 4 2" xfId="6899"/>
    <cellStyle name="Calculation 2 4 6 3 4 2 2" xfId="13739"/>
    <cellStyle name="Calculation 2 4 6 3 4 3" xfId="10319"/>
    <cellStyle name="Calculation 2 4 6 3 5" xfId="4619"/>
    <cellStyle name="Calculation 2 4 6 3 5 2" xfId="11459"/>
    <cellStyle name="Calculation 2 4 6 3 6" xfId="8039"/>
    <cellStyle name="Calculation 2 4 6 4" xfId="19581"/>
    <cellStyle name="Calculation 2 4 6 5" xfId="27902"/>
    <cellStyle name="Calculation 2 4 6 6" xfId="35047"/>
    <cellStyle name="Calculation 2 4 6 7" xfId="51788"/>
    <cellStyle name="Calculation 2 4 6 8" xfId="51789"/>
    <cellStyle name="Calculation 2 4 6 9" xfId="60702"/>
    <cellStyle name="Calculation 2 4 7" xfId="1120"/>
    <cellStyle name="Calculation 2 4 7 2" xfId="1765"/>
    <cellStyle name="Calculation 2 4 7 2 2" xfId="2905"/>
    <cellStyle name="Calculation 2 4 7 2 2 2" xfId="6325"/>
    <cellStyle name="Calculation 2 4 7 2 2 2 2" xfId="13165"/>
    <cellStyle name="Calculation 2 4 7 2 2 3" xfId="9745"/>
    <cellStyle name="Calculation 2 4 7 2 3" xfId="4045"/>
    <cellStyle name="Calculation 2 4 7 2 3 2" xfId="7465"/>
    <cellStyle name="Calculation 2 4 7 2 3 2 2" xfId="14305"/>
    <cellStyle name="Calculation 2 4 7 2 3 3" xfId="10885"/>
    <cellStyle name="Calculation 2 4 7 2 4" xfId="5185"/>
    <cellStyle name="Calculation 2 4 7 2 4 2" xfId="12025"/>
    <cellStyle name="Calculation 2 4 7 2 5" xfId="8605"/>
    <cellStyle name="Calculation 2 4 7 3" xfId="1934"/>
    <cellStyle name="Calculation 2 4 7 3 2" xfId="5354"/>
    <cellStyle name="Calculation 2 4 7 3 2 2" xfId="12194"/>
    <cellStyle name="Calculation 2 4 7 3 3" xfId="8774"/>
    <cellStyle name="Calculation 2 4 7 4" xfId="3074"/>
    <cellStyle name="Calculation 2 4 7 4 2" xfId="6494"/>
    <cellStyle name="Calculation 2 4 7 4 2 2" xfId="13334"/>
    <cellStyle name="Calculation 2 4 7 4 3" xfId="9914"/>
    <cellStyle name="Calculation 2 4 7 5" xfId="4214"/>
    <cellStyle name="Calculation 2 4 7 5 2" xfId="11054"/>
    <cellStyle name="Calculation 2 4 7 6" xfId="7634"/>
    <cellStyle name="Calculation 2 4 7 7" xfId="20539"/>
    <cellStyle name="Calculation 2 4 7 8" xfId="28861"/>
    <cellStyle name="Calculation 2 4 7 9" xfId="35964"/>
    <cellStyle name="Calculation 2 4 8" xfId="21168"/>
    <cellStyle name="Calculation 2 4 8 2" xfId="29480"/>
    <cellStyle name="Calculation 2 4 8 2 2" xfId="51790"/>
    <cellStyle name="Calculation 2 4 8 2 3" xfId="51791"/>
    <cellStyle name="Calculation 2 4 8 3" xfId="36552"/>
    <cellStyle name="Calculation 2 4 8 4" xfId="51792"/>
    <cellStyle name="Calculation 2 4 9" xfId="21974"/>
    <cellStyle name="Calculation 2 4 9 2" xfId="30275"/>
    <cellStyle name="Calculation 2 4 9 2 2" xfId="51793"/>
    <cellStyle name="Calculation 2 4 9 2 3" xfId="51794"/>
    <cellStyle name="Calculation 2 4 9 3" xfId="37315"/>
    <cellStyle name="Calculation 2 4 9 4" xfId="51795"/>
    <cellStyle name="Calculation 2 5" xfId="131"/>
    <cellStyle name="Calculation 2 5 10" xfId="14592"/>
    <cellStyle name="Calculation 2 5 11" xfId="22952"/>
    <cellStyle name="Calculation 2 5 12" xfId="51796"/>
    <cellStyle name="Calculation 2 5 13" xfId="51797"/>
    <cellStyle name="Calculation 2 5 14" xfId="51798"/>
    <cellStyle name="Calculation 2 5 15" xfId="60704"/>
    <cellStyle name="Calculation 2 5 2" xfId="257"/>
    <cellStyle name="Calculation 2 5 2 2" xfId="667"/>
    <cellStyle name="Calculation 2 5 2 2 2" xfId="1618"/>
    <cellStyle name="Calculation 2 5 2 2 2 2" xfId="789"/>
    <cellStyle name="Calculation 2 5 2 2 2 2 2" xfId="2730"/>
    <cellStyle name="Calculation 2 5 2 2 2 2 2 2" xfId="6150"/>
    <cellStyle name="Calculation 2 5 2 2 2 2 2 2 2" xfId="12990"/>
    <cellStyle name="Calculation 2 5 2 2 2 2 2 3" xfId="9570"/>
    <cellStyle name="Calculation 2 5 2 2 2 2 3" xfId="3870"/>
    <cellStyle name="Calculation 2 5 2 2 2 2 3 2" xfId="7290"/>
    <cellStyle name="Calculation 2 5 2 2 2 2 3 2 2" xfId="14130"/>
    <cellStyle name="Calculation 2 5 2 2 2 2 3 3" xfId="10710"/>
    <cellStyle name="Calculation 2 5 2 2 2 2 4" xfId="5010"/>
    <cellStyle name="Calculation 2 5 2 2 2 2 4 2" xfId="11850"/>
    <cellStyle name="Calculation 2 5 2 2 2 2 5" xfId="8430"/>
    <cellStyle name="Calculation 2 5 2 2 2 3" xfId="2452"/>
    <cellStyle name="Calculation 2 5 2 2 2 3 2" xfId="5872"/>
    <cellStyle name="Calculation 2 5 2 2 2 3 2 2" xfId="12712"/>
    <cellStyle name="Calculation 2 5 2 2 2 3 3" xfId="9292"/>
    <cellStyle name="Calculation 2 5 2 2 2 4" xfId="3592"/>
    <cellStyle name="Calculation 2 5 2 2 2 4 2" xfId="7012"/>
    <cellStyle name="Calculation 2 5 2 2 2 4 2 2" xfId="13852"/>
    <cellStyle name="Calculation 2 5 2 2 2 4 3" xfId="10432"/>
    <cellStyle name="Calculation 2 5 2 2 2 5" xfId="4732"/>
    <cellStyle name="Calculation 2 5 2 2 2 5 2" xfId="11572"/>
    <cellStyle name="Calculation 2 5 2 2 2 6" xfId="8152"/>
    <cellStyle name="Calculation 2 5 2 2 3" xfId="38511"/>
    <cellStyle name="Calculation 2 5 2 2 4" xfId="51799"/>
    <cellStyle name="Calculation 2 5 2 2 5" xfId="51800"/>
    <cellStyle name="Calculation 2 5 2 2 6" xfId="51801"/>
    <cellStyle name="Calculation 2 5 2 2 7" xfId="51802"/>
    <cellStyle name="Calculation 2 5 2 2 8" xfId="60706"/>
    <cellStyle name="Calculation 2 5 2 3" xfId="1264"/>
    <cellStyle name="Calculation 2 5 2 3 2" xfId="1874"/>
    <cellStyle name="Calculation 2 5 2 3 2 2" xfId="3014"/>
    <cellStyle name="Calculation 2 5 2 3 2 2 2" xfId="6434"/>
    <cellStyle name="Calculation 2 5 2 3 2 2 2 2" xfId="13274"/>
    <cellStyle name="Calculation 2 5 2 3 2 2 3" xfId="9854"/>
    <cellStyle name="Calculation 2 5 2 3 2 3" xfId="4154"/>
    <cellStyle name="Calculation 2 5 2 3 2 3 2" xfId="7574"/>
    <cellStyle name="Calculation 2 5 2 3 2 3 2 2" xfId="14414"/>
    <cellStyle name="Calculation 2 5 2 3 2 3 3" xfId="10994"/>
    <cellStyle name="Calculation 2 5 2 3 2 4" xfId="5294"/>
    <cellStyle name="Calculation 2 5 2 3 2 4 2" xfId="12134"/>
    <cellStyle name="Calculation 2 5 2 3 2 5" xfId="8714"/>
    <cellStyle name="Calculation 2 5 2 3 3" xfId="2084"/>
    <cellStyle name="Calculation 2 5 2 3 3 2" xfId="5504"/>
    <cellStyle name="Calculation 2 5 2 3 3 2 2" xfId="12344"/>
    <cellStyle name="Calculation 2 5 2 3 3 3" xfId="8924"/>
    <cellStyle name="Calculation 2 5 2 3 4" xfId="3224"/>
    <cellStyle name="Calculation 2 5 2 3 4 2" xfId="6644"/>
    <cellStyle name="Calculation 2 5 2 3 4 2 2" xfId="13484"/>
    <cellStyle name="Calculation 2 5 2 3 4 3" xfId="10064"/>
    <cellStyle name="Calculation 2 5 2 3 5" xfId="4364"/>
    <cellStyle name="Calculation 2 5 2 3 5 2" xfId="11204"/>
    <cellStyle name="Calculation 2 5 2 3 6" xfId="7784"/>
    <cellStyle name="Calculation 2 5 2 4" xfId="15672"/>
    <cellStyle name="Calculation 2 5 2 5" xfId="23987"/>
    <cellStyle name="Calculation 2 5 2 6" xfId="31283"/>
    <cellStyle name="Calculation 2 5 2 7" xfId="51803"/>
    <cellStyle name="Calculation 2 5 2 8" xfId="51804"/>
    <cellStyle name="Calculation 2 5 2 9" xfId="60705"/>
    <cellStyle name="Calculation 2 5 3" xfId="579"/>
    <cellStyle name="Calculation 2 5 3 2" xfId="1566"/>
    <cellStyle name="Calculation 2 5 3 2 2" xfId="827"/>
    <cellStyle name="Calculation 2 5 3 2 2 2" xfId="2779"/>
    <cellStyle name="Calculation 2 5 3 2 2 2 2" xfId="6199"/>
    <cellStyle name="Calculation 2 5 3 2 2 2 2 2" xfId="13039"/>
    <cellStyle name="Calculation 2 5 3 2 2 2 3" xfId="9619"/>
    <cellStyle name="Calculation 2 5 3 2 2 3" xfId="3919"/>
    <cellStyle name="Calculation 2 5 3 2 2 3 2" xfId="7339"/>
    <cellStyle name="Calculation 2 5 3 2 2 3 2 2" xfId="14179"/>
    <cellStyle name="Calculation 2 5 3 2 2 3 3" xfId="10759"/>
    <cellStyle name="Calculation 2 5 3 2 2 4" xfId="5059"/>
    <cellStyle name="Calculation 2 5 3 2 2 4 2" xfId="11899"/>
    <cellStyle name="Calculation 2 5 3 2 2 5" xfId="8479"/>
    <cellStyle name="Calculation 2 5 3 2 3" xfId="2391"/>
    <cellStyle name="Calculation 2 5 3 2 3 2" xfId="5811"/>
    <cellStyle name="Calculation 2 5 3 2 3 2 2" xfId="12651"/>
    <cellStyle name="Calculation 2 5 3 2 3 3" xfId="9231"/>
    <cellStyle name="Calculation 2 5 3 2 4" xfId="3531"/>
    <cellStyle name="Calculation 2 5 3 2 4 2" xfId="6951"/>
    <cellStyle name="Calculation 2 5 3 2 4 2 2" xfId="13791"/>
    <cellStyle name="Calculation 2 5 3 2 4 3" xfId="10371"/>
    <cellStyle name="Calculation 2 5 3 2 5" xfId="4671"/>
    <cellStyle name="Calculation 2 5 3 2 5 2" xfId="11511"/>
    <cellStyle name="Calculation 2 5 3 2 6" xfId="8091"/>
    <cellStyle name="Calculation 2 5 3 3" xfId="16639"/>
    <cellStyle name="Calculation 2 5 3 4" xfId="24958"/>
    <cellStyle name="Calculation 2 5 3 5" xfId="32216"/>
    <cellStyle name="Calculation 2 5 3 6" xfId="51805"/>
    <cellStyle name="Calculation 2 5 3 7" xfId="51806"/>
    <cellStyle name="Calculation 2 5 3 8" xfId="51807"/>
    <cellStyle name="Calculation 2 5 3 9" xfId="60707"/>
    <cellStyle name="Calculation 2 5 4" xfId="1140"/>
    <cellStyle name="Calculation 2 5 4 2" xfId="1058"/>
    <cellStyle name="Calculation 2 5 4 2 2" xfId="2691"/>
    <cellStyle name="Calculation 2 5 4 2 2 2" xfId="6111"/>
    <cellStyle name="Calculation 2 5 4 2 2 2 2" xfId="12951"/>
    <cellStyle name="Calculation 2 5 4 2 2 3" xfId="9531"/>
    <cellStyle name="Calculation 2 5 4 2 3" xfId="3831"/>
    <cellStyle name="Calculation 2 5 4 2 3 2" xfId="7251"/>
    <cellStyle name="Calculation 2 5 4 2 3 2 2" xfId="14091"/>
    <cellStyle name="Calculation 2 5 4 2 3 3" xfId="10671"/>
    <cellStyle name="Calculation 2 5 4 2 4" xfId="4971"/>
    <cellStyle name="Calculation 2 5 4 2 4 2" xfId="11811"/>
    <cellStyle name="Calculation 2 5 4 2 5" xfId="8391"/>
    <cellStyle name="Calculation 2 5 4 3" xfId="1959"/>
    <cellStyle name="Calculation 2 5 4 3 2" xfId="5379"/>
    <cellStyle name="Calculation 2 5 4 3 2 2" xfId="12219"/>
    <cellStyle name="Calculation 2 5 4 3 3" xfId="8799"/>
    <cellStyle name="Calculation 2 5 4 4" xfId="3099"/>
    <cellStyle name="Calculation 2 5 4 4 2" xfId="6519"/>
    <cellStyle name="Calculation 2 5 4 4 2 2" xfId="13359"/>
    <cellStyle name="Calculation 2 5 4 4 3" xfId="9939"/>
    <cellStyle name="Calculation 2 5 4 5" xfId="4239"/>
    <cellStyle name="Calculation 2 5 4 5 2" xfId="11079"/>
    <cellStyle name="Calculation 2 5 4 6" xfId="7659"/>
    <cellStyle name="Calculation 2 5 4 7" xfId="17660"/>
    <cellStyle name="Calculation 2 5 4 8" xfId="25984"/>
    <cellStyle name="Calculation 2 5 4 9" xfId="33193"/>
    <cellStyle name="Calculation 2 5 5" xfId="18643"/>
    <cellStyle name="Calculation 2 5 5 2" xfId="26964"/>
    <cellStyle name="Calculation 2 5 5 2 2" xfId="51808"/>
    <cellStyle name="Calculation 2 5 5 2 3" xfId="51809"/>
    <cellStyle name="Calculation 2 5 5 3" xfId="34131"/>
    <cellStyle name="Calculation 2 5 5 4" xfId="51810"/>
    <cellStyle name="Calculation 2 5 6" xfId="19612"/>
    <cellStyle name="Calculation 2 5 6 2" xfId="27933"/>
    <cellStyle name="Calculation 2 5 6 2 2" xfId="51811"/>
    <cellStyle name="Calculation 2 5 6 2 3" xfId="51812"/>
    <cellStyle name="Calculation 2 5 6 3" xfId="35077"/>
    <cellStyle name="Calculation 2 5 6 4" xfId="51813"/>
    <cellStyle name="Calculation 2 5 7" xfId="20569"/>
    <cellStyle name="Calculation 2 5 7 2" xfId="28891"/>
    <cellStyle name="Calculation 2 5 7 2 2" xfId="51814"/>
    <cellStyle name="Calculation 2 5 7 2 3" xfId="51815"/>
    <cellStyle name="Calculation 2 5 7 3" xfId="35993"/>
    <cellStyle name="Calculation 2 5 7 4" xfId="51816"/>
    <cellStyle name="Calculation 2 5 8" xfId="21374"/>
    <cellStyle name="Calculation 2 5 8 2" xfId="29677"/>
    <cellStyle name="Calculation 2 5 8 2 2" xfId="51817"/>
    <cellStyle name="Calculation 2 5 8 2 3" xfId="51818"/>
    <cellStyle name="Calculation 2 5 8 3" xfId="36741"/>
    <cellStyle name="Calculation 2 5 8 4" xfId="51819"/>
    <cellStyle name="Calculation 2 5 9" xfId="22006"/>
    <cellStyle name="Calculation 2 5 9 2" xfId="30305"/>
    <cellStyle name="Calculation 2 5 9 2 2" xfId="51820"/>
    <cellStyle name="Calculation 2 5 9 2 3" xfId="51821"/>
    <cellStyle name="Calculation 2 5 9 3" xfId="37344"/>
    <cellStyle name="Calculation 2 5 9 4" xfId="51822"/>
    <cellStyle name="Calculation 2 6" xfId="299"/>
    <cellStyle name="Calculation 2 6 10" xfId="14568"/>
    <cellStyle name="Calculation 2 6 11" xfId="22923"/>
    <cellStyle name="Calculation 2 6 12" xfId="51823"/>
    <cellStyle name="Calculation 2 6 13" xfId="51824"/>
    <cellStyle name="Calculation 2 6 14" xfId="51825"/>
    <cellStyle name="Calculation 2 6 15" xfId="60708"/>
    <cellStyle name="Calculation 2 6 2" xfId="174"/>
    <cellStyle name="Calculation 2 6 2 2" xfId="1182"/>
    <cellStyle name="Calculation 2 6 2 2 2" xfId="1037"/>
    <cellStyle name="Calculation 2 6 2 2 2 2" xfId="2755"/>
    <cellStyle name="Calculation 2 6 2 2 2 2 2" xfId="6175"/>
    <cellStyle name="Calculation 2 6 2 2 2 2 2 2" xfId="13015"/>
    <cellStyle name="Calculation 2 6 2 2 2 2 3" xfId="9595"/>
    <cellStyle name="Calculation 2 6 2 2 2 3" xfId="3895"/>
    <cellStyle name="Calculation 2 6 2 2 2 3 2" xfId="7315"/>
    <cellStyle name="Calculation 2 6 2 2 2 3 2 2" xfId="14155"/>
    <cellStyle name="Calculation 2 6 2 2 2 3 3" xfId="10735"/>
    <cellStyle name="Calculation 2 6 2 2 2 4" xfId="5035"/>
    <cellStyle name="Calculation 2 6 2 2 2 4 2" xfId="11875"/>
    <cellStyle name="Calculation 2 6 2 2 2 5" xfId="8455"/>
    <cellStyle name="Calculation 2 6 2 2 3" xfId="2001"/>
    <cellStyle name="Calculation 2 6 2 2 3 2" xfId="5421"/>
    <cellStyle name="Calculation 2 6 2 2 3 2 2" xfId="12261"/>
    <cellStyle name="Calculation 2 6 2 2 3 3" xfId="8841"/>
    <cellStyle name="Calculation 2 6 2 2 4" xfId="3141"/>
    <cellStyle name="Calculation 2 6 2 2 4 2" xfId="6561"/>
    <cellStyle name="Calculation 2 6 2 2 4 2 2" xfId="13401"/>
    <cellStyle name="Calculation 2 6 2 2 4 3" xfId="9981"/>
    <cellStyle name="Calculation 2 6 2 2 5" xfId="4281"/>
    <cellStyle name="Calculation 2 6 2 2 5 2" xfId="11121"/>
    <cellStyle name="Calculation 2 6 2 2 6" xfId="7701"/>
    <cellStyle name="Calculation 2 6 2 3" xfId="15647"/>
    <cellStyle name="Calculation 2 6 2 4" xfId="23959"/>
    <cellStyle name="Calculation 2 6 2 5" xfId="31256"/>
    <cellStyle name="Calculation 2 6 2 6" xfId="51826"/>
    <cellStyle name="Calculation 2 6 2 7" xfId="51827"/>
    <cellStyle name="Calculation 2 6 2 8" xfId="51828"/>
    <cellStyle name="Calculation 2 6 2 9" xfId="60709"/>
    <cellStyle name="Calculation 2 6 3" xfId="1305"/>
    <cellStyle name="Calculation 2 6 3 2" xfId="976"/>
    <cellStyle name="Calculation 2 6 3 2 2" xfId="2564"/>
    <cellStyle name="Calculation 2 6 3 2 2 2" xfId="5984"/>
    <cellStyle name="Calculation 2 6 3 2 2 2 2" xfId="12824"/>
    <cellStyle name="Calculation 2 6 3 2 2 3" xfId="9404"/>
    <cellStyle name="Calculation 2 6 3 2 3" xfId="3704"/>
    <cellStyle name="Calculation 2 6 3 2 3 2" xfId="7124"/>
    <cellStyle name="Calculation 2 6 3 2 3 2 2" xfId="13964"/>
    <cellStyle name="Calculation 2 6 3 2 3 3" xfId="10544"/>
    <cellStyle name="Calculation 2 6 3 2 4" xfId="4844"/>
    <cellStyle name="Calculation 2 6 3 2 4 2" xfId="11684"/>
    <cellStyle name="Calculation 2 6 3 2 5" xfId="8264"/>
    <cellStyle name="Calculation 2 6 3 3" xfId="2125"/>
    <cellStyle name="Calculation 2 6 3 3 2" xfId="5545"/>
    <cellStyle name="Calculation 2 6 3 3 2 2" xfId="12385"/>
    <cellStyle name="Calculation 2 6 3 3 3" xfId="8965"/>
    <cellStyle name="Calculation 2 6 3 4" xfId="3265"/>
    <cellStyle name="Calculation 2 6 3 4 2" xfId="6685"/>
    <cellStyle name="Calculation 2 6 3 4 2 2" xfId="13525"/>
    <cellStyle name="Calculation 2 6 3 4 3" xfId="10105"/>
    <cellStyle name="Calculation 2 6 3 5" xfId="4405"/>
    <cellStyle name="Calculation 2 6 3 5 2" xfId="11245"/>
    <cellStyle name="Calculation 2 6 3 6" xfId="7825"/>
    <cellStyle name="Calculation 2 6 3 7" xfId="16614"/>
    <cellStyle name="Calculation 2 6 3 8" xfId="24930"/>
    <cellStyle name="Calculation 2 6 3 9" xfId="32189"/>
    <cellStyle name="Calculation 2 6 4" xfId="17634"/>
    <cellStyle name="Calculation 2 6 4 2" xfId="25956"/>
    <cellStyle name="Calculation 2 6 4 2 2" xfId="51829"/>
    <cellStyle name="Calculation 2 6 4 2 3" xfId="51830"/>
    <cellStyle name="Calculation 2 6 4 3" xfId="33166"/>
    <cellStyle name="Calculation 2 6 4 4" xfId="51831"/>
    <cellStyle name="Calculation 2 6 5" xfId="18616"/>
    <cellStyle name="Calculation 2 6 5 2" xfId="26935"/>
    <cellStyle name="Calculation 2 6 5 2 2" xfId="51832"/>
    <cellStyle name="Calculation 2 6 5 2 3" xfId="51833"/>
    <cellStyle name="Calculation 2 6 5 3" xfId="34103"/>
    <cellStyle name="Calculation 2 6 5 4" xfId="51834"/>
    <cellStyle name="Calculation 2 6 6" xfId="19584"/>
    <cellStyle name="Calculation 2 6 6 2" xfId="27904"/>
    <cellStyle name="Calculation 2 6 6 2 2" xfId="51835"/>
    <cellStyle name="Calculation 2 6 6 2 3" xfId="51836"/>
    <cellStyle name="Calculation 2 6 6 3" xfId="35049"/>
    <cellStyle name="Calculation 2 6 6 4" xfId="51837"/>
    <cellStyle name="Calculation 2 6 7" xfId="20542"/>
    <cellStyle name="Calculation 2 6 7 2" xfId="28863"/>
    <cellStyle name="Calculation 2 6 7 2 2" xfId="51838"/>
    <cellStyle name="Calculation 2 6 7 2 3" xfId="51839"/>
    <cellStyle name="Calculation 2 6 7 3" xfId="35966"/>
    <cellStyle name="Calculation 2 6 7 4" xfId="51840"/>
    <cellStyle name="Calculation 2 6 8" xfId="21082"/>
    <cellStyle name="Calculation 2 6 8 2" xfId="29399"/>
    <cellStyle name="Calculation 2 6 8 2 2" xfId="51841"/>
    <cellStyle name="Calculation 2 6 8 2 3" xfId="51842"/>
    <cellStyle name="Calculation 2 6 8 3" xfId="36475"/>
    <cellStyle name="Calculation 2 6 8 4" xfId="51843"/>
    <cellStyle name="Calculation 2 6 9" xfId="21977"/>
    <cellStyle name="Calculation 2 6 9 2" xfId="30277"/>
    <cellStyle name="Calculation 2 6 9 2 2" xfId="51844"/>
    <cellStyle name="Calculation 2 6 9 2 3" xfId="51845"/>
    <cellStyle name="Calculation 2 6 9 3" xfId="37317"/>
    <cellStyle name="Calculation 2 6 9 4" xfId="51846"/>
    <cellStyle name="Calculation 2 7" xfId="188"/>
    <cellStyle name="Calculation 2 7 10" xfId="14685"/>
    <cellStyle name="Calculation 2 7 11" xfId="23048"/>
    <cellStyle name="Calculation 2 7 12" xfId="51847"/>
    <cellStyle name="Calculation 2 7 13" xfId="51848"/>
    <cellStyle name="Calculation 2 7 14" xfId="51849"/>
    <cellStyle name="Calculation 2 7 15" xfId="60710"/>
    <cellStyle name="Calculation 2 7 2" xfId="256"/>
    <cellStyle name="Calculation 2 7 2 2" xfId="1263"/>
    <cellStyle name="Calculation 2 7 2 2 2" xfId="1742"/>
    <cellStyle name="Calculation 2 7 2 2 2 2" xfId="2882"/>
    <cellStyle name="Calculation 2 7 2 2 2 2 2" xfId="6302"/>
    <cellStyle name="Calculation 2 7 2 2 2 2 2 2" xfId="13142"/>
    <cellStyle name="Calculation 2 7 2 2 2 2 3" xfId="9722"/>
    <cellStyle name="Calculation 2 7 2 2 2 3" xfId="4022"/>
    <cellStyle name="Calculation 2 7 2 2 2 3 2" xfId="7442"/>
    <cellStyle name="Calculation 2 7 2 2 2 3 2 2" xfId="14282"/>
    <cellStyle name="Calculation 2 7 2 2 2 3 3" xfId="10862"/>
    <cellStyle name="Calculation 2 7 2 2 2 4" xfId="5162"/>
    <cellStyle name="Calculation 2 7 2 2 2 4 2" xfId="12002"/>
    <cellStyle name="Calculation 2 7 2 2 2 5" xfId="8582"/>
    <cellStyle name="Calculation 2 7 2 2 3" xfId="2083"/>
    <cellStyle name="Calculation 2 7 2 2 3 2" xfId="5503"/>
    <cellStyle name="Calculation 2 7 2 2 3 2 2" xfId="12343"/>
    <cellStyle name="Calculation 2 7 2 2 3 3" xfId="8923"/>
    <cellStyle name="Calculation 2 7 2 2 4" xfId="3223"/>
    <cellStyle name="Calculation 2 7 2 2 4 2" xfId="6643"/>
    <cellStyle name="Calculation 2 7 2 2 4 2 2" xfId="13483"/>
    <cellStyle name="Calculation 2 7 2 2 4 3" xfId="10063"/>
    <cellStyle name="Calculation 2 7 2 2 5" xfId="4363"/>
    <cellStyle name="Calculation 2 7 2 2 5 2" xfId="11203"/>
    <cellStyle name="Calculation 2 7 2 2 6" xfId="7783"/>
    <cellStyle name="Calculation 2 7 2 3" xfId="15766"/>
    <cellStyle name="Calculation 2 7 2 4" xfId="24083"/>
    <cellStyle name="Calculation 2 7 2 5" xfId="31374"/>
    <cellStyle name="Calculation 2 7 2 6" xfId="51850"/>
    <cellStyle name="Calculation 2 7 2 7" xfId="51851"/>
    <cellStyle name="Calculation 2 7 2 8" xfId="51852"/>
    <cellStyle name="Calculation 2 7 2 9" xfId="60711"/>
    <cellStyle name="Calculation 2 7 3" xfId="1196"/>
    <cellStyle name="Calculation 2 7 3 2" xfId="1029"/>
    <cellStyle name="Calculation 2 7 3 2 2" xfId="2680"/>
    <cellStyle name="Calculation 2 7 3 2 2 2" xfId="6100"/>
    <cellStyle name="Calculation 2 7 3 2 2 2 2" xfId="12940"/>
    <cellStyle name="Calculation 2 7 3 2 2 3" xfId="9520"/>
    <cellStyle name="Calculation 2 7 3 2 3" xfId="3820"/>
    <cellStyle name="Calculation 2 7 3 2 3 2" xfId="7240"/>
    <cellStyle name="Calculation 2 7 3 2 3 2 2" xfId="14080"/>
    <cellStyle name="Calculation 2 7 3 2 3 3" xfId="10660"/>
    <cellStyle name="Calculation 2 7 3 2 4" xfId="4960"/>
    <cellStyle name="Calculation 2 7 3 2 4 2" xfId="11800"/>
    <cellStyle name="Calculation 2 7 3 2 5" xfId="8380"/>
    <cellStyle name="Calculation 2 7 3 3" xfId="2015"/>
    <cellStyle name="Calculation 2 7 3 3 2" xfId="5435"/>
    <cellStyle name="Calculation 2 7 3 3 2 2" xfId="12275"/>
    <cellStyle name="Calculation 2 7 3 3 3" xfId="8855"/>
    <cellStyle name="Calculation 2 7 3 4" xfId="3155"/>
    <cellStyle name="Calculation 2 7 3 4 2" xfId="6575"/>
    <cellStyle name="Calculation 2 7 3 4 2 2" xfId="13415"/>
    <cellStyle name="Calculation 2 7 3 4 3" xfId="9995"/>
    <cellStyle name="Calculation 2 7 3 5" xfId="4295"/>
    <cellStyle name="Calculation 2 7 3 5 2" xfId="11135"/>
    <cellStyle name="Calculation 2 7 3 6" xfId="7715"/>
    <cellStyle name="Calculation 2 7 3 7" xfId="16732"/>
    <cellStyle name="Calculation 2 7 3 8" xfId="25054"/>
    <cellStyle name="Calculation 2 7 3 9" xfId="32307"/>
    <cellStyle name="Calculation 2 7 4" xfId="17756"/>
    <cellStyle name="Calculation 2 7 4 2" xfId="26080"/>
    <cellStyle name="Calculation 2 7 4 2 2" xfId="51853"/>
    <cellStyle name="Calculation 2 7 4 2 3" xfId="51854"/>
    <cellStyle name="Calculation 2 7 4 3" xfId="33284"/>
    <cellStyle name="Calculation 2 7 4 4" xfId="51855"/>
    <cellStyle name="Calculation 2 7 5" xfId="18740"/>
    <cellStyle name="Calculation 2 7 5 2" xfId="27061"/>
    <cellStyle name="Calculation 2 7 5 2 2" xfId="51856"/>
    <cellStyle name="Calculation 2 7 5 2 3" xfId="51857"/>
    <cellStyle name="Calculation 2 7 5 3" xfId="34223"/>
    <cellStyle name="Calculation 2 7 5 4" xfId="51858"/>
    <cellStyle name="Calculation 2 7 6" xfId="19709"/>
    <cellStyle name="Calculation 2 7 6 2" xfId="28030"/>
    <cellStyle name="Calculation 2 7 6 2 2" xfId="51859"/>
    <cellStyle name="Calculation 2 7 6 2 3" xfId="51860"/>
    <cellStyle name="Calculation 2 7 6 3" xfId="35169"/>
    <cellStyle name="Calculation 2 7 6 4" xfId="51861"/>
    <cellStyle name="Calculation 2 7 7" xfId="20666"/>
    <cellStyle name="Calculation 2 7 7 2" xfId="28987"/>
    <cellStyle name="Calculation 2 7 7 2 2" xfId="51862"/>
    <cellStyle name="Calculation 2 7 7 2 3" xfId="51863"/>
    <cellStyle name="Calculation 2 7 7 3" xfId="36084"/>
    <cellStyle name="Calculation 2 7 7 4" xfId="51864"/>
    <cellStyle name="Calculation 2 7 8" xfId="21141"/>
    <cellStyle name="Calculation 2 7 8 2" xfId="29453"/>
    <cellStyle name="Calculation 2 7 8 2 2" xfId="51865"/>
    <cellStyle name="Calculation 2 7 8 2 3" xfId="51866"/>
    <cellStyle name="Calculation 2 7 8 3" xfId="36525"/>
    <cellStyle name="Calculation 2 7 8 4" xfId="51867"/>
    <cellStyle name="Calculation 2 7 9" xfId="22103"/>
    <cellStyle name="Calculation 2 7 9 2" xfId="30401"/>
    <cellStyle name="Calculation 2 7 9 2 2" xfId="51868"/>
    <cellStyle name="Calculation 2 7 9 2 3" xfId="51869"/>
    <cellStyle name="Calculation 2 7 9 3" xfId="37435"/>
    <cellStyle name="Calculation 2 7 9 4" xfId="51870"/>
    <cellStyle name="Calculation 2 8" xfId="421"/>
    <cellStyle name="Calculation 2 8 10" xfId="14764"/>
    <cellStyle name="Calculation 2 8 11" xfId="23128"/>
    <cellStyle name="Calculation 2 8 12" xfId="51871"/>
    <cellStyle name="Calculation 2 8 13" xfId="51872"/>
    <cellStyle name="Calculation 2 8 14" xfId="51873"/>
    <cellStyle name="Calculation 2 8 15" xfId="51874"/>
    <cellStyle name="Calculation 2 8 16" xfId="60712"/>
    <cellStyle name="Calculation 2 8 2" xfId="192"/>
    <cellStyle name="Calculation 2 8 2 2" xfId="1200"/>
    <cellStyle name="Calculation 2 8 2 2 2" xfId="1027"/>
    <cellStyle name="Calculation 2 8 2 2 2 2" xfId="2515"/>
    <cellStyle name="Calculation 2 8 2 2 2 2 2" xfId="5935"/>
    <cellStyle name="Calculation 2 8 2 2 2 2 2 2" xfId="12775"/>
    <cellStyle name="Calculation 2 8 2 2 2 2 3" xfId="9355"/>
    <cellStyle name="Calculation 2 8 2 2 2 3" xfId="3655"/>
    <cellStyle name="Calculation 2 8 2 2 2 3 2" xfId="7075"/>
    <cellStyle name="Calculation 2 8 2 2 2 3 2 2" xfId="13915"/>
    <cellStyle name="Calculation 2 8 2 2 2 3 3" xfId="10495"/>
    <cellStyle name="Calculation 2 8 2 2 2 4" xfId="4795"/>
    <cellStyle name="Calculation 2 8 2 2 2 4 2" xfId="11635"/>
    <cellStyle name="Calculation 2 8 2 2 2 5" xfId="8215"/>
    <cellStyle name="Calculation 2 8 2 2 3" xfId="2019"/>
    <cellStyle name="Calculation 2 8 2 2 3 2" xfId="5439"/>
    <cellStyle name="Calculation 2 8 2 2 3 2 2" xfId="12279"/>
    <cellStyle name="Calculation 2 8 2 2 3 3" xfId="8859"/>
    <cellStyle name="Calculation 2 8 2 2 4" xfId="3159"/>
    <cellStyle name="Calculation 2 8 2 2 4 2" xfId="6579"/>
    <cellStyle name="Calculation 2 8 2 2 4 2 2" xfId="13419"/>
    <cellStyle name="Calculation 2 8 2 2 4 3" xfId="9999"/>
    <cellStyle name="Calculation 2 8 2 2 5" xfId="4299"/>
    <cellStyle name="Calculation 2 8 2 2 5 2" xfId="11139"/>
    <cellStyle name="Calculation 2 8 2 2 6" xfId="7719"/>
    <cellStyle name="Calculation 2 8 2 3" xfId="15845"/>
    <cellStyle name="Calculation 2 8 2 4" xfId="24163"/>
    <cellStyle name="Calculation 2 8 2 5" xfId="31451"/>
    <cellStyle name="Calculation 2 8 2 6" xfId="51875"/>
    <cellStyle name="Calculation 2 8 2 7" xfId="51876"/>
    <cellStyle name="Calculation 2 8 2 8" xfId="51877"/>
    <cellStyle name="Calculation 2 8 2 9" xfId="60713"/>
    <cellStyle name="Calculation 2 8 3" xfId="1426"/>
    <cellStyle name="Calculation 2 8 3 2" xfId="1787"/>
    <cellStyle name="Calculation 2 8 3 2 2" xfId="2927"/>
    <cellStyle name="Calculation 2 8 3 2 2 2" xfId="6347"/>
    <cellStyle name="Calculation 2 8 3 2 2 2 2" xfId="13187"/>
    <cellStyle name="Calculation 2 8 3 2 2 3" xfId="9767"/>
    <cellStyle name="Calculation 2 8 3 2 3" xfId="4067"/>
    <cellStyle name="Calculation 2 8 3 2 3 2" xfId="7487"/>
    <cellStyle name="Calculation 2 8 3 2 3 2 2" xfId="14327"/>
    <cellStyle name="Calculation 2 8 3 2 3 3" xfId="10907"/>
    <cellStyle name="Calculation 2 8 3 2 4" xfId="5207"/>
    <cellStyle name="Calculation 2 8 3 2 4 2" xfId="12047"/>
    <cellStyle name="Calculation 2 8 3 2 5" xfId="8627"/>
    <cellStyle name="Calculation 2 8 3 3" xfId="2247"/>
    <cellStyle name="Calculation 2 8 3 3 2" xfId="5667"/>
    <cellStyle name="Calculation 2 8 3 3 2 2" xfId="12507"/>
    <cellStyle name="Calculation 2 8 3 3 3" xfId="9087"/>
    <cellStyle name="Calculation 2 8 3 4" xfId="3387"/>
    <cellStyle name="Calculation 2 8 3 4 2" xfId="6807"/>
    <cellStyle name="Calculation 2 8 3 4 2 2" xfId="13647"/>
    <cellStyle name="Calculation 2 8 3 4 3" xfId="10227"/>
    <cellStyle name="Calculation 2 8 3 5" xfId="4527"/>
    <cellStyle name="Calculation 2 8 3 5 2" xfId="11367"/>
    <cellStyle name="Calculation 2 8 3 6" xfId="7947"/>
    <cellStyle name="Calculation 2 8 3 7" xfId="16811"/>
    <cellStyle name="Calculation 2 8 3 8" xfId="25135"/>
    <cellStyle name="Calculation 2 8 3 9" xfId="32384"/>
    <cellStyle name="Calculation 2 8 4" xfId="17837"/>
    <cellStyle name="Calculation 2 8 4 2" xfId="26161"/>
    <cellStyle name="Calculation 2 8 4 2 2" xfId="51878"/>
    <cellStyle name="Calculation 2 8 4 2 3" xfId="51879"/>
    <cellStyle name="Calculation 2 8 4 3" xfId="33361"/>
    <cellStyle name="Calculation 2 8 4 4" xfId="51880"/>
    <cellStyle name="Calculation 2 8 5" xfId="18821"/>
    <cellStyle name="Calculation 2 8 5 2" xfId="27142"/>
    <cellStyle name="Calculation 2 8 5 2 2" xfId="51881"/>
    <cellStyle name="Calculation 2 8 5 2 3" xfId="51882"/>
    <cellStyle name="Calculation 2 8 5 3" xfId="34301"/>
    <cellStyle name="Calculation 2 8 5 4" xfId="51883"/>
    <cellStyle name="Calculation 2 8 6" xfId="19789"/>
    <cellStyle name="Calculation 2 8 6 2" xfId="28111"/>
    <cellStyle name="Calculation 2 8 6 2 2" xfId="51884"/>
    <cellStyle name="Calculation 2 8 6 2 3" xfId="51885"/>
    <cellStyle name="Calculation 2 8 6 3" xfId="35247"/>
    <cellStyle name="Calculation 2 8 6 4" xfId="51886"/>
    <cellStyle name="Calculation 2 8 7" xfId="20747"/>
    <cellStyle name="Calculation 2 8 7 2" xfId="29068"/>
    <cellStyle name="Calculation 2 8 7 2 2" xfId="51887"/>
    <cellStyle name="Calculation 2 8 7 2 3" xfId="51888"/>
    <cellStyle name="Calculation 2 8 7 3" xfId="36160"/>
    <cellStyle name="Calculation 2 8 7 4" xfId="51889"/>
    <cellStyle name="Calculation 2 8 8" xfId="21266"/>
    <cellStyle name="Calculation 2 8 8 2" xfId="29574"/>
    <cellStyle name="Calculation 2 8 8 2 2" xfId="51890"/>
    <cellStyle name="Calculation 2 8 8 2 3" xfId="51891"/>
    <cellStyle name="Calculation 2 8 8 3" xfId="36641"/>
    <cellStyle name="Calculation 2 8 8 4" xfId="51892"/>
    <cellStyle name="Calculation 2 8 9" xfId="22183"/>
    <cellStyle name="Calculation 2 8 9 2" xfId="30481"/>
    <cellStyle name="Calculation 2 8 9 2 2" xfId="51893"/>
    <cellStyle name="Calculation 2 8 9 2 3" xfId="51894"/>
    <cellStyle name="Calculation 2 8 9 3" xfId="37512"/>
    <cellStyle name="Calculation 2 8 9 4" xfId="51895"/>
    <cellStyle name="Calculation 2 9" xfId="446"/>
    <cellStyle name="Calculation 2 9 10" xfId="14772"/>
    <cellStyle name="Calculation 2 9 11" xfId="23136"/>
    <cellStyle name="Calculation 2 9 12" xfId="51896"/>
    <cellStyle name="Calculation 2 9 13" xfId="51897"/>
    <cellStyle name="Calculation 2 9 14" xfId="51898"/>
    <cellStyle name="Calculation 2 9 15" xfId="51899"/>
    <cellStyle name="Calculation 2 9 16" xfId="60714"/>
    <cellStyle name="Calculation 2 9 2" xfId="473"/>
    <cellStyle name="Calculation 2 9 2 2" xfId="1477"/>
    <cellStyle name="Calculation 2 9 2 2 2" xfId="1735"/>
    <cellStyle name="Calculation 2 9 2 2 2 2" xfId="2875"/>
    <cellStyle name="Calculation 2 9 2 2 2 2 2" xfId="6295"/>
    <cellStyle name="Calculation 2 9 2 2 2 2 2 2" xfId="13135"/>
    <cellStyle name="Calculation 2 9 2 2 2 2 3" xfId="9715"/>
    <cellStyle name="Calculation 2 9 2 2 2 3" xfId="4015"/>
    <cellStyle name="Calculation 2 9 2 2 2 3 2" xfId="7435"/>
    <cellStyle name="Calculation 2 9 2 2 2 3 2 2" xfId="14275"/>
    <cellStyle name="Calculation 2 9 2 2 2 3 3" xfId="10855"/>
    <cellStyle name="Calculation 2 9 2 2 2 4" xfId="5155"/>
    <cellStyle name="Calculation 2 9 2 2 2 4 2" xfId="11995"/>
    <cellStyle name="Calculation 2 9 2 2 2 5" xfId="8575"/>
    <cellStyle name="Calculation 2 9 2 2 3" xfId="2298"/>
    <cellStyle name="Calculation 2 9 2 2 3 2" xfId="5718"/>
    <cellStyle name="Calculation 2 9 2 2 3 2 2" xfId="12558"/>
    <cellStyle name="Calculation 2 9 2 2 3 3" xfId="9138"/>
    <cellStyle name="Calculation 2 9 2 2 4" xfId="3438"/>
    <cellStyle name="Calculation 2 9 2 2 4 2" xfId="6858"/>
    <cellStyle name="Calculation 2 9 2 2 4 2 2" xfId="13698"/>
    <cellStyle name="Calculation 2 9 2 2 4 3" xfId="10278"/>
    <cellStyle name="Calculation 2 9 2 2 5" xfId="4578"/>
    <cellStyle name="Calculation 2 9 2 2 5 2" xfId="11418"/>
    <cellStyle name="Calculation 2 9 2 2 6" xfId="7998"/>
    <cellStyle name="Calculation 2 9 2 3" xfId="15853"/>
    <cellStyle name="Calculation 2 9 2 4" xfId="24171"/>
    <cellStyle name="Calculation 2 9 2 5" xfId="31459"/>
    <cellStyle name="Calculation 2 9 2 6" xfId="51900"/>
    <cellStyle name="Calculation 2 9 2 7" xfId="51901"/>
    <cellStyle name="Calculation 2 9 2 8" xfId="51902"/>
    <cellStyle name="Calculation 2 9 2 9" xfId="60715"/>
    <cellStyle name="Calculation 2 9 3" xfId="1450"/>
    <cellStyle name="Calculation 2 9 3 2" xfId="1845"/>
    <cellStyle name="Calculation 2 9 3 2 2" xfId="2985"/>
    <cellStyle name="Calculation 2 9 3 2 2 2" xfId="6405"/>
    <cellStyle name="Calculation 2 9 3 2 2 2 2" xfId="13245"/>
    <cellStyle name="Calculation 2 9 3 2 2 3" xfId="9825"/>
    <cellStyle name="Calculation 2 9 3 2 3" xfId="4125"/>
    <cellStyle name="Calculation 2 9 3 2 3 2" xfId="7545"/>
    <cellStyle name="Calculation 2 9 3 2 3 2 2" xfId="14385"/>
    <cellStyle name="Calculation 2 9 3 2 3 3" xfId="10965"/>
    <cellStyle name="Calculation 2 9 3 2 4" xfId="5265"/>
    <cellStyle name="Calculation 2 9 3 2 4 2" xfId="12105"/>
    <cellStyle name="Calculation 2 9 3 2 5" xfId="8685"/>
    <cellStyle name="Calculation 2 9 3 3" xfId="2271"/>
    <cellStyle name="Calculation 2 9 3 3 2" xfId="5691"/>
    <cellStyle name="Calculation 2 9 3 3 2 2" xfId="12531"/>
    <cellStyle name="Calculation 2 9 3 3 3" xfId="9111"/>
    <cellStyle name="Calculation 2 9 3 4" xfId="3411"/>
    <cellStyle name="Calculation 2 9 3 4 2" xfId="6831"/>
    <cellStyle name="Calculation 2 9 3 4 2 2" xfId="13671"/>
    <cellStyle name="Calculation 2 9 3 4 3" xfId="10251"/>
    <cellStyle name="Calculation 2 9 3 5" xfId="4551"/>
    <cellStyle name="Calculation 2 9 3 5 2" xfId="11391"/>
    <cellStyle name="Calculation 2 9 3 6" xfId="7971"/>
    <cellStyle name="Calculation 2 9 3 7" xfId="16819"/>
    <cellStyle name="Calculation 2 9 3 8" xfId="25143"/>
    <cellStyle name="Calculation 2 9 3 9" xfId="32392"/>
    <cellStyle name="Calculation 2 9 4" xfId="17845"/>
    <cellStyle name="Calculation 2 9 4 2" xfId="26169"/>
    <cellStyle name="Calculation 2 9 4 2 2" xfId="51903"/>
    <cellStyle name="Calculation 2 9 4 2 3" xfId="51904"/>
    <cellStyle name="Calculation 2 9 4 3" xfId="33369"/>
    <cellStyle name="Calculation 2 9 4 4" xfId="51905"/>
    <cellStyle name="Calculation 2 9 5" xfId="18829"/>
    <cellStyle name="Calculation 2 9 5 2" xfId="27150"/>
    <cellStyle name="Calculation 2 9 5 2 2" xfId="51906"/>
    <cellStyle name="Calculation 2 9 5 2 3" xfId="51907"/>
    <cellStyle name="Calculation 2 9 5 3" xfId="34309"/>
    <cellStyle name="Calculation 2 9 5 4" xfId="51908"/>
    <cellStyle name="Calculation 2 9 6" xfId="19797"/>
    <cellStyle name="Calculation 2 9 6 2" xfId="28119"/>
    <cellStyle name="Calculation 2 9 6 2 2" xfId="51909"/>
    <cellStyle name="Calculation 2 9 6 2 3" xfId="51910"/>
    <cellStyle name="Calculation 2 9 6 3" xfId="35255"/>
    <cellStyle name="Calculation 2 9 6 4" xfId="51911"/>
    <cellStyle name="Calculation 2 9 7" xfId="20755"/>
    <cellStyle name="Calculation 2 9 7 2" xfId="29076"/>
    <cellStyle name="Calculation 2 9 7 2 2" xfId="51912"/>
    <cellStyle name="Calculation 2 9 7 2 3" xfId="51913"/>
    <cellStyle name="Calculation 2 9 7 3" xfId="36168"/>
    <cellStyle name="Calculation 2 9 7 4" xfId="51914"/>
    <cellStyle name="Calculation 2 9 8" xfId="21249"/>
    <cellStyle name="Calculation 2 9 8 2" xfId="29558"/>
    <cellStyle name="Calculation 2 9 8 2 2" xfId="51915"/>
    <cellStyle name="Calculation 2 9 8 2 3" xfId="51916"/>
    <cellStyle name="Calculation 2 9 8 3" xfId="36626"/>
    <cellStyle name="Calculation 2 9 8 4" xfId="51917"/>
    <cellStyle name="Calculation 2 9 9" xfId="22191"/>
    <cellStyle name="Calculation 2 9 9 2" xfId="30489"/>
    <cellStyle name="Calculation 2 9 9 2 2" xfId="51918"/>
    <cellStyle name="Calculation 2 9 9 2 3" xfId="51919"/>
    <cellStyle name="Calculation 2 9 9 3" xfId="37520"/>
    <cellStyle name="Calculation 2 9 9 4" xfId="51920"/>
    <cellStyle name="Calculation 3" xfId="62"/>
    <cellStyle name="Calculation 3 10" xfId="51921"/>
    <cellStyle name="Calculation 3 11" xfId="60716"/>
    <cellStyle name="Calculation 3 2" xfId="119"/>
    <cellStyle name="Calculation 3 2 2" xfId="251"/>
    <cellStyle name="Calculation 3 2 2 2" xfId="662"/>
    <cellStyle name="Calculation 3 2 2 2 2" xfId="1613"/>
    <cellStyle name="Calculation 3 2 2 2 2 2" xfId="794"/>
    <cellStyle name="Calculation 3 2 2 2 2 2 2" xfId="1927"/>
    <cellStyle name="Calculation 3 2 2 2 2 2 2 2" xfId="5347"/>
    <cellStyle name="Calculation 3 2 2 2 2 2 2 2 2" xfId="12187"/>
    <cellStyle name="Calculation 3 2 2 2 2 2 2 3" xfId="8767"/>
    <cellStyle name="Calculation 3 2 2 2 2 2 3" xfId="3067"/>
    <cellStyle name="Calculation 3 2 2 2 2 2 3 2" xfId="6487"/>
    <cellStyle name="Calculation 3 2 2 2 2 2 3 2 2" xfId="13327"/>
    <cellStyle name="Calculation 3 2 2 2 2 2 3 3" xfId="9907"/>
    <cellStyle name="Calculation 3 2 2 2 2 2 4" xfId="4207"/>
    <cellStyle name="Calculation 3 2 2 2 2 2 4 2" xfId="11047"/>
    <cellStyle name="Calculation 3 2 2 2 2 2 5" xfId="7627"/>
    <cellStyle name="Calculation 3 2 2 2 2 3" xfId="2447"/>
    <cellStyle name="Calculation 3 2 2 2 2 3 2" xfId="5867"/>
    <cellStyle name="Calculation 3 2 2 2 2 3 2 2" xfId="12707"/>
    <cellStyle name="Calculation 3 2 2 2 2 3 3" xfId="9287"/>
    <cellStyle name="Calculation 3 2 2 2 2 4" xfId="3587"/>
    <cellStyle name="Calculation 3 2 2 2 2 4 2" xfId="7007"/>
    <cellStyle name="Calculation 3 2 2 2 2 4 2 2" xfId="13847"/>
    <cellStyle name="Calculation 3 2 2 2 2 4 3" xfId="10427"/>
    <cellStyle name="Calculation 3 2 2 2 2 5" xfId="4727"/>
    <cellStyle name="Calculation 3 2 2 2 2 5 2" xfId="11567"/>
    <cellStyle name="Calculation 3 2 2 2 2 6" xfId="8147"/>
    <cellStyle name="Calculation 3 2 2 2 3" xfId="38506"/>
    <cellStyle name="Calculation 3 2 2 2 4" xfId="51922"/>
    <cellStyle name="Calculation 3 2 2 2 5" xfId="51923"/>
    <cellStyle name="Calculation 3 2 2 2 6" xfId="51924"/>
    <cellStyle name="Calculation 3 2 2 2 7" xfId="60719"/>
    <cellStyle name="Calculation 3 2 2 3" xfId="1258"/>
    <cellStyle name="Calculation 3 2 2 3 2" xfId="999"/>
    <cellStyle name="Calculation 3 2 2 3 2 2" xfId="2504"/>
    <cellStyle name="Calculation 3 2 2 3 2 2 2" xfId="5924"/>
    <cellStyle name="Calculation 3 2 2 3 2 2 2 2" xfId="12764"/>
    <cellStyle name="Calculation 3 2 2 3 2 2 3" xfId="9344"/>
    <cellStyle name="Calculation 3 2 2 3 2 3" xfId="3644"/>
    <cellStyle name="Calculation 3 2 2 3 2 3 2" xfId="7064"/>
    <cellStyle name="Calculation 3 2 2 3 2 3 2 2" xfId="13904"/>
    <cellStyle name="Calculation 3 2 2 3 2 3 3" xfId="10484"/>
    <cellStyle name="Calculation 3 2 2 3 2 4" xfId="4784"/>
    <cellStyle name="Calculation 3 2 2 3 2 4 2" xfId="11624"/>
    <cellStyle name="Calculation 3 2 2 3 2 5" xfId="8204"/>
    <cellStyle name="Calculation 3 2 2 3 3" xfId="2078"/>
    <cellStyle name="Calculation 3 2 2 3 3 2" xfId="5498"/>
    <cellStyle name="Calculation 3 2 2 3 3 2 2" xfId="12338"/>
    <cellStyle name="Calculation 3 2 2 3 3 3" xfId="8918"/>
    <cellStyle name="Calculation 3 2 2 3 4" xfId="3218"/>
    <cellStyle name="Calculation 3 2 2 3 4 2" xfId="6638"/>
    <cellStyle name="Calculation 3 2 2 3 4 2 2" xfId="13478"/>
    <cellStyle name="Calculation 3 2 2 3 4 3" xfId="10058"/>
    <cellStyle name="Calculation 3 2 2 3 5" xfId="4358"/>
    <cellStyle name="Calculation 3 2 2 3 5 2" xfId="11198"/>
    <cellStyle name="Calculation 3 2 2 3 6" xfId="7778"/>
    <cellStyle name="Calculation 3 2 2 4" xfId="38272"/>
    <cellStyle name="Calculation 3 2 2 5" xfId="51925"/>
    <cellStyle name="Calculation 3 2 2 6" xfId="51926"/>
    <cellStyle name="Calculation 3 2 2 7" xfId="51927"/>
    <cellStyle name="Calculation 3 2 2 8" xfId="60718"/>
    <cellStyle name="Calculation 3 2 3" xfId="574"/>
    <cellStyle name="Calculation 3 2 3 2" xfId="1561"/>
    <cellStyle name="Calculation 3 2 3 2 2" xfId="830"/>
    <cellStyle name="Calculation 3 2 3 2 2 2" xfId="2791"/>
    <cellStyle name="Calculation 3 2 3 2 2 2 2" xfId="6211"/>
    <cellStyle name="Calculation 3 2 3 2 2 2 2 2" xfId="13051"/>
    <cellStyle name="Calculation 3 2 3 2 2 2 3" xfId="9631"/>
    <cellStyle name="Calculation 3 2 3 2 2 3" xfId="3931"/>
    <cellStyle name="Calculation 3 2 3 2 2 3 2" xfId="7351"/>
    <cellStyle name="Calculation 3 2 3 2 2 3 2 2" xfId="14191"/>
    <cellStyle name="Calculation 3 2 3 2 2 3 3" xfId="10771"/>
    <cellStyle name="Calculation 3 2 3 2 2 4" xfId="5071"/>
    <cellStyle name="Calculation 3 2 3 2 2 4 2" xfId="11911"/>
    <cellStyle name="Calculation 3 2 3 2 2 5" xfId="8491"/>
    <cellStyle name="Calculation 3 2 3 2 3" xfId="2386"/>
    <cellStyle name="Calculation 3 2 3 2 3 2" xfId="5806"/>
    <cellStyle name="Calculation 3 2 3 2 3 2 2" xfId="12646"/>
    <cellStyle name="Calculation 3 2 3 2 3 3" xfId="9226"/>
    <cellStyle name="Calculation 3 2 3 2 4" xfId="3526"/>
    <cellStyle name="Calculation 3 2 3 2 4 2" xfId="6946"/>
    <cellStyle name="Calculation 3 2 3 2 4 2 2" xfId="13786"/>
    <cellStyle name="Calculation 3 2 3 2 4 3" xfId="10366"/>
    <cellStyle name="Calculation 3 2 3 2 5" xfId="4666"/>
    <cellStyle name="Calculation 3 2 3 2 5 2" xfId="11506"/>
    <cellStyle name="Calculation 3 2 3 2 6" xfId="8086"/>
    <cellStyle name="Calculation 3 2 3 3" xfId="38465"/>
    <cellStyle name="Calculation 3 2 3 4" xfId="51928"/>
    <cellStyle name="Calculation 3 2 3 5" xfId="51929"/>
    <cellStyle name="Calculation 3 2 3 6" xfId="51930"/>
    <cellStyle name="Calculation 3 2 3 7" xfId="60720"/>
    <cellStyle name="Calculation 3 2 4" xfId="1135"/>
    <cellStyle name="Calculation 3 2 4 2" xfId="1775"/>
    <cellStyle name="Calculation 3 2 4 2 2" xfId="2915"/>
    <cellStyle name="Calculation 3 2 4 2 2 2" xfId="6335"/>
    <cellStyle name="Calculation 3 2 4 2 2 2 2" xfId="13175"/>
    <cellStyle name="Calculation 3 2 4 2 2 3" xfId="9755"/>
    <cellStyle name="Calculation 3 2 4 2 3" xfId="4055"/>
    <cellStyle name="Calculation 3 2 4 2 3 2" xfId="7475"/>
    <cellStyle name="Calculation 3 2 4 2 3 2 2" xfId="14315"/>
    <cellStyle name="Calculation 3 2 4 2 3 3" xfId="10895"/>
    <cellStyle name="Calculation 3 2 4 2 4" xfId="5195"/>
    <cellStyle name="Calculation 3 2 4 2 4 2" xfId="12035"/>
    <cellStyle name="Calculation 3 2 4 2 5" xfId="8615"/>
    <cellStyle name="Calculation 3 2 4 3" xfId="1949"/>
    <cellStyle name="Calculation 3 2 4 3 2" xfId="5369"/>
    <cellStyle name="Calculation 3 2 4 3 2 2" xfId="12209"/>
    <cellStyle name="Calculation 3 2 4 3 3" xfId="8789"/>
    <cellStyle name="Calculation 3 2 4 4" xfId="3089"/>
    <cellStyle name="Calculation 3 2 4 4 2" xfId="6509"/>
    <cellStyle name="Calculation 3 2 4 4 2 2" xfId="13349"/>
    <cellStyle name="Calculation 3 2 4 4 3" xfId="9929"/>
    <cellStyle name="Calculation 3 2 4 5" xfId="4229"/>
    <cellStyle name="Calculation 3 2 4 5 2" xfId="11069"/>
    <cellStyle name="Calculation 3 2 4 6" xfId="7649"/>
    <cellStyle name="Calculation 3 2 5" xfId="38201"/>
    <cellStyle name="Calculation 3 2 6" xfId="51931"/>
    <cellStyle name="Calculation 3 2 7" xfId="51932"/>
    <cellStyle name="Calculation 3 2 8" xfId="60717"/>
    <cellStyle name="Calculation 3 3" xfId="141"/>
    <cellStyle name="Calculation 3 3 2" xfId="267"/>
    <cellStyle name="Calculation 3 3 2 2" xfId="677"/>
    <cellStyle name="Calculation 3 3 2 2 2" xfId="1628"/>
    <cellStyle name="Calculation 3 3 2 2 2 2" xfId="779"/>
    <cellStyle name="Calculation 3 3 2 2 2 2 2" xfId="2622"/>
    <cellStyle name="Calculation 3 3 2 2 2 2 2 2" xfId="6042"/>
    <cellStyle name="Calculation 3 3 2 2 2 2 2 2 2" xfId="12882"/>
    <cellStyle name="Calculation 3 3 2 2 2 2 2 3" xfId="9462"/>
    <cellStyle name="Calculation 3 3 2 2 2 2 3" xfId="3762"/>
    <cellStyle name="Calculation 3 3 2 2 2 2 3 2" xfId="7182"/>
    <cellStyle name="Calculation 3 3 2 2 2 2 3 2 2" xfId="14022"/>
    <cellStyle name="Calculation 3 3 2 2 2 2 3 3" xfId="10602"/>
    <cellStyle name="Calculation 3 3 2 2 2 2 4" xfId="4902"/>
    <cellStyle name="Calculation 3 3 2 2 2 2 4 2" xfId="11742"/>
    <cellStyle name="Calculation 3 3 2 2 2 2 5" xfId="8322"/>
    <cellStyle name="Calculation 3 3 2 2 2 3" xfId="2462"/>
    <cellStyle name="Calculation 3 3 2 2 2 3 2" xfId="5882"/>
    <cellStyle name="Calculation 3 3 2 2 2 3 2 2" xfId="12722"/>
    <cellStyle name="Calculation 3 3 2 2 2 3 3" xfId="9302"/>
    <cellStyle name="Calculation 3 3 2 2 2 4" xfId="3602"/>
    <cellStyle name="Calculation 3 3 2 2 2 4 2" xfId="7022"/>
    <cellStyle name="Calculation 3 3 2 2 2 4 2 2" xfId="13862"/>
    <cellStyle name="Calculation 3 3 2 2 2 4 3" xfId="10442"/>
    <cellStyle name="Calculation 3 3 2 2 2 5" xfId="4742"/>
    <cellStyle name="Calculation 3 3 2 2 2 5 2" xfId="11582"/>
    <cellStyle name="Calculation 3 3 2 2 2 6" xfId="8162"/>
    <cellStyle name="Calculation 3 3 2 2 3" xfId="38521"/>
    <cellStyle name="Calculation 3 3 2 2 4" xfId="51933"/>
    <cellStyle name="Calculation 3 3 2 2 5" xfId="51934"/>
    <cellStyle name="Calculation 3 3 2 2 6" xfId="51935"/>
    <cellStyle name="Calculation 3 3 2 2 7" xfId="60723"/>
    <cellStyle name="Calculation 3 3 2 3" xfId="1274"/>
    <cellStyle name="Calculation 3 3 2 3 2" xfId="1793"/>
    <cellStyle name="Calculation 3 3 2 3 2 2" xfId="2933"/>
    <cellStyle name="Calculation 3 3 2 3 2 2 2" xfId="6353"/>
    <cellStyle name="Calculation 3 3 2 3 2 2 2 2" xfId="13193"/>
    <cellStyle name="Calculation 3 3 2 3 2 2 3" xfId="9773"/>
    <cellStyle name="Calculation 3 3 2 3 2 3" xfId="4073"/>
    <cellStyle name="Calculation 3 3 2 3 2 3 2" xfId="7493"/>
    <cellStyle name="Calculation 3 3 2 3 2 3 2 2" xfId="14333"/>
    <cellStyle name="Calculation 3 3 2 3 2 3 3" xfId="10913"/>
    <cellStyle name="Calculation 3 3 2 3 2 4" xfId="5213"/>
    <cellStyle name="Calculation 3 3 2 3 2 4 2" xfId="12053"/>
    <cellStyle name="Calculation 3 3 2 3 2 5" xfId="8633"/>
    <cellStyle name="Calculation 3 3 2 3 3" xfId="2094"/>
    <cellStyle name="Calculation 3 3 2 3 3 2" xfId="5514"/>
    <cellStyle name="Calculation 3 3 2 3 3 2 2" xfId="12354"/>
    <cellStyle name="Calculation 3 3 2 3 3 3" xfId="8934"/>
    <cellStyle name="Calculation 3 3 2 3 4" xfId="3234"/>
    <cellStyle name="Calculation 3 3 2 3 4 2" xfId="6654"/>
    <cellStyle name="Calculation 3 3 2 3 4 2 2" xfId="13494"/>
    <cellStyle name="Calculation 3 3 2 3 4 3" xfId="10074"/>
    <cellStyle name="Calculation 3 3 2 3 5" xfId="4374"/>
    <cellStyle name="Calculation 3 3 2 3 5 2" xfId="11214"/>
    <cellStyle name="Calculation 3 3 2 3 6" xfId="7794"/>
    <cellStyle name="Calculation 3 3 2 4" xfId="38284"/>
    <cellStyle name="Calculation 3 3 2 5" xfId="51936"/>
    <cellStyle name="Calculation 3 3 2 6" xfId="51937"/>
    <cellStyle name="Calculation 3 3 2 7" xfId="51938"/>
    <cellStyle name="Calculation 3 3 2 8" xfId="60722"/>
    <cellStyle name="Calculation 3 3 3" xfId="589"/>
    <cellStyle name="Calculation 3 3 3 2" xfId="1576"/>
    <cellStyle name="Calculation 3 3 3 2 2" xfId="1719"/>
    <cellStyle name="Calculation 3 3 3 2 2 2" xfId="2859"/>
    <cellStyle name="Calculation 3 3 3 2 2 2 2" xfId="6279"/>
    <cellStyle name="Calculation 3 3 3 2 2 2 2 2" xfId="13119"/>
    <cellStyle name="Calculation 3 3 3 2 2 2 3" xfId="9699"/>
    <cellStyle name="Calculation 3 3 3 2 2 3" xfId="3999"/>
    <cellStyle name="Calculation 3 3 3 2 2 3 2" xfId="7419"/>
    <cellStyle name="Calculation 3 3 3 2 2 3 2 2" xfId="14259"/>
    <cellStyle name="Calculation 3 3 3 2 2 3 3" xfId="10839"/>
    <cellStyle name="Calculation 3 3 3 2 2 4" xfId="5139"/>
    <cellStyle name="Calculation 3 3 3 2 2 4 2" xfId="11979"/>
    <cellStyle name="Calculation 3 3 3 2 2 5" xfId="8559"/>
    <cellStyle name="Calculation 3 3 3 2 3" xfId="2401"/>
    <cellStyle name="Calculation 3 3 3 2 3 2" xfId="5821"/>
    <cellStyle name="Calculation 3 3 3 2 3 2 2" xfId="12661"/>
    <cellStyle name="Calculation 3 3 3 2 3 3" xfId="9241"/>
    <cellStyle name="Calculation 3 3 3 2 4" xfId="3541"/>
    <cellStyle name="Calculation 3 3 3 2 4 2" xfId="6961"/>
    <cellStyle name="Calculation 3 3 3 2 4 2 2" xfId="13801"/>
    <cellStyle name="Calculation 3 3 3 2 4 3" xfId="10381"/>
    <cellStyle name="Calculation 3 3 3 2 5" xfId="4681"/>
    <cellStyle name="Calculation 3 3 3 2 5 2" xfId="11521"/>
    <cellStyle name="Calculation 3 3 3 2 6" xfId="8101"/>
    <cellStyle name="Calculation 3 3 3 3" xfId="38470"/>
    <cellStyle name="Calculation 3 3 3 4" xfId="51939"/>
    <cellStyle name="Calculation 3 3 3 5" xfId="51940"/>
    <cellStyle name="Calculation 3 3 3 6" xfId="51941"/>
    <cellStyle name="Calculation 3 3 3 7" xfId="60724"/>
    <cellStyle name="Calculation 3 3 4" xfId="1150"/>
    <cellStyle name="Calculation 3 3 4 2" xfId="1690"/>
    <cellStyle name="Calculation 3 3 4 2 2" xfId="2830"/>
    <cellStyle name="Calculation 3 3 4 2 2 2" xfId="6250"/>
    <cellStyle name="Calculation 3 3 4 2 2 2 2" xfId="13090"/>
    <cellStyle name="Calculation 3 3 4 2 2 3" xfId="9670"/>
    <cellStyle name="Calculation 3 3 4 2 3" xfId="3970"/>
    <cellStyle name="Calculation 3 3 4 2 3 2" xfId="7390"/>
    <cellStyle name="Calculation 3 3 4 2 3 2 2" xfId="14230"/>
    <cellStyle name="Calculation 3 3 4 2 3 3" xfId="10810"/>
    <cellStyle name="Calculation 3 3 4 2 4" xfId="5110"/>
    <cellStyle name="Calculation 3 3 4 2 4 2" xfId="11950"/>
    <cellStyle name="Calculation 3 3 4 2 5" xfId="8530"/>
    <cellStyle name="Calculation 3 3 4 3" xfId="1969"/>
    <cellStyle name="Calculation 3 3 4 3 2" xfId="5389"/>
    <cellStyle name="Calculation 3 3 4 3 2 2" xfId="12229"/>
    <cellStyle name="Calculation 3 3 4 3 3" xfId="8809"/>
    <cellStyle name="Calculation 3 3 4 4" xfId="3109"/>
    <cellStyle name="Calculation 3 3 4 4 2" xfId="6529"/>
    <cellStyle name="Calculation 3 3 4 4 2 2" xfId="13369"/>
    <cellStyle name="Calculation 3 3 4 4 3" xfId="9949"/>
    <cellStyle name="Calculation 3 3 4 5" xfId="4249"/>
    <cellStyle name="Calculation 3 3 4 5 2" xfId="11089"/>
    <cellStyle name="Calculation 3 3 4 6" xfId="7669"/>
    <cellStyle name="Calculation 3 3 5" xfId="38206"/>
    <cellStyle name="Calculation 3 3 6" xfId="51942"/>
    <cellStyle name="Calculation 3 3 7" xfId="51943"/>
    <cellStyle name="Calculation 3 3 8" xfId="60721"/>
    <cellStyle name="Calculation 3 4" xfId="307"/>
    <cellStyle name="Calculation 3 4 2" xfId="346"/>
    <cellStyle name="Calculation 3 4 2 2" xfId="1351"/>
    <cellStyle name="Calculation 3 4 2 2 2" xfId="941"/>
    <cellStyle name="Calculation 3 4 2 2 2 2" xfId="2606"/>
    <cellStyle name="Calculation 3 4 2 2 2 2 2" xfId="6026"/>
    <cellStyle name="Calculation 3 4 2 2 2 2 2 2" xfId="12866"/>
    <cellStyle name="Calculation 3 4 2 2 2 2 3" xfId="9446"/>
    <cellStyle name="Calculation 3 4 2 2 2 3" xfId="3746"/>
    <cellStyle name="Calculation 3 4 2 2 2 3 2" xfId="7166"/>
    <cellStyle name="Calculation 3 4 2 2 2 3 2 2" xfId="14006"/>
    <cellStyle name="Calculation 3 4 2 2 2 3 3" xfId="10586"/>
    <cellStyle name="Calculation 3 4 2 2 2 4" xfId="4886"/>
    <cellStyle name="Calculation 3 4 2 2 2 4 2" xfId="11726"/>
    <cellStyle name="Calculation 3 4 2 2 2 5" xfId="8306"/>
    <cellStyle name="Calculation 3 4 2 2 3" xfId="2172"/>
    <cellStyle name="Calculation 3 4 2 2 3 2" xfId="5592"/>
    <cellStyle name="Calculation 3 4 2 2 3 2 2" xfId="12432"/>
    <cellStyle name="Calculation 3 4 2 2 3 3" xfId="9012"/>
    <cellStyle name="Calculation 3 4 2 2 4" xfId="3312"/>
    <cellStyle name="Calculation 3 4 2 2 4 2" xfId="6732"/>
    <cellStyle name="Calculation 3 4 2 2 4 2 2" xfId="13572"/>
    <cellStyle name="Calculation 3 4 2 2 4 3" xfId="10152"/>
    <cellStyle name="Calculation 3 4 2 2 5" xfId="4452"/>
    <cellStyle name="Calculation 3 4 2 2 5 2" xfId="11292"/>
    <cellStyle name="Calculation 3 4 2 2 6" xfId="7872"/>
    <cellStyle name="Calculation 3 4 2 3" xfId="38335"/>
    <cellStyle name="Calculation 3 4 2 4" xfId="51944"/>
    <cellStyle name="Calculation 3 4 2 5" xfId="51945"/>
    <cellStyle name="Calculation 3 4 2 6" xfId="51946"/>
    <cellStyle name="Calculation 3 4 2 7" xfId="60726"/>
    <cellStyle name="Calculation 3 4 3" xfId="1313"/>
    <cellStyle name="Calculation 3 4 3 2" xfId="972"/>
    <cellStyle name="Calculation 3 4 3 2 2" xfId="2702"/>
    <cellStyle name="Calculation 3 4 3 2 2 2" xfId="6122"/>
    <cellStyle name="Calculation 3 4 3 2 2 2 2" xfId="12962"/>
    <cellStyle name="Calculation 3 4 3 2 2 3" xfId="9542"/>
    <cellStyle name="Calculation 3 4 3 2 3" xfId="3842"/>
    <cellStyle name="Calculation 3 4 3 2 3 2" xfId="7262"/>
    <cellStyle name="Calculation 3 4 3 2 3 2 2" xfId="14102"/>
    <cellStyle name="Calculation 3 4 3 2 3 3" xfId="10682"/>
    <cellStyle name="Calculation 3 4 3 2 4" xfId="4982"/>
    <cellStyle name="Calculation 3 4 3 2 4 2" xfId="11822"/>
    <cellStyle name="Calculation 3 4 3 2 5" xfId="8402"/>
    <cellStyle name="Calculation 3 4 3 3" xfId="2133"/>
    <cellStyle name="Calculation 3 4 3 3 2" xfId="5553"/>
    <cellStyle name="Calculation 3 4 3 3 2 2" xfId="12393"/>
    <cellStyle name="Calculation 3 4 3 3 3" xfId="8973"/>
    <cellStyle name="Calculation 3 4 3 4" xfId="3273"/>
    <cellStyle name="Calculation 3 4 3 4 2" xfId="6693"/>
    <cellStyle name="Calculation 3 4 3 4 2 2" xfId="13533"/>
    <cellStyle name="Calculation 3 4 3 4 3" xfId="10113"/>
    <cellStyle name="Calculation 3 4 3 5" xfId="4413"/>
    <cellStyle name="Calculation 3 4 3 5 2" xfId="11253"/>
    <cellStyle name="Calculation 3 4 3 6" xfId="7833"/>
    <cellStyle name="Calculation 3 4 4" xfId="38315"/>
    <cellStyle name="Calculation 3 4 5" xfId="51947"/>
    <cellStyle name="Calculation 3 4 6" xfId="51948"/>
    <cellStyle name="Calculation 3 4 7" xfId="60725"/>
    <cellStyle name="Calculation 3 5" xfId="206"/>
    <cellStyle name="Calculation 3 5 2" xfId="543"/>
    <cellStyle name="Calculation 3 5 2 2" xfId="1547"/>
    <cellStyle name="Calculation 3 5 2 2 2" xfId="1753"/>
    <cellStyle name="Calculation 3 5 2 2 2 2" xfId="2893"/>
    <cellStyle name="Calculation 3 5 2 2 2 2 2" xfId="6313"/>
    <cellStyle name="Calculation 3 5 2 2 2 2 2 2" xfId="13153"/>
    <cellStyle name="Calculation 3 5 2 2 2 2 3" xfId="9733"/>
    <cellStyle name="Calculation 3 5 2 2 2 3" xfId="4033"/>
    <cellStyle name="Calculation 3 5 2 2 2 3 2" xfId="7453"/>
    <cellStyle name="Calculation 3 5 2 2 2 3 2 2" xfId="14293"/>
    <cellStyle name="Calculation 3 5 2 2 2 3 3" xfId="10873"/>
    <cellStyle name="Calculation 3 5 2 2 2 4" xfId="5173"/>
    <cellStyle name="Calculation 3 5 2 2 2 4 2" xfId="12013"/>
    <cellStyle name="Calculation 3 5 2 2 2 5" xfId="8593"/>
    <cellStyle name="Calculation 3 5 2 2 3" xfId="2368"/>
    <cellStyle name="Calculation 3 5 2 2 3 2" xfId="5788"/>
    <cellStyle name="Calculation 3 5 2 2 3 2 2" xfId="12628"/>
    <cellStyle name="Calculation 3 5 2 2 3 3" xfId="9208"/>
    <cellStyle name="Calculation 3 5 2 2 4" xfId="3508"/>
    <cellStyle name="Calculation 3 5 2 2 4 2" xfId="6928"/>
    <cellStyle name="Calculation 3 5 2 2 4 2 2" xfId="13768"/>
    <cellStyle name="Calculation 3 5 2 2 4 3" xfId="10348"/>
    <cellStyle name="Calculation 3 5 2 2 5" xfId="4648"/>
    <cellStyle name="Calculation 3 5 2 2 5 2" xfId="11488"/>
    <cellStyle name="Calculation 3 5 2 2 6" xfId="8068"/>
    <cellStyle name="Calculation 3 5 2 3" xfId="38458"/>
    <cellStyle name="Calculation 3 5 2 4" xfId="51949"/>
    <cellStyle name="Calculation 3 5 2 5" xfId="51950"/>
    <cellStyle name="Calculation 3 5 2 6" xfId="51951"/>
    <cellStyle name="Calculation 3 5 2 7" xfId="60728"/>
    <cellStyle name="Calculation 3 5 3" xfId="1214"/>
    <cellStyle name="Calculation 3 5 3 2" xfId="1021"/>
    <cellStyle name="Calculation 3 5 3 2 2" xfId="2502"/>
    <cellStyle name="Calculation 3 5 3 2 2 2" xfId="5922"/>
    <cellStyle name="Calculation 3 5 3 2 2 2 2" xfId="12762"/>
    <cellStyle name="Calculation 3 5 3 2 2 3" xfId="9342"/>
    <cellStyle name="Calculation 3 5 3 2 3" xfId="3642"/>
    <cellStyle name="Calculation 3 5 3 2 3 2" xfId="7062"/>
    <cellStyle name="Calculation 3 5 3 2 3 2 2" xfId="13902"/>
    <cellStyle name="Calculation 3 5 3 2 3 3" xfId="10482"/>
    <cellStyle name="Calculation 3 5 3 2 4" xfId="4782"/>
    <cellStyle name="Calculation 3 5 3 2 4 2" xfId="11622"/>
    <cellStyle name="Calculation 3 5 3 2 5" xfId="8202"/>
    <cellStyle name="Calculation 3 5 3 3" xfId="2033"/>
    <cellStyle name="Calculation 3 5 3 3 2" xfId="5453"/>
    <cellStyle name="Calculation 3 5 3 3 2 2" xfId="12293"/>
    <cellStyle name="Calculation 3 5 3 3 3" xfId="8873"/>
    <cellStyle name="Calculation 3 5 3 4" xfId="3173"/>
    <cellStyle name="Calculation 3 5 3 4 2" xfId="6593"/>
    <cellStyle name="Calculation 3 5 3 4 2 2" xfId="13433"/>
    <cellStyle name="Calculation 3 5 3 4 3" xfId="10013"/>
    <cellStyle name="Calculation 3 5 3 5" xfId="4313"/>
    <cellStyle name="Calculation 3 5 3 5 2" xfId="11153"/>
    <cellStyle name="Calculation 3 5 3 6" xfId="7733"/>
    <cellStyle name="Calculation 3 5 4" xfId="38248"/>
    <cellStyle name="Calculation 3 5 5" xfId="51952"/>
    <cellStyle name="Calculation 3 5 6" xfId="51953"/>
    <cellStyle name="Calculation 3 5 7" xfId="60727"/>
    <cellStyle name="Calculation 3 6" xfId="426"/>
    <cellStyle name="Calculation 3 6 2" xfId="343"/>
    <cellStyle name="Calculation 3 6 2 2" xfId="1348"/>
    <cellStyle name="Calculation 3 6 2 2 2" xfId="944"/>
    <cellStyle name="Calculation 3 6 2 2 2 2" xfId="2664"/>
    <cellStyle name="Calculation 3 6 2 2 2 2 2" xfId="6084"/>
    <cellStyle name="Calculation 3 6 2 2 2 2 2 2" xfId="12924"/>
    <cellStyle name="Calculation 3 6 2 2 2 2 3" xfId="9504"/>
    <cellStyle name="Calculation 3 6 2 2 2 3" xfId="3804"/>
    <cellStyle name="Calculation 3 6 2 2 2 3 2" xfId="7224"/>
    <cellStyle name="Calculation 3 6 2 2 2 3 2 2" xfId="14064"/>
    <cellStyle name="Calculation 3 6 2 2 2 3 3" xfId="10644"/>
    <cellStyle name="Calculation 3 6 2 2 2 4" xfId="4944"/>
    <cellStyle name="Calculation 3 6 2 2 2 4 2" xfId="11784"/>
    <cellStyle name="Calculation 3 6 2 2 2 5" xfId="8364"/>
    <cellStyle name="Calculation 3 6 2 2 3" xfId="2169"/>
    <cellStyle name="Calculation 3 6 2 2 3 2" xfId="5589"/>
    <cellStyle name="Calculation 3 6 2 2 3 2 2" xfId="12429"/>
    <cellStyle name="Calculation 3 6 2 2 3 3" xfId="9009"/>
    <cellStyle name="Calculation 3 6 2 2 4" xfId="3309"/>
    <cellStyle name="Calculation 3 6 2 2 4 2" xfId="6729"/>
    <cellStyle name="Calculation 3 6 2 2 4 2 2" xfId="13569"/>
    <cellStyle name="Calculation 3 6 2 2 4 3" xfId="10149"/>
    <cellStyle name="Calculation 3 6 2 2 5" xfId="4449"/>
    <cellStyle name="Calculation 3 6 2 2 5 2" xfId="11289"/>
    <cellStyle name="Calculation 3 6 2 2 6" xfId="7869"/>
    <cellStyle name="Calculation 3 6 2 3" xfId="38333"/>
    <cellStyle name="Calculation 3 6 2 4" xfId="51954"/>
    <cellStyle name="Calculation 3 6 2 5" xfId="51955"/>
    <cellStyle name="Calculation 3 6 2 6" xfId="51956"/>
    <cellStyle name="Calculation 3 6 2 7" xfId="60730"/>
    <cellStyle name="Calculation 3 6 3" xfId="1431"/>
    <cellStyle name="Calculation 3 6 3 2" xfId="894"/>
    <cellStyle name="Calculation 3 6 3 2 2" xfId="2750"/>
    <cellStyle name="Calculation 3 6 3 2 2 2" xfId="6170"/>
    <cellStyle name="Calculation 3 6 3 2 2 2 2" xfId="13010"/>
    <cellStyle name="Calculation 3 6 3 2 2 3" xfId="9590"/>
    <cellStyle name="Calculation 3 6 3 2 3" xfId="3890"/>
    <cellStyle name="Calculation 3 6 3 2 3 2" xfId="7310"/>
    <cellStyle name="Calculation 3 6 3 2 3 2 2" xfId="14150"/>
    <cellStyle name="Calculation 3 6 3 2 3 3" xfId="10730"/>
    <cellStyle name="Calculation 3 6 3 2 4" xfId="5030"/>
    <cellStyle name="Calculation 3 6 3 2 4 2" xfId="11870"/>
    <cellStyle name="Calculation 3 6 3 2 5" xfId="8450"/>
    <cellStyle name="Calculation 3 6 3 3" xfId="2252"/>
    <cellStyle name="Calculation 3 6 3 3 2" xfId="5672"/>
    <cellStyle name="Calculation 3 6 3 3 2 2" xfId="12512"/>
    <cellStyle name="Calculation 3 6 3 3 3" xfId="9092"/>
    <cellStyle name="Calculation 3 6 3 4" xfId="3392"/>
    <cellStyle name="Calculation 3 6 3 4 2" xfId="6812"/>
    <cellStyle name="Calculation 3 6 3 4 2 2" xfId="13652"/>
    <cellStyle name="Calculation 3 6 3 4 3" xfId="10232"/>
    <cellStyle name="Calculation 3 6 3 5" xfId="4532"/>
    <cellStyle name="Calculation 3 6 3 5 2" xfId="11372"/>
    <cellStyle name="Calculation 3 6 3 6" xfId="7952"/>
    <cellStyle name="Calculation 3 6 4" xfId="38393"/>
    <cellStyle name="Calculation 3 6 5" xfId="51957"/>
    <cellStyle name="Calculation 3 6 6" xfId="51958"/>
    <cellStyle name="Calculation 3 6 7" xfId="51959"/>
    <cellStyle name="Calculation 3 6 8" xfId="60729"/>
    <cellStyle name="Calculation 3 7" xfId="508"/>
    <cellStyle name="Calculation 3 7 2" xfId="393"/>
    <cellStyle name="Calculation 3 7 2 2" xfId="1398"/>
    <cellStyle name="Calculation 3 7 2 2 2" xfId="1669"/>
    <cellStyle name="Calculation 3 7 2 2 2 2" xfId="2809"/>
    <cellStyle name="Calculation 3 7 2 2 2 2 2" xfId="6229"/>
    <cellStyle name="Calculation 3 7 2 2 2 2 2 2" xfId="13069"/>
    <cellStyle name="Calculation 3 7 2 2 2 2 3" xfId="9649"/>
    <cellStyle name="Calculation 3 7 2 2 2 3" xfId="3949"/>
    <cellStyle name="Calculation 3 7 2 2 2 3 2" xfId="7369"/>
    <cellStyle name="Calculation 3 7 2 2 2 3 2 2" xfId="14209"/>
    <cellStyle name="Calculation 3 7 2 2 2 3 3" xfId="10789"/>
    <cellStyle name="Calculation 3 7 2 2 2 4" xfId="5089"/>
    <cellStyle name="Calculation 3 7 2 2 2 4 2" xfId="11929"/>
    <cellStyle name="Calculation 3 7 2 2 2 5" xfId="8509"/>
    <cellStyle name="Calculation 3 7 2 2 3" xfId="2219"/>
    <cellStyle name="Calculation 3 7 2 2 3 2" xfId="5639"/>
    <cellStyle name="Calculation 3 7 2 2 3 2 2" xfId="12479"/>
    <cellStyle name="Calculation 3 7 2 2 3 3" xfId="9059"/>
    <cellStyle name="Calculation 3 7 2 2 4" xfId="3359"/>
    <cellStyle name="Calculation 3 7 2 2 4 2" xfId="6779"/>
    <cellStyle name="Calculation 3 7 2 2 4 2 2" xfId="13619"/>
    <cellStyle name="Calculation 3 7 2 2 4 3" xfId="10199"/>
    <cellStyle name="Calculation 3 7 2 2 5" xfId="4499"/>
    <cellStyle name="Calculation 3 7 2 2 5 2" xfId="11339"/>
    <cellStyle name="Calculation 3 7 2 2 6" xfId="7919"/>
    <cellStyle name="Calculation 3 7 2 3" xfId="38375"/>
    <cellStyle name="Calculation 3 7 2 4" xfId="51960"/>
    <cellStyle name="Calculation 3 7 2 5" xfId="51961"/>
    <cellStyle name="Calculation 3 7 2 6" xfId="51962"/>
    <cellStyle name="Calculation 3 7 2 7" xfId="60732"/>
    <cellStyle name="Calculation 3 7 3" xfId="1512"/>
    <cellStyle name="Calculation 3 7 3 2" xfId="853"/>
    <cellStyle name="Calculation 3 7 3 2 2" xfId="2525"/>
    <cellStyle name="Calculation 3 7 3 2 2 2" xfId="5945"/>
    <cellStyle name="Calculation 3 7 3 2 2 2 2" xfId="12785"/>
    <cellStyle name="Calculation 3 7 3 2 2 3" xfId="9365"/>
    <cellStyle name="Calculation 3 7 3 2 3" xfId="3665"/>
    <cellStyle name="Calculation 3 7 3 2 3 2" xfId="7085"/>
    <cellStyle name="Calculation 3 7 3 2 3 2 2" xfId="13925"/>
    <cellStyle name="Calculation 3 7 3 2 3 3" xfId="10505"/>
    <cellStyle name="Calculation 3 7 3 2 4" xfId="4805"/>
    <cellStyle name="Calculation 3 7 3 2 4 2" xfId="11645"/>
    <cellStyle name="Calculation 3 7 3 2 5" xfId="8225"/>
    <cellStyle name="Calculation 3 7 3 3" xfId="2333"/>
    <cellStyle name="Calculation 3 7 3 3 2" xfId="5753"/>
    <cellStyle name="Calculation 3 7 3 3 2 2" xfId="12593"/>
    <cellStyle name="Calculation 3 7 3 3 3" xfId="9173"/>
    <cellStyle name="Calculation 3 7 3 4" xfId="3473"/>
    <cellStyle name="Calculation 3 7 3 4 2" xfId="6893"/>
    <cellStyle name="Calculation 3 7 3 4 2 2" xfId="13733"/>
    <cellStyle name="Calculation 3 7 3 4 3" xfId="10313"/>
    <cellStyle name="Calculation 3 7 3 5" xfId="4613"/>
    <cellStyle name="Calculation 3 7 3 5 2" xfId="11453"/>
    <cellStyle name="Calculation 3 7 3 6" xfId="8033"/>
    <cellStyle name="Calculation 3 7 4" xfId="38437"/>
    <cellStyle name="Calculation 3 7 5" xfId="51963"/>
    <cellStyle name="Calculation 3 7 6" xfId="51964"/>
    <cellStyle name="Calculation 3 7 7" xfId="51965"/>
    <cellStyle name="Calculation 3 7 8" xfId="60731"/>
    <cellStyle name="Calculation 3 8" xfId="1099"/>
    <cellStyle name="Calculation 3 8 2" xfId="1078"/>
    <cellStyle name="Calculation 3 8 2 2" xfId="1900"/>
    <cellStyle name="Calculation 3 8 2 2 2" xfId="5320"/>
    <cellStyle name="Calculation 3 8 2 2 2 2" xfId="12160"/>
    <cellStyle name="Calculation 3 8 2 2 3" xfId="8740"/>
    <cellStyle name="Calculation 3 8 2 3" xfId="3040"/>
    <cellStyle name="Calculation 3 8 2 3 2" xfId="6460"/>
    <cellStyle name="Calculation 3 8 2 3 2 2" xfId="13300"/>
    <cellStyle name="Calculation 3 8 2 3 3" xfId="9880"/>
    <cellStyle name="Calculation 3 8 2 4" xfId="4180"/>
    <cellStyle name="Calculation 3 8 2 4 2" xfId="11020"/>
    <cellStyle name="Calculation 3 8 2 5" xfId="7600"/>
    <cellStyle name="Calculation 3 8 3" xfId="1906"/>
    <cellStyle name="Calculation 3 8 3 2" xfId="5326"/>
    <cellStyle name="Calculation 3 8 3 2 2" xfId="12166"/>
    <cellStyle name="Calculation 3 8 3 3" xfId="8746"/>
    <cellStyle name="Calculation 3 8 4" xfId="3046"/>
    <cellStyle name="Calculation 3 8 4 2" xfId="6466"/>
    <cellStyle name="Calculation 3 8 4 2 2" xfId="13306"/>
    <cellStyle name="Calculation 3 8 4 3" xfId="9886"/>
    <cellStyle name="Calculation 3 8 5" xfId="4186"/>
    <cellStyle name="Calculation 3 8 5 2" xfId="11026"/>
    <cellStyle name="Calculation 3 8 6" xfId="7606"/>
    <cellStyle name="Calculation 3 9" xfId="38185"/>
    <cellStyle name="Calculation 4" xfId="98"/>
    <cellStyle name="Calculation 4 10" xfId="60733"/>
    <cellStyle name="Calculation 4 2" xfId="157"/>
    <cellStyle name="Calculation 4 2 2" xfId="283"/>
    <cellStyle name="Calculation 4 2 2 2" xfId="692"/>
    <cellStyle name="Calculation 4 2 2 2 2" xfId="1643"/>
    <cellStyle name="Calculation 4 2 2 2 2 2" xfId="764"/>
    <cellStyle name="Calculation 4 2 2 2 2 2 2" xfId="2613"/>
    <cellStyle name="Calculation 4 2 2 2 2 2 2 2" xfId="6033"/>
    <cellStyle name="Calculation 4 2 2 2 2 2 2 2 2" xfId="12873"/>
    <cellStyle name="Calculation 4 2 2 2 2 2 2 3" xfId="9453"/>
    <cellStyle name="Calculation 4 2 2 2 2 2 3" xfId="3753"/>
    <cellStyle name="Calculation 4 2 2 2 2 2 3 2" xfId="7173"/>
    <cellStyle name="Calculation 4 2 2 2 2 2 3 2 2" xfId="14013"/>
    <cellStyle name="Calculation 4 2 2 2 2 2 3 3" xfId="10593"/>
    <cellStyle name="Calculation 4 2 2 2 2 2 4" xfId="4893"/>
    <cellStyle name="Calculation 4 2 2 2 2 2 4 2" xfId="11733"/>
    <cellStyle name="Calculation 4 2 2 2 2 2 5" xfId="8313"/>
    <cellStyle name="Calculation 4 2 2 2 2 3" xfId="2477"/>
    <cellStyle name="Calculation 4 2 2 2 2 3 2" xfId="5897"/>
    <cellStyle name="Calculation 4 2 2 2 2 3 2 2" xfId="12737"/>
    <cellStyle name="Calculation 4 2 2 2 2 3 3" xfId="9317"/>
    <cellStyle name="Calculation 4 2 2 2 2 4" xfId="3617"/>
    <cellStyle name="Calculation 4 2 2 2 2 4 2" xfId="7037"/>
    <cellStyle name="Calculation 4 2 2 2 2 4 2 2" xfId="13877"/>
    <cellStyle name="Calculation 4 2 2 2 2 4 3" xfId="10457"/>
    <cellStyle name="Calculation 4 2 2 2 2 5" xfId="4757"/>
    <cellStyle name="Calculation 4 2 2 2 2 5 2" xfId="11597"/>
    <cellStyle name="Calculation 4 2 2 2 2 6" xfId="8177"/>
    <cellStyle name="Calculation 4 2 2 2 3" xfId="38536"/>
    <cellStyle name="Calculation 4 2 2 2 4" xfId="51966"/>
    <cellStyle name="Calculation 4 2 2 2 5" xfId="51967"/>
    <cellStyle name="Calculation 4 2 2 2 6" xfId="51968"/>
    <cellStyle name="Calculation 4 2 2 2 7" xfId="60736"/>
    <cellStyle name="Calculation 4 2 2 3" xfId="1289"/>
    <cellStyle name="Calculation 4 2 2 3 2" xfId="1738"/>
    <cellStyle name="Calculation 4 2 2 3 2 2" xfId="2878"/>
    <cellStyle name="Calculation 4 2 2 3 2 2 2" xfId="6298"/>
    <cellStyle name="Calculation 4 2 2 3 2 2 2 2" xfId="13138"/>
    <cellStyle name="Calculation 4 2 2 3 2 2 3" xfId="9718"/>
    <cellStyle name="Calculation 4 2 2 3 2 3" xfId="4018"/>
    <cellStyle name="Calculation 4 2 2 3 2 3 2" xfId="7438"/>
    <cellStyle name="Calculation 4 2 2 3 2 3 2 2" xfId="14278"/>
    <cellStyle name="Calculation 4 2 2 3 2 3 3" xfId="10858"/>
    <cellStyle name="Calculation 4 2 2 3 2 4" xfId="5158"/>
    <cellStyle name="Calculation 4 2 2 3 2 4 2" xfId="11998"/>
    <cellStyle name="Calculation 4 2 2 3 2 5" xfId="8578"/>
    <cellStyle name="Calculation 4 2 2 3 3" xfId="2109"/>
    <cellStyle name="Calculation 4 2 2 3 3 2" xfId="5529"/>
    <cellStyle name="Calculation 4 2 2 3 3 2 2" xfId="12369"/>
    <cellStyle name="Calculation 4 2 2 3 3 3" xfId="8949"/>
    <cellStyle name="Calculation 4 2 2 3 4" xfId="3249"/>
    <cellStyle name="Calculation 4 2 2 3 4 2" xfId="6669"/>
    <cellStyle name="Calculation 4 2 2 3 4 2 2" xfId="13509"/>
    <cellStyle name="Calculation 4 2 2 3 4 3" xfId="10089"/>
    <cellStyle name="Calculation 4 2 2 3 5" xfId="4389"/>
    <cellStyle name="Calculation 4 2 2 3 5 2" xfId="11229"/>
    <cellStyle name="Calculation 4 2 2 3 6" xfId="7809"/>
    <cellStyle name="Calculation 4 2 2 4" xfId="38299"/>
    <cellStyle name="Calculation 4 2 2 5" xfId="51969"/>
    <cellStyle name="Calculation 4 2 2 6" xfId="51970"/>
    <cellStyle name="Calculation 4 2 2 7" xfId="51971"/>
    <cellStyle name="Calculation 4 2 2 8" xfId="60735"/>
    <cellStyle name="Calculation 4 2 3" xfId="604"/>
    <cellStyle name="Calculation 4 2 3 2" xfId="1591"/>
    <cellStyle name="Calculation 4 2 3 2 2" xfId="815"/>
    <cellStyle name="Calculation 4 2 3 2 2 2" xfId="2735"/>
    <cellStyle name="Calculation 4 2 3 2 2 2 2" xfId="6155"/>
    <cellStyle name="Calculation 4 2 3 2 2 2 2 2" xfId="12995"/>
    <cellStyle name="Calculation 4 2 3 2 2 2 3" xfId="9575"/>
    <cellStyle name="Calculation 4 2 3 2 2 3" xfId="3875"/>
    <cellStyle name="Calculation 4 2 3 2 2 3 2" xfId="7295"/>
    <cellStyle name="Calculation 4 2 3 2 2 3 2 2" xfId="14135"/>
    <cellStyle name="Calculation 4 2 3 2 2 3 3" xfId="10715"/>
    <cellStyle name="Calculation 4 2 3 2 2 4" xfId="5015"/>
    <cellStyle name="Calculation 4 2 3 2 2 4 2" xfId="11855"/>
    <cellStyle name="Calculation 4 2 3 2 2 5" xfId="8435"/>
    <cellStyle name="Calculation 4 2 3 2 3" xfId="2416"/>
    <cellStyle name="Calculation 4 2 3 2 3 2" xfId="5836"/>
    <cellStyle name="Calculation 4 2 3 2 3 2 2" xfId="12676"/>
    <cellStyle name="Calculation 4 2 3 2 3 3" xfId="9256"/>
    <cellStyle name="Calculation 4 2 3 2 4" xfId="3556"/>
    <cellStyle name="Calculation 4 2 3 2 4 2" xfId="6976"/>
    <cellStyle name="Calculation 4 2 3 2 4 2 2" xfId="13816"/>
    <cellStyle name="Calculation 4 2 3 2 4 3" xfId="10396"/>
    <cellStyle name="Calculation 4 2 3 2 5" xfId="4696"/>
    <cellStyle name="Calculation 4 2 3 2 5 2" xfId="11536"/>
    <cellStyle name="Calculation 4 2 3 2 6" xfId="8116"/>
    <cellStyle name="Calculation 4 2 3 3" xfId="38485"/>
    <cellStyle name="Calculation 4 2 3 4" xfId="51972"/>
    <cellStyle name="Calculation 4 2 3 5" xfId="51973"/>
    <cellStyle name="Calculation 4 2 3 6" xfId="51974"/>
    <cellStyle name="Calculation 4 2 3 7" xfId="60737"/>
    <cellStyle name="Calculation 4 2 4" xfId="1165"/>
    <cellStyle name="Calculation 4 2 4 2" xfId="1786"/>
    <cellStyle name="Calculation 4 2 4 2 2" xfId="2926"/>
    <cellStyle name="Calculation 4 2 4 2 2 2" xfId="6346"/>
    <cellStyle name="Calculation 4 2 4 2 2 2 2" xfId="13186"/>
    <cellStyle name="Calculation 4 2 4 2 2 3" xfId="9766"/>
    <cellStyle name="Calculation 4 2 4 2 3" xfId="4066"/>
    <cellStyle name="Calculation 4 2 4 2 3 2" xfId="7486"/>
    <cellStyle name="Calculation 4 2 4 2 3 2 2" xfId="14326"/>
    <cellStyle name="Calculation 4 2 4 2 3 3" xfId="10906"/>
    <cellStyle name="Calculation 4 2 4 2 4" xfId="5206"/>
    <cellStyle name="Calculation 4 2 4 2 4 2" xfId="12046"/>
    <cellStyle name="Calculation 4 2 4 2 5" xfId="8626"/>
    <cellStyle name="Calculation 4 2 4 3" xfId="1984"/>
    <cellStyle name="Calculation 4 2 4 3 2" xfId="5404"/>
    <cellStyle name="Calculation 4 2 4 3 2 2" xfId="12244"/>
    <cellStyle name="Calculation 4 2 4 3 3" xfId="8824"/>
    <cellStyle name="Calculation 4 2 4 4" xfId="3124"/>
    <cellStyle name="Calculation 4 2 4 4 2" xfId="6544"/>
    <cellStyle name="Calculation 4 2 4 4 2 2" xfId="13384"/>
    <cellStyle name="Calculation 4 2 4 4 3" xfId="9964"/>
    <cellStyle name="Calculation 4 2 4 5" xfId="4264"/>
    <cellStyle name="Calculation 4 2 4 5 2" xfId="11104"/>
    <cellStyle name="Calculation 4 2 4 6" xfId="7684"/>
    <cellStyle name="Calculation 4 2 5" xfId="38221"/>
    <cellStyle name="Calculation 4 2 6" xfId="51975"/>
    <cellStyle name="Calculation 4 2 7" xfId="51976"/>
    <cellStyle name="Calculation 4 2 8" xfId="60734"/>
    <cellStyle name="Calculation 4 3" xfId="323"/>
    <cellStyle name="Calculation 4 3 2" xfId="196"/>
    <cellStyle name="Calculation 4 3 2 2" xfId="1204"/>
    <cellStyle name="Calculation 4 3 2 2 2" xfId="1025"/>
    <cellStyle name="Calculation 4 3 2 2 2 2" xfId="2744"/>
    <cellStyle name="Calculation 4 3 2 2 2 2 2" xfId="6164"/>
    <cellStyle name="Calculation 4 3 2 2 2 2 2 2" xfId="13004"/>
    <cellStyle name="Calculation 4 3 2 2 2 2 3" xfId="9584"/>
    <cellStyle name="Calculation 4 3 2 2 2 3" xfId="3884"/>
    <cellStyle name="Calculation 4 3 2 2 2 3 2" xfId="7304"/>
    <cellStyle name="Calculation 4 3 2 2 2 3 2 2" xfId="14144"/>
    <cellStyle name="Calculation 4 3 2 2 2 3 3" xfId="10724"/>
    <cellStyle name="Calculation 4 3 2 2 2 4" xfId="5024"/>
    <cellStyle name="Calculation 4 3 2 2 2 4 2" xfId="11864"/>
    <cellStyle name="Calculation 4 3 2 2 2 5" xfId="8444"/>
    <cellStyle name="Calculation 4 3 2 2 3" xfId="2023"/>
    <cellStyle name="Calculation 4 3 2 2 3 2" xfId="5443"/>
    <cellStyle name="Calculation 4 3 2 2 3 2 2" xfId="12283"/>
    <cellStyle name="Calculation 4 3 2 2 3 3" xfId="8863"/>
    <cellStyle name="Calculation 4 3 2 2 4" xfId="3163"/>
    <cellStyle name="Calculation 4 3 2 2 4 2" xfId="6583"/>
    <cellStyle name="Calculation 4 3 2 2 4 2 2" xfId="13423"/>
    <cellStyle name="Calculation 4 3 2 2 4 3" xfId="10003"/>
    <cellStyle name="Calculation 4 3 2 2 5" xfId="4303"/>
    <cellStyle name="Calculation 4 3 2 2 5 2" xfId="11143"/>
    <cellStyle name="Calculation 4 3 2 2 6" xfId="7723"/>
    <cellStyle name="Calculation 4 3 2 3" xfId="38245"/>
    <cellStyle name="Calculation 4 3 2 4" xfId="51977"/>
    <cellStyle name="Calculation 4 3 2 5" xfId="51978"/>
    <cellStyle name="Calculation 4 3 2 6" xfId="51979"/>
    <cellStyle name="Calculation 4 3 2 7" xfId="60739"/>
    <cellStyle name="Calculation 4 3 3" xfId="1328"/>
    <cellStyle name="Calculation 4 3 3 2" xfId="963"/>
    <cellStyle name="Calculation 4 3 3 2 2" xfId="2616"/>
    <cellStyle name="Calculation 4 3 3 2 2 2" xfId="6036"/>
    <cellStyle name="Calculation 4 3 3 2 2 2 2" xfId="12876"/>
    <cellStyle name="Calculation 4 3 3 2 2 3" xfId="9456"/>
    <cellStyle name="Calculation 4 3 3 2 3" xfId="3756"/>
    <cellStyle name="Calculation 4 3 3 2 3 2" xfId="7176"/>
    <cellStyle name="Calculation 4 3 3 2 3 2 2" xfId="14016"/>
    <cellStyle name="Calculation 4 3 3 2 3 3" xfId="10596"/>
    <cellStyle name="Calculation 4 3 3 2 4" xfId="4896"/>
    <cellStyle name="Calculation 4 3 3 2 4 2" xfId="11736"/>
    <cellStyle name="Calculation 4 3 3 2 5" xfId="8316"/>
    <cellStyle name="Calculation 4 3 3 3" xfId="2149"/>
    <cellStyle name="Calculation 4 3 3 3 2" xfId="5569"/>
    <cellStyle name="Calculation 4 3 3 3 2 2" xfId="12409"/>
    <cellStyle name="Calculation 4 3 3 3 3" xfId="8989"/>
    <cellStyle name="Calculation 4 3 3 4" xfId="3289"/>
    <cellStyle name="Calculation 4 3 3 4 2" xfId="6709"/>
    <cellStyle name="Calculation 4 3 3 4 2 2" xfId="13549"/>
    <cellStyle name="Calculation 4 3 3 4 3" xfId="10129"/>
    <cellStyle name="Calculation 4 3 3 5" xfId="4429"/>
    <cellStyle name="Calculation 4 3 3 5 2" xfId="11269"/>
    <cellStyle name="Calculation 4 3 3 6" xfId="7849"/>
    <cellStyle name="Calculation 4 3 4" xfId="38320"/>
    <cellStyle name="Calculation 4 3 5" xfId="51980"/>
    <cellStyle name="Calculation 4 3 6" xfId="51981"/>
    <cellStyle name="Calculation 4 3 7" xfId="60738"/>
    <cellStyle name="Calculation 4 4" xfId="230"/>
    <cellStyle name="Calculation 4 4 2" xfId="185"/>
    <cellStyle name="Calculation 4 4 2 2" xfId="1193"/>
    <cellStyle name="Calculation 4 4 2 2 2" xfId="1829"/>
    <cellStyle name="Calculation 4 4 2 2 2 2" xfId="2969"/>
    <cellStyle name="Calculation 4 4 2 2 2 2 2" xfId="6389"/>
    <cellStyle name="Calculation 4 4 2 2 2 2 2 2" xfId="13229"/>
    <cellStyle name="Calculation 4 4 2 2 2 2 3" xfId="9809"/>
    <cellStyle name="Calculation 4 4 2 2 2 3" xfId="4109"/>
    <cellStyle name="Calculation 4 4 2 2 2 3 2" xfId="7529"/>
    <cellStyle name="Calculation 4 4 2 2 2 3 2 2" xfId="14369"/>
    <cellStyle name="Calculation 4 4 2 2 2 3 3" xfId="10949"/>
    <cellStyle name="Calculation 4 4 2 2 2 4" xfId="5249"/>
    <cellStyle name="Calculation 4 4 2 2 2 4 2" xfId="12089"/>
    <cellStyle name="Calculation 4 4 2 2 2 5" xfId="8669"/>
    <cellStyle name="Calculation 4 4 2 2 3" xfId="2012"/>
    <cellStyle name="Calculation 4 4 2 2 3 2" xfId="5432"/>
    <cellStyle name="Calculation 4 4 2 2 3 2 2" xfId="12272"/>
    <cellStyle name="Calculation 4 4 2 2 3 3" xfId="8852"/>
    <cellStyle name="Calculation 4 4 2 2 4" xfId="3152"/>
    <cellStyle name="Calculation 4 4 2 2 4 2" xfId="6572"/>
    <cellStyle name="Calculation 4 4 2 2 4 2 2" xfId="13412"/>
    <cellStyle name="Calculation 4 4 2 2 4 3" xfId="9992"/>
    <cellStyle name="Calculation 4 4 2 2 5" xfId="4292"/>
    <cellStyle name="Calculation 4 4 2 2 5 2" xfId="11132"/>
    <cellStyle name="Calculation 4 4 2 2 6" xfId="7712"/>
    <cellStyle name="Calculation 4 4 2 3" xfId="38240"/>
    <cellStyle name="Calculation 4 4 2 4" xfId="51982"/>
    <cellStyle name="Calculation 4 4 2 5" xfId="51983"/>
    <cellStyle name="Calculation 4 4 2 6" xfId="51984"/>
    <cellStyle name="Calculation 4 4 2 7" xfId="60741"/>
    <cellStyle name="Calculation 4 4 3" xfId="1237"/>
    <cellStyle name="Calculation 4 4 3 2" xfId="1750"/>
    <cellStyle name="Calculation 4 4 3 2 2" xfId="2890"/>
    <cellStyle name="Calculation 4 4 3 2 2 2" xfId="6310"/>
    <cellStyle name="Calculation 4 4 3 2 2 2 2" xfId="13150"/>
    <cellStyle name="Calculation 4 4 3 2 2 3" xfId="9730"/>
    <cellStyle name="Calculation 4 4 3 2 3" xfId="4030"/>
    <cellStyle name="Calculation 4 4 3 2 3 2" xfId="7450"/>
    <cellStyle name="Calculation 4 4 3 2 3 2 2" xfId="14290"/>
    <cellStyle name="Calculation 4 4 3 2 3 3" xfId="10870"/>
    <cellStyle name="Calculation 4 4 3 2 4" xfId="5170"/>
    <cellStyle name="Calculation 4 4 3 2 4 2" xfId="12010"/>
    <cellStyle name="Calculation 4 4 3 2 5" xfId="8590"/>
    <cellStyle name="Calculation 4 4 3 3" xfId="2057"/>
    <cellStyle name="Calculation 4 4 3 3 2" xfId="5477"/>
    <cellStyle name="Calculation 4 4 3 3 2 2" xfId="12317"/>
    <cellStyle name="Calculation 4 4 3 3 3" xfId="8897"/>
    <cellStyle name="Calculation 4 4 3 4" xfId="3197"/>
    <cellStyle name="Calculation 4 4 3 4 2" xfId="6617"/>
    <cellStyle name="Calculation 4 4 3 4 2 2" xfId="13457"/>
    <cellStyle name="Calculation 4 4 3 4 3" xfId="10037"/>
    <cellStyle name="Calculation 4 4 3 5" xfId="4337"/>
    <cellStyle name="Calculation 4 4 3 5 2" xfId="11177"/>
    <cellStyle name="Calculation 4 4 3 6" xfId="7757"/>
    <cellStyle name="Calculation 4 4 4" xfId="38257"/>
    <cellStyle name="Calculation 4 4 5" xfId="51985"/>
    <cellStyle name="Calculation 4 4 6" xfId="51986"/>
    <cellStyle name="Calculation 4 4 7" xfId="60740"/>
    <cellStyle name="Calculation 4 5" xfId="488"/>
    <cellStyle name="Calculation 4 5 2" xfId="387"/>
    <cellStyle name="Calculation 4 5 2 2" xfId="1392"/>
    <cellStyle name="Calculation 4 5 2 2 2" xfId="1747"/>
    <cellStyle name="Calculation 4 5 2 2 2 2" xfId="2887"/>
    <cellStyle name="Calculation 4 5 2 2 2 2 2" xfId="6307"/>
    <cellStyle name="Calculation 4 5 2 2 2 2 2 2" xfId="13147"/>
    <cellStyle name="Calculation 4 5 2 2 2 2 3" xfId="9727"/>
    <cellStyle name="Calculation 4 5 2 2 2 3" xfId="4027"/>
    <cellStyle name="Calculation 4 5 2 2 2 3 2" xfId="7447"/>
    <cellStyle name="Calculation 4 5 2 2 2 3 2 2" xfId="14287"/>
    <cellStyle name="Calculation 4 5 2 2 2 3 3" xfId="10867"/>
    <cellStyle name="Calculation 4 5 2 2 2 4" xfId="5167"/>
    <cellStyle name="Calculation 4 5 2 2 2 4 2" xfId="12007"/>
    <cellStyle name="Calculation 4 5 2 2 2 5" xfId="8587"/>
    <cellStyle name="Calculation 4 5 2 2 3" xfId="2213"/>
    <cellStyle name="Calculation 4 5 2 2 3 2" xfId="5633"/>
    <cellStyle name="Calculation 4 5 2 2 3 2 2" xfId="12473"/>
    <cellStyle name="Calculation 4 5 2 2 3 3" xfId="9053"/>
    <cellStyle name="Calculation 4 5 2 2 4" xfId="3353"/>
    <cellStyle name="Calculation 4 5 2 2 4 2" xfId="6773"/>
    <cellStyle name="Calculation 4 5 2 2 4 2 2" xfId="13613"/>
    <cellStyle name="Calculation 4 5 2 2 4 3" xfId="10193"/>
    <cellStyle name="Calculation 4 5 2 2 5" xfId="4493"/>
    <cellStyle name="Calculation 4 5 2 2 5 2" xfId="11333"/>
    <cellStyle name="Calculation 4 5 2 2 6" xfId="7913"/>
    <cellStyle name="Calculation 4 5 2 3" xfId="38369"/>
    <cellStyle name="Calculation 4 5 2 4" xfId="51987"/>
    <cellStyle name="Calculation 4 5 2 5" xfId="51988"/>
    <cellStyle name="Calculation 4 5 2 6" xfId="51989"/>
    <cellStyle name="Calculation 4 5 2 7" xfId="60743"/>
    <cellStyle name="Calculation 4 5 3" xfId="1492"/>
    <cellStyle name="Calculation 4 5 3 2" xfId="1700"/>
    <cellStyle name="Calculation 4 5 3 2 2" xfId="2840"/>
    <cellStyle name="Calculation 4 5 3 2 2 2" xfId="6260"/>
    <cellStyle name="Calculation 4 5 3 2 2 2 2" xfId="13100"/>
    <cellStyle name="Calculation 4 5 3 2 2 3" xfId="9680"/>
    <cellStyle name="Calculation 4 5 3 2 3" xfId="3980"/>
    <cellStyle name="Calculation 4 5 3 2 3 2" xfId="7400"/>
    <cellStyle name="Calculation 4 5 3 2 3 2 2" xfId="14240"/>
    <cellStyle name="Calculation 4 5 3 2 3 3" xfId="10820"/>
    <cellStyle name="Calculation 4 5 3 2 4" xfId="5120"/>
    <cellStyle name="Calculation 4 5 3 2 4 2" xfId="11960"/>
    <cellStyle name="Calculation 4 5 3 2 5" xfId="8540"/>
    <cellStyle name="Calculation 4 5 3 3" xfId="2313"/>
    <cellStyle name="Calculation 4 5 3 3 2" xfId="5733"/>
    <cellStyle name="Calculation 4 5 3 3 2 2" xfId="12573"/>
    <cellStyle name="Calculation 4 5 3 3 3" xfId="9153"/>
    <cellStyle name="Calculation 4 5 3 4" xfId="3453"/>
    <cellStyle name="Calculation 4 5 3 4 2" xfId="6873"/>
    <cellStyle name="Calculation 4 5 3 4 2 2" xfId="13713"/>
    <cellStyle name="Calculation 4 5 3 4 3" xfId="10293"/>
    <cellStyle name="Calculation 4 5 3 5" xfId="4593"/>
    <cellStyle name="Calculation 4 5 3 5 2" xfId="11433"/>
    <cellStyle name="Calculation 4 5 3 6" xfId="8013"/>
    <cellStyle name="Calculation 4 5 4" xfId="38427"/>
    <cellStyle name="Calculation 4 5 5" xfId="51990"/>
    <cellStyle name="Calculation 4 5 6" xfId="51991"/>
    <cellStyle name="Calculation 4 5 7" xfId="51992"/>
    <cellStyle name="Calculation 4 5 8" xfId="60742"/>
    <cellStyle name="Calculation 4 6" xfId="487"/>
    <cellStyle name="Calculation 4 6 2" xfId="410"/>
    <cellStyle name="Calculation 4 6 2 2" xfId="1415"/>
    <cellStyle name="Calculation 4 6 2 2 2" xfId="1689"/>
    <cellStyle name="Calculation 4 6 2 2 2 2" xfId="2829"/>
    <cellStyle name="Calculation 4 6 2 2 2 2 2" xfId="6249"/>
    <cellStyle name="Calculation 4 6 2 2 2 2 2 2" xfId="13089"/>
    <cellStyle name="Calculation 4 6 2 2 2 2 3" xfId="9669"/>
    <cellStyle name="Calculation 4 6 2 2 2 3" xfId="3969"/>
    <cellStyle name="Calculation 4 6 2 2 2 3 2" xfId="7389"/>
    <cellStyle name="Calculation 4 6 2 2 2 3 2 2" xfId="14229"/>
    <cellStyle name="Calculation 4 6 2 2 2 3 3" xfId="10809"/>
    <cellStyle name="Calculation 4 6 2 2 2 4" xfId="5109"/>
    <cellStyle name="Calculation 4 6 2 2 2 4 2" xfId="11949"/>
    <cellStyle name="Calculation 4 6 2 2 2 5" xfId="8529"/>
    <cellStyle name="Calculation 4 6 2 2 3" xfId="2236"/>
    <cellStyle name="Calculation 4 6 2 2 3 2" xfId="5656"/>
    <cellStyle name="Calculation 4 6 2 2 3 2 2" xfId="12496"/>
    <cellStyle name="Calculation 4 6 2 2 3 3" xfId="9076"/>
    <cellStyle name="Calculation 4 6 2 2 4" xfId="3376"/>
    <cellStyle name="Calculation 4 6 2 2 4 2" xfId="6796"/>
    <cellStyle name="Calculation 4 6 2 2 4 2 2" xfId="13636"/>
    <cellStyle name="Calculation 4 6 2 2 4 3" xfId="10216"/>
    <cellStyle name="Calculation 4 6 2 2 5" xfId="4516"/>
    <cellStyle name="Calculation 4 6 2 2 5 2" xfId="11356"/>
    <cellStyle name="Calculation 4 6 2 2 6" xfId="7936"/>
    <cellStyle name="Calculation 4 6 2 3" xfId="38386"/>
    <cellStyle name="Calculation 4 6 2 4" xfId="51993"/>
    <cellStyle name="Calculation 4 6 2 5" xfId="51994"/>
    <cellStyle name="Calculation 4 6 2 6" xfId="51995"/>
    <cellStyle name="Calculation 4 6 2 7" xfId="60745"/>
    <cellStyle name="Calculation 4 6 3" xfId="1491"/>
    <cellStyle name="Calculation 4 6 3 2" xfId="1727"/>
    <cellStyle name="Calculation 4 6 3 2 2" xfId="2867"/>
    <cellStyle name="Calculation 4 6 3 2 2 2" xfId="6287"/>
    <cellStyle name="Calculation 4 6 3 2 2 2 2" xfId="13127"/>
    <cellStyle name="Calculation 4 6 3 2 2 3" xfId="9707"/>
    <cellStyle name="Calculation 4 6 3 2 3" xfId="4007"/>
    <cellStyle name="Calculation 4 6 3 2 3 2" xfId="7427"/>
    <cellStyle name="Calculation 4 6 3 2 3 2 2" xfId="14267"/>
    <cellStyle name="Calculation 4 6 3 2 3 3" xfId="10847"/>
    <cellStyle name="Calculation 4 6 3 2 4" xfId="5147"/>
    <cellStyle name="Calculation 4 6 3 2 4 2" xfId="11987"/>
    <cellStyle name="Calculation 4 6 3 2 5" xfId="8567"/>
    <cellStyle name="Calculation 4 6 3 3" xfId="2312"/>
    <cellStyle name="Calculation 4 6 3 3 2" xfId="5732"/>
    <cellStyle name="Calculation 4 6 3 3 2 2" xfId="12572"/>
    <cellStyle name="Calculation 4 6 3 3 3" xfId="9152"/>
    <cellStyle name="Calculation 4 6 3 4" xfId="3452"/>
    <cellStyle name="Calculation 4 6 3 4 2" xfId="6872"/>
    <cellStyle name="Calculation 4 6 3 4 2 2" xfId="13712"/>
    <cellStyle name="Calculation 4 6 3 4 3" xfId="10292"/>
    <cellStyle name="Calculation 4 6 3 5" xfId="4592"/>
    <cellStyle name="Calculation 4 6 3 5 2" xfId="11432"/>
    <cellStyle name="Calculation 4 6 3 6" xfId="8012"/>
    <cellStyle name="Calculation 4 6 4" xfId="38426"/>
    <cellStyle name="Calculation 4 6 5" xfId="51996"/>
    <cellStyle name="Calculation 4 6 6" xfId="51997"/>
    <cellStyle name="Calculation 4 6 7" xfId="51998"/>
    <cellStyle name="Calculation 4 6 8" xfId="60744"/>
    <cellStyle name="Calculation 4 7" xfId="1114"/>
    <cellStyle name="Calculation 4 7 2" xfId="1069"/>
    <cellStyle name="Calculation 4 7 2 2" xfId="2703"/>
    <cellStyle name="Calculation 4 7 2 2 2" xfId="6123"/>
    <cellStyle name="Calculation 4 7 2 2 2 2" xfId="12963"/>
    <cellStyle name="Calculation 4 7 2 2 3" xfId="9543"/>
    <cellStyle name="Calculation 4 7 2 3" xfId="3843"/>
    <cellStyle name="Calculation 4 7 2 3 2" xfId="7263"/>
    <cellStyle name="Calculation 4 7 2 3 2 2" xfId="14103"/>
    <cellStyle name="Calculation 4 7 2 3 3" xfId="10683"/>
    <cellStyle name="Calculation 4 7 2 4" xfId="4983"/>
    <cellStyle name="Calculation 4 7 2 4 2" xfId="11823"/>
    <cellStyle name="Calculation 4 7 2 5" xfId="8403"/>
    <cellStyle name="Calculation 4 7 3" xfId="1928"/>
    <cellStyle name="Calculation 4 7 3 2" xfId="5348"/>
    <cellStyle name="Calculation 4 7 3 2 2" xfId="12188"/>
    <cellStyle name="Calculation 4 7 3 3" xfId="8768"/>
    <cellStyle name="Calculation 4 7 4" xfId="3068"/>
    <cellStyle name="Calculation 4 7 4 2" xfId="6488"/>
    <cellStyle name="Calculation 4 7 4 2 2" xfId="13328"/>
    <cellStyle name="Calculation 4 7 4 3" xfId="9908"/>
    <cellStyle name="Calculation 4 7 5" xfId="4208"/>
    <cellStyle name="Calculation 4 7 5 2" xfId="11048"/>
    <cellStyle name="Calculation 4 7 6" xfId="7628"/>
    <cellStyle name="Calculation 4 8" xfId="38191"/>
    <cellStyle name="Calculation 4 9" xfId="51999"/>
    <cellStyle name="Calculation 5" xfId="103"/>
    <cellStyle name="Calculation 5 10" xfId="52000"/>
    <cellStyle name="Calculation 5 11" xfId="60746"/>
    <cellStyle name="Calculation 5 2" xfId="162"/>
    <cellStyle name="Calculation 5 2 2" xfId="288"/>
    <cellStyle name="Calculation 5 2 2 2" xfId="697"/>
    <cellStyle name="Calculation 5 2 2 2 2" xfId="1648"/>
    <cellStyle name="Calculation 5 2 2 2 2 2" xfId="759"/>
    <cellStyle name="Calculation 5 2 2 2 2 2 2" xfId="2723"/>
    <cellStyle name="Calculation 5 2 2 2 2 2 2 2" xfId="6143"/>
    <cellStyle name="Calculation 5 2 2 2 2 2 2 2 2" xfId="12983"/>
    <cellStyle name="Calculation 5 2 2 2 2 2 2 3" xfId="9563"/>
    <cellStyle name="Calculation 5 2 2 2 2 2 3" xfId="3863"/>
    <cellStyle name="Calculation 5 2 2 2 2 2 3 2" xfId="7283"/>
    <cellStyle name="Calculation 5 2 2 2 2 2 3 2 2" xfId="14123"/>
    <cellStyle name="Calculation 5 2 2 2 2 2 3 3" xfId="10703"/>
    <cellStyle name="Calculation 5 2 2 2 2 2 4" xfId="5003"/>
    <cellStyle name="Calculation 5 2 2 2 2 2 4 2" xfId="11843"/>
    <cellStyle name="Calculation 5 2 2 2 2 2 5" xfId="8423"/>
    <cellStyle name="Calculation 5 2 2 2 2 3" xfId="2482"/>
    <cellStyle name="Calculation 5 2 2 2 2 3 2" xfId="5902"/>
    <cellStyle name="Calculation 5 2 2 2 2 3 2 2" xfId="12742"/>
    <cellStyle name="Calculation 5 2 2 2 2 3 3" xfId="9322"/>
    <cellStyle name="Calculation 5 2 2 2 2 4" xfId="3622"/>
    <cellStyle name="Calculation 5 2 2 2 2 4 2" xfId="7042"/>
    <cellStyle name="Calculation 5 2 2 2 2 4 2 2" xfId="13882"/>
    <cellStyle name="Calculation 5 2 2 2 2 4 3" xfId="10462"/>
    <cellStyle name="Calculation 5 2 2 2 2 5" xfId="4762"/>
    <cellStyle name="Calculation 5 2 2 2 2 5 2" xfId="11602"/>
    <cellStyle name="Calculation 5 2 2 2 2 6" xfId="8182"/>
    <cellStyle name="Calculation 5 2 2 2 3" xfId="38541"/>
    <cellStyle name="Calculation 5 2 2 2 4" xfId="52001"/>
    <cellStyle name="Calculation 5 2 2 2 5" xfId="52002"/>
    <cellStyle name="Calculation 5 2 2 2 6" xfId="52003"/>
    <cellStyle name="Calculation 5 2 2 2 7" xfId="60749"/>
    <cellStyle name="Calculation 5 2 2 3" xfId="1294"/>
    <cellStyle name="Calculation 5 2 2 3 2" xfId="1676"/>
    <cellStyle name="Calculation 5 2 2 3 2 2" xfId="2816"/>
    <cellStyle name="Calculation 5 2 2 3 2 2 2" xfId="6236"/>
    <cellStyle name="Calculation 5 2 2 3 2 2 2 2" xfId="13076"/>
    <cellStyle name="Calculation 5 2 2 3 2 2 3" xfId="9656"/>
    <cellStyle name="Calculation 5 2 2 3 2 3" xfId="3956"/>
    <cellStyle name="Calculation 5 2 2 3 2 3 2" xfId="7376"/>
    <cellStyle name="Calculation 5 2 2 3 2 3 2 2" xfId="14216"/>
    <cellStyle name="Calculation 5 2 2 3 2 3 3" xfId="10796"/>
    <cellStyle name="Calculation 5 2 2 3 2 4" xfId="5096"/>
    <cellStyle name="Calculation 5 2 2 3 2 4 2" xfId="11936"/>
    <cellStyle name="Calculation 5 2 2 3 2 5" xfId="8516"/>
    <cellStyle name="Calculation 5 2 2 3 3" xfId="2114"/>
    <cellStyle name="Calculation 5 2 2 3 3 2" xfId="5534"/>
    <cellStyle name="Calculation 5 2 2 3 3 2 2" xfId="12374"/>
    <cellStyle name="Calculation 5 2 2 3 3 3" xfId="8954"/>
    <cellStyle name="Calculation 5 2 2 3 4" xfId="3254"/>
    <cellStyle name="Calculation 5 2 2 3 4 2" xfId="6674"/>
    <cellStyle name="Calculation 5 2 2 3 4 2 2" xfId="13514"/>
    <cellStyle name="Calculation 5 2 2 3 4 3" xfId="10094"/>
    <cellStyle name="Calculation 5 2 2 3 5" xfId="4394"/>
    <cellStyle name="Calculation 5 2 2 3 5 2" xfId="11234"/>
    <cellStyle name="Calculation 5 2 2 3 6" xfId="7814"/>
    <cellStyle name="Calculation 5 2 2 4" xfId="38304"/>
    <cellStyle name="Calculation 5 2 2 5" xfId="52004"/>
    <cellStyle name="Calculation 5 2 2 6" xfId="52005"/>
    <cellStyle name="Calculation 5 2 2 7" xfId="52006"/>
    <cellStyle name="Calculation 5 2 2 8" xfId="60748"/>
    <cellStyle name="Calculation 5 2 3" xfId="609"/>
    <cellStyle name="Calculation 5 2 3 2" xfId="1596"/>
    <cellStyle name="Calculation 5 2 3 2 2" xfId="811"/>
    <cellStyle name="Calculation 5 2 3 2 2 2" xfId="2732"/>
    <cellStyle name="Calculation 5 2 3 2 2 2 2" xfId="6152"/>
    <cellStyle name="Calculation 5 2 3 2 2 2 2 2" xfId="12992"/>
    <cellStyle name="Calculation 5 2 3 2 2 2 3" xfId="9572"/>
    <cellStyle name="Calculation 5 2 3 2 2 3" xfId="3872"/>
    <cellStyle name="Calculation 5 2 3 2 2 3 2" xfId="7292"/>
    <cellStyle name="Calculation 5 2 3 2 2 3 2 2" xfId="14132"/>
    <cellStyle name="Calculation 5 2 3 2 2 3 3" xfId="10712"/>
    <cellStyle name="Calculation 5 2 3 2 2 4" xfId="5012"/>
    <cellStyle name="Calculation 5 2 3 2 2 4 2" xfId="11852"/>
    <cellStyle name="Calculation 5 2 3 2 2 5" xfId="8432"/>
    <cellStyle name="Calculation 5 2 3 2 3" xfId="2421"/>
    <cellStyle name="Calculation 5 2 3 2 3 2" xfId="5841"/>
    <cellStyle name="Calculation 5 2 3 2 3 2 2" xfId="12681"/>
    <cellStyle name="Calculation 5 2 3 2 3 3" xfId="9261"/>
    <cellStyle name="Calculation 5 2 3 2 4" xfId="3561"/>
    <cellStyle name="Calculation 5 2 3 2 4 2" xfId="6981"/>
    <cellStyle name="Calculation 5 2 3 2 4 2 2" xfId="13821"/>
    <cellStyle name="Calculation 5 2 3 2 4 3" xfId="10401"/>
    <cellStyle name="Calculation 5 2 3 2 5" xfId="4701"/>
    <cellStyle name="Calculation 5 2 3 2 5 2" xfId="11541"/>
    <cellStyle name="Calculation 5 2 3 2 6" xfId="8121"/>
    <cellStyle name="Calculation 5 2 3 3" xfId="38490"/>
    <cellStyle name="Calculation 5 2 3 4" xfId="52007"/>
    <cellStyle name="Calculation 5 2 3 5" xfId="52008"/>
    <cellStyle name="Calculation 5 2 3 6" xfId="52009"/>
    <cellStyle name="Calculation 5 2 3 7" xfId="60750"/>
    <cellStyle name="Calculation 5 2 4" xfId="1170"/>
    <cellStyle name="Calculation 5 2 4 2" xfId="1043"/>
    <cellStyle name="Calculation 5 2 4 2 2" xfId="2705"/>
    <cellStyle name="Calculation 5 2 4 2 2 2" xfId="6125"/>
    <cellStyle name="Calculation 5 2 4 2 2 2 2" xfId="12965"/>
    <cellStyle name="Calculation 5 2 4 2 2 3" xfId="9545"/>
    <cellStyle name="Calculation 5 2 4 2 3" xfId="3845"/>
    <cellStyle name="Calculation 5 2 4 2 3 2" xfId="7265"/>
    <cellStyle name="Calculation 5 2 4 2 3 2 2" xfId="14105"/>
    <cellStyle name="Calculation 5 2 4 2 3 3" xfId="10685"/>
    <cellStyle name="Calculation 5 2 4 2 4" xfId="4985"/>
    <cellStyle name="Calculation 5 2 4 2 4 2" xfId="11825"/>
    <cellStyle name="Calculation 5 2 4 2 5" xfId="8405"/>
    <cellStyle name="Calculation 5 2 4 3" xfId="1989"/>
    <cellStyle name="Calculation 5 2 4 3 2" xfId="5409"/>
    <cellStyle name="Calculation 5 2 4 3 2 2" xfId="12249"/>
    <cellStyle name="Calculation 5 2 4 3 3" xfId="8829"/>
    <cellStyle name="Calculation 5 2 4 4" xfId="3129"/>
    <cellStyle name="Calculation 5 2 4 4 2" xfId="6549"/>
    <cellStyle name="Calculation 5 2 4 4 2 2" xfId="13389"/>
    <cellStyle name="Calculation 5 2 4 4 3" xfId="9969"/>
    <cellStyle name="Calculation 5 2 4 5" xfId="4269"/>
    <cellStyle name="Calculation 5 2 4 5 2" xfId="11109"/>
    <cellStyle name="Calculation 5 2 4 6" xfId="7689"/>
    <cellStyle name="Calculation 5 2 5" xfId="38226"/>
    <cellStyle name="Calculation 5 2 6" xfId="52010"/>
    <cellStyle name="Calculation 5 2 7" xfId="52011"/>
    <cellStyle name="Calculation 5 2 8" xfId="52012"/>
    <cellStyle name="Calculation 5 2 9" xfId="60747"/>
    <cellStyle name="Calculation 5 3" xfId="328"/>
    <cellStyle name="Calculation 5 3 2" xfId="477"/>
    <cellStyle name="Calculation 5 3 2 2" xfId="1481"/>
    <cellStyle name="Calculation 5 3 2 2 2" xfId="868"/>
    <cellStyle name="Calculation 5 3 2 2 2 2" xfId="2767"/>
    <cellStyle name="Calculation 5 3 2 2 2 2 2" xfId="6187"/>
    <cellStyle name="Calculation 5 3 2 2 2 2 2 2" xfId="13027"/>
    <cellStyle name="Calculation 5 3 2 2 2 2 3" xfId="9607"/>
    <cellStyle name="Calculation 5 3 2 2 2 3" xfId="3907"/>
    <cellStyle name="Calculation 5 3 2 2 2 3 2" xfId="7327"/>
    <cellStyle name="Calculation 5 3 2 2 2 3 2 2" xfId="14167"/>
    <cellStyle name="Calculation 5 3 2 2 2 3 3" xfId="10747"/>
    <cellStyle name="Calculation 5 3 2 2 2 4" xfId="5047"/>
    <cellStyle name="Calculation 5 3 2 2 2 4 2" xfId="11887"/>
    <cellStyle name="Calculation 5 3 2 2 2 5" xfId="8467"/>
    <cellStyle name="Calculation 5 3 2 2 3" xfId="2302"/>
    <cellStyle name="Calculation 5 3 2 2 3 2" xfId="5722"/>
    <cellStyle name="Calculation 5 3 2 2 3 2 2" xfId="12562"/>
    <cellStyle name="Calculation 5 3 2 2 3 3" xfId="9142"/>
    <cellStyle name="Calculation 5 3 2 2 4" xfId="3442"/>
    <cellStyle name="Calculation 5 3 2 2 4 2" xfId="6862"/>
    <cellStyle name="Calculation 5 3 2 2 4 2 2" xfId="13702"/>
    <cellStyle name="Calculation 5 3 2 2 4 3" xfId="10282"/>
    <cellStyle name="Calculation 5 3 2 2 5" xfId="4582"/>
    <cellStyle name="Calculation 5 3 2 2 5 2" xfId="11422"/>
    <cellStyle name="Calculation 5 3 2 2 6" xfId="8002"/>
    <cellStyle name="Calculation 5 3 2 3" xfId="38425"/>
    <cellStyle name="Calculation 5 3 2 4" xfId="52013"/>
    <cellStyle name="Calculation 5 3 2 5" xfId="52014"/>
    <cellStyle name="Calculation 5 3 2 6" xfId="52015"/>
    <cellStyle name="Calculation 5 3 2 7" xfId="60752"/>
    <cellStyle name="Calculation 5 3 3" xfId="1333"/>
    <cellStyle name="Calculation 5 3 3 2" xfId="959"/>
    <cellStyle name="Calculation 5 3 3 2 2" xfId="2580"/>
    <cellStyle name="Calculation 5 3 3 2 2 2" xfId="6000"/>
    <cellStyle name="Calculation 5 3 3 2 2 2 2" xfId="12840"/>
    <cellStyle name="Calculation 5 3 3 2 2 3" xfId="9420"/>
    <cellStyle name="Calculation 5 3 3 2 3" xfId="3720"/>
    <cellStyle name="Calculation 5 3 3 2 3 2" xfId="7140"/>
    <cellStyle name="Calculation 5 3 3 2 3 2 2" xfId="13980"/>
    <cellStyle name="Calculation 5 3 3 2 3 3" xfId="10560"/>
    <cellStyle name="Calculation 5 3 3 2 4" xfId="4860"/>
    <cellStyle name="Calculation 5 3 3 2 4 2" xfId="11700"/>
    <cellStyle name="Calculation 5 3 3 2 5" xfId="8280"/>
    <cellStyle name="Calculation 5 3 3 3" xfId="2154"/>
    <cellStyle name="Calculation 5 3 3 3 2" xfId="5574"/>
    <cellStyle name="Calculation 5 3 3 3 2 2" xfId="12414"/>
    <cellStyle name="Calculation 5 3 3 3 3" xfId="8994"/>
    <cellStyle name="Calculation 5 3 3 4" xfId="3294"/>
    <cellStyle name="Calculation 5 3 3 4 2" xfId="6714"/>
    <cellStyle name="Calculation 5 3 3 4 2 2" xfId="13554"/>
    <cellStyle name="Calculation 5 3 3 4 3" xfId="10134"/>
    <cellStyle name="Calculation 5 3 3 5" xfId="4434"/>
    <cellStyle name="Calculation 5 3 3 5 2" xfId="11274"/>
    <cellStyle name="Calculation 5 3 3 6" xfId="7854"/>
    <cellStyle name="Calculation 5 3 4" xfId="38325"/>
    <cellStyle name="Calculation 5 3 5" xfId="52016"/>
    <cellStyle name="Calculation 5 3 6" xfId="52017"/>
    <cellStyle name="Calculation 5 3 7" xfId="52018"/>
    <cellStyle name="Calculation 5 3 8" xfId="60751"/>
    <cellStyle name="Calculation 5 4" xfId="235"/>
    <cellStyle name="Calculation 5 4 2" xfId="173"/>
    <cellStyle name="Calculation 5 4 2 2" xfId="1181"/>
    <cellStyle name="Calculation 5 4 2 2 2" xfId="1038"/>
    <cellStyle name="Calculation 5 4 2 2 2 2" xfId="2610"/>
    <cellStyle name="Calculation 5 4 2 2 2 2 2" xfId="6030"/>
    <cellStyle name="Calculation 5 4 2 2 2 2 2 2" xfId="12870"/>
    <cellStyle name="Calculation 5 4 2 2 2 2 3" xfId="9450"/>
    <cellStyle name="Calculation 5 4 2 2 2 3" xfId="3750"/>
    <cellStyle name="Calculation 5 4 2 2 2 3 2" xfId="7170"/>
    <cellStyle name="Calculation 5 4 2 2 2 3 2 2" xfId="14010"/>
    <cellStyle name="Calculation 5 4 2 2 2 3 3" xfId="10590"/>
    <cellStyle name="Calculation 5 4 2 2 2 4" xfId="4890"/>
    <cellStyle name="Calculation 5 4 2 2 2 4 2" xfId="11730"/>
    <cellStyle name="Calculation 5 4 2 2 2 5" xfId="8310"/>
    <cellStyle name="Calculation 5 4 2 2 3" xfId="2000"/>
    <cellStyle name="Calculation 5 4 2 2 3 2" xfId="5420"/>
    <cellStyle name="Calculation 5 4 2 2 3 2 2" xfId="12260"/>
    <cellStyle name="Calculation 5 4 2 2 3 3" xfId="8840"/>
    <cellStyle name="Calculation 5 4 2 2 4" xfId="3140"/>
    <cellStyle name="Calculation 5 4 2 2 4 2" xfId="6560"/>
    <cellStyle name="Calculation 5 4 2 2 4 2 2" xfId="13400"/>
    <cellStyle name="Calculation 5 4 2 2 4 3" xfId="9980"/>
    <cellStyle name="Calculation 5 4 2 2 5" xfId="4280"/>
    <cellStyle name="Calculation 5 4 2 2 5 2" xfId="11120"/>
    <cellStyle name="Calculation 5 4 2 2 6" xfId="7700"/>
    <cellStyle name="Calculation 5 4 2 3" xfId="38233"/>
    <cellStyle name="Calculation 5 4 2 4" xfId="52019"/>
    <cellStyle name="Calculation 5 4 2 5" xfId="52020"/>
    <cellStyle name="Calculation 5 4 2 6" xfId="52021"/>
    <cellStyle name="Calculation 5 4 2 7" xfId="60754"/>
    <cellStyle name="Calculation 5 4 3" xfId="1242"/>
    <cellStyle name="Calculation 5 4 3 2" xfId="1006"/>
    <cellStyle name="Calculation 5 4 3 2 2" xfId="1894"/>
    <cellStyle name="Calculation 5 4 3 2 2 2" xfId="5314"/>
    <cellStyle name="Calculation 5 4 3 2 2 2 2" xfId="12154"/>
    <cellStyle name="Calculation 5 4 3 2 2 3" xfId="8734"/>
    <cellStyle name="Calculation 5 4 3 2 3" xfId="3034"/>
    <cellStyle name="Calculation 5 4 3 2 3 2" xfId="6454"/>
    <cellStyle name="Calculation 5 4 3 2 3 2 2" xfId="13294"/>
    <cellStyle name="Calculation 5 4 3 2 3 3" xfId="9874"/>
    <cellStyle name="Calculation 5 4 3 2 4" xfId="4174"/>
    <cellStyle name="Calculation 5 4 3 2 4 2" xfId="11014"/>
    <cellStyle name="Calculation 5 4 3 2 5" xfId="7594"/>
    <cellStyle name="Calculation 5 4 3 3" xfId="2062"/>
    <cellStyle name="Calculation 5 4 3 3 2" xfId="5482"/>
    <cellStyle name="Calculation 5 4 3 3 2 2" xfId="12322"/>
    <cellStyle name="Calculation 5 4 3 3 3" xfId="8902"/>
    <cellStyle name="Calculation 5 4 3 4" xfId="3202"/>
    <cellStyle name="Calculation 5 4 3 4 2" xfId="6622"/>
    <cellStyle name="Calculation 5 4 3 4 2 2" xfId="13462"/>
    <cellStyle name="Calculation 5 4 3 4 3" xfId="10042"/>
    <cellStyle name="Calculation 5 4 3 5" xfId="4342"/>
    <cellStyle name="Calculation 5 4 3 5 2" xfId="11182"/>
    <cellStyle name="Calculation 5 4 3 6" xfId="7762"/>
    <cellStyle name="Calculation 5 4 4" xfId="38262"/>
    <cellStyle name="Calculation 5 4 5" xfId="52022"/>
    <cellStyle name="Calculation 5 4 6" xfId="52023"/>
    <cellStyle name="Calculation 5 4 7" xfId="52024"/>
    <cellStyle name="Calculation 5 4 8" xfId="60753"/>
    <cellStyle name="Calculation 5 5" xfId="493"/>
    <cellStyle name="Calculation 5 5 2" xfId="190"/>
    <cellStyle name="Calculation 5 5 2 2" xfId="1198"/>
    <cellStyle name="Calculation 5 5 2 2 2" xfId="1840"/>
    <cellStyle name="Calculation 5 5 2 2 2 2" xfId="2980"/>
    <cellStyle name="Calculation 5 5 2 2 2 2 2" xfId="6400"/>
    <cellStyle name="Calculation 5 5 2 2 2 2 2 2" xfId="13240"/>
    <cellStyle name="Calculation 5 5 2 2 2 2 3" xfId="9820"/>
    <cellStyle name="Calculation 5 5 2 2 2 3" xfId="4120"/>
    <cellStyle name="Calculation 5 5 2 2 2 3 2" xfId="7540"/>
    <cellStyle name="Calculation 5 5 2 2 2 3 2 2" xfId="14380"/>
    <cellStyle name="Calculation 5 5 2 2 2 3 3" xfId="10960"/>
    <cellStyle name="Calculation 5 5 2 2 2 4" xfId="5260"/>
    <cellStyle name="Calculation 5 5 2 2 2 4 2" xfId="12100"/>
    <cellStyle name="Calculation 5 5 2 2 2 5" xfId="8680"/>
    <cellStyle name="Calculation 5 5 2 2 3" xfId="2017"/>
    <cellStyle name="Calculation 5 5 2 2 3 2" xfId="5437"/>
    <cellStyle name="Calculation 5 5 2 2 3 2 2" xfId="12277"/>
    <cellStyle name="Calculation 5 5 2 2 3 3" xfId="8857"/>
    <cellStyle name="Calculation 5 5 2 2 4" xfId="3157"/>
    <cellStyle name="Calculation 5 5 2 2 4 2" xfId="6577"/>
    <cellStyle name="Calculation 5 5 2 2 4 2 2" xfId="13417"/>
    <cellStyle name="Calculation 5 5 2 2 4 3" xfId="9997"/>
    <cellStyle name="Calculation 5 5 2 2 5" xfId="4297"/>
    <cellStyle name="Calculation 5 5 2 2 5 2" xfId="11137"/>
    <cellStyle name="Calculation 5 5 2 2 6" xfId="7717"/>
    <cellStyle name="Calculation 5 5 2 3" xfId="38244"/>
    <cellStyle name="Calculation 5 5 2 4" xfId="52025"/>
    <cellStyle name="Calculation 5 5 2 5" xfId="52026"/>
    <cellStyle name="Calculation 5 5 2 6" xfId="52027"/>
    <cellStyle name="Calculation 5 5 2 7" xfId="60756"/>
    <cellStyle name="Calculation 5 5 3" xfId="1497"/>
    <cellStyle name="Calculation 5 5 3 2" xfId="861"/>
    <cellStyle name="Calculation 5 5 3 2 2" xfId="1926"/>
    <cellStyle name="Calculation 5 5 3 2 2 2" xfId="5346"/>
    <cellStyle name="Calculation 5 5 3 2 2 2 2" xfId="12186"/>
    <cellStyle name="Calculation 5 5 3 2 2 3" xfId="8766"/>
    <cellStyle name="Calculation 5 5 3 2 3" xfId="3066"/>
    <cellStyle name="Calculation 5 5 3 2 3 2" xfId="6486"/>
    <cellStyle name="Calculation 5 5 3 2 3 2 2" xfId="13326"/>
    <cellStyle name="Calculation 5 5 3 2 3 3" xfId="9906"/>
    <cellStyle name="Calculation 5 5 3 2 4" xfId="4206"/>
    <cellStyle name="Calculation 5 5 3 2 4 2" xfId="11046"/>
    <cellStyle name="Calculation 5 5 3 2 5" xfId="7626"/>
    <cellStyle name="Calculation 5 5 3 3" xfId="2318"/>
    <cellStyle name="Calculation 5 5 3 3 2" xfId="5738"/>
    <cellStyle name="Calculation 5 5 3 3 2 2" xfId="12578"/>
    <cellStyle name="Calculation 5 5 3 3 3" xfId="9158"/>
    <cellStyle name="Calculation 5 5 3 4" xfId="3458"/>
    <cellStyle name="Calculation 5 5 3 4 2" xfId="6878"/>
    <cellStyle name="Calculation 5 5 3 4 2 2" xfId="13718"/>
    <cellStyle name="Calculation 5 5 3 4 3" xfId="10298"/>
    <cellStyle name="Calculation 5 5 3 5" xfId="4598"/>
    <cellStyle name="Calculation 5 5 3 5 2" xfId="11438"/>
    <cellStyle name="Calculation 5 5 3 6" xfId="8018"/>
    <cellStyle name="Calculation 5 5 4" xfId="38432"/>
    <cellStyle name="Calculation 5 5 5" xfId="52028"/>
    <cellStyle name="Calculation 5 5 6" xfId="52029"/>
    <cellStyle name="Calculation 5 5 7" xfId="52030"/>
    <cellStyle name="Calculation 5 5 8" xfId="60755"/>
    <cellStyle name="Calculation 5 6" xfId="513"/>
    <cellStyle name="Calculation 5 6 2" xfId="428"/>
    <cellStyle name="Calculation 5 6 2 2" xfId="1433"/>
    <cellStyle name="Calculation 5 6 2 2 2" xfId="1715"/>
    <cellStyle name="Calculation 5 6 2 2 2 2" xfId="2855"/>
    <cellStyle name="Calculation 5 6 2 2 2 2 2" xfId="6275"/>
    <cellStyle name="Calculation 5 6 2 2 2 2 2 2" xfId="13115"/>
    <cellStyle name="Calculation 5 6 2 2 2 2 3" xfId="9695"/>
    <cellStyle name="Calculation 5 6 2 2 2 3" xfId="3995"/>
    <cellStyle name="Calculation 5 6 2 2 2 3 2" xfId="7415"/>
    <cellStyle name="Calculation 5 6 2 2 2 3 2 2" xfId="14255"/>
    <cellStyle name="Calculation 5 6 2 2 2 3 3" xfId="10835"/>
    <cellStyle name="Calculation 5 6 2 2 2 4" xfId="5135"/>
    <cellStyle name="Calculation 5 6 2 2 2 4 2" xfId="11975"/>
    <cellStyle name="Calculation 5 6 2 2 2 5" xfId="8555"/>
    <cellStyle name="Calculation 5 6 2 2 3" xfId="2254"/>
    <cellStyle name="Calculation 5 6 2 2 3 2" xfId="5674"/>
    <cellStyle name="Calculation 5 6 2 2 3 2 2" xfId="12514"/>
    <cellStyle name="Calculation 5 6 2 2 3 3" xfId="9094"/>
    <cellStyle name="Calculation 5 6 2 2 4" xfId="3394"/>
    <cellStyle name="Calculation 5 6 2 2 4 2" xfId="6814"/>
    <cellStyle name="Calculation 5 6 2 2 4 2 2" xfId="13654"/>
    <cellStyle name="Calculation 5 6 2 2 4 3" xfId="10234"/>
    <cellStyle name="Calculation 5 6 2 2 5" xfId="4534"/>
    <cellStyle name="Calculation 5 6 2 2 5 2" xfId="11374"/>
    <cellStyle name="Calculation 5 6 2 2 6" xfId="7954"/>
    <cellStyle name="Calculation 5 6 2 3" xfId="38394"/>
    <cellStyle name="Calculation 5 6 2 4" xfId="52031"/>
    <cellStyle name="Calculation 5 6 2 5" xfId="52032"/>
    <cellStyle name="Calculation 5 6 2 6" xfId="52033"/>
    <cellStyle name="Calculation 5 6 2 7" xfId="60758"/>
    <cellStyle name="Calculation 5 6 3" xfId="1517"/>
    <cellStyle name="Calculation 5 6 3 2" xfId="1717"/>
    <cellStyle name="Calculation 5 6 3 2 2" xfId="2857"/>
    <cellStyle name="Calculation 5 6 3 2 2 2" xfId="6277"/>
    <cellStyle name="Calculation 5 6 3 2 2 2 2" xfId="13117"/>
    <cellStyle name="Calculation 5 6 3 2 2 3" xfId="9697"/>
    <cellStyle name="Calculation 5 6 3 2 3" xfId="3997"/>
    <cellStyle name="Calculation 5 6 3 2 3 2" xfId="7417"/>
    <cellStyle name="Calculation 5 6 3 2 3 2 2" xfId="14257"/>
    <cellStyle name="Calculation 5 6 3 2 3 3" xfId="10837"/>
    <cellStyle name="Calculation 5 6 3 2 4" xfId="5137"/>
    <cellStyle name="Calculation 5 6 3 2 4 2" xfId="11977"/>
    <cellStyle name="Calculation 5 6 3 2 5" xfId="8557"/>
    <cellStyle name="Calculation 5 6 3 3" xfId="2338"/>
    <cellStyle name="Calculation 5 6 3 3 2" xfId="5758"/>
    <cellStyle name="Calculation 5 6 3 3 2 2" xfId="12598"/>
    <cellStyle name="Calculation 5 6 3 3 3" xfId="9178"/>
    <cellStyle name="Calculation 5 6 3 4" xfId="3478"/>
    <cellStyle name="Calculation 5 6 3 4 2" xfId="6898"/>
    <cellStyle name="Calculation 5 6 3 4 2 2" xfId="13738"/>
    <cellStyle name="Calculation 5 6 3 4 3" xfId="10318"/>
    <cellStyle name="Calculation 5 6 3 5" xfId="4618"/>
    <cellStyle name="Calculation 5 6 3 5 2" xfId="11458"/>
    <cellStyle name="Calculation 5 6 3 6" xfId="8038"/>
    <cellStyle name="Calculation 5 6 4" xfId="38440"/>
    <cellStyle name="Calculation 5 6 5" xfId="52034"/>
    <cellStyle name="Calculation 5 6 6" xfId="52035"/>
    <cellStyle name="Calculation 5 6 7" xfId="52036"/>
    <cellStyle name="Calculation 5 6 8" xfId="60757"/>
    <cellStyle name="Calculation 5 7" xfId="1119"/>
    <cellStyle name="Calculation 5 7 2" xfId="1066"/>
    <cellStyle name="Calculation 5 7 2 2" xfId="2671"/>
    <cellStyle name="Calculation 5 7 2 2 2" xfId="6091"/>
    <cellStyle name="Calculation 5 7 2 2 2 2" xfId="12931"/>
    <cellStyle name="Calculation 5 7 2 2 3" xfId="9511"/>
    <cellStyle name="Calculation 5 7 2 3" xfId="3811"/>
    <cellStyle name="Calculation 5 7 2 3 2" xfId="7231"/>
    <cellStyle name="Calculation 5 7 2 3 2 2" xfId="14071"/>
    <cellStyle name="Calculation 5 7 2 3 3" xfId="10651"/>
    <cellStyle name="Calculation 5 7 2 4" xfId="4951"/>
    <cellStyle name="Calculation 5 7 2 4 2" xfId="11791"/>
    <cellStyle name="Calculation 5 7 2 5" xfId="8371"/>
    <cellStyle name="Calculation 5 7 3" xfId="1933"/>
    <cellStyle name="Calculation 5 7 3 2" xfId="5353"/>
    <cellStyle name="Calculation 5 7 3 2 2" xfId="12193"/>
    <cellStyle name="Calculation 5 7 3 3" xfId="8773"/>
    <cellStyle name="Calculation 5 7 4" xfId="3073"/>
    <cellStyle name="Calculation 5 7 4 2" xfId="6493"/>
    <cellStyle name="Calculation 5 7 4 2 2" xfId="13333"/>
    <cellStyle name="Calculation 5 7 4 3" xfId="9913"/>
    <cellStyle name="Calculation 5 7 5" xfId="4213"/>
    <cellStyle name="Calculation 5 7 5 2" xfId="11053"/>
    <cellStyle name="Calculation 5 7 6" xfId="7633"/>
    <cellStyle name="Calculation 5 8" xfId="38196"/>
    <cellStyle name="Calculation 5 9" xfId="52037"/>
    <cellStyle name="Calculation 6" xfId="52038"/>
    <cellStyle name="Calculation 6 2" xfId="52039"/>
    <cellStyle name="Calculation 6 3" xfId="52040"/>
    <cellStyle name="Calculation 7" xfId="52041"/>
    <cellStyle name="Calculation 8" xfId="52042"/>
    <cellStyle name="Calculation 9" xfId="52043"/>
    <cellStyle name="Caption" xfId="52044"/>
    <cellStyle name="Caption 2" xfId="52045"/>
    <cellStyle name="Caption 2 2" xfId="52046"/>
    <cellStyle name="Caption 3" xfId="52047"/>
    <cellStyle name="Check" xfId="52048"/>
    <cellStyle name="Check Cell 2" xfId="31"/>
    <cellStyle name="Check Cell 3" xfId="627"/>
    <cellStyle name="CodeHeading" xfId="52049"/>
    <cellStyle name="CodeHeading 2" xfId="52050"/>
    <cellStyle name="CodeHeading 3" xfId="52051"/>
    <cellStyle name="CodeHeading_20100721_4YearDispo_with PCTadmin to HMT" xfId="52052"/>
    <cellStyle name="Col_Top_Wrap" xfId="52053"/>
    <cellStyle name="ColHeader" xfId="52054"/>
    <cellStyle name="ColHeader 2" xfId="52055"/>
    <cellStyle name="ColHeader 2 2" xfId="52056"/>
    <cellStyle name="ColHeader 3" xfId="52057"/>
    <cellStyle name="Comma" xfId="46" builtinId="3"/>
    <cellStyle name="Comma 10" xfId="52058"/>
    <cellStyle name="Comma 10 2" xfId="52059"/>
    <cellStyle name="Comma 10 3" xfId="52060"/>
    <cellStyle name="Comma 11" xfId="52061"/>
    <cellStyle name="Comma 11 2" xfId="52062"/>
    <cellStyle name="Comma 11 3" xfId="52063"/>
    <cellStyle name="Comma 12" xfId="52064"/>
    <cellStyle name="Comma 13" xfId="52065"/>
    <cellStyle name="Comma 14" xfId="52066"/>
    <cellStyle name="Comma 15" xfId="52067"/>
    <cellStyle name="Comma 2" xfId="47"/>
    <cellStyle name="Comma 2 2" xfId="60"/>
    <cellStyle name="Comma 2 2 2" xfId="92"/>
    <cellStyle name="Comma 2 2 2 2" xfId="52068"/>
    <cellStyle name="Comma 2 2 2 2 2" xfId="52069"/>
    <cellStyle name="Comma 2 2 2 3" xfId="52070"/>
    <cellStyle name="Comma 2 2 2 3 2" xfId="52071"/>
    <cellStyle name="Comma 2 2 2 4" xfId="52072"/>
    <cellStyle name="Comma 2 2 3" xfId="83"/>
    <cellStyle name="Comma 2 2 3 2" xfId="52073"/>
    <cellStyle name="Comma 2 2 3 3" xfId="52074"/>
    <cellStyle name="Comma 2 2 3 4" xfId="52075"/>
    <cellStyle name="Comma 2 2 4" xfId="52076"/>
    <cellStyle name="Comma 2 2 4 2" xfId="52077"/>
    <cellStyle name="Comma 2 2 5" xfId="52078"/>
    <cellStyle name="Comma 2 2 6" xfId="52079"/>
    <cellStyle name="Comma 2 3" xfId="86"/>
    <cellStyle name="Comma 2 3 2" xfId="52080"/>
    <cellStyle name="Comma 2 3 3" xfId="52081"/>
    <cellStyle name="Comma 2 3 4" xfId="52082"/>
    <cellStyle name="Comma 2 4" xfId="567"/>
    <cellStyle name="Comma 2 4 2" xfId="52083"/>
    <cellStyle name="Comma 2 4 3" xfId="52084"/>
    <cellStyle name="Comma 2 4 4" xfId="52085"/>
    <cellStyle name="Comma 2 5" xfId="719"/>
    <cellStyle name="Comma 2 5 2" xfId="52086"/>
    <cellStyle name="Comma 2 6" xfId="742"/>
    <cellStyle name="Comma 2 6 2" xfId="52087"/>
    <cellStyle name="Comma 2 7" xfId="52088"/>
    <cellStyle name="Comma 3" xfId="49"/>
    <cellStyle name="Comma 3 2" xfId="721"/>
    <cellStyle name="Comma 3 2 2" xfId="52089"/>
    <cellStyle name="Comma 3 2 2 2" xfId="52090"/>
    <cellStyle name="Comma 3 2 2 2 2" xfId="52091"/>
    <cellStyle name="Comma 3 2 2 2 3" xfId="52092"/>
    <cellStyle name="Comma 3 2 2 3" xfId="52093"/>
    <cellStyle name="Comma 3 2 2 4" xfId="52094"/>
    <cellStyle name="Comma 3 2 3" xfId="52095"/>
    <cellStyle name="Comma 3 2 3 2" xfId="52096"/>
    <cellStyle name="Comma 3 2 3 3" xfId="52097"/>
    <cellStyle name="Comma 3 2 4" xfId="52098"/>
    <cellStyle name="Comma 3 2 4 2" xfId="52099"/>
    <cellStyle name="Comma 3 2 4 3" xfId="52100"/>
    <cellStyle name="Comma 3 2 5" xfId="52101"/>
    <cellStyle name="Comma 3 2 6" xfId="52102"/>
    <cellStyle name="Comma 3 2 7" xfId="52103"/>
    <cellStyle name="Comma 3 3" xfId="741"/>
    <cellStyle name="Comma 3 3 2" xfId="52104"/>
    <cellStyle name="Comma 3 3 2 2" xfId="52105"/>
    <cellStyle name="Comma 3 3 2 2 2" xfId="52106"/>
    <cellStyle name="Comma 3 3 2 2 3" xfId="52107"/>
    <cellStyle name="Comma 3 3 2 3" xfId="52108"/>
    <cellStyle name="Comma 3 3 2 4" xfId="52109"/>
    <cellStyle name="Comma 3 3 3" xfId="52110"/>
    <cellStyle name="Comma 3 3 3 2" xfId="52111"/>
    <cellStyle name="Comma 3 3 3 3" xfId="52112"/>
    <cellStyle name="Comma 3 3 4" xfId="52113"/>
    <cellStyle name="Comma 3 3 5" xfId="52114"/>
    <cellStyle name="Comma 3 4" xfId="15012"/>
    <cellStyle name="Comma 3 4 2" xfId="52115"/>
    <cellStyle name="Comma 3 4 2 2" xfId="52116"/>
    <cellStyle name="Comma 3 4 2 3" xfId="52117"/>
    <cellStyle name="Comma 3 4 3" xfId="52118"/>
    <cellStyle name="Comma 3 4 4" xfId="52119"/>
    <cellStyle name="Comma 3 5" xfId="52120"/>
    <cellStyle name="Comma 3 5 2" xfId="52121"/>
    <cellStyle name="Comma 3 5 3" xfId="52122"/>
    <cellStyle name="Comma 3 6" xfId="52123"/>
    <cellStyle name="Comma 3 6 2" xfId="52124"/>
    <cellStyle name="Comma 3 6 3" xfId="52125"/>
    <cellStyle name="Comma 4" xfId="76"/>
    <cellStyle name="Comma 4 2" xfId="89"/>
    <cellStyle name="Comma 4 2 2" xfId="52126"/>
    <cellStyle name="Comma 4 2 2 2" xfId="52127"/>
    <cellStyle name="Comma 4 2 2 2 2" xfId="52128"/>
    <cellStyle name="Comma 4 2 2 2 3" xfId="52129"/>
    <cellStyle name="Comma 4 2 2 3" xfId="52130"/>
    <cellStyle name="Comma 4 2 2 4" xfId="52131"/>
    <cellStyle name="Comma 4 2 2 5" xfId="52132"/>
    <cellStyle name="Comma 4 2 3" xfId="52133"/>
    <cellStyle name="Comma 4 2 3 2" xfId="52134"/>
    <cellStyle name="Comma 4 2 3 3" xfId="52135"/>
    <cellStyle name="Comma 4 2 3 4" xfId="52136"/>
    <cellStyle name="Comma 4 2 4" xfId="52137"/>
    <cellStyle name="Comma 4 2 4 2" xfId="52138"/>
    <cellStyle name="Comma 4 2 4 3" xfId="52139"/>
    <cellStyle name="Comma 4 2 5" xfId="52140"/>
    <cellStyle name="Comma 4 2 6" xfId="52141"/>
    <cellStyle name="Comma 4 2 7" xfId="52142"/>
    <cellStyle name="Comma 4 3" xfId="52143"/>
    <cellStyle name="Comma 4 3 2" xfId="52144"/>
    <cellStyle name="Comma 4 3 2 2" xfId="52145"/>
    <cellStyle name="Comma 4 3 2 2 2" xfId="52146"/>
    <cellStyle name="Comma 4 3 2 2 3" xfId="52147"/>
    <cellStyle name="Comma 4 3 2 3" xfId="52148"/>
    <cellStyle name="Comma 4 3 2 4" xfId="52149"/>
    <cellStyle name="Comma 4 3 3" xfId="52150"/>
    <cellStyle name="Comma 4 3 3 2" xfId="52151"/>
    <cellStyle name="Comma 4 3 3 3" xfId="52152"/>
    <cellStyle name="Comma 4 3 4" xfId="52153"/>
    <cellStyle name="Comma 4 3 5" xfId="52154"/>
    <cellStyle name="Comma 4 3 6" xfId="52155"/>
    <cellStyle name="Comma 4 4" xfId="52156"/>
    <cellStyle name="Comma 4 4 2" xfId="52157"/>
    <cellStyle name="Comma 4 4 2 2" xfId="52158"/>
    <cellStyle name="Comma 4 4 2 3" xfId="52159"/>
    <cellStyle name="Comma 4 4 3" xfId="52160"/>
    <cellStyle name="Comma 4 4 4" xfId="52161"/>
    <cellStyle name="Comma 4 4 5" xfId="52162"/>
    <cellStyle name="Comma 4 5" xfId="52163"/>
    <cellStyle name="Comma 4 5 2" xfId="52164"/>
    <cellStyle name="Comma 4 5 3" xfId="52165"/>
    <cellStyle name="Comma 4 6" xfId="52166"/>
    <cellStyle name="Comma 4 6 2" xfId="52167"/>
    <cellStyle name="Comma 4 6 3" xfId="52168"/>
    <cellStyle name="Comma 4 7" xfId="52169"/>
    <cellStyle name="Comma 5" xfId="82"/>
    <cellStyle name="Comma 5 2" xfId="91"/>
    <cellStyle name="Comma 5 2 2" xfId="52170"/>
    <cellStyle name="Comma 5 2 3" xfId="52171"/>
    <cellStyle name="Comma 5 2 4" xfId="52172"/>
    <cellStyle name="Comma 5 3" xfId="52173"/>
    <cellStyle name="Comma 5 4" xfId="52174"/>
    <cellStyle name="Comma 5 5" xfId="52175"/>
    <cellStyle name="Comma 6" xfId="97"/>
    <cellStyle name="Comma 6 2" xfId="52176"/>
    <cellStyle name="Comma 6 2 2" xfId="52177"/>
    <cellStyle name="Comma 6 2 2 2" xfId="52178"/>
    <cellStyle name="Comma 6 2 2 3" xfId="52179"/>
    <cellStyle name="Comma 6 2 3" xfId="52180"/>
    <cellStyle name="Comma 6 2 4" xfId="52181"/>
    <cellStyle name="Comma 6 2 5" xfId="52182"/>
    <cellStyle name="Comma 6 3" xfId="52183"/>
    <cellStyle name="Comma 6 3 2" xfId="52184"/>
    <cellStyle name="Comma 6 3 3" xfId="52185"/>
    <cellStyle name="Comma 6 3 4" xfId="52186"/>
    <cellStyle name="Comma 6 4" xfId="52187"/>
    <cellStyle name="Comma 6 4 2" xfId="52188"/>
    <cellStyle name="Comma 6 4 3" xfId="52189"/>
    <cellStyle name="Comma 6 5" xfId="52190"/>
    <cellStyle name="Comma 7" xfId="52191"/>
    <cellStyle name="Comma 7 2" xfId="52192"/>
    <cellStyle name="Comma 7 2 2" xfId="52193"/>
    <cellStyle name="Comma 7 2 2 2" xfId="52194"/>
    <cellStyle name="Comma 7 2 2 3" xfId="52195"/>
    <cellStyle name="Comma 7 2 3" xfId="52196"/>
    <cellStyle name="Comma 7 2 4" xfId="52197"/>
    <cellStyle name="Comma 7 3" xfId="52198"/>
    <cellStyle name="Comma 7 3 2" xfId="52199"/>
    <cellStyle name="Comma 7 3 3" xfId="52200"/>
    <cellStyle name="Comma 7 4" xfId="52201"/>
    <cellStyle name="Comma 8" xfId="52202"/>
    <cellStyle name="Comma 8 2" xfId="52203"/>
    <cellStyle name="Comma 8 2 2" xfId="52204"/>
    <cellStyle name="Comma 8 2 3" xfId="52205"/>
    <cellStyle name="Comma 8 3" xfId="52206"/>
    <cellStyle name="Comma 8 4" xfId="52207"/>
    <cellStyle name="Comma 8 5" xfId="52208"/>
    <cellStyle name="Comma 9" xfId="52209"/>
    <cellStyle name="Comma 9 2" xfId="52210"/>
    <cellStyle name="Comma 9 3" xfId="52211"/>
    <cellStyle name="CoverTextNotes" xfId="52212"/>
    <cellStyle name="CoverTextNotes 2" xfId="52213"/>
    <cellStyle name="Currency 2" xfId="50"/>
    <cellStyle name="Currency 2 2" xfId="722"/>
    <cellStyle name="Currency 2 2 2" xfId="14477"/>
    <cellStyle name="Currency 2 2 3" xfId="52214"/>
    <cellStyle name="Currency 2 3" xfId="740"/>
    <cellStyle name="Currency 2 4" xfId="52215"/>
    <cellStyle name="Currency 3" xfId="720"/>
    <cellStyle name="Currency 3 2" xfId="52216"/>
    <cellStyle name="Currency 3 3" xfId="52217"/>
    <cellStyle name="Currency 4" xfId="52218"/>
    <cellStyle name="Currency 4 2" xfId="52219"/>
    <cellStyle name="Currency 5" xfId="52220"/>
    <cellStyle name="DATA Amount" xfId="14478"/>
    <cellStyle name="DATA Amount [1]" xfId="14479"/>
    <cellStyle name="DATA Amount [2]" xfId="14480"/>
    <cellStyle name="DATA Currency" xfId="14481"/>
    <cellStyle name="DATA Currency [1]" xfId="14482"/>
    <cellStyle name="DATA Currency [2]" xfId="14483"/>
    <cellStyle name="DATA Date Long" xfId="14484"/>
    <cellStyle name="DATA Date Short" xfId="14485"/>
    <cellStyle name="DATA List" xfId="14486"/>
    <cellStyle name="DATA Memo" xfId="14487"/>
    <cellStyle name="DATA Percent" xfId="14488"/>
    <cellStyle name="DATA Percent [1]" xfId="14489"/>
    <cellStyle name="DATA Percent [2]" xfId="14490"/>
    <cellStyle name="DATA Text" xfId="14491"/>
    <cellStyle name="DATA Version" xfId="14492"/>
    <cellStyle name="DataEntry" xfId="52221"/>
    <cellStyle name="DataEntry 2" xfId="52222"/>
    <cellStyle name="DataEntry 2 2" xfId="52223"/>
    <cellStyle name="DataEntry 3" xfId="52224"/>
    <cellStyle name="Date Feeder Field" xfId="52225"/>
    <cellStyle name="Date Feeder Field 2" xfId="52226"/>
    <cellStyle name="Date Feeder Field 2 2" xfId="52227"/>
    <cellStyle name="Date Feeder Field 2 3" xfId="52228"/>
    <cellStyle name="Date Feeder Field 3" xfId="52229"/>
    <cellStyle name="Date Feeder Field 4" xfId="52230"/>
    <cellStyle name="Decimal_0dp" xfId="52231"/>
    <cellStyle name="DHOnlyNoteItem" xfId="52232"/>
    <cellStyle name="direct user entry" xfId="52233"/>
    <cellStyle name="direct user entry 2" xfId="52234"/>
    <cellStyle name="Estimated historic data" xfId="52235"/>
    <cellStyle name="Estimated historic data 2" xfId="52236"/>
    <cellStyle name="Euro" xfId="52237"/>
    <cellStyle name="Exception" xfId="52238"/>
    <cellStyle name="Explanation" xfId="52239"/>
    <cellStyle name="Explanatory Text 2" xfId="32"/>
    <cellStyle name="Explanatory Text 3" xfId="645"/>
    <cellStyle name="EYCheck" xfId="52240"/>
    <cellStyle name="EYDate" xfId="52241"/>
    <cellStyle name="EYHeader1" xfId="52242"/>
    <cellStyle name="EYHeader1 2" xfId="52243"/>
    <cellStyle name="EYHeader1 2 2" xfId="52244"/>
    <cellStyle name="EYHeader1 3" xfId="52245"/>
    <cellStyle name="EYHeader2" xfId="52246"/>
    <cellStyle name="EYInputValue" xfId="52247"/>
    <cellStyle name="EYPercent" xfId="52248"/>
    <cellStyle name="Feeder Field" xfId="52249"/>
    <cellStyle name="Feeder Field 2" xfId="52250"/>
    <cellStyle name="Feeder Field 2 2" xfId="52251"/>
    <cellStyle name="Feeder Field 2 3" xfId="52252"/>
    <cellStyle name="Feeder Field 3" xfId="52253"/>
    <cellStyle name="Feeder Field 4" xfId="52254"/>
    <cellStyle name="Finance" xfId="52255"/>
    <cellStyle name="Finance 2" xfId="52256"/>
    <cellStyle name="Forecast Cell Column Heading" xfId="52257"/>
    <cellStyle name="Formla" xfId="52258"/>
    <cellStyle name="Formla 2" xfId="52259"/>
    <cellStyle name="Formla 2 2" xfId="52260"/>
    <cellStyle name="Formla 3" xfId="52261"/>
    <cellStyle name="FormlaBold" xfId="52262"/>
    <cellStyle name="FormlaBold 2" xfId="52263"/>
    <cellStyle name="FormlaBold 2 2" xfId="52264"/>
    <cellStyle name="FormlaBold 3" xfId="52265"/>
    <cellStyle name="FrmulaBldRed" xfId="52266"/>
    <cellStyle name="FrmulaBldRed 2" xfId="52267"/>
    <cellStyle name="FrmulaBldRed 2 2" xfId="52268"/>
    <cellStyle name="FrmulaBldRed 3" xfId="52269"/>
    <cellStyle name="Good 2" xfId="33"/>
    <cellStyle name="Good 3" xfId="632"/>
    <cellStyle name="Greyed" xfId="52270"/>
    <cellStyle name="Greyed 2" xfId="52271"/>
    <cellStyle name="Greyed 3" xfId="52272"/>
    <cellStyle name="Greyed out" xfId="52273"/>
    <cellStyle name="Greyed_20100721_4YearDispo_with PCTadmin to HMT" xfId="52274"/>
    <cellStyle name="H1" xfId="52275"/>
    <cellStyle name="H2" xfId="52276"/>
    <cellStyle name="H3" xfId="52277"/>
    <cellStyle name="H3Bold" xfId="52278"/>
    <cellStyle name="hard no." xfId="52279"/>
    <cellStyle name="hard no. 2" xfId="52280"/>
    <cellStyle name="hard no. 2 2" xfId="52281"/>
    <cellStyle name="hard no. 3" xfId="52282"/>
    <cellStyle name="Heading 1 2" xfId="34"/>
    <cellStyle name="Heading 1 2 3" xfId="52283"/>
    <cellStyle name="Heading 1 3" xfId="631"/>
    <cellStyle name="Heading 2 2" xfId="35"/>
    <cellStyle name="Heading 2 3" xfId="630"/>
    <cellStyle name="Heading 3 2" xfId="36"/>
    <cellStyle name="Heading 3 2 10" xfId="15543"/>
    <cellStyle name="Heading 3 2 10 2" xfId="52284"/>
    <cellStyle name="Heading 3 2 10 2 2" xfId="52285"/>
    <cellStyle name="Heading 3 2 10 3" xfId="52286"/>
    <cellStyle name="Heading 3 2 11" xfId="21231"/>
    <cellStyle name="Heading 3 2 11 2" xfId="52287"/>
    <cellStyle name="Heading 3 2 11 2 2" xfId="52288"/>
    <cellStyle name="Heading 3 2 11 3" xfId="52289"/>
    <cellStyle name="Heading 3 2 12" xfId="21310"/>
    <cellStyle name="Heading 3 2 12 2" xfId="52290"/>
    <cellStyle name="Heading 3 2 12 2 2" xfId="52291"/>
    <cellStyle name="Heading 3 2 12 3" xfId="52292"/>
    <cellStyle name="Heading 3 2 13" xfId="14494"/>
    <cellStyle name="Heading 3 2 2" xfId="95"/>
    <cellStyle name="Heading 3 2 2 10" xfId="15565"/>
    <cellStyle name="Heading 3 2 2 10 2" xfId="52293"/>
    <cellStyle name="Heading 3 2 2 10 2 2" xfId="52294"/>
    <cellStyle name="Heading 3 2 2 10 3" xfId="52295"/>
    <cellStyle name="Heading 3 2 2 11" xfId="14495"/>
    <cellStyle name="Heading 3 2 2 2" xfId="14615"/>
    <cellStyle name="Heading 3 2 2 2 2" xfId="15695"/>
    <cellStyle name="Heading 3 2 2 2 2 2" xfId="52296"/>
    <cellStyle name="Heading 3 2 2 2 2 2 2" xfId="52297"/>
    <cellStyle name="Heading 3 2 2 2 2 3" xfId="52298"/>
    <cellStyle name="Heading 3 2 2 2 3" xfId="16662"/>
    <cellStyle name="Heading 3 2 2 2 3 2" xfId="52299"/>
    <cellStyle name="Heading 3 2 2 2 3 2 2" xfId="52300"/>
    <cellStyle name="Heading 3 2 2 2 3 3" xfId="52301"/>
    <cellStyle name="Heading 3 2 2 2 4" xfId="17684"/>
    <cellStyle name="Heading 3 2 2 2 4 2" xfId="52302"/>
    <cellStyle name="Heading 3 2 2 2 4 2 2" xfId="52303"/>
    <cellStyle name="Heading 3 2 2 2 4 3" xfId="52304"/>
    <cellStyle name="Heading 3 2 2 2 5" xfId="20593"/>
    <cellStyle name="Heading 3 2 2 2 5 2" xfId="52305"/>
    <cellStyle name="Heading 3 2 2 2 5 2 2" xfId="52306"/>
    <cellStyle name="Heading 3 2 2 2 5 3" xfId="52307"/>
    <cellStyle name="Heading 3 2 2 2 6" xfId="21333"/>
    <cellStyle name="Heading 3 2 2 2 6 2" xfId="52308"/>
    <cellStyle name="Heading 3 2 2 2 6 2 2" xfId="52309"/>
    <cellStyle name="Heading 3 2 2 2 6 3" xfId="52310"/>
    <cellStyle name="Heading 3 2 2 2 7" xfId="22030"/>
    <cellStyle name="Heading 3 2 2 2 7 2" xfId="52311"/>
    <cellStyle name="Heading 3 2 2 3" xfId="14793"/>
    <cellStyle name="Heading 3 2 2 3 2" xfId="15874"/>
    <cellStyle name="Heading 3 2 2 3 2 2" xfId="52312"/>
    <cellStyle name="Heading 3 2 2 3 2 2 2" xfId="52313"/>
    <cellStyle name="Heading 3 2 2 3 2 3" xfId="52314"/>
    <cellStyle name="Heading 3 2 2 3 3" xfId="16840"/>
    <cellStyle name="Heading 3 2 2 3 3 2" xfId="52315"/>
    <cellStyle name="Heading 3 2 2 3 3 2 2" xfId="52316"/>
    <cellStyle name="Heading 3 2 2 3 3 3" xfId="52317"/>
    <cellStyle name="Heading 3 2 2 3 4" xfId="17867"/>
    <cellStyle name="Heading 3 2 2 3 4 2" xfId="52318"/>
    <cellStyle name="Heading 3 2 2 3 4 2 2" xfId="52319"/>
    <cellStyle name="Heading 3 2 2 3 4 3" xfId="52320"/>
    <cellStyle name="Heading 3 2 2 3 5" xfId="20777"/>
    <cellStyle name="Heading 3 2 2 3 5 2" xfId="52321"/>
    <cellStyle name="Heading 3 2 2 3 5 2 2" xfId="52322"/>
    <cellStyle name="Heading 3 2 2 3 5 3" xfId="52323"/>
    <cellStyle name="Heading 3 2 2 3 6" xfId="21260"/>
    <cellStyle name="Heading 3 2 2 3 6 2" xfId="52324"/>
    <cellStyle name="Heading 3 2 2 3 6 2 2" xfId="52325"/>
    <cellStyle name="Heading 3 2 2 3 6 3" xfId="52326"/>
    <cellStyle name="Heading 3 2 2 3 7" xfId="22213"/>
    <cellStyle name="Heading 3 2 2 3 7 2" xfId="52327"/>
    <cellStyle name="Heading 3 2 2 4" xfId="14954"/>
    <cellStyle name="Heading 3 2 2 4 2" xfId="16035"/>
    <cellStyle name="Heading 3 2 2 4 2 2" xfId="52328"/>
    <cellStyle name="Heading 3 2 2 4 2 2 2" xfId="52329"/>
    <cellStyle name="Heading 3 2 2 4 2 3" xfId="52330"/>
    <cellStyle name="Heading 3 2 2 4 3" xfId="17001"/>
    <cellStyle name="Heading 3 2 2 4 3 2" xfId="52331"/>
    <cellStyle name="Heading 3 2 2 4 3 2 2" xfId="52332"/>
    <cellStyle name="Heading 3 2 2 4 3 3" xfId="52333"/>
    <cellStyle name="Heading 3 2 2 4 4" xfId="18028"/>
    <cellStyle name="Heading 3 2 2 4 4 2" xfId="52334"/>
    <cellStyle name="Heading 3 2 2 4 4 2 2" xfId="52335"/>
    <cellStyle name="Heading 3 2 2 4 4 3" xfId="52336"/>
    <cellStyle name="Heading 3 2 2 4 5" xfId="20938"/>
    <cellStyle name="Heading 3 2 2 4 5 2" xfId="52337"/>
    <cellStyle name="Heading 3 2 2 4 5 2 2" xfId="52338"/>
    <cellStyle name="Heading 3 2 2 4 5 3" xfId="52339"/>
    <cellStyle name="Heading 3 2 2 4 6" xfId="21445"/>
    <cellStyle name="Heading 3 2 2 4 6 2" xfId="52340"/>
    <cellStyle name="Heading 3 2 2 4 6 2 2" xfId="52341"/>
    <cellStyle name="Heading 3 2 2 4 6 3" xfId="52342"/>
    <cellStyle name="Heading 3 2 2 4 7" xfId="22373"/>
    <cellStyle name="Heading 3 2 2 4 7 2" xfId="52343"/>
    <cellStyle name="Heading 3 2 2 5" xfId="15554"/>
    <cellStyle name="Heading 3 2 2 5 2" xfId="52344"/>
    <cellStyle name="Heading 3 2 2 5 2 2" xfId="52345"/>
    <cellStyle name="Heading 3 2 2 5 3" xfId="52346"/>
    <cellStyle name="Heading 3 2 2 6" xfId="15518"/>
    <cellStyle name="Heading 3 2 2 6 2" xfId="52347"/>
    <cellStyle name="Heading 3 2 2 6 2 2" xfId="52348"/>
    <cellStyle name="Heading 3 2 2 6 3" xfId="52349"/>
    <cellStyle name="Heading 3 2 2 7" xfId="17538"/>
    <cellStyle name="Heading 3 2 2 7 2" xfId="52350"/>
    <cellStyle name="Heading 3 2 2 7 2 2" xfId="52351"/>
    <cellStyle name="Heading 3 2 2 7 3" xfId="52352"/>
    <cellStyle name="Heading 3 2 2 8" xfId="17566"/>
    <cellStyle name="Heading 3 2 2 8 2" xfId="52353"/>
    <cellStyle name="Heading 3 2 2 8 2 2" xfId="52354"/>
    <cellStyle name="Heading 3 2 2 8 3" xfId="52355"/>
    <cellStyle name="Heading 3 2 2 9" xfId="21209"/>
    <cellStyle name="Heading 3 2 2 9 2" xfId="52356"/>
    <cellStyle name="Heading 3 2 2 9 2 2" xfId="52357"/>
    <cellStyle name="Heading 3 2 2 9 3" xfId="52358"/>
    <cellStyle name="Heading 3 2 3" xfId="14567"/>
    <cellStyle name="Heading 3 2 3 2" xfId="15646"/>
    <cellStyle name="Heading 3 2 3 2 2" xfId="52359"/>
    <cellStyle name="Heading 3 2 3 2 2 2" xfId="52360"/>
    <cellStyle name="Heading 3 2 3 2 3" xfId="52361"/>
    <cellStyle name="Heading 3 2 3 3" xfId="16613"/>
    <cellStyle name="Heading 3 2 3 3 2" xfId="52362"/>
    <cellStyle name="Heading 3 2 3 3 2 2" xfId="52363"/>
    <cellStyle name="Heading 3 2 3 3 3" xfId="52364"/>
    <cellStyle name="Heading 3 2 3 4" xfId="17633"/>
    <cellStyle name="Heading 3 2 3 4 2" xfId="52365"/>
    <cellStyle name="Heading 3 2 3 4 2 2" xfId="52366"/>
    <cellStyle name="Heading 3 2 3 4 3" xfId="52367"/>
    <cellStyle name="Heading 3 2 3 5" xfId="20541"/>
    <cellStyle name="Heading 3 2 3 5 2" xfId="52368"/>
    <cellStyle name="Heading 3 2 3 5 2 2" xfId="52369"/>
    <cellStyle name="Heading 3 2 3 5 3" xfId="52370"/>
    <cellStyle name="Heading 3 2 3 6" xfId="21108"/>
    <cellStyle name="Heading 3 2 3 6 2" xfId="52371"/>
    <cellStyle name="Heading 3 2 3 6 2 2" xfId="52372"/>
    <cellStyle name="Heading 3 2 3 6 3" xfId="52373"/>
    <cellStyle name="Heading 3 2 3 7" xfId="21976"/>
    <cellStyle name="Heading 3 2 3 7 2" xfId="52374"/>
    <cellStyle name="Heading 3 2 4" xfId="14588"/>
    <cellStyle name="Heading 3 2 4 2" xfId="15668"/>
    <cellStyle name="Heading 3 2 4 2 2" xfId="52375"/>
    <cellStyle name="Heading 3 2 4 2 2 2" xfId="52376"/>
    <cellStyle name="Heading 3 2 4 2 3" xfId="52377"/>
    <cellStyle name="Heading 3 2 4 3" xfId="16635"/>
    <cellStyle name="Heading 3 2 4 3 2" xfId="52378"/>
    <cellStyle name="Heading 3 2 4 3 2 2" xfId="52379"/>
    <cellStyle name="Heading 3 2 4 3 3" xfId="52380"/>
    <cellStyle name="Heading 3 2 4 4" xfId="17656"/>
    <cellStyle name="Heading 3 2 4 4 2" xfId="52381"/>
    <cellStyle name="Heading 3 2 4 4 2 2" xfId="52382"/>
    <cellStyle name="Heading 3 2 4 4 3" xfId="52383"/>
    <cellStyle name="Heading 3 2 4 5" xfId="20565"/>
    <cellStyle name="Heading 3 2 4 5 2" xfId="52384"/>
    <cellStyle name="Heading 3 2 4 5 2 2" xfId="52385"/>
    <cellStyle name="Heading 3 2 4 5 3" xfId="52386"/>
    <cellStyle name="Heading 3 2 4 6" xfId="21140"/>
    <cellStyle name="Heading 3 2 4 6 2" xfId="52387"/>
    <cellStyle name="Heading 3 2 4 6 2 2" xfId="52388"/>
    <cellStyle name="Heading 3 2 4 6 3" xfId="52389"/>
    <cellStyle name="Heading 3 2 4 7" xfId="22001"/>
    <cellStyle name="Heading 3 2 4 7 2" xfId="52390"/>
    <cellStyle name="Heading 3 2 5" xfId="14831"/>
    <cellStyle name="Heading 3 2 5 2" xfId="15912"/>
    <cellStyle name="Heading 3 2 5 2 2" xfId="52391"/>
    <cellStyle name="Heading 3 2 5 2 2 2" xfId="52392"/>
    <cellStyle name="Heading 3 2 5 2 3" xfId="52393"/>
    <cellStyle name="Heading 3 2 5 3" xfId="16878"/>
    <cellStyle name="Heading 3 2 5 3 2" xfId="52394"/>
    <cellStyle name="Heading 3 2 5 3 2 2" xfId="52395"/>
    <cellStyle name="Heading 3 2 5 3 3" xfId="52396"/>
    <cellStyle name="Heading 3 2 5 4" xfId="17905"/>
    <cellStyle name="Heading 3 2 5 4 2" xfId="52397"/>
    <cellStyle name="Heading 3 2 5 4 2 2" xfId="52398"/>
    <cellStyle name="Heading 3 2 5 4 3" xfId="52399"/>
    <cellStyle name="Heading 3 2 5 5" xfId="20815"/>
    <cellStyle name="Heading 3 2 5 5 2" xfId="52400"/>
    <cellStyle name="Heading 3 2 5 5 2 2" xfId="52401"/>
    <cellStyle name="Heading 3 2 5 5 3" xfId="52402"/>
    <cellStyle name="Heading 3 2 5 6" xfId="21279"/>
    <cellStyle name="Heading 3 2 5 6 2" xfId="52403"/>
    <cellStyle name="Heading 3 2 5 6 2 2" xfId="52404"/>
    <cellStyle name="Heading 3 2 5 6 3" xfId="52405"/>
    <cellStyle name="Heading 3 2 5 7" xfId="22250"/>
    <cellStyle name="Heading 3 2 5 7 2" xfId="52406"/>
    <cellStyle name="Heading 3 2 6" xfId="14961"/>
    <cellStyle name="Heading 3 2 6 2" xfId="16042"/>
    <cellStyle name="Heading 3 2 6 2 2" xfId="52407"/>
    <cellStyle name="Heading 3 2 6 2 2 2" xfId="52408"/>
    <cellStyle name="Heading 3 2 6 2 3" xfId="52409"/>
    <cellStyle name="Heading 3 2 6 3" xfId="17008"/>
    <cellStyle name="Heading 3 2 6 3 2" xfId="52410"/>
    <cellStyle name="Heading 3 2 6 3 2 2" xfId="52411"/>
    <cellStyle name="Heading 3 2 6 3 3" xfId="52412"/>
    <cellStyle name="Heading 3 2 6 4" xfId="18035"/>
    <cellStyle name="Heading 3 2 6 4 2" xfId="52413"/>
    <cellStyle name="Heading 3 2 6 4 2 2" xfId="52414"/>
    <cellStyle name="Heading 3 2 6 4 3" xfId="52415"/>
    <cellStyle name="Heading 3 2 6 5" xfId="20945"/>
    <cellStyle name="Heading 3 2 6 5 2" xfId="52416"/>
    <cellStyle name="Heading 3 2 6 5 2 2" xfId="52417"/>
    <cellStyle name="Heading 3 2 6 5 3" xfId="52418"/>
    <cellStyle name="Heading 3 2 6 6" xfId="21452"/>
    <cellStyle name="Heading 3 2 6 6 2" xfId="52419"/>
    <cellStyle name="Heading 3 2 6 6 2 2" xfId="52420"/>
    <cellStyle name="Heading 3 2 6 6 3" xfId="52421"/>
    <cellStyle name="Heading 3 2 6 7" xfId="22380"/>
    <cellStyle name="Heading 3 2 6 7 2" xfId="52422"/>
    <cellStyle name="Heading 3 2 7" xfId="15553"/>
    <cellStyle name="Heading 3 2 7 2" xfId="52423"/>
    <cellStyle name="Heading 3 2 7 2 2" xfId="52424"/>
    <cellStyle name="Heading 3 2 7 3" xfId="52425"/>
    <cellStyle name="Heading 3 2 8" xfId="15519"/>
    <cellStyle name="Heading 3 2 8 2" xfId="52426"/>
    <cellStyle name="Heading 3 2 8 2 2" xfId="52427"/>
    <cellStyle name="Heading 3 2 8 3" xfId="52428"/>
    <cellStyle name="Heading 3 2 9" xfId="17537"/>
    <cellStyle name="Heading 3 2 9 2" xfId="52429"/>
    <cellStyle name="Heading 3 2 9 2 2" xfId="52430"/>
    <cellStyle name="Heading 3 2 9 3" xfId="52431"/>
    <cellStyle name="Heading 3 3" xfId="94"/>
    <cellStyle name="Heading 3 3 2" xfId="38190"/>
    <cellStyle name="Heading 3 4" xfId="52432"/>
    <cellStyle name="Heading 3 4 2" xfId="52433"/>
    <cellStyle name="Heading 4 2" xfId="37"/>
    <cellStyle name="Heading 4 3" xfId="636"/>
    <cellStyle name="house" xfId="52434"/>
    <cellStyle name="house 2" xfId="52435"/>
    <cellStyle name="Hyperlink" xfId="67" builtinId="8"/>
    <cellStyle name="Hyperlink 2" xfId="3"/>
    <cellStyle name="Hyperlink 2 2" xfId="126"/>
    <cellStyle name="Hyperlink 2 3" xfId="52436"/>
    <cellStyle name="Hyperlink 2 4" xfId="52437"/>
    <cellStyle name="Hyperlink 3" xfId="124"/>
    <cellStyle name="Hyperlink 3 2" xfId="52438"/>
    <cellStyle name="Hyperlink 3 3" xfId="52439"/>
    <cellStyle name="Hyperlink 4" xfId="713"/>
    <cellStyle name="Hyperlink 4 2" xfId="52440"/>
    <cellStyle name="Hyperlink 5" xfId="739"/>
    <cellStyle name="Hyperlink 5 2" xfId="52441"/>
    <cellStyle name="Hyperlink 6" xfId="52442"/>
    <cellStyle name="IndentedPlain" xfId="52443"/>
    <cellStyle name="IndentedPlain 2" xfId="52444"/>
    <cellStyle name="Input 1" xfId="52445"/>
    <cellStyle name="Input 2" xfId="38"/>
    <cellStyle name="Input 2 10" xfId="1090"/>
    <cellStyle name="Input 2 10 10" xfId="14863"/>
    <cellStyle name="Input 2 10 11" xfId="23226"/>
    <cellStyle name="Input 2 10 2" xfId="1086"/>
    <cellStyle name="Input 2 10 2 2" xfId="2623"/>
    <cellStyle name="Input 2 10 2 2 2" xfId="6043"/>
    <cellStyle name="Input 2 10 2 2 2 2" xfId="12883"/>
    <cellStyle name="Input 2 10 2 2 3" xfId="9463"/>
    <cellStyle name="Input 2 10 2 3" xfId="3763"/>
    <cellStyle name="Input 2 10 2 3 2" xfId="7183"/>
    <cellStyle name="Input 2 10 2 3 2 2" xfId="14023"/>
    <cellStyle name="Input 2 10 2 3 3" xfId="10603"/>
    <cellStyle name="Input 2 10 2 4" xfId="4903"/>
    <cellStyle name="Input 2 10 2 4 2" xfId="11743"/>
    <cellStyle name="Input 2 10 2 5" xfId="8323"/>
    <cellStyle name="Input 2 10 2 6" xfId="15944"/>
    <cellStyle name="Input 2 10 2 7" xfId="24261"/>
    <cellStyle name="Input 2 10 2 8" xfId="31545"/>
    <cellStyle name="Input 2 10 3" xfId="1895"/>
    <cellStyle name="Input 2 10 3 2" xfId="5315"/>
    <cellStyle name="Input 2 10 3 2 2" xfId="12155"/>
    <cellStyle name="Input 2 10 3 2 3" xfId="52446"/>
    <cellStyle name="Input 2 10 3 3" xfId="8735"/>
    <cellStyle name="Input 2 10 3 4" xfId="16910"/>
    <cellStyle name="Input 2 10 3 5" xfId="25233"/>
    <cellStyle name="Input 2 10 3 6" xfId="32478"/>
    <cellStyle name="Input 2 10 4" xfId="3035"/>
    <cellStyle name="Input 2 10 4 2" xfId="6455"/>
    <cellStyle name="Input 2 10 4 2 2" xfId="13295"/>
    <cellStyle name="Input 2 10 4 2 3" xfId="52447"/>
    <cellStyle name="Input 2 10 4 3" xfId="9875"/>
    <cellStyle name="Input 2 10 4 4" xfId="17937"/>
    <cellStyle name="Input 2 10 4 5" xfId="26259"/>
    <cellStyle name="Input 2 10 4 6" xfId="33455"/>
    <cellStyle name="Input 2 10 5" xfId="4175"/>
    <cellStyle name="Input 2 10 5 2" xfId="11015"/>
    <cellStyle name="Input 2 10 5 2 2" xfId="52448"/>
    <cellStyle name="Input 2 10 5 2 3" xfId="52449"/>
    <cellStyle name="Input 2 10 5 3" xfId="18921"/>
    <cellStyle name="Input 2 10 5 4" xfId="27241"/>
    <cellStyle name="Input 2 10 5 5" xfId="34396"/>
    <cellStyle name="Input 2 10 6" xfId="7595"/>
    <cellStyle name="Input 2 10 6 2" xfId="19889"/>
    <cellStyle name="Input 2 10 6 2 2" xfId="52450"/>
    <cellStyle name="Input 2 10 6 2 3" xfId="52451"/>
    <cellStyle name="Input 2 10 6 3" xfId="28211"/>
    <cellStyle name="Input 2 10 6 4" xfId="35343"/>
    <cellStyle name="Input 2 10 7" xfId="20847"/>
    <cellStyle name="Input 2 10 7 2" xfId="29166"/>
    <cellStyle name="Input 2 10 7 2 2" xfId="52452"/>
    <cellStyle name="Input 2 10 7 2 3" xfId="52453"/>
    <cellStyle name="Input 2 10 7 3" xfId="36253"/>
    <cellStyle name="Input 2 10 7 4" xfId="52454"/>
    <cellStyle name="Input 2 10 8" xfId="18556"/>
    <cellStyle name="Input 2 10 8 2" xfId="26873"/>
    <cellStyle name="Input 2 10 8 2 2" xfId="52455"/>
    <cellStyle name="Input 2 10 8 2 3" xfId="52456"/>
    <cellStyle name="Input 2 10 8 3" xfId="34042"/>
    <cellStyle name="Input 2 10 8 4" xfId="52457"/>
    <cellStyle name="Input 2 10 9" xfId="22282"/>
    <cellStyle name="Input 2 10 9 2" xfId="30580"/>
    <cellStyle name="Input 2 10 9 2 2" xfId="52458"/>
    <cellStyle name="Input 2 10 9 2 3" xfId="52459"/>
    <cellStyle name="Input 2 10 9 3" xfId="37606"/>
    <cellStyle name="Input 2 10 9 4" xfId="52460"/>
    <cellStyle name="Input 2 11" xfId="14858"/>
    <cellStyle name="Input 2 11 10" xfId="23221"/>
    <cellStyle name="Input 2 11 11" xfId="52461"/>
    <cellStyle name="Input 2 11 2" xfId="15939"/>
    <cellStyle name="Input 2 11 2 2" xfId="24256"/>
    <cellStyle name="Input 2 11 2 2 2" xfId="52462"/>
    <cellStyle name="Input 2 11 2 2 3" xfId="52463"/>
    <cellStyle name="Input 2 11 2 3" xfId="31540"/>
    <cellStyle name="Input 2 11 2 4" xfId="52464"/>
    <cellStyle name="Input 2 11 3" xfId="16905"/>
    <cellStyle name="Input 2 11 3 2" xfId="25228"/>
    <cellStyle name="Input 2 11 3 2 2" xfId="52465"/>
    <cellStyle name="Input 2 11 3 2 3" xfId="52466"/>
    <cellStyle name="Input 2 11 3 3" xfId="32473"/>
    <cellStyle name="Input 2 11 3 4" xfId="52467"/>
    <cellStyle name="Input 2 11 4" xfId="17932"/>
    <cellStyle name="Input 2 11 4 2" xfId="26254"/>
    <cellStyle name="Input 2 11 4 2 2" xfId="52468"/>
    <cellStyle name="Input 2 11 4 2 3" xfId="52469"/>
    <cellStyle name="Input 2 11 4 3" xfId="33450"/>
    <cellStyle name="Input 2 11 4 4" xfId="52470"/>
    <cellStyle name="Input 2 11 5" xfId="18916"/>
    <cellStyle name="Input 2 11 5 2" xfId="27236"/>
    <cellStyle name="Input 2 11 5 2 2" xfId="52471"/>
    <cellStyle name="Input 2 11 5 2 3" xfId="52472"/>
    <cellStyle name="Input 2 11 5 3" xfId="34391"/>
    <cellStyle name="Input 2 11 5 4" xfId="52473"/>
    <cellStyle name="Input 2 11 6" xfId="19884"/>
    <cellStyle name="Input 2 11 6 2" xfId="28206"/>
    <cellStyle name="Input 2 11 6 2 2" xfId="52474"/>
    <cellStyle name="Input 2 11 6 2 3" xfId="52475"/>
    <cellStyle name="Input 2 11 6 3" xfId="35338"/>
    <cellStyle name="Input 2 11 6 4" xfId="52476"/>
    <cellStyle name="Input 2 11 7" xfId="20842"/>
    <cellStyle name="Input 2 11 7 2" xfId="29161"/>
    <cellStyle name="Input 2 11 7 2 2" xfId="52477"/>
    <cellStyle name="Input 2 11 7 2 3" xfId="52478"/>
    <cellStyle name="Input 2 11 7 3" xfId="36248"/>
    <cellStyle name="Input 2 11 7 4" xfId="52479"/>
    <cellStyle name="Input 2 11 8" xfId="19987"/>
    <cellStyle name="Input 2 11 8 2" xfId="28309"/>
    <cellStyle name="Input 2 11 8 2 2" xfId="52480"/>
    <cellStyle name="Input 2 11 8 2 3" xfId="52481"/>
    <cellStyle name="Input 2 11 8 3" xfId="35436"/>
    <cellStyle name="Input 2 11 8 4" xfId="52482"/>
    <cellStyle name="Input 2 11 9" xfId="22277"/>
    <cellStyle name="Input 2 11 9 2" xfId="30575"/>
    <cellStyle name="Input 2 11 9 2 2" xfId="52483"/>
    <cellStyle name="Input 2 11 9 2 3" xfId="52484"/>
    <cellStyle name="Input 2 11 9 3" xfId="37601"/>
    <cellStyle name="Input 2 11 9 4" xfId="52485"/>
    <cellStyle name="Input 2 12" xfId="14927"/>
    <cellStyle name="Input 2 12 10" xfId="23290"/>
    <cellStyle name="Input 2 12 11" xfId="52486"/>
    <cellStyle name="Input 2 12 2" xfId="16008"/>
    <cellStyle name="Input 2 12 2 2" xfId="24325"/>
    <cellStyle name="Input 2 12 2 2 2" xfId="52487"/>
    <cellStyle name="Input 2 12 2 2 3" xfId="52488"/>
    <cellStyle name="Input 2 12 2 3" xfId="31605"/>
    <cellStyle name="Input 2 12 2 4" xfId="52489"/>
    <cellStyle name="Input 2 12 3" xfId="16974"/>
    <cellStyle name="Input 2 12 3 2" xfId="25297"/>
    <cellStyle name="Input 2 12 3 2 2" xfId="52490"/>
    <cellStyle name="Input 2 12 3 2 3" xfId="52491"/>
    <cellStyle name="Input 2 12 3 3" xfId="32538"/>
    <cellStyle name="Input 2 12 3 4" xfId="52492"/>
    <cellStyle name="Input 2 12 4" xfId="18001"/>
    <cellStyle name="Input 2 12 4 2" xfId="26323"/>
    <cellStyle name="Input 2 12 4 2 2" xfId="52493"/>
    <cellStyle name="Input 2 12 4 2 3" xfId="52494"/>
    <cellStyle name="Input 2 12 4 3" xfId="33515"/>
    <cellStyle name="Input 2 12 4 4" xfId="52495"/>
    <cellStyle name="Input 2 12 5" xfId="18985"/>
    <cellStyle name="Input 2 12 5 2" xfId="27305"/>
    <cellStyle name="Input 2 12 5 2 2" xfId="52496"/>
    <cellStyle name="Input 2 12 5 2 3" xfId="52497"/>
    <cellStyle name="Input 2 12 5 3" xfId="34456"/>
    <cellStyle name="Input 2 12 5 4" xfId="52498"/>
    <cellStyle name="Input 2 12 6" xfId="19953"/>
    <cellStyle name="Input 2 12 6 2" xfId="28275"/>
    <cellStyle name="Input 2 12 6 2 2" xfId="52499"/>
    <cellStyle name="Input 2 12 6 2 3" xfId="52500"/>
    <cellStyle name="Input 2 12 6 3" xfId="35403"/>
    <cellStyle name="Input 2 12 6 4" xfId="52501"/>
    <cellStyle name="Input 2 12 7" xfId="20911"/>
    <cellStyle name="Input 2 12 7 2" xfId="29230"/>
    <cellStyle name="Input 2 12 7 2 2" xfId="52502"/>
    <cellStyle name="Input 2 12 7 2 3" xfId="52503"/>
    <cellStyle name="Input 2 12 7 3" xfId="36313"/>
    <cellStyle name="Input 2 12 7 4" xfId="52504"/>
    <cellStyle name="Input 2 12 8" xfId="21418"/>
    <cellStyle name="Input 2 12 8 2" xfId="29721"/>
    <cellStyle name="Input 2 12 8 2 2" xfId="52505"/>
    <cellStyle name="Input 2 12 8 2 3" xfId="52506"/>
    <cellStyle name="Input 2 12 8 3" xfId="36783"/>
    <cellStyle name="Input 2 12 8 4" xfId="52507"/>
    <cellStyle name="Input 2 12 9" xfId="22346"/>
    <cellStyle name="Input 2 12 9 2" xfId="30644"/>
    <cellStyle name="Input 2 12 9 2 2" xfId="52508"/>
    <cellStyle name="Input 2 12 9 2 3" xfId="52509"/>
    <cellStyle name="Input 2 12 9 3" xfId="37666"/>
    <cellStyle name="Input 2 12 9 4" xfId="52510"/>
    <cellStyle name="Input 2 13" xfId="14971"/>
    <cellStyle name="Input 2 13 10" xfId="23332"/>
    <cellStyle name="Input 2 13 11" xfId="52511"/>
    <cellStyle name="Input 2 13 2" xfId="16052"/>
    <cellStyle name="Input 2 13 2 2" xfId="24367"/>
    <cellStyle name="Input 2 13 2 2 2" xfId="52512"/>
    <cellStyle name="Input 2 13 2 2 3" xfId="52513"/>
    <cellStyle name="Input 2 13 2 3" xfId="31646"/>
    <cellStyle name="Input 2 13 2 4" xfId="52514"/>
    <cellStyle name="Input 2 13 3" xfId="17018"/>
    <cellStyle name="Input 2 13 3 2" xfId="25339"/>
    <cellStyle name="Input 2 13 3 2 2" xfId="52515"/>
    <cellStyle name="Input 2 13 3 2 3" xfId="52516"/>
    <cellStyle name="Input 2 13 3 3" xfId="32579"/>
    <cellStyle name="Input 2 13 3 4" xfId="52517"/>
    <cellStyle name="Input 2 13 4" xfId="18045"/>
    <cellStyle name="Input 2 13 4 2" xfId="26365"/>
    <cellStyle name="Input 2 13 4 2 2" xfId="52518"/>
    <cellStyle name="Input 2 13 4 2 3" xfId="52519"/>
    <cellStyle name="Input 2 13 4 3" xfId="33556"/>
    <cellStyle name="Input 2 13 4 4" xfId="52520"/>
    <cellStyle name="Input 2 13 5" xfId="19029"/>
    <cellStyle name="Input 2 13 5 2" xfId="27349"/>
    <cellStyle name="Input 2 13 5 2 2" xfId="52521"/>
    <cellStyle name="Input 2 13 5 2 3" xfId="52522"/>
    <cellStyle name="Input 2 13 5 3" xfId="34499"/>
    <cellStyle name="Input 2 13 5 4" xfId="52523"/>
    <cellStyle name="Input 2 13 6" xfId="19997"/>
    <cellStyle name="Input 2 13 6 2" xfId="28319"/>
    <cellStyle name="Input 2 13 6 2 2" xfId="52524"/>
    <cellStyle name="Input 2 13 6 2 3" xfId="52525"/>
    <cellStyle name="Input 2 13 6 3" xfId="35446"/>
    <cellStyle name="Input 2 13 6 4" xfId="52526"/>
    <cellStyle name="Input 2 13 7" xfId="20955"/>
    <cellStyle name="Input 2 13 7 2" xfId="29272"/>
    <cellStyle name="Input 2 13 7 2 2" xfId="52527"/>
    <cellStyle name="Input 2 13 7 2 3" xfId="52528"/>
    <cellStyle name="Input 2 13 7 3" xfId="36354"/>
    <cellStyle name="Input 2 13 7 4" xfId="52529"/>
    <cellStyle name="Input 2 13 8" xfId="21462"/>
    <cellStyle name="Input 2 13 8 2" xfId="29763"/>
    <cellStyle name="Input 2 13 8 2 2" xfId="52530"/>
    <cellStyle name="Input 2 13 8 2 3" xfId="52531"/>
    <cellStyle name="Input 2 13 8 3" xfId="36824"/>
    <cellStyle name="Input 2 13 8 4" xfId="52532"/>
    <cellStyle name="Input 2 13 9" xfId="22390"/>
    <cellStyle name="Input 2 13 9 2" xfId="30686"/>
    <cellStyle name="Input 2 13 9 2 2" xfId="52533"/>
    <cellStyle name="Input 2 13 9 2 3" xfId="52534"/>
    <cellStyle name="Input 2 13 9 3" xfId="37707"/>
    <cellStyle name="Input 2 13 9 4" xfId="52535"/>
    <cellStyle name="Input 2 14" xfId="15127"/>
    <cellStyle name="Input 2 14 10" xfId="52536"/>
    <cellStyle name="Input 2 14 2" xfId="16207"/>
    <cellStyle name="Input 2 14 2 2" xfId="24520"/>
    <cellStyle name="Input 2 14 2 2 2" xfId="52537"/>
    <cellStyle name="Input 2 14 2 2 3" xfId="52538"/>
    <cellStyle name="Input 2 14 2 3" xfId="31797"/>
    <cellStyle name="Input 2 14 2 4" xfId="52539"/>
    <cellStyle name="Input 2 14 3" xfId="17173"/>
    <cellStyle name="Input 2 14 3 2" xfId="25494"/>
    <cellStyle name="Input 2 14 3 2 2" xfId="52540"/>
    <cellStyle name="Input 2 14 3 2 3" xfId="52541"/>
    <cellStyle name="Input 2 14 3 3" xfId="32730"/>
    <cellStyle name="Input 2 14 3 4" xfId="52542"/>
    <cellStyle name="Input 2 14 4" xfId="18201"/>
    <cellStyle name="Input 2 14 4 2" xfId="26521"/>
    <cellStyle name="Input 2 14 4 2 2" xfId="52543"/>
    <cellStyle name="Input 2 14 4 2 3" xfId="52544"/>
    <cellStyle name="Input 2 14 4 3" xfId="33708"/>
    <cellStyle name="Input 2 14 4 4" xfId="52545"/>
    <cellStyle name="Input 2 14 5" xfId="19185"/>
    <cellStyle name="Input 2 14 5 2" xfId="27505"/>
    <cellStyle name="Input 2 14 5 2 2" xfId="52546"/>
    <cellStyle name="Input 2 14 5 2 3" xfId="52547"/>
    <cellStyle name="Input 2 14 5 3" xfId="34653"/>
    <cellStyle name="Input 2 14 5 4" xfId="52548"/>
    <cellStyle name="Input 2 14 6" xfId="20153"/>
    <cellStyle name="Input 2 14 6 2" xfId="28475"/>
    <cellStyle name="Input 2 14 6 2 2" xfId="52549"/>
    <cellStyle name="Input 2 14 6 2 3" xfId="52550"/>
    <cellStyle name="Input 2 14 6 3" xfId="35600"/>
    <cellStyle name="Input 2 14 6 4" xfId="52551"/>
    <cellStyle name="Input 2 14 7" xfId="21614"/>
    <cellStyle name="Input 2 14 7 2" xfId="29915"/>
    <cellStyle name="Input 2 14 7 2 2" xfId="52552"/>
    <cellStyle name="Input 2 14 7 2 3" xfId="52553"/>
    <cellStyle name="Input 2 14 7 3" xfId="36974"/>
    <cellStyle name="Input 2 14 7 4" xfId="52554"/>
    <cellStyle name="Input 2 14 8" xfId="22542"/>
    <cellStyle name="Input 2 14 8 2" xfId="30838"/>
    <cellStyle name="Input 2 14 8 2 2" xfId="52555"/>
    <cellStyle name="Input 2 14 8 2 3" xfId="52556"/>
    <cellStyle name="Input 2 14 8 3" xfId="37857"/>
    <cellStyle name="Input 2 14 8 4" xfId="52557"/>
    <cellStyle name="Input 2 14 9" xfId="23484"/>
    <cellStyle name="Input 2 15" xfId="15176"/>
    <cellStyle name="Input 2 15 10" xfId="52558"/>
    <cellStyle name="Input 2 15 2" xfId="16256"/>
    <cellStyle name="Input 2 15 2 2" xfId="24569"/>
    <cellStyle name="Input 2 15 2 2 2" xfId="52559"/>
    <cellStyle name="Input 2 15 2 2 3" xfId="52560"/>
    <cellStyle name="Input 2 15 2 3" xfId="31841"/>
    <cellStyle name="Input 2 15 2 4" xfId="52561"/>
    <cellStyle name="Input 2 15 3" xfId="17222"/>
    <cellStyle name="Input 2 15 3 2" xfId="25543"/>
    <cellStyle name="Input 2 15 3 2 2" xfId="52562"/>
    <cellStyle name="Input 2 15 3 2 3" xfId="52563"/>
    <cellStyle name="Input 2 15 3 3" xfId="32774"/>
    <cellStyle name="Input 2 15 3 4" xfId="52564"/>
    <cellStyle name="Input 2 15 4" xfId="18250"/>
    <cellStyle name="Input 2 15 4 2" xfId="26570"/>
    <cellStyle name="Input 2 15 4 2 2" xfId="52565"/>
    <cellStyle name="Input 2 15 4 2 3" xfId="52566"/>
    <cellStyle name="Input 2 15 4 3" xfId="33752"/>
    <cellStyle name="Input 2 15 4 4" xfId="52567"/>
    <cellStyle name="Input 2 15 5" xfId="19234"/>
    <cellStyle name="Input 2 15 5 2" xfId="27554"/>
    <cellStyle name="Input 2 15 5 2 2" xfId="52568"/>
    <cellStyle name="Input 2 15 5 2 3" xfId="52569"/>
    <cellStyle name="Input 2 15 5 3" xfId="34702"/>
    <cellStyle name="Input 2 15 5 4" xfId="52570"/>
    <cellStyle name="Input 2 15 6" xfId="20202"/>
    <cellStyle name="Input 2 15 6 2" xfId="28524"/>
    <cellStyle name="Input 2 15 6 2 2" xfId="52571"/>
    <cellStyle name="Input 2 15 6 2 3" xfId="52572"/>
    <cellStyle name="Input 2 15 6 3" xfId="35644"/>
    <cellStyle name="Input 2 15 6 4" xfId="52573"/>
    <cellStyle name="Input 2 15 7" xfId="21663"/>
    <cellStyle name="Input 2 15 7 2" xfId="29964"/>
    <cellStyle name="Input 2 15 7 2 2" xfId="52574"/>
    <cellStyle name="Input 2 15 7 2 3" xfId="52575"/>
    <cellStyle name="Input 2 15 7 3" xfId="37018"/>
    <cellStyle name="Input 2 15 7 4" xfId="52576"/>
    <cellStyle name="Input 2 15 8" xfId="22591"/>
    <cellStyle name="Input 2 15 8 2" xfId="30887"/>
    <cellStyle name="Input 2 15 8 2 2" xfId="52577"/>
    <cellStyle name="Input 2 15 8 2 3" xfId="52578"/>
    <cellStyle name="Input 2 15 8 3" xfId="37901"/>
    <cellStyle name="Input 2 15 8 4" xfId="52579"/>
    <cellStyle name="Input 2 15 9" xfId="23533"/>
    <cellStyle name="Input 2 16" xfId="15089"/>
    <cellStyle name="Input 2 16 10" xfId="52580"/>
    <cellStyle name="Input 2 16 2" xfId="16169"/>
    <cellStyle name="Input 2 16 2 2" xfId="24482"/>
    <cellStyle name="Input 2 16 2 2 2" xfId="52581"/>
    <cellStyle name="Input 2 16 2 2 3" xfId="52582"/>
    <cellStyle name="Input 2 16 2 3" xfId="31759"/>
    <cellStyle name="Input 2 16 2 4" xfId="52583"/>
    <cellStyle name="Input 2 16 3" xfId="17135"/>
    <cellStyle name="Input 2 16 3 2" xfId="25456"/>
    <cellStyle name="Input 2 16 3 2 2" xfId="52584"/>
    <cellStyle name="Input 2 16 3 2 3" xfId="52585"/>
    <cellStyle name="Input 2 16 3 3" xfId="32692"/>
    <cellStyle name="Input 2 16 3 4" xfId="52586"/>
    <cellStyle name="Input 2 16 4" xfId="18163"/>
    <cellStyle name="Input 2 16 4 2" xfId="26483"/>
    <cellStyle name="Input 2 16 4 2 2" xfId="52587"/>
    <cellStyle name="Input 2 16 4 2 3" xfId="52588"/>
    <cellStyle name="Input 2 16 4 3" xfId="33670"/>
    <cellStyle name="Input 2 16 4 4" xfId="52589"/>
    <cellStyle name="Input 2 16 5" xfId="19147"/>
    <cellStyle name="Input 2 16 5 2" xfId="27467"/>
    <cellStyle name="Input 2 16 5 2 2" xfId="52590"/>
    <cellStyle name="Input 2 16 5 2 3" xfId="52591"/>
    <cellStyle name="Input 2 16 5 3" xfId="34615"/>
    <cellStyle name="Input 2 16 5 4" xfId="52592"/>
    <cellStyle name="Input 2 16 6" xfId="20115"/>
    <cellStyle name="Input 2 16 6 2" xfId="28437"/>
    <cellStyle name="Input 2 16 6 2 2" xfId="52593"/>
    <cellStyle name="Input 2 16 6 2 3" xfId="52594"/>
    <cellStyle name="Input 2 16 6 3" xfId="35562"/>
    <cellStyle name="Input 2 16 6 4" xfId="52595"/>
    <cellStyle name="Input 2 16 7" xfId="21576"/>
    <cellStyle name="Input 2 16 7 2" xfId="29877"/>
    <cellStyle name="Input 2 16 7 2 2" xfId="52596"/>
    <cellStyle name="Input 2 16 7 2 3" xfId="52597"/>
    <cellStyle name="Input 2 16 7 3" xfId="36936"/>
    <cellStyle name="Input 2 16 7 4" xfId="52598"/>
    <cellStyle name="Input 2 16 8" xfId="22504"/>
    <cellStyle name="Input 2 16 8 2" xfId="30800"/>
    <cellStyle name="Input 2 16 8 2 2" xfId="52599"/>
    <cellStyle name="Input 2 16 8 2 3" xfId="52600"/>
    <cellStyle name="Input 2 16 8 3" xfId="37819"/>
    <cellStyle name="Input 2 16 8 4" xfId="52601"/>
    <cellStyle name="Input 2 16 9" xfId="23446"/>
    <cellStyle name="Input 2 17" xfId="15213"/>
    <cellStyle name="Input 2 17 10" xfId="52602"/>
    <cellStyle name="Input 2 17 2" xfId="16293"/>
    <cellStyle name="Input 2 17 2 2" xfId="24606"/>
    <cellStyle name="Input 2 17 2 2 2" xfId="52603"/>
    <cellStyle name="Input 2 17 2 2 3" xfId="52604"/>
    <cellStyle name="Input 2 17 2 3" xfId="31875"/>
    <cellStyle name="Input 2 17 2 4" xfId="52605"/>
    <cellStyle name="Input 2 17 3" xfId="17259"/>
    <cellStyle name="Input 2 17 3 2" xfId="25580"/>
    <cellStyle name="Input 2 17 3 2 2" xfId="52606"/>
    <cellStyle name="Input 2 17 3 2 3" xfId="52607"/>
    <cellStyle name="Input 2 17 3 3" xfId="32808"/>
    <cellStyle name="Input 2 17 3 4" xfId="52608"/>
    <cellStyle name="Input 2 17 4" xfId="18287"/>
    <cellStyle name="Input 2 17 4 2" xfId="26607"/>
    <cellStyle name="Input 2 17 4 2 2" xfId="52609"/>
    <cellStyle name="Input 2 17 4 2 3" xfId="52610"/>
    <cellStyle name="Input 2 17 4 3" xfId="33786"/>
    <cellStyle name="Input 2 17 4 4" xfId="52611"/>
    <cellStyle name="Input 2 17 5" xfId="19271"/>
    <cellStyle name="Input 2 17 5 2" xfId="27591"/>
    <cellStyle name="Input 2 17 5 2 2" xfId="52612"/>
    <cellStyle name="Input 2 17 5 2 3" xfId="52613"/>
    <cellStyle name="Input 2 17 5 3" xfId="34739"/>
    <cellStyle name="Input 2 17 5 4" xfId="52614"/>
    <cellStyle name="Input 2 17 6" xfId="20239"/>
    <cellStyle name="Input 2 17 6 2" xfId="28561"/>
    <cellStyle name="Input 2 17 6 2 2" xfId="52615"/>
    <cellStyle name="Input 2 17 6 2 3" xfId="52616"/>
    <cellStyle name="Input 2 17 6 3" xfId="35678"/>
    <cellStyle name="Input 2 17 6 4" xfId="52617"/>
    <cellStyle name="Input 2 17 7" xfId="21700"/>
    <cellStyle name="Input 2 17 7 2" xfId="30001"/>
    <cellStyle name="Input 2 17 7 2 2" xfId="52618"/>
    <cellStyle name="Input 2 17 7 2 3" xfId="52619"/>
    <cellStyle name="Input 2 17 7 3" xfId="37052"/>
    <cellStyle name="Input 2 17 7 4" xfId="52620"/>
    <cellStyle name="Input 2 17 8" xfId="22628"/>
    <cellStyle name="Input 2 17 8 2" xfId="30924"/>
    <cellStyle name="Input 2 17 8 2 2" xfId="52621"/>
    <cellStyle name="Input 2 17 8 2 3" xfId="52622"/>
    <cellStyle name="Input 2 17 8 3" xfId="37935"/>
    <cellStyle name="Input 2 17 8 4" xfId="52623"/>
    <cellStyle name="Input 2 17 9" xfId="23570"/>
    <cellStyle name="Input 2 18" xfId="15231"/>
    <cellStyle name="Input 2 18 10" xfId="52624"/>
    <cellStyle name="Input 2 18 2" xfId="16311"/>
    <cellStyle name="Input 2 18 2 2" xfId="24624"/>
    <cellStyle name="Input 2 18 2 2 2" xfId="52625"/>
    <cellStyle name="Input 2 18 2 2 3" xfId="52626"/>
    <cellStyle name="Input 2 18 2 3" xfId="31891"/>
    <cellStyle name="Input 2 18 2 4" xfId="52627"/>
    <cellStyle name="Input 2 18 3" xfId="17277"/>
    <cellStyle name="Input 2 18 3 2" xfId="25598"/>
    <cellStyle name="Input 2 18 3 2 2" xfId="52628"/>
    <cellStyle name="Input 2 18 3 2 3" xfId="52629"/>
    <cellStyle name="Input 2 18 3 3" xfId="32824"/>
    <cellStyle name="Input 2 18 3 4" xfId="52630"/>
    <cellStyle name="Input 2 18 4" xfId="18305"/>
    <cellStyle name="Input 2 18 4 2" xfId="26625"/>
    <cellStyle name="Input 2 18 4 2 2" xfId="52631"/>
    <cellStyle name="Input 2 18 4 2 3" xfId="52632"/>
    <cellStyle name="Input 2 18 4 3" xfId="33802"/>
    <cellStyle name="Input 2 18 4 4" xfId="52633"/>
    <cellStyle name="Input 2 18 5" xfId="19289"/>
    <cellStyle name="Input 2 18 5 2" xfId="27609"/>
    <cellStyle name="Input 2 18 5 2 2" xfId="52634"/>
    <cellStyle name="Input 2 18 5 2 3" xfId="52635"/>
    <cellStyle name="Input 2 18 5 3" xfId="34757"/>
    <cellStyle name="Input 2 18 5 4" xfId="52636"/>
    <cellStyle name="Input 2 18 6" xfId="20257"/>
    <cellStyle name="Input 2 18 6 2" xfId="28579"/>
    <cellStyle name="Input 2 18 6 2 2" xfId="52637"/>
    <cellStyle name="Input 2 18 6 2 3" xfId="52638"/>
    <cellStyle name="Input 2 18 6 3" xfId="35694"/>
    <cellStyle name="Input 2 18 6 4" xfId="52639"/>
    <cellStyle name="Input 2 18 7" xfId="21718"/>
    <cellStyle name="Input 2 18 7 2" xfId="30019"/>
    <cellStyle name="Input 2 18 7 2 2" xfId="52640"/>
    <cellStyle name="Input 2 18 7 2 3" xfId="52641"/>
    <cellStyle name="Input 2 18 7 3" xfId="37068"/>
    <cellStyle name="Input 2 18 7 4" xfId="52642"/>
    <cellStyle name="Input 2 18 8" xfId="22646"/>
    <cellStyle name="Input 2 18 8 2" xfId="30942"/>
    <cellStyle name="Input 2 18 8 2 2" xfId="52643"/>
    <cellStyle name="Input 2 18 8 2 3" xfId="52644"/>
    <cellStyle name="Input 2 18 8 3" xfId="37951"/>
    <cellStyle name="Input 2 18 8 4" xfId="52645"/>
    <cellStyle name="Input 2 18 9" xfId="23588"/>
    <cellStyle name="Input 2 19" xfId="15352"/>
    <cellStyle name="Input 2 19 10" xfId="52646"/>
    <cellStyle name="Input 2 19 11" xfId="52647"/>
    <cellStyle name="Input 2 19 2" xfId="16432"/>
    <cellStyle name="Input 2 19 2 2" xfId="24745"/>
    <cellStyle name="Input 2 19 2 2 2" xfId="52648"/>
    <cellStyle name="Input 2 19 2 2 3" xfId="52649"/>
    <cellStyle name="Input 2 19 2 3" xfId="32009"/>
    <cellStyle name="Input 2 19 2 4" xfId="52650"/>
    <cellStyle name="Input 2 19 3" xfId="17398"/>
    <cellStyle name="Input 2 19 3 2" xfId="25719"/>
    <cellStyle name="Input 2 19 3 2 2" xfId="52651"/>
    <cellStyle name="Input 2 19 3 2 3" xfId="52652"/>
    <cellStyle name="Input 2 19 3 3" xfId="32942"/>
    <cellStyle name="Input 2 19 3 4" xfId="52653"/>
    <cellStyle name="Input 2 19 4" xfId="18426"/>
    <cellStyle name="Input 2 19 4 2" xfId="26746"/>
    <cellStyle name="Input 2 19 4 2 2" xfId="52654"/>
    <cellStyle name="Input 2 19 4 2 3" xfId="52655"/>
    <cellStyle name="Input 2 19 4 3" xfId="33920"/>
    <cellStyle name="Input 2 19 4 4" xfId="52656"/>
    <cellStyle name="Input 2 19 5" xfId="19409"/>
    <cellStyle name="Input 2 19 5 2" xfId="27730"/>
    <cellStyle name="Input 2 19 5 2 2" xfId="52657"/>
    <cellStyle name="Input 2 19 5 2 3" xfId="52658"/>
    <cellStyle name="Input 2 19 5 3" xfId="34878"/>
    <cellStyle name="Input 2 19 5 4" xfId="52659"/>
    <cellStyle name="Input 2 19 6" xfId="20378"/>
    <cellStyle name="Input 2 19 6 2" xfId="28700"/>
    <cellStyle name="Input 2 19 6 2 2" xfId="52660"/>
    <cellStyle name="Input 2 19 6 2 3" xfId="52661"/>
    <cellStyle name="Input 2 19 6 3" xfId="35812"/>
    <cellStyle name="Input 2 19 6 4" xfId="52662"/>
    <cellStyle name="Input 2 19 7" xfId="21839"/>
    <cellStyle name="Input 2 19 7 2" xfId="30140"/>
    <cellStyle name="Input 2 19 7 2 2" xfId="52663"/>
    <cellStyle name="Input 2 19 7 2 3" xfId="52664"/>
    <cellStyle name="Input 2 19 7 3" xfId="37186"/>
    <cellStyle name="Input 2 19 7 4" xfId="52665"/>
    <cellStyle name="Input 2 19 8" xfId="22767"/>
    <cellStyle name="Input 2 19 8 2" xfId="31063"/>
    <cellStyle name="Input 2 19 8 2 2" xfId="52666"/>
    <cellStyle name="Input 2 19 8 2 3" xfId="52667"/>
    <cellStyle name="Input 2 19 8 3" xfId="38069"/>
    <cellStyle name="Input 2 19 8 4" xfId="52668"/>
    <cellStyle name="Input 2 19 9" xfId="23709"/>
    <cellStyle name="Input 2 19 9 2" xfId="52669"/>
    <cellStyle name="Input 2 19 9 3" xfId="52670"/>
    <cellStyle name="Input 2 2" xfId="53"/>
    <cellStyle name="Input 2 2 10" xfId="14654"/>
    <cellStyle name="Input 2 2 10 10" xfId="23016"/>
    <cellStyle name="Input 2 2 10 2" xfId="15735"/>
    <cellStyle name="Input 2 2 10 2 2" xfId="24051"/>
    <cellStyle name="Input 2 2 10 2 2 2" xfId="52671"/>
    <cellStyle name="Input 2 2 10 2 2 3" xfId="52672"/>
    <cellStyle name="Input 2 2 10 2 3" xfId="31343"/>
    <cellStyle name="Input 2 2 10 2 4" xfId="52673"/>
    <cellStyle name="Input 2 2 10 3" xfId="16701"/>
    <cellStyle name="Input 2 2 10 3 2" xfId="25022"/>
    <cellStyle name="Input 2 2 10 3 2 2" xfId="52674"/>
    <cellStyle name="Input 2 2 10 3 2 3" xfId="52675"/>
    <cellStyle name="Input 2 2 10 3 3" xfId="32276"/>
    <cellStyle name="Input 2 2 10 3 4" xfId="52676"/>
    <cellStyle name="Input 2 2 10 4" xfId="17725"/>
    <cellStyle name="Input 2 2 10 4 2" xfId="26048"/>
    <cellStyle name="Input 2 2 10 4 2 2" xfId="52677"/>
    <cellStyle name="Input 2 2 10 4 2 3" xfId="52678"/>
    <cellStyle name="Input 2 2 10 4 3" xfId="33253"/>
    <cellStyle name="Input 2 2 10 4 4" xfId="52679"/>
    <cellStyle name="Input 2 2 10 5" xfId="18708"/>
    <cellStyle name="Input 2 2 10 5 2" xfId="27029"/>
    <cellStyle name="Input 2 2 10 5 2 2" xfId="52680"/>
    <cellStyle name="Input 2 2 10 5 2 3" xfId="52681"/>
    <cellStyle name="Input 2 2 10 5 3" xfId="34192"/>
    <cellStyle name="Input 2 2 10 5 4" xfId="52682"/>
    <cellStyle name="Input 2 2 10 6" xfId="19677"/>
    <cellStyle name="Input 2 2 10 6 2" xfId="27998"/>
    <cellStyle name="Input 2 2 10 6 2 2" xfId="52683"/>
    <cellStyle name="Input 2 2 10 6 2 3" xfId="52684"/>
    <cellStyle name="Input 2 2 10 6 3" xfId="35138"/>
    <cellStyle name="Input 2 2 10 6 4" xfId="52685"/>
    <cellStyle name="Input 2 2 10 7" xfId="20634"/>
    <cellStyle name="Input 2 2 10 7 2" xfId="28955"/>
    <cellStyle name="Input 2 2 10 7 2 2" xfId="52686"/>
    <cellStyle name="Input 2 2 10 7 2 3" xfId="52687"/>
    <cellStyle name="Input 2 2 10 7 3" xfId="36053"/>
    <cellStyle name="Input 2 2 10 7 4" xfId="52688"/>
    <cellStyle name="Input 2 2 10 8" xfId="21089"/>
    <cellStyle name="Input 2 2 10 8 2" xfId="29406"/>
    <cellStyle name="Input 2 2 10 8 2 2" xfId="52689"/>
    <cellStyle name="Input 2 2 10 8 2 3" xfId="52690"/>
    <cellStyle name="Input 2 2 10 8 3" xfId="36482"/>
    <cellStyle name="Input 2 2 10 8 4" xfId="52691"/>
    <cellStyle name="Input 2 2 10 9" xfId="22071"/>
    <cellStyle name="Input 2 2 10 9 2" xfId="30369"/>
    <cellStyle name="Input 2 2 10 9 2 2" xfId="52692"/>
    <cellStyle name="Input 2 2 10 9 2 3" xfId="52693"/>
    <cellStyle name="Input 2 2 10 9 3" xfId="37404"/>
    <cellStyle name="Input 2 2 10 9 4" xfId="52694"/>
    <cellStyle name="Input 2 2 11" xfId="14686"/>
    <cellStyle name="Input 2 2 11 10" xfId="23049"/>
    <cellStyle name="Input 2 2 11 2" xfId="15767"/>
    <cellStyle name="Input 2 2 11 2 2" xfId="24084"/>
    <cellStyle name="Input 2 2 11 2 2 2" xfId="52695"/>
    <cellStyle name="Input 2 2 11 2 2 3" xfId="52696"/>
    <cellStyle name="Input 2 2 11 2 3" xfId="31375"/>
    <cellStyle name="Input 2 2 11 2 4" xfId="52697"/>
    <cellStyle name="Input 2 2 11 3" xfId="16733"/>
    <cellStyle name="Input 2 2 11 3 2" xfId="25055"/>
    <cellStyle name="Input 2 2 11 3 2 2" xfId="52698"/>
    <cellStyle name="Input 2 2 11 3 2 3" xfId="52699"/>
    <cellStyle name="Input 2 2 11 3 3" xfId="32308"/>
    <cellStyle name="Input 2 2 11 3 4" xfId="52700"/>
    <cellStyle name="Input 2 2 11 4" xfId="17757"/>
    <cellStyle name="Input 2 2 11 4 2" xfId="26081"/>
    <cellStyle name="Input 2 2 11 4 2 2" xfId="52701"/>
    <cellStyle name="Input 2 2 11 4 2 3" xfId="52702"/>
    <cellStyle name="Input 2 2 11 4 3" xfId="33285"/>
    <cellStyle name="Input 2 2 11 4 4" xfId="52703"/>
    <cellStyle name="Input 2 2 11 5" xfId="18741"/>
    <cellStyle name="Input 2 2 11 5 2" xfId="27062"/>
    <cellStyle name="Input 2 2 11 5 2 2" xfId="52704"/>
    <cellStyle name="Input 2 2 11 5 2 3" xfId="52705"/>
    <cellStyle name="Input 2 2 11 5 3" xfId="34224"/>
    <cellStyle name="Input 2 2 11 5 4" xfId="52706"/>
    <cellStyle name="Input 2 2 11 6" xfId="19710"/>
    <cellStyle name="Input 2 2 11 6 2" xfId="28031"/>
    <cellStyle name="Input 2 2 11 6 2 2" xfId="52707"/>
    <cellStyle name="Input 2 2 11 6 2 3" xfId="52708"/>
    <cellStyle name="Input 2 2 11 6 3" xfId="35170"/>
    <cellStyle name="Input 2 2 11 6 4" xfId="52709"/>
    <cellStyle name="Input 2 2 11 7" xfId="20667"/>
    <cellStyle name="Input 2 2 11 7 2" xfId="28988"/>
    <cellStyle name="Input 2 2 11 7 2 2" xfId="52710"/>
    <cellStyle name="Input 2 2 11 7 2 3" xfId="52711"/>
    <cellStyle name="Input 2 2 11 7 3" xfId="36085"/>
    <cellStyle name="Input 2 2 11 7 4" xfId="52712"/>
    <cellStyle name="Input 2 2 11 8" xfId="21086"/>
    <cellStyle name="Input 2 2 11 8 2" xfId="29403"/>
    <cellStyle name="Input 2 2 11 8 2 2" xfId="52713"/>
    <cellStyle name="Input 2 2 11 8 2 3" xfId="52714"/>
    <cellStyle name="Input 2 2 11 8 3" xfId="36479"/>
    <cellStyle name="Input 2 2 11 8 4" xfId="52715"/>
    <cellStyle name="Input 2 2 11 9" xfId="22104"/>
    <cellStyle name="Input 2 2 11 9 2" xfId="30402"/>
    <cellStyle name="Input 2 2 11 9 2 2" xfId="52716"/>
    <cellStyle name="Input 2 2 11 9 2 3" xfId="52717"/>
    <cellStyle name="Input 2 2 11 9 3" xfId="37436"/>
    <cellStyle name="Input 2 2 11 9 4" xfId="52718"/>
    <cellStyle name="Input 2 2 12" xfId="14670"/>
    <cellStyle name="Input 2 2 12 10" xfId="23032"/>
    <cellStyle name="Input 2 2 12 2" xfId="15751"/>
    <cellStyle name="Input 2 2 12 2 2" xfId="24067"/>
    <cellStyle name="Input 2 2 12 2 2 2" xfId="52719"/>
    <cellStyle name="Input 2 2 12 2 2 3" xfId="52720"/>
    <cellStyle name="Input 2 2 12 2 3" xfId="31359"/>
    <cellStyle name="Input 2 2 12 2 4" xfId="52721"/>
    <cellStyle name="Input 2 2 12 3" xfId="16717"/>
    <cellStyle name="Input 2 2 12 3 2" xfId="25038"/>
    <cellStyle name="Input 2 2 12 3 2 2" xfId="52722"/>
    <cellStyle name="Input 2 2 12 3 2 3" xfId="52723"/>
    <cellStyle name="Input 2 2 12 3 3" xfId="32292"/>
    <cellStyle name="Input 2 2 12 3 4" xfId="52724"/>
    <cellStyle name="Input 2 2 12 4" xfId="17741"/>
    <cellStyle name="Input 2 2 12 4 2" xfId="26064"/>
    <cellStyle name="Input 2 2 12 4 2 2" xfId="52725"/>
    <cellStyle name="Input 2 2 12 4 2 3" xfId="52726"/>
    <cellStyle name="Input 2 2 12 4 3" xfId="33269"/>
    <cellStyle name="Input 2 2 12 4 4" xfId="52727"/>
    <cellStyle name="Input 2 2 12 5" xfId="18724"/>
    <cellStyle name="Input 2 2 12 5 2" xfId="27045"/>
    <cellStyle name="Input 2 2 12 5 2 2" xfId="52728"/>
    <cellStyle name="Input 2 2 12 5 2 3" xfId="52729"/>
    <cellStyle name="Input 2 2 12 5 3" xfId="34208"/>
    <cellStyle name="Input 2 2 12 5 4" xfId="52730"/>
    <cellStyle name="Input 2 2 12 6" xfId="19693"/>
    <cellStyle name="Input 2 2 12 6 2" xfId="28014"/>
    <cellStyle name="Input 2 2 12 6 2 2" xfId="52731"/>
    <cellStyle name="Input 2 2 12 6 2 3" xfId="52732"/>
    <cellStyle name="Input 2 2 12 6 3" xfId="35154"/>
    <cellStyle name="Input 2 2 12 6 4" xfId="52733"/>
    <cellStyle name="Input 2 2 12 7" xfId="20650"/>
    <cellStyle name="Input 2 2 12 7 2" xfId="28971"/>
    <cellStyle name="Input 2 2 12 7 2 2" xfId="52734"/>
    <cellStyle name="Input 2 2 12 7 2 3" xfId="52735"/>
    <cellStyle name="Input 2 2 12 7 3" xfId="36069"/>
    <cellStyle name="Input 2 2 12 7 4" xfId="52736"/>
    <cellStyle name="Input 2 2 12 8" xfId="21293"/>
    <cellStyle name="Input 2 2 12 8 2" xfId="29600"/>
    <cellStyle name="Input 2 2 12 8 2 2" xfId="52737"/>
    <cellStyle name="Input 2 2 12 8 2 3" xfId="52738"/>
    <cellStyle name="Input 2 2 12 8 3" xfId="36667"/>
    <cellStyle name="Input 2 2 12 8 4" xfId="52739"/>
    <cellStyle name="Input 2 2 12 9" xfId="22087"/>
    <cellStyle name="Input 2 2 12 9 2" xfId="30385"/>
    <cellStyle name="Input 2 2 12 9 2 2" xfId="52740"/>
    <cellStyle name="Input 2 2 12 9 2 3" xfId="52741"/>
    <cellStyle name="Input 2 2 12 9 3" xfId="37420"/>
    <cellStyle name="Input 2 2 12 9 4" xfId="52742"/>
    <cellStyle name="Input 2 2 13" xfId="14731"/>
    <cellStyle name="Input 2 2 13 10" xfId="23095"/>
    <cellStyle name="Input 2 2 13 11" xfId="52743"/>
    <cellStyle name="Input 2 2 13 2" xfId="15812"/>
    <cellStyle name="Input 2 2 13 2 2" xfId="24130"/>
    <cellStyle name="Input 2 2 13 2 2 2" xfId="52744"/>
    <cellStyle name="Input 2 2 13 2 2 3" xfId="52745"/>
    <cellStyle name="Input 2 2 13 2 3" xfId="31418"/>
    <cellStyle name="Input 2 2 13 2 4" xfId="52746"/>
    <cellStyle name="Input 2 2 13 3" xfId="16778"/>
    <cellStyle name="Input 2 2 13 3 2" xfId="25102"/>
    <cellStyle name="Input 2 2 13 3 2 2" xfId="52747"/>
    <cellStyle name="Input 2 2 13 3 2 3" xfId="52748"/>
    <cellStyle name="Input 2 2 13 3 3" xfId="32351"/>
    <cellStyle name="Input 2 2 13 3 4" xfId="52749"/>
    <cellStyle name="Input 2 2 13 4" xfId="17804"/>
    <cellStyle name="Input 2 2 13 4 2" xfId="26128"/>
    <cellStyle name="Input 2 2 13 4 2 2" xfId="52750"/>
    <cellStyle name="Input 2 2 13 4 2 3" xfId="52751"/>
    <cellStyle name="Input 2 2 13 4 3" xfId="33328"/>
    <cellStyle name="Input 2 2 13 4 4" xfId="52752"/>
    <cellStyle name="Input 2 2 13 5" xfId="18788"/>
    <cellStyle name="Input 2 2 13 5 2" xfId="27109"/>
    <cellStyle name="Input 2 2 13 5 2 2" xfId="52753"/>
    <cellStyle name="Input 2 2 13 5 2 3" xfId="52754"/>
    <cellStyle name="Input 2 2 13 5 3" xfId="34268"/>
    <cellStyle name="Input 2 2 13 5 4" xfId="52755"/>
    <cellStyle name="Input 2 2 13 6" xfId="19756"/>
    <cellStyle name="Input 2 2 13 6 2" xfId="28078"/>
    <cellStyle name="Input 2 2 13 6 2 2" xfId="52756"/>
    <cellStyle name="Input 2 2 13 6 2 3" xfId="52757"/>
    <cellStyle name="Input 2 2 13 6 3" xfId="35214"/>
    <cellStyle name="Input 2 2 13 6 4" xfId="52758"/>
    <cellStyle name="Input 2 2 13 7" xfId="20714"/>
    <cellStyle name="Input 2 2 13 7 2" xfId="29035"/>
    <cellStyle name="Input 2 2 13 7 2 2" xfId="52759"/>
    <cellStyle name="Input 2 2 13 7 2 3" xfId="52760"/>
    <cellStyle name="Input 2 2 13 7 3" xfId="36128"/>
    <cellStyle name="Input 2 2 13 7 4" xfId="52761"/>
    <cellStyle name="Input 2 2 13 8" xfId="21362"/>
    <cellStyle name="Input 2 2 13 8 2" xfId="29665"/>
    <cellStyle name="Input 2 2 13 8 2 2" xfId="52762"/>
    <cellStyle name="Input 2 2 13 8 2 3" xfId="52763"/>
    <cellStyle name="Input 2 2 13 8 3" xfId="36730"/>
    <cellStyle name="Input 2 2 13 8 4" xfId="52764"/>
    <cellStyle name="Input 2 2 13 9" xfId="22150"/>
    <cellStyle name="Input 2 2 13 9 2" xfId="30448"/>
    <cellStyle name="Input 2 2 13 9 2 2" xfId="52765"/>
    <cellStyle name="Input 2 2 13 9 2 3" xfId="52766"/>
    <cellStyle name="Input 2 2 13 9 3" xfId="37479"/>
    <cellStyle name="Input 2 2 13 9 4" xfId="52767"/>
    <cellStyle name="Input 2 2 14" xfId="14794"/>
    <cellStyle name="Input 2 2 14 10" xfId="23158"/>
    <cellStyle name="Input 2 2 14 11" xfId="52768"/>
    <cellStyle name="Input 2 2 14 2" xfId="15875"/>
    <cellStyle name="Input 2 2 14 2 2" xfId="24193"/>
    <cellStyle name="Input 2 2 14 2 2 2" xfId="52769"/>
    <cellStyle name="Input 2 2 14 2 2 3" xfId="52770"/>
    <cellStyle name="Input 2 2 14 2 3" xfId="31479"/>
    <cellStyle name="Input 2 2 14 2 4" xfId="52771"/>
    <cellStyle name="Input 2 2 14 3" xfId="16841"/>
    <cellStyle name="Input 2 2 14 3 2" xfId="25165"/>
    <cellStyle name="Input 2 2 14 3 2 2" xfId="52772"/>
    <cellStyle name="Input 2 2 14 3 2 3" xfId="52773"/>
    <cellStyle name="Input 2 2 14 3 3" xfId="32412"/>
    <cellStyle name="Input 2 2 14 3 4" xfId="52774"/>
    <cellStyle name="Input 2 2 14 4" xfId="17868"/>
    <cellStyle name="Input 2 2 14 4 2" xfId="26191"/>
    <cellStyle name="Input 2 2 14 4 2 2" xfId="52775"/>
    <cellStyle name="Input 2 2 14 4 2 3" xfId="52776"/>
    <cellStyle name="Input 2 2 14 4 3" xfId="33389"/>
    <cellStyle name="Input 2 2 14 4 4" xfId="52777"/>
    <cellStyle name="Input 2 2 14 5" xfId="18852"/>
    <cellStyle name="Input 2 2 14 5 2" xfId="27172"/>
    <cellStyle name="Input 2 2 14 5 2 2" xfId="52778"/>
    <cellStyle name="Input 2 2 14 5 2 3" xfId="52779"/>
    <cellStyle name="Input 2 2 14 5 3" xfId="34329"/>
    <cellStyle name="Input 2 2 14 5 4" xfId="52780"/>
    <cellStyle name="Input 2 2 14 6" xfId="19820"/>
    <cellStyle name="Input 2 2 14 6 2" xfId="28142"/>
    <cellStyle name="Input 2 2 14 6 2 2" xfId="52781"/>
    <cellStyle name="Input 2 2 14 6 2 3" xfId="52782"/>
    <cellStyle name="Input 2 2 14 6 3" xfId="35276"/>
    <cellStyle name="Input 2 2 14 6 4" xfId="52783"/>
    <cellStyle name="Input 2 2 14 7" xfId="20778"/>
    <cellStyle name="Input 2 2 14 7 2" xfId="29098"/>
    <cellStyle name="Input 2 2 14 7 2 2" xfId="52784"/>
    <cellStyle name="Input 2 2 14 7 2 3" xfId="52785"/>
    <cellStyle name="Input 2 2 14 7 3" xfId="36188"/>
    <cellStyle name="Input 2 2 14 7 4" xfId="52786"/>
    <cellStyle name="Input 2 2 14 8" xfId="21177"/>
    <cellStyle name="Input 2 2 14 8 2" xfId="29489"/>
    <cellStyle name="Input 2 2 14 8 2 2" xfId="52787"/>
    <cellStyle name="Input 2 2 14 8 2 3" xfId="52788"/>
    <cellStyle name="Input 2 2 14 8 3" xfId="36560"/>
    <cellStyle name="Input 2 2 14 8 4" xfId="52789"/>
    <cellStyle name="Input 2 2 14 9" xfId="22214"/>
    <cellStyle name="Input 2 2 14 9 2" xfId="30512"/>
    <cellStyle name="Input 2 2 14 9 2 2" xfId="52790"/>
    <cellStyle name="Input 2 2 14 9 2 3" xfId="52791"/>
    <cellStyle name="Input 2 2 14 9 3" xfId="37540"/>
    <cellStyle name="Input 2 2 14 9 4" xfId="52792"/>
    <cellStyle name="Input 2 2 15" xfId="14722"/>
    <cellStyle name="Input 2 2 15 10" xfId="23084"/>
    <cellStyle name="Input 2 2 15 11" xfId="52793"/>
    <cellStyle name="Input 2 2 15 2" xfId="15803"/>
    <cellStyle name="Input 2 2 15 2 2" xfId="24119"/>
    <cellStyle name="Input 2 2 15 2 2 2" xfId="52794"/>
    <cellStyle name="Input 2 2 15 2 2 3" xfId="52795"/>
    <cellStyle name="Input 2 2 15 2 3" xfId="31407"/>
    <cellStyle name="Input 2 2 15 2 4" xfId="52796"/>
    <cellStyle name="Input 2 2 15 3" xfId="16769"/>
    <cellStyle name="Input 2 2 15 3 2" xfId="25091"/>
    <cellStyle name="Input 2 2 15 3 2 2" xfId="52797"/>
    <cellStyle name="Input 2 2 15 3 2 3" xfId="52798"/>
    <cellStyle name="Input 2 2 15 3 3" xfId="32340"/>
    <cellStyle name="Input 2 2 15 3 4" xfId="52799"/>
    <cellStyle name="Input 2 2 15 4" xfId="17793"/>
    <cellStyle name="Input 2 2 15 4 2" xfId="26117"/>
    <cellStyle name="Input 2 2 15 4 2 2" xfId="52800"/>
    <cellStyle name="Input 2 2 15 4 2 3" xfId="52801"/>
    <cellStyle name="Input 2 2 15 4 3" xfId="33317"/>
    <cellStyle name="Input 2 2 15 4 4" xfId="52802"/>
    <cellStyle name="Input 2 2 15 5" xfId="18777"/>
    <cellStyle name="Input 2 2 15 5 2" xfId="27098"/>
    <cellStyle name="Input 2 2 15 5 2 2" xfId="52803"/>
    <cellStyle name="Input 2 2 15 5 2 3" xfId="52804"/>
    <cellStyle name="Input 2 2 15 5 3" xfId="34257"/>
    <cellStyle name="Input 2 2 15 5 4" xfId="52805"/>
    <cellStyle name="Input 2 2 15 6" xfId="19746"/>
    <cellStyle name="Input 2 2 15 6 2" xfId="28067"/>
    <cellStyle name="Input 2 2 15 6 2 2" xfId="52806"/>
    <cellStyle name="Input 2 2 15 6 2 3" xfId="52807"/>
    <cellStyle name="Input 2 2 15 6 3" xfId="35203"/>
    <cellStyle name="Input 2 2 15 6 4" xfId="52808"/>
    <cellStyle name="Input 2 2 15 7" xfId="20703"/>
    <cellStyle name="Input 2 2 15 7 2" xfId="29024"/>
    <cellStyle name="Input 2 2 15 7 2 2" xfId="52809"/>
    <cellStyle name="Input 2 2 15 7 2 3" xfId="52810"/>
    <cellStyle name="Input 2 2 15 7 3" xfId="36117"/>
    <cellStyle name="Input 2 2 15 7 4" xfId="52811"/>
    <cellStyle name="Input 2 2 15 8" xfId="21157"/>
    <cellStyle name="Input 2 2 15 8 2" xfId="29469"/>
    <cellStyle name="Input 2 2 15 8 2 2" xfId="52812"/>
    <cellStyle name="Input 2 2 15 8 2 3" xfId="52813"/>
    <cellStyle name="Input 2 2 15 8 3" xfId="36541"/>
    <cellStyle name="Input 2 2 15 8 4" xfId="52814"/>
    <cellStyle name="Input 2 2 15 9" xfId="22139"/>
    <cellStyle name="Input 2 2 15 9 2" xfId="30437"/>
    <cellStyle name="Input 2 2 15 9 2 2" xfId="52815"/>
    <cellStyle name="Input 2 2 15 9 2 3" xfId="52816"/>
    <cellStyle name="Input 2 2 15 9 3" xfId="37468"/>
    <cellStyle name="Input 2 2 15 9 4" xfId="52817"/>
    <cellStyle name="Input 2 2 16" xfId="14835"/>
    <cellStyle name="Input 2 2 16 10" xfId="23198"/>
    <cellStyle name="Input 2 2 16 11" xfId="52818"/>
    <cellStyle name="Input 2 2 16 2" xfId="15916"/>
    <cellStyle name="Input 2 2 16 2 2" xfId="24233"/>
    <cellStyle name="Input 2 2 16 2 2 2" xfId="52819"/>
    <cellStyle name="Input 2 2 16 2 2 3" xfId="52820"/>
    <cellStyle name="Input 2 2 16 2 3" xfId="31517"/>
    <cellStyle name="Input 2 2 16 2 4" xfId="52821"/>
    <cellStyle name="Input 2 2 16 3" xfId="16882"/>
    <cellStyle name="Input 2 2 16 3 2" xfId="25205"/>
    <cellStyle name="Input 2 2 16 3 2 2" xfId="52822"/>
    <cellStyle name="Input 2 2 16 3 2 3" xfId="52823"/>
    <cellStyle name="Input 2 2 16 3 3" xfId="32450"/>
    <cellStyle name="Input 2 2 16 3 4" xfId="52824"/>
    <cellStyle name="Input 2 2 16 4" xfId="17909"/>
    <cellStyle name="Input 2 2 16 4 2" xfId="26231"/>
    <cellStyle name="Input 2 2 16 4 2 2" xfId="52825"/>
    <cellStyle name="Input 2 2 16 4 2 3" xfId="52826"/>
    <cellStyle name="Input 2 2 16 4 3" xfId="33427"/>
    <cellStyle name="Input 2 2 16 4 4" xfId="52827"/>
    <cellStyle name="Input 2 2 16 5" xfId="18893"/>
    <cellStyle name="Input 2 2 16 5 2" xfId="27213"/>
    <cellStyle name="Input 2 2 16 5 2 2" xfId="52828"/>
    <cellStyle name="Input 2 2 16 5 2 3" xfId="52829"/>
    <cellStyle name="Input 2 2 16 5 3" xfId="34368"/>
    <cellStyle name="Input 2 2 16 5 4" xfId="52830"/>
    <cellStyle name="Input 2 2 16 6" xfId="19861"/>
    <cellStyle name="Input 2 2 16 6 2" xfId="28183"/>
    <cellStyle name="Input 2 2 16 6 2 2" xfId="52831"/>
    <cellStyle name="Input 2 2 16 6 2 3" xfId="52832"/>
    <cellStyle name="Input 2 2 16 6 3" xfId="35315"/>
    <cellStyle name="Input 2 2 16 6 4" xfId="52833"/>
    <cellStyle name="Input 2 2 16 7" xfId="20819"/>
    <cellStyle name="Input 2 2 16 7 2" xfId="29138"/>
    <cellStyle name="Input 2 2 16 7 2 2" xfId="52834"/>
    <cellStyle name="Input 2 2 16 7 2 3" xfId="52835"/>
    <cellStyle name="Input 2 2 16 7 3" xfId="36225"/>
    <cellStyle name="Input 2 2 16 7 4" xfId="52836"/>
    <cellStyle name="Input 2 2 16 8" xfId="21348"/>
    <cellStyle name="Input 2 2 16 8 2" xfId="29651"/>
    <cellStyle name="Input 2 2 16 8 2 2" xfId="52837"/>
    <cellStyle name="Input 2 2 16 8 2 3" xfId="52838"/>
    <cellStyle name="Input 2 2 16 8 3" xfId="36716"/>
    <cellStyle name="Input 2 2 16 8 4" xfId="52839"/>
    <cellStyle name="Input 2 2 16 9" xfId="22254"/>
    <cellStyle name="Input 2 2 16 9 2" xfId="30552"/>
    <cellStyle name="Input 2 2 16 9 2 2" xfId="52840"/>
    <cellStyle name="Input 2 2 16 9 2 3" xfId="52841"/>
    <cellStyle name="Input 2 2 16 9 3" xfId="37578"/>
    <cellStyle name="Input 2 2 16 9 4" xfId="52842"/>
    <cellStyle name="Input 2 2 17" xfId="14872"/>
    <cellStyle name="Input 2 2 17 10" xfId="23235"/>
    <cellStyle name="Input 2 2 17 11" xfId="52843"/>
    <cellStyle name="Input 2 2 17 2" xfId="15953"/>
    <cellStyle name="Input 2 2 17 2 2" xfId="24270"/>
    <cellStyle name="Input 2 2 17 2 2 2" xfId="52844"/>
    <cellStyle name="Input 2 2 17 2 2 3" xfId="52845"/>
    <cellStyle name="Input 2 2 17 2 3" xfId="31553"/>
    <cellStyle name="Input 2 2 17 2 4" xfId="52846"/>
    <cellStyle name="Input 2 2 17 3" xfId="16919"/>
    <cellStyle name="Input 2 2 17 3 2" xfId="25242"/>
    <cellStyle name="Input 2 2 17 3 2 2" xfId="52847"/>
    <cellStyle name="Input 2 2 17 3 2 3" xfId="52848"/>
    <cellStyle name="Input 2 2 17 3 3" xfId="32486"/>
    <cellStyle name="Input 2 2 17 3 4" xfId="52849"/>
    <cellStyle name="Input 2 2 17 4" xfId="17946"/>
    <cellStyle name="Input 2 2 17 4 2" xfId="26268"/>
    <cellStyle name="Input 2 2 17 4 2 2" xfId="52850"/>
    <cellStyle name="Input 2 2 17 4 2 3" xfId="52851"/>
    <cellStyle name="Input 2 2 17 4 3" xfId="33463"/>
    <cellStyle name="Input 2 2 17 4 4" xfId="52852"/>
    <cellStyle name="Input 2 2 17 5" xfId="18930"/>
    <cellStyle name="Input 2 2 17 5 2" xfId="27250"/>
    <cellStyle name="Input 2 2 17 5 2 2" xfId="52853"/>
    <cellStyle name="Input 2 2 17 5 2 3" xfId="52854"/>
    <cellStyle name="Input 2 2 17 5 3" xfId="34404"/>
    <cellStyle name="Input 2 2 17 5 4" xfId="52855"/>
    <cellStyle name="Input 2 2 17 6" xfId="19898"/>
    <cellStyle name="Input 2 2 17 6 2" xfId="28220"/>
    <cellStyle name="Input 2 2 17 6 2 2" xfId="52856"/>
    <cellStyle name="Input 2 2 17 6 2 3" xfId="52857"/>
    <cellStyle name="Input 2 2 17 6 3" xfId="35351"/>
    <cellStyle name="Input 2 2 17 6 4" xfId="52858"/>
    <cellStyle name="Input 2 2 17 7" xfId="20856"/>
    <cellStyle name="Input 2 2 17 7 2" xfId="29175"/>
    <cellStyle name="Input 2 2 17 7 2 2" xfId="52859"/>
    <cellStyle name="Input 2 2 17 7 2 3" xfId="52860"/>
    <cellStyle name="Input 2 2 17 7 3" xfId="36261"/>
    <cellStyle name="Input 2 2 17 7 4" xfId="52861"/>
    <cellStyle name="Input 2 2 17 8" xfId="18557"/>
    <cellStyle name="Input 2 2 17 8 2" xfId="26874"/>
    <cellStyle name="Input 2 2 17 8 2 2" xfId="52862"/>
    <cellStyle name="Input 2 2 17 8 2 3" xfId="52863"/>
    <cellStyle name="Input 2 2 17 8 3" xfId="34043"/>
    <cellStyle name="Input 2 2 17 8 4" xfId="52864"/>
    <cellStyle name="Input 2 2 17 9" xfId="22291"/>
    <cellStyle name="Input 2 2 17 9 2" xfId="30589"/>
    <cellStyle name="Input 2 2 17 9 2 2" xfId="52865"/>
    <cellStyle name="Input 2 2 17 9 2 3" xfId="52866"/>
    <cellStyle name="Input 2 2 17 9 3" xfId="37614"/>
    <cellStyle name="Input 2 2 17 9 4" xfId="52867"/>
    <cellStyle name="Input 2 2 18" xfId="14888"/>
    <cellStyle name="Input 2 2 18 10" xfId="23251"/>
    <cellStyle name="Input 2 2 18 11" xfId="52868"/>
    <cellStyle name="Input 2 2 18 2" xfId="15969"/>
    <cellStyle name="Input 2 2 18 2 2" xfId="24286"/>
    <cellStyle name="Input 2 2 18 2 2 2" xfId="52869"/>
    <cellStyle name="Input 2 2 18 2 2 3" xfId="52870"/>
    <cellStyle name="Input 2 2 18 2 3" xfId="31567"/>
    <cellStyle name="Input 2 2 18 2 4" xfId="52871"/>
    <cellStyle name="Input 2 2 18 3" xfId="16935"/>
    <cellStyle name="Input 2 2 18 3 2" xfId="25258"/>
    <cellStyle name="Input 2 2 18 3 2 2" xfId="52872"/>
    <cellStyle name="Input 2 2 18 3 2 3" xfId="52873"/>
    <cellStyle name="Input 2 2 18 3 3" xfId="32500"/>
    <cellStyle name="Input 2 2 18 3 4" xfId="52874"/>
    <cellStyle name="Input 2 2 18 4" xfId="17962"/>
    <cellStyle name="Input 2 2 18 4 2" xfId="26284"/>
    <cellStyle name="Input 2 2 18 4 2 2" xfId="52875"/>
    <cellStyle name="Input 2 2 18 4 2 3" xfId="52876"/>
    <cellStyle name="Input 2 2 18 4 3" xfId="33477"/>
    <cellStyle name="Input 2 2 18 4 4" xfId="52877"/>
    <cellStyle name="Input 2 2 18 5" xfId="18946"/>
    <cellStyle name="Input 2 2 18 5 2" xfId="27266"/>
    <cellStyle name="Input 2 2 18 5 2 2" xfId="52878"/>
    <cellStyle name="Input 2 2 18 5 2 3" xfId="52879"/>
    <cellStyle name="Input 2 2 18 5 3" xfId="34418"/>
    <cellStyle name="Input 2 2 18 5 4" xfId="52880"/>
    <cellStyle name="Input 2 2 18 6" xfId="19914"/>
    <cellStyle name="Input 2 2 18 6 2" xfId="28236"/>
    <cellStyle name="Input 2 2 18 6 2 2" xfId="52881"/>
    <cellStyle name="Input 2 2 18 6 2 3" xfId="52882"/>
    <cellStyle name="Input 2 2 18 6 3" xfId="35365"/>
    <cellStyle name="Input 2 2 18 6 4" xfId="52883"/>
    <cellStyle name="Input 2 2 18 7" xfId="20872"/>
    <cellStyle name="Input 2 2 18 7 2" xfId="29191"/>
    <cellStyle name="Input 2 2 18 7 2 2" xfId="52884"/>
    <cellStyle name="Input 2 2 18 7 2 3" xfId="52885"/>
    <cellStyle name="Input 2 2 18 7 3" xfId="36275"/>
    <cellStyle name="Input 2 2 18 7 4" xfId="52886"/>
    <cellStyle name="Input 2 2 18 8" xfId="21379"/>
    <cellStyle name="Input 2 2 18 8 2" xfId="29682"/>
    <cellStyle name="Input 2 2 18 8 2 2" xfId="52887"/>
    <cellStyle name="Input 2 2 18 8 2 3" xfId="52888"/>
    <cellStyle name="Input 2 2 18 8 3" xfId="36745"/>
    <cellStyle name="Input 2 2 18 8 4" xfId="52889"/>
    <cellStyle name="Input 2 2 18 9" xfId="22307"/>
    <cellStyle name="Input 2 2 18 9 2" xfId="30605"/>
    <cellStyle name="Input 2 2 18 9 2 2" xfId="52890"/>
    <cellStyle name="Input 2 2 18 9 2 3" xfId="52891"/>
    <cellStyle name="Input 2 2 18 9 3" xfId="37628"/>
    <cellStyle name="Input 2 2 18 9 4" xfId="52892"/>
    <cellStyle name="Input 2 2 19" xfId="14933"/>
    <cellStyle name="Input 2 2 19 10" xfId="23296"/>
    <cellStyle name="Input 2 2 19 11" xfId="52893"/>
    <cellStyle name="Input 2 2 19 2" xfId="16014"/>
    <cellStyle name="Input 2 2 19 2 2" xfId="24331"/>
    <cellStyle name="Input 2 2 19 2 2 2" xfId="52894"/>
    <cellStyle name="Input 2 2 19 2 2 3" xfId="52895"/>
    <cellStyle name="Input 2 2 19 2 3" xfId="31611"/>
    <cellStyle name="Input 2 2 19 2 4" xfId="52896"/>
    <cellStyle name="Input 2 2 19 3" xfId="16980"/>
    <cellStyle name="Input 2 2 19 3 2" xfId="25303"/>
    <cellStyle name="Input 2 2 19 3 2 2" xfId="52897"/>
    <cellStyle name="Input 2 2 19 3 2 3" xfId="52898"/>
    <cellStyle name="Input 2 2 19 3 3" xfId="32544"/>
    <cellStyle name="Input 2 2 19 3 4" xfId="52899"/>
    <cellStyle name="Input 2 2 19 4" xfId="18007"/>
    <cellStyle name="Input 2 2 19 4 2" xfId="26329"/>
    <cellStyle name="Input 2 2 19 4 2 2" xfId="52900"/>
    <cellStyle name="Input 2 2 19 4 2 3" xfId="52901"/>
    <cellStyle name="Input 2 2 19 4 3" xfId="33521"/>
    <cellStyle name="Input 2 2 19 4 4" xfId="52902"/>
    <cellStyle name="Input 2 2 19 5" xfId="18991"/>
    <cellStyle name="Input 2 2 19 5 2" xfId="27311"/>
    <cellStyle name="Input 2 2 19 5 2 2" xfId="52903"/>
    <cellStyle name="Input 2 2 19 5 2 3" xfId="52904"/>
    <cellStyle name="Input 2 2 19 5 3" xfId="34462"/>
    <cellStyle name="Input 2 2 19 5 4" xfId="52905"/>
    <cellStyle name="Input 2 2 19 6" xfId="19959"/>
    <cellStyle name="Input 2 2 19 6 2" xfId="28281"/>
    <cellStyle name="Input 2 2 19 6 2 2" xfId="52906"/>
    <cellStyle name="Input 2 2 19 6 2 3" xfId="52907"/>
    <cellStyle name="Input 2 2 19 6 3" xfId="35409"/>
    <cellStyle name="Input 2 2 19 6 4" xfId="52908"/>
    <cellStyle name="Input 2 2 19 7" xfId="20917"/>
    <cellStyle name="Input 2 2 19 7 2" xfId="29236"/>
    <cellStyle name="Input 2 2 19 7 2 2" xfId="52909"/>
    <cellStyle name="Input 2 2 19 7 2 3" xfId="52910"/>
    <cellStyle name="Input 2 2 19 7 3" xfId="36319"/>
    <cellStyle name="Input 2 2 19 7 4" xfId="52911"/>
    <cellStyle name="Input 2 2 19 8" xfId="21424"/>
    <cellStyle name="Input 2 2 19 8 2" xfId="29727"/>
    <cellStyle name="Input 2 2 19 8 2 2" xfId="52912"/>
    <cellStyle name="Input 2 2 19 8 2 3" xfId="52913"/>
    <cellStyle name="Input 2 2 19 8 3" xfId="36789"/>
    <cellStyle name="Input 2 2 19 8 4" xfId="52914"/>
    <cellStyle name="Input 2 2 19 9" xfId="22352"/>
    <cellStyle name="Input 2 2 19 9 2" xfId="30650"/>
    <cellStyle name="Input 2 2 19 9 2 2" xfId="52915"/>
    <cellStyle name="Input 2 2 19 9 2 3" xfId="52916"/>
    <cellStyle name="Input 2 2 19 9 3" xfId="37672"/>
    <cellStyle name="Input 2 2 19 9 4" xfId="52917"/>
    <cellStyle name="Input 2 2 2" xfId="84"/>
    <cellStyle name="Input 2 2 2 10" xfId="14440"/>
    <cellStyle name="Input 2 2 2 10 2" xfId="52918"/>
    <cellStyle name="Input 2 2 2 10 3" xfId="52919"/>
    <cellStyle name="Input 2 2 2 11" xfId="52920"/>
    <cellStyle name="Input 2 2 2 12" xfId="52921"/>
    <cellStyle name="Input 2 2 2 2" xfId="156"/>
    <cellStyle name="Input 2 2 2 2 2" xfId="282"/>
    <cellStyle name="Input 2 2 2 2 2 2" xfId="691"/>
    <cellStyle name="Input 2 2 2 2 2 2 2" xfId="1642"/>
    <cellStyle name="Input 2 2 2 2 2 2 2 2" xfId="765"/>
    <cellStyle name="Input 2 2 2 2 2 2 2 2 2" xfId="2540"/>
    <cellStyle name="Input 2 2 2 2 2 2 2 2 2 2" xfId="5960"/>
    <cellStyle name="Input 2 2 2 2 2 2 2 2 2 2 2" xfId="12800"/>
    <cellStyle name="Input 2 2 2 2 2 2 2 2 2 3" xfId="9380"/>
    <cellStyle name="Input 2 2 2 2 2 2 2 2 3" xfId="3680"/>
    <cellStyle name="Input 2 2 2 2 2 2 2 2 3 2" xfId="7100"/>
    <cellStyle name="Input 2 2 2 2 2 2 2 2 3 2 2" xfId="13940"/>
    <cellStyle name="Input 2 2 2 2 2 2 2 2 3 3" xfId="10520"/>
    <cellStyle name="Input 2 2 2 2 2 2 2 2 4" xfId="4820"/>
    <cellStyle name="Input 2 2 2 2 2 2 2 2 4 2" xfId="11660"/>
    <cellStyle name="Input 2 2 2 2 2 2 2 2 5" xfId="8240"/>
    <cellStyle name="Input 2 2 2 2 2 2 2 3" xfId="2476"/>
    <cellStyle name="Input 2 2 2 2 2 2 2 3 2" xfId="5896"/>
    <cellStyle name="Input 2 2 2 2 2 2 2 3 2 2" xfId="12736"/>
    <cellStyle name="Input 2 2 2 2 2 2 2 3 3" xfId="9316"/>
    <cellStyle name="Input 2 2 2 2 2 2 2 4" xfId="3616"/>
    <cellStyle name="Input 2 2 2 2 2 2 2 4 2" xfId="7036"/>
    <cellStyle name="Input 2 2 2 2 2 2 2 4 2 2" xfId="13876"/>
    <cellStyle name="Input 2 2 2 2 2 2 2 4 3" xfId="10456"/>
    <cellStyle name="Input 2 2 2 2 2 2 2 5" xfId="4756"/>
    <cellStyle name="Input 2 2 2 2 2 2 2 5 2" xfId="11596"/>
    <cellStyle name="Input 2 2 2 2 2 2 2 6" xfId="8176"/>
    <cellStyle name="Input 2 2 2 2 2 2 3" xfId="38535"/>
    <cellStyle name="Input 2 2 2 2 2 2 4" xfId="52922"/>
    <cellStyle name="Input 2 2 2 2 2 2 5" xfId="52923"/>
    <cellStyle name="Input 2 2 2 2 2 2 6" xfId="52924"/>
    <cellStyle name="Input 2 2 2 2 2 3" xfId="1288"/>
    <cellStyle name="Input 2 2 2 2 2 3 2" xfId="984"/>
    <cellStyle name="Input 2 2 2 2 2 3 2 2" xfId="2650"/>
    <cellStyle name="Input 2 2 2 2 2 3 2 2 2" xfId="6070"/>
    <cellStyle name="Input 2 2 2 2 2 3 2 2 2 2" xfId="12910"/>
    <cellStyle name="Input 2 2 2 2 2 3 2 2 3" xfId="9490"/>
    <cellStyle name="Input 2 2 2 2 2 3 2 3" xfId="3790"/>
    <cellStyle name="Input 2 2 2 2 2 3 2 3 2" xfId="7210"/>
    <cellStyle name="Input 2 2 2 2 2 3 2 3 2 2" xfId="14050"/>
    <cellStyle name="Input 2 2 2 2 2 3 2 3 3" xfId="10630"/>
    <cellStyle name="Input 2 2 2 2 2 3 2 4" xfId="4930"/>
    <cellStyle name="Input 2 2 2 2 2 3 2 4 2" xfId="11770"/>
    <cellStyle name="Input 2 2 2 2 2 3 2 5" xfId="8350"/>
    <cellStyle name="Input 2 2 2 2 2 3 3" xfId="2108"/>
    <cellStyle name="Input 2 2 2 2 2 3 3 2" xfId="5528"/>
    <cellStyle name="Input 2 2 2 2 2 3 3 2 2" xfId="12368"/>
    <cellStyle name="Input 2 2 2 2 2 3 3 3" xfId="8948"/>
    <cellStyle name="Input 2 2 2 2 2 3 4" xfId="3248"/>
    <cellStyle name="Input 2 2 2 2 2 3 4 2" xfId="6668"/>
    <cellStyle name="Input 2 2 2 2 2 3 4 2 2" xfId="13508"/>
    <cellStyle name="Input 2 2 2 2 2 3 4 3" xfId="10088"/>
    <cellStyle name="Input 2 2 2 2 2 3 5" xfId="4388"/>
    <cellStyle name="Input 2 2 2 2 2 3 5 2" xfId="11228"/>
    <cellStyle name="Input 2 2 2 2 2 3 6" xfId="7808"/>
    <cellStyle name="Input 2 2 2 2 2 4" xfId="38298"/>
    <cellStyle name="Input 2 2 2 2 2 5" xfId="52925"/>
    <cellStyle name="Input 2 2 2 2 2 6" xfId="52926"/>
    <cellStyle name="Input 2 2 2 2 2 7" xfId="52927"/>
    <cellStyle name="Input 2 2 2 2 2 8" xfId="52928"/>
    <cellStyle name="Input 2 2 2 2 3" xfId="603"/>
    <cellStyle name="Input 2 2 2 2 3 2" xfId="1590"/>
    <cellStyle name="Input 2 2 2 2 3 2 2" xfId="816"/>
    <cellStyle name="Input 2 2 2 2 3 2 2 2" xfId="1890"/>
    <cellStyle name="Input 2 2 2 2 3 2 2 2 2" xfId="5310"/>
    <cellStyle name="Input 2 2 2 2 3 2 2 2 2 2" xfId="12150"/>
    <cellStyle name="Input 2 2 2 2 3 2 2 2 3" xfId="8730"/>
    <cellStyle name="Input 2 2 2 2 3 2 2 3" xfId="3030"/>
    <cellStyle name="Input 2 2 2 2 3 2 2 3 2" xfId="6450"/>
    <cellStyle name="Input 2 2 2 2 3 2 2 3 2 2" xfId="13290"/>
    <cellStyle name="Input 2 2 2 2 3 2 2 3 3" xfId="9870"/>
    <cellStyle name="Input 2 2 2 2 3 2 2 4" xfId="4170"/>
    <cellStyle name="Input 2 2 2 2 3 2 2 4 2" xfId="11010"/>
    <cellStyle name="Input 2 2 2 2 3 2 2 5" xfId="7590"/>
    <cellStyle name="Input 2 2 2 2 3 2 3" xfId="2415"/>
    <cellStyle name="Input 2 2 2 2 3 2 3 2" xfId="5835"/>
    <cellStyle name="Input 2 2 2 2 3 2 3 2 2" xfId="12675"/>
    <cellStyle name="Input 2 2 2 2 3 2 3 3" xfId="9255"/>
    <cellStyle name="Input 2 2 2 2 3 2 4" xfId="3555"/>
    <cellStyle name="Input 2 2 2 2 3 2 4 2" xfId="6975"/>
    <cellStyle name="Input 2 2 2 2 3 2 4 2 2" xfId="13815"/>
    <cellStyle name="Input 2 2 2 2 3 2 4 3" xfId="10395"/>
    <cellStyle name="Input 2 2 2 2 3 2 5" xfId="4695"/>
    <cellStyle name="Input 2 2 2 2 3 2 5 2" xfId="11535"/>
    <cellStyle name="Input 2 2 2 2 3 2 6" xfId="8115"/>
    <cellStyle name="Input 2 2 2 2 3 3" xfId="38484"/>
    <cellStyle name="Input 2 2 2 2 3 4" xfId="52929"/>
    <cellStyle name="Input 2 2 2 2 3 5" xfId="52930"/>
    <cellStyle name="Input 2 2 2 2 3 6" xfId="52931"/>
    <cellStyle name="Input 2 2 2 2 4" xfId="1164"/>
    <cellStyle name="Input 2 2 2 2 4 2" xfId="1803"/>
    <cellStyle name="Input 2 2 2 2 4 2 2" xfId="2943"/>
    <cellStyle name="Input 2 2 2 2 4 2 2 2" xfId="6363"/>
    <cellStyle name="Input 2 2 2 2 4 2 2 2 2" xfId="13203"/>
    <cellStyle name="Input 2 2 2 2 4 2 2 3" xfId="9783"/>
    <cellStyle name="Input 2 2 2 2 4 2 3" xfId="4083"/>
    <cellStyle name="Input 2 2 2 2 4 2 3 2" xfId="7503"/>
    <cellStyle name="Input 2 2 2 2 4 2 3 2 2" xfId="14343"/>
    <cellStyle name="Input 2 2 2 2 4 2 3 3" xfId="10923"/>
    <cellStyle name="Input 2 2 2 2 4 2 4" xfId="5223"/>
    <cellStyle name="Input 2 2 2 2 4 2 4 2" xfId="12063"/>
    <cellStyle name="Input 2 2 2 2 4 2 5" xfId="8643"/>
    <cellStyle name="Input 2 2 2 2 4 3" xfId="1983"/>
    <cellStyle name="Input 2 2 2 2 4 3 2" xfId="5403"/>
    <cellStyle name="Input 2 2 2 2 4 3 2 2" xfId="12243"/>
    <cellStyle name="Input 2 2 2 2 4 3 3" xfId="8823"/>
    <cellStyle name="Input 2 2 2 2 4 4" xfId="3123"/>
    <cellStyle name="Input 2 2 2 2 4 4 2" xfId="6543"/>
    <cellStyle name="Input 2 2 2 2 4 4 2 2" xfId="13383"/>
    <cellStyle name="Input 2 2 2 2 4 4 3" xfId="9963"/>
    <cellStyle name="Input 2 2 2 2 4 5" xfId="4263"/>
    <cellStyle name="Input 2 2 2 2 4 5 2" xfId="11103"/>
    <cellStyle name="Input 2 2 2 2 4 6" xfId="7683"/>
    <cellStyle name="Input 2 2 2 2 5" xfId="15590"/>
    <cellStyle name="Input 2 2 2 2 6" xfId="23902"/>
    <cellStyle name="Input 2 2 2 2 7" xfId="38220"/>
    <cellStyle name="Input 2 2 2 2 8" xfId="52932"/>
    <cellStyle name="Input 2 2 2 3" xfId="322"/>
    <cellStyle name="Input 2 2 2 3 2" xfId="364"/>
    <cellStyle name="Input 2 2 2 3 2 2" xfId="1369"/>
    <cellStyle name="Input 2 2 2 3 2 2 2" xfId="747"/>
    <cellStyle name="Input 2 2 2 3 2 2 2 2" xfId="2615"/>
    <cellStyle name="Input 2 2 2 3 2 2 2 2 2" xfId="6035"/>
    <cellStyle name="Input 2 2 2 3 2 2 2 2 2 2" xfId="12875"/>
    <cellStyle name="Input 2 2 2 3 2 2 2 2 3" xfId="9455"/>
    <cellStyle name="Input 2 2 2 3 2 2 2 3" xfId="3755"/>
    <cellStyle name="Input 2 2 2 3 2 2 2 3 2" xfId="7175"/>
    <cellStyle name="Input 2 2 2 3 2 2 2 3 2 2" xfId="14015"/>
    <cellStyle name="Input 2 2 2 3 2 2 2 3 3" xfId="10595"/>
    <cellStyle name="Input 2 2 2 3 2 2 2 4" xfId="4895"/>
    <cellStyle name="Input 2 2 2 3 2 2 2 4 2" xfId="11735"/>
    <cellStyle name="Input 2 2 2 3 2 2 2 5" xfId="8315"/>
    <cellStyle name="Input 2 2 2 3 2 2 3" xfId="2190"/>
    <cellStyle name="Input 2 2 2 3 2 2 3 2" xfId="5610"/>
    <cellStyle name="Input 2 2 2 3 2 2 3 2 2" xfId="12450"/>
    <cellStyle name="Input 2 2 2 3 2 2 3 3" xfId="9030"/>
    <cellStyle name="Input 2 2 2 3 2 2 4" xfId="3330"/>
    <cellStyle name="Input 2 2 2 3 2 2 4 2" xfId="6750"/>
    <cellStyle name="Input 2 2 2 3 2 2 4 2 2" xfId="13590"/>
    <cellStyle name="Input 2 2 2 3 2 2 4 3" xfId="10170"/>
    <cellStyle name="Input 2 2 2 3 2 2 5" xfId="4470"/>
    <cellStyle name="Input 2 2 2 3 2 2 5 2" xfId="11310"/>
    <cellStyle name="Input 2 2 2 3 2 2 6" xfId="7890"/>
    <cellStyle name="Input 2 2 2 3 2 3" xfId="38349"/>
    <cellStyle name="Input 2 2 2 3 2 4" xfId="52933"/>
    <cellStyle name="Input 2 2 2 3 2 5" xfId="52934"/>
    <cellStyle name="Input 2 2 2 3 2 6" xfId="52935"/>
    <cellStyle name="Input 2 2 2 3 2 7" xfId="52936"/>
    <cellStyle name="Input 2 2 2 3 3" xfId="1327"/>
    <cellStyle name="Input 2 2 2 3 3 2" xfId="964"/>
    <cellStyle name="Input 2 2 2 3 3 2 2" xfId="2541"/>
    <cellStyle name="Input 2 2 2 3 3 2 2 2" xfId="5961"/>
    <cellStyle name="Input 2 2 2 3 3 2 2 2 2" xfId="12801"/>
    <cellStyle name="Input 2 2 2 3 3 2 2 3" xfId="9381"/>
    <cellStyle name="Input 2 2 2 3 3 2 3" xfId="3681"/>
    <cellStyle name="Input 2 2 2 3 3 2 3 2" xfId="7101"/>
    <cellStyle name="Input 2 2 2 3 3 2 3 2 2" xfId="13941"/>
    <cellStyle name="Input 2 2 2 3 3 2 3 3" xfId="10521"/>
    <cellStyle name="Input 2 2 2 3 3 2 4" xfId="4821"/>
    <cellStyle name="Input 2 2 2 3 3 2 4 2" xfId="11661"/>
    <cellStyle name="Input 2 2 2 3 3 2 5" xfId="8241"/>
    <cellStyle name="Input 2 2 2 3 3 3" xfId="2148"/>
    <cellStyle name="Input 2 2 2 3 3 3 2" xfId="5568"/>
    <cellStyle name="Input 2 2 2 3 3 3 2 2" xfId="12408"/>
    <cellStyle name="Input 2 2 2 3 3 3 3" xfId="8988"/>
    <cellStyle name="Input 2 2 2 3 3 4" xfId="3288"/>
    <cellStyle name="Input 2 2 2 3 3 4 2" xfId="6708"/>
    <cellStyle name="Input 2 2 2 3 3 4 2 2" xfId="13548"/>
    <cellStyle name="Input 2 2 2 3 3 4 3" xfId="10128"/>
    <cellStyle name="Input 2 2 2 3 3 5" xfId="4428"/>
    <cellStyle name="Input 2 2 2 3 3 5 2" xfId="11268"/>
    <cellStyle name="Input 2 2 2 3 3 6" xfId="7848"/>
    <cellStyle name="Input 2 2 2 3 4" xfId="16560"/>
    <cellStyle name="Input 2 2 2 3 5" xfId="24873"/>
    <cellStyle name="Input 2 2 2 3 6" xfId="32133"/>
    <cellStyle name="Input 2 2 2 3 7" xfId="52937"/>
    <cellStyle name="Input 2 2 2 3 8" xfId="52938"/>
    <cellStyle name="Input 2 2 2 4" xfId="224"/>
    <cellStyle name="Input 2 2 2 4 2" xfId="539"/>
    <cellStyle name="Input 2 2 2 4 2 2" xfId="1543"/>
    <cellStyle name="Input 2 2 2 4 2 2 2" xfId="1713"/>
    <cellStyle name="Input 2 2 2 4 2 2 2 2" xfId="2853"/>
    <cellStyle name="Input 2 2 2 4 2 2 2 2 2" xfId="6273"/>
    <cellStyle name="Input 2 2 2 4 2 2 2 2 2 2" xfId="13113"/>
    <cellStyle name="Input 2 2 2 4 2 2 2 2 3" xfId="9693"/>
    <cellStyle name="Input 2 2 2 4 2 2 2 3" xfId="3993"/>
    <cellStyle name="Input 2 2 2 4 2 2 2 3 2" xfId="7413"/>
    <cellStyle name="Input 2 2 2 4 2 2 2 3 2 2" xfId="14253"/>
    <cellStyle name="Input 2 2 2 4 2 2 2 3 3" xfId="10833"/>
    <cellStyle name="Input 2 2 2 4 2 2 2 4" xfId="5133"/>
    <cellStyle name="Input 2 2 2 4 2 2 2 4 2" xfId="11973"/>
    <cellStyle name="Input 2 2 2 4 2 2 2 5" xfId="8553"/>
    <cellStyle name="Input 2 2 2 4 2 2 3" xfId="2364"/>
    <cellStyle name="Input 2 2 2 4 2 2 3 2" xfId="5784"/>
    <cellStyle name="Input 2 2 2 4 2 2 3 2 2" xfId="12624"/>
    <cellStyle name="Input 2 2 2 4 2 2 3 3" xfId="9204"/>
    <cellStyle name="Input 2 2 2 4 2 2 4" xfId="3504"/>
    <cellStyle name="Input 2 2 2 4 2 2 4 2" xfId="6924"/>
    <cellStyle name="Input 2 2 2 4 2 2 4 2 2" xfId="13764"/>
    <cellStyle name="Input 2 2 2 4 2 2 4 3" xfId="10344"/>
    <cellStyle name="Input 2 2 2 4 2 2 5" xfId="4644"/>
    <cellStyle name="Input 2 2 2 4 2 2 5 2" xfId="11484"/>
    <cellStyle name="Input 2 2 2 4 2 2 6" xfId="8064"/>
    <cellStyle name="Input 2 2 2 4 2 3" xfId="38456"/>
    <cellStyle name="Input 2 2 2 4 2 4" xfId="52939"/>
    <cellStyle name="Input 2 2 2 4 2 5" xfId="52940"/>
    <cellStyle name="Input 2 2 2 4 2 6" xfId="52941"/>
    <cellStyle name="Input 2 2 2 4 2 7" xfId="52942"/>
    <cellStyle name="Input 2 2 2 4 3" xfId="1231"/>
    <cellStyle name="Input 2 2 2 4 3 2" xfId="1813"/>
    <cellStyle name="Input 2 2 2 4 3 2 2" xfId="2953"/>
    <cellStyle name="Input 2 2 2 4 3 2 2 2" xfId="6373"/>
    <cellStyle name="Input 2 2 2 4 3 2 2 2 2" xfId="13213"/>
    <cellStyle name="Input 2 2 2 4 3 2 2 3" xfId="9793"/>
    <cellStyle name="Input 2 2 2 4 3 2 3" xfId="4093"/>
    <cellStyle name="Input 2 2 2 4 3 2 3 2" xfId="7513"/>
    <cellStyle name="Input 2 2 2 4 3 2 3 2 2" xfId="14353"/>
    <cellStyle name="Input 2 2 2 4 3 2 3 3" xfId="10933"/>
    <cellStyle name="Input 2 2 2 4 3 2 4" xfId="5233"/>
    <cellStyle name="Input 2 2 2 4 3 2 4 2" xfId="12073"/>
    <cellStyle name="Input 2 2 2 4 3 2 5" xfId="8653"/>
    <cellStyle name="Input 2 2 2 4 3 3" xfId="2051"/>
    <cellStyle name="Input 2 2 2 4 3 3 2" xfId="5471"/>
    <cellStyle name="Input 2 2 2 4 3 3 2 2" xfId="12311"/>
    <cellStyle name="Input 2 2 2 4 3 3 3" xfId="8891"/>
    <cellStyle name="Input 2 2 2 4 3 4" xfId="3191"/>
    <cellStyle name="Input 2 2 2 4 3 4 2" xfId="6611"/>
    <cellStyle name="Input 2 2 2 4 3 4 2 2" xfId="13451"/>
    <cellStyle name="Input 2 2 2 4 3 4 3" xfId="10031"/>
    <cellStyle name="Input 2 2 2 4 3 5" xfId="4331"/>
    <cellStyle name="Input 2 2 2 4 3 5 2" xfId="11171"/>
    <cellStyle name="Input 2 2 2 4 3 6" xfId="7751"/>
    <cellStyle name="Input 2 2 2 4 4" xfId="17578"/>
    <cellStyle name="Input 2 2 2 4 5" xfId="25897"/>
    <cellStyle name="Input 2 2 2 4 6" xfId="33110"/>
    <cellStyle name="Input 2 2 2 4 7" xfId="52943"/>
    <cellStyle name="Input 2 2 2 4 8" xfId="52944"/>
    <cellStyle name="Input 2 2 2 5" xfId="485"/>
    <cellStyle name="Input 2 2 2 5 2" xfId="227"/>
    <cellStyle name="Input 2 2 2 5 2 2" xfId="1234"/>
    <cellStyle name="Input 2 2 2 5 2 2 2" xfId="1694"/>
    <cellStyle name="Input 2 2 2 5 2 2 2 2" xfId="2834"/>
    <cellStyle name="Input 2 2 2 5 2 2 2 2 2" xfId="6254"/>
    <cellStyle name="Input 2 2 2 5 2 2 2 2 2 2" xfId="13094"/>
    <cellStyle name="Input 2 2 2 5 2 2 2 2 3" xfId="9674"/>
    <cellStyle name="Input 2 2 2 5 2 2 2 3" xfId="3974"/>
    <cellStyle name="Input 2 2 2 5 2 2 2 3 2" xfId="7394"/>
    <cellStyle name="Input 2 2 2 5 2 2 2 3 2 2" xfId="14234"/>
    <cellStyle name="Input 2 2 2 5 2 2 2 3 3" xfId="10814"/>
    <cellStyle name="Input 2 2 2 5 2 2 2 4" xfId="5114"/>
    <cellStyle name="Input 2 2 2 5 2 2 2 4 2" xfId="11954"/>
    <cellStyle name="Input 2 2 2 5 2 2 2 5" xfId="8534"/>
    <cellStyle name="Input 2 2 2 5 2 2 3" xfId="2054"/>
    <cellStyle name="Input 2 2 2 5 2 2 3 2" xfId="5474"/>
    <cellStyle name="Input 2 2 2 5 2 2 3 2 2" xfId="12314"/>
    <cellStyle name="Input 2 2 2 5 2 2 3 3" xfId="8894"/>
    <cellStyle name="Input 2 2 2 5 2 2 4" xfId="3194"/>
    <cellStyle name="Input 2 2 2 5 2 2 4 2" xfId="6614"/>
    <cellStyle name="Input 2 2 2 5 2 2 4 2 2" xfId="13454"/>
    <cellStyle name="Input 2 2 2 5 2 2 4 3" xfId="10034"/>
    <cellStyle name="Input 2 2 2 5 2 2 5" xfId="4334"/>
    <cellStyle name="Input 2 2 2 5 2 2 5 2" xfId="11174"/>
    <cellStyle name="Input 2 2 2 5 2 2 6" xfId="7754"/>
    <cellStyle name="Input 2 2 2 5 2 3" xfId="38255"/>
    <cellStyle name="Input 2 2 2 5 2 4" xfId="52945"/>
    <cellStyle name="Input 2 2 2 5 2 5" xfId="52946"/>
    <cellStyle name="Input 2 2 2 5 2 6" xfId="52947"/>
    <cellStyle name="Input 2 2 2 5 2 7" xfId="52948"/>
    <cellStyle name="Input 2 2 2 5 3" xfId="1489"/>
    <cellStyle name="Input 2 2 2 5 3 2" xfId="865"/>
    <cellStyle name="Input 2 2 2 5 3 2 2" xfId="2538"/>
    <cellStyle name="Input 2 2 2 5 3 2 2 2" xfId="5958"/>
    <cellStyle name="Input 2 2 2 5 3 2 2 2 2" xfId="12798"/>
    <cellStyle name="Input 2 2 2 5 3 2 2 3" xfId="9378"/>
    <cellStyle name="Input 2 2 2 5 3 2 3" xfId="3678"/>
    <cellStyle name="Input 2 2 2 5 3 2 3 2" xfId="7098"/>
    <cellStyle name="Input 2 2 2 5 3 2 3 2 2" xfId="13938"/>
    <cellStyle name="Input 2 2 2 5 3 2 3 3" xfId="10518"/>
    <cellStyle name="Input 2 2 2 5 3 2 4" xfId="4818"/>
    <cellStyle name="Input 2 2 2 5 3 2 4 2" xfId="11658"/>
    <cellStyle name="Input 2 2 2 5 3 2 5" xfId="8238"/>
    <cellStyle name="Input 2 2 2 5 3 3" xfId="2310"/>
    <cellStyle name="Input 2 2 2 5 3 3 2" xfId="5730"/>
    <cellStyle name="Input 2 2 2 5 3 3 2 2" xfId="12570"/>
    <cellStyle name="Input 2 2 2 5 3 3 3" xfId="9150"/>
    <cellStyle name="Input 2 2 2 5 3 4" xfId="3450"/>
    <cellStyle name="Input 2 2 2 5 3 4 2" xfId="6870"/>
    <cellStyle name="Input 2 2 2 5 3 4 2 2" xfId="13710"/>
    <cellStyle name="Input 2 2 2 5 3 4 3" xfId="10290"/>
    <cellStyle name="Input 2 2 2 5 3 5" xfId="4590"/>
    <cellStyle name="Input 2 2 2 5 3 5 2" xfId="11430"/>
    <cellStyle name="Input 2 2 2 5 3 6" xfId="8010"/>
    <cellStyle name="Input 2 2 2 5 4" xfId="15528"/>
    <cellStyle name="Input 2 2 2 5 5" xfId="23864"/>
    <cellStyle name="Input 2 2 2 5 6" xfId="31210"/>
    <cellStyle name="Input 2 2 2 5 7" xfId="52949"/>
    <cellStyle name="Input 2 2 2 5 8" xfId="52950"/>
    <cellStyle name="Input 2 2 2 6" xfId="419"/>
    <cellStyle name="Input 2 2 2 6 2" xfId="547"/>
    <cellStyle name="Input 2 2 2 6 2 2" xfId="1551"/>
    <cellStyle name="Input 2 2 2 6 2 2 2" xfId="1681"/>
    <cellStyle name="Input 2 2 2 6 2 2 2 2" xfId="2821"/>
    <cellStyle name="Input 2 2 2 6 2 2 2 2 2" xfId="6241"/>
    <cellStyle name="Input 2 2 2 6 2 2 2 2 2 2" xfId="13081"/>
    <cellStyle name="Input 2 2 2 6 2 2 2 2 3" xfId="9661"/>
    <cellStyle name="Input 2 2 2 6 2 2 2 3" xfId="3961"/>
    <cellStyle name="Input 2 2 2 6 2 2 2 3 2" xfId="7381"/>
    <cellStyle name="Input 2 2 2 6 2 2 2 3 2 2" xfId="14221"/>
    <cellStyle name="Input 2 2 2 6 2 2 2 3 3" xfId="10801"/>
    <cellStyle name="Input 2 2 2 6 2 2 2 4" xfId="5101"/>
    <cellStyle name="Input 2 2 2 6 2 2 2 4 2" xfId="11941"/>
    <cellStyle name="Input 2 2 2 6 2 2 2 5" xfId="8521"/>
    <cellStyle name="Input 2 2 2 6 2 2 3" xfId="2372"/>
    <cellStyle name="Input 2 2 2 6 2 2 3 2" xfId="5792"/>
    <cellStyle name="Input 2 2 2 6 2 2 3 2 2" xfId="12632"/>
    <cellStyle name="Input 2 2 2 6 2 2 3 3" xfId="9212"/>
    <cellStyle name="Input 2 2 2 6 2 2 4" xfId="3512"/>
    <cellStyle name="Input 2 2 2 6 2 2 4 2" xfId="6932"/>
    <cellStyle name="Input 2 2 2 6 2 2 4 2 2" xfId="13772"/>
    <cellStyle name="Input 2 2 2 6 2 2 4 3" xfId="10352"/>
    <cellStyle name="Input 2 2 2 6 2 2 5" xfId="4652"/>
    <cellStyle name="Input 2 2 2 6 2 2 5 2" xfId="11492"/>
    <cellStyle name="Input 2 2 2 6 2 2 6" xfId="8072"/>
    <cellStyle name="Input 2 2 2 6 2 3" xfId="38462"/>
    <cellStyle name="Input 2 2 2 6 2 4" xfId="52951"/>
    <cellStyle name="Input 2 2 2 6 2 5" xfId="52952"/>
    <cellStyle name="Input 2 2 2 6 2 6" xfId="52953"/>
    <cellStyle name="Input 2 2 2 6 2 7" xfId="52954"/>
    <cellStyle name="Input 2 2 2 6 3" xfId="1424"/>
    <cellStyle name="Input 2 2 2 6 3 2" xfId="1663"/>
    <cellStyle name="Input 2 2 2 6 3 2 2" xfId="2803"/>
    <cellStyle name="Input 2 2 2 6 3 2 2 2" xfId="6223"/>
    <cellStyle name="Input 2 2 2 6 3 2 2 2 2" xfId="13063"/>
    <cellStyle name="Input 2 2 2 6 3 2 2 3" xfId="9643"/>
    <cellStyle name="Input 2 2 2 6 3 2 3" xfId="3943"/>
    <cellStyle name="Input 2 2 2 6 3 2 3 2" xfId="7363"/>
    <cellStyle name="Input 2 2 2 6 3 2 3 2 2" xfId="14203"/>
    <cellStyle name="Input 2 2 2 6 3 2 3 3" xfId="10783"/>
    <cellStyle name="Input 2 2 2 6 3 2 4" xfId="5083"/>
    <cellStyle name="Input 2 2 2 6 3 2 4 2" xfId="11923"/>
    <cellStyle name="Input 2 2 2 6 3 2 5" xfId="8503"/>
    <cellStyle name="Input 2 2 2 6 3 3" xfId="2245"/>
    <cellStyle name="Input 2 2 2 6 3 3 2" xfId="5665"/>
    <cellStyle name="Input 2 2 2 6 3 3 2 2" xfId="12505"/>
    <cellStyle name="Input 2 2 2 6 3 3 3" xfId="9085"/>
    <cellStyle name="Input 2 2 2 6 3 4" xfId="3385"/>
    <cellStyle name="Input 2 2 2 6 3 4 2" xfId="6805"/>
    <cellStyle name="Input 2 2 2 6 3 4 2 2" xfId="13645"/>
    <cellStyle name="Input 2 2 2 6 3 4 3" xfId="10225"/>
    <cellStyle name="Input 2 2 2 6 3 5" xfId="4525"/>
    <cellStyle name="Input 2 2 2 6 3 5 2" xfId="11365"/>
    <cellStyle name="Input 2 2 2 6 3 6" xfId="7945"/>
    <cellStyle name="Input 2 2 2 6 4" xfId="16165"/>
    <cellStyle name="Input 2 2 2 6 5" xfId="24478"/>
    <cellStyle name="Input 2 2 2 6 6" xfId="31755"/>
    <cellStyle name="Input 2 2 2 6 7" xfId="52955"/>
    <cellStyle name="Input 2 2 2 6 8" xfId="52956"/>
    <cellStyle name="Input 2 2 2 7" xfId="1113"/>
    <cellStyle name="Input 2 2 2 7 2" xfId="1785"/>
    <cellStyle name="Input 2 2 2 7 2 2" xfId="2925"/>
    <cellStyle name="Input 2 2 2 7 2 2 2" xfId="6345"/>
    <cellStyle name="Input 2 2 2 7 2 2 2 2" xfId="13185"/>
    <cellStyle name="Input 2 2 2 7 2 2 3" xfId="9765"/>
    <cellStyle name="Input 2 2 2 7 2 3" xfId="4065"/>
    <cellStyle name="Input 2 2 2 7 2 3 2" xfId="7485"/>
    <cellStyle name="Input 2 2 2 7 2 3 2 2" xfId="14325"/>
    <cellStyle name="Input 2 2 2 7 2 3 3" xfId="10905"/>
    <cellStyle name="Input 2 2 2 7 2 4" xfId="5205"/>
    <cellStyle name="Input 2 2 2 7 2 4 2" xfId="12045"/>
    <cellStyle name="Input 2 2 2 7 2 5" xfId="8625"/>
    <cellStyle name="Input 2 2 2 7 3" xfId="1922"/>
    <cellStyle name="Input 2 2 2 7 3 2" xfId="5342"/>
    <cellStyle name="Input 2 2 2 7 3 2 2" xfId="12182"/>
    <cellStyle name="Input 2 2 2 7 3 3" xfId="8762"/>
    <cellStyle name="Input 2 2 2 7 4" xfId="3062"/>
    <cellStyle name="Input 2 2 2 7 4 2" xfId="6482"/>
    <cellStyle name="Input 2 2 2 7 4 2 2" xfId="13322"/>
    <cellStyle name="Input 2 2 2 7 4 3" xfId="9902"/>
    <cellStyle name="Input 2 2 2 7 5" xfId="4202"/>
    <cellStyle name="Input 2 2 2 7 5 2" xfId="11042"/>
    <cellStyle name="Input 2 2 2 7 6" xfId="7622"/>
    <cellStyle name="Input 2 2 2 7 7" xfId="15537"/>
    <cellStyle name="Input 2 2 2 7 8" xfId="23873"/>
    <cellStyle name="Input 2 2 2 7 9" xfId="31218"/>
    <cellStyle name="Input 2 2 2 8" xfId="21163"/>
    <cellStyle name="Input 2 2 2 8 2" xfId="29475"/>
    <cellStyle name="Input 2 2 2 8 2 2" xfId="52957"/>
    <cellStyle name="Input 2 2 2 8 2 3" xfId="52958"/>
    <cellStyle name="Input 2 2 2 8 3" xfId="36547"/>
    <cellStyle name="Input 2 2 2 8 4" xfId="52959"/>
    <cellStyle name="Input 2 2 2 9" xfId="20504"/>
    <cellStyle name="Input 2 2 2 9 2" xfId="28826"/>
    <cellStyle name="Input 2 2 2 9 2 2" xfId="52960"/>
    <cellStyle name="Input 2 2 2 9 2 3" xfId="52961"/>
    <cellStyle name="Input 2 2 2 9 3" xfId="35932"/>
    <cellStyle name="Input 2 2 2 9 4" xfId="52962"/>
    <cellStyle name="Input 2 2 20" xfId="14921"/>
    <cellStyle name="Input 2 2 20 10" xfId="23284"/>
    <cellStyle name="Input 2 2 20 11" xfId="52963"/>
    <cellStyle name="Input 2 2 20 2" xfId="16002"/>
    <cellStyle name="Input 2 2 20 2 2" xfId="24319"/>
    <cellStyle name="Input 2 2 20 2 2 2" xfId="52964"/>
    <cellStyle name="Input 2 2 20 2 2 3" xfId="52965"/>
    <cellStyle name="Input 2 2 20 2 3" xfId="31599"/>
    <cellStyle name="Input 2 2 20 2 4" xfId="52966"/>
    <cellStyle name="Input 2 2 20 3" xfId="16968"/>
    <cellStyle name="Input 2 2 20 3 2" xfId="25291"/>
    <cellStyle name="Input 2 2 20 3 2 2" xfId="52967"/>
    <cellStyle name="Input 2 2 20 3 2 3" xfId="52968"/>
    <cellStyle name="Input 2 2 20 3 3" xfId="32532"/>
    <cellStyle name="Input 2 2 20 3 4" xfId="52969"/>
    <cellStyle name="Input 2 2 20 4" xfId="17995"/>
    <cellStyle name="Input 2 2 20 4 2" xfId="26317"/>
    <cellStyle name="Input 2 2 20 4 2 2" xfId="52970"/>
    <cellStyle name="Input 2 2 20 4 2 3" xfId="52971"/>
    <cellStyle name="Input 2 2 20 4 3" xfId="33509"/>
    <cellStyle name="Input 2 2 20 4 4" xfId="52972"/>
    <cellStyle name="Input 2 2 20 5" xfId="18979"/>
    <cellStyle name="Input 2 2 20 5 2" xfId="27299"/>
    <cellStyle name="Input 2 2 20 5 2 2" xfId="52973"/>
    <cellStyle name="Input 2 2 20 5 2 3" xfId="52974"/>
    <cellStyle name="Input 2 2 20 5 3" xfId="34450"/>
    <cellStyle name="Input 2 2 20 5 4" xfId="52975"/>
    <cellStyle name="Input 2 2 20 6" xfId="19947"/>
    <cellStyle name="Input 2 2 20 6 2" xfId="28269"/>
    <cellStyle name="Input 2 2 20 6 2 2" xfId="52976"/>
    <cellStyle name="Input 2 2 20 6 2 3" xfId="52977"/>
    <cellStyle name="Input 2 2 20 6 3" xfId="35397"/>
    <cellStyle name="Input 2 2 20 6 4" xfId="52978"/>
    <cellStyle name="Input 2 2 20 7" xfId="20905"/>
    <cellStyle name="Input 2 2 20 7 2" xfId="29224"/>
    <cellStyle name="Input 2 2 20 7 2 2" xfId="52979"/>
    <cellStyle name="Input 2 2 20 7 2 3" xfId="52980"/>
    <cellStyle name="Input 2 2 20 7 3" xfId="36307"/>
    <cellStyle name="Input 2 2 20 7 4" xfId="52981"/>
    <cellStyle name="Input 2 2 20 8" xfId="21412"/>
    <cellStyle name="Input 2 2 20 8 2" xfId="29715"/>
    <cellStyle name="Input 2 2 20 8 2 2" xfId="52982"/>
    <cellStyle name="Input 2 2 20 8 2 3" xfId="52983"/>
    <cellStyle name="Input 2 2 20 8 3" xfId="36777"/>
    <cellStyle name="Input 2 2 20 8 4" xfId="52984"/>
    <cellStyle name="Input 2 2 20 9" xfId="22340"/>
    <cellStyle name="Input 2 2 20 9 2" xfId="30638"/>
    <cellStyle name="Input 2 2 20 9 2 2" xfId="52985"/>
    <cellStyle name="Input 2 2 20 9 2 3" xfId="52986"/>
    <cellStyle name="Input 2 2 20 9 3" xfId="37660"/>
    <cellStyle name="Input 2 2 20 9 4" xfId="52987"/>
    <cellStyle name="Input 2 2 21" xfId="14963"/>
    <cellStyle name="Input 2 2 21 10" xfId="23324"/>
    <cellStyle name="Input 2 2 21 11" xfId="52988"/>
    <cellStyle name="Input 2 2 21 2" xfId="16044"/>
    <cellStyle name="Input 2 2 21 2 2" xfId="24359"/>
    <cellStyle name="Input 2 2 21 2 2 2" xfId="52989"/>
    <cellStyle name="Input 2 2 21 2 2 3" xfId="52990"/>
    <cellStyle name="Input 2 2 21 2 3" xfId="31638"/>
    <cellStyle name="Input 2 2 21 2 4" xfId="52991"/>
    <cellStyle name="Input 2 2 21 3" xfId="17010"/>
    <cellStyle name="Input 2 2 21 3 2" xfId="25331"/>
    <cellStyle name="Input 2 2 21 3 2 2" xfId="52992"/>
    <cellStyle name="Input 2 2 21 3 2 3" xfId="52993"/>
    <cellStyle name="Input 2 2 21 3 3" xfId="32571"/>
    <cellStyle name="Input 2 2 21 3 4" xfId="52994"/>
    <cellStyle name="Input 2 2 21 4" xfId="18037"/>
    <cellStyle name="Input 2 2 21 4 2" xfId="26357"/>
    <cellStyle name="Input 2 2 21 4 2 2" xfId="52995"/>
    <cellStyle name="Input 2 2 21 4 2 3" xfId="52996"/>
    <cellStyle name="Input 2 2 21 4 3" xfId="33548"/>
    <cellStyle name="Input 2 2 21 4 4" xfId="52997"/>
    <cellStyle name="Input 2 2 21 5" xfId="19021"/>
    <cellStyle name="Input 2 2 21 5 2" xfId="27341"/>
    <cellStyle name="Input 2 2 21 5 2 2" xfId="52998"/>
    <cellStyle name="Input 2 2 21 5 2 3" xfId="52999"/>
    <cellStyle name="Input 2 2 21 5 3" xfId="34491"/>
    <cellStyle name="Input 2 2 21 5 4" xfId="53000"/>
    <cellStyle name="Input 2 2 21 6" xfId="19989"/>
    <cellStyle name="Input 2 2 21 6 2" xfId="28311"/>
    <cellStyle name="Input 2 2 21 6 2 2" xfId="53001"/>
    <cellStyle name="Input 2 2 21 6 2 3" xfId="53002"/>
    <cellStyle name="Input 2 2 21 6 3" xfId="35438"/>
    <cellStyle name="Input 2 2 21 6 4" xfId="53003"/>
    <cellStyle name="Input 2 2 21 7" xfId="20947"/>
    <cellStyle name="Input 2 2 21 7 2" xfId="29264"/>
    <cellStyle name="Input 2 2 21 7 2 2" xfId="53004"/>
    <cellStyle name="Input 2 2 21 7 2 3" xfId="53005"/>
    <cellStyle name="Input 2 2 21 7 3" xfId="36346"/>
    <cellStyle name="Input 2 2 21 7 4" xfId="53006"/>
    <cellStyle name="Input 2 2 21 8" xfId="21454"/>
    <cellStyle name="Input 2 2 21 8 2" xfId="29755"/>
    <cellStyle name="Input 2 2 21 8 2 2" xfId="53007"/>
    <cellStyle name="Input 2 2 21 8 2 3" xfId="53008"/>
    <cellStyle name="Input 2 2 21 8 3" xfId="36816"/>
    <cellStyle name="Input 2 2 21 8 4" xfId="53009"/>
    <cellStyle name="Input 2 2 21 9" xfId="22382"/>
    <cellStyle name="Input 2 2 21 9 2" xfId="30678"/>
    <cellStyle name="Input 2 2 21 9 2 2" xfId="53010"/>
    <cellStyle name="Input 2 2 21 9 2 3" xfId="53011"/>
    <cellStyle name="Input 2 2 21 9 3" xfId="37699"/>
    <cellStyle name="Input 2 2 21 9 4" xfId="53012"/>
    <cellStyle name="Input 2 2 22" xfId="14992"/>
    <cellStyle name="Input 2 2 22 10" xfId="23353"/>
    <cellStyle name="Input 2 2 22 11" xfId="53013"/>
    <cellStyle name="Input 2 2 22 2" xfId="16073"/>
    <cellStyle name="Input 2 2 22 2 2" xfId="24388"/>
    <cellStyle name="Input 2 2 22 2 2 2" xfId="53014"/>
    <cellStyle name="Input 2 2 22 2 2 3" xfId="53015"/>
    <cellStyle name="Input 2 2 22 2 3" xfId="31667"/>
    <cellStyle name="Input 2 2 22 2 4" xfId="53016"/>
    <cellStyle name="Input 2 2 22 3" xfId="17039"/>
    <cellStyle name="Input 2 2 22 3 2" xfId="25360"/>
    <cellStyle name="Input 2 2 22 3 2 2" xfId="53017"/>
    <cellStyle name="Input 2 2 22 3 2 3" xfId="53018"/>
    <cellStyle name="Input 2 2 22 3 3" xfId="32600"/>
    <cellStyle name="Input 2 2 22 3 4" xfId="53019"/>
    <cellStyle name="Input 2 2 22 4" xfId="18066"/>
    <cellStyle name="Input 2 2 22 4 2" xfId="26386"/>
    <cellStyle name="Input 2 2 22 4 2 2" xfId="53020"/>
    <cellStyle name="Input 2 2 22 4 2 3" xfId="53021"/>
    <cellStyle name="Input 2 2 22 4 3" xfId="33577"/>
    <cellStyle name="Input 2 2 22 4 4" xfId="53022"/>
    <cellStyle name="Input 2 2 22 5" xfId="19050"/>
    <cellStyle name="Input 2 2 22 5 2" xfId="27370"/>
    <cellStyle name="Input 2 2 22 5 2 2" xfId="53023"/>
    <cellStyle name="Input 2 2 22 5 2 3" xfId="53024"/>
    <cellStyle name="Input 2 2 22 5 3" xfId="34520"/>
    <cellStyle name="Input 2 2 22 5 4" xfId="53025"/>
    <cellStyle name="Input 2 2 22 6" xfId="20018"/>
    <cellStyle name="Input 2 2 22 6 2" xfId="28340"/>
    <cellStyle name="Input 2 2 22 6 2 2" xfId="53026"/>
    <cellStyle name="Input 2 2 22 6 2 3" xfId="53027"/>
    <cellStyle name="Input 2 2 22 6 3" xfId="35467"/>
    <cellStyle name="Input 2 2 22 6 4" xfId="53028"/>
    <cellStyle name="Input 2 2 22 7" xfId="20976"/>
    <cellStyle name="Input 2 2 22 7 2" xfId="29293"/>
    <cellStyle name="Input 2 2 22 7 2 2" xfId="53029"/>
    <cellStyle name="Input 2 2 22 7 2 3" xfId="53030"/>
    <cellStyle name="Input 2 2 22 7 3" xfId="36375"/>
    <cellStyle name="Input 2 2 22 7 4" xfId="53031"/>
    <cellStyle name="Input 2 2 22 8" xfId="21483"/>
    <cellStyle name="Input 2 2 22 8 2" xfId="29784"/>
    <cellStyle name="Input 2 2 22 8 2 2" xfId="53032"/>
    <cellStyle name="Input 2 2 22 8 2 3" xfId="53033"/>
    <cellStyle name="Input 2 2 22 8 3" xfId="36845"/>
    <cellStyle name="Input 2 2 22 8 4" xfId="53034"/>
    <cellStyle name="Input 2 2 22 9" xfId="22411"/>
    <cellStyle name="Input 2 2 22 9 2" xfId="30707"/>
    <cellStyle name="Input 2 2 22 9 2 2" xfId="53035"/>
    <cellStyle name="Input 2 2 22 9 2 3" xfId="53036"/>
    <cellStyle name="Input 2 2 22 9 3" xfId="37728"/>
    <cellStyle name="Input 2 2 22 9 4" xfId="53037"/>
    <cellStyle name="Input 2 2 23" xfId="15077"/>
    <cellStyle name="Input 2 2 23 10" xfId="53038"/>
    <cellStyle name="Input 2 2 23 2" xfId="16157"/>
    <cellStyle name="Input 2 2 23 2 2" xfId="24471"/>
    <cellStyle name="Input 2 2 23 2 2 2" xfId="53039"/>
    <cellStyle name="Input 2 2 23 2 2 3" xfId="53040"/>
    <cellStyle name="Input 2 2 23 2 3" xfId="31748"/>
    <cellStyle name="Input 2 2 23 2 4" xfId="53041"/>
    <cellStyle name="Input 2 2 23 3" xfId="17124"/>
    <cellStyle name="Input 2 2 23 3 2" xfId="25445"/>
    <cellStyle name="Input 2 2 23 3 2 2" xfId="53042"/>
    <cellStyle name="Input 2 2 23 3 2 3" xfId="53043"/>
    <cellStyle name="Input 2 2 23 3 3" xfId="32682"/>
    <cellStyle name="Input 2 2 23 3 4" xfId="53044"/>
    <cellStyle name="Input 2 2 23 4" xfId="18151"/>
    <cellStyle name="Input 2 2 23 4 2" xfId="26471"/>
    <cellStyle name="Input 2 2 23 4 2 2" xfId="53045"/>
    <cellStyle name="Input 2 2 23 4 2 3" xfId="53046"/>
    <cellStyle name="Input 2 2 23 4 3" xfId="33659"/>
    <cellStyle name="Input 2 2 23 4 4" xfId="53047"/>
    <cellStyle name="Input 2 2 23 5" xfId="19135"/>
    <cellStyle name="Input 2 2 23 5 2" xfId="27455"/>
    <cellStyle name="Input 2 2 23 5 2 2" xfId="53048"/>
    <cellStyle name="Input 2 2 23 5 2 3" xfId="53049"/>
    <cellStyle name="Input 2 2 23 5 3" xfId="34603"/>
    <cellStyle name="Input 2 2 23 5 4" xfId="53050"/>
    <cellStyle name="Input 2 2 23 6" xfId="20103"/>
    <cellStyle name="Input 2 2 23 6 2" xfId="28425"/>
    <cellStyle name="Input 2 2 23 6 2 2" xfId="53051"/>
    <cellStyle name="Input 2 2 23 6 2 3" xfId="53052"/>
    <cellStyle name="Input 2 2 23 6 3" xfId="35550"/>
    <cellStyle name="Input 2 2 23 6 4" xfId="53053"/>
    <cellStyle name="Input 2 2 23 7" xfId="21566"/>
    <cellStyle name="Input 2 2 23 7 2" xfId="29867"/>
    <cellStyle name="Input 2 2 23 7 2 2" xfId="53054"/>
    <cellStyle name="Input 2 2 23 7 2 3" xfId="53055"/>
    <cellStyle name="Input 2 2 23 7 3" xfId="36926"/>
    <cellStyle name="Input 2 2 23 7 4" xfId="53056"/>
    <cellStyle name="Input 2 2 23 8" xfId="22494"/>
    <cellStyle name="Input 2 2 23 8 2" xfId="30790"/>
    <cellStyle name="Input 2 2 23 8 2 2" xfId="53057"/>
    <cellStyle name="Input 2 2 23 8 2 3" xfId="53058"/>
    <cellStyle name="Input 2 2 23 8 3" xfId="37809"/>
    <cellStyle name="Input 2 2 23 8 4" xfId="53059"/>
    <cellStyle name="Input 2 2 23 9" xfId="23436"/>
    <cellStyle name="Input 2 2 24" xfId="15137"/>
    <cellStyle name="Input 2 2 24 10" xfId="53060"/>
    <cellStyle name="Input 2 2 24 2" xfId="16217"/>
    <cellStyle name="Input 2 2 24 2 2" xfId="24530"/>
    <cellStyle name="Input 2 2 24 2 2 2" xfId="53061"/>
    <cellStyle name="Input 2 2 24 2 2 3" xfId="53062"/>
    <cellStyle name="Input 2 2 24 2 3" xfId="31805"/>
    <cellStyle name="Input 2 2 24 2 4" xfId="53063"/>
    <cellStyle name="Input 2 2 24 3" xfId="17183"/>
    <cellStyle name="Input 2 2 24 3 2" xfId="25504"/>
    <cellStyle name="Input 2 2 24 3 2 2" xfId="53064"/>
    <cellStyle name="Input 2 2 24 3 2 3" xfId="53065"/>
    <cellStyle name="Input 2 2 24 3 3" xfId="32738"/>
    <cellStyle name="Input 2 2 24 3 4" xfId="53066"/>
    <cellStyle name="Input 2 2 24 4" xfId="18211"/>
    <cellStyle name="Input 2 2 24 4 2" xfId="26531"/>
    <cellStyle name="Input 2 2 24 4 2 2" xfId="53067"/>
    <cellStyle name="Input 2 2 24 4 2 3" xfId="53068"/>
    <cellStyle name="Input 2 2 24 4 3" xfId="33716"/>
    <cellStyle name="Input 2 2 24 4 4" xfId="53069"/>
    <cellStyle name="Input 2 2 24 5" xfId="19195"/>
    <cellStyle name="Input 2 2 24 5 2" xfId="27515"/>
    <cellStyle name="Input 2 2 24 5 2 2" xfId="53070"/>
    <cellStyle name="Input 2 2 24 5 2 3" xfId="53071"/>
    <cellStyle name="Input 2 2 24 5 3" xfId="34663"/>
    <cellStyle name="Input 2 2 24 5 4" xfId="53072"/>
    <cellStyle name="Input 2 2 24 6" xfId="20163"/>
    <cellStyle name="Input 2 2 24 6 2" xfId="28485"/>
    <cellStyle name="Input 2 2 24 6 2 2" xfId="53073"/>
    <cellStyle name="Input 2 2 24 6 2 3" xfId="53074"/>
    <cellStyle name="Input 2 2 24 6 3" xfId="35608"/>
    <cellStyle name="Input 2 2 24 6 4" xfId="53075"/>
    <cellStyle name="Input 2 2 24 7" xfId="21624"/>
    <cellStyle name="Input 2 2 24 7 2" xfId="29925"/>
    <cellStyle name="Input 2 2 24 7 2 2" xfId="53076"/>
    <cellStyle name="Input 2 2 24 7 2 3" xfId="53077"/>
    <cellStyle name="Input 2 2 24 7 3" xfId="36982"/>
    <cellStyle name="Input 2 2 24 7 4" xfId="53078"/>
    <cellStyle name="Input 2 2 24 8" xfId="22552"/>
    <cellStyle name="Input 2 2 24 8 2" xfId="30848"/>
    <cellStyle name="Input 2 2 24 8 2 2" xfId="53079"/>
    <cellStyle name="Input 2 2 24 8 2 3" xfId="53080"/>
    <cellStyle name="Input 2 2 24 8 3" xfId="37865"/>
    <cellStyle name="Input 2 2 24 8 4" xfId="53081"/>
    <cellStyle name="Input 2 2 24 9" xfId="23494"/>
    <cellStyle name="Input 2 2 25" xfId="15157"/>
    <cellStyle name="Input 2 2 25 10" xfId="53082"/>
    <cellStyle name="Input 2 2 25 2" xfId="16237"/>
    <cellStyle name="Input 2 2 25 2 2" xfId="24550"/>
    <cellStyle name="Input 2 2 25 2 2 2" xfId="53083"/>
    <cellStyle name="Input 2 2 25 2 2 3" xfId="53084"/>
    <cellStyle name="Input 2 2 25 2 3" xfId="31823"/>
    <cellStyle name="Input 2 2 25 2 4" xfId="53085"/>
    <cellStyle name="Input 2 2 25 3" xfId="17203"/>
    <cellStyle name="Input 2 2 25 3 2" xfId="25524"/>
    <cellStyle name="Input 2 2 25 3 2 2" xfId="53086"/>
    <cellStyle name="Input 2 2 25 3 2 3" xfId="53087"/>
    <cellStyle name="Input 2 2 25 3 3" xfId="32756"/>
    <cellStyle name="Input 2 2 25 3 4" xfId="53088"/>
    <cellStyle name="Input 2 2 25 4" xfId="18231"/>
    <cellStyle name="Input 2 2 25 4 2" xfId="26551"/>
    <cellStyle name="Input 2 2 25 4 2 2" xfId="53089"/>
    <cellStyle name="Input 2 2 25 4 2 3" xfId="53090"/>
    <cellStyle name="Input 2 2 25 4 3" xfId="33734"/>
    <cellStyle name="Input 2 2 25 4 4" xfId="53091"/>
    <cellStyle name="Input 2 2 25 5" xfId="19215"/>
    <cellStyle name="Input 2 2 25 5 2" xfId="27535"/>
    <cellStyle name="Input 2 2 25 5 2 2" xfId="53092"/>
    <cellStyle name="Input 2 2 25 5 2 3" xfId="53093"/>
    <cellStyle name="Input 2 2 25 5 3" xfId="34683"/>
    <cellStyle name="Input 2 2 25 5 4" xfId="53094"/>
    <cellStyle name="Input 2 2 25 6" xfId="20183"/>
    <cellStyle name="Input 2 2 25 6 2" xfId="28505"/>
    <cellStyle name="Input 2 2 25 6 2 2" xfId="53095"/>
    <cellStyle name="Input 2 2 25 6 2 3" xfId="53096"/>
    <cellStyle name="Input 2 2 25 6 3" xfId="35626"/>
    <cellStyle name="Input 2 2 25 6 4" xfId="53097"/>
    <cellStyle name="Input 2 2 25 7" xfId="21644"/>
    <cellStyle name="Input 2 2 25 7 2" xfId="29945"/>
    <cellStyle name="Input 2 2 25 7 2 2" xfId="53098"/>
    <cellStyle name="Input 2 2 25 7 2 3" xfId="53099"/>
    <cellStyle name="Input 2 2 25 7 3" xfId="37000"/>
    <cellStyle name="Input 2 2 25 7 4" xfId="53100"/>
    <cellStyle name="Input 2 2 25 8" xfId="22572"/>
    <cellStyle name="Input 2 2 25 8 2" xfId="30868"/>
    <cellStyle name="Input 2 2 25 8 2 2" xfId="53101"/>
    <cellStyle name="Input 2 2 25 8 2 3" xfId="53102"/>
    <cellStyle name="Input 2 2 25 8 3" xfId="37883"/>
    <cellStyle name="Input 2 2 25 8 4" xfId="53103"/>
    <cellStyle name="Input 2 2 25 9" xfId="23514"/>
    <cellStyle name="Input 2 2 26" xfId="15179"/>
    <cellStyle name="Input 2 2 26 10" xfId="53104"/>
    <cellStyle name="Input 2 2 26 2" xfId="16259"/>
    <cellStyle name="Input 2 2 26 2 2" xfId="24572"/>
    <cellStyle name="Input 2 2 26 2 2 2" xfId="53105"/>
    <cellStyle name="Input 2 2 26 2 2 3" xfId="53106"/>
    <cellStyle name="Input 2 2 26 2 3" xfId="31844"/>
    <cellStyle name="Input 2 2 26 2 4" xfId="53107"/>
    <cellStyle name="Input 2 2 26 3" xfId="17225"/>
    <cellStyle name="Input 2 2 26 3 2" xfId="25546"/>
    <cellStyle name="Input 2 2 26 3 2 2" xfId="53108"/>
    <cellStyle name="Input 2 2 26 3 2 3" xfId="53109"/>
    <cellStyle name="Input 2 2 26 3 3" xfId="32777"/>
    <cellStyle name="Input 2 2 26 3 4" xfId="53110"/>
    <cellStyle name="Input 2 2 26 4" xfId="18253"/>
    <cellStyle name="Input 2 2 26 4 2" xfId="26573"/>
    <cellStyle name="Input 2 2 26 4 2 2" xfId="53111"/>
    <cellStyle name="Input 2 2 26 4 2 3" xfId="53112"/>
    <cellStyle name="Input 2 2 26 4 3" xfId="33755"/>
    <cellStyle name="Input 2 2 26 4 4" xfId="53113"/>
    <cellStyle name="Input 2 2 26 5" xfId="19237"/>
    <cellStyle name="Input 2 2 26 5 2" xfId="27557"/>
    <cellStyle name="Input 2 2 26 5 2 2" xfId="53114"/>
    <cellStyle name="Input 2 2 26 5 2 3" xfId="53115"/>
    <cellStyle name="Input 2 2 26 5 3" xfId="34705"/>
    <cellStyle name="Input 2 2 26 5 4" xfId="53116"/>
    <cellStyle name="Input 2 2 26 6" xfId="20205"/>
    <cellStyle name="Input 2 2 26 6 2" xfId="28527"/>
    <cellStyle name="Input 2 2 26 6 2 2" xfId="53117"/>
    <cellStyle name="Input 2 2 26 6 2 3" xfId="53118"/>
    <cellStyle name="Input 2 2 26 6 3" xfId="35647"/>
    <cellStyle name="Input 2 2 26 6 4" xfId="53119"/>
    <cellStyle name="Input 2 2 26 7" xfId="21666"/>
    <cellStyle name="Input 2 2 26 7 2" xfId="29967"/>
    <cellStyle name="Input 2 2 26 7 2 2" xfId="53120"/>
    <cellStyle name="Input 2 2 26 7 2 3" xfId="53121"/>
    <cellStyle name="Input 2 2 26 7 3" xfId="37021"/>
    <cellStyle name="Input 2 2 26 7 4" xfId="53122"/>
    <cellStyle name="Input 2 2 26 8" xfId="22594"/>
    <cellStyle name="Input 2 2 26 8 2" xfId="30890"/>
    <cellStyle name="Input 2 2 26 8 2 2" xfId="53123"/>
    <cellStyle name="Input 2 2 26 8 2 3" xfId="53124"/>
    <cellStyle name="Input 2 2 26 8 3" xfId="37904"/>
    <cellStyle name="Input 2 2 26 8 4" xfId="53125"/>
    <cellStyle name="Input 2 2 26 9" xfId="23536"/>
    <cellStyle name="Input 2 2 27" xfId="15156"/>
    <cellStyle name="Input 2 2 27 10" xfId="53126"/>
    <cellStyle name="Input 2 2 27 2" xfId="16236"/>
    <cellStyle name="Input 2 2 27 2 2" xfId="24549"/>
    <cellStyle name="Input 2 2 27 2 2 2" xfId="53127"/>
    <cellStyle name="Input 2 2 27 2 2 3" xfId="53128"/>
    <cellStyle name="Input 2 2 27 2 3" xfId="31822"/>
    <cellStyle name="Input 2 2 27 2 4" xfId="53129"/>
    <cellStyle name="Input 2 2 27 3" xfId="17202"/>
    <cellStyle name="Input 2 2 27 3 2" xfId="25523"/>
    <cellStyle name="Input 2 2 27 3 2 2" xfId="53130"/>
    <cellStyle name="Input 2 2 27 3 2 3" xfId="53131"/>
    <cellStyle name="Input 2 2 27 3 3" xfId="32755"/>
    <cellStyle name="Input 2 2 27 3 4" xfId="53132"/>
    <cellStyle name="Input 2 2 27 4" xfId="18230"/>
    <cellStyle name="Input 2 2 27 4 2" xfId="26550"/>
    <cellStyle name="Input 2 2 27 4 2 2" xfId="53133"/>
    <cellStyle name="Input 2 2 27 4 2 3" xfId="53134"/>
    <cellStyle name="Input 2 2 27 4 3" xfId="33733"/>
    <cellStyle name="Input 2 2 27 4 4" xfId="53135"/>
    <cellStyle name="Input 2 2 27 5" xfId="19214"/>
    <cellStyle name="Input 2 2 27 5 2" xfId="27534"/>
    <cellStyle name="Input 2 2 27 5 2 2" xfId="53136"/>
    <cellStyle name="Input 2 2 27 5 2 3" xfId="53137"/>
    <cellStyle name="Input 2 2 27 5 3" xfId="34682"/>
    <cellStyle name="Input 2 2 27 5 4" xfId="53138"/>
    <cellStyle name="Input 2 2 27 6" xfId="20182"/>
    <cellStyle name="Input 2 2 27 6 2" xfId="28504"/>
    <cellStyle name="Input 2 2 27 6 2 2" xfId="53139"/>
    <cellStyle name="Input 2 2 27 6 2 3" xfId="53140"/>
    <cellStyle name="Input 2 2 27 6 3" xfId="35625"/>
    <cellStyle name="Input 2 2 27 6 4" xfId="53141"/>
    <cellStyle name="Input 2 2 27 7" xfId="21643"/>
    <cellStyle name="Input 2 2 27 7 2" xfId="29944"/>
    <cellStyle name="Input 2 2 27 7 2 2" xfId="53142"/>
    <cellStyle name="Input 2 2 27 7 2 3" xfId="53143"/>
    <cellStyle name="Input 2 2 27 7 3" xfId="36999"/>
    <cellStyle name="Input 2 2 27 7 4" xfId="53144"/>
    <cellStyle name="Input 2 2 27 8" xfId="22571"/>
    <cellStyle name="Input 2 2 27 8 2" xfId="30867"/>
    <cellStyle name="Input 2 2 27 8 2 2" xfId="53145"/>
    <cellStyle name="Input 2 2 27 8 2 3" xfId="53146"/>
    <cellStyle name="Input 2 2 27 8 3" xfId="37882"/>
    <cellStyle name="Input 2 2 27 8 4" xfId="53147"/>
    <cellStyle name="Input 2 2 27 9" xfId="23513"/>
    <cellStyle name="Input 2 2 28" xfId="15195"/>
    <cellStyle name="Input 2 2 28 10" xfId="53148"/>
    <cellStyle name="Input 2 2 28 2" xfId="16275"/>
    <cellStyle name="Input 2 2 28 2 2" xfId="24588"/>
    <cellStyle name="Input 2 2 28 2 2 2" xfId="53149"/>
    <cellStyle name="Input 2 2 28 2 2 3" xfId="53150"/>
    <cellStyle name="Input 2 2 28 2 3" xfId="31858"/>
    <cellStyle name="Input 2 2 28 2 4" xfId="53151"/>
    <cellStyle name="Input 2 2 28 3" xfId="17241"/>
    <cellStyle name="Input 2 2 28 3 2" xfId="25562"/>
    <cellStyle name="Input 2 2 28 3 2 2" xfId="53152"/>
    <cellStyle name="Input 2 2 28 3 2 3" xfId="53153"/>
    <cellStyle name="Input 2 2 28 3 3" xfId="32791"/>
    <cellStyle name="Input 2 2 28 3 4" xfId="53154"/>
    <cellStyle name="Input 2 2 28 4" xfId="18269"/>
    <cellStyle name="Input 2 2 28 4 2" xfId="26589"/>
    <cellStyle name="Input 2 2 28 4 2 2" xfId="53155"/>
    <cellStyle name="Input 2 2 28 4 2 3" xfId="53156"/>
    <cellStyle name="Input 2 2 28 4 3" xfId="33769"/>
    <cellStyle name="Input 2 2 28 4 4" xfId="53157"/>
    <cellStyle name="Input 2 2 28 5" xfId="19253"/>
    <cellStyle name="Input 2 2 28 5 2" xfId="27573"/>
    <cellStyle name="Input 2 2 28 5 2 2" xfId="53158"/>
    <cellStyle name="Input 2 2 28 5 2 3" xfId="53159"/>
    <cellStyle name="Input 2 2 28 5 3" xfId="34721"/>
    <cellStyle name="Input 2 2 28 5 4" xfId="53160"/>
    <cellStyle name="Input 2 2 28 6" xfId="20221"/>
    <cellStyle name="Input 2 2 28 6 2" xfId="28543"/>
    <cellStyle name="Input 2 2 28 6 2 2" xfId="53161"/>
    <cellStyle name="Input 2 2 28 6 2 3" xfId="53162"/>
    <cellStyle name="Input 2 2 28 6 3" xfId="35661"/>
    <cellStyle name="Input 2 2 28 6 4" xfId="53163"/>
    <cellStyle name="Input 2 2 28 7" xfId="21682"/>
    <cellStyle name="Input 2 2 28 7 2" xfId="29983"/>
    <cellStyle name="Input 2 2 28 7 2 2" xfId="53164"/>
    <cellStyle name="Input 2 2 28 7 2 3" xfId="53165"/>
    <cellStyle name="Input 2 2 28 7 3" xfId="37035"/>
    <cellStyle name="Input 2 2 28 7 4" xfId="53166"/>
    <cellStyle name="Input 2 2 28 8" xfId="22610"/>
    <cellStyle name="Input 2 2 28 8 2" xfId="30906"/>
    <cellStyle name="Input 2 2 28 8 2 2" xfId="53167"/>
    <cellStyle name="Input 2 2 28 8 2 3" xfId="53168"/>
    <cellStyle name="Input 2 2 28 8 3" xfId="37918"/>
    <cellStyle name="Input 2 2 28 8 4" xfId="53169"/>
    <cellStyle name="Input 2 2 28 9" xfId="23552"/>
    <cellStyle name="Input 2 2 29" xfId="15260"/>
    <cellStyle name="Input 2 2 29 10" xfId="53170"/>
    <cellStyle name="Input 2 2 29 2" xfId="16340"/>
    <cellStyle name="Input 2 2 29 2 2" xfId="24653"/>
    <cellStyle name="Input 2 2 29 2 2 2" xfId="53171"/>
    <cellStyle name="Input 2 2 29 2 2 3" xfId="53172"/>
    <cellStyle name="Input 2 2 29 2 3" xfId="31920"/>
    <cellStyle name="Input 2 2 29 2 4" xfId="53173"/>
    <cellStyle name="Input 2 2 29 3" xfId="17306"/>
    <cellStyle name="Input 2 2 29 3 2" xfId="25627"/>
    <cellStyle name="Input 2 2 29 3 2 2" xfId="53174"/>
    <cellStyle name="Input 2 2 29 3 2 3" xfId="53175"/>
    <cellStyle name="Input 2 2 29 3 3" xfId="32853"/>
    <cellStyle name="Input 2 2 29 3 4" xfId="53176"/>
    <cellStyle name="Input 2 2 29 4" xfId="18334"/>
    <cellStyle name="Input 2 2 29 4 2" xfId="26654"/>
    <cellStyle name="Input 2 2 29 4 2 2" xfId="53177"/>
    <cellStyle name="Input 2 2 29 4 2 3" xfId="53178"/>
    <cellStyle name="Input 2 2 29 4 3" xfId="33831"/>
    <cellStyle name="Input 2 2 29 4 4" xfId="53179"/>
    <cellStyle name="Input 2 2 29 5" xfId="19318"/>
    <cellStyle name="Input 2 2 29 5 2" xfId="27638"/>
    <cellStyle name="Input 2 2 29 5 2 2" xfId="53180"/>
    <cellStyle name="Input 2 2 29 5 2 3" xfId="53181"/>
    <cellStyle name="Input 2 2 29 5 3" xfId="34786"/>
    <cellStyle name="Input 2 2 29 5 4" xfId="53182"/>
    <cellStyle name="Input 2 2 29 6" xfId="20286"/>
    <cellStyle name="Input 2 2 29 6 2" xfId="28608"/>
    <cellStyle name="Input 2 2 29 6 2 2" xfId="53183"/>
    <cellStyle name="Input 2 2 29 6 2 3" xfId="53184"/>
    <cellStyle name="Input 2 2 29 6 3" xfId="35723"/>
    <cellStyle name="Input 2 2 29 6 4" xfId="53185"/>
    <cellStyle name="Input 2 2 29 7" xfId="21747"/>
    <cellStyle name="Input 2 2 29 7 2" xfId="30048"/>
    <cellStyle name="Input 2 2 29 7 2 2" xfId="53186"/>
    <cellStyle name="Input 2 2 29 7 2 3" xfId="53187"/>
    <cellStyle name="Input 2 2 29 7 3" xfId="37097"/>
    <cellStyle name="Input 2 2 29 7 4" xfId="53188"/>
    <cellStyle name="Input 2 2 29 8" xfId="22675"/>
    <cellStyle name="Input 2 2 29 8 2" xfId="30971"/>
    <cellStyle name="Input 2 2 29 8 2 2" xfId="53189"/>
    <cellStyle name="Input 2 2 29 8 2 3" xfId="53190"/>
    <cellStyle name="Input 2 2 29 8 3" xfId="37980"/>
    <cellStyle name="Input 2 2 29 8 4" xfId="53191"/>
    <cellStyle name="Input 2 2 29 9" xfId="23617"/>
    <cellStyle name="Input 2 2 3" xfId="118"/>
    <cellStyle name="Input 2 2 3 10" xfId="14439"/>
    <cellStyle name="Input 2 2 3 10 2" xfId="53192"/>
    <cellStyle name="Input 2 2 3 10 3" xfId="53193"/>
    <cellStyle name="Input 2 2 3 11" xfId="53194"/>
    <cellStyle name="Input 2 2 3 12" xfId="53195"/>
    <cellStyle name="Input 2 2 3 2" xfId="250"/>
    <cellStyle name="Input 2 2 3 2 2" xfId="661"/>
    <cellStyle name="Input 2 2 3 2 2 2" xfId="1612"/>
    <cellStyle name="Input 2 2 3 2 2 2 2" xfId="795"/>
    <cellStyle name="Input 2 2 3 2 2 2 2 2" xfId="2532"/>
    <cellStyle name="Input 2 2 3 2 2 2 2 2 2" xfId="5952"/>
    <cellStyle name="Input 2 2 3 2 2 2 2 2 2 2" xfId="12792"/>
    <cellStyle name="Input 2 2 3 2 2 2 2 2 3" xfId="9372"/>
    <cellStyle name="Input 2 2 3 2 2 2 2 3" xfId="3672"/>
    <cellStyle name="Input 2 2 3 2 2 2 2 3 2" xfId="7092"/>
    <cellStyle name="Input 2 2 3 2 2 2 2 3 2 2" xfId="13932"/>
    <cellStyle name="Input 2 2 3 2 2 2 2 3 3" xfId="10512"/>
    <cellStyle name="Input 2 2 3 2 2 2 2 4" xfId="4812"/>
    <cellStyle name="Input 2 2 3 2 2 2 2 4 2" xfId="11652"/>
    <cellStyle name="Input 2 2 3 2 2 2 2 5" xfId="8232"/>
    <cellStyle name="Input 2 2 3 2 2 2 3" xfId="2446"/>
    <cellStyle name="Input 2 2 3 2 2 2 3 2" xfId="5866"/>
    <cellStyle name="Input 2 2 3 2 2 2 3 2 2" xfId="12706"/>
    <cellStyle name="Input 2 2 3 2 2 2 3 3" xfId="9286"/>
    <cellStyle name="Input 2 2 3 2 2 2 4" xfId="3586"/>
    <cellStyle name="Input 2 2 3 2 2 2 4 2" xfId="7006"/>
    <cellStyle name="Input 2 2 3 2 2 2 4 2 2" xfId="13846"/>
    <cellStyle name="Input 2 2 3 2 2 2 4 3" xfId="10426"/>
    <cellStyle name="Input 2 2 3 2 2 2 5" xfId="4726"/>
    <cellStyle name="Input 2 2 3 2 2 2 5 2" xfId="11566"/>
    <cellStyle name="Input 2 2 3 2 2 2 6" xfId="8146"/>
    <cellStyle name="Input 2 2 3 2 2 3" xfId="38505"/>
    <cellStyle name="Input 2 2 3 2 2 4" xfId="53196"/>
    <cellStyle name="Input 2 2 3 2 2 5" xfId="53197"/>
    <cellStyle name="Input 2 2 3 2 2 6" xfId="53198"/>
    <cellStyle name="Input 2 2 3 2 2 7" xfId="53199"/>
    <cellStyle name="Input 2 2 3 2 3" xfId="1257"/>
    <cellStyle name="Input 2 2 3 2 3 2" xfId="1776"/>
    <cellStyle name="Input 2 2 3 2 3 2 2" xfId="2916"/>
    <cellStyle name="Input 2 2 3 2 3 2 2 2" xfId="6336"/>
    <cellStyle name="Input 2 2 3 2 3 2 2 2 2" xfId="13176"/>
    <cellStyle name="Input 2 2 3 2 3 2 2 3" xfId="9756"/>
    <cellStyle name="Input 2 2 3 2 3 2 3" xfId="4056"/>
    <cellStyle name="Input 2 2 3 2 3 2 3 2" xfId="7476"/>
    <cellStyle name="Input 2 2 3 2 3 2 3 2 2" xfId="14316"/>
    <cellStyle name="Input 2 2 3 2 3 2 3 3" xfId="10896"/>
    <cellStyle name="Input 2 2 3 2 3 2 4" xfId="5196"/>
    <cellStyle name="Input 2 2 3 2 3 2 4 2" xfId="12036"/>
    <cellStyle name="Input 2 2 3 2 3 2 5" xfId="8616"/>
    <cellStyle name="Input 2 2 3 2 3 3" xfId="2077"/>
    <cellStyle name="Input 2 2 3 2 3 3 2" xfId="5497"/>
    <cellStyle name="Input 2 2 3 2 3 3 2 2" xfId="12337"/>
    <cellStyle name="Input 2 2 3 2 3 3 3" xfId="8917"/>
    <cellStyle name="Input 2 2 3 2 3 4" xfId="3217"/>
    <cellStyle name="Input 2 2 3 2 3 4 2" xfId="6637"/>
    <cellStyle name="Input 2 2 3 2 3 4 2 2" xfId="13477"/>
    <cellStyle name="Input 2 2 3 2 3 4 3" xfId="10057"/>
    <cellStyle name="Input 2 2 3 2 3 5" xfId="4357"/>
    <cellStyle name="Input 2 2 3 2 3 5 2" xfId="11197"/>
    <cellStyle name="Input 2 2 3 2 3 6" xfId="7777"/>
    <cellStyle name="Input 2 2 3 2 4" xfId="15591"/>
    <cellStyle name="Input 2 2 3 2 5" xfId="23903"/>
    <cellStyle name="Input 2 2 3 2 6" xfId="38271"/>
    <cellStyle name="Input 2 2 3 2 7" xfId="53200"/>
    <cellStyle name="Input 2 2 3 3" xfId="573"/>
    <cellStyle name="Input 2 2 3 3 2" xfId="1560"/>
    <cellStyle name="Input 2 2 3 3 2 2" xfId="1843"/>
    <cellStyle name="Input 2 2 3 3 2 2 2" xfId="2983"/>
    <cellStyle name="Input 2 2 3 3 2 2 2 2" xfId="6403"/>
    <cellStyle name="Input 2 2 3 3 2 2 2 2 2" xfId="13243"/>
    <cellStyle name="Input 2 2 3 3 2 2 2 3" xfId="9823"/>
    <cellStyle name="Input 2 2 3 3 2 2 3" xfId="4123"/>
    <cellStyle name="Input 2 2 3 3 2 2 3 2" xfId="7543"/>
    <cellStyle name="Input 2 2 3 3 2 2 3 2 2" xfId="14383"/>
    <cellStyle name="Input 2 2 3 3 2 2 3 3" xfId="10963"/>
    <cellStyle name="Input 2 2 3 3 2 2 4" xfId="5263"/>
    <cellStyle name="Input 2 2 3 3 2 2 4 2" xfId="12103"/>
    <cellStyle name="Input 2 2 3 3 2 2 5" xfId="8683"/>
    <cellStyle name="Input 2 2 3 3 2 3" xfId="2385"/>
    <cellStyle name="Input 2 2 3 3 2 3 2" xfId="5805"/>
    <cellStyle name="Input 2 2 3 3 2 3 2 2" xfId="12645"/>
    <cellStyle name="Input 2 2 3 3 2 3 3" xfId="9225"/>
    <cellStyle name="Input 2 2 3 3 2 4" xfId="3525"/>
    <cellStyle name="Input 2 2 3 3 2 4 2" xfId="6945"/>
    <cellStyle name="Input 2 2 3 3 2 4 2 2" xfId="13785"/>
    <cellStyle name="Input 2 2 3 3 2 4 3" xfId="10365"/>
    <cellStyle name="Input 2 2 3 3 2 5" xfId="4665"/>
    <cellStyle name="Input 2 2 3 3 2 5 2" xfId="11505"/>
    <cellStyle name="Input 2 2 3 3 2 6" xfId="8085"/>
    <cellStyle name="Input 2 2 3 3 3" xfId="16561"/>
    <cellStyle name="Input 2 2 3 3 4" xfId="24874"/>
    <cellStyle name="Input 2 2 3 3 5" xfId="32134"/>
    <cellStyle name="Input 2 2 3 3 6" xfId="53201"/>
    <cellStyle name="Input 2 2 3 3 7" xfId="53202"/>
    <cellStyle name="Input 2 2 3 3 8" xfId="53203"/>
    <cellStyle name="Input 2 2 3 4" xfId="1134"/>
    <cellStyle name="Input 2 2 3 4 2" xfId="1805"/>
    <cellStyle name="Input 2 2 3 4 2 2" xfId="2945"/>
    <cellStyle name="Input 2 2 3 4 2 2 2" xfId="6365"/>
    <cellStyle name="Input 2 2 3 4 2 2 2 2" xfId="13205"/>
    <cellStyle name="Input 2 2 3 4 2 2 3" xfId="9785"/>
    <cellStyle name="Input 2 2 3 4 2 3" xfId="4085"/>
    <cellStyle name="Input 2 2 3 4 2 3 2" xfId="7505"/>
    <cellStyle name="Input 2 2 3 4 2 3 2 2" xfId="14345"/>
    <cellStyle name="Input 2 2 3 4 2 3 3" xfId="10925"/>
    <cellStyle name="Input 2 2 3 4 2 4" xfId="5225"/>
    <cellStyle name="Input 2 2 3 4 2 4 2" xfId="12065"/>
    <cellStyle name="Input 2 2 3 4 2 5" xfId="8645"/>
    <cellStyle name="Input 2 2 3 4 3" xfId="1948"/>
    <cellStyle name="Input 2 2 3 4 3 2" xfId="5368"/>
    <cellStyle name="Input 2 2 3 4 3 2 2" xfId="12208"/>
    <cellStyle name="Input 2 2 3 4 3 3" xfId="8788"/>
    <cellStyle name="Input 2 2 3 4 4" xfId="3088"/>
    <cellStyle name="Input 2 2 3 4 4 2" xfId="6508"/>
    <cellStyle name="Input 2 2 3 4 4 2 2" xfId="13348"/>
    <cellStyle name="Input 2 2 3 4 4 3" xfId="9928"/>
    <cellStyle name="Input 2 2 3 4 5" xfId="4228"/>
    <cellStyle name="Input 2 2 3 4 5 2" xfId="11068"/>
    <cellStyle name="Input 2 2 3 4 6" xfId="7648"/>
    <cellStyle name="Input 2 2 3 4 7" xfId="17579"/>
    <cellStyle name="Input 2 2 3 4 8" xfId="25898"/>
    <cellStyle name="Input 2 2 3 4 9" xfId="33111"/>
    <cellStyle name="Input 2 2 3 5" xfId="18559"/>
    <cellStyle name="Input 2 2 3 5 2" xfId="26876"/>
    <cellStyle name="Input 2 2 3 5 2 2" xfId="53204"/>
    <cellStyle name="Input 2 2 3 5 2 3" xfId="53205"/>
    <cellStyle name="Input 2 2 3 5 3" xfId="34045"/>
    <cellStyle name="Input 2 2 3 5 4" xfId="53206"/>
    <cellStyle name="Input 2 2 3 6" xfId="15568"/>
    <cellStyle name="Input 2 2 3 6 2" xfId="23893"/>
    <cellStyle name="Input 2 2 3 6 2 2" xfId="53207"/>
    <cellStyle name="Input 2 2 3 6 2 3" xfId="53208"/>
    <cellStyle name="Input 2 2 3 6 3" xfId="31237"/>
    <cellStyle name="Input 2 2 3 6 4" xfId="53209"/>
    <cellStyle name="Input 2 2 3 7" xfId="19143"/>
    <cellStyle name="Input 2 2 3 7 2" xfId="27463"/>
    <cellStyle name="Input 2 2 3 7 2 2" xfId="53210"/>
    <cellStyle name="Input 2 2 3 7 2 3" xfId="53211"/>
    <cellStyle name="Input 2 2 3 7 3" xfId="34611"/>
    <cellStyle name="Input 2 2 3 7 4" xfId="53212"/>
    <cellStyle name="Input 2 2 3 8" xfId="21070"/>
    <cellStyle name="Input 2 2 3 8 2" xfId="29387"/>
    <cellStyle name="Input 2 2 3 8 2 2" xfId="53213"/>
    <cellStyle name="Input 2 2 3 8 2 3" xfId="53214"/>
    <cellStyle name="Input 2 2 3 8 3" xfId="36465"/>
    <cellStyle name="Input 2 2 3 8 4" xfId="53215"/>
    <cellStyle name="Input 2 2 3 9" xfId="21953"/>
    <cellStyle name="Input 2 2 3 9 2" xfId="30254"/>
    <cellStyle name="Input 2 2 3 9 2 2" xfId="53216"/>
    <cellStyle name="Input 2 2 3 9 2 3" xfId="53217"/>
    <cellStyle name="Input 2 2 3 9 3" xfId="37295"/>
    <cellStyle name="Input 2 2 3 9 4" xfId="53218"/>
    <cellStyle name="Input 2 2 30" xfId="15256"/>
    <cellStyle name="Input 2 2 30 10" xfId="53219"/>
    <cellStyle name="Input 2 2 30 2" xfId="16336"/>
    <cellStyle name="Input 2 2 30 2 2" xfId="24649"/>
    <cellStyle name="Input 2 2 30 2 2 2" xfId="53220"/>
    <cellStyle name="Input 2 2 30 2 2 3" xfId="53221"/>
    <cellStyle name="Input 2 2 30 2 3" xfId="31916"/>
    <cellStyle name="Input 2 2 30 2 4" xfId="53222"/>
    <cellStyle name="Input 2 2 30 3" xfId="17302"/>
    <cellStyle name="Input 2 2 30 3 2" xfId="25623"/>
    <cellStyle name="Input 2 2 30 3 2 2" xfId="53223"/>
    <cellStyle name="Input 2 2 30 3 2 3" xfId="53224"/>
    <cellStyle name="Input 2 2 30 3 3" xfId="32849"/>
    <cellStyle name="Input 2 2 30 3 4" xfId="53225"/>
    <cellStyle name="Input 2 2 30 4" xfId="18330"/>
    <cellStyle name="Input 2 2 30 4 2" xfId="26650"/>
    <cellStyle name="Input 2 2 30 4 2 2" xfId="53226"/>
    <cellStyle name="Input 2 2 30 4 2 3" xfId="53227"/>
    <cellStyle name="Input 2 2 30 4 3" xfId="33827"/>
    <cellStyle name="Input 2 2 30 4 4" xfId="53228"/>
    <cellStyle name="Input 2 2 30 5" xfId="19314"/>
    <cellStyle name="Input 2 2 30 5 2" xfId="27634"/>
    <cellStyle name="Input 2 2 30 5 2 2" xfId="53229"/>
    <cellStyle name="Input 2 2 30 5 2 3" xfId="53230"/>
    <cellStyle name="Input 2 2 30 5 3" xfId="34782"/>
    <cellStyle name="Input 2 2 30 5 4" xfId="53231"/>
    <cellStyle name="Input 2 2 30 6" xfId="20282"/>
    <cellStyle name="Input 2 2 30 6 2" xfId="28604"/>
    <cellStyle name="Input 2 2 30 6 2 2" xfId="53232"/>
    <cellStyle name="Input 2 2 30 6 2 3" xfId="53233"/>
    <cellStyle name="Input 2 2 30 6 3" xfId="35719"/>
    <cellStyle name="Input 2 2 30 6 4" xfId="53234"/>
    <cellStyle name="Input 2 2 30 7" xfId="21743"/>
    <cellStyle name="Input 2 2 30 7 2" xfId="30044"/>
    <cellStyle name="Input 2 2 30 7 2 2" xfId="53235"/>
    <cellStyle name="Input 2 2 30 7 2 3" xfId="53236"/>
    <cellStyle name="Input 2 2 30 7 3" xfId="37093"/>
    <cellStyle name="Input 2 2 30 7 4" xfId="53237"/>
    <cellStyle name="Input 2 2 30 8" xfId="22671"/>
    <cellStyle name="Input 2 2 30 8 2" xfId="30967"/>
    <cellStyle name="Input 2 2 30 8 2 2" xfId="53238"/>
    <cellStyle name="Input 2 2 30 8 2 3" xfId="53239"/>
    <cellStyle name="Input 2 2 30 8 3" xfId="37976"/>
    <cellStyle name="Input 2 2 30 8 4" xfId="53240"/>
    <cellStyle name="Input 2 2 30 9" xfId="23613"/>
    <cellStyle name="Input 2 2 31" xfId="15295"/>
    <cellStyle name="Input 2 2 31 10" xfId="53241"/>
    <cellStyle name="Input 2 2 31 2" xfId="16375"/>
    <cellStyle name="Input 2 2 31 2 2" xfId="24688"/>
    <cellStyle name="Input 2 2 31 2 2 2" xfId="53242"/>
    <cellStyle name="Input 2 2 31 2 2 3" xfId="53243"/>
    <cellStyle name="Input 2 2 31 2 3" xfId="31954"/>
    <cellStyle name="Input 2 2 31 2 4" xfId="53244"/>
    <cellStyle name="Input 2 2 31 3" xfId="17341"/>
    <cellStyle name="Input 2 2 31 3 2" xfId="25662"/>
    <cellStyle name="Input 2 2 31 3 2 2" xfId="53245"/>
    <cellStyle name="Input 2 2 31 3 2 3" xfId="53246"/>
    <cellStyle name="Input 2 2 31 3 3" xfId="32887"/>
    <cellStyle name="Input 2 2 31 3 4" xfId="53247"/>
    <cellStyle name="Input 2 2 31 4" xfId="18369"/>
    <cellStyle name="Input 2 2 31 4 2" xfId="26689"/>
    <cellStyle name="Input 2 2 31 4 2 2" xfId="53248"/>
    <cellStyle name="Input 2 2 31 4 2 3" xfId="53249"/>
    <cellStyle name="Input 2 2 31 4 3" xfId="33865"/>
    <cellStyle name="Input 2 2 31 4 4" xfId="53250"/>
    <cellStyle name="Input 2 2 31 5" xfId="19352"/>
    <cellStyle name="Input 2 2 31 5 2" xfId="27673"/>
    <cellStyle name="Input 2 2 31 5 2 2" xfId="53251"/>
    <cellStyle name="Input 2 2 31 5 2 3" xfId="53252"/>
    <cellStyle name="Input 2 2 31 5 3" xfId="34821"/>
    <cellStyle name="Input 2 2 31 5 4" xfId="53253"/>
    <cellStyle name="Input 2 2 31 6" xfId="20321"/>
    <cellStyle name="Input 2 2 31 6 2" xfId="28643"/>
    <cellStyle name="Input 2 2 31 6 2 2" xfId="53254"/>
    <cellStyle name="Input 2 2 31 6 2 3" xfId="53255"/>
    <cellStyle name="Input 2 2 31 6 3" xfId="35757"/>
    <cellStyle name="Input 2 2 31 6 4" xfId="53256"/>
    <cellStyle name="Input 2 2 31 7" xfId="21782"/>
    <cellStyle name="Input 2 2 31 7 2" xfId="30083"/>
    <cellStyle name="Input 2 2 31 7 2 2" xfId="53257"/>
    <cellStyle name="Input 2 2 31 7 2 3" xfId="53258"/>
    <cellStyle name="Input 2 2 31 7 3" xfId="37131"/>
    <cellStyle name="Input 2 2 31 7 4" xfId="53259"/>
    <cellStyle name="Input 2 2 31 8" xfId="22710"/>
    <cellStyle name="Input 2 2 31 8 2" xfId="31006"/>
    <cellStyle name="Input 2 2 31 8 2 2" xfId="53260"/>
    <cellStyle name="Input 2 2 31 8 2 3" xfId="53261"/>
    <cellStyle name="Input 2 2 31 8 3" xfId="38014"/>
    <cellStyle name="Input 2 2 31 8 4" xfId="53262"/>
    <cellStyle name="Input 2 2 31 9" xfId="23652"/>
    <cellStyle name="Input 2 2 32" xfId="15245"/>
    <cellStyle name="Input 2 2 32 10" xfId="53263"/>
    <cellStyle name="Input 2 2 32 11" xfId="53264"/>
    <cellStyle name="Input 2 2 32 2" xfId="16325"/>
    <cellStyle name="Input 2 2 32 2 2" xfId="24638"/>
    <cellStyle name="Input 2 2 32 2 2 2" xfId="53265"/>
    <cellStyle name="Input 2 2 32 2 2 3" xfId="53266"/>
    <cellStyle name="Input 2 2 32 2 3" xfId="31905"/>
    <cellStyle name="Input 2 2 32 2 4" xfId="53267"/>
    <cellStyle name="Input 2 2 32 3" xfId="17291"/>
    <cellStyle name="Input 2 2 32 3 2" xfId="25612"/>
    <cellStyle name="Input 2 2 32 3 2 2" xfId="53268"/>
    <cellStyle name="Input 2 2 32 3 2 3" xfId="53269"/>
    <cellStyle name="Input 2 2 32 3 3" xfId="32838"/>
    <cellStyle name="Input 2 2 32 3 4" xfId="53270"/>
    <cellStyle name="Input 2 2 32 4" xfId="18319"/>
    <cellStyle name="Input 2 2 32 4 2" xfId="26639"/>
    <cellStyle name="Input 2 2 32 4 2 2" xfId="53271"/>
    <cellStyle name="Input 2 2 32 4 2 3" xfId="53272"/>
    <cellStyle name="Input 2 2 32 4 3" xfId="33816"/>
    <cellStyle name="Input 2 2 32 4 4" xfId="53273"/>
    <cellStyle name="Input 2 2 32 5" xfId="19303"/>
    <cellStyle name="Input 2 2 32 5 2" xfId="27623"/>
    <cellStyle name="Input 2 2 32 5 2 2" xfId="53274"/>
    <cellStyle name="Input 2 2 32 5 2 3" xfId="53275"/>
    <cellStyle name="Input 2 2 32 5 3" xfId="34771"/>
    <cellStyle name="Input 2 2 32 5 4" xfId="53276"/>
    <cellStyle name="Input 2 2 32 6" xfId="20271"/>
    <cellStyle name="Input 2 2 32 6 2" xfId="28593"/>
    <cellStyle name="Input 2 2 32 6 2 2" xfId="53277"/>
    <cellStyle name="Input 2 2 32 6 2 3" xfId="53278"/>
    <cellStyle name="Input 2 2 32 6 3" xfId="35708"/>
    <cellStyle name="Input 2 2 32 6 4" xfId="53279"/>
    <cellStyle name="Input 2 2 32 7" xfId="21732"/>
    <cellStyle name="Input 2 2 32 7 2" xfId="30033"/>
    <cellStyle name="Input 2 2 32 7 2 2" xfId="53280"/>
    <cellStyle name="Input 2 2 32 7 2 3" xfId="53281"/>
    <cellStyle name="Input 2 2 32 7 3" xfId="37082"/>
    <cellStyle name="Input 2 2 32 7 4" xfId="53282"/>
    <cellStyle name="Input 2 2 32 8" xfId="22660"/>
    <cellStyle name="Input 2 2 32 8 2" xfId="30956"/>
    <cellStyle name="Input 2 2 32 8 2 2" xfId="53283"/>
    <cellStyle name="Input 2 2 32 8 2 3" xfId="53284"/>
    <cellStyle name="Input 2 2 32 8 3" xfId="37965"/>
    <cellStyle name="Input 2 2 32 8 4" xfId="53285"/>
    <cellStyle name="Input 2 2 32 9" xfId="23602"/>
    <cellStyle name="Input 2 2 32 9 2" xfId="53286"/>
    <cellStyle name="Input 2 2 32 9 3" xfId="53287"/>
    <cellStyle name="Input 2 2 33" xfId="15310"/>
    <cellStyle name="Input 2 2 33 10" xfId="53288"/>
    <cellStyle name="Input 2 2 33 2" xfId="16390"/>
    <cellStyle name="Input 2 2 33 2 2" xfId="24703"/>
    <cellStyle name="Input 2 2 33 2 2 2" xfId="53289"/>
    <cellStyle name="Input 2 2 33 2 2 3" xfId="53290"/>
    <cellStyle name="Input 2 2 33 2 3" xfId="31968"/>
    <cellStyle name="Input 2 2 33 2 4" xfId="53291"/>
    <cellStyle name="Input 2 2 33 3" xfId="17356"/>
    <cellStyle name="Input 2 2 33 3 2" xfId="25677"/>
    <cellStyle name="Input 2 2 33 3 2 2" xfId="53292"/>
    <cellStyle name="Input 2 2 33 3 2 3" xfId="53293"/>
    <cellStyle name="Input 2 2 33 3 3" xfId="32901"/>
    <cellStyle name="Input 2 2 33 3 4" xfId="53294"/>
    <cellStyle name="Input 2 2 33 4" xfId="18384"/>
    <cellStyle name="Input 2 2 33 4 2" xfId="26704"/>
    <cellStyle name="Input 2 2 33 4 2 2" xfId="53295"/>
    <cellStyle name="Input 2 2 33 4 2 3" xfId="53296"/>
    <cellStyle name="Input 2 2 33 4 3" xfId="33879"/>
    <cellStyle name="Input 2 2 33 4 4" xfId="53297"/>
    <cellStyle name="Input 2 2 33 5" xfId="19367"/>
    <cellStyle name="Input 2 2 33 5 2" xfId="27688"/>
    <cellStyle name="Input 2 2 33 5 2 2" xfId="53298"/>
    <cellStyle name="Input 2 2 33 5 2 3" xfId="53299"/>
    <cellStyle name="Input 2 2 33 5 3" xfId="34836"/>
    <cellStyle name="Input 2 2 33 5 4" xfId="53300"/>
    <cellStyle name="Input 2 2 33 6" xfId="20336"/>
    <cellStyle name="Input 2 2 33 6 2" xfId="28658"/>
    <cellStyle name="Input 2 2 33 6 2 2" xfId="53301"/>
    <cellStyle name="Input 2 2 33 6 2 3" xfId="53302"/>
    <cellStyle name="Input 2 2 33 6 3" xfId="35771"/>
    <cellStyle name="Input 2 2 33 6 4" xfId="53303"/>
    <cellStyle name="Input 2 2 33 7" xfId="21797"/>
    <cellStyle name="Input 2 2 33 7 2" xfId="30098"/>
    <cellStyle name="Input 2 2 33 7 2 2" xfId="53304"/>
    <cellStyle name="Input 2 2 33 7 2 3" xfId="53305"/>
    <cellStyle name="Input 2 2 33 7 3" xfId="37145"/>
    <cellStyle name="Input 2 2 33 7 4" xfId="53306"/>
    <cellStyle name="Input 2 2 33 8" xfId="22725"/>
    <cellStyle name="Input 2 2 33 8 2" xfId="31021"/>
    <cellStyle name="Input 2 2 33 8 2 2" xfId="53307"/>
    <cellStyle name="Input 2 2 33 8 2 3" xfId="53308"/>
    <cellStyle name="Input 2 2 33 8 3" xfId="38028"/>
    <cellStyle name="Input 2 2 33 8 4" xfId="53309"/>
    <cellStyle name="Input 2 2 33 9" xfId="23667"/>
    <cellStyle name="Input 2 2 34" xfId="15370"/>
    <cellStyle name="Input 2 2 34 10" xfId="53310"/>
    <cellStyle name="Input 2 2 34 11" xfId="53311"/>
    <cellStyle name="Input 2 2 34 2" xfId="16450"/>
    <cellStyle name="Input 2 2 34 2 2" xfId="24763"/>
    <cellStyle name="Input 2 2 34 2 2 2" xfId="53312"/>
    <cellStyle name="Input 2 2 34 2 2 3" xfId="53313"/>
    <cellStyle name="Input 2 2 34 2 3" xfId="32027"/>
    <cellStyle name="Input 2 2 34 2 4" xfId="53314"/>
    <cellStyle name="Input 2 2 34 3" xfId="17416"/>
    <cellStyle name="Input 2 2 34 3 2" xfId="25737"/>
    <cellStyle name="Input 2 2 34 3 2 2" xfId="53315"/>
    <cellStyle name="Input 2 2 34 3 2 3" xfId="53316"/>
    <cellStyle name="Input 2 2 34 3 3" xfId="32960"/>
    <cellStyle name="Input 2 2 34 3 4" xfId="53317"/>
    <cellStyle name="Input 2 2 34 4" xfId="18444"/>
    <cellStyle name="Input 2 2 34 4 2" xfId="26764"/>
    <cellStyle name="Input 2 2 34 4 2 2" xfId="53318"/>
    <cellStyle name="Input 2 2 34 4 2 3" xfId="53319"/>
    <cellStyle name="Input 2 2 34 4 3" xfId="33938"/>
    <cellStyle name="Input 2 2 34 4 4" xfId="53320"/>
    <cellStyle name="Input 2 2 34 5" xfId="19427"/>
    <cellStyle name="Input 2 2 34 5 2" xfId="27748"/>
    <cellStyle name="Input 2 2 34 5 2 2" xfId="53321"/>
    <cellStyle name="Input 2 2 34 5 2 3" xfId="53322"/>
    <cellStyle name="Input 2 2 34 5 3" xfId="34896"/>
    <cellStyle name="Input 2 2 34 5 4" xfId="53323"/>
    <cellStyle name="Input 2 2 34 6" xfId="20396"/>
    <cellStyle name="Input 2 2 34 6 2" xfId="28718"/>
    <cellStyle name="Input 2 2 34 6 2 2" xfId="53324"/>
    <cellStyle name="Input 2 2 34 6 2 3" xfId="53325"/>
    <cellStyle name="Input 2 2 34 6 3" xfId="35830"/>
    <cellStyle name="Input 2 2 34 6 4" xfId="53326"/>
    <cellStyle name="Input 2 2 34 7" xfId="21857"/>
    <cellStyle name="Input 2 2 34 7 2" xfId="30158"/>
    <cellStyle name="Input 2 2 34 7 2 2" xfId="53327"/>
    <cellStyle name="Input 2 2 34 7 2 3" xfId="53328"/>
    <cellStyle name="Input 2 2 34 7 3" xfId="37203"/>
    <cellStyle name="Input 2 2 34 7 4" xfId="53329"/>
    <cellStyle name="Input 2 2 34 8" xfId="22785"/>
    <cellStyle name="Input 2 2 34 8 2" xfId="31081"/>
    <cellStyle name="Input 2 2 34 8 2 2" xfId="53330"/>
    <cellStyle name="Input 2 2 34 8 2 3" xfId="53331"/>
    <cellStyle name="Input 2 2 34 8 3" xfId="38087"/>
    <cellStyle name="Input 2 2 34 8 4" xfId="53332"/>
    <cellStyle name="Input 2 2 34 9" xfId="23727"/>
    <cellStyle name="Input 2 2 34 9 2" xfId="53333"/>
    <cellStyle name="Input 2 2 34 9 3" xfId="53334"/>
    <cellStyle name="Input 2 2 35" xfId="15334"/>
    <cellStyle name="Input 2 2 35 10" xfId="53335"/>
    <cellStyle name="Input 2 2 35 11" xfId="53336"/>
    <cellStyle name="Input 2 2 35 2" xfId="16414"/>
    <cellStyle name="Input 2 2 35 2 2" xfId="24727"/>
    <cellStyle name="Input 2 2 35 2 2 2" xfId="53337"/>
    <cellStyle name="Input 2 2 35 2 2 3" xfId="53338"/>
    <cellStyle name="Input 2 2 35 2 3" xfId="31992"/>
    <cellStyle name="Input 2 2 35 2 4" xfId="53339"/>
    <cellStyle name="Input 2 2 35 3" xfId="17380"/>
    <cellStyle name="Input 2 2 35 3 2" xfId="25701"/>
    <cellStyle name="Input 2 2 35 3 2 2" xfId="53340"/>
    <cellStyle name="Input 2 2 35 3 2 3" xfId="53341"/>
    <cellStyle name="Input 2 2 35 3 3" xfId="32925"/>
    <cellStyle name="Input 2 2 35 3 4" xfId="53342"/>
    <cellStyle name="Input 2 2 35 4" xfId="18408"/>
    <cellStyle name="Input 2 2 35 4 2" xfId="26728"/>
    <cellStyle name="Input 2 2 35 4 2 2" xfId="53343"/>
    <cellStyle name="Input 2 2 35 4 2 3" xfId="53344"/>
    <cellStyle name="Input 2 2 35 4 3" xfId="33903"/>
    <cellStyle name="Input 2 2 35 4 4" xfId="53345"/>
    <cellStyle name="Input 2 2 35 5" xfId="19391"/>
    <cellStyle name="Input 2 2 35 5 2" xfId="27712"/>
    <cellStyle name="Input 2 2 35 5 2 2" xfId="53346"/>
    <cellStyle name="Input 2 2 35 5 2 3" xfId="53347"/>
    <cellStyle name="Input 2 2 35 5 3" xfId="34860"/>
    <cellStyle name="Input 2 2 35 5 4" xfId="53348"/>
    <cellStyle name="Input 2 2 35 6" xfId="20360"/>
    <cellStyle name="Input 2 2 35 6 2" xfId="28682"/>
    <cellStyle name="Input 2 2 35 6 2 2" xfId="53349"/>
    <cellStyle name="Input 2 2 35 6 2 3" xfId="53350"/>
    <cellStyle name="Input 2 2 35 6 3" xfId="35795"/>
    <cellStyle name="Input 2 2 35 6 4" xfId="53351"/>
    <cellStyle name="Input 2 2 35 7" xfId="21821"/>
    <cellStyle name="Input 2 2 35 7 2" xfId="30122"/>
    <cellStyle name="Input 2 2 35 7 2 2" xfId="53352"/>
    <cellStyle name="Input 2 2 35 7 2 3" xfId="53353"/>
    <cellStyle name="Input 2 2 35 7 3" xfId="37169"/>
    <cellStyle name="Input 2 2 35 7 4" xfId="53354"/>
    <cellStyle name="Input 2 2 35 8" xfId="22749"/>
    <cellStyle name="Input 2 2 35 8 2" xfId="31045"/>
    <cellStyle name="Input 2 2 35 8 2 2" xfId="53355"/>
    <cellStyle name="Input 2 2 35 8 2 3" xfId="53356"/>
    <cellStyle name="Input 2 2 35 8 3" xfId="38052"/>
    <cellStyle name="Input 2 2 35 8 4" xfId="53357"/>
    <cellStyle name="Input 2 2 35 9" xfId="23691"/>
    <cellStyle name="Input 2 2 35 9 2" xfId="53358"/>
    <cellStyle name="Input 2 2 35 9 3" xfId="53359"/>
    <cellStyle name="Input 2 2 36" xfId="15383"/>
    <cellStyle name="Input 2 2 36 10" xfId="53360"/>
    <cellStyle name="Input 2 2 36 11" xfId="53361"/>
    <cellStyle name="Input 2 2 36 2" xfId="16463"/>
    <cellStyle name="Input 2 2 36 2 2" xfId="24776"/>
    <cellStyle name="Input 2 2 36 2 2 2" xfId="53362"/>
    <cellStyle name="Input 2 2 36 2 2 3" xfId="53363"/>
    <cellStyle name="Input 2 2 36 2 3" xfId="32040"/>
    <cellStyle name="Input 2 2 36 2 4" xfId="53364"/>
    <cellStyle name="Input 2 2 36 3" xfId="17429"/>
    <cellStyle name="Input 2 2 36 3 2" xfId="25750"/>
    <cellStyle name="Input 2 2 36 3 2 2" xfId="53365"/>
    <cellStyle name="Input 2 2 36 3 2 3" xfId="53366"/>
    <cellStyle name="Input 2 2 36 3 3" xfId="32973"/>
    <cellStyle name="Input 2 2 36 3 4" xfId="53367"/>
    <cellStyle name="Input 2 2 36 4" xfId="18457"/>
    <cellStyle name="Input 2 2 36 4 2" xfId="26777"/>
    <cellStyle name="Input 2 2 36 4 2 2" xfId="53368"/>
    <cellStyle name="Input 2 2 36 4 2 3" xfId="53369"/>
    <cellStyle name="Input 2 2 36 4 3" xfId="33951"/>
    <cellStyle name="Input 2 2 36 4 4" xfId="53370"/>
    <cellStyle name="Input 2 2 36 5" xfId="19440"/>
    <cellStyle name="Input 2 2 36 5 2" xfId="27761"/>
    <cellStyle name="Input 2 2 36 5 2 2" xfId="53371"/>
    <cellStyle name="Input 2 2 36 5 2 3" xfId="53372"/>
    <cellStyle name="Input 2 2 36 5 3" xfId="34909"/>
    <cellStyle name="Input 2 2 36 5 4" xfId="53373"/>
    <cellStyle name="Input 2 2 36 6" xfId="20409"/>
    <cellStyle name="Input 2 2 36 6 2" xfId="28731"/>
    <cellStyle name="Input 2 2 36 6 2 2" xfId="53374"/>
    <cellStyle name="Input 2 2 36 6 2 3" xfId="53375"/>
    <cellStyle name="Input 2 2 36 6 3" xfId="35843"/>
    <cellStyle name="Input 2 2 36 6 4" xfId="53376"/>
    <cellStyle name="Input 2 2 36 7" xfId="21870"/>
    <cellStyle name="Input 2 2 36 7 2" xfId="30171"/>
    <cellStyle name="Input 2 2 36 7 2 2" xfId="53377"/>
    <cellStyle name="Input 2 2 36 7 2 3" xfId="53378"/>
    <cellStyle name="Input 2 2 36 7 3" xfId="37216"/>
    <cellStyle name="Input 2 2 36 7 4" xfId="53379"/>
    <cellStyle name="Input 2 2 36 8" xfId="22798"/>
    <cellStyle name="Input 2 2 36 8 2" xfId="31094"/>
    <cellStyle name="Input 2 2 36 8 2 2" xfId="53380"/>
    <cellStyle name="Input 2 2 36 8 2 3" xfId="53381"/>
    <cellStyle name="Input 2 2 36 8 3" xfId="38100"/>
    <cellStyle name="Input 2 2 36 8 4" xfId="53382"/>
    <cellStyle name="Input 2 2 36 9" xfId="23740"/>
    <cellStyle name="Input 2 2 36 9 2" xfId="53383"/>
    <cellStyle name="Input 2 2 36 9 3" xfId="53384"/>
    <cellStyle name="Input 2 2 37" xfId="15399"/>
    <cellStyle name="Input 2 2 37 10" xfId="53385"/>
    <cellStyle name="Input 2 2 37 11" xfId="53386"/>
    <cellStyle name="Input 2 2 37 2" xfId="16479"/>
    <cellStyle name="Input 2 2 37 2 2" xfId="24792"/>
    <cellStyle name="Input 2 2 37 2 2 2" xfId="53387"/>
    <cellStyle name="Input 2 2 37 2 2 3" xfId="53388"/>
    <cellStyle name="Input 2 2 37 2 3" xfId="32054"/>
    <cellStyle name="Input 2 2 37 2 4" xfId="53389"/>
    <cellStyle name="Input 2 2 37 3" xfId="17445"/>
    <cellStyle name="Input 2 2 37 3 2" xfId="25766"/>
    <cellStyle name="Input 2 2 37 3 2 2" xfId="53390"/>
    <cellStyle name="Input 2 2 37 3 2 3" xfId="53391"/>
    <cellStyle name="Input 2 2 37 3 3" xfId="32987"/>
    <cellStyle name="Input 2 2 37 3 4" xfId="53392"/>
    <cellStyle name="Input 2 2 37 4" xfId="18473"/>
    <cellStyle name="Input 2 2 37 4 2" xfId="26793"/>
    <cellStyle name="Input 2 2 37 4 2 2" xfId="53393"/>
    <cellStyle name="Input 2 2 37 4 2 3" xfId="53394"/>
    <cellStyle name="Input 2 2 37 4 3" xfId="33965"/>
    <cellStyle name="Input 2 2 37 4 4" xfId="53395"/>
    <cellStyle name="Input 2 2 37 5" xfId="19456"/>
    <cellStyle name="Input 2 2 37 5 2" xfId="27777"/>
    <cellStyle name="Input 2 2 37 5 2 2" xfId="53396"/>
    <cellStyle name="Input 2 2 37 5 2 3" xfId="53397"/>
    <cellStyle name="Input 2 2 37 5 3" xfId="34925"/>
    <cellStyle name="Input 2 2 37 5 4" xfId="53398"/>
    <cellStyle name="Input 2 2 37 6" xfId="20425"/>
    <cellStyle name="Input 2 2 37 6 2" xfId="28747"/>
    <cellStyle name="Input 2 2 37 6 2 2" xfId="53399"/>
    <cellStyle name="Input 2 2 37 6 2 3" xfId="53400"/>
    <cellStyle name="Input 2 2 37 6 3" xfId="35857"/>
    <cellStyle name="Input 2 2 37 6 4" xfId="53401"/>
    <cellStyle name="Input 2 2 37 7" xfId="21886"/>
    <cellStyle name="Input 2 2 37 7 2" xfId="30187"/>
    <cellStyle name="Input 2 2 37 7 2 2" xfId="53402"/>
    <cellStyle name="Input 2 2 37 7 2 3" xfId="53403"/>
    <cellStyle name="Input 2 2 37 7 3" xfId="37230"/>
    <cellStyle name="Input 2 2 37 7 4" xfId="53404"/>
    <cellStyle name="Input 2 2 37 8" xfId="22814"/>
    <cellStyle name="Input 2 2 37 8 2" xfId="31110"/>
    <cellStyle name="Input 2 2 37 8 2 2" xfId="53405"/>
    <cellStyle name="Input 2 2 37 8 2 3" xfId="53406"/>
    <cellStyle name="Input 2 2 37 8 3" xfId="38114"/>
    <cellStyle name="Input 2 2 37 8 4" xfId="53407"/>
    <cellStyle name="Input 2 2 37 9" xfId="23756"/>
    <cellStyle name="Input 2 2 37 9 2" xfId="53408"/>
    <cellStyle name="Input 2 2 37 9 3" xfId="53409"/>
    <cellStyle name="Input 2 2 38" xfId="15415"/>
    <cellStyle name="Input 2 2 38 10" xfId="53410"/>
    <cellStyle name="Input 2 2 38 11" xfId="53411"/>
    <cellStyle name="Input 2 2 38 2" xfId="16495"/>
    <cellStyle name="Input 2 2 38 2 2" xfId="24808"/>
    <cellStyle name="Input 2 2 38 2 2 2" xfId="53412"/>
    <cellStyle name="Input 2 2 38 2 2 3" xfId="53413"/>
    <cellStyle name="Input 2 2 38 2 3" xfId="32069"/>
    <cellStyle name="Input 2 2 38 2 4" xfId="53414"/>
    <cellStyle name="Input 2 2 38 3" xfId="17461"/>
    <cellStyle name="Input 2 2 38 3 2" xfId="25782"/>
    <cellStyle name="Input 2 2 38 3 2 2" xfId="53415"/>
    <cellStyle name="Input 2 2 38 3 2 3" xfId="53416"/>
    <cellStyle name="Input 2 2 38 3 3" xfId="33002"/>
    <cellStyle name="Input 2 2 38 3 4" xfId="53417"/>
    <cellStyle name="Input 2 2 38 4" xfId="18489"/>
    <cellStyle name="Input 2 2 38 4 2" xfId="26809"/>
    <cellStyle name="Input 2 2 38 4 2 2" xfId="53418"/>
    <cellStyle name="Input 2 2 38 4 2 3" xfId="53419"/>
    <cellStyle name="Input 2 2 38 4 3" xfId="33980"/>
    <cellStyle name="Input 2 2 38 4 4" xfId="53420"/>
    <cellStyle name="Input 2 2 38 5" xfId="19472"/>
    <cellStyle name="Input 2 2 38 5 2" xfId="27793"/>
    <cellStyle name="Input 2 2 38 5 2 2" xfId="53421"/>
    <cellStyle name="Input 2 2 38 5 2 3" xfId="53422"/>
    <cellStyle name="Input 2 2 38 5 3" xfId="34941"/>
    <cellStyle name="Input 2 2 38 5 4" xfId="53423"/>
    <cellStyle name="Input 2 2 38 6" xfId="20441"/>
    <cellStyle name="Input 2 2 38 6 2" xfId="28763"/>
    <cellStyle name="Input 2 2 38 6 2 2" xfId="53424"/>
    <cellStyle name="Input 2 2 38 6 2 3" xfId="53425"/>
    <cellStyle name="Input 2 2 38 6 3" xfId="35872"/>
    <cellStyle name="Input 2 2 38 6 4" xfId="53426"/>
    <cellStyle name="Input 2 2 38 7" xfId="21902"/>
    <cellStyle name="Input 2 2 38 7 2" xfId="30203"/>
    <cellStyle name="Input 2 2 38 7 2 2" xfId="53427"/>
    <cellStyle name="Input 2 2 38 7 2 3" xfId="53428"/>
    <cellStyle name="Input 2 2 38 7 3" xfId="37245"/>
    <cellStyle name="Input 2 2 38 7 4" xfId="53429"/>
    <cellStyle name="Input 2 2 38 8" xfId="22830"/>
    <cellStyle name="Input 2 2 38 8 2" xfId="31126"/>
    <cellStyle name="Input 2 2 38 8 2 2" xfId="53430"/>
    <cellStyle name="Input 2 2 38 8 2 3" xfId="53431"/>
    <cellStyle name="Input 2 2 38 8 3" xfId="38129"/>
    <cellStyle name="Input 2 2 38 8 4" xfId="53432"/>
    <cellStyle name="Input 2 2 38 9" xfId="23772"/>
    <cellStyle name="Input 2 2 38 9 2" xfId="53433"/>
    <cellStyle name="Input 2 2 38 9 3" xfId="53434"/>
    <cellStyle name="Input 2 2 39" xfId="15429"/>
    <cellStyle name="Input 2 2 39 10" xfId="53435"/>
    <cellStyle name="Input 2 2 39 11" xfId="53436"/>
    <cellStyle name="Input 2 2 39 2" xfId="16509"/>
    <cellStyle name="Input 2 2 39 2 2" xfId="24822"/>
    <cellStyle name="Input 2 2 39 2 2 2" xfId="53437"/>
    <cellStyle name="Input 2 2 39 2 2 3" xfId="53438"/>
    <cellStyle name="Input 2 2 39 2 3" xfId="32083"/>
    <cellStyle name="Input 2 2 39 2 4" xfId="53439"/>
    <cellStyle name="Input 2 2 39 3" xfId="17475"/>
    <cellStyle name="Input 2 2 39 3 2" xfId="25796"/>
    <cellStyle name="Input 2 2 39 3 2 2" xfId="53440"/>
    <cellStyle name="Input 2 2 39 3 2 3" xfId="53441"/>
    <cellStyle name="Input 2 2 39 3 3" xfId="33016"/>
    <cellStyle name="Input 2 2 39 3 4" xfId="53442"/>
    <cellStyle name="Input 2 2 39 4" xfId="18503"/>
    <cellStyle name="Input 2 2 39 4 2" xfId="26823"/>
    <cellStyle name="Input 2 2 39 4 2 2" xfId="53443"/>
    <cellStyle name="Input 2 2 39 4 2 3" xfId="53444"/>
    <cellStyle name="Input 2 2 39 4 3" xfId="33994"/>
    <cellStyle name="Input 2 2 39 4 4" xfId="53445"/>
    <cellStyle name="Input 2 2 39 5" xfId="19486"/>
    <cellStyle name="Input 2 2 39 5 2" xfId="27807"/>
    <cellStyle name="Input 2 2 39 5 2 2" xfId="53446"/>
    <cellStyle name="Input 2 2 39 5 2 3" xfId="53447"/>
    <cellStyle name="Input 2 2 39 5 3" xfId="34955"/>
    <cellStyle name="Input 2 2 39 5 4" xfId="53448"/>
    <cellStyle name="Input 2 2 39 6" xfId="20455"/>
    <cellStyle name="Input 2 2 39 6 2" xfId="28777"/>
    <cellStyle name="Input 2 2 39 6 2 2" xfId="53449"/>
    <cellStyle name="Input 2 2 39 6 2 3" xfId="53450"/>
    <cellStyle name="Input 2 2 39 6 3" xfId="35886"/>
    <cellStyle name="Input 2 2 39 6 4" xfId="53451"/>
    <cellStyle name="Input 2 2 39 7" xfId="21916"/>
    <cellStyle name="Input 2 2 39 7 2" xfId="30217"/>
    <cellStyle name="Input 2 2 39 7 2 2" xfId="53452"/>
    <cellStyle name="Input 2 2 39 7 2 3" xfId="53453"/>
    <cellStyle name="Input 2 2 39 7 3" xfId="37259"/>
    <cellStyle name="Input 2 2 39 7 4" xfId="53454"/>
    <cellStyle name="Input 2 2 39 8" xfId="22844"/>
    <cellStyle name="Input 2 2 39 8 2" xfId="31140"/>
    <cellStyle name="Input 2 2 39 8 2 2" xfId="53455"/>
    <cellStyle name="Input 2 2 39 8 2 3" xfId="53456"/>
    <cellStyle name="Input 2 2 39 8 3" xfId="38143"/>
    <cellStyle name="Input 2 2 39 8 4" xfId="53457"/>
    <cellStyle name="Input 2 2 39 9" xfId="23786"/>
    <cellStyle name="Input 2 2 39 9 2" xfId="53458"/>
    <cellStyle name="Input 2 2 39 9 3" xfId="53459"/>
    <cellStyle name="Input 2 2 4" xfId="137"/>
    <cellStyle name="Input 2 2 4 10" xfId="53460"/>
    <cellStyle name="Input 2 2 4 2" xfId="263"/>
    <cellStyle name="Input 2 2 4 2 2" xfId="673"/>
    <cellStyle name="Input 2 2 4 2 2 2" xfId="1624"/>
    <cellStyle name="Input 2 2 4 2 2 2 2" xfId="783"/>
    <cellStyle name="Input 2 2 4 2 2 2 2 2" xfId="2660"/>
    <cellStyle name="Input 2 2 4 2 2 2 2 2 2" xfId="6080"/>
    <cellStyle name="Input 2 2 4 2 2 2 2 2 2 2" xfId="12920"/>
    <cellStyle name="Input 2 2 4 2 2 2 2 2 3" xfId="9500"/>
    <cellStyle name="Input 2 2 4 2 2 2 2 3" xfId="3800"/>
    <cellStyle name="Input 2 2 4 2 2 2 2 3 2" xfId="7220"/>
    <cellStyle name="Input 2 2 4 2 2 2 2 3 2 2" xfId="14060"/>
    <cellStyle name="Input 2 2 4 2 2 2 2 3 3" xfId="10640"/>
    <cellStyle name="Input 2 2 4 2 2 2 2 4" xfId="4940"/>
    <cellStyle name="Input 2 2 4 2 2 2 2 4 2" xfId="11780"/>
    <cellStyle name="Input 2 2 4 2 2 2 2 5" xfId="8360"/>
    <cellStyle name="Input 2 2 4 2 2 2 3" xfId="2458"/>
    <cellStyle name="Input 2 2 4 2 2 2 3 2" xfId="5878"/>
    <cellStyle name="Input 2 2 4 2 2 2 3 2 2" xfId="12718"/>
    <cellStyle name="Input 2 2 4 2 2 2 3 3" xfId="9298"/>
    <cellStyle name="Input 2 2 4 2 2 2 4" xfId="3598"/>
    <cellStyle name="Input 2 2 4 2 2 2 4 2" xfId="7018"/>
    <cellStyle name="Input 2 2 4 2 2 2 4 2 2" xfId="13858"/>
    <cellStyle name="Input 2 2 4 2 2 2 4 3" xfId="10438"/>
    <cellStyle name="Input 2 2 4 2 2 2 5" xfId="4738"/>
    <cellStyle name="Input 2 2 4 2 2 2 5 2" xfId="11578"/>
    <cellStyle name="Input 2 2 4 2 2 2 6" xfId="8158"/>
    <cellStyle name="Input 2 2 4 2 2 3" xfId="38517"/>
    <cellStyle name="Input 2 2 4 2 2 4" xfId="53461"/>
    <cellStyle name="Input 2 2 4 2 2 5" xfId="53462"/>
    <cellStyle name="Input 2 2 4 2 2 6" xfId="53463"/>
    <cellStyle name="Input 2 2 4 2 2 7" xfId="53464"/>
    <cellStyle name="Input 2 2 4 2 3" xfId="1270"/>
    <cellStyle name="Input 2 2 4 2 3 2" xfId="1809"/>
    <cellStyle name="Input 2 2 4 2 3 2 2" xfId="2949"/>
    <cellStyle name="Input 2 2 4 2 3 2 2 2" xfId="6369"/>
    <cellStyle name="Input 2 2 4 2 3 2 2 2 2" xfId="13209"/>
    <cellStyle name="Input 2 2 4 2 3 2 2 3" xfId="9789"/>
    <cellStyle name="Input 2 2 4 2 3 2 3" xfId="4089"/>
    <cellStyle name="Input 2 2 4 2 3 2 3 2" xfId="7509"/>
    <cellStyle name="Input 2 2 4 2 3 2 3 2 2" xfId="14349"/>
    <cellStyle name="Input 2 2 4 2 3 2 3 3" xfId="10929"/>
    <cellStyle name="Input 2 2 4 2 3 2 4" xfId="5229"/>
    <cellStyle name="Input 2 2 4 2 3 2 4 2" xfId="12069"/>
    <cellStyle name="Input 2 2 4 2 3 2 5" xfId="8649"/>
    <cellStyle name="Input 2 2 4 2 3 3" xfId="2090"/>
    <cellStyle name="Input 2 2 4 2 3 3 2" xfId="5510"/>
    <cellStyle name="Input 2 2 4 2 3 3 2 2" xfId="12350"/>
    <cellStyle name="Input 2 2 4 2 3 3 3" xfId="8930"/>
    <cellStyle name="Input 2 2 4 2 3 4" xfId="3230"/>
    <cellStyle name="Input 2 2 4 2 3 4 2" xfId="6650"/>
    <cellStyle name="Input 2 2 4 2 3 4 2 2" xfId="13490"/>
    <cellStyle name="Input 2 2 4 2 3 4 3" xfId="10070"/>
    <cellStyle name="Input 2 2 4 2 3 5" xfId="4370"/>
    <cellStyle name="Input 2 2 4 2 3 5 2" xfId="11210"/>
    <cellStyle name="Input 2 2 4 2 3 6" xfId="7790"/>
    <cellStyle name="Input 2 2 4 2 4" xfId="15616"/>
    <cellStyle name="Input 2 2 4 2 5" xfId="23929"/>
    <cellStyle name="Input 2 2 4 2 6" xfId="38280"/>
    <cellStyle name="Input 2 2 4 2 7" xfId="53465"/>
    <cellStyle name="Input 2 2 4 3" xfId="585"/>
    <cellStyle name="Input 2 2 4 3 2" xfId="1572"/>
    <cellStyle name="Input 2 2 4 3 2 2" xfId="1817"/>
    <cellStyle name="Input 2 2 4 3 2 2 2" xfId="2957"/>
    <cellStyle name="Input 2 2 4 3 2 2 2 2" xfId="6377"/>
    <cellStyle name="Input 2 2 4 3 2 2 2 2 2" xfId="13217"/>
    <cellStyle name="Input 2 2 4 3 2 2 2 3" xfId="9797"/>
    <cellStyle name="Input 2 2 4 3 2 2 3" xfId="4097"/>
    <cellStyle name="Input 2 2 4 3 2 2 3 2" xfId="7517"/>
    <cellStyle name="Input 2 2 4 3 2 2 3 2 2" xfId="14357"/>
    <cellStyle name="Input 2 2 4 3 2 2 3 3" xfId="10937"/>
    <cellStyle name="Input 2 2 4 3 2 2 4" xfId="5237"/>
    <cellStyle name="Input 2 2 4 3 2 2 4 2" xfId="12077"/>
    <cellStyle name="Input 2 2 4 3 2 2 5" xfId="8657"/>
    <cellStyle name="Input 2 2 4 3 2 3" xfId="2397"/>
    <cellStyle name="Input 2 2 4 3 2 3 2" xfId="5817"/>
    <cellStyle name="Input 2 2 4 3 2 3 2 2" xfId="12657"/>
    <cellStyle name="Input 2 2 4 3 2 3 3" xfId="9237"/>
    <cellStyle name="Input 2 2 4 3 2 4" xfId="3537"/>
    <cellStyle name="Input 2 2 4 3 2 4 2" xfId="6957"/>
    <cellStyle name="Input 2 2 4 3 2 4 2 2" xfId="13797"/>
    <cellStyle name="Input 2 2 4 3 2 4 3" xfId="10377"/>
    <cellStyle name="Input 2 2 4 3 2 5" xfId="4677"/>
    <cellStyle name="Input 2 2 4 3 2 5 2" xfId="11517"/>
    <cellStyle name="Input 2 2 4 3 2 6" xfId="8097"/>
    <cellStyle name="Input 2 2 4 3 3" xfId="16584"/>
    <cellStyle name="Input 2 2 4 3 4" xfId="24900"/>
    <cellStyle name="Input 2 2 4 3 5" xfId="32160"/>
    <cellStyle name="Input 2 2 4 3 6" xfId="53466"/>
    <cellStyle name="Input 2 2 4 3 7" xfId="53467"/>
    <cellStyle name="Input 2 2 4 3 8" xfId="53468"/>
    <cellStyle name="Input 2 2 4 4" xfId="1146"/>
    <cellStyle name="Input 2 2 4 4 2" xfId="1762"/>
    <cellStyle name="Input 2 2 4 4 2 2" xfId="2902"/>
    <cellStyle name="Input 2 2 4 4 2 2 2" xfId="6322"/>
    <cellStyle name="Input 2 2 4 4 2 2 2 2" xfId="13162"/>
    <cellStyle name="Input 2 2 4 4 2 2 3" xfId="9742"/>
    <cellStyle name="Input 2 2 4 4 2 3" xfId="4042"/>
    <cellStyle name="Input 2 2 4 4 2 3 2" xfId="7462"/>
    <cellStyle name="Input 2 2 4 4 2 3 2 2" xfId="14302"/>
    <cellStyle name="Input 2 2 4 4 2 3 3" xfId="10882"/>
    <cellStyle name="Input 2 2 4 4 2 4" xfId="5182"/>
    <cellStyle name="Input 2 2 4 4 2 4 2" xfId="12022"/>
    <cellStyle name="Input 2 2 4 4 2 5" xfId="8602"/>
    <cellStyle name="Input 2 2 4 4 3" xfId="1965"/>
    <cellStyle name="Input 2 2 4 4 3 2" xfId="5385"/>
    <cellStyle name="Input 2 2 4 4 3 2 2" xfId="12225"/>
    <cellStyle name="Input 2 2 4 4 3 3" xfId="8805"/>
    <cellStyle name="Input 2 2 4 4 4" xfId="3105"/>
    <cellStyle name="Input 2 2 4 4 4 2" xfId="6525"/>
    <cellStyle name="Input 2 2 4 4 4 2 2" xfId="13365"/>
    <cellStyle name="Input 2 2 4 4 4 3" xfId="9945"/>
    <cellStyle name="Input 2 2 4 4 5" xfId="4245"/>
    <cellStyle name="Input 2 2 4 4 5 2" xfId="11085"/>
    <cellStyle name="Input 2 2 4 4 6" xfId="7665"/>
    <cellStyle name="Input 2 2 4 4 7" xfId="17603"/>
    <cellStyle name="Input 2 2 4 4 8" xfId="25925"/>
    <cellStyle name="Input 2 2 4 4 9" xfId="33137"/>
    <cellStyle name="Input 2 2 4 5" xfId="18584"/>
    <cellStyle name="Input 2 2 4 5 2" xfId="26903"/>
    <cellStyle name="Input 2 2 4 5 2 2" xfId="53469"/>
    <cellStyle name="Input 2 2 4 5 2 3" xfId="53470"/>
    <cellStyle name="Input 2 2 4 5 3" xfId="34072"/>
    <cellStyle name="Input 2 2 4 5 4" xfId="53471"/>
    <cellStyle name="Input 2 2 4 6" xfId="19552"/>
    <cellStyle name="Input 2 2 4 6 2" xfId="27873"/>
    <cellStyle name="Input 2 2 4 6 2 2" xfId="53472"/>
    <cellStyle name="Input 2 2 4 6 2 3" xfId="53473"/>
    <cellStyle name="Input 2 2 4 6 3" xfId="35020"/>
    <cellStyle name="Input 2 2 4 6 4" xfId="53474"/>
    <cellStyle name="Input 2 2 4 7" xfId="20510"/>
    <cellStyle name="Input 2 2 4 7 2" xfId="28832"/>
    <cellStyle name="Input 2 2 4 7 2 2" xfId="53475"/>
    <cellStyle name="Input 2 2 4 7 2 3" xfId="53476"/>
    <cellStyle name="Input 2 2 4 7 3" xfId="35937"/>
    <cellStyle name="Input 2 2 4 7 4" xfId="53477"/>
    <cellStyle name="Input 2 2 4 8" xfId="22893"/>
    <cellStyle name="Input 2 2 4 8 2" xfId="53478"/>
    <cellStyle name="Input 2 2 4 8 3" xfId="53479"/>
    <cellStyle name="Input 2 2 4 9" xfId="53480"/>
    <cellStyle name="Input 2 2 40" xfId="15443"/>
    <cellStyle name="Input 2 2 40 10" xfId="53481"/>
    <cellStyle name="Input 2 2 40 11" xfId="53482"/>
    <cellStyle name="Input 2 2 40 2" xfId="16523"/>
    <cellStyle name="Input 2 2 40 2 2" xfId="24836"/>
    <cellStyle name="Input 2 2 40 2 2 2" xfId="53483"/>
    <cellStyle name="Input 2 2 40 2 2 3" xfId="53484"/>
    <cellStyle name="Input 2 2 40 2 3" xfId="32097"/>
    <cellStyle name="Input 2 2 40 2 4" xfId="53485"/>
    <cellStyle name="Input 2 2 40 3" xfId="17489"/>
    <cellStyle name="Input 2 2 40 3 2" xfId="25810"/>
    <cellStyle name="Input 2 2 40 3 2 2" xfId="53486"/>
    <cellStyle name="Input 2 2 40 3 2 3" xfId="53487"/>
    <cellStyle name="Input 2 2 40 3 3" xfId="33030"/>
    <cellStyle name="Input 2 2 40 3 4" xfId="53488"/>
    <cellStyle name="Input 2 2 40 4" xfId="18517"/>
    <cellStyle name="Input 2 2 40 4 2" xfId="26837"/>
    <cellStyle name="Input 2 2 40 4 2 2" xfId="53489"/>
    <cellStyle name="Input 2 2 40 4 2 3" xfId="53490"/>
    <cellStyle name="Input 2 2 40 4 3" xfId="34008"/>
    <cellStyle name="Input 2 2 40 4 4" xfId="53491"/>
    <cellStyle name="Input 2 2 40 5" xfId="19500"/>
    <cellStyle name="Input 2 2 40 5 2" xfId="27821"/>
    <cellStyle name="Input 2 2 40 5 2 2" xfId="53492"/>
    <cellStyle name="Input 2 2 40 5 2 3" xfId="53493"/>
    <cellStyle name="Input 2 2 40 5 3" xfId="34969"/>
    <cellStyle name="Input 2 2 40 5 4" xfId="53494"/>
    <cellStyle name="Input 2 2 40 6" xfId="20469"/>
    <cellStyle name="Input 2 2 40 6 2" xfId="28791"/>
    <cellStyle name="Input 2 2 40 6 2 2" xfId="53495"/>
    <cellStyle name="Input 2 2 40 6 2 3" xfId="53496"/>
    <cellStyle name="Input 2 2 40 6 3" xfId="35900"/>
    <cellStyle name="Input 2 2 40 6 4" xfId="53497"/>
    <cellStyle name="Input 2 2 40 7" xfId="21930"/>
    <cellStyle name="Input 2 2 40 7 2" xfId="30231"/>
    <cellStyle name="Input 2 2 40 7 2 2" xfId="53498"/>
    <cellStyle name="Input 2 2 40 7 2 3" xfId="53499"/>
    <cellStyle name="Input 2 2 40 7 3" xfId="37273"/>
    <cellStyle name="Input 2 2 40 7 4" xfId="53500"/>
    <cellStyle name="Input 2 2 40 8" xfId="22858"/>
    <cellStyle name="Input 2 2 40 8 2" xfId="31154"/>
    <cellStyle name="Input 2 2 40 8 2 2" xfId="53501"/>
    <cellStyle name="Input 2 2 40 8 2 3" xfId="53502"/>
    <cellStyle name="Input 2 2 40 8 3" xfId="38157"/>
    <cellStyle name="Input 2 2 40 8 4" xfId="53503"/>
    <cellStyle name="Input 2 2 40 9" xfId="23800"/>
    <cellStyle name="Input 2 2 40 9 2" xfId="53504"/>
    <cellStyle name="Input 2 2 40 9 3" xfId="53505"/>
    <cellStyle name="Input 2 2 41" xfId="15346"/>
    <cellStyle name="Input 2 2 41 10" xfId="53506"/>
    <cellStyle name="Input 2 2 41 11" xfId="53507"/>
    <cellStyle name="Input 2 2 41 2" xfId="16426"/>
    <cellStyle name="Input 2 2 41 2 2" xfId="24739"/>
    <cellStyle name="Input 2 2 41 2 2 2" xfId="53508"/>
    <cellStyle name="Input 2 2 41 2 2 3" xfId="53509"/>
    <cellStyle name="Input 2 2 41 2 3" xfId="32004"/>
    <cellStyle name="Input 2 2 41 2 4" xfId="53510"/>
    <cellStyle name="Input 2 2 41 3" xfId="17392"/>
    <cellStyle name="Input 2 2 41 3 2" xfId="25713"/>
    <cellStyle name="Input 2 2 41 3 2 2" xfId="53511"/>
    <cellStyle name="Input 2 2 41 3 2 3" xfId="53512"/>
    <cellStyle name="Input 2 2 41 3 3" xfId="32937"/>
    <cellStyle name="Input 2 2 41 3 4" xfId="53513"/>
    <cellStyle name="Input 2 2 41 4" xfId="18420"/>
    <cellStyle name="Input 2 2 41 4 2" xfId="26740"/>
    <cellStyle name="Input 2 2 41 4 2 2" xfId="53514"/>
    <cellStyle name="Input 2 2 41 4 2 3" xfId="53515"/>
    <cellStyle name="Input 2 2 41 4 3" xfId="33915"/>
    <cellStyle name="Input 2 2 41 4 4" xfId="53516"/>
    <cellStyle name="Input 2 2 41 5" xfId="19403"/>
    <cellStyle name="Input 2 2 41 5 2" xfId="27724"/>
    <cellStyle name="Input 2 2 41 5 2 2" xfId="53517"/>
    <cellStyle name="Input 2 2 41 5 2 3" xfId="53518"/>
    <cellStyle name="Input 2 2 41 5 3" xfId="34872"/>
    <cellStyle name="Input 2 2 41 5 4" xfId="53519"/>
    <cellStyle name="Input 2 2 41 6" xfId="20372"/>
    <cellStyle name="Input 2 2 41 6 2" xfId="28694"/>
    <cellStyle name="Input 2 2 41 6 2 2" xfId="53520"/>
    <cellStyle name="Input 2 2 41 6 2 3" xfId="53521"/>
    <cellStyle name="Input 2 2 41 6 3" xfId="35807"/>
    <cellStyle name="Input 2 2 41 6 4" xfId="53522"/>
    <cellStyle name="Input 2 2 41 7" xfId="21833"/>
    <cellStyle name="Input 2 2 41 7 2" xfId="30134"/>
    <cellStyle name="Input 2 2 41 7 2 2" xfId="53523"/>
    <cellStyle name="Input 2 2 41 7 2 3" xfId="53524"/>
    <cellStyle name="Input 2 2 41 7 3" xfId="37181"/>
    <cellStyle name="Input 2 2 41 7 4" xfId="53525"/>
    <cellStyle name="Input 2 2 41 8" xfId="22761"/>
    <cellStyle name="Input 2 2 41 8 2" xfId="31057"/>
    <cellStyle name="Input 2 2 41 8 2 2" xfId="53526"/>
    <cellStyle name="Input 2 2 41 8 2 3" xfId="53527"/>
    <cellStyle name="Input 2 2 41 8 3" xfId="38064"/>
    <cellStyle name="Input 2 2 41 8 4" xfId="53528"/>
    <cellStyle name="Input 2 2 41 9" xfId="23703"/>
    <cellStyle name="Input 2 2 41 9 2" xfId="53529"/>
    <cellStyle name="Input 2 2 41 9 3" xfId="53530"/>
    <cellStyle name="Input 2 2 42" xfId="15475"/>
    <cellStyle name="Input 2 2 42 10" xfId="53531"/>
    <cellStyle name="Input 2 2 42 11" xfId="53532"/>
    <cellStyle name="Input 2 2 42 2" xfId="16549"/>
    <cellStyle name="Input 2 2 42 2 2" xfId="24862"/>
    <cellStyle name="Input 2 2 42 2 2 2" xfId="53533"/>
    <cellStyle name="Input 2 2 42 2 2 3" xfId="53534"/>
    <cellStyle name="Input 2 2 42 2 3" xfId="32122"/>
    <cellStyle name="Input 2 2 42 2 4" xfId="53535"/>
    <cellStyle name="Input 2 2 42 3" xfId="17521"/>
    <cellStyle name="Input 2 2 42 3 2" xfId="25841"/>
    <cellStyle name="Input 2 2 42 3 2 2" xfId="53536"/>
    <cellStyle name="Input 2 2 42 3 2 3" xfId="53537"/>
    <cellStyle name="Input 2 2 42 3 3" xfId="33059"/>
    <cellStyle name="Input 2 2 42 3 4" xfId="53538"/>
    <cellStyle name="Input 2 2 42 4" xfId="18548"/>
    <cellStyle name="Input 2 2 42 4 2" xfId="26865"/>
    <cellStyle name="Input 2 2 42 4 2 2" xfId="53539"/>
    <cellStyle name="Input 2 2 42 4 2 3" xfId="53540"/>
    <cellStyle name="Input 2 2 42 4 3" xfId="34035"/>
    <cellStyle name="Input 2 2 42 4 4" xfId="53541"/>
    <cellStyle name="Input 2 2 42 5" xfId="19532"/>
    <cellStyle name="Input 2 2 42 5 2" xfId="27853"/>
    <cellStyle name="Input 2 2 42 5 2 2" xfId="53542"/>
    <cellStyle name="Input 2 2 42 5 2 3" xfId="53543"/>
    <cellStyle name="Input 2 2 42 5 3" xfId="35001"/>
    <cellStyle name="Input 2 2 42 5 4" xfId="53544"/>
    <cellStyle name="Input 2 2 42 6" xfId="20496"/>
    <cellStyle name="Input 2 2 42 6 2" xfId="28818"/>
    <cellStyle name="Input 2 2 42 6 2 2" xfId="53545"/>
    <cellStyle name="Input 2 2 42 6 2 3" xfId="53546"/>
    <cellStyle name="Input 2 2 42 6 3" xfId="35925"/>
    <cellStyle name="Input 2 2 42 6 4" xfId="53547"/>
    <cellStyle name="Input 2 2 42 7" xfId="21956"/>
    <cellStyle name="Input 2 2 42 7 2" xfId="30257"/>
    <cellStyle name="Input 2 2 42 7 2 2" xfId="53548"/>
    <cellStyle name="Input 2 2 42 7 2 3" xfId="53549"/>
    <cellStyle name="Input 2 2 42 7 3" xfId="37297"/>
    <cellStyle name="Input 2 2 42 7 4" xfId="53550"/>
    <cellStyle name="Input 2 2 42 8" xfId="22880"/>
    <cellStyle name="Input 2 2 42 8 2" xfId="31176"/>
    <cellStyle name="Input 2 2 42 8 2 2" xfId="53551"/>
    <cellStyle name="Input 2 2 42 8 2 3" xfId="53552"/>
    <cellStyle name="Input 2 2 42 8 3" xfId="38178"/>
    <cellStyle name="Input 2 2 42 8 4" xfId="53553"/>
    <cellStyle name="Input 2 2 42 9" xfId="23825"/>
    <cellStyle name="Input 2 2 42 9 2" xfId="53554"/>
    <cellStyle name="Input 2 2 42 9 3" xfId="53555"/>
    <cellStyle name="Input 2 2 43" xfId="15517"/>
    <cellStyle name="Input 2 2 43 2" xfId="23856"/>
    <cellStyle name="Input 2 2 43 2 2" xfId="53556"/>
    <cellStyle name="Input 2 2 43 2 3" xfId="53557"/>
    <cellStyle name="Input 2 2 43 3" xfId="31203"/>
    <cellStyle name="Input 2 2 43 4" xfId="53558"/>
    <cellStyle name="Input 2 2 44" xfId="17541"/>
    <cellStyle name="Input 2 2 44 2" xfId="25859"/>
    <cellStyle name="Input 2 2 44 2 2" xfId="53559"/>
    <cellStyle name="Input 2 2 44 2 3" xfId="53560"/>
    <cellStyle name="Input 2 2 44 3" xfId="33076"/>
    <cellStyle name="Input 2 2 44 4" xfId="53561"/>
    <cellStyle name="Input 2 2 45" xfId="15561"/>
    <cellStyle name="Input 2 2 45 2" xfId="23888"/>
    <cellStyle name="Input 2 2 45 2 2" xfId="53562"/>
    <cellStyle name="Input 2 2 45 2 3" xfId="53563"/>
    <cellStyle name="Input 2 2 45 3" xfId="31232"/>
    <cellStyle name="Input 2 2 45 4" xfId="53564"/>
    <cellStyle name="Input 2 2 46" xfId="21125"/>
    <cellStyle name="Input 2 2 46 2" xfId="29439"/>
    <cellStyle name="Input 2 2 46 2 2" xfId="53565"/>
    <cellStyle name="Input 2 2 46 2 3" xfId="53566"/>
    <cellStyle name="Input 2 2 46 3" xfId="36512"/>
    <cellStyle name="Input 2 2 46 4" xfId="53567"/>
    <cellStyle name="Input 2 2 47" xfId="17796"/>
    <cellStyle name="Input 2 2 47 2" xfId="53568"/>
    <cellStyle name="Input 2 2 47 3" xfId="53569"/>
    <cellStyle name="Input 2 2 48" xfId="53570"/>
    <cellStyle name="Input 2 2 49" xfId="53571"/>
    <cellStyle name="Input 2 2 5" xfId="304"/>
    <cellStyle name="Input 2 2 5 10" xfId="14598"/>
    <cellStyle name="Input 2 2 5 11" xfId="22958"/>
    <cellStyle name="Input 2 2 5 12" xfId="53572"/>
    <cellStyle name="Input 2 2 5 13" xfId="53573"/>
    <cellStyle name="Input 2 2 5 14" xfId="53574"/>
    <cellStyle name="Input 2 2 5 2" xfId="551"/>
    <cellStyle name="Input 2 2 5 2 2" xfId="1555"/>
    <cellStyle name="Input 2 2 5 2 2 2" xfId="1869"/>
    <cellStyle name="Input 2 2 5 2 2 2 2" xfId="3009"/>
    <cellStyle name="Input 2 2 5 2 2 2 2 2" xfId="6429"/>
    <cellStyle name="Input 2 2 5 2 2 2 2 2 2" xfId="13269"/>
    <cellStyle name="Input 2 2 5 2 2 2 2 3" xfId="9849"/>
    <cellStyle name="Input 2 2 5 2 2 2 3" xfId="4149"/>
    <cellStyle name="Input 2 2 5 2 2 2 3 2" xfId="7569"/>
    <cellStyle name="Input 2 2 5 2 2 2 3 2 2" xfId="14409"/>
    <cellStyle name="Input 2 2 5 2 2 2 3 3" xfId="10989"/>
    <cellStyle name="Input 2 2 5 2 2 2 4" xfId="5289"/>
    <cellStyle name="Input 2 2 5 2 2 2 4 2" xfId="12129"/>
    <cellStyle name="Input 2 2 5 2 2 2 5" xfId="8709"/>
    <cellStyle name="Input 2 2 5 2 2 3" xfId="2376"/>
    <cellStyle name="Input 2 2 5 2 2 3 2" xfId="5796"/>
    <cellStyle name="Input 2 2 5 2 2 3 2 2" xfId="12636"/>
    <cellStyle name="Input 2 2 5 2 2 3 3" xfId="9216"/>
    <cellStyle name="Input 2 2 5 2 2 4" xfId="3516"/>
    <cellStyle name="Input 2 2 5 2 2 4 2" xfId="6936"/>
    <cellStyle name="Input 2 2 5 2 2 4 2 2" xfId="13776"/>
    <cellStyle name="Input 2 2 5 2 2 4 3" xfId="10356"/>
    <cellStyle name="Input 2 2 5 2 2 5" xfId="4656"/>
    <cellStyle name="Input 2 2 5 2 2 5 2" xfId="11496"/>
    <cellStyle name="Input 2 2 5 2 2 6" xfId="8076"/>
    <cellStyle name="Input 2 2 5 2 3" xfId="15678"/>
    <cellStyle name="Input 2 2 5 2 4" xfId="23993"/>
    <cellStyle name="Input 2 2 5 2 5" xfId="31288"/>
    <cellStyle name="Input 2 2 5 2 6" xfId="53575"/>
    <cellStyle name="Input 2 2 5 2 7" xfId="53576"/>
    <cellStyle name="Input 2 2 5 2 8" xfId="53577"/>
    <cellStyle name="Input 2 2 5 3" xfId="1310"/>
    <cellStyle name="Input 2 2 5 3 2" xfId="973"/>
    <cellStyle name="Input 2 2 5 3 2 2" xfId="2793"/>
    <cellStyle name="Input 2 2 5 3 2 2 2" xfId="6213"/>
    <cellStyle name="Input 2 2 5 3 2 2 2 2" xfId="13053"/>
    <cellStyle name="Input 2 2 5 3 2 2 3" xfId="9633"/>
    <cellStyle name="Input 2 2 5 3 2 3" xfId="3933"/>
    <cellStyle name="Input 2 2 5 3 2 3 2" xfId="7353"/>
    <cellStyle name="Input 2 2 5 3 2 3 2 2" xfId="14193"/>
    <cellStyle name="Input 2 2 5 3 2 3 3" xfId="10773"/>
    <cellStyle name="Input 2 2 5 3 2 4" xfId="5073"/>
    <cellStyle name="Input 2 2 5 3 2 4 2" xfId="11913"/>
    <cellStyle name="Input 2 2 5 3 2 5" xfId="8493"/>
    <cellStyle name="Input 2 2 5 3 3" xfId="2130"/>
    <cellStyle name="Input 2 2 5 3 3 2" xfId="5550"/>
    <cellStyle name="Input 2 2 5 3 3 2 2" xfId="12390"/>
    <cellStyle name="Input 2 2 5 3 3 3" xfId="8970"/>
    <cellStyle name="Input 2 2 5 3 4" xfId="3270"/>
    <cellStyle name="Input 2 2 5 3 4 2" xfId="6690"/>
    <cellStyle name="Input 2 2 5 3 4 2 2" xfId="13530"/>
    <cellStyle name="Input 2 2 5 3 4 3" xfId="10110"/>
    <cellStyle name="Input 2 2 5 3 5" xfId="4410"/>
    <cellStyle name="Input 2 2 5 3 5 2" xfId="11250"/>
    <cellStyle name="Input 2 2 5 3 6" xfId="7830"/>
    <cellStyle name="Input 2 2 5 3 7" xfId="16645"/>
    <cellStyle name="Input 2 2 5 3 8" xfId="24964"/>
    <cellStyle name="Input 2 2 5 3 9" xfId="32221"/>
    <cellStyle name="Input 2 2 5 4" xfId="17666"/>
    <cellStyle name="Input 2 2 5 4 2" xfId="25990"/>
    <cellStyle name="Input 2 2 5 4 2 2" xfId="53578"/>
    <cellStyle name="Input 2 2 5 4 2 3" xfId="53579"/>
    <cellStyle name="Input 2 2 5 4 3" xfId="33198"/>
    <cellStyle name="Input 2 2 5 4 4" xfId="53580"/>
    <cellStyle name="Input 2 2 5 5" xfId="18649"/>
    <cellStyle name="Input 2 2 5 5 2" xfId="26970"/>
    <cellStyle name="Input 2 2 5 5 2 2" xfId="53581"/>
    <cellStyle name="Input 2 2 5 5 2 3" xfId="53582"/>
    <cellStyle name="Input 2 2 5 5 3" xfId="34136"/>
    <cellStyle name="Input 2 2 5 5 4" xfId="53583"/>
    <cellStyle name="Input 2 2 5 6" xfId="19618"/>
    <cellStyle name="Input 2 2 5 6 2" xfId="27939"/>
    <cellStyle name="Input 2 2 5 6 2 2" xfId="53584"/>
    <cellStyle name="Input 2 2 5 6 2 3" xfId="53585"/>
    <cellStyle name="Input 2 2 5 6 3" xfId="35082"/>
    <cellStyle name="Input 2 2 5 6 4" xfId="53586"/>
    <cellStyle name="Input 2 2 5 7" xfId="20575"/>
    <cellStyle name="Input 2 2 5 7 2" xfId="28897"/>
    <cellStyle name="Input 2 2 5 7 2 2" xfId="53587"/>
    <cellStyle name="Input 2 2 5 7 2 3" xfId="53588"/>
    <cellStyle name="Input 2 2 5 7 3" xfId="35998"/>
    <cellStyle name="Input 2 2 5 7 4" xfId="53589"/>
    <cellStyle name="Input 2 2 5 8" xfId="21297"/>
    <cellStyle name="Input 2 2 5 8 2" xfId="29604"/>
    <cellStyle name="Input 2 2 5 8 2 2" xfId="53590"/>
    <cellStyle name="Input 2 2 5 8 2 3" xfId="53591"/>
    <cellStyle name="Input 2 2 5 8 3" xfId="36671"/>
    <cellStyle name="Input 2 2 5 8 4" xfId="53592"/>
    <cellStyle name="Input 2 2 5 9" xfId="22012"/>
    <cellStyle name="Input 2 2 5 9 2" xfId="30311"/>
    <cellStyle name="Input 2 2 5 9 2 2" xfId="53593"/>
    <cellStyle name="Input 2 2 5 9 2 3" xfId="53594"/>
    <cellStyle name="Input 2 2 5 9 3" xfId="37349"/>
    <cellStyle name="Input 2 2 5 9 4" xfId="53595"/>
    <cellStyle name="Input 2 2 6" xfId="201"/>
    <cellStyle name="Input 2 2 6 10" xfId="14616"/>
    <cellStyle name="Input 2 2 6 11" xfId="22976"/>
    <cellStyle name="Input 2 2 6 12" xfId="53596"/>
    <cellStyle name="Input 2 2 6 13" xfId="53597"/>
    <cellStyle name="Input 2 2 6 14" xfId="53598"/>
    <cellStyle name="Input 2 2 6 2" xfId="198"/>
    <cellStyle name="Input 2 2 6 2 2" xfId="1206"/>
    <cellStyle name="Input 2 2 6 2 2 2" xfId="1767"/>
    <cellStyle name="Input 2 2 6 2 2 2 2" xfId="2907"/>
    <cellStyle name="Input 2 2 6 2 2 2 2 2" xfId="6327"/>
    <cellStyle name="Input 2 2 6 2 2 2 2 2 2" xfId="13167"/>
    <cellStyle name="Input 2 2 6 2 2 2 2 3" xfId="9747"/>
    <cellStyle name="Input 2 2 6 2 2 2 3" xfId="4047"/>
    <cellStyle name="Input 2 2 6 2 2 2 3 2" xfId="7467"/>
    <cellStyle name="Input 2 2 6 2 2 2 3 2 2" xfId="14307"/>
    <cellStyle name="Input 2 2 6 2 2 2 3 3" xfId="10887"/>
    <cellStyle name="Input 2 2 6 2 2 2 4" xfId="5187"/>
    <cellStyle name="Input 2 2 6 2 2 2 4 2" xfId="12027"/>
    <cellStyle name="Input 2 2 6 2 2 2 5" xfId="8607"/>
    <cellStyle name="Input 2 2 6 2 2 3" xfId="2025"/>
    <cellStyle name="Input 2 2 6 2 2 3 2" xfId="5445"/>
    <cellStyle name="Input 2 2 6 2 2 3 2 2" xfId="12285"/>
    <cellStyle name="Input 2 2 6 2 2 3 3" xfId="8865"/>
    <cellStyle name="Input 2 2 6 2 2 4" xfId="3165"/>
    <cellStyle name="Input 2 2 6 2 2 4 2" xfId="6585"/>
    <cellStyle name="Input 2 2 6 2 2 4 2 2" xfId="13425"/>
    <cellStyle name="Input 2 2 6 2 2 4 3" xfId="10005"/>
    <cellStyle name="Input 2 2 6 2 2 5" xfId="4305"/>
    <cellStyle name="Input 2 2 6 2 2 5 2" xfId="11145"/>
    <cellStyle name="Input 2 2 6 2 2 6" xfId="7725"/>
    <cellStyle name="Input 2 2 6 2 3" xfId="15696"/>
    <cellStyle name="Input 2 2 6 2 4" xfId="24011"/>
    <cellStyle name="Input 2 2 6 2 5" xfId="31305"/>
    <cellStyle name="Input 2 2 6 2 6" xfId="53599"/>
    <cellStyle name="Input 2 2 6 2 7" xfId="53600"/>
    <cellStyle name="Input 2 2 6 2 8" xfId="53601"/>
    <cellStyle name="Input 2 2 6 3" xfId="1209"/>
    <cellStyle name="Input 2 2 6 3 2" xfId="1680"/>
    <cellStyle name="Input 2 2 6 3 2 2" xfId="2820"/>
    <cellStyle name="Input 2 2 6 3 2 2 2" xfId="6240"/>
    <cellStyle name="Input 2 2 6 3 2 2 2 2" xfId="13080"/>
    <cellStyle name="Input 2 2 6 3 2 2 3" xfId="9660"/>
    <cellStyle name="Input 2 2 6 3 2 3" xfId="3960"/>
    <cellStyle name="Input 2 2 6 3 2 3 2" xfId="7380"/>
    <cellStyle name="Input 2 2 6 3 2 3 2 2" xfId="14220"/>
    <cellStyle name="Input 2 2 6 3 2 3 3" xfId="10800"/>
    <cellStyle name="Input 2 2 6 3 2 4" xfId="5100"/>
    <cellStyle name="Input 2 2 6 3 2 4 2" xfId="11940"/>
    <cellStyle name="Input 2 2 6 3 2 5" xfId="8520"/>
    <cellStyle name="Input 2 2 6 3 3" xfId="2028"/>
    <cellStyle name="Input 2 2 6 3 3 2" xfId="5448"/>
    <cellStyle name="Input 2 2 6 3 3 2 2" xfId="12288"/>
    <cellStyle name="Input 2 2 6 3 3 3" xfId="8868"/>
    <cellStyle name="Input 2 2 6 3 4" xfId="3168"/>
    <cellStyle name="Input 2 2 6 3 4 2" xfId="6588"/>
    <cellStyle name="Input 2 2 6 3 4 2 2" xfId="13428"/>
    <cellStyle name="Input 2 2 6 3 4 3" xfId="10008"/>
    <cellStyle name="Input 2 2 6 3 5" xfId="4308"/>
    <cellStyle name="Input 2 2 6 3 5 2" xfId="11148"/>
    <cellStyle name="Input 2 2 6 3 6" xfId="7728"/>
    <cellStyle name="Input 2 2 6 3 7" xfId="16663"/>
    <cellStyle name="Input 2 2 6 3 8" xfId="24982"/>
    <cellStyle name="Input 2 2 6 3 9" xfId="32238"/>
    <cellStyle name="Input 2 2 6 4" xfId="17685"/>
    <cellStyle name="Input 2 2 6 4 2" xfId="26008"/>
    <cellStyle name="Input 2 2 6 4 2 2" xfId="53602"/>
    <cellStyle name="Input 2 2 6 4 2 3" xfId="53603"/>
    <cellStyle name="Input 2 2 6 4 3" xfId="33215"/>
    <cellStyle name="Input 2 2 6 4 4" xfId="53604"/>
    <cellStyle name="Input 2 2 6 5" xfId="18668"/>
    <cellStyle name="Input 2 2 6 5 2" xfId="26989"/>
    <cellStyle name="Input 2 2 6 5 2 2" xfId="53605"/>
    <cellStyle name="Input 2 2 6 5 2 3" xfId="53606"/>
    <cellStyle name="Input 2 2 6 5 3" xfId="34154"/>
    <cellStyle name="Input 2 2 6 5 4" xfId="53607"/>
    <cellStyle name="Input 2 2 6 6" xfId="19637"/>
    <cellStyle name="Input 2 2 6 6 2" xfId="27958"/>
    <cellStyle name="Input 2 2 6 6 2 2" xfId="53608"/>
    <cellStyle name="Input 2 2 6 6 2 3" xfId="53609"/>
    <cellStyle name="Input 2 2 6 6 3" xfId="35100"/>
    <cellStyle name="Input 2 2 6 6 4" xfId="53610"/>
    <cellStyle name="Input 2 2 6 7" xfId="20594"/>
    <cellStyle name="Input 2 2 6 7 2" xfId="28915"/>
    <cellStyle name="Input 2 2 6 7 2 2" xfId="53611"/>
    <cellStyle name="Input 2 2 6 7 2 3" xfId="53612"/>
    <cellStyle name="Input 2 2 6 7 3" xfId="36015"/>
    <cellStyle name="Input 2 2 6 7 4" xfId="53613"/>
    <cellStyle name="Input 2 2 6 8" xfId="21319"/>
    <cellStyle name="Input 2 2 6 8 2" xfId="29625"/>
    <cellStyle name="Input 2 2 6 8 2 2" xfId="53614"/>
    <cellStyle name="Input 2 2 6 8 2 3" xfId="53615"/>
    <cellStyle name="Input 2 2 6 8 3" xfId="36692"/>
    <cellStyle name="Input 2 2 6 8 4" xfId="53616"/>
    <cellStyle name="Input 2 2 6 9" xfId="22031"/>
    <cellStyle name="Input 2 2 6 9 2" xfId="30329"/>
    <cellStyle name="Input 2 2 6 9 2 2" xfId="53617"/>
    <cellStyle name="Input 2 2 6 9 2 3" xfId="53618"/>
    <cellStyle name="Input 2 2 6 9 3" xfId="37366"/>
    <cellStyle name="Input 2 2 6 9 4" xfId="53619"/>
    <cellStyle name="Input 2 2 7" xfId="416"/>
    <cellStyle name="Input 2 2 7 10" xfId="14573"/>
    <cellStyle name="Input 2 2 7 11" xfId="22931"/>
    <cellStyle name="Input 2 2 7 12" xfId="53620"/>
    <cellStyle name="Input 2 2 7 13" xfId="53621"/>
    <cellStyle name="Input 2 2 7 14" xfId="53622"/>
    <cellStyle name="Input 2 2 7 2" xfId="177"/>
    <cellStyle name="Input 2 2 7 2 2" xfId="1185"/>
    <cellStyle name="Input 2 2 7 2 2 2" xfId="1846"/>
    <cellStyle name="Input 2 2 7 2 2 2 2" xfId="2986"/>
    <cellStyle name="Input 2 2 7 2 2 2 2 2" xfId="6406"/>
    <cellStyle name="Input 2 2 7 2 2 2 2 2 2" xfId="13246"/>
    <cellStyle name="Input 2 2 7 2 2 2 2 3" xfId="9826"/>
    <cellStyle name="Input 2 2 7 2 2 2 3" xfId="4126"/>
    <cellStyle name="Input 2 2 7 2 2 2 3 2" xfId="7546"/>
    <cellStyle name="Input 2 2 7 2 2 2 3 2 2" xfId="14386"/>
    <cellStyle name="Input 2 2 7 2 2 2 3 3" xfId="10966"/>
    <cellStyle name="Input 2 2 7 2 2 2 4" xfId="5266"/>
    <cellStyle name="Input 2 2 7 2 2 2 4 2" xfId="12106"/>
    <cellStyle name="Input 2 2 7 2 2 2 5" xfId="8686"/>
    <cellStyle name="Input 2 2 7 2 2 3" xfId="2004"/>
    <cellStyle name="Input 2 2 7 2 2 3 2" xfId="5424"/>
    <cellStyle name="Input 2 2 7 2 2 3 2 2" xfId="12264"/>
    <cellStyle name="Input 2 2 7 2 2 3 3" xfId="8844"/>
    <cellStyle name="Input 2 2 7 2 2 4" xfId="3144"/>
    <cellStyle name="Input 2 2 7 2 2 4 2" xfId="6564"/>
    <cellStyle name="Input 2 2 7 2 2 4 2 2" xfId="13404"/>
    <cellStyle name="Input 2 2 7 2 2 4 3" xfId="9984"/>
    <cellStyle name="Input 2 2 7 2 2 5" xfId="4284"/>
    <cellStyle name="Input 2 2 7 2 2 5 2" xfId="11124"/>
    <cellStyle name="Input 2 2 7 2 2 6" xfId="7704"/>
    <cellStyle name="Input 2 2 7 2 3" xfId="15654"/>
    <cellStyle name="Input 2 2 7 2 4" xfId="23967"/>
    <cellStyle name="Input 2 2 7 2 5" xfId="31264"/>
    <cellStyle name="Input 2 2 7 2 6" xfId="53623"/>
    <cellStyle name="Input 2 2 7 2 7" xfId="53624"/>
    <cellStyle name="Input 2 2 7 2 8" xfId="53625"/>
    <cellStyle name="Input 2 2 7 3" xfId="1421"/>
    <cellStyle name="Input 2 2 7 3 2" xfId="899"/>
    <cellStyle name="Input 2 2 7 3 2 2" xfId="2738"/>
    <cellStyle name="Input 2 2 7 3 2 2 2" xfId="6158"/>
    <cellStyle name="Input 2 2 7 3 2 2 2 2" xfId="12998"/>
    <cellStyle name="Input 2 2 7 3 2 2 3" xfId="9578"/>
    <cellStyle name="Input 2 2 7 3 2 3" xfId="3878"/>
    <cellStyle name="Input 2 2 7 3 2 3 2" xfId="7298"/>
    <cellStyle name="Input 2 2 7 3 2 3 2 2" xfId="14138"/>
    <cellStyle name="Input 2 2 7 3 2 3 3" xfId="10718"/>
    <cellStyle name="Input 2 2 7 3 2 4" xfId="5018"/>
    <cellStyle name="Input 2 2 7 3 2 4 2" xfId="11858"/>
    <cellStyle name="Input 2 2 7 3 2 5" xfId="8438"/>
    <cellStyle name="Input 2 2 7 3 3" xfId="2242"/>
    <cellStyle name="Input 2 2 7 3 3 2" xfId="5662"/>
    <cellStyle name="Input 2 2 7 3 3 2 2" xfId="12502"/>
    <cellStyle name="Input 2 2 7 3 3 3" xfId="9082"/>
    <cellStyle name="Input 2 2 7 3 4" xfId="3382"/>
    <cellStyle name="Input 2 2 7 3 4 2" xfId="6802"/>
    <cellStyle name="Input 2 2 7 3 4 2 2" xfId="13642"/>
    <cellStyle name="Input 2 2 7 3 4 3" xfId="10222"/>
    <cellStyle name="Input 2 2 7 3 5" xfId="4522"/>
    <cellStyle name="Input 2 2 7 3 5 2" xfId="11362"/>
    <cellStyle name="Input 2 2 7 3 6" xfId="7942"/>
    <cellStyle name="Input 2 2 7 3 7" xfId="16621"/>
    <cellStyle name="Input 2 2 7 3 8" xfId="24938"/>
    <cellStyle name="Input 2 2 7 3 9" xfId="32197"/>
    <cellStyle name="Input 2 2 7 4" xfId="17641"/>
    <cellStyle name="Input 2 2 7 4 2" xfId="25964"/>
    <cellStyle name="Input 2 2 7 4 2 2" xfId="53626"/>
    <cellStyle name="Input 2 2 7 4 2 3" xfId="53627"/>
    <cellStyle name="Input 2 2 7 4 3" xfId="33174"/>
    <cellStyle name="Input 2 2 7 4 4" xfId="53628"/>
    <cellStyle name="Input 2 2 7 5" xfId="18623"/>
    <cellStyle name="Input 2 2 7 5 2" xfId="26943"/>
    <cellStyle name="Input 2 2 7 5 2 2" xfId="53629"/>
    <cellStyle name="Input 2 2 7 5 2 3" xfId="53630"/>
    <cellStyle name="Input 2 2 7 5 3" xfId="34111"/>
    <cellStyle name="Input 2 2 7 5 4" xfId="53631"/>
    <cellStyle name="Input 2 2 7 6" xfId="19592"/>
    <cellStyle name="Input 2 2 7 6 2" xfId="27912"/>
    <cellStyle name="Input 2 2 7 6 2 2" xfId="53632"/>
    <cellStyle name="Input 2 2 7 6 2 3" xfId="53633"/>
    <cellStyle name="Input 2 2 7 6 3" xfId="35057"/>
    <cellStyle name="Input 2 2 7 6 4" xfId="53634"/>
    <cellStyle name="Input 2 2 7 7" xfId="20549"/>
    <cellStyle name="Input 2 2 7 7 2" xfId="28871"/>
    <cellStyle name="Input 2 2 7 7 2 2" xfId="53635"/>
    <cellStyle name="Input 2 2 7 7 2 3" xfId="53636"/>
    <cellStyle name="Input 2 2 7 7 3" xfId="35974"/>
    <cellStyle name="Input 2 2 7 7 4" xfId="53637"/>
    <cellStyle name="Input 2 2 7 8" xfId="21292"/>
    <cellStyle name="Input 2 2 7 8 2" xfId="29599"/>
    <cellStyle name="Input 2 2 7 8 2 2" xfId="53638"/>
    <cellStyle name="Input 2 2 7 8 2 3" xfId="53639"/>
    <cellStyle name="Input 2 2 7 8 3" xfId="36666"/>
    <cellStyle name="Input 2 2 7 8 4" xfId="53640"/>
    <cellStyle name="Input 2 2 7 9" xfId="21985"/>
    <cellStyle name="Input 2 2 7 9 2" xfId="30285"/>
    <cellStyle name="Input 2 2 7 9 2 2" xfId="53641"/>
    <cellStyle name="Input 2 2 7 9 2 3" xfId="53642"/>
    <cellStyle name="Input 2 2 7 9 3" xfId="37325"/>
    <cellStyle name="Input 2 2 7 9 4" xfId="53643"/>
    <cellStyle name="Input 2 2 8" xfId="465"/>
    <cellStyle name="Input 2 2 8 10" xfId="14632"/>
    <cellStyle name="Input 2 2 8 11" xfId="22994"/>
    <cellStyle name="Input 2 2 8 12" xfId="53644"/>
    <cellStyle name="Input 2 2 8 13" xfId="53645"/>
    <cellStyle name="Input 2 2 8 14" xfId="53646"/>
    <cellStyle name="Input 2 2 8 2" xfId="354"/>
    <cellStyle name="Input 2 2 8 2 2" xfId="1359"/>
    <cellStyle name="Input 2 2 8 2 2 2" xfId="933"/>
    <cellStyle name="Input 2 2 8 2 2 2 2" xfId="2774"/>
    <cellStyle name="Input 2 2 8 2 2 2 2 2" xfId="6194"/>
    <cellStyle name="Input 2 2 8 2 2 2 2 2 2" xfId="13034"/>
    <cellStyle name="Input 2 2 8 2 2 2 2 3" xfId="9614"/>
    <cellStyle name="Input 2 2 8 2 2 2 3" xfId="3914"/>
    <cellStyle name="Input 2 2 8 2 2 2 3 2" xfId="7334"/>
    <cellStyle name="Input 2 2 8 2 2 2 3 2 2" xfId="14174"/>
    <cellStyle name="Input 2 2 8 2 2 2 3 3" xfId="10754"/>
    <cellStyle name="Input 2 2 8 2 2 2 4" xfId="5054"/>
    <cellStyle name="Input 2 2 8 2 2 2 4 2" xfId="11894"/>
    <cellStyle name="Input 2 2 8 2 2 2 5" xfId="8474"/>
    <cellStyle name="Input 2 2 8 2 2 3" xfId="2180"/>
    <cellStyle name="Input 2 2 8 2 2 3 2" xfId="5600"/>
    <cellStyle name="Input 2 2 8 2 2 3 2 2" xfId="12440"/>
    <cellStyle name="Input 2 2 8 2 2 3 3" xfId="9020"/>
    <cellStyle name="Input 2 2 8 2 2 4" xfId="3320"/>
    <cellStyle name="Input 2 2 8 2 2 4 2" xfId="6740"/>
    <cellStyle name="Input 2 2 8 2 2 4 2 2" xfId="13580"/>
    <cellStyle name="Input 2 2 8 2 2 4 3" xfId="10160"/>
    <cellStyle name="Input 2 2 8 2 2 5" xfId="4460"/>
    <cellStyle name="Input 2 2 8 2 2 5 2" xfId="11300"/>
    <cellStyle name="Input 2 2 8 2 2 6" xfId="7880"/>
    <cellStyle name="Input 2 2 8 2 3" xfId="15713"/>
    <cellStyle name="Input 2 2 8 2 4" xfId="24029"/>
    <cellStyle name="Input 2 2 8 2 5" xfId="31322"/>
    <cellStyle name="Input 2 2 8 2 6" xfId="53647"/>
    <cellStyle name="Input 2 2 8 2 7" xfId="53648"/>
    <cellStyle name="Input 2 2 8 2 8" xfId="53649"/>
    <cellStyle name="Input 2 2 8 3" xfId="1469"/>
    <cellStyle name="Input 2 2 8 3 2" xfId="874"/>
    <cellStyle name="Input 2 2 8 3 2 2" xfId="1923"/>
    <cellStyle name="Input 2 2 8 3 2 2 2" xfId="5343"/>
    <cellStyle name="Input 2 2 8 3 2 2 2 2" xfId="12183"/>
    <cellStyle name="Input 2 2 8 3 2 2 3" xfId="8763"/>
    <cellStyle name="Input 2 2 8 3 2 3" xfId="3063"/>
    <cellStyle name="Input 2 2 8 3 2 3 2" xfId="6483"/>
    <cellStyle name="Input 2 2 8 3 2 3 2 2" xfId="13323"/>
    <cellStyle name="Input 2 2 8 3 2 3 3" xfId="9903"/>
    <cellStyle name="Input 2 2 8 3 2 4" xfId="4203"/>
    <cellStyle name="Input 2 2 8 3 2 4 2" xfId="11043"/>
    <cellStyle name="Input 2 2 8 3 2 5" xfId="7623"/>
    <cellStyle name="Input 2 2 8 3 3" xfId="2290"/>
    <cellStyle name="Input 2 2 8 3 3 2" xfId="5710"/>
    <cellStyle name="Input 2 2 8 3 3 2 2" xfId="12550"/>
    <cellStyle name="Input 2 2 8 3 3 3" xfId="9130"/>
    <cellStyle name="Input 2 2 8 3 4" xfId="3430"/>
    <cellStyle name="Input 2 2 8 3 4 2" xfId="6850"/>
    <cellStyle name="Input 2 2 8 3 4 2 2" xfId="13690"/>
    <cellStyle name="Input 2 2 8 3 4 3" xfId="10270"/>
    <cellStyle name="Input 2 2 8 3 5" xfId="4570"/>
    <cellStyle name="Input 2 2 8 3 5 2" xfId="11410"/>
    <cellStyle name="Input 2 2 8 3 6" xfId="7990"/>
    <cellStyle name="Input 2 2 8 3 7" xfId="16680"/>
    <cellStyle name="Input 2 2 8 3 8" xfId="25000"/>
    <cellStyle name="Input 2 2 8 3 9" xfId="32255"/>
    <cellStyle name="Input 2 2 8 4" xfId="17703"/>
    <cellStyle name="Input 2 2 8 4 2" xfId="26026"/>
    <cellStyle name="Input 2 2 8 4 2 2" xfId="53650"/>
    <cellStyle name="Input 2 2 8 4 2 3" xfId="53651"/>
    <cellStyle name="Input 2 2 8 4 3" xfId="33232"/>
    <cellStyle name="Input 2 2 8 4 4" xfId="53652"/>
    <cellStyle name="Input 2 2 8 5" xfId="18686"/>
    <cellStyle name="Input 2 2 8 5 2" xfId="27007"/>
    <cellStyle name="Input 2 2 8 5 2 2" xfId="53653"/>
    <cellStyle name="Input 2 2 8 5 2 3" xfId="53654"/>
    <cellStyle name="Input 2 2 8 5 3" xfId="34171"/>
    <cellStyle name="Input 2 2 8 5 4" xfId="53655"/>
    <cellStyle name="Input 2 2 8 6" xfId="19655"/>
    <cellStyle name="Input 2 2 8 6 2" xfId="27976"/>
    <cellStyle name="Input 2 2 8 6 2 2" xfId="53656"/>
    <cellStyle name="Input 2 2 8 6 2 3" xfId="53657"/>
    <cellStyle name="Input 2 2 8 6 3" xfId="35117"/>
    <cellStyle name="Input 2 2 8 6 4" xfId="53658"/>
    <cellStyle name="Input 2 2 8 7" xfId="20612"/>
    <cellStyle name="Input 2 2 8 7 2" xfId="28933"/>
    <cellStyle name="Input 2 2 8 7 2 2" xfId="53659"/>
    <cellStyle name="Input 2 2 8 7 2 3" xfId="53660"/>
    <cellStyle name="Input 2 2 8 7 3" xfId="36032"/>
    <cellStyle name="Input 2 2 8 7 4" xfId="53661"/>
    <cellStyle name="Input 2 2 8 8" xfId="21365"/>
    <cellStyle name="Input 2 2 8 8 2" xfId="29668"/>
    <cellStyle name="Input 2 2 8 8 2 2" xfId="53662"/>
    <cellStyle name="Input 2 2 8 8 2 3" xfId="53663"/>
    <cellStyle name="Input 2 2 8 8 3" xfId="36733"/>
    <cellStyle name="Input 2 2 8 8 4" xfId="53664"/>
    <cellStyle name="Input 2 2 8 9" xfId="22049"/>
    <cellStyle name="Input 2 2 8 9 2" xfId="30347"/>
    <cellStyle name="Input 2 2 8 9 2 2" xfId="53665"/>
    <cellStyle name="Input 2 2 8 9 2 3" xfId="53666"/>
    <cellStyle name="Input 2 2 8 9 3" xfId="37383"/>
    <cellStyle name="Input 2 2 8 9 4" xfId="53667"/>
    <cellStyle name="Input 2 2 9" xfId="1095"/>
    <cellStyle name="Input 2 2 9 10" xfId="14620"/>
    <cellStyle name="Input 2 2 9 11" xfId="22982"/>
    <cellStyle name="Input 2 2 9 2" xfId="748"/>
    <cellStyle name="Input 2 2 9 2 2" xfId="2618"/>
    <cellStyle name="Input 2 2 9 2 2 2" xfId="6038"/>
    <cellStyle name="Input 2 2 9 2 2 2 2" xfId="12878"/>
    <cellStyle name="Input 2 2 9 2 2 3" xfId="9458"/>
    <cellStyle name="Input 2 2 9 2 3" xfId="3758"/>
    <cellStyle name="Input 2 2 9 2 3 2" xfId="7178"/>
    <cellStyle name="Input 2 2 9 2 3 2 2" xfId="14018"/>
    <cellStyle name="Input 2 2 9 2 3 3" xfId="10598"/>
    <cellStyle name="Input 2 2 9 2 4" xfId="4898"/>
    <cellStyle name="Input 2 2 9 2 4 2" xfId="11738"/>
    <cellStyle name="Input 2 2 9 2 5" xfId="8318"/>
    <cellStyle name="Input 2 2 9 2 6" xfId="15701"/>
    <cellStyle name="Input 2 2 9 2 7" xfId="24017"/>
    <cellStyle name="Input 2 2 9 2 8" xfId="31311"/>
    <cellStyle name="Input 2 2 9 3" xfId="1902"/>
    <cellStyle name="Input 2 2 9 3 2" xfId="5322"/>
    <cellStyle name="Input 2 2 9 3 2 2" xfId="12162"/>
    <cellStyle name="Input 2 2 9 3 2 3" xfId="53668"/>
    <cellStyle name="Input 2 2 9 3 3" xfId="8742"/>
    <cellStyle name="Input 2 2 9 3 4" xfId="16668"/>
    <cellStyle name="Input 2 2 9 3 5" xfId="24988"/>
    <cellStyle name="Input 2 2 9 3 6" xfId="32244"/>
    <cellStyle name="Input 2 2 9 4" xfId="3042"/>
    <cellStyle name="Input 2 2 9 4 2" xfId="6462"/>
    <cellStyle name="Input 2 2 9 4 2 2" xfId="13302"/>
    <cellStyle name="Input 2 2 9 4 2 3" xfId="53669"/>
    <cellStyle name="Input 2 2 9 4 3" xfId="9882"/>
    <cellStyle name="Input 2 2 9 4 4" xfId="17691"/>
    <cellStyle name="Input 2 2 9 4 5" xfId="26014"/>
    <cellStyle name="Input 2 2 9 4 6" xfId="33221"/>
    <cellStyle name="Input 2 2 9 5" xfId="4182"/>
    <cellStyle name="Input 2 2 9 5 2" xfId="11022"/>
    <cellStyle name="Input 2 2 9 5 2 2" xfId="53670"/>
    <cellStyle name="Input 2 2 9 5 2 3" xfId="53671"/>
    <cellStyle name="Input 2 2 9 5 3" xfId="18674"/>
    <cellStyle name="Input 2 2 9 5 4" xfId="26995"/>
    <cellStyle name="Input 2 2 9 5 5" xfId="34160"/>
    <cellStyle name="Input 2 2 9 6" xfId="7602"/>
    <cellStyle name="Input 2 2 9 6 2" xfId="19643"/>
    <cellStyle name="Input 2 2 9 6 2 2" xfId="53672"/>
    <cellStyle name="Input 2 2 9 6 2 3" xfId="53673"/>
    <cellStyle name="Input 2 2 9 6 3" xfId="27964"/>
    <cellStyle name="Input 2 2 9 6 4" xfId="35106"/>
    <cellStyle name="Input 2 2 9 7" xfId="20600"/>
    <cellStyle name="Input 2 2 9 7 2" xfId="28921"/>
    <cellStyle name="Input 2 2 9 7 2 2" xfId="53674"/>
    <cellStyle name="Input 2 2 9 7 2 3" xfId="53675"/>
    <cellStyle name="Input 2 2 9 7 3" xfId="36021"/>
    <cellStyle name="Input 2 2 9 7 4" xfId="53676"/>
    <cellStyle name="Input 2 2 9 8" xfId="17563"/>
    <cellStyle name="Input 2 2 9 8 2" xfId="25882"/>
    <cellStyle name="Input 2 2 9 8 2 2" xfId="53677"/>
    <cellStyle name="Input 2 2 9 8 2 3" xfId="53678"/>
    <cellStyle name="Input 2 2 9 8 3" xfId="33097"/>
    <cellStyle name="Input 2 2 9 8 4" xfId="53679"/>
    <cellStyle name="Input 2 2 9 9" xfId="22037"/>
    <cellStyle name="Input 2 2 9 9 2" xfId="30335"/>
    <cellStyle name="Input 2 2 9 9 2 2" xfId="53680"/>
    <cellStyle name="Input 2 2 9 9 2 3" xfId="53681"/>
    <cellStyle name="Input 2 2 9 9 3" xfId="37372"/>
    <cellStyle name="Input 2 2 9 9 4" xfId="53682"/>
    <cellStyle name="Input 2 20" xfId="15460"/>
    <cellStyle name="Input 2 20 10" xfId="53683"/>
    <cellStyle name="Input 2 20 11" xfId="53684"/>
    <cellStyle name="Input 2 20 2" xfId="16540"/>
    <cellStyle name="Input 2 20 2 2" xfId="24853"/>
    <cellStyle name="Input 2 20 2 2 2" xfId="53685"/>
    <cellStyle name="Input 2 20 2 2 3" xfId="53686"/>
    <cellStyle name="Input 2 20 2 3" xfId="32113"/>
    <cellStyle name="Input 2 20 2 4" xfId="53687"/>
    <cellStyle name="Input 2 20 3" xfId="17506"/>
    <cellStyle name="Input 2 20 3 2" xfId="25827"/>
    <cellStyle name="Input 2 20 3 2 2" xfId="53688"/>
    <cellStyle name="Input 2 20 3 2 3" xfId="53689"/>
    <cellStyle name="Input 2 20 3 3" xfId="33046"/>
    <cellStyle name="Input 2 20 3 4" xfId="53690"/>
    <cellStyle name="Input 2 20 4" xfId="18534"/>
    <cellStyle name="Input 2 20 4 2" xfId="26854"/>
    <cellStyle name="Input 2 20 4 2 2" xfId="53691"/>
    <cellStyle name="Input 2 20 4 2 3" xfId="53692"/>
    <cellStyle name="Input 2 20 4 3" xfId="34024"/>
    <cellStyle name="Input 2 20 4 4" xfId="53693"/>
    <cellStyle name="Input 2 20 5" xfId="19517"/>
    <cellStyle name="Input 2 20 5 2" xfId="27838"/>
    <cellStyle name="Input 2 20 5 2 2" xfId="53694"/>
    <cellStyle name="Input 2 20 5 2 3" xfId="53695"/>
    <cellStyle name="Input 2 20 5 3" xfId="34986"/>
    <cellStyle name="Input 2 20 5 4" xfId="53696"/>
    <cellStyle name="Input 2 20 6" xfId="20486"/>
    <cellStyle name="Input 2 20 6 2" xfId="28808"/>
    <cellStyle name="Input 2 20 6 2 2" xfId="53697"/>
    <cellStyle name="Input 2 20 6 2 3" xfId="53698"/>
    <cellStyle name="Input 2 20 6 3" xfId="35916"/>
    <cellStyle name="Input 2 20 6 4" xfId="53699"/>
    <cellStyle name="Input 2 20 7" xfId="21947"/>
    <cellStyle name="Input 2 20 7 2" xfId="30248"/>
    <cellStyle name="Input 2 20 7 2 2" xfId="53700"/>
    <cellStyle name="Input 2 20 7 2 3" xfId="53701"/>
    <cellStyle name="Input 2 20 7 3" xfId="37289"/>
    <cellStyle name="Input 2 20 7 4" xfId="53702"/>
    <cellStyle name="Input 2 20 8" xfId="22875"/>
    <cellStyle name="Input 2 20 8 2" xfId="31171"/>
    <cellStyle name="Input 2 20 8 2 2" xfId="53703"/>
    <cellStyle name="Input 2 20 8 2 3" xfId="53704"/>
    <cellStyle name="Input 2 20 8 3" xfId="38173"/>
    <cellStyle name="Input 2 20 8 4" xfId="53705"/>
    <cellStyle name="Input 2 20 9" xfId="23817"/>
    <cellStyle name="Input 2 20 9 2" xfId="53706"/>
    <cellStyle name="Input 2 20 9 3" xfId="53707"/>
    <cellStyle name="Input 2 21" xfId="16553"/>
    <cellStyle name="Input 2 21 2" xfId="24866"/>
    <cellStyle name="Input 2 21 2 2" xfId="53708"/>
    <cellStyle name="Input 2 21 2 3" xfId="53709"/>
    <cellStyle name="Input 2 21 3" xfId="32126"/>
    <cellStyle name="Input 2 21 4" xfId="53710"/>
    <cellStyle name="Input 2 22" xfId="17540"/>
    <cellStyle name="Input 2 22 2" xfId="25858"/>
    <cellStyle name="Input 2 22 2 2" xfId="53711"/>
    <cellStyle name="Input 2 22 2 3" xfId="53712"/>
    <cellStyle name="Input 2 22 3" xfId="33075"/>
    <cellStyle name="Input 2 22 4" xfId="53713"/>
    <cellStyle name="Input 2 23" xfId="19019"/>
    <cellStyle name="Input 2 23 2" xfId="27339"/>
    <cellStyle name="Input 2 23 2 2" xfId="53714"/>
    <cellStyle name="Input 2 23 2 3" xfId="53715"/>
    <cellStyle name="Input 2 23 3" xfId="34489"/>
    <cellStyle name="Input 2 23 4" xfId="53716"/>
    <cellStyle name="Input 2 24" xfId="21322"/>
    <cellStyle name="Input 2 24 2" xfId="29627"/>
    <cellStyle name="Input 2 24 2 2" xfId="53717"/>
    <cellStyle name="Input 2 24 2 3" xfId="53718"/>
    <cellStyle name="Input 2 24 3" xfId="36694"/>
    <cellStyle name="Input 2 24 4" xfId="53719"/>
    <cellStyle name="Input 2 25" xfId="18780"/>
    <cellStyle name="Input 2 25 2" xfId="53720"/>
    <cellStyle name="Input 2 25 3" xfId="53721"/>
    <cellStyle name="Input 2 26" xfId="53722"/>
    <cellStyle name="Input 2 27" xfId="53723"/>
    <cellStyle name="Input 2 28" xfId="53724"/>
    <cellStyle name="Input 2 29" xfId="53725"/>
    <cellStyle name="Input 2 3" xfId="71"/>
    <cellStyle name="Input 2 3 10" xfId="53726"/>
    <cellStyle name="Input 2 3 2" xfId="148"/>
    <cellStyle name="Input 2 3 2 2" xfId="274"/>
    <cellStyle name="Input 2 3 2 2 2" xfId="683"/>
    <cellStyle name="Input 2 3 2 2 2 2" xfId="1634"/>
    <cellStyle name="Input 2 3 2 2 2 2 2" xfId="773"/>
    <cellStyle name="Input 2 3 2 2 2 2 2 2" xfId="2377"/>
    <cellStyle name="Input 2 3 2 2 2 2 2 2 2" xfId="5797"/>
    <cellStyle name="Input 2 3 2 2 2 2 2 2 2 2" xfId="12637"/>
    <cellStyle name="Input 2 3 2 2 2 2 2 2 3" xfId="9217"/>
    <cellStyle name="Input 2 3 2 2 2 2 2 3" xfId="3517"/>
    <cellStyle name="Input 2 3 2 2 2 2 2 3 2" xfId="6937"/>
    <cellStyle name="Input 2 3 2 2 2 2 2 3 2 2" xfId="13777"/>
    <cellStyle name="Input 2 3 2 2 2 2 2 3 3" xfId="10357"/>
    <cellStyle name="Input 2 3 2 2 2 2 2 4" xfId="4657"/>
    <cellStyle name="Input 2 3 2 2 2 2 2 4 2" xfId="11497"/>
    <cellStyle name="Input 2 3 2 2 2 2 2 5" xfId="8077"/>
    <cellStyle name="Input 2 3 2 2 2 2 3" xfId="2468"/>
    <cellStyle name="Input 2 3 2 2 2 2 3 2" xfId="5888"/>
    <cellStyle name="Input 2 3 2 2 2 2 3 2 2" xfId="12728"/>
    <cellStyle name="Input 2 3 2 2 2 2 3 3" xfId="9308"/>
    <cellStyle name="Input 2 3 2 2 2 2 4" xfId="3608"/>
    <cellStyle name="Input 2 3 2 2 2 2 4 2" xfId="7028"/>
    <cellStyle name="Input 2 3 2 2 2 2 4 2 2" xfId="13868"/>
    <cellStyle name="Input 2 3 2 2 2 2 4 3" xfId="10448"/>
    <cellStyle name="Input 2 3 2 2 2 2 5" xfId="4748"/>
    <cellStyle name="Input 2 3 2 2 2 2 5 2" xfId="11588"/>
    <cellStyle name="Input 2 3 2 2 2 2 6" xfId="8168"/>
    <cellStyle name="Input 2 3 2 2 2 3" xfId="38527"/>
    <cellStyle name="Input 2 3 2 2 2 4" xfId="53727"/>
    <cellStyle name="Input 2 3 2 2 2 5" xfId="53728"/>
    <cellStyle name="Input 2 3 2 2 2 6" xfId="53729"/>
    <cellStyle name="Input 2 3 2 2 3" xfId="1280"/>
    <cellStyle name="Input 2 3 2 2 3 2" xfId="988"/>
    <cellStyle name="Input 2 3 2 2 3 2 2" xfId="2638"/>
    <cellStyle name="Input 2 3 2 2 3 2 2 2" xfId="6058"/>
    <cellStyle name="Input 2 3 2 2 3 2 2 2 2" xfId="12898"/>
    <cellStyle name="Input 2 3 2 2 3 2 2 3" xfId="9478"/>
    <cellStyle name="Input 2 3 2 2 3 2 3" xfId="3778"/>
    <cellStyle name="Input 2 3 2 2 3 2 3 2" xfId="7198"/>
    <cellStyle name="Input 2 3 2 2 3 2 3 2 2" xfId="14038"/>
    <cellStyle name="Input 2 3 2 2 3 2 3 3" xfId="10618"/>
    <cellStyle name="Input 2 3 2 2 3 2 4" xfId="4918"/>
    <cellStyle name="Input 2 3 2 2 3 2 4 2" xfId="11758"/>
    <cellStyle name="Input 2 3 2 2 3 2 5" xfId="8338"/>
    <cellStyle name="Input 2 3 2 2 3 3" xfId="2100"/>
    <cellStyle name="Input 2 3 2 2 3 3 2" xfId="5520"/>
    <cellStyle name="Input 2 3 2 2 3 3 2 2" xfId="12360"/>
    <cellStyle name="Input 2 3 2 2 3 3 3" xfId="8940"/>
    <cellStyle name="Input 2 3 2 2 3 4" xfId="3240"/>
    <cellStyle name="Input 2 3 2 2 3 4 2" xfId="6660"/>
    <cellStyle name="Input 2 3 2 2 3 4 2 2" xfId="13500"/>
    <cellStyle name="Input 2 3 2 2 3 4 3" xfId="10080"/>
    <cellStyle name="Input 2 3 2 2 3 5" xfId="4380"/>
    <cellStyle name="Input 2 3 2 2 3 5 2" xfId="11220"/>
    <cellStyle name="Input 2 3 2 2 3 6" xfId="7800"/>
    <cellStyle name="Input 2 3 2 2 4" xfId="38290"/>
    <cellStyle name="Input 2 3 2 2 5" xfId="53730"/>
    <cellStyle name="Input 2 3 2 2 6" xfId="53731"/>
    <cellStyle name="Input 2 3 2 2 7" xfId="53732"/>
    <cellStyle name="Input 2 3 2 2 8" xfId="53733"/>
    <cellStyle name="Input 2 3 2 3" xfId="595"/>
    <cellStyle name="Input 2 3 2 3 2" xfId="1582"/>
    <cellStyle name="Input 2 3 2 3 2 2" xfId="820"/>
    <cellStyle name="Input 2 3 2 3 2 2 2" xfId="1925"/>
    <cellStyle name="Input 2 3 2 3 2 2 2 2" xfId="5345"/>
    <cellStyle name="Input 2 3 2 3 2 2 2 2 2" xfId="12185"/>
    <cellStyle name="Input 2 3 2 3 2 2 2 3" xfId="8765"/>
    <cellStyle name="Input 2 3 2 3 2 2 3" xfId="3065"/>
    <cellStyle name="Input 2 3 2 3 2 2 3 2" xfId="6485"/>
    <cellStyle name="Input 2 3 2 3 2 2 3 2 2" xfId="13325"/>
    <cellStyle name="Input 2 3 2 3 2 2 3 3" xfId="9905"/>
    <cellStyle name="Input 2 3 2 3 2 2 4" xfId="4205"/>
    <cellStyle name="Input 2 3 2 3 2 2 4 2" xfId="11045"/>
    <cellStyle name="Input 2 3 2 3 2 2 5" xfId="7625"/>
    <cellStyle name="Input 2 3 2 3 2 3" xfId="2407"/>
    <cellStyle name="Input 2 3 2 3 2 3 2" xfId="5827"/>
    <cellStyle name="Input 2 3 2 3 2 3 2 2" xfId="12667"/>
    <cellStyle name="Input 2 3 2 3 2 3 3" xfId="9247"/>
    <cellStyle name="Input 2 3 2 3 2 4" xfId="3547"/>
    <cellStyle name="Input 2 3 2 3 2 4 2" xfId="6967"/>
    <cellStyle name="Input 2 3 2 3 2 4 2 2" xfId="13807"/>
    <cellStyle name="Input 2 3 2 3 2 4 3" xfId="10387"/>
    <cellStyle name="Input 2 3 2 3 2 5" xfId="4687"/>
    <cellStyle name="Input 2 3 2 3 2 5 2" xfId="11527"/>
    <cellStyle name="Input 2 3 2 3 2 6" xfId="8107"/>
    <cellStyle name="Input 2 3 2 3 3" xfId="38476"/>
    <cellStyle name="Input 2 3 2 3 4" xfId="53734"/>
    <cellStyle name="Input 2 3 2 3 5" xfId="53735"/>
    <cellStyle name="Input 2 3 2 3 6" xfId="53736"/>
    <cellStyle name="Input 2 3 2 4" xfId="1156"/>
    <cellStyle name="Input 2 3 2 4 2" xfId="1050"/>
    <cellStyle name="Input 2 3 2 4 2 2" xfId="2757"/>
    <cellStyle name="Input 2 3 2 4 2 2 2" xfId="6177"/>
    <cellStyle name="Input 2 3 2 4 2 2 2 2" xfId="13017"/>
    <cellStyle name="Input 2 3 2 4 2 2 3" xfId="9597"/>
    <cellStyle name="Input 2 3 2 4 2 3" xfId="3897"/>
    <cellStyle name="Input 2 3 2 4 2 3 2" xfId="7317"/>
    <cellStyle name="Input 2 3 2 4 2 3 2 2" xfId="14157"/>
    <cellStyle name="Input 2 3 2 4 2 3 3" xfId="10737"/>
    <cellStyle name="Input 2 3 2 4 2 4" xfId="5037"/>
    <cellStyle name="Input 2 3 2 4 2 4 2" xfId="11877"/>
    <cellStyle name="Input 2 3 2 4 2 5" xfId="8457"/>
    <cellStyle name="Input 2 3 2 4 3" xfId="1975"/>
    <cellStyle name="Input 2 3 2 4 3 2" xfId="5395"/>
    <cellStyle name="Input 2 3 2 4 3 2 2" xfId="12235"/>
    <cellStyle name="Input 2 3 2 4 3 3" xfId="8815"/>
    <cellStyle name="Input 2 3 2 4 4" xfId="3115"/>
    <cellStyle name="Input 2 3 2 4 4 2" xfId="6535"/>
    <cellStyle name="Input 2 3 2 4 4 2 2" xfId="13375"/>
    <cellStyle name="Input 2 3 2 4 4 3" xfId="9955"/>
    <cellStyle name="Input 2 3 2 4 5" xfId="4255"/>
    <cellStyle name="Input 2 3 2 4 5 2" xfId="11095"/>
    <cellStyle name="Input 2 3 2 4 6" xfId="7675"/>
    <cellStyle name="Input 2 3 2 5" xfId="15601"/>
    <cellStyle name="Input 2 3 2 6" xfId="23915"/>
    <cellStyle name="Input 2 3 2 7" xfId="38212"/>
    <cellStyle name="Input 2 3 2 8" xfId="53737"/>
    <cellStyle name="Input 2 3 3" xfId="314"/>
    <cellStyle name="Input 2 3 3 2" xfId="369"/>
    <cellStyle name="Input 2 3 3 2 2" xfId="1374"/>
    <cellStyle name="Input 2 3 3 2 2 2" xfId="1799"/>
    <cellStyle name="Input 2 3 3 2 2 2 2" xfId="2939"/>
    <cellStyle name="Input 2 3 3 2 2 2 2 2" xfId="6359"/>
    <cellStyle name="Input 2 3 3 2 2 2 2 2 2" xfId="13199"/>
    <cellStyle name="Input 2 3 3 2 2 2 2 3" xfId="9779"/>
    <cellStyle name="Input 2 3 3 2 2 2 3" xfId="4079"/>
    <cellStyle name="Input 2 3 3 2 2 2 3 2" xfId="7499"/>
    <cellStyle name="Input 2 3 3 2 2 2 3 2 2" xfId="14339"/>
    <cellStyle name="Input 2 3 3 2 2 2 3 3" xfId="10919"/>
    <cellStyle name="Input 2 3 3 2 2 2 4" xfId="5219"/>
    <cellStyle name="Input 2 3 3 2 2 2 4 2" xfId="12059"/>
    <cellStyle name="Input 2 3 3 2 2 2 5" xfId="8639"/>
    <cellStyle name="Input 2 3 3 2 2 3" xfId="2195"/>
    <cellStyle name="Input 2 3 3 2 2 3 2" xfId="5615"/>
    <cellStyle name="Input 2 3 3 2 2 3 2 2" xfId="12455"/>
    <cellStyle name="Input 2 3 3 2 2 3 3" xfId="9035"/>
    <cellStyle name="Input 2 3 3 2 2 4" xfId="3335"/>
    <cellStyle name="Input 2 3 3 2 2 4 2" xfId="6755"/>
    <cellStyle name="Input 2 3 3 2 2 4 2 2" xfId="13595"/>
    <cellStyle name="Input 2 3 3 2 2 4 3" xfId="10175"/>
    <cellStyle name="Input 2 3 3 2 2 5" xfId="4475"/>
    <cellStyle name="Input 2 3 3 2 2 5 2" xfId="11315"/>
    <cellStyle name="Input 2 3 3 2 2 6" xfId="7895"/>
    <cellStyle name="Input 2 3 3 2 3" xfId="38352"/>
    <cellStyle name="Input 2 3 3 2 4" xfId="53738"/>
    <cellStyle name="Input 2 3 3 2 5" xfId="53739"/>
    <cellStyle name="Input 2 3 3 2 6" xfId="53740"/>
    <cellStyle name="Input 2 3 3 2 7" xfId="53741"/>
    <cellStyle name="Input 2 3 3 3" xfId="1319"/>
    <cellStyle name="Input 2 3 3 3 2" xfId="1688"/>
    <cellStyle name="Input 2 3 3 3 2 2" xfId="2828"/>
    <cellStyle name="Input 2 3 3 3 2 2 2" xfId="6248"/>
    <cellStyle name="Input 2 3 3 3 2 2 2 2" xfId="13088"/>
    <cellStyle name="Input 2 3 3 3 2 2 3" xfId="9668"/>
    <cellStyle name="Input 2 3 3 3 2 3" xfId="3968"/>
    <cellStyle name="Input 2 3 3 3 2 3 2" xfId="7388"/>
    <cellStyle name="Input 2 3 3 3 2 3 2 2" xfId="14228"/>
    <cellStyle name="Input 2 3 3 3 2 3 3" xfId="10808"/>
    <cellStyle name="Input 2 3 3 3 2 4" xfId="5108"/>
    <cellStyle name="Input 2 3 3 3 2 4 2" xfId="11948"/>
    <cellStyle name="Input 2 3 3 3 2 5" xfId="8528"/>
    <cellStyle name="Input 2 3 3 3 3" xfId="2140"/>
    <cellStyle name="Input 2 3 3 3 3 2" xfId="5560"/>
    <cellStyle name="Input 2 3 3 3 3 2 2" xfId="12400"/>
    <cellStyle name="Input 2 3 3 3 3 3" xfId="8980"/>
    <cellStyle name="Input 2 3 3 3 4" xfId="3280"/>
    <cellStyle name="Input 2 3 3 3 4 2" xfId="6700"/>
    <cellStyle name="Input 2 3 3 3 4 2 2" xfId="13540"/>
    <cellStyle name="Input 2 3 3 3 4 3" xfId="10120"/>
    <cellStyle name="Input 2 3 3 3 5" xfId="4420"/>
    <cellStyle name="Input 2 3 3 3 5 2" xfId="11260"/>
    <cellStyle name="Input 2 3 3 3 6" xfId="7840"/>
    <cellStyle name="Input 2 3 3 4" xfId="16571"/>
    <cellStyle name="Input 2 3 3 5" xfId="24886"/>
    <cellStyle name="Input 2 3 3 6" xfId="32146"/>
    <cellStyle name="Input 2 3 3 7" xfId="53742"/>
    <cellStyle name="Input 2 3 3 8" xfId="53743"/>
    <cellStyle name="Input 2 3 4" xfId="213"/>
    <cellStyle name="Input 2 3 4 2" xfId="359"/>
    <cellStyle name="Input 2 3 4 2 2" xfId="1364"/>
    <cellStyle name="Input 2 3 4 2 2 2" xfId="928"/>
    <cellStyle name="Input 2 3 4 2 2 2 2" xfId="2684"/>
    <cellStyle name="Input 2 3 4 2 2 2 2 2" xfId="6104"/>
    <cellStyle name="Input 2 3 4 2 2 2 2 2 2" xfId="12944"/>
    <cellStyle name="Input 2 3 4 2 2 2 2 3" xfId="9524"/>
    <cellStyle name="Input 2 3 4 2 2 2 3" xfId="3824"/>
    <cellStyle name="Input 2 3 4 2 2 2 3 2" xfId="7244"/>
    <cellStyle name="Input 2 3 4 2 2 2 3 2 2" xfId="14084"/>
    <cellStyle name="Input 2 3 4 2 2 2 3 3" xfId="10664"/>
    <cellStyle name="Input 2 3 4 2 2 2 4" xfId="4964"/>
    <cellStyle name="Input 2 3 4 2 2 2 4 2" xfId="11804"/>
    <cellStyle name="Input 2 3 4 2 2 2 5" xfId="8384"/>
    <cellStyle name="Input 2 3 4 2 2 3" xfId="2185"/>
    <cellStyle name="Input 2 3 4 2 2 3 2" xfId="5605"/>
    <cellStyle name="Input 2 3 4 2 2 3 2 2" xfId="12445"/>
    <cellStyle name="Input 2 3 4 2 2 3 3" xfId="9025"/>
    <cellStyle name="Input 2 3 4 2 2 4" xfId="3325"/>
    <cellStyle name="Input 2 3 4 2 2 4 2" xfId="6745"/>
    <cellStyle name="Input 2 3 4 2 2 4 2 2" xfId="13585"/>
    <cellStyle name="Input 2 3 4 2 2 4 3" xfId="10165"/>
    <cellStyle name="Input 2 3 4 2 2 5" xfId="4465"/>
    <cellStyle name="Input 2 3 4 2 2 5 2" xfId="11305"/>
    <cellStyle name="Input 2 3 4 2 2 6" xfId="7885"/>
    <cellStyle name="Input 2 3 4 2 3" xfId="38345"/>
    <cellStyle name="Input 2 3 4 2 4" xfId="53744"/>
    <cellStyle name="Input 2 3 4 2 5" xfId="53745"/>
    <cellStyle name="Input 2 3 4 2 6" xfId="53746"/>
    <cellStyle name="Input 2 3 4 2 7" xfId="53747"/>
    <cellStyle name="Input 2 3 4 3" xfId="1220"/>
    <cellStyle name="Input 2 3 4 3 2" xfId="1018"/>
    <cellStyle name="Input 2 3 4 3 2 2" xfId="2584"/>
    <cellStyle name="Input 2 3 4 3 2 2 2" xfId="6004"/>
    <cellStyle name="Input 2 3 4 3 2 2 2 2" xfId="12844"/>
    <cellStyle name="Input 2 3 4 3 2 2 3" xfId="9424"/>
    <cellStyle name="Input 2 3 4 3 2 3" xfId="3724"/>
    <cellStyle name="Input 2 3 4 3 2 3 2" xfId="7144"/>
    <cellStyle name="Input 2 3 4 3 2 3 2 2" xfId="13984"/>
    <cellStyle name="Input 2 3 4 3 2 3 3" xfId="10564"/>
    <cellStyle name="Input 2 3 4 3 2 4" xfId="4864"/>
    <cellStyle name="Input 2 3 4 3 2 4 2" xfId="11704"/>
    <cellStyle name="Input 2 3 4 3 2 5" xfId="8284"/>
    <cellStyle name="Input 2 3 4 3 3" xfId="2040"/>
    <cellStyle name="Input 2 3 4 3 3 2" xfId="5460"/>
    <cellStyle name="Input 2 3 4 3 3 2 2" xfId="12300"/>
    <cellStyle name="Input 2 3 4 3 3 3" xfId="8880"/>
    <cellStyle name="Input 2 3 4 3 4" xfId="3180"/>
    <cellStyle name="Input 2 3 4 3 4 2" xfId="6600"/>
    <cellStyle name="Input 2 3 4 3 4 2 2" xfId="13440"/>
    <cellStyle name="Input 2 3 4 3 4 3" xfId="10020"/>
    <cellStyle name="Input 2 3 4 3 5" xfId="4320"/>
    <cellStyle name="Input 2 3 4 3 5 2" xfId="11160"/>
    <cellStyle name="Input 2 3 4 3 6" xfId="7740"/>
    <cellStyle name="Input 2 3 4 4" xfId="17589"/>
    <cellStyle name="Input 2 3 4 5" xfId="25910"/>
    <cellStyle name="Input 2 3 4 6" xfId="33123"/>
    <cellStyle name="Input 2 3 4 7" xfId="53748"/>
    <cellStyle name="Input 2 3 4 8" xfId="53749"/>
    <cellStyle name="Input 2 3 5" xfId="417"/>
    <cellStyle name="Input 2 3 5 2" xfId="404"/>
    <cellStyle name="Input 2 3 5 2 2" xfId="1409"/>
    <cellStyle name="Input 2 3 5 2 2 2" xfId="905"/>
    <cellStyle name="Input 2 3 5 2 2 2 2" xfId="2507"/>
    <cellStyle name="Input 2 3 5 2 2 2 2 2" xfId="5927"/>
    <cellStyle name="Input 2 3 5 2 2 2 2 2 2" xfId="12767"/>
    <cellStyle name="Input 2 3 5 2 2 2 2 3" xfId="9347"/>
    <cellStyle name="Input 2 3 5 2 2 2 3" xfId="3647"/>
    <cellStyle name="Input 2 3 5 2 2 2 3 2" xfId="7067"/>
    <cellStyle name="Input 2 3 5 2 2 2 3 2 2" xfId="13907"/>
    <cellStyle name="Input 2 3 5 2 2 2 3 3" xfId="10487"/>
    <cellStyle name="Input 2 3 5 2 2 2 4" xfId="4787"/>
    <cellStyle name="Input 2 3 5 2 2 2 4 2" xfId="11627"/>
    <cellStyle name="Input 2 3 5 2 2 2 5" xfId="8207"/>
    <cellStyle name="Input 2 3 5 2 2 3" xfId="2230"/>
    <cellStyle name="Input 2 3 5 2 2 3 2" xfId="5650"/>
    <cellStyle name="Input 2 3 5 2 2 3 2 2" xfId="12490"/>
    <cellStyle name="Input 2 3 5 2 2 3 3" xfId="9070"/>
    <cellStyle name="Input 2 3 5 2 2 4" xfId="3370"/>
    <cellStyle name="Input 2 3 5 2 2 4 2" xfId="6790"/>
    <cellStyle name="Input 2 3 5 2 2 4 2 2" xfId="13630"/>
    <cellStyle name="Input 2 3 5 2 2 4 3" xfId="10210"/>
    <cellStyle name="Input 2 3 5 2 2 5" xfId="4510"/>
    <cellStyle name="Input 2 3 5 2 2 5 2" xfId="11350"/>
    <cellStyle name="Input 2 3 5 2 2 6" xfId="7930"/>
    <cellStyle name="Input 2 3 5 2 3" xfId="38382"/>
    <cellStyle name="Input 2 3 5 2 4" xfId="53750"/>
    <cellStyle name="Input 2 3 5 2 5" xfId="53751"/>
    <cellStyle name="Input 2 3 5 2 6" xfId="53752"/>
    <cellStyle name="Input 2 3 5 2 7" xfId="53753"/>
    <cellStyle name="Input 2 3 5 3" xfId="1422"/>
    <cellStyle name="Input 2 3 5 3 2" xfId="898"/>
    <cellStyle name="Input 2 3 5 3 2 2" xfId="2741"/>
    <cellStyle name="Input 2 3 5 3 2 2 2" xfId="6161"/>
    <cellStyle name="Input 2 3 5 3 2 2 2 2" xfId="13001"/>
    <cellStyle name="Input 2 3 5 3 2 2 3" xfId="9581"/>
    <cellStyle name="Input 2 3 5 3 2 3" xfId="3881"/>
    <cellStyle name="Input 2 3 5 3 2 3 2" xfId="7301"/>
    <cellStyle name="Input 2 3 5 3 2 3 2 2" xfId="14141"/>
    <cellStyle name="Input 2 3 5 3 2 3 3" xfId="10721"/>
    <cellStyle name="Input 2 3 5 3 2 4" xfId="5021"/>
    <cellStyle name="Input 2 3 5 3 2 4 2" xfId="11861"/>
    <cellStyle name="Input 2 3 5 3 2 5" xfId="8441"/>
    <cellStyle name="Input 2 3 5 3 3" xfId="2243"/>
    <cellStyle name="Input 2 3 5 3 3 2" xfId="5663"/>
    <cellStyle name="Input 2 3 5 3 3 2 2" xfId="12503"/>
    <cellStyle name="Input 2 3 5 3 3 3" xfId="9083"/>
    <cellStyle name="Input 2 3 5 3 4" xfId="3383"/>
    <cellStyle name="Input 2 3 5 3 4 2" xfId="6803"/>
    <cellStyle name="Input 2 3 5 3 4 2 2" xfId="13643"/>
    <cellStyle name="Input 2 3 5 3 4 3" xfId="10223"/>
    <cellStyle name="Input 2 3 5 3 5" xfId="4523"/>
    <cellStyle name="Input 2 3 5 3 5 2" xfId="11363"/>
    <cellStyle name="Input 2 3 5 3 6" xfId="7943"/>
    <cellStyle name="Input 2 3 5 4" xfId="18570"/>
    <cellStyle name="Input 2 3 5 5" xfId="26888"/>
    <cellStyle name="Input 2 3 5 6" xfId="34057"/>
    <cellStyle name="Input 2 3 5 7" xfId="53754"/>
    <cellStyle name="Input 2 3 5 8" xfId="53755"/>
    <cellStyle name="Input 2 3 6" xfId="466"/>
    <cellStyle name="Input 2 3 6 2" xfId="545"/>
    <cellStyle name="Input 2 3 6 2 2" xfId="1549"/>
    <cellStyle name="Input 2 3 6 2 2 2" xfId="836"/>
    <cellStyle name="Input 2 3 6 2 2 2 2" xfId="2534"/>
    <cellStyle name="Input 2 3 6 2 2 2 2 2" xfId="5954"/>
    <cellStyle name="Input 2 3 6 2 2 2 2 2 2" xfId="12794"/>
    <cellStyle name="Input 2 3 6 2 2 2 2 3" xfId="9374"/>
    <cellStyle name="Input 2 3 6 2 2 2 3" xfId="3674"/>
    <cellStyle name="Input 2 3 6 2 2 2 3 2" xfId="7094"/>
    <cellStyle name="Input 2 3 6 2 2 2 3 2 2" xfId="13934"/>
    <cellStyle name="Input 2 3 6 2 2 2 3 3" xfId="10514"/>
    <cellStyle name="Input 2 3 6 2 2 2 4" xfId="4814"/>
    <cellStyle name="Input 2 3 6 2 2 2 4 2" xfId="11654"/>
    <cellStyle name="Input 2 3 6 2 2 2 5" xfId="8234"/>
    <cellStyle name="Input 2 3 6 2 2 3" xfId="2370"/>
    <cellStyle name="Input 2 3 6 2 2 3 2" xfId="5790"/>
    <cellStyle name="Input 2 3 6 2 2 3 2 2" xfId="12630"/>
    <cellStyle name="Input 2 3 6 2 2 3 3" xfId="9210"/>
    <cellStyle name="Input 2 3 6 2 2 4" xfId="3510"/>
    <cellStyle name="Input 2 3 6 2 2 4 2" xfId="6930"/>
    <cellStyle name="Input 2 3 6 2 2 4 2 2" xfId="13770"/>
    <cellStyle name="Input 2 3 6 2 2 4 3" xfId="10350"/>
    <cellStyle name="Input 2 3 6 2 2 5" xfId="4650"/>
    <cellStyle name="Input 2 3 6 2 2 5 2" xfId="11490"/>
    <cellStyle name="Input 2 3 6 2 2 6" xfId="8070"/>
    <cellStyle name="Input 2 3 6 2 3" xfId="38460"/>
    <cellStyle name="Input 2 3 6 2 4" xfId="53756"/>
    <cellStyle name="Input 2 3 6 2 5" xfId="53757"/>
    <cellStyle name="Input 2 3 6 2 6" xfId="53758"/>
    <cellStyle name="Input 2 3 6 2 7" xfId="53759"/>
    <cellStyle name="Input 2 3 6 3" xfId="1470"/>
    <cellStyle name="Input 2 3 6 3 2" xfId="1751"/>
    <cellStyle name="Input 2 3 6 3 2 2" xfId="2891"/>
    <cellStyle name="Input 2 3 6 3 2 2 2" xfId="6311"/>
    <cellStyle name="Input 2 3 6 3 2 2 2 2" xfId="13151"/>
    <cellStyle name="Input 2 3 6 3 2 2 3" xfId="9731"/>
    <cellStyle name="Input 2 3 6 3 2 3" xfId="4031"/>
    <cellStyle name="Input 2 3 6 3 2 3 2" xfId="7451"/>
    <cellStyle name="Input 2 3 6 3 2 3 2 2" xfId="14291"/>
    <cellStyle name="Input 2 3 6 3 2 3 3" xfId="10871"/>
    <cellStyle name="Input 2 3 6 3 2 4" xfId="5171"/>
    <cellStyle name="Input 2 3 6 3 2 4 2" xfId="12011"/>
    <cellStyle name="Input 2 3 6 3 2 5" xfId="8591"/>
    <cellStyle name="Input 2 3 6 3 3" xfId="2291"/>
    <cellStyle name="Input 2 3 6 3 3 2" xfId="5711"/>
    <cellStyle name="Input 2 3 6 3 3 2 2" xfId="12551"/>
    <cellStyle name="Input 2 3 6 3 3 3" xfId="9131"/>
    <cellStyle name="Input 2 3 6 3 4" xfId="3431"/>
    <cellStyle name="Input 2 3 6 3 4 2" xfId="6851"/>
    <cellStyle name="Input 2 3 6 3 4 2 2" xfId="13691"/>
    <cellStyle name="Input 2 3 6 3 4 3" xfId="10271"/>
    <cellStyle name="Input 2 3 6 3 5" xfId="4571"/>
    <cellStyle name="Input 2 3 6 3 5 2" xfId="11411"/>
    <cellStyle name="Input 2 3 6 3 6" xfId="7991"/>
    <cellStyle name="Input 2 3 6 4" xfId="17545"/>
    <cellStyle name="Input 2 3 6 5" xfId="25863"/>
    <cellStyle name="Input 2 3 6 6" xfId="33080"/>
    <cellStyle name="Input 2 3 6 7" xfId="53760"/>
    <cellStyle name="Input 2 3 6 8" xfId="53761"/>
    <cellStyle name="Input 2 3 7" xfId="1105"/>
    <cellStyle name="Input 2 3 7 2" xfId="1073"/>
    <cellStyle name="Input 2 3 7 2 2" xfId="2543"/>
    <cellStyle name="Input 2 3 7 2 2 2" xfId="5963"/>
    <cellStyle name="Input 2 3 7 2 2 2 2" xfId="12803"/>
    <cellStyle name="Input 2 3 7 2 2 3" xfId="9383"/>
    <cellStyle name="Input 2 3 7 2 3" xfId="3683"/>
    <cellStyle name="Input 2 3 7 2 3 2" xfId="7103"/>
    <cellStyle name="Input 2 3 7 2 3 2 2" xfId="13943"/>
    <cellStyle name="Input 2 3 7 2 3 3" xfId="10523"/>
    <cellStyle name="Input 2 3 7 2 4" xfId="4823"/>
    <cellStyle name="Input 2 3 7 2 4 2" xfId="11663"/>
    <cellStyle name="Input 2 3 7 2 5" xfId="8243"/>
    <cellStyle name="Input 2 3 7 3" xfId="1914"/>
    <cellStyle name="Input 2 3 7 3 2" xfId="5334"/>
    <cellStyle name="Input 2 3 7 3 2 2" xfId="12174"/>
    <cellStyle name="Input 2 3 7 3 3" xfId="8754"/>
    <cellStyle name="Input 2 3 7 4" xfId="3054"/>
    <cellStyle name="Input 2 3 7 4 2" xfId="6474"/>
    <cellStyle name="Input 2 3 7 4 2 2" xfId="13314"/>
    <cellStyle name="Input 2 3 7 4 3" xfId="9894"/>
    <cellStyle name="Input 2 3 7 5" xfId="4194"/>
    <cellStyle name="Input 2 3 7 5 2" xfId="11034"/>
    <cellStyle name="Input 2 3 7 6" xfId="7614"/>
    <cellStyle name="Input 2 3 7 7" xfId="19266"/>
    <cellStyle name="Input 2 3 7 8" xfId="27586"/>
    <cellStyle name="Input 2 3 7 9" xfId="34734"/>
    <cellStyle name="Input 2 3 8" xfId="14427"/>
    <cellStyle name="Input 2 3 8 2" xfId="53762"/>
    <cellStyle name="Input 2 3 8 3" xfId="53763"/>
    <cellStyle name="Input 2 3 9" xfId="53764"/>
    <cellStyle name="Input 2 4" xfId="106"/>
    <cellStyle name="Input 2 4 10" xfId="14569"/>
    <cellStyle name="Input 2 4 11" xfId="22924"/>
    <cellStyle name="Input 2 4 12" xfId="53765"/>
    <cellStyle name="Input 2 4 2" xfId="165"/>
    <cellStyle name="Input 2 4 2 2" xfId="291"/>
    <cellStyle name="Input 2 4 2 2 2" xfId="700"/>
    <cellStyle name="Input 2 4 2 2 2 2" xfId="1651"/>
    <cellStyle name="Input 2 4 2 2 2 2 2" xfId="756"/>
    <cellStyle name="Input 2 4 2 2 2 2 2 2" xfId="2437"/>
    <cellStyle name="Input 2 4 2 2 2 2 2 2 2" xfId="5857"/>
    <cellStyle name="Input 2 4 2 2 2 2 2 2 2 2" xfId="12697"/>
    <cellStyle name="Input 2 4 2 2 2 2 2 2 3" xfId="9277"/>
    <cellStyle name="Input 2 4 2 2 2 2 2 3" xfId="3577"/>
    <cellStyle name="Input 2 4 2 2 2 2 2 3 2" xfId="6997"/>
    <cellStyle name="Input 2 4 2 2 2 2 2 3 2 2" xfId="13837"/>
    <cellStyle name="Input 2 4 2 2 2 2 2 3 3" xfId="10417"/>
    <cellStyle name="Input 2 4 2 2 2 2 2 4" xfId="4717"/>
    <cellStyle name="Input 2 4 2 2 2 2 2 4 2" xfId="11557"/>
    <cellStyle name="Input 2 4 2 2 2 2 2 5" xfId="8137"/>
    <cellStyle name="Input 2 4 2 2 2 2 3" xfId="2485"/>
    <cellStyle name="Input 2 4 2 2 2 2 3 2" xfId="5905"/>
    <cellStyle name="Input 2 4 2 2 2 2 3 2 2" xfId="12745"/>
    <cellStyle name="Input 2 4 2 2 2 2 3 3" xfId="9325"/>
    <cellStyle name="Input 2 4 2 2 2 2 4" xfId="3625"/>
    <cellStyle name="Input 2 4 2 2 2 2 4 2" xfId="7045"/>
    <cellStyle name="Input 2 4 2 2 2 2 4 2 2" xfId="13885"/>
    <cellStyle name="Input 2 4 2 2 2 2 4 3" xfId="10465"/>
    <cellStyle name="Input 2 4 2 2 2 2 5" xfId="4765"/>
    <cellStyle name="Input 2 4 2 2 2 2 5 2" xfId="11605"/>
    <cellStyle name="Input 2 4 2 2 2 2 6" xfId="8185"/>
    <cellStyle name="Input 2 4 2 2 2 3" xfId="38544"/>
    <cellStyle name="Input 2 4 2 2 2 4" xfId="53766"/>
    <cellStyle name="Input 2 4 2 2 2 5" xfId="53767"/>
    <cellStyle name="Input 2 4 2 2 2 6" xfId="53768"/>
    <cellStyle name="Input 2 4 2 2 3" xfId="1297"/>
    <cellStyle name="Input 2 4 2 2 3 2" xfId="1731"/>
    <cellStyle name="Input 2 4 2 2 3 2 2" xfId="2871"/>
    <cellStyle name="Input 2 4 2 2 3 2 2 2" xfId="6291"/>
    <cellStyle name="Input 2 4 2 2 3 2 2 2 2" xfId="13131"/>
    <cellStyle name="Input 2 4 2 2 3 2 2 3" xfId="9711"/>
    <cellStyle name="Input 2 4 2 2 3 2 3" xfId="4011"/>
    <cellStyle name="Input 2 4 2 2 3 2 3 2" xfId="7431"/>
    <cellStyle name="Input 2 4 2 2 3 2 3 2 2" xfId="14271"/>
    <cellStyle name="Input 2 4 2 2 3 2 3 3" xfId="10851"/>
    <cellStyle name="Input 2 4 2 2 3 2 4" xfId="5151"/>
    <cellStyle name="Input 2 4 2 2 3 2 4 2" xfId="11991"/>
    <cellStyle name="Input 2 4 2 2 3 2 5" xfId="8571"/>
    <cellStyle name="Input 2 4 2 2 3 3" xfId="2117"/>
    <cellStyle name="Input 2 4 2 2 3 3 2" xfId="5537"/>
    <cellStyle name="Input 2 4 2 2 3 3 2 2" xfId="12377"/>
    <cellStyle name="Input 2 4 2 2 3 3 3" xfId="8957"/>
    <cellStyle name="Input 2 4 2 2 3 4" xfId="3257"/>
    <cellStyle name="Input 2 4 2 2 3 4 2" xfId="6677"/>
    <cellStyle name="Input 2 4 2 2 3 4 2 2" xfId="13517"/>
    <cellStyle name="Input 2 4 2 2 3 4 3" xfId="10097"/>
    <cellStyle name="Input 2 4 2 2 3 5" xfId="4397"/>
    <cellStyle name="Input 2 4 2 2 3 5 2" xfId="11237"/>
    <cellStyle name="Input 2 4 2 2 3 6" xfId="7817"/>
    <cellStyle name="Input 2 4 2 2 4" xfId="38307"/>
    <cellStyle name="Input 2 4 2 2 5" xfId="53769"/>
    <cellStyle name="Input 2 4 2 2 6" xfId="53770"/>
    <cellStyle name="Input 2 4 2 2 7" xfId="53771"/>
    <cellStyle name="Input 2 4 2 2 8" xfId="53772"/>
    <cellStyle name="Input 2 4 2 3" xfId="612"/>
    <cellStyle name="Input 2 4 2 3 2" xfId="1599"/>
    <cellStyle name="Input 2 4 2 3 2 2" xfId="808"/>
    <cellStyle name="Input 2 4 2 3 2 2 2" xfId="2591"/>
    <cellStyle name="Input 2 4 2 3 2 2 2 2" xfId="6011"/>
    <cellStyle name="Input 2 4 2 3 2 2 2 2 2" xfId="12851"/>
    <cellStyle name="Input 2 4 2 3 2 2 2 3" xfId="9431"/>
    <cellStyle name="Input 2 4 2 3 2 2 3" xfId="3731"/>
    <cellStyle name="Input 2 4 2 3 2 2 3 2" xfId="7151"/>
    <cellStyle name="Input 2 4 2 3 2 2 3 2 2" xfId="13991"/>
    <cellStyle name="Input 2 4 2 3 2 2 3 3" xfId="10571"/>
    <cellStyle name="Input 2 4 2 3 2 2 4" xfId="4871"/>
    <cellStyle name="Input 2 4 2 3 2 2 4 2" xfId="11711"/>
    <cellStyle name="Input 2 4 2 3 2 2 5" xfId="8291"/>
    <cellStyle name="Input 2 4 2 3 2 3" xfId="2424"/>
    <cellStyle name="Input 2 4 2 3 2 3 2" xfId="5844"/>
    <cellStyle name="Input 2 4 2 3 2 3 2 2" xfId="12684"/>
    <cellStyle name="Input 2 4 2 3 2 3 3" xfId="9264"/>
    <cellStyle name="Input 2 4 2 3 2 4" xfId="3564"/>
    <cellStyle name="Input 2 4 2 3 2 4 2" xfId="6984"/>
    <cellStyle name="Input 2 4 2 3 2 4 2 2" xfId="13824"/>
    <cellStyle name="Input 2 4 2 3 2 4 3" xfId="10404"/>
    <cellStyle name="Input 2 4 2 3 2 5" xfId="4704"/>
    <cellStyle name="Input 2 4 2 3 2 5 2" xfId="11544"/>
    <cellStyle name="Input 2 4 2 3 2 6" xfId="8124"/>
    <cellStyle name="Input 2 4 2 3 3" xfId="38493"/>
    <cellStyle name="Input 2 4 2 3 4" xfId="53773"/>
    <cellStyle name="Input 2 4 2 3 5" xfId="53774"/>
    <cellStyle name="Input 2 4 2 3 6" xfId="53775"/>
    <cellStyle name="Input 2 4 2 4" xfId="1173"/>
    <cellStyle name="Input 2 4 2 4 2" xfId="1723"/>
    <cellStyle name="Input 2 4 2 4 2 2" xfId="2863"/>
    <cellStyle name="Input 2 4 2 4 2 2 2" xfId="6283"/>
    <cellStyle name="Input 2 4 2 4 2 2 2 2" xfId="13123"/>
    <cellStyle name="Input 2 4 2 4 2 2 3" xfId="9703"/>
    <cellStyle name="Input 2 4 2 4 2 3" xfId="4003"/>
    <cellStyle name="Input 2 4 2 4 2 3 2" xfId="7423"/>
    <cellStyle name="Input 2 4 2 4 2 3 2 2" xfId="14263"/>
    <cellStyle name="Input 2 4 2 4 2 3 3" xfId="10843"/>
    <cellStyle name="Input 2 4 2 4 2 4" xfId="5143"/>
    <cellStyle name="Input 2 4 2 4 2 4 2" xfId="11983"/>
    <cellStyle name="Input 2 4 2 4 2 5" xfId="8563"/>
    <cellStyle name="Input 2 4 2 4 3" xfId="1992"/>
    <cellStyle name="Input 2 4 2 4 3 2" xfId="5412"/>
    <cellStyle name="Input 2 4 2 4 3 2 2" xfId="12252"/>
    <cellStyle name="Input 2 4 2 4 3 3" xfId="8832"/>
    <cellStyle name="Input 2 4 2 4 4" xfId="3132"/>
    <cellStyle name="Input 2 4 2 4 4 2" xfId="6552"/>
    <cellStyle name="Input 2 4 2 4 4 2 2" xfId="13392"/>
    <cellStyle name="Input 2 4 2 4 4 3" xfId="9972"/>
    <cellStyle name="Input 2 4 2 4 5" xfId="4272"/>
    <cellStyle name="Input 2 4 2 4 5 2" xfId="11112"/>
    <cellStyle name="Input 2 4 2 4 6" xfId="7692"/>
    <cellStyle name="Input 2 4 2 5" xfId="15648"/>
    <cellStyle name="Input 2 4 2 6" xfId="23960"/>
    <cellStyle name="Input 2 4 2 7" xfId="31257"/>
    <cellStyle name="Input 2 4 2 8" xfId="53776"/>
    <cellStyle name="Input 2 4 2 9" xfId="53777"/>
    <cellStyle name="Input 2 4 3" xfId="331"/>
    <cellStyle name="Input 2 4 3 2" xfId="472"/>
    <cellStyle name="Input 2 4 3 2 2" xfId="1476"/>
    <cellStyle name="Input 2 4 3 2 2 2" xfId="871"/>
    <cellStyle name="Input 2 4 3 2 2 2 2" xfId="2514"/>
    <cellStyle name="Input 2 4 3 2 2 2 2 2" xfId="5934"/>
    <cellStyle name="Input 2 4 3 2 2 2 2 2 2" xfId="12774"/>
    <cellStyle name="Input 2 4 3 2 2 2 2 3" xfId="9354"/>
    <cellStyle name="Input 2 4 3 2 2 2 3" xfId="3654"/>
    <cellStyle name="Input 2 4 3 2 2 2 3 2" xfId="7074"/>
    <cellStyle name="Input 2 4 3 2 2 2 3 2 2" xfId="13914"/>
    <cellStyle name="Input 2 4 3 2 2 2 3 3" xfId="10494"/>
    <cellStyle name="Input 2 4 3 2 2 2 4" xfId="4794"/>
    <cellStyle name="Input 2 4 3 2 2 2 4 2" xfId="11634"/>
    <cellStyle name="Input 2 4 3 2 2 2 5" xfId="8214"/>
    <cellStyle name="Input 2 4 3 2 2 3" xfId="2297"/>
    <cellStyle name="Input 2 4 3 2 2 3 2" xfId="5717"/>
    <cellStyle name="Input 2 4 3 2 2 3 2 2" xfId="12557"/>
    <cellStyle name="Input 2 4 3 2 2 3 3" xfId="9137"/>
    <cellStyle name="Input 2 4 3 2 2 4" xfId="3437"/>
    <cellStyle name="Input 2 4 3 2 2 4 2" xfId="6857"/>
    <cellStyle name="Input 2 4 3 2 2 4 2 2" xfId="13697"/>
    <cellStyle name="Input 2 4 3 2 2 4 3" xfId="10277"/>
    <cellStyle name="Input 2 4 3 2 2 5" xfId="4577"/>
    <cellStyle name="Input 2 4 3 2 2 5 2" xfId="11417"/>
    <cellStyle name="Input 2 4 3 2 2 6" xfId="7997"/>
    <cellStyle name="Input 2 4 3 2 3" xfId="38423"/>
    <cellStyle name="Input 2 4 3 2 4" xfId="53778"/>
    <cellStyle name="Input 2 4 3 2 5" xfId="53779"/>
    <cellStyle name="Input 2 4 3 2 6" xfId="53780"/>
    <cellStyle name="Input 2 4 3 2 7" xfId="53781"/>
    <cellStyle name="Input 2 4 3 3" xfId="1336"/>
    <cellStyle name="Input 2 4 3 3 2" xfId="956"/>
    <cellStyle name="Input 2 4 3 3 2 2" xfId="2517"/>
    <cellStyle name="Input 2 4 3 3 2 2 2" xfId="5937"/>
    <cellStyle name="Input 2 4 3 3 2 2 2 2" xfId="12777"/>
    <cellStyle name="Input 2 4 3 3 2 2 3" xfId="9357"/>
    <cellStyle name="Input 2 4 3 3 2 3" xfId="3657"/>
    <cellStyle name="Input 2 4 3 3 2 3 2" xfId="7077"/>
    <cellStyle name="Input 2 4 3 3 2 3 2 2" xfId="13917"/>
    <cellStyle name="Input 2 4 3 3 2 3 3" xfId="10497"/>
    <cellStyle name="Input 2 4 3 3 2 4" xfId="4797"/>
    <cellStyle name="Input 2 4 3 3 2 4 2" xfId="11637"/>
    <cellStyle name="Input 2 4 3 3 2 5" xfId="8217"/>
    <cellStyle name="Input 2 4 3 3 3" xfId="2157"/>
    <cellStyle name="Input 2 4 3 3 3 2" xfId="5577"/>
    <cellStyle name="Input 2 4 3 3 3 2 2" xfId="12417"/>
    <cellStyle name="Input 2 4 3 3 3 3" xfId="8997"/>
    <cellStyle name="Input 2 4 3 3 4" xfId="3297"/>
    <cellStyle name="Input 2 4 3 3 4 2" xfId="6717"/>
    <cellStyle name="Input 2 4 3 3 4 2 2" xfId="13557"/>
    <cellStyle name="Input 2 4 3 3 4 3" xfId="10137"/>
    <cellStyle name="Input 2 4 3 3 5" xfId="4437"/>
    <cellStyle name="Input 2 4 3 3 5 2" xfId="11277"/>
    <cellStyle name="Input 2 4 3 3 6" xfId="7857"/>
    <cellStyle name="Input 2 4 3 4" xfId="16615"/>
    <cellStyle name="Input 2 4 3 5" xfId="24931"/>
    <cellStyle name="Input 2 4 3 6" xfId="32190"/>
    <cellStyle name="Input 2 4 3 7" xfId="53782"/>
    <cellStyle name="Input 2 4 3 8" xfId="53783"/>
    <cellStyle name="Input 2 4 4" xfId="238"/>
    <cellStyle name="Input 2 4 4 2" xfId="471"/>
    <cellStyle name="Input 2 4 4 2 2" xfId="1475"/>
    <cellStyle name="Input 2 4 4 2 2 2" xfId="1847"/>
    <cellStyle name="Input 2 4 4 2 2 2 2" xfId="2987"/>
    <cellStyle name="Input 2 4 4 2 2 2 2 2" xfId="6407"/>
    <cellStyle name="Input 2 4 4 2 2 2 2 2 2" xfId="13247"/>
    <cellStyle name="Input 2 4 4 2 2 2 2 3" xfId="9827"/>
    <cellStyle name="Input 2 4 4 2 2 2 3" xfId="4127"/>
    <cellStyle name="Input 2 4 4 2 2 2 3 2" xfId="7547"/>
    <cellStyle name="Input 2 4 4 2 2 2 3 2 2" xfId="14387"/>
    <cellStyle name="Input 2 4 4 2 2 2 3 3" xfId="10967"/>
    <cellStyle name="Input 2 4 4 2 2 2 4" xfId="5267"/>
    <cellStyle name="Input 2 4 4 2 2 2 4 2" xfId="12107"/>
    <cellStyle name="Input 2 4 4 2 2 2 5" xfId="8687"/>
    <cellStyle name="Input 2 4 4 2 2 3" xfId="2296"/>
    <cellStyle name="Input 2 4 4 2 2 3 2" xfId="5716"/>
    <cellStyle name="Input 2 4 4 2 2 3 2 2" xfId="12556"/>
    <cellStyle name="Input 2 4 4 2 2 3 3" xfId="9136"/>
    <cellStyle name="Input 2 4 4 2 2 4" xfId="3436"/>
    <cellStyle name="Input 2 4 4 2 2 4 2" xfId="6856"/>
    <cellStyle name="Input 2 4 4 2 2 4 2 2" xfId="13696"/>
    <cellStyle name="Input 2 4 4 2 2 4 3" xfId="10276"/>
    <cellStyle name="Input 2 4 4 2 2 5" xfId="4576"/>
    <cellStyle name="Input 2 4 4 2 2 5 2" xfId="11416"/>
    <cellStyle name="Input 2 4 4 2 2 6" xfId="7996"/>
    <cellStyle name="Input 2 4 4 2 3" xfId="38422"/>
    <cellStyle name="Input 2 4 4 2 4" xfId="53784"/>
    <cellStyle name="Input 2 4 4 2 5" xfId="53785"/>
    <cellStyle name="Input 2 4 4 2 6" xfId="53786"/>
    <cellStyle name="Input 2 4 4 2 7" xfId="53787"/>
    <cellStyle name="Input 2 4 4 3" xfId="1245"/>
    <cellStyle name="Input 2 4 4 3 2" xfId="1838"/>
    <cellStyle name="Input 2 4 4 3 2 2" xfId="2978"/>
    <cellStyle name="Input 2 4 4 3 2 2 2" xfId="6398"/>
    <cellStyle name="Input 2 4 4 3 2 2 2 2" xfId="13238"/>
    <cellStyle name="Input 2 4 4 3 2 2 3" xfId="9818"/>
    <cellStyle name="Input 2 4 4 3 2 3" xfId="4118"/>
    <cellStyle name="Input 2 4 4 3 2 3 2" xfId="7538"/>
    <cellStyle name="Input 2 4 4 3 2 3 2 2" xfId="14378"/>
    <cellStyle name="Input 2 4 4 3 2 3 3" xfId="10958"/>
    <cellStyle name="Input 2 4 4 3 2 4" xfId="5258"/>
    <cellStyle name="Input 2 4 4 3 2 4 2" xfId="12098"/>
    <cellStyle name="Input 2 4 4 3 2 5" xfId="8678"/>
    <cellStyle name="Input 2 4 4 3 3" xfId="2065"/>
    <cellStyle name="Input 2 4 4 3 3 2" xfId="5485"/>
    <cellStyle name="Input 2 4 4 3 3 2 2" xfId="12325"/>
    <cellStyle name="Input 2 4 4 3 3 3" xfId="8905"/>
    <cellStyle name="Input 2 4 4 3 4" xfId="3205"/>
    <cellStyle name="Input 2 4 4 3 4 2" xfId="6625"/>
    <cellStyle name="Input 2 4 4 3 4 2 2" xfId="13465"/>
    <cellStyle name="Input 2 4 4 3 4 3" xfId="10045"/>
    <cellStyle name="Input 2 4 4 3 5" xfId="4345"/>
    <cellStyle name="Input 2 4 4 3 5 2" xfId="11185"/>
    <cellStyle name="Input 2 4 4 3 6" xfId="7765"/>
    <cellStyle name="Input 2 4 4 4" xfId="17635"/>
    <cellStyle name="Input 2 4 4 5" xfId="25957"/>
    <cellStyle name="Input 2 4 4 6" xfId="33167"/>
    <cellStyle name="Input 2 4 4 7" xfId="53788"/>
    <cellStyle name="Input 2 4 4 8" xfId="53789"/>
    <cellStyle name="Input 2 4 5" xfId="496"/>
    <cellStyle name="Input 2 4 5 2" xfId="375"/>
    <cellStyle name="Input 2 4 5 2 2" xfId="1380"/>
    <cellStyle name="Input 2 4 5 2 2 2" xfId="918"/>
    <cellStyle name="Input 2 4 5 2 2 2 2" xfId="2576"/>
    <cellStyle name="Input 2 4 5 2 2 2 2 2" xfId="5996"/>
    <cellStyle name="Input 2 4 5 2 2 2 2 2 2" xfId="12836"/>
    <cellStyle name="Input 2 4 5 2 2 2 2 3" xfId="9416"/>
    <cellStyle name="Input 2 4 5 2 2 2 3" xfId="3716"/>
    <cellStyle name="Input 2 4 5 2 2 2 3 2" xfId="7136"/>
    <cellStyle name="Input 2 4 5 2 2 2 3 2 2" xfId="13976"/>
    <cellStyle name="Input 2 4 5 2 2 2 3 3" xfId="10556"/>
    <cellStyle name="Input 2 4 5 2 2 2 4" xfId="4856"/>
    <cellStyle name="Input 2 4 5 2 2 2 4 2" xfId="11696"/>
    <cellStyle name="Input 2 4 5 2 2 2 5" xfId="8276"/>
    <cellStyle name="Input 2 4 5 2 2 3" xfId="2201"/>
    <cellStyle name="Input 2 4 5 2 2 3 2" xfId="5621"/>
    <cellStyle name="Input 2 4 5 2 2 3 2 2" xfId="12461"/>
    <cellStyle name="Input 2 4 5 2 2 3 3" xfId="9041"/>
    <cellStyle name="Input 2 4 5 2 2 4" xfId="3341"/>
    <cellStyle name="Input 2 4 5 2 2 4 2" xfId="6761"/>
    <cellStyle name="Input 2 4 5 2 2 4 2 2" xfId="13601"/>
    <cellStyle name="Input 2 4 5 2 2 4 3" xfId="10181"/>
    <cellStyle name="Input 2 4 5 2 2 5" xfId="4481"/>
    <cellStyle name="Input 2 4 5 2 2 5 2" xfId="11321"/>
    <cellStyle name="Input 2 4 5 2 2 6" xfId="7901"/>
    <cellStyle name="Input 2 4 5 2 3" xfId="38358"/>
    <cellStyle name="Input 2 4 5 2 4" xfId="53790"/>
    <cellStyle name="Input 2 4 5 2 5" xfId="53791"/>
    <cellStyle name="Input 2 4 5 2 6" xfId="53792"/>
    <cellStyle name="Input 2 4 5 2 7" xfId="53793"/>
    <cellStyle name="Input 2 4 5 3" xfId="1500"/>
    <cellStyle name="Input 2 4 5 3 2" xfId="1860"/>
    <cellStyle name="Input 2 4 5 3 2 2" xfId="3000"/>
    <cellStyle name="Input 2 4 5 3 2 2 2" xfId="6420"/>
    <cellStyle name="Input 2 4 5 3 2 2 2 2" xfId="13260"/>
    <cellStyle name="Input 2 4 5 3 2 2 3" xfId="9840"/>
    <cellStyle name="Input 2 4 5 3 2 3" xfId="4140"/>
    <cellStyle name="Input 2 4 5 3 2 3 2" xfId="7560"/>
    <cellStyle name="Input 2 4 5 3 2 3 2 2" xfId="14400"/>
    <cellStyle name="Input 2 4 5 3 2 3 3" xfId="10980"/>
    <cellStyle name="Input 2 4 5 3 2 4" xfId="5280"/>
    <cellStyle name="Input 2 4 5 3 2 4 2" xfId="12120"/>
    <cellStyle name="Input 2 4 5 3 2 5" xfId="8700"/>
    <cellStyle name="Input 2 4 5 3 3" xfId="2321"/>
    <cellStyle name="Input 2 4 5 3 3 2" xfId="5741"/>
    <cellStyle name="Input 2 4 5 3 3 2 2" xfId="12581"/>
    <cellStyle name="Input 2 4 5 3 3 3" xfId="9161"/>
    <cellStyle name="Input 2 4 5 3 4" xfId="3461"/>
    <cellStyle name="Input 2 4 5 3 4 2" xfId="6881"/>
    <cellStyle name="Input 2 4 5 3 4 2 2" xfId="13721"/>
    <cellStyle name="Input 2 4 5 3 4 3" xfId="10301"/>
    <cellStyle name="Input 2 4 5 3 5" xfId="4601"/>
    <cellStyle name="Input 2 4 5 3 5 2" xfId="11441"/>
    <cellStyle name="Input 2 4 5 3 6" xfId="8021"/>
    <cellStyle name="Input 2 4 5 4" xfId="18617"/>
    <cellStyle name="Input 2 4 5 5" xfId="26936"/>
    <cellStyle name="Input 2 4 5 6" xfId="34104"/>
    <cellStyle name="Input 2 4 5 7" xfId="53794"/>
    <cellStyle name="Input 2 4 5 8" xfId="53795"/>
    <cellStyle name="Input 2 4 6" xfId="516"/>
    <cellStyle name="Input 2 4 6 2" xfId="376"/>
    <cellStyle name="Input 2 4 6 2 2" xfId="1381"/>
    <cellStyle name="Input 2 4 6 2 2 2" xfId="1726"/>
    <cellStyle name="Input 2 4 6 2 2 2 2" xfId="2866"/>
    <cellStyle name="Input 2 4 6 2 2 2 2 2" xfId="6286"/>
    <cellStyle name="Input 2 4 6 2 2 2 2 2 2" xfId="13126"/>
    <cellStyle name="Input 2 4 6 2 2 2 2 3" xfId="9706"/>
    <cellStyle name="Input 2 4 6 2 2 2 3" xfId="4006"/>
    <cellStyle name="Input 2 4 6 2 2 2 3 2" xfId="7426"/>
    <cellStyle name="Input 2 4 6 2 2 2 3 2 2" xfId="14266"/>
    <cellStyle name="Input 2 4 6 2 2 2 3 3" xfId="10846"/>
    <cellStyle name="Input 2 4 6 2 2 2 4" xfId="5146"/>
    <cellStyle name="Input 2 4 6 2 2 2 4 2" xfId="11986"/>
    <cellStyle name="Input 2 4 6 2 2 2 5" xfId="8566"/>
    <cellStyle name="Input 2 4 6 2 2 3" xfId="2202"/>
    <cellStyle name="Input 2 4 6 2 2 3 2" xfId="5622"/>
    <cellStyle name="Input 2 4 6 2 2 3 2 2" xfId="12462"/>
    <cellStyle name="Input 2 4 6 2 2 3 3" xfId="9042"/>
    <cellStyle name="Input 2 4 6 2 2 4" xfId="3342"/>
    <cellStyle name="Input 2 4 6 2 2 4 2" xfId="6762"/>
    <cellStyle name="Input 2 4 6 2 2 4 2 2" xfId="13602"/>
    <cellStyle name="Input 2 4 6 2 2 4 3" xfId="10182"/>
    <cellStyle name="Input 2 4 6 2 2 5" xfId="4482"/>
    <cellStyle name="Input 2 4 6 2 2 5 2" xfId="11322"/>
    <cellStyle name="Input 2 4 6 2 2 6" xfId="7902"/>
    <cellStyle name="Input 2 4 6 2 3" xfId="38359"/>
    <cellStyle name="Input 2 4 6 2 4" xfId="53796"/>
    <cellStyle name="Input 2 4 6 2 5" xfId="53797"/>
    <cellStyle name="Input 2 4 6 2 6" xfId="53798"/>
    <cellStyle name="Input 2 4 6 2 7" xfId="53799"/>
    <cellStyle name="Input 2 4 6 3" xfId="1520"/>
    <cellStyle name="Input 2 4 6 3 2" xfId="849"/>
    <cellStyle name="Input 2 4 6 3 2 2" xfId="2494"/>
    <cellStyle name="Input 2 4 6 3 2 2 2" xfId="5914"/>
    <cellStyle name="Input 2 4 6 3 2 2 2 2" xfId="12754"/>
    <cellStyle name="Input 2 4 6 3 2 2 3" xfId="9334"/>
    <cellStyle name="Input 2 4 6 3 2 3" xfId="3634"/>
    <cellStyle name="Input 2 4 6 3 2 3 2" xfId="7054"/>
    <cellStyle name="Input 2 4 6 3 2 3 2 2" xfId="13894"/>
    <cellStyle name="Input 2 4 6 3 2 3 3" xfId="10474"/>
    <cellStyle name="Input 2 4 6 3 2 4" xfId="4774"/>
    <cellStyle name="Input 2 4 6 3 2 4 2" xfId="11614"/>
    <cellStyle name="Input 2 4 6 3 2 5" xfId="8194"/>
    <cellStyle name="Input 2 4 6 3 3" xfId="2341"/>
    <cellStyle name="Input 2 4 6 3 3 2" xfId="5761"/>
    <cellStyle name="Input 2 4 6 3 3 2 2" xfId="12601"/>
    <cellStyle name="Input 2 4 6 3 3 3" xfId="9181"/>
    <cellStyle name="Input 2 4 6 3 4" xfId="3481"/>
    <cellStyle name="Input 2 4 6 3 4 2" xfId="6901"/>
    <cellStyle name="Input 2 4 6 3 4 2 2" xfId="13741"/>
    <cellStyle name="Input 2 4 6 3 4 3" xfId="10321"/>
    <cellStyle name="Input 2 4 6 3 5" xfId="4621"/>
    <cellStyle name="Input 2 4 6 3 5 2" xfId="11461"/>
    <cellStyle name="Input 2 4 6 3 6" xfId="8041"/>
    <cellStyle name="Input 2 4 6 4" xfId="19585"/>
    <cellStyle name="Input 2 4 6 5" xfId="27905"/>
    <cellStyle name="Input 2 4 6 6" xfId="35050"/>
    <cellStyle name="Input 2 4 6 7" xfId="53800"/>
    <cellStyle name="Input 2 4 6 8" xfId="53801"/>
    <cellStyle name="Input 2 4 7" xfId="1122"/>
    <cellStyle name="Input 2 4 7 2" xfId="1065"/>
    <cellStyle name="Input 2 4 7 2 2" xfId="2568"/>
    <cellStyle name="Input 2 4 7 2 2 2" xfId="5988"/>
    <cellStyle name="Input 2 4 7 2 2 2 2" xfId="12828"/>
    <cellStyle name="Input 2 4 7 2 2 3" xfId="9408"/>
    <cellStyle name="Input 2 4 7 2 3" xfId="3708"/>
    <cellStyle name="Input 2 4 7 2 3 2" xfId="7128"/>
    <cellStyle name="Input 2 4 7 2 3 2 2" xfId="13968"/>
    <cellStyle name="Input 2 4 7 2 3 3" xfId="10548"/>
    <cellStyle name="Input 2 4 7 2 4" xfId="4848"/>
    <cellStyle name="Input 2 4 7 2 4 2" xfId="11688"/>
    <cellStyle name="Input 2 4 7 2 5" xfId="8268"/>
    <cellStyle name="Input 2 4 7 3" xfId="1936"/>
    <cellStyle name="Input 2 4 7 3 2" xfId="5356"/>
    <cellStyle name="Input 2 4 7 3 2 2" xfId="12196"/>
    <cellStyle name="Input 2 4 7 3 3" xfId="8776"/>
    <cellStyle name="Input 2 4 7 4" xfId="3076"/>
    <cellStyle name="Input 2 4 7 4 2" xfId="6496"/>
    <cellStyle name="Input 2 4 7 4 2 2" xfId="13336"/>
    <cellStyle name="Input 2 4 7 4 3" xfId="9916"/>
    <cellStyle name="Input 2 4 7 5" xfId="4216"/>
    <cellStyle name="Input 2 4 7 5 2" xfId="11056"/>
    <cellStyle name="Input 2 4 7 6" xfId="7636"/>
    <cellStyle name="Input 2 4 7 7" xfId="20543"/>
    <cellStyle name="Input 2 4 7 8" xfId="28864"/>
    <cellStyle name="Input 2 4 7 9" xfId="35967"/>
    <cellStyle name="Input 2 4 8" xfId="21356"/>
    <cellStyle name="Input 2 4 8 2" xfId="29659"/>
    <cellStyle name="Input 2 4 8 2 2" xfId="53802"/>
    <cellStyle name="Input 2 4 8 2 3" xfId="53803"/>
    <cellStyle name="Input 2 4 8 3" xfId="36724"/>
    <cellStyle name="Input 2 4 8 4" xfId="53804"/>
    <cellStyle name="Input 2 4 9" xfId="21978"/>
    <cellStyle name="Input 2 4 9 2" xfId="30278"/>
    <cellStyle name="Input 2 4 9 2 2" xfId="53805"/>
    <cellStyle name="Input 2 4 9 2 3" xfId="53806"/>
    <cellStyle name="Input 2 4 9 3" xfId="37318"/>
    <cellStyle name="Input 2 4 9 4" xfId="53807"/>
    <cellStyle name="Input 2 5" xfId="132"/>
    <cellStyle name="Input 2 5 10" xfId="14566"/>
    <cellStyle name="Input 2 5 11" xfId="22922"/>
    <cellStyle name="Input 2 5 12" xfId="53808"/>
    <cellStyle name="Input 2 5 2" xfId="258"/>
    <cellStyle name="Input 2 5 2 2" xfId="668"/>
    <cellStyle name="Input 2 5 2 2 2" xfId="1619"/>
    <cellStyle name="Input 2 5 2 2 2 2" xfId="788"/>
    <cellStyle name="Input 2 5 2 2 2 2 2" xfId="2759"/>
    <cellStyle name="Input 2 5 2 2 2 2 2 2" xfId="6179"/>
    <cellStyle name="Input 2 5 2 2 2 2 2 2 2" xfId="13019"/>
    <cellStyle name="Input 2 5 2 2 2 2 2 3" xfId="9599"/>
    <cellStyle name="Input 2 5 2 2 2 2 3" xfId="3899"/>
    <cellStyle name="Input 2 5 2 2 2 2 3 2" xfId="7319"/>
    <cellStyle name="Input 2 5 2 2 2 2 3 2 2" xfId="14159"/>
    <cellStyle name="Input 2 5 2 2 2 2 3 3" xfId="10739"/>
    <cellStyle name="Input 2 5 2 2 2 2 4" xfId="5039"/>
    <cellStyle name="Input 2 5 2 2 2 2 4 2" xfId="11879"/>
    <cellStyle name="Input 2 5 2 2 2 2 5" xfId="8459"/>
    <cellStyle name="Input 2 5 2 2 2 3" xfId="2453"/>
    <cellStyle name="Input 2 5 2 2 2 3 2" xfId="5873"/>
    <cellStyle name="Input 2 5 2 2 2 3 2 2" xfId="12713"/>
    <cellStyle name="Input 2 5 2 2 2 3 3" xfId="9293"/>
    <cellStyle name="Input 2 5 2 2 2 4" xfId="3593"/>
    <cellStyle name="Input 2 5 2 2 2 4 2" xfId="7013"/>
    <cellStyle name="Input 2 5 2 2 2 4 2 2" xfId="13853"/>
    <cellStyle name="Input 2 5 2 2 2 4 3" xfId="10433"/>
    <cellStyle name="Input 2 5 2 2 2 5" xfId="4733"/>
    <cellStyle name="Input 2 5 2 2 2 5 2" xfId="11573"/>
    <cellStyle name="Input 2 5 2 2 2 6" xfId="8153"/>
    <cellStyle name="Input 2 5 2 2 3" xfId="38512"/>
    <cellStyle name="Input 2 5 2 2 4" xfId="53809"/>
    <cellStyle name="Input 2 5 2 2 5" xfId="53810"/>
    <cellStyle name="Input 2 5 2 2 6" xfId="53811"/>
    <cellStyle name="Input 2 5 2 2 7" xfId="53812"/>
    <cellStyle name="Input 2 5 2 3" xfId="1265"/>
    <cellStyle name="Input 2 5 2 3 2" xfId="996"/>
    <cellStyle name="Input 2 5 2 3 2 2" xfId="2642"/>
    <cellStyle name="Input 2 5 2 3 2 2 2" xfId="6062"/>
    <cellStyle name="Input 2 5 2 3 2 2 2 2" xfId="12902"/>
    <cellStyle name="Input 2 5 2 3 2 2 3" xfId="9482"/>
    <cellStyle name="Input 2 5 2 3 2 3" xfId="3782"/>
    <cellStyle name="Input 2 5 2 3 2 3 2" xfId="7202"/>
    <cellStyle name="Input 2 5 2 3 2 3 2 2" xfId="14042"/>
    <cellStyle name="Input 2 5 2 3 2 3 3" xfId="10622"/>
    <cellStyle name="Input 2 5 2 3 2 4" xfId="4922"/>
    <cellStyle name="Input 2 5 2 3 2 4 2" xfId="11762"/>
    <cellStyle name="Input 2 5 2 3 2 5" xfId="8342"/>
    <cellStyle name="Input 2 5 2 3 3" xfId="2085"/>
    <cellStyle name="Input 2 5 2 3 3 2" xfId="5505"/>
    <cellStyle name="Input 2 5 2 3 3 2 2" xfId="12345"/>
    <cellStyle name="Input 2 5 2 3 3 3" xfId="8925"/>
    <cellStyle name="Input 2 5 2 3 4" xfId="3225"/>
    <cellStyle name="Input 2 5 2 3 4 2" xfId="6645"/>
    <cellStyle name="Input 2 5 2 3 4 2 2" xfId="13485"/>
    <cellStyle name="Input 2 5 2 3 4 3" xfId="10065"/>
    <cellStyle name="Input 2 5 2 3 5" xfId="4365"/>
    <cellStyle name="Input 2 5 2 3 5 2" xfId="11205"/>
    <cellStyle name="Input 2 5 2 3 6" xfId="7785"/>
    <cellStyle name="Input 2 5 2 4" xfId="15645"/>
    <cellStyle name="Input 2 5 2 5" xfId="23958"/>
    <cellStyle name="Input 2 5 2 6" xfId="31255"/>
    <cellStyle name="Input 2 5 2 7" xfId="53813"/>
    <cellStyle name="Input 2 5 2 8" xfId="53814"/>
    <cellStyle name="Input 2 5 3" xfId="580"/>
    <cellStyle name="Input 2 5 3 2" xfId="1567"/>
    <cellStyle name="Input 2 5 3 2 2" xfId="1667"/>
    <cellStyle name="Input 2 5 3 2 2 2" xfId="2807"/>
    <cellStyle name="Input 2 5 3 2 2 2 2" xfId="6227"/>
    <cellStyle name="Input 2 5 3 2 2 2 2 2" xfId="13067"/>
    <cellStyle name="Input 2 5 3 2 2 2 3" xfId="9647"/>
    <cellStyle name="Input 2 5 3 2 2 3" xfId="3947"/>
    <cellStyle name="Input 2 5 3 2 2 3 2" xfId="7367"/>
    <cellStyle name="Input 2 5 3 2 2 3 2 2" xfId="14207"/>
    <cellStyle name="Input 2 5 3 2 2 3 3" xfId="10787"/>
    <cellStyle name="Input 2 5 3 2 2 4" xfId="5087"/>
    <cellStyle name="Input 2 5 3 2 2 4 2" xfId="11927"/>
    <cellStyle name="Input 2 5 3 2 2 5" xfId="8507"/>
    <cellStyle name="Input 2 5 3 2 3" xfId="2392"/>
    <cellStyle name="Input 2 5 3 2 3 2" xfId="5812"/>
    <cellStyle name="Input 2 5 3 2 3 2 2" xfId="12652"/>
    <cellStyle name="Input 2 5 3 2 3 3" xfId="9232"/>
    <cellStyle name="Input 2 5 3 2 4" xfId="3532"/>
    <cellStyle name="Input 2 5 3 2 4 2" xfId="6952"/>
    <cellStyle name="Input 2 5 3 2 4 2 2" xfId="13792"/>
    <cellStyle name="Input 2 5 3 2 4 3" xfId="10372"/>
    <cellStyle name="Input 2 5 3 2 5" xfId="4672"/>
    <cellStyle name="Input 2 5 3 2 5 2" xfId="11512"/>
    <cellStyle name="Input 2 5 3 2 6" xfId="8092"/>
    <cellStyle name="Input 2 5 3 3" xfId="16612"/>
    <cellStyle name="Input 2 5 3 4" xfId="24929"/>
    <cellStyle name="Input 2 5 3 5" xfId="32188"/>
    <cellStyle name="Input 2 5 3 6" xfId="53815"/>
    <cellStyle name="Input 2 5 3 7" xfId="53816"/>
    <cellStyle name="Input 2 5 3 8" xfId="53817"/>
    <cellStyle name="Input 2 5 4" xfId="1141"/>
    <cellStyle name="Input 2 5 4 2" xfId="1057"/>
    <cellStyle name="Input 2 5 4 2 2" xfId="2544"/>
    <cellStyle name="Input 2 5 4 2 2 2" xfId="5964"/>
    <cellStyle name="Input 2 5 4 2 2 2 2" xfId="12804"/>
    <cellStyle name="Input 2 5 4 2 2 3" xfId="9384"/>
    <cellStyle name="Input 2 5 4 2 3" xfId="3684"/>
    <cellStyle name="Input 2 5 4 2 3 2" xfId="7104"/>
    <cellStyle name="Input 2 5 4 2 3 2 2" xfId="13944"/>
    <cellStyle name="Input 2 5 4 2 3 3" xfId="10524"/>
    <cellStyle name="Input 2 5 4 2 4" xfId="4824"/>
    <cellStyle name="Input 2 5 4 2 4 2" xfId="11664"/>
    <cellStyle name="Input 2 5 4 2 5" xfId="8244"/>
    <cellStyle name="Input 2 5 4 3" xfId="1960"/>
    <cellStyle name="Input 2 5 4 3 2" xfId="5380"/>
    <cellStyle name="Input 2 5 4 3 2 2" xfId="12220"/>
    <cellStyle name="Input 2 5 4 3 3" xfId="8800"/>
    <cellStyle name="Input 2 5 4 4" xfId="3100"/>
    <cellStyle name="Input 2 5 4 4 2" xfId="6520"/>
    <cellStyle name="Input 2 5 4 4 2 2" xfId="13360"/>
    <cellStyle name="Input 2 5 4 4 3" xfId="9940"/>
    <cellStyle name="Input 2 5 4 5" xfId="4240"/>
    <cellStyle name="Input 2 5 4 5 2" xfId="11080"/>
    <cellStyle name="Input 2 5 4 6" xfId="7660"/>
    <cellStyle name="Input 2 5 4 7" xfId="17632"/>
    <cellStyle name="Input 2 5 4 8" xfId="25955"/>
    <cellStyle name="Input 2 5 4 9" xfId="33165"/>
    <cellStyle name="Input 2 5 5" xfId="18614"/>
    <cellStyle name="Input 2 5 5 2" xfId="26933"/>
    <cellStyle name="Input 2 5 5 2 2" xfId="53818"/>
    <cellStyle name="Input 2 5 5 2 3" xfId="53819"/>
    <cellStyle name="Input 2 5 5 3" xfId="34101"/>
    <cellStyle name="Input 2 5 5 4" xfId="53820"/>
    <cellStyle name="Input 2 5 6" xfId="19582"/>
    <cellStyle name="Input 2 5 6 2" xfId="27903"/>
    <cellStyle name="Input 2 5 6 2 2" xfId="53821"/>
    <cellStyle name="Input 2 5 6 2 3" xfId="53822"/>
    <cellStyle name="Input 2 5 6 3" xfId="35048"/>
    <cellStyle name="Input 2 5 6 4" xfId="53823"/>
    <cellStyle name="Input 2 5 7" xfId="20540"/>
    <cellStyle name="Input 2 5 7 2" xfId="28862"/>
    <cellStyle name="Input 2 5 7 2 2" xfId="53824"/>
    <cellStyle name="Input 2 5 7 2 3" xfId="53825"/>
    <cellStyle name="Input 2 5 7 3" xfId="35965"/>
    <cellStyle name="Input 2 5 7 4" xfId="53826"/>
    <cellStyle name="Input 2 5 8" xfId="21069"/>
    <cellStyle name="Input 2 5 8 2" xfId="29386"/>
    <cellStyle name="Input 2 5 8 2 2" xfId="53827"/>
    <cellStyle name="Input 2 5 8 2 3" xfId="53828"/>
    <cellStyle name="Input 2 5 8 3" xfId="36464"/>
    <cellStyle name="Input 2 5 8 4" xfId="53829"/>
    <cellStyle name="Input 2 5 9" xfId="21975"/>
    <cellStyle name="Input 2 5 9 2" xfId="30276"/>
    <cellStyle name="Input 2 5 9 2 2" xfId="53830"/>
    <cellStyle name="Input 2 5 9 2 3" xfId="53831"/>
    <cellStyle name="Input 2 5 9 3" xfId="37316"/>
    <cellStyle name="Input 2 5 9 4" xfId="53832"/>
    <cellStyle name="Input 2 6" xfId="300"/>
    <cellStyle name="Input 2 6 10" xfId="14613"/>
    <cellStyle name="Input 2 6 11" xfId="22974"/>
    <cellStyle name="Input 2 6 12" xfId="53833"/>
    <cellStyle name="Input 2 6 2" xfId="340"/>
    <cellStyle name="Input 2 6 2 2" xfId="1345"/>
    <cellStyle name="Input 2 6 2 2 2" xfId="947"/>
    <cellStyle name="Input 2 6 2 2 2 2" xfId="2696"/>
    <cellStyle name="Input 2 6 2 2 2 2 2" xfId="6116"/>
    <cellStyle name="Input 2 6 2 2 2 2 2 2" xfId="12956"/>
    <cellStyle name="Input 2 6 2 2 2 2 3" xfId="9536"/>
    <cellStyle name="Input 2 6 2 2 2 3" xfId="3836"/>
    <cellStyle name="Input 2 6 2 2 2 3 2" xfId="7256"/>
    <cellStyle name="Input 2 6 2 2 2 3 2 2" xfId="14096"/>
    <cellStyle name="Input 2 6 2 2 2 3 3" xfId="10676"/>
    <cellStyle name="Input 2 6 2 2 2 4" xfId="4976"/>
    <cellStyle name="Input 2 6 2 2 2 4 2" xfId="11816"/>
    <cellStyle name="Input 2 6 2 2 2 5" xfId="8396"/>
    <cellStyle name="Input 2 6 2 2 3" xfId="2166"/>
    <cellStyle name="Input 2 6 2 2 3 2" xfId="5586"/>
    <cellStyle name="Input 2 6 2 2 3 2 2" xfId="12426"/>
    <cellStyle name="Input 2 6 2 2 3 3" xfId="9006"/>
    <cellStyle name="Input 2 6 2 2 4" xfId="3306"/>
    <cellStyle name="Input 2 6 2 2 4 2" xfId="6726"/>
    <cellStyle name="Input 2 6 2 2 4 2 2" xfId="13566"/>
    <cellStyle name="Input 2 6 2 2 4 3" xfId="10146"/>
    <cellStyle name="Input 2 6 2 2 5" xfId="4446"/>
    <cellStyle name="Input 2 6 2 2 5 2" xfId="11286"/>
    <cellStyle name="Input 2 6 2 2 6" xfId="7866"/>
    <cellStyle name="Input 2 6 2 3" xfId="15693"/>
    <cellStyle name="Input 2 6 2 4" xfId="24009"/>
    <cellStyle name="Input 2 6 2 5" xfId="31303"/>
    <cellStyle name="Input 2 6 2 6" xfId="53834"/>
    <cellStyle name="Input 2 6 2 7" xfId="53835"/>
    <cellStyle name="Input 2 6 2 8" xfId="53836"/>
    <cellStyle name="Input 2 6 3" xfId="1306"/>
    <cellStyle name="Input 2 6 3 2" xfId="975"/>
    <cellStyle name="Input 2 6 3 2 2" xfId="2572"/>
    <cellStyle name="Input 2 6 3 2 2 2" xfId="5992"/>
    <cellStyle name="Input 2 6 3 2 2 2 2" xfId="12832"/>
    <cellStyle name="Input 2 6 3 2 2 3" xfId="9412"/>
    <cellStyle name="Input 2 6 3 2 3" xfId="3712"/>
    <cellStyle name="Input 2 6 3 2 3 2" xfId="7132"/>
    <cellStyle name="Input 2 6 3 2 3 2 2" xfId="13972"/>
    <cellStyle name="Input 2 6 3 2 3 3" xfId="10552"/>
    <cellStyle name="Input 2 6 3 2 4" xfId="4852"/>
    <cellStyle name="Input 2 6 3 2 4 2" xfId="11692"/>
    <cellStyle name="Input 2 6 3 2 5" xfId="8272"/>
    <cellStyle name="Input 2 6 3 3" xfId="2126"/>
    <cellStyle name="Input 2 6 3 3 2" xfId="5546"/>
    <cellStyle name="Input 2 6 3 3 2 2" xfId="12386"/>
    <cellStyle name="Input 2 6 3 3 3" xfId="8966"/>
    <cellStyle name="Input 2 6 3 4" xfId="3266"/>
    <cellStyle name="Input 2 6 3 4 2" xfId="6686"/>
    <cellStyle name="Input 2 6 3 4 2 2" xfId="13526"/>
    <cellStyle name="Input 2 6 3 4 3" xfId="10106"/>
    <cellStyle name="Input 2 6 3 5" xfId="4406"/>
    <cellStyle name="Input 2 6 3 5 2" xfId="11246"/>
    <cellStyle name="Input 2 6 3 6" xfId="7826"/>
    <cellStyle name="Input 2 6 3 7" xfId="16660"/>
    <cellStyle name="Input 2 6 3 8" xfId="24980"/>
    <cellStyle name="Input 2 6 3 9" xfId="32236"/>
    <cellStyle name="Input 2 6 4" xfId="17682"/>
    <cellStyle name="Input 2 6 4 2" xfId="26006"/>
    <cellStyle name="Input 2 6 4 2 2" xfId="53837"/>
    <cellStyle name="Input 2 6 4 2 3" xfId="53838"/>
    <cellStyle name="Input 2 6 4 3" xfId="33213"/>
    <cellStyle name="Input 2 6 4 4" xfId="53839"/>
    <cellStyle name="Input 2 6 5" xfId="18665"/>
    <cellStyle name="Input 2 6 5 2" xfId="26986"/>
    <cellStyle name="Input 2 6 5 2 2" xfId="53840"/>
    <cellStyle name="Input 2 6 5 2 3" xfId="53841"/>
    <cellStyle name="Input 2 6 5 3" xfId="34151"/>
    <cellStyle name="Input 2 6 5 4" xfId="53842"/>
    <cellStyle name="Input 2 6 6" xfId="19634"/>
    <cellStyle name="Input 2 6 6 2" xfId="27955"/>
    <cellStyle name="Input 2 6 6 2 2" xfId="53843"/>
    <cellStyle name="Input 2 6 6 2 3" xfId="53844"/>
    <cellStyle name="Input 2 6 6 3" xfId="35097"/>
    <cellStyle name="Input 2 6 6 4" xfId="53845"/>
    <cellStyle name="Input 2 6 7" xfId="20591"/>
    <cellStyle name="Input 2 6 7 2" xfId="28913"/>
    <cellStyle name="Input 2 6 7 2 2" xfId="53846"/>
    <cellStyle name="Input 2 6 7 2 3" xfId="53847"/>
    <cellStyle name="Input 2 6 7 3" xfId="36013"/>
    <cellStyle name="Input 2 6 7 4" xfId="53848"/>
    <cellStyle name="Input 2 6 8" xfId="21355"/>
    <cellStyle name="Input 2 6 8 2" xfId="29658"/>
    <cellStyle name="Input 2 6 8 2 2" xfId="53849"/>
    <cellStyle name="Input 2 6 8 2 3" xfId="53850"/>
    <cellStyle name="Input 2 6 8 3" xfId="36723"/>
    <cellStyle name="Input 2 6 8 4" xfId="53851"/>
    <cellStyle name="Input 2 6 9" xfId="22028"/>
    <cellStyle name="Input 2 6 9 2" xfId="30327"/>
    <cellStyle name="Input 2 6 9 2 2" xfId="53852"/>
    <cellStyle name="Input 2 6 9 2 3" xfId="53853"/>
    <cellStyle name="Input 2 6 9 3" xfId="37364"/>
    <cellStyle name="Input 2 6 9 4" xfId="53854"/>
    <cellStyle name="Input 2 7" xfId="191"/>
    <cellStyle name="Input 2 7 10" xfId="14683"/>
    <cellStyle name="Input 2 7 11" xfId="23046"/>
    <cellStyle name="Input 2 7 12" xfId="53855"/>
    <cellStyle name="Input 2 7 13" xfId="53856"/>
    <cellStyle name="Input 2 7 14" xfId="53857"/>
    <cellStyle name="Input 2 7 2" xfId="367"/>
    <cellStyle name="Input 2 7 2 2" xfId="1372"/>
    <cellStyle name="Input 2 7 2 2 2" xfId="1671"/>
    <cellStyle name="Input 2 7 2 2 2 2" xfId="2811"/>
    <cellStyle name="Input 2 7 2 2 2 2 2" xfId="6231"/>
    <cellStyle name="Input 2 7 2 2 2 2 2 2" xfId="13071"/>
    <cellStyle name="Input 2 7 2 2 2 2 3" xfId="9651"/>
    <cellStyle name="Input 2 7 2 2 2 3" xfId="3951"/>
    <cellStyle name="Input 2 7 2 2 2 3 2" xfId="7371"/>
    <cellStyle name="Input 2 7 2 2 2 3 2 2" xfId="14211"/>
    <cellStyle name="Input 2 7 2 2 2 3 3" xfId="10791"/>
    <cellStyle name="Input 2 7 2 2 2 4" xfId="5091"/>
    <cellStyle name="Input 2 7 2 2 2 4 2" xfId="11931"/>
    <cellStyle name="Input 2 7 2 2 2 5" xfId="8511"/>
    <cellStyle name="Input 2 7 2 2 3" xfId="2193"/>
    <cellStyle name="Input 2 7 2 2 3 2" xfId="5613"/>
    <cellStyle name="Input 2 7 2 2 3 2 2" xfId="12453"/>
    <cellStyle name="Input 2 7 2 2 3 3" xfId="9033"/>
    <cellStyle name="Input 2 7 2 2 4" xfId="3333"/>
    <cellStyle name="Input 2 7 2 2 4 2" xfId="6753"/>
    <cellStyle name="Input 2 7 2 2 4 2 2" xfId="13593"/>
    <cellStyle name="Input 2 7 2 2 4 3" xfId="10173"/>
    <cellStyle name="Input 2 7 2 2 5" xfId="4473"/>
    <cellStyle name="Input 2 7 2 2 5 2" xfId="11313"/>
    <cellStyle name="Input 2 7 2 2 6" xfId="7893"/>
    <cellStyle name="Input 2 7 2 3" xfId="15764"/>
    <cellStyle name="Input 2 7 2 4" xfId="24081"/>
    <cellStyle name="Input 2 7 2 5" xfId="31372"/>
    <cellStyle name="Input 2 7 2 6" xfId="53858"/>
    <cellStyle name="Input 2 7 2 7" xfId="53859"/>
    <cellStyle name="Input 2 7 2 8" xfId="53860"/>
    <cellStyle name="Input 2 7 3" xfId="1199"/>
    <cellStyle name="Input 2 7 3 2" xfId="1028"/>
    <cellStyle name="Input 2 7 3 2 2" xfId="2760"/>
    <cellStyle name="Input 2 7 3 2 2 2" xfId="6180"/>
    <cellStyle name="Input 2 7 3 2 2 2 2" xfId="13020"/>
    <cellStyle name="Input 2 7 3 2 2 3" xfId="9600"/>
    <cellStyle name="Input 2 7 3 2 3" xfId="3900"/>
    <cellStyle name="Input 2 7 3 2 3 2" xfId="7320"/>
    <cellStyle name="Input 2 7 3 2 3 2 2" xfId="14160"/>
    <cellStyle name="Input 2 7 3 2 3 3" xfId="10740"/>
    <cellStyle name="Input 2 7 3 2 4" xfId="5040"/>
    <cellStyle name="Input 2 7 3 2 4 2" xfId="11880"/>
    <cellStyle name="Input 2 7 3 2 5" xfId="8460"/>
    <cellStyle name="Input 2 7 3 3" xfId="2018"/>
    <cellStyle name="Input 2 7 3 3 2" xfId="5438"/>
    <cellStyle name="Input 2 7 3 3 2 2" xfId="12278"/>
    <cellStyle name="Input 2 7 3 3 3" xfId="8858"/>
    <cellStyle name="Input 2 7 3 4" xfId="3158"/>
    <cellStyle name="Input 2 7 3 4 2" xfId="6578"/>
    <cellStyle name="Input 2 7 3 4 2 2" xfId="13418"/>
    <cellStyle name="Input 2 7 3 4 3" xfId="9998"/>
    <cellStyle name="Input 2 7 3 5" xfId="4298"/>
    <cellStyle name="Input 2 7 3 5 2" xfId="11138"/>
    <cellStyle name="Input 2 7 3 6" xfId="7718"/>
    <cellStyle name="Input 2 7 3 7" xfId="16730"/>
    <cellStyle name="Input 2 7 3 8" xfId="25052"/>
    <cellStyle name="Input 2 7 3 9" xfId="32305"/>
    <cellStyle name="Input 2 7 4" xfId="17754"/>
    <cellStyle name="Input 2 7 4 2" xfId="26078"/>
    <cellStyle name="Input 2 7 4 2 2" xfId="53861"/>
    <cellStyle name="Input 2 7 4 2 3" xfId="53862"/>
    <cellStyle name="Input 2 7 4 3" xfId="33282"/>
    <cellStyle name="Input 2 7 4 4" xfId="53863"/>
    <cellStyle name="Input 2 7 5" xfId="18738"/>
    <cellStyle name="Input 2 7 5 2" xfId="27059"/>
    <cellStyle name="Input 2 7 5 2 2" xfId="53864"/>
    <cellStyle name="Input 2 7 5 2 3" xfId="53865"/>
    <cellStyle name="Input 2 7 5 3" xfId="34221"/>
    <cellStyle name="Input 2 7 5 4" xfId="53866"/>
    <cellStyle name="Input 2 7 6" xfId="19707"/>
    <cellStyle name="Input 2 7 6 2" xfId="28028"/>
    <cellStyle name="Input 2 7 6 2 2" xfId="53867"/>
    <cellStyle name="Input 2 7 6 2 3" xfId="53868"/>
    <cellStyle name="Input 2 7 6 3" xfId="35167"/>
    <cellStyle name="Input 2 7 6 4" xfId="53869"/>
    <cellStyle name="Input 2 7 7" xfId="20664"/>
    <cellStyle name="Input 2 7 7 2" xfId="28985"/>
    <cellStyle name="Input 2 7 7 2 2" xfId="53870"/>
    <cellStyle name="Input 2 7 7 2 3" xfId="53871"/>
    <cellStyle name="Input 2 7 7 3" xfId="36082"/>
    <cellStyle name="Input 2 7 7 4" xfId="53872"/>
    <cellStyle name="Input 2 7 8" xfId="21183"/>
    <cellStyle name="Input 2 7 8 2" xfId="29495"/>
    <cellStyle name="Input 2 7 8 2 2" xfId="53873"/>
    <cellStyle name="Input 2 7 8 2 3" xfId="53874"/>
    <cellStyle name="Input 2 7 8 3" xfId="36566"/>
    <cellStyle name="Input 2 7 8 4" xfId="53875"/>
    <cellStyle name="Input 2 7 9" xfId="22101"/>
    <cellStyle name="Input 2 7 9 2" xfId="30399"/>
    <cellStyle name="Input 2 7 9 2 2" xfId="53876"/>
    <cellStyle name="Input 2 7 9 2 3" xfId="53877"/>
    <cellStyle name="Input 2 7 9 3" xfId="37433"/>
    <cellStyle name="Input 2 7 9 4" xfId="53878"/>
    <cellStyle name="Input 2 8" xfId="456"/>
    <cellStyle name="Input 2 8 10" xfId="14762"/>
    <cellStyle name="Input 2 8 11" xfId="23126"/>
    <cellStyle name="Input 2 8 12" xfId="53879"/>
    <cellStyle name="Input 2 8 13" xfId="53880"/>
    <cellStyle name="Input 2 8 14" xfId="53881"/>
    <cellStyle name="Input 2 8 15" xfId="53882"/>
    <cellStyle name="Input 2 8 2" xfId="548"/>
    <cellStyle name="Input 2 8 2 2" xfId="1552"/>
    <cellStyle name="Input 2 8 2 2 2" xfId="1849"/>
    <cellStyle name="Input 2 8 2 2 2 2" xfId="2989"/>
    <cellStyle name="Input 2 8 2 2 2 2 2" xfId="6409"/>
    <cellStyle name="Input 2 8 2 2 2 2 2 2" xfId="13249"/>
    <cellStyle name="Input 2 8 2 2 2 2 3" xfId="9829"/>
    <cellStyle name="Input 2 8 2 2 2 3" xfId="4129"/>
    <cellStyle name="Input 2 8 2 2 2 3 2" xfId="7549"/>
    <cellStyle name="Input 2 8 2 2 2 3 2 2" xfId="14389"/>
    <cellStyle name="Input 2 8 2 2 2 3 3" xfId="10969"/>
    <cellStyle name="Input 2 8 2 2 2 4" xfId="5269"/>
    <cellStyle name="Input 2 8 2 2 2 4 2" xfId="12109"/>
    <cellStyle name="Input 2 8 2 2 2 5" xfId="8689"/>
    <cellStyle name="Input 2 8 2 2 3" xfId="2373"/>
    <cellStyle name="Input 2 8 2 2 3 2" xfId="5793"/>
    <cellStyle name="Input 2 8 2 2 3 2 2" xfId="12633"/>
    <cellStyle name="Input 2 8 2 2 3 3" xfId="9213"/>
    <cellStyle name="Input 2 8 2 2 4" xfId="3513"/>
    <cellStyle name="Input 2 8 2 2 4 2" xfId="6933"/>
    <cellStyle name="Input 2 8 2 2 4 2 2" xfId="13773"/>
    <cellStyle name="Input 2 8 2 2 4 3" xfId="10353"/>
    <cellStyle name="Input 2 8 2 2 5" xfId="4653"/>
    <cellStyle name="Input 2 8 2 2 5 2" xfId="11493"/>
    <cellStyle name="Input 2 8 2 2 6" xfId="8073"/>
    <cellStyle name="Input 2 8 2 3" xfId="15843"/>
    <cellStyle name="Input 2 8 2 4" xfId="24161"/>
    <cellStyle name="Input 2 8 2 5" xfId="31449"/>
    <cellStyle name="Input 2 8 2 6" xfId="53883"/>
    <cellStyle name="Input 2 8 2 7" xfId="53884"/>
    <cellStyle name="Input 2 8 2 8" xfId="53885"/>
    <cellStyle name="Input 2 8 3" xfId="1460"/>
    <cellStyle name="Input 2 8 3 2" xfId="879"/>
    <cellStyle name="Input 2 8 3 2 2" xfId="2433"/>
    <cellStyle name="Input 2 8 3 2 2 2" xfId="5853"/>
    <cellStyle name="Input 2 8 3 2 2 2 2" xfId="12693"/>
    <cellStyle name="Input 2 8 3 2 2 3" xfId="9273"/>
    <cellStyle name="Input 2 8 3 2 3" xfId="3573"/>
    <cellStyle name="Input 2 8 3 2 3 2" xfId="6993"/>
    <cellStyle name="Input 2 8 3 2 3 2 2" xfId="13833"/>
    <cellStyle name="Input 2 8 3 2 3 3" xfId="10413"/>
    <cellStyle name="Input 2 8 3 2 4" xfId="4713"/>
    <cellStyle name="Input 2 8 3 2 4 2" xfId="11553"/>
    <cellStyle name="Input 2 8 3 2 5" xfId="8133"/>
    <cellStyle name="Input 2 8 3 3" xfId="2281"/>
    <cellStyle name="Input 2 8 3 3 2" xfId="5701"/>
    <cellStyle name="Input 2 8 3 3 2 2" xfId="12541"/>
    <cellStyle name="Input 2 8 3 3 3" xfId="9121"/>
    <cellStyle name="Input 2 8 3 4" xfId="3421"/>
    <cellStyle name="Input 2 8 3 4 2" xfId="6841"/>
    <cellStyle name="Input 2 8 3 4 2 2" xfId="13681"/>
    <cellStyle name="Input 2 8 3 4 3" xfId="10261"/>
    <cellStyle name="Input 2 8 3 5" xfId="4561"/>
    <cellStyle name="Input 2 8 3 5 2" xfId="11401"/>
    <cellStyle name="Input 2 8 3 6" xfId="7981"/>
    <cellStyle name="Input 2 8 3 7" xfId="16809"/>
    <cellStyle name="Input 2 8 3 8" xfId="25133"/>
    <cellStyle name="Input 2 8 3 9" xfId="32382"/>
    <cellStyle name="Input 2 8 4" xfId="17835"/>
    <cellStyle name="Input 2 8 4 2" xfId="26159"/>
    <cellStyle name="Input 2 8 4 2 2" xfId="53886"/>
    <cellStyle name="Input 2 8 4 2 3" xfId="53887"/>
    <cellStyle name="Input 2 8 4 3" xfId="33359"/>
    <cellStyle name="Input 2 8 4 4" xfId="53888"/>
    <cellStyle name="Input 2 8 5" xfId="18819"/>
    <cellStyle name="Input 2 8 5 2" xfId="27140"/>
    <cellStyle name="Input 2 8 5 2 2" xfId="53889"/>
    <cellStyle name="Input 2 8 5 2 3" xfId="53890"/>
    <cellStyle name="Input 2 8 5 3" xfId="34299"/>
    <cellStyle name="Input 2 8 5 4" xfId="53891"/>
    <cellStyle name="Input 2 8 6" xfId="19787"/>
    <cellStyle name="Input 2 8 6 2" xfId="28109"/>
    <cellStyle name="Input 2 8 6 2 2" xfId="53892"/>
    <cellStyle name="Input 2 8 6 2 3" xfId="53893"/>
    <cellStyle name="Input 2 8 6 3" xfId="35245"/>
    <cellStyle name="Input 2 8 6 4" xfId="53894"/>
    <cellStyle name="Input 2 8 7" xfId="20745"/>
    <cellStyle name="Input 2 8 7 2" xfId="29066"/>
    <cellStyle name="Input 2 8 7 2 2" xfId="53895"/>
    <cellStyle name="Input 2 8 7 2 3" xfId="53896"/>
    <cellStyle name="Input 2 8 7 3" xfId="36158"/>
    <cellStyle name="Input 2 8 7 4" xfId="53897"/>
    <cellStyle name="Input 2 8 8" xfId="21265"/>
    <cellStyle name="Input 2 8 8 2" xfId="29573"/>
    <cellStyle name="Input 2 8 8 2 2" xfId="53898"/>
    <cellStyle name="Input 2 8 8 2 3" xfId="53899"/>
    <cellStyle name="Input 2 8 8 3" xfId="36640"/>
    <cellStyle name="Input 2 8 8 4" xfId="53900"/>
    <cellStyle name="Input 2 8 9" xfId="22181"/>
    <cellStyle name="Input 2 8 9 2" xfId="30479"/>
    <cellStyle name="Input 2 8 9 2 2" xfId="53901"/>
    <cellStyle name="Input 2 8 9 2 3" xfId="53902"/>
    <cellStyle name="Input 2 8 9 3" xfId="37510"/>
    <cellStyle name="Input 2 8 9 4" xfId="53903"/>
    <cellStyle name="Input 2 9" xfId="510"/>
    <cellStyle name="Input 2 9 10" xfId="14818"/>
    <cellStyle name="Input 2 9 11" xfId="23182"/>
    <cellStyle name="Input 2 9 12" xfId="53904"/>
    <cellStyle name="Input 2 9 13" xfId="53905"/>
    <cellStyle name="Input 2 9 14" xfId="53906"/>
    <cellStyle name="Input 2 9 15" xfId="53907"/>
    <cellStyle name="Input 2 9 2" xfId="476"/>
    <cellStyle name="Input 2 9 2 2" xfId="1480"/>
    <cellStyle name="Input 2 9 2 2 2" xfId="869"/>
    <cellStyle name="Input 2 9 2 2 2 2" xfId="2729"/>
    <cellStyle name="Input 2 9 2 2 2 2 2" xfId="6149"/>
    <cellStyle name="Input 2 9 2 2 2 2 2 2" xfId="12989"/>
    <cellStyle name="Input 2 9 2 2 2 2 3" xfId="9569"/>
    <cellStyle name="Input 2 9 2 2 2 3" xfId="3869"/>
    <cellStyle name="Input 2 9 2 2 2 3 2" xfId="7289"/>
    <cellStyle name="Input 2 9 2 2 2 3 2 2" xfId="14129"/>
    <cellStyle name="Input 2 9 2 2 2 3 3" xfId="10709"/>
    <cellStyle name="Input 2 9 2 2 2 4" xfId="5009"/>
    <cellStyle name="Input 2 9 2 2 2 4 2" xfId="11849"/>
    <cellStyle name="Input 2 9 2 2 2 5" xfId="8429"/>
    <cellStyle name="Input 2 9 2 2 3" xfId="2301"/>
    <cellStyle name="Input 2 9 2 2 3 2" xfId="5721"/>
    <cellStyle name="Input 2 9 2 2 3 2 2" xfId="12561"/>
    <cellStyle name="Input 2 9 2 2 3 3" xfId="9141"/>
    <cellStyle name="Input 2 9 2 2 4" xfId="3441"/>
    <cellStyle name="Input 2 9 2 2 4 2" xfId="6861"/>
    <cellStyle name="Input 2 9 2 2 4 2 2" xfId="13701"/>
    <cellStyle name="Input 2 9 2 2 4 3" xfId="10281"/>
    <cellStyle name="Input 2 9 2 2 5" xfId="4581"/>
    <cellStyle name="Input 2 9 2 2 5 2" xfId="11421"/>
    <cellStyle name="Input 2 9 2 2 6" xfId="8001"/>
    <cellStyle name="Input 2 9 2 3" xfId="15899"/>
    <cellStyle name="Input 2 9 2 4" xfId="24217"/>
    <cellStyle name="Input 2 9 2 5" xfId="31503"/>
    <cellStyle name="Input 2 9 2 6" xfId="53908"/>
    <cellStyle name="Input 2 9 2 7" xfId="53909"/>
    <cellStyle name="Input 2 9 2 8" xfId="53910"/>
    <cellStyle name="Input 2 9 3" xfId="1514"/>
    <cellStyle name="Input 2 9 3 2" xfId="1806"/>
    <cellStyle name="Input 2 9 3 2 2" xfId="2946"/>
    <cellStyle name="Input 2 9 3 2 2 2" xfId="6366"/>
    <cellStyle name="Input 2 9 3 2 2 2 2" xfId="13206"/>
    <cellStyle name="Input 2 9 3 2 2 3" xfId="9786"/>
    <cellStyle name="Input 2 9 3 2 3" xfId="4086"/>
    <cellStyle name="Input 2 9 3 2 3 2" xfId="7506"/>
    <cellStyle name="Input 2 9 3 2 3 2 2" xfId="14346"/>
    <cellStyle name="Input 2 9 3 2 3 3" xfId="10926"/>
    <cellStyle name="Input 2 9 3 2 4" xfId="5226"/>
    <cellStyle name="Input 2 9 3 2 4 2" xfId="12066"/>
    <cellStyle name="Input 2 9 3 2 5" xfId="8646"/>
    <cellStyle name="Input 2 9 3 3" xfId="2335"/>
    <cellStyle name="Input 2 9 3 3 2" xfId="5755"/>
    <cellStyle name="Input 2 9 3 3 2 2" xfId="12595"/>
    <cellStyle name="Input 2 9 3 3 3" xfId="9175"/>
    <cellStyle name="Input 2 9 3 4" xfId="3475"/>
    <cellStyle name="Input 2 9 3 4 2" xfId="6895"/>
    <cellStyle name="Input 2 9 3 4 2 2" xfId="13735"/>
    <cellStyle name="Input 2 9 3 4 3" xfId="10315"/>
    <cellStyle name="Input 2 9 3 5" xfId="4615"/>
    <cellStyle name="Input 2 9 3 5 2" xfId="11455"/>
    <cellStyle name="Input 2 9 3 6" xfId="8035"/>
    <cellStyle name="Input 2 9 3 7" xfId="16865"/>
    <cellStyle name="Input 2 9 3 8" xfId="25189"/>
    <cellStyle name="Input 2 9 3 9" xfId="32436"/>
    <cellStyle name="Input 2 9 4" xfId="17892"/>
    <cellStyle name="Input 2 9 4 2" xfId="26215"/>
    <cellStyle name="Input 2 9 4 2 2" xfId="53911"/>
    <cellStyle name="Input 2 9 4 2 3" xfId="53912"/>
    <cellStyle name="Input 2 9 4 3" xfId="33413"/>
    <cellStyle name="Input 2 9 4 4" xfId="53913"/>
    <cellStyle name="Input 2 9 5" xfId="18876"/>
    <cellStyle name="Input 2 9 5 2" xfId="27196"/>
    <cellStyle name="Input 2 9 5 2 2" xfId="53914"/>
    <cellStyle name="Input 2 9 5 2 3" xfId="53915"/>
    <cellStyle name="Input 2 9 5 3" xfId="34353"/>
    <cellStyle name="Input 2 9 5 4" xfId="53916"/>
    <cellStyle name="Input 2 9 6" xfId="19844"/>
    <cellStyle name="Input 2 9 6 2" xfId="28166"/>
    <cellStyle name="Input 2 9 6 2 2" xfId="53917"/>
    <cellStyle name="Input 2 9 6 2 3" xfId="53918"/>
    <cellStyle name="Input 2 9 6 3" xfId="35300"/>
    <cellStyle name="Input 2 9 6 4" xfId="53919"/>
    <cellStyle name="Input 2 9 7" xfId="20802"/>
    <cellStyle name="Input 2 9 7 2" xfId="29122"/>
    <cellStyle name="Input 2 9 7 2 2" xfId="53920"/>
    <cellStyle name="Input 2 9 7 2 3" xfId="53921"/>
    <cellStyle name="Input 2 9 7 3" xfId="36211"/>
    <cellStyle name="Input 2 9 7 4" xfId="53922"/>
    <cellStyle name="Input 2 9 8" xfId="20492"/>
    <cellStyle name="Input 2 9 8 2" xfId="28814"/>
    <cellStyle name="Input 2 9 8 2 2" xfId="53923"/>
    <cellStyle name="Input 2 9 8 2 3" xfId="53924"/>
    <cellStyle name="Input 2 9 8 3" xfId="35922"/>
    <cellStyle name="Input 2 9 8 4" xfId="53925"/>
    <cellStyle name="Input 2 9 9" xfId="22237"/>
    <cellStyle name="Input 2 9 9 2" xfId="30536"/>
    <cellStyle name="Input 2 9 9 2 2" xfId="53926"/>
    <cellStyle name="Input 2 9 9 2 3" xfId="53927"/>
    <cellStyle name="Input 2 9 9 3" xfId="37564"/>
    <cellStyle name="Input 2 9 9 4" xfId="53928"/>
    <cellStyle name="Input 2_Capital Dispo allocations V2" xfId="53929"/>
    <cellStyle name="Input 3" xfId="63"/>
    <cellStyle name="Input 3 2" xfId="120"/>
    <cellStyle name="Input 3 2 2" xfId="252"/>
    <cellStyle name="Input 3 2 2 2" xfId="663"/>
    <cellStyle name="Input 3 2 2 2 2" xfId="1614"/>
    <cellStyle name="Input 3 2 2 2 2 2" xfId="793"/>
    <cellStyle name="Input 3 2 2 2 2 2 2" xfId="2731"/>
    <cellStyle name="Input 3 2 2 2 2 2 2 2" xfId="6151"/>
    <cellStyle name="Input 3 2 2 2 2 2 2 2 2" xfId="12991"/>
    <cellStyle name="Input 3 2 2 2 2 2 2 3" xfId="9571"/>
    <cellStyle name="Input 3 2 2 2 2 2 3" xfId="3871"/>
    <cellStyle name="Input 3 2 2 2 2 2 3 2" xfId="7291"/>
    <cellStyle name="Input 3 2 2 2 2 2 3 2 2" xfId="14131"/>
    <cellStyle name="Input 3 2 2 2 2 2 3 3" xfId="10711"/>
    <cellStyle name="Input 3 2 2 2 2 2 4" xfId="5011"/>
    <cellStyle name="Input 3 2 2 2 2 2 4 2" xfId="11851"/>
    <cellStyle name="Input 3 2 2 2 2 2 5" xfId="8431"/>
    <cellStyle name="Input 3 2 2 2 2 3" xfId="2448"/>
    <cellStyle name="Input 3 2 2 2 2 3 2" xfId="5868"/>
    <cellStyle name="Input 3 2 2 2 2 3 2 2" xfId="12708"/>
    <cellStyle name="Input 3 2 2 2 2 3 3" xfId="9288"/>
    <cellStyle name="Input 3 2 2 2 2 4" xfId="3588"/>
    <cellStyle name="Input 3 2 2 2 2 4 2" xfId="7008"/>
    <cellStyle name="Input 3 2 2 2 2 4 2 2" xfId="13848"/>
    <cellStyle name="Input 3 2 2 2 2 4 3" xfId="10428"/>
    <cellStyle name="Input 3 2 2 2 2 5" xfId="4728"/>
    <cellStyle name="Input 3 2 2 2 2 5 2" xfId="11568"/>
    <cellStyle name="Input 3 2 2 2 2 6" xfId="8148"/>
    <cellStyle name="Input 3 2 2 2 3" xfId="38507"/>
    <cellStyle name="Input 3 2 2 2 4" xfId="53930"/>
    <cellStyle name="Input 3 2 2 2 5" xfId="53931"/>
    <cellStyle name="Input 3 2 2 2 6" xfId="53932"/>
    <cellStyle name="Input 3 2 2 3" xfId="1259"/>
    <cellStyle name="Input 3 2 2 3 2" xfId="998"/>
    <cellStyle name="Input 3 2 2 3 2 2" xfId="2639"/>
    <cellStyle name="Input 3 2 2 3 2 2 2" xfId="6059"/>
    <cellStyle name="Input 3 2 2 3 2 2 2 2" xfId="12899"/>
    <cellStyle name="Input 3 2 2 3 2 2 3" xfId="9479"/>
    <cellStyle name="Input 3 2 2 3 2 3" xfId="3779"/>
    <cellStyle name="Input 3 2 2 3 2 3 2" xfId="7199"/>
    <cellStyle name="Input 3 2 2 3 2 3 2 2" xfId="14039"/>
    <cellStyle name="Input 3 2 2 3 2 3 3" xfId="10619"/>
    <cellStyle name="Input 3 2 2 3 2 4" xfId="4919"/>
    <cellStyle name="Input 3 2 2 3 2 4 2" xfId="11759"/>
    <cellStyle name="Input 3 2 2 3 2 5" xfId="8339"/>
    <cellStyle name="Input 3 2 2 3 3" xfId="2079"/>
    <cellStyle name="Input 3 2 2 3 3 2" xfId="5499"/>
    <cellStyle name="Input 3 2 2 3 3 2 2" xfId="12339"/>
    <cellStyle name="Input 3 2 2 3 3 3" xfId="8919"/>
    <cellStyle name="Input 3 2 2 3 4" xfId="3219"/>
    <cellStyle name="Input 3 2 2 3 4 2" xfId="6639"/>
    <cellStyle name="Input 3 2 2 3 4 2 2" xfId="13479"/>
    <cellStyle name="Input 3 2 2 3 4 3" xfId="10059"/>
    <cellStyle name="Input 3 2 2 3 5" xfId="4359"/>
    <cellStyle name="Input 3 2 2 3 5 2" xfId="11199"/>
    <cellStyle name="Input 3 2 2 3 6" xfId="7779"/>
    <cellStyle name="Input 3 2 2 4" xfId="38273"/>
    <cellStyle name="Input 3 2 2 5" xfId="53933"/>
    <cellStyle name="Input 3 2 2 6" xfId="53934"/>
    <cellStyle name="Input 3 2 2 7" xfId="53935"/>
    <cellStyle name="Input 3 2 3" xfId="575"/>
    <cellStyle name="Input 3 2 3 2" xfId="1562"/>
    <cellStyle name="Input 3 2 3 2 2" xfId="1730"/>
    <cellStyle name="Input 3 2 3 2 2 2" xfId="2870"/>
    <cellStyle name="Input 3 2 3 2 2 2 2" xfId="6290"/>
    <cellStyle name="Input 3 2 3 2 2 2 2 2" xfId="13130"/>
    <cellStyle name="Input 3 2 3 2 2 2 3" xfId="9710"/>
    <cellStyle name="Input 3 2 3 2 2 3" xfId="4010"/>
    <cellStyle name="Input 3 2 3 2 2 3 2" xfId="7430"/>
    <cellStyle name="Input 3 2 3 2 2 3 2 2" xfId="14270"/>
    <cellStyle name="Input 3 2 3 2 2 3 3" xfId="10850"/>
    <cellStyle name="Input 3 2 3 2 2 4" xfId="5150"/>
    <cellStyle name="Input 3 2 3 2 2 4 2" xfId="11990"/>
    <cellStyle name="Input 3 2 3 2 2 5" xfId="8570"/>
    <cellStyle name="Input 3 2 3 2 3" xfId="2387"/>
    <cellStyle name="Input 3 2 3 2 3 2" xfId="5807"/>
    <cellStyle name="Input 3 2 3 2 3 2 2" xfId="12647"/>
    <cellStyle name="Input 3 2 3 2 3 3" xfId="9227"/>
    <cellStyle name="Input 3 2 3 2 4" xfId="3527"/>
    <cellStyle name="Input 3 2 3 2 4 2" xfId="6947"/>
    <cellStyle name="Input 3 2 3 2 4 2 2" xfId="13787"/>
    <cellStyle name="Input 3 2 3 2 4 3" xfId="10367"/>
    <cellStyle name="Input 3 2 3 2 5" xfId="4667"/>
    <cellStyle name="Input 3 2 3 2 5 2" xfId="11507"/>
    <cellStyle name="Input 3 2 3 2 6" xfId="8087"/>
    <cellStyle name="Input 3 2 3 3" xfId="38466"/>
    <cellStyle name="Input 3 2 3 4" xfId="53936"/>
    <cellStyle name="Input 3 2 3 5" xfId="53937"/>
    <cellStyle name="Input 3 2 3 6" xfId="53938"/>
    <cellStyle name="Input 3 2 4" xfId="1136"/>
    <cellStyle name="Input 3 2 4 2" xfId="1059"/>
    <cellStyle name="Input 3 2 4 2 2" xfId="2679"/>
    <cellStyle name="Input 3 2 4 2 2 2" xfId="6099"/>
    <cellStyle name="Input 3 2 4 2 2 2 2" xfId="12939"/>
    <cellStyle name="Input 3 2 4 2 2 3" xfId="9519"/>
    <cellStyle name="Input 3 2 4 2 3" xfId="3819"/>
    <cellStyle name="Input 3 2 4 2 3 2" xfId="7239"/>
    <cellStyle name="Input 3 2 4 2 3 2 2" xfId="14079"/>
    <cellStyle name="Input 3 2 4 2 3 3" xfId="10659"/>
    <cellStyle name="Input 3 2 4 2 4" xfId="4959"/>
    <cellStyle name="Input 3 2 4 2 4 2" xfId="11799"/>
    <cellStyle name="Input 3 2 4 2 5" xfId="8379"/>
    <cellStyle name="Input 3 2 4 3" xfId="1950"/>
    <cellStyle name="Input 3 2 4 3 2" xfId="5370"/>
    <cellStyle name="Input 3 2 4 3 2 2" xfId="12210"/>
    <cellStyle name="Input 3 2 4 3 3" xfId="8790"/>
    <cellStyle name="Input 3 2 4 4" xfId="3090"/>
    <cellStyle name="Input 3 2 4 4 2" xfId="6510"/>
    <cellStyle name="Input 3 2 4 4 2 2" xfId="13350"/>
    <cellStyle name="Input 3 2 4 4 3" xfId="9930"/>
    <cellStyle name="Input 3 2 4 5" xfId="4230"/>
    <cellStyle name="Input 3 2 4 5 2" xfId="11070"/>
    <cellStyle name="Input 3 2 4 6" xfId="7650"/>
    <cellStyle name="Input 3 2 5" xfId="38202"/>
    <cellStyle name="Input 3 2 6" xfId="53939"/>
    <cellStyle name="Input 3 2 7" xfId="53940"/>
    <cellStyle name="Input 3 3" xfId="142"/>
    <cellStyle name="Input 3 3 2" xfId="268"/>
    <cellStyle name="Input 3 3 2 2" xfId="678"/>
    <cellStyle name="Input 3 3 2 2 2" xfId="1629"/>
    <cellStyle name="Input 3 3 2 2 2 2" xfId="778"/>
    <cellStyle name="Input 3 3 2 2 2 2 2" xfId="2797"/>
    <cellStyle name="Input 3 3 2 2 2 2 2 2" xfId="6217"/>
    <cellStyle name="Input 3 3 2 2 2 2 2 2 2" xfId="13057"/>
    <cellStyle name="Input 3 3 2 2 2 2 2 3" xfId="9637"/>
    <cellStyle name="Input 3 3 2 2 2 2 3" xfId="3937"/>
    <cellStyle name="Input 3 3 2 2 2 2 3 2" xfId="7357"/>
    <cellStyle name="Input 3 3 2 2 2 2 3 2 2" xfId="14197"/>
    <cellStyle name="Input 3 3 2 2 2 2 3 3" xfId="10777"/>
    <cellStyle name="Input 3 3 2 2 2 2 4" xfId="5077"/>
    <cellStyle name="Input 3 3 2 2 2 2 4 2" xfId="11917"/>
    <cellStyle name="Input 3 3 2 2 2 2 5" xfId="8497"/>
    <cellStyle name="Input 3 3 2 2 2 3" xfId="2463"/>
    <cellStyle name="Input 3 3 2 2 2 3 2" xfId="5883"/>
    <cellStyle name="Input 3 3 2 2 2 3 2 2" xfId="12723"/>
    <cellStyle name="Input 3 3 2 2 2 3 3" xfId="9303"/>
    <cellStyle name="Input 3 3 2 2 2 4" xfId="3603"/>
    <cellStyle name="Input 3 3 2 2 2 4 2" xfId="7023"/>
    <cellStyle name="Input 3 3 2 2 2 4 2 2" xfId="13863"/>
    <cellStyle name="Input 3 3 2 2 2 4 3" xfId="10443"/>
    <cellStyle name="Input 3 3 2 2 2 5" xfId="4743"/>
    <cellStyle name="Input 3 3 2 2 2 5 2" xfId="11583"/>
    <cellStyle name="Input 3 3 2 2 2 6" xfId="8163"/>
    <cellStyle name="Input 3 3 2 2 3" xfId="38522"/>
    <cellStyle name="Input 3 3 2 2 4" xfId="53941"/>
    <cellStyle name="Input 3 3 2 2 5" xfId="53942"/>
    <cellStyle name="Input 3 3 2 2 6" xfId="53943"/>
    <cellStyle name="Input 3 3 2 3" xfId="1275"/>
    <cellStyle name="Input 3 3 2 3 2" xfId="1698"/>
    <cellStyle name="Input 3 3 2 3 2 2" xfId="2838"/>
    <cellStyle name="Input 3 3 2 3 2 2 2" xfId="6258"/>
    <cellStyle name="Input 3 3 2 3 2 2 2 2" xfId="13098"/>
    <cellStyle name="Input 3 3 2 3 2 2 3" xfId="9678"/>
    <cellStyle name="Input 3 3 2 3 2 3" xfId="3978"/>
    <cellStyle name="Input 3 3 2 3 2 3 2" xfId="7398"/>
    <cellStyle name="Input 3 3 2 3 2 3 2 2" xfId="14238"/>
    <cellStyle name="Input 3 3 2 3 2 3 3" xfId="10818"/>
    <cellStyle name="Input 3 3 2 3 2 4" xfId="5118"/>
    <cellStyle name="Input 3 3 2 3 2 4 2" xfId="11958"/>
    <cellStyle name="Input 3 3 2 3 2 5" xfId="8538"/>
    <cellStyle name="Input 3 3 2 3 3" xfId="2095"/>
    <cellStyle name="Input 3 3 2 3 3 2" xfId="5515"/>
    <cellStyle name="Input 3 3 2 3 3 2 2" xfId="12355"/>
    <cellStyle name="Input 3 3 2 3 3 3" xfId="8935"/>
    <cellStyle name="Input 3 3 2 3 4" xfId="3235"/>
    <cellStyle name="Input 3 3 2 3 4 2" xfId="6655"/>
    <cellStyle name="Input 3 3 2 3 4 2 2" xfId="13495"/>
    <cellStyle name="Input 3 3 2 3 4 3" xfId="10075"/>
    <cellStyle name="Input 3 3 2 3 5" xfId="4375"/>
    <cellStyle name="Input 3 3 2 3 5 2" xfId="11215"/>
    <cellStyle name="Input 3 3 2 3 6" xfId="7795"/>
    <cellStyle name="Input 3 3 2 4" xfId="38285"/>
    <cellStyle name="Input 3 3 2 5" xfId="53944"/>
    <cellStyle name="Input 3 3 2 6" xfId="53945"/>
    <cellStyle name="Input 3 3 2 7" xfId="53946"/>
    <cellStyle name="Input 3 3 3" xfId="590"/>
    <cellStyle name="Input 3 3 3 2" xfId="1577"/>
    <cellStyle name="Input 3 3 3 2 2" xfId="1834"/>
    <cellStyle name="Input 3 3 3 2 2 2" xfId="2974"/>
    <cellStyle name="Input 3 3 3 2 2 2 2" xfId="6394"/>
    <cellStyle name="Input 3 3 3 2 2 2 2 2" xfId="13234"/>
    <cellStyle name="Input 3 3 3 2 2 2 3" xfId="9814"/>
    <cellStyle name="Input 3 3 3 2 2 3" xfId="4114"/>
    <cellStyle name="Input 3 3 3 2 2 3 2" xfId="7534"/>
    <cellStyle name="Input 3 3 3 2 2 3 2 2" xfId="14374"/>
    <cellStyle name="Input 3 3 3 2 2 3 3" xfId="10954"/>
    <cellStyle name="Input 3 3 3 2 2 4" xfId="5254"/>
    <cellStyle name="Input 3 3 3 2 2 4 2" xfId="12094"/>
    <cellStyle name="Input 3 3 3 2 2 5" xfId="8674"/>
    <cellStyle name="Input 3 3 3 2 3" xfId="2402"/>
    <cellStyle name="Input 3 3 3 2 3 2" xfId="5822"/>
    <cellStyle name="Input 3 3 3 2 3 2 2" xfId="12662"/>
    <cellStyle name="Input 3 3 3 2 3 3" xfId="9242"/>
    <cellStyle name="Input 3 3 3 2 4" xfId="3542"/>
    <cellStyle name="Input 3 3 3 2 4 2" xfId="6962"/>
    <cellStyle name="Input 3 3 3 2 4 2 2" xfId="13802"/>
    <cellStyle name="Input 3 3 3 2 4 3" xfId="10382"/>
    <cellStyle name="Input 3 3 3 2 5" xfId="4682"/>
    <cellStyle name="Input 3 3 3 2 5 2" xfId="11522"/>
    <cellStyle name="Input 3 3 3 2 6" xfId="8102"/>
    <cellStyle name="Input 3 3 3 3" xfId="38471"/>
    <cellStyle name="Input 3 3 3 4" xfId="53947"/>
    <cellStyle name="Input 3 3 3 5" xfId="53948"/>
    <cellStyle name="Input 3 3 3 6" xfId="53949"/>
    <cellStyle name="Input 3 3 4" xfId="1151"/>
    <cellStyle name="Input 3 3 4 2" xfId="1858"/>
    <cellStyle name="Input 3 3 4 2 2" xfId="2998"/>
    <cellStyle name="Input 3 3 4 2 2 2" xfId="6418"/>
    <cellStyle name="Input 3 3 4 2 2 2 2" xfId="13258"/>
    <cellStyle name="Input 3 3 4 2 2 3" xfId="9838"/>
    <cellStyle name="Input 3 3 4 2 3" xfId="4138"/>
    <cellStyle name="Input 3 3 4 2 3 2" xfId="7558"/>
    <cellStyle name="Input 3 3 4 2 3 2 2" xfId="14398"/>
    <cellStyle name="Input 3 3 4 2 3 3" xfId="10978"/>
    <cellStyle name="Input 3 3 4 2 4" xfId="5278"/>
    <cellStyle name="Input 3 3 4 2 4 2" xfId="12118"/>
    <cellStyle name="Input 3 3 4 2 5" xfId="8698"/>
    <cellStyle name="Input 3 3 4 3" xfId="1970"/>
    <cellStyle name="Input 3 3 4 3 2" xfId="5390"/>
    <cellStyle name="Input 3 3 4 3 2 2" xfId="12230"/>
    <cellStyle name="Input 3 3 4 3 3" xfId="8810"/>
    <cellStyle name="Input 3 3 4 4" xfId="3110"/>
    <cellStyle name="Input 3 3 4 4 2" xfId="6530"/>
    <cellStyle name="Input 3 3 4 4 2 2" xfId="13370"/>
    <cellStyle name="Input 3 3 4 4 3" xfId="9950"/>
    <cellStyle name="Input 3 3 4 5" xfId="4250"/>
    <cellStyle name="Input 3 3 4 5 2" xfId="11090"/>
    <cellStyle name="Input 3 3 4 6" xfId="7670"/>
    <cellStyle name="Input 3 3 5" xfId="38207"/>
    <cellStyle name="Input 3 3 6" xfId="53950"/>
    <cellStyle name="Input 3 3 7" xfId="53951"/>
    <cellStyle name="Input 3 4" xfId="308"/>
    <cellStyle name="Input 3 4 2" xfId="229"/>
    <cellStyle name="Input 3 4 2 2" xfId="1236"/>
    <cellStyle name="Input 3 4 2 2 2" xfId="1010"/>
    <cellStyle name="Input 3 4 2 2 2 2" xfId="1956"/>
    <cellStyle name="Input 3 4 2 2 2 2 2" xfId="5376"/>
    <cellStyle name="Input 3 4 2 2 2 2 2 2" xfId="12216"/>
    <cellStyle name="Input 3 4 2 2 2 2 3" xfId="8796"/>
    <cellStyle name="Input 3 4 2 2 2 3" xfId="3096"/>
    <cellStyle name="Input 3 4 2 2 2 3 2" xfId="6516"/>
    <cellStyle name="Input 3 4 2 2 2 3 2 2" xfId="13356"/>
    <cellStyle name="Input 3 4 2 2 2 3 3" xfId="9936"/>
    <cellStyle name="Input 3 4 2 2 2 4" xfId="4236"/>
    <cellStyle name="Input 3 4 2 2 2 4 2" xfId="11076"/>
    <cellStyle name="Input 3 4 2 2 2 5" xfId="7656"/>
    <cellStyle name="Input 3 4 2 2 3" xfId="2056"/>
    <cellStyle name="Input 3 4 2 2 3 2" xfId="5476"/>
    <cellStyle name="Input 3 4 2 2 3 2 2" xfId="12316"/>
    <cellStyle name="Input 3 4 2 2 3 3" xfId="8896"/>
    <cellStyle name="Input 3 4 2 2 4" xfId="3196"/>
    <cellStyle name="Input 3 4 2 2 4 2" xfId="6616"/>
    <cellStyle name="Input 3 4 2 2 4 2 2" xfId="13456"/>
    <cellStyle name="Input 3 4 2 2 4 3" xfId="10036"/>
    <cellStyle name="Input 3 4 2 2 5" xfId="4336"/>
    <cellStyle name="Input 3 4 2 2 5 2" xfId="11176"/>
    <cellStyle name="Input 3 4 2 2 6" xfId="7756"/>
    <cellStyle name="Input 3 4 2 3" xfId="38256"/>
    <cellStyle name="Input 3 4 2 4" xfId="53952"/>
    <cellStyle name="Input 3 4 2 5" xfId="53953"/>
    <cellStyle name="Input 3 4 2 6" xfId="53954"/>
    <cellStyle name="Input 3 4 3" xfId="1314"/>
    <cellStyle name="Input 3 4 3 2" xfId="971"/>
    <cellStyle name="Input 3 4 3 2 2" xfId="2635"/>
    <cellStyle name="Input 3 4 3 2 2 2" xfId="6055"/>
    <cellStyle name="Input 3 4 3 2 2 2 2" xfId="12895"/>
    <cellStyle name="Input 3 4 3 2 2 3" xfId="9475"/>
    <cellStyle name="Input 3 4 3 2 3" xfId="3775"/>
    <cellStyle name="Input 3 4 3 2 3 2" xfId="7195"/>
    <cellStyle name="Input 3 4 3 2 3 2 2" xfId="14035"/>
    <cellStyle name="Input 3 4 3 2 3 3" xfId="10615"/>
    <cellStyle name="Input 3 4 3 2 4" xfId="4915"/>
    <cellStyle name="Input 3 4 3 2 4 2" xfId="11755"/>
    <cellStyle name="Input 3 4 3 2 5" xfId="8335"/>
    <cellStyle name="Input 3 4 3 3" xfId="2134"/>
    <cellStyle name="Input 3 4 3 3 2" xfId="5554"/>
    <cellStyle name="Input 3 4 3 3 2 2" xfId="12394"/>
    <cellStyle name="Input 3 4 3 3 3" xfId="8974"/>
    <cellStyle name="Input 3 4 3 4" xfId="3274"/>
    <cellStyle name="Input 3 4 3 4 2" xfId="6694"/>
    <cellStyle name="Input 3 4 3 4 2 2" xfId="13534"/>
    <cellStyle name="Input 3 4 3 4 3" xfId="10114"/>
    <cellStyle name="Input 3 4 3 5" xfId="4414"/>
    <cellStyle name="Input 3 4 3 5 2" xfId="11254"/>
    <cellStyle name="Input 3 4 3 6" xfId="7834"/>
    <cellStyle name="Input 3 4 4" xfId="38316"/>
    <cellStyle name="Input 3 4 5" xfId="53955"/>
    <cellStyle name="Input 3 4 6" xfId="53956"/>
    <cellStyle name="Input 3 5" xfId="207"/>
    <cellStyle name="Input 3 5 2" xfId="550"/>
    <cellStyle name="Input 3 5 2 2" xfId="1554"/>
    <cellStyle name="Input 3 5 2 2 2" xfId="1737"/>
    <cellStyle name="Input 3 5 2 2 2 2" xfId="2877"/>
    <cellStyle name="Input 3 5 2 2 2 2 2" xfId="6297"/>
    <cellStyle name="Input 3 5 2 2 2 2 2 2" xfId="13137"/>
    <cellStyle name="Input 3 5 2 2 2 2 3" xfId="9717"/>
    <cellStyle name="Input 3 5 2 2 2 3" xfId="4017"/>
    <cellStyle name="Input 3 5 2 2 2 3 2" xfId="7437"/>
    <cellStyle name="Input 3 5 2 2 2 3 2 2" xfId="14277"/>
    <cellStyle name="Input 3 5 2 2 2 3 3" xfId="10857"/>
    <cellStyle name="Input 3 5 2 2 2 4" xfId="5157"/>
    <cellStyle name="Input 3 5 2 2 2 4 2" xfId="11997"/>
    <cellStyle name="Input 3 5 2 2 2 5" xfId="8577"/>
    <cellStyle name="Input 3 5 2 2 3" xfId="2375"/>
    <cellStyle name="Input 3 5 2 2 3 2" xfId="5795"/>
    <cellStyle name="Input 3 5 2 2 3 2 2" xfId="12635"/>
    <cellStyle name="Input 3 5 2 2 3 3" xfId="9215"/>
    <cellStyle name="Input 3 5 2 2 4" xfId="3515"/>
    <cellStyle name="Input 3 5 2 2 4 2" xfId="6935"/>
    <cellStyle name="Input 3 5 2 2 4 2 2" xfId="13775"/>
    <cellStyle name="Input 3 5 2 2 4 3" xfId="10355"/>
    <cellStyle name="Input 3 5 2 2 5" xfId="4655"/>
    <cellStyle name="Input 3 5 2 2 5 2" xfId="11495"/>
    <cellStyle name="Input 3 5 2 2 6" xfId="8075"/>
    <cellStyle name="Input 3 5 2 3" xfId="38464"/>
    <cellStyle name="Input 3 5 2 4" xfId="53957"/>
    <cellStyle name="Input 3 5 2 5" xfId="53958"/>
    <cellStyle name="Input 3 5 2 6" xfId="53959"/>
    <cellStyle name="Input 3 5 3" xfId="1215"/>
    <cellStyle name="Input 3 5 3 2" xfId="1020"/>
    <cellStyle name="Input 3 5 3 2 2" xfId="2571"/>
    <cellStyle name="Input 3 5 3 2 2 2" xfId="5991"/>
    <cellStyle name="Input 3 5 3 2 2 2 2" xfId="12831"/>
    <cellStyle name="Input 3 5 3 2 2 3" xfId="9411"/>
    <cellStyle name="Input 3 5 3 2 3" xfId="3711"/>
    <cellStyle name="Input 3 5 3 2 3 2" xfId="7131"/>
    <cellStyle name="Input 3 5 3 2 3 2 2" xfId="13971"/>
    <cellStyle name="Input 3 5 3 2 3 3" xfId="10551"/>
    <cellStyle name="Input 3 5 3 2 4" xfId="4851"/>
    <cellStyle name="Input 3 5 3 2 4 2" xfId="11691"/>
    <cellStyle name="Input 3 5 3 2 5" xfId="8271"/>
    <cellStyle name="Input 3 5 3 3" xfId="2034"/>
    <cellStyle name="Input 3 5 3 3 2" xfId="5454"/>
    <cellStyle name="Input 3 5 3 3 2 2" xfId="12294"/>
    <cellStyle name="Input 3 5 3 3 3" xfId="8874"/>
    <cellStyle name="Input 3 5 3 4" xfId="3174"/>
    <cellStyle name="Input 3 5 3 4 2" xfId="6594"/>
    <cellStyle name="Input 3 5 3 4 2 2" xfId="13434"/>
    <cellStyle name="Input 3 5 3 4 3" xfId="10014"/>
    <cellStyle name="Input 3 5 3 5" xfId="4314"/>
    <cellStyle name="Input 3 5 3 5 2" xfId="11154"/>
    <cellStyle name="Input 3 5 3 6" xfId="7734"/>
    <cellStyle name="Input 3 5 4" xfId="38249"/>
    <cellStyle name="Input 3 5 5" xfId="53960"/>
    <cellStyle name="Input 3 5 6" xfId="53961"/>
    <cellStyle name="Input 3 6" xfId="442"/>
    <cellStyle name="Input 3 6 2" xfId="392"/>
    <cellStyle name="Input 3 6 2 2" xfId="1397"/>
    <cellStyle name="Input 3 6 2 2 2" xfId="909"/>
    <cellStyle name="Input 3 6 2 2 2 2" xfId="2611"/>
    <cellStyle name="Input 3 6 2 2 2 2 2" xfId="6031"/>
    <cellStyle name="Input 3 6 2 2 2 2 2 2" xfId="12871"/>
    <cellStyle name="Input 3 6 2 2 2 2 3" xfId="9451"/>
    <cellStyle name="Input 3 6 2 2 2 3" xfId="3751"/>
    <cellStyle name="Input 3 6 2 2 2 3 2" xfId="7171"/>
    <cellStyle name="Input 3 6 2 2 2 3 2 2" xfId="14011"/>
    <cellStyle name="Input 3 6 2 2 2 3 3" xfId="10591"/>
    <cellStyle name="Input 3 6 2 2 2 4" xfId="4891"/>
    <cellStyle name="Input 3 6 2 2 2 4 2" xfId="11731"/>
    <cellStyle name="Input 3 6 2 2 2 5" xfId="8311"/>
    <cellStyle name="Input 3 6 2 2 3" xfId="2218"/>
    <cellStyle name="Input 3 6 2 2 3 2" xfId="5638"/>
    <cellStyle name="Input 3 6 2 2 3 2 2" xfId="12478"/>
    <cellStyle name="Input 3 6 2 2 3 3" xfId="9058"/>
    <cellStyle name="Input 3 6 2 2 4" xfId="3358"/>
    <cellStyle name="Input 3 6 2 2 4 2" xfId="6778"/>
    <cellStyle name="Input 3 6 2 2 4 2 2" xfId="13618"/>
    <cellStyle name="Input 3 6 2 2 4 3" xfId="10198"/>
    <cellStyle name="Input 3 6 2 2 5" xfId="4498"/>
    <cellStyle name="Input 3 6 2 2 5 2" xfId="11338"/>
    <cellStyle name="Input 3 6 2 2 6" xfId="7918"/>
    <cellStyle name="Input 3 6 2 3" xfId="38374"/>
    <cellStyle name="Input 3 6 2 4" xfId="53962"/>
    <cellStyle name="Input 3 6 2 5" xfId="53963"/>
    <cellStyle name="Input 3 6 2 6" xfId="53964"/>
    <cellStyle name="Input 3 6 3" xfId="1446"/>
    <cellStyle name="Input 3 6 3 2" xfId="887"/>
    <cellStyle name="Input 3 6 3 2 2" xfId="2707"/>
    <cellStyle name="Input 3 6 3 2 2 2" xfId="6127"/>
    <cellStyle name="Input 3 6 3 2 2 2 2" xfId="12967"/>
    <cellStyle name="Input 3 6 3 2 2 3" xfId="9547"/>
    <cellStyle name="Input 3 6 3 2 3" xfId="3847"/>
    <cellStyle name="Input 3 6 3 2 3 2" xfId="7267"/>
    <cellStyle name="Input 3 6 3 2 3 2 2" xfId="14107"/>
    <cellStyle name="Input 3 6 3 2 3 3" xfId="10687"/>
    <cellStyle name="Input 3 6 3 2 4" xfId="4987"/>
    <cellStyle name="Input 3 6 3 2 4 2" xfId="11827"/>
    <cellStyle name="Input 3 6 3 2 5" xfId="8407"/>
    <cellStyle name="Input 3 6 3 3" xfId="2267"/>
    <cellStyle name="Input 3 6 3 3 2" xfId="5687"/>
    <cellStyle name="Input 3 6 3 3 2 2" xfId="12527"/>
    <cellStyle name="Input 3 6 3 3 3" xfId="9107"/>
    <cellStyle name="Input 3 6 3 4" xfId="3407"/>
    <cellStyle name="Input 3 6 3 4 2" xfId="6827"/>
    <cellStyle name="Input 3 6 3 4 2 2" xfId="13667"/>
    <cellStyle name="Input 3 6 3 4 3" xfId="10247"/>
    <cellStyle name="Input 3 6 3 5" xfId="4547"/>
    <cellStyle name="Input 3 6 3 5 2" xfId="11387"/>
    <cellStyle name="Input 3 6 3 6" xfId="7967"/>
    <cellStyle name="Input 3 6 4" xfId="38405"/>
    <cellStyle name="Input 3 6 5" xfId="53965"/>
    <cellStyle name="Input 3 6 6" xfId="53966"/>
    <cellStyle name="Input 3 6 7" xfId="53967"/>
    <cellStyle name="Input 3 7" xfId="399"/>
    <cellStyle name="Input 3 7 2" xfId="385"/>
    <cellStyle name="Input 3 7 2 2" xfId="1390"/>
    <cellStyle name="Input 3 7 2 2 2" xfId="1859"/>
    <cellStyle name="Input 3 7 2 2 2 2" xfId="2999"/>
    <cellStyle name="Input 3 7 2 2 2 2 2" xfId="6419"/>
    <cellStyle name="Input 3 7 2 2 2 2 2 2" xfId="13259"/>
    <cellStyle name="Input 3 7 2 2 2 2 3" xfId="9839"/>
    <cellStyle name="Input 3 7 2 2 2 3" xfId="4139"/>
    <cellStyle name="Input 3 7 2 2 2 3 2" xfId="7559"/>
    <cellStyle name="Input 3 7 2 2 2 3 2 2" xfId="14399"/>
    <cellStyle name="Input 3 7 2 2 2 3 3" xfId="10979"/>
    <cellStyle name="Input 3 7 2 2 2 4" xfId="5279"/>
    <cellStyle name="Input 3 7 2 2 2 4 2" xfId="12119"/>
    <cellStyle name="Input 3 7 2 2 2 5" xfId="8699"/>
    <cellStyle name="Input 3 7 2 2 3" xfId="2211"/>
    <cellStyle name="Input 3 7 2 2 3 2" xfId="5631"/>
    <cellStyle name="Input 3 7 2 2 3 2 2" xfId="12471"/>
    <cellStyle name="Input 3 7 2 2 3 3" xfId="9051"/>
    <cellStyle name="Input 3 7 2 2 4" xfId="3351"/>
    <cellStyle name="Input 3 7 2 2 4 2" xfId="6771"/>
    <cellStyle name="Input 3 7 2 2 4 2 2" xfId="13611"/>
    <cellStyle name="Input 3 7 2 2 4 3" xfId="10191"/>
    <cellStyle name="Input 3 7 2 2 5" xfId="4491"/>
    <cellStyle name="Input 3 7 2 2 5 2" xfId="11331"/>
    <cellStyle name="Input 3 7 2 2 6" xfId="7911"/>
    <cellStyle name="Input 3 7 2 3" xfId="38367"/>
    <cellStyle name="Input 3 7 2 4" xfId="53968"/>
    <cellStyle name="Input 3 7 2 5" xfId="53969"/>
    <cellStyle name="Input 3 7 2 6" xfId="53970"/>
    <cellStyle name="Input 3 7 3" xfId="1404"/>
    <cellStyle name="Input 3 7 3 2" xfId="1783"/>
    <cellStyle name="Input 3 7 3 2 2" xfId="2923"/>
    <cellStyle name="Input 3 7 3 2 2 2" xfId="6343"/>
    <cellStyle name="Input 3 7 3 2 2 2 2" xfId="13183"/>
    <cellStyle name="Input 3 7 3 2 2 3" xfId="9763"/>
    <cellStyle name="Input 3 7 3 2 3" xfId="4063"/>
    <cellStyle name="Input 3 7 3 2 3 2" xfId="7483"/>
    <cellStyle name="Input 3 7 3 2 3 2 2" xfId="14323"/>
    <cellStyle name="Input 3 7 3 2 3 3" xfId="10903"/>
    <cellStyle name="Input 3 7 3 2 4" xfId="5203"/>
    <cellStyle name="Input 3 7 3 2 4 2" xfId="12043"/>
    <cellStyle name="Input 3 7 3 2 5" xfId="8623"/>
    <cellStyle name="Input 3 7 3 3" xfId="2225"/>
    <cellStyle name="Input 3 7 3 3 2" xfId="5645"/>
    <cellStyle name="Input 3 7 3 3 2 2" xfId="12485"/>
    <cellStyle name="Input 3 7 3 3 3" xfId="9065"/>
    <cellStyle name="Input 3 7 3 4" xfId="3365"/>
    <cellStyle name="Input 3 7 3 4 2" xfId="6785"/>
    <cellStyle name="Input 3 7 3 4 2 2" xfId="13625"/>
    <cellStyle name="Input 3 7 3 4 3" xfId="10205"/>
    <cellStyle name="Input 3 7 3 5" xfId="4505"/>
    <cellStyle name="Input 3 7 3 5 2" xfId="11345"/>
    <cellStyle name="Input 3 7 3 6" xfId="7925"/>
    <cellStyle name="Input 3 7 4" xfId="38378"/>
    <cellStyle name="Input 3 7 5" xfId="53971"/>
    <cellStyle name="Input 3 7 6" xfId="53972"/>
    <cellStyle name="Input 3 7 7" xfId="53973"/>
    <cellStyle name="Input 3 8" xfId="1100"/>
    <cellStyle name="Input 3 8 2" xfId="1077"/>
    <cellStyle name="Input 3 8 2 2" xfId="2736"/>
    <cellStyle name="Input 3 8 2 2 2" xfId="6156"/>
    <cellStyle name="Input 3 8 2 2 2 2" xfId="12996"/>
    <cellStyle name="Input 3 8 2 2 3" xfId="9576"/>
    <cellStyle name="Input 3 8 2 3" xfId="3876"/>
    <cellStyle name="Input 3 8 2 3 2" xfId="7296"/>
    <cellStyle name="Input 3 8 2 3 2 2" xfId="14136"/>
    <cellStyle name="Input 3 8 2 3 3" xfId="10716"/>
    <cellStyle name="Input 3 8 2 4" xfId="5016"/>
    <cellStyle name="Input 3 8 2 4 2" xfId="11856"/>
    <cellStyle name="Input 3 8 2 5" xfId="8436"/>
    <cellStyle name="Input 3 8 3" xfId="1907"/>
    <cellStyle name="Input 3 8 3 2" xfId="5327"/>
    <cellStyle name="Input 3 8 3 2 2" xfId="12167"/>
    <cellStyle name="Input 3 8 3 3" xfId="8747"/>
    <cellStyle name="Input 3 8 4" xfId="3047"/>
    <cellStyle name="Input 3 8 4 2" xfId="6467"/>
    <cellStyle name="Input 3 8 4 2 2" xfId="13307"/>
    <cellStyle name="Input 3 8 4 3" xfId="9887"/>
    <cellStyle name="Input 3 8 5" xfId="4187"/>
    <cellStyle name="Input 3 8 5 2" xfId="11027"/>
    <cellStyle name="Input 3 8 6" xfId="7607"/>
    <cellStyle name="Input 3 9" xfId="38186"/>
    <cellStyle name="Input 4" xfId="99"/>
    <cellStyle name="Input 4 2" xfId="158"/>
    <cellStyle name="Input 4 2 2" xfId="284"/>
    <cellStyle name="Input 4 2 2 2" xfId="693"/>
    <cellStyle name="Input 4 2 2 2 2" xfId="1644"/>
    <cellStyle name="Input 4 2 2 2 2 2" xfId="763"/>
    <cellStyle name="Input 4 2 2 2 2 2 2" xfId="2734"/>
    <cellStyle name="Input 4 2 2 2 2 2 2 2" xfId="6154"/>
    <cellStyle name="Input 4 2 2 2 2 2 2 2 2" xfId="12994"/>
    <cellStyle name="Input 4 2 2 2 2 2 2 3" xfId="9574"/>
    <cellStyle name="Input 4 2 2 2 2 2 3" xfId="3874"/>
    <cellStyle name="Input 4 2 2 2 2 2 3 2" xfId="7294"/>
    <cellStyle name="Input 4 2 2 2 2 2 3 2 2" xfId="14134"/>
    <cellStyle name="Input 4 2 2 2 2 2 3 3" xfId="10714"/>
    <cellStyle name="Input 4 2 2 2 2 2 4" xfId="5014"/>
    <cellStyle name="Input 4 2 2 2 2 2 4 2" xfId="11854"/>
    <cellStyle name="Input 4 2 2 2 2 2 5" xfId="8434"/>
    <cellStyle name="Input 4 2 2 2 2 3" xfId="2478"/>
    <cellStyle name="Input 4 2 2 2 2 3 2" xfId="5898"/>
    <cellStyle name="Input 4 2 2 2 2 3 2 2" xfId="12738"/>
    <cellStyle name="Input 4 2 2 2 2 3 3" xfId="9318"/>
    <cellStyle name="Input 4 2 2 2 2 4" xfId="3618"/>
    <cellStyle name="Input 4 2 2 2 2 4 2" xfId="7038"/>
    <cellStyle name="Input 4 2 2 2 2 4 2 2" xfId="13878"/>
    <cellStyle name="Input 4 2 2 2 2 4 3" xfId="10458"/>
    <cellStyle name="Input 4 2 2 2 2 5" xfId="4758"/>
    <cellStyle name="Input 4 2 2 2 2 5 2" xfId="11598"/>
    <cellStyle name="Input 4 2 2 2 2 6" xfId="8178"/>
    <cellStyle name="Input 4 2 2 2 3" xfId="38537"/>
    <cellStyle name="Input 4 2 2 2 4" xfId="53974"/>
    <cellStyle name="Input 4 2 2 2 5" xfId="53975"/>
    <cellStyle name="Input 4 2 2 2 6" xfId="53976"/>
    <cellStyle name="Input 4 2 2 3" xfId="1290"/>
    <cellStyle name="Input 4 2 2 3 2" xfId="1870"/>
    <cellStyle name="Input 4 2 2 3 2 2" xfId="3010"/>
    <cellStyle name="Input 4 2 2 3 2 2 2" xfId="6430"/>
    <cellStyle name="Input 4 2 2 3 2 2 2 2" xfId="13270"/>
    <cellStyle name="Input 4 2 2 3 2 2 3" xfId="9850"/>
    <cellStyle name="Input 4 2 2 3 2 3" xfId="4150"/>
    <cellStyle name="Input 4 2 2 3 2 3 2" xfId="7570"/>
    <cellStyle name="Input 4 2 2 3 2 3 2 2" xfId="14410"/>
    <cellStyle name="Input 4 2 2 3 2 3 3" xfId="10990"/>
    <cellStyle name="Input 4 2 2 3 2 4" xfId="5290"/>
    <cellStyle name="Input 4 2 2 3 2 4 2" xfId="12130"/>
    <cellStyle name="Input 4 2 2 3 2 5" xfId="8710"/>
    <cellStyle name="Input 4 2 2 3 3" xfId="2110"/>
    <cellStyle name="Input 4 2 2 3 3 2" xfId="5530"/>
    <cellStyle name="Input 4 2 2 3 3 2 2" xfId="12370"/>
    <cellStyle name="Input 4 2 2 3 3 3" xfId="8950"/>
    <cellStyle name="Input 4 2 2 3 4" xfId="3250"/>
    <cellStyle name="Input 4 2 2 3 4 2" xfId="6670"/>
    <cellStyle name="Input 4 2 2 3 4 2 2" xfId="13510"/>
    <cellStyle name="Input 4 2 2 3 4 3" xfId="10090"/>
    <cellStyle name="Input 4 2 2 3 5" xfId="4390"/>
    <cellStyle name="Input 4 2 2 3 5 2" xfId="11230"/>
    <cellStyle name="Input 4 2 2 3 6" xfId="7810"/>
    <cellStyle name="Input 4 2 2 4" xfId="38300"/>
    <cellStyle name="Input 4 2 2 5" xfId="53977"/>
    <cellStyle name="Input 4 2 2 6" xfId="53978"/>
    <cellStyle name="Input 4 2 2 7" xfId="53979"/>
    <cellStyle name="Input 4 2 3" xfId="605"/>
    <cellStyle name="Input 4 2 3 2" xfId="1592"/>
    <cellStyle name="Input 4 2 3 2 2" xfId="814"/>
    <cellStyle name="Input 4 2 3 2 2 2" xfId="2746"/>
    <cellStyle name="Input 4 2 3 2 2 2 2" xfId="6166"/>
    <cellStyle name="Input 4 2 3 2 2 2 2 2" xfId="13006"/>
    <cellStyle name="Input 4 2 3 2 2 2 3" xfId="9586"/>
    <cellStyle name="Input 4 2 3 2 2 3" xfId="3886"/>
    <cellStyle name="Input 4 2 3 2 2 3 2" xfId="7306"/>
    <cellStyle name="Input 4 2 3 2 2 3 2 2" xfId="14146"/>
    <cellStyle name="Input 4 2 3 2 2 3 3" xfId="10726"/>
    <cellStyle name="Input 4 2 3 2 2 4" xfId="5026"/>
    <cellStyle name="Input 4 2 3 2 2 4 2" xfId="11866"/>
    <cellStyle name="Input 4 2 3 2 2 5" xfId="8446"/>
    <cellStyle name="Input 4 2 3 2 3" xfId="2417"/>
    <cellStyle name="Input 4 2 3 2 3 2" xfId="5837"/>
    <cellStyle name="Input 4 2 3 2 3 2 2" xfId="12677"/>
    <cellStyle name="Input 4 2 3 2 3 3" xfId="9257"/>
    <cellStyle name="Input 4 2 3 2 4" xfId="3557"/>
    <cellStyle name="Input 4 2 3 2 4 2" xfId="6977"/>
    <cellStyle name="Input 4 2 3 2 4 2 2" xfId="13817"/>
    <cellStyle name="Input 4 2 3 2 4 3" xfId="10397"/>
    <cellStyle name="Input 4 2 3 2 5" xfId="4697"/>
    <cellStyle name="Input 4 2 3 2 5 2" xfId="11537"/>
    <cellStyle name="Input 4 2 3 2 6" xfId="8117"/>
    <cellStyle name="Input 4 2 3 3" xfId="38486"/>
    <cellStyle name="Input 4 2 3 4" xfId="53980"/>
    <cellStyle name="Input 4 2 3 5" xfId="53981"/>
    <cellStyle name="Input 4 2 3 6" xfId="53982"/>
    <cellStyle name="Input 4 2 4" xfId="1166"/>
    <cellStyle name="Input 4 2 4 2" xfId="1045"/>
    <cellStyle name="Input 4 2 4 2 2" xfId="2624"/>
    <cellStyle name="Input 4 2 4 2 2 2" xfId="6044"/>
    <cellStyle name="Input 4 2 4 2 2 2 2" xfId="12884"/>
    <cellStyle name="Input 4 2 4 2 2 3" xfId="9464"/>
    <cellStyle name="Input 4 2 4 2 3" xfId="3764"/>
    <cellStyle name="Input 4 2 4 2 3 2" xfId="7184"/>
    <cellStyle name="Input 4 2 4 2 3 2 2" xfId="14024"/>
    <cellStyle name="Input 4 2 4 2 3 3" xfId="10604"/>
    <cellStyle name="Input 4 2 4 2 4" xfId="4904"/>
    <cellStyle name="Input 4 2 4 2 4 2" xfId="11744"/>
    <cellStyle name="Input 4 2 4 2 5" xfId="8324"/>
    <cellStyle name="Input 4 2 4 3" xfId="1985"/>
    <cellStyle name="Input 4 2 4 3 2" xfId="5405"/>
    <cellStyle name="Input 4 2 4 3 2 2" xfId="12245"/>
    <cellStyle name="Input 4 2 4 3 3" xfId="8825"/>
    <cellStyle name="Input 4 2 4 4" xfId="3125"/>
    <cellStyle name="Input 4 2 4 4 2" xfId="6545"/>
    <cellStyle name="Input 4 2 4 4 2 2" xfId="13385"/>
    <cellStyle name="Input 4 2 4 4 3" xfId="9965"/>
    <cellStyle name="Input 4 2 4 5" xfId="4265"/>
    <cellStyle name="Input 4 2 4 5 2" xfId="11105"/>
    <cellStyle name="Input 4 2 4 6" xfId="7685"/>
    <cellStyle name="Input 4 2 5" xfId="38222"/>
    <cellStyle name="Input 4 2 6" xfId="53983"/>
    <cellStyle name="Input 4 2 7" xfId="53984"/>
    <cellStyle name="Input 4 3" xfId="324"/>
    <cellStyle name="Input 4 3 2" xfId="182"/>
    <cellStyle name="Input 4 3 2 2" xfId="1190"/>
    <cellStyle name="Input 4 3 2 2 2" xfId="1033"/>
    <cellStyle name="Input 4 3 2 2 2 2" xfId="2676"/>
    <cellStyle name="Input 4 3 2 2 2 2 2" xfId="6096"/>
    <cellStyle name="Input 4 3 2 2 2 2 2 2" xfId="12936"/>
    <cellStyle name="Input 4 3 2 2 2 2 3" xfId="9516"/>
    <cellStyle name="Input 4 3 2 2 2 3" xfId="3816"/>
    <cellStyle name="Input 4 3 2 2 2 3 2" xfId="7236"/>
    <cellStyle name="Input 4 3 2 2 2 3 2 2" xfId="14076"/>
    <cellStyle name="Input 4 3 2 2 2 3 3" xfId="10656"/>
    <cellStyle name="Input 4 3 2 2 2 4" xfId="4956"/>
    <cellStyle name="Input 4 3 2 2 2 4 2" xfId="11796"/>
    <cellStyle name="Input 4 3 2 2 2 5" xfId="8376"/>
    <cellStyle name="Input 4 3 2 2 3" xfId="2009"/>
    <cellStyle name="Input 4 3 2 2 3 2" xfId="5429"/>
    <cellStyle name="Input 4 3 2 2 3 2 2" xfId="12269"/>
    <cellStyle name="Input 4 3 2 2 3 3" xfId="8849"/>
    <cellStyle name="Input 4 3 2 2 4" xfId="3149"/>
    <cellStyle name="Input 4 3 2 2 4 2" xfId="6569"/>
    <cellStyle name="Input 4 3 2 2 4 2 2" xfId="13409"/>
    <cellStyle name="Input 4 3 2 2 4 3" xfId="9989"/>
    <cellStyle name="Input 4 3 2 2 5" xfId="4289"/>
    <cellStyle name="Input 4 3 2 2 5 2" xfId="11129"/>
    <cellStyle name="Input 4 3 2 2 6" xfId="7709"/>
    <cellStyle name="Input 4 3 2 3" xfId="38239"/>
    <cellStyle name="Input 4 3 2 4" xfId="53985"/>
    <cellStyle name="Input 4 3 2 5" xfId="53986"/>
    <cellStyle name="Input 4 3 2 6" xfId="53987"/>
    <cellStyle name="Input 4 3 3" xfId="1329"/>
    <cellStyle name="Input 4 3 3 2" xfId="1660"/>
    <cellStyle name="Input 4 3 3 2 2" xfId="2800"/>
    <cellStyle name="Input 4 3 3 2 2 2" xfId="6220"/>
    <cellStyle name="Input 4 3 3 2 2 2 2" xfId="13060"/>
    <cellStyle name="Input 4 3 3 2 2 3" xfId="9640"/>
    <cellStyle name="Input 4 3 3 2 3" xfId="3940"/>
    <cellStyle name="Input 4 3 3 2 3 2" xfId="7360"/>
    <cellStyle name="Input 4 3 3 2 3 2 2" xfId="14200"/>
    <cellStyle name="Input 4 3 3 2 3 3" xfId="10780"/>
    <cellStyle name="Input 4 3 3 2 4" xfId="5080"/>
    <cellStyle name="Input 4 3 3 2 4 2" xfId="11920"/>
    <cellStyle name="Input 4 3 3 2 5" xfId="8500"/>
    <cellStyle name="Input 4 3 3 3" xfId="2150"/>
    <cellStyle name="Input 4 3 3 3 2" xfId="5570"/>
    <cellStyle name="Input 4 3 3 3 2 2" xfId="12410"/>
    <cellStyle name="Input 4 3 3 3 3" xfId="8990"/>
    <cellStyle name="Input 4 3 3 4" xfId="3290"/>
    <cellStyle name="Input 4 3 3 4 2" xfId="6710"/>
    <cellStyle name="Input 4 3 3 4 2 2" xfId="13550"/>
    <cellStyle name="Input 4 3 3 4 3" xfId="10130"/>
    <cellStyle name="Input 4 3 3 5" xfId="4430"/>
    <cellStyle name="Input 4 3 3 5 2" xfId="11270"/>
    <cellStyle name="Input 4 3 3 6" xfId="7850"/>
    <cellStyle name="Input 4 3 4" xfId="38321"/>
    <cellStyle name="Input 4 3 5" xfId="53988"/>
    <cellStyle name="Input 4 3 6" xfId="53989"/>
    <cellStyle name="Input 4 4" xfId="231"/>
    <cellStyle name="Input 4 4 2" xfId="378"/>
    <cellStyle name="Input 4 4 2 2" xfId="1383"/>
    <cellStyle name="Input 4 4 2 2 2" xfId="917"/>
    <cellStyle name="Input 4 4 2 2 2 2" xfId="2608"/>
    <cellStyle name="Input 4 4 2 2 2 2 2" xfId="6028"/>
    <cellStyle name="Input 4 4 2 2 2 2 2 2" xfId="12868"/>
    <cellStyle name="Input 4 4 2 2 2 2 3" xfId="9448"/>
    <cellStyle name="Input 4 4 2 2 2 3" xfId="3748"/>
    <cellStyle name="Input 4 4 2 2 2 3 2" xfId="7168"/>
    <cellStyle name="Input 4 4 2 2 2 3 2 2" xfId="14008"/>
    <cellStyle name="Input 4 4 2 2 2 3 3" xfId="10588"/>
    <cellStyle name="Input 4 4 2 2 2 4" xfId="4888"/>
    <cellStyle name="Input 4 4 2 2 2 4 2" xfId="11728"/>
    <cellStyle name="Input 4 4 2 2 2 5" xfId="8308"/>
    <cellStyle name="Input 4 4 2 2 3" xfId="2204"/>
    <cellStyle name="Input 4 4 2 2 3 2" xfId="5624"/>
    <cellStyle name="Input 4 4 2 2 3 2 2" xfId="12464"/>
    <cellStyle name="Input 4 4 2 2 3 3" xfId="9044"/>
    <cellStyle name="Input 4 4 2 2 4" xfId="3344"/>
    <cellStyle name="Input 4 4 2 2 4 2" xfId="6764"/>
    <cellStyle name="Input 4 4 2 2 4 2 2" xfId="13604"/>
    <cellStyle name="Input 4 4 2 2 4 3" xfId="10184"/>
    <cellStyle name="Input 4 4 2 2 5" xfId="4484"/>
    <cellStyle name="Input 4 4 2 2 5 2" xfId="11324"/>
    <cellStyle name="Input 4 4 2 2 6" xfId="7904"/>
    <cellStyle name="Input 4 4 2 3" xfId="38361"/>
    <cellStyle name="Input 4 4 2 4" xfId="53990"/>
    <cellStyle name="Input 4 4 2 5" xfId="53991"/>
    <cellStyle name="Input 4 4 2 6" xfId="53992"/>
    <cellStyle name="Input 4 4 3" xfId="1238"/>
    <cellStyle name="Input 4 4 3 2" xfId="1882"/>
    <cellStyle name="Input 4 4 3 2 2" xfId="3022"/>
    <cellStyle name="Input 4 4 3 2 2 2" xfId="6442"/>
    <cellStyle name="Input 4 4 3 2 2 2 2" xfId="13282"/>
    <cellStyle name="Input 4 4 3 2 2 3" xfId="9862"/>
    <cellStyle name="Input 4 4 3 2 3" xfId="4162"/>
    <cellStyle name="Input 4 4 3 2 3 2" xfId="7582"/>
    <cellStyle name="Input 4 4 3 2 3 2 2" xfId="14422"/>
    <cellStyle name="Input 4 4 3 2 3 3" xfId="11002"/>
    <cellStyle name="Input 4 4 3 2 4" xfId="5302"/>
    <cellStyle name="Input 4 4 3 2 4 2" xfId="12142"/>
    <cellStyle name="Input 4 4 3 2 5" xfId="8722"/>
    <cellStyle name="Input 4 4 3 3" xfId="2058"/>
    <cellStyle name="Input 4 4 3 3 2" xfId="5478"/>
    <cellStyle name="Input 4 4 3 3 2 2" xfId="12318"/>
    <cellStyle name="Input 4 4 3 3 3" xfId="8898"/>
    <cellStyle name="Input 4 4 3 4" xfId="3198"/>
    <cellStyle name="Input 4 4 3 4 2" xfId="6618"/>
    <cellStyle name="Input 4 4 3 4 2 2" xfId="13458"/>
    <cellStyle name="Input 4 4 3 4 3" xfId="10038"/>
    <cellStyle name="Input 4 4 3 5" xfId="4338"/>
    <cellStyle name="Input 4 4 3 5 2" xfId="11178"/>
    <cellStyle name="Input 4 4 3 6" xfId="7758"/>
    <cellStyle name="Input 4 4 4" xfId="38258"/>
    <cellStyle name="Input 4 4 5" xfId="53993"/>
    <cellStyle name="Input 4 4 6" xfId="53994"/>
    <cellStyle name="Input 4 5" xfId="489"/>
    <cellStyle name="Input 4 5 2" xfId="377"/>
    <cellStyle name="Input 4 5 2 2" xfId="1382"/>
    <cellStyle name="Input 4 5 2 2 2" xfId="1695"/>
    <cellStyle name="Input 4 5 2 2 2 2" xfId="2835"/>
    <cellStyle name="Input 4 5 2 2 2 2 2" xfId="6255"/>
    <cellStyle name="Input 4 5 2 2 2 2 2 2" xfId="13095"/>
    <cellStyle name="Input 4 5 2 2 2 2 3" xfId="9675"/>
    <cellStyle name="Input 4 5 2 2 2 3" xfId="3975"/>
    <cellStyle name="Input 4 5 2 2 2 3 2" xfId="7395"/>
    <cellStyle name="Input 4 5 2 2 2 3 2 2" xfId="14235"/>
    <cellStyle name="Input 4 5 2 2 2 3 3" xfId="10815"/>
    <cellStyle name="Input 4 5 2 2 2 4" xfId="5115"/>
    <cellStyle name="Input 4 5 2 2 2 4 2" xfId="11955"/>
    <cellStyle name="Input 4 5 2 2 2 5" xfId="8535"/>
    <cellStyle name="Input 4 5 2 2 3" xfId="2203"/>
    <cellStyle name="Input 4 5 2 2 3 2" xfId="5623"/>
    <cellStyle name="Input 4 5 2 2 3 2 2" xfId="12463"/>
    <cellStyle name="Input 4 5 2 2 3 3" xfId="9043"/>
    <cellStyle name="Input 4 5 2 2 4" xfId="3343"/>
    <cellStyle name="Input 4 5 2 2 4 2" xfId="6763"/>
    <cellStyle name="Input 4 5 2 2 4 2 2" xfId="13603"/>
    <cellStyle name="Input 4 5 2 2 4 3" xfId="10183"/>
    <cellStyle name="Input 4 5 2 2 5" xfId="4483"/>
    <cellStyle name="Input 4 5 2 2 5 2" xfId="11323"/>
    <cellStyle name="Input 4 5 2 2 6" xfId="7903"/>
    <cellStyle name="Input 4 5 2 3" xfId="38360"/>
    <cellStyle name="Input 4 5 2 4" xfId="53995"/>
    <cellStyle name="Input 4 5 2 5" xfId="53996"/>
    <cellStyle name="Input 4 5 2 6" xfId="53997"/>
    <cellStyle name="Input 4 5 3" xfId="1493"/>
    <cellStyle name="Input 4 5 3 2" xfId="863"/>
    <cellStyle name="Input 4 5 3 2 2" xfId="2789"/>
    <cellStyle name="Input 4 5 3 2 2 2" xfId="6209"/>
    <cellStyle name="Input 4 5 3 2 2 2 2" xfId="13049"/>
    <cellStyle name="Input 4 5 3 2 2 3" xfId="9629"/>
    <cellStyle name="Input 4 5 3 2 3" xfId="3929"/>
    <cellStyle name="Input 4 5 3 2 3 2" xfId="7349"/>
    <cellStyle name="Input 4 5 3 2 3 2 2" xfId="14189"/>
    <cellStyle name="Input 4 5 3 2 3 3" xfId="10769"/>
    <cellStyle name="Input 4 5 3 2 4" xfId="5069"/>
    <cellStyle name="Input 4 5 3 2 4 2" xfId="11909"/>
    <cellStyle name="Input 4 5 3 2 5" xfId="8489"/>
    <cellStyle name="Input 4 5 3 3" xfId="2314"/>
    <cellStyle name="Input 4 5 3 3 2" xfId="5734"/>
    <cellStyle name="Input 4 5 3 3 2 2" xfId="12574"/>
    <cellStyle name="Input 4 5 3 3 3" xfId="9154"/>
    <cellStyle name="Input 4 5 3 4" xfId="3454"/>
    <cellStyle name="Input 4 5 3 4 2" xfId="6874"/>
    <cellStyle name="Input 4 5 3 4 2 2" xfId="13714"/>
    <cellStyle name="Input 4 5 3 4 3" xfId="10294"/>
    <cellStyle name="Input 4 5 3 5" xfId="4594"/>
    <cellStyle name="Input 4 5 3 5 2" xfId="11434"/>
    <cellStyle name="Input 4 5 3 6" xfId="8014"/>
    <cellStyle name="Input 4 5 4" xfId="38428"/>
    <cellStyle name="Input 4 5 5" xfId="53998"/>
    <cellStyle name="Input 4 5 6" xfId="53999"/>
    <cellStyle name="Input 4 5 7" xfId="54000"/>
    <cellStyle name="Input 4 6" xfId="447"/>
    <cellStyle name="Input 4 6 2" xfId="368"/>
    <cellStyle name="Input 4 6 2 2" xfId="1373"/>
    <cellStyle name="Input 4 6 2 2 2" xfId="1830"/>
    <cellStyle name="Input 4 6 2 2 2 2" xfId="2970"/>
    <cellStyle name="Input 4 6 2 2 2 2 2" xfId="6390"/>
    <cellStyle name="Input 4 6 2 2 2 2 2 2" xfId="13230"/>
    <cellStyle name="Input 4 6 2 2 2 2 3" xfId="9810"/>
    <cellStyle name="Input 4 6 2 2 2 3" xfId="4110"/>
    <cellStyle name="Input 4 6 2 2 2 3 2" xfId="7530"/>
    <cellStyle name="Input 4 6 2 2 2 3 2 2" xfId="14370"/>
    <cellStyle name="Input 4 6 2 2 2 3 3" xfId="10950"/>
    <cellStyle name="Input 4 6 2 2 2 4" xfId="5250"/>
    <cellStyle name="Input 4 6 2 2 2 4 2" xfId="12090"/>
    <cellStyle name="Input 4 6 2 2 2 5" xfId="8670"/>
    <cellStyle name="Input 4 6 2 2 3" xfId="2194"/>
    <cellStyle name="Input 4 6 2 2 3 2" xfId="5614"/>
    <cellStyle name="Input 4 6 2 2 3 2 2" xfId="12454"/>
    <cellStyle name="Input 4 6 2 2 3 3" xfId="9034"/>
    <cellStyle name="Input 4 6 2 2 4" xfId="3334"/>
    <cellStyle name="Input 4 6 2 2 4 2" xfId="6754"/>
    <cellStyle name="Input 4 6 2 2 4 2 2" xfId="13594"/>
    <cellStyle name="Input 4 6 2 2 4 3" xfId="10174"/>
    <cellStyle name="Input 4 6 2 2 5" xfId="4474"/>
    <cellStyle name="Input 4 6 2 2 5 2" xfId="11314"/>
    <cellStyle name="Input 4 6 2 2 6" xfId="7894"/>
    <cellStyle name="Input 4 6 2 3" xfId="38351"/>
    <cellStyle name="Input 4 6 2 4" xfId="54001"/>
    <cellStyle name="Input 4 6 2 5" xfId="54002"/>
    <cellStyle name="Input 4 6 2 6" xfId="54003"/>
    <cellStyle name="Input 4 6 3" xfId="1451"/>
    <cellStyle name="Input 4 6 3 2" xfId="884"/>
    <cellStyle name="Input 4 6 3 2 2" xfId="2675"/>
    <cellStyle name="Input 4 6 3 2 2 2" xfId="6095"/>
    <cellStyle name="Input 4 6 3 2 2 2 2" xfId="12935"/>
    <cellStyle name="Input 4 6 3 2 2 3" xfId="9515"/>
    <cellStyle name="Input 4 6 3 2 3" xfId="3815"/>
    <cellStyle name="Input 4 6 3 2 3 2" xfId="7235"/>
    <cellStyle name="Input 4 6 3 2 3 2 2" xfId="14075"/>
    <cellStyle name="Input 4 6 3 2 3 3" xfId="10655"/>
    <cellStyle name="Input 4 6 3 2 4" xfId="4955"/>
    <cellStyle name="Input 4 6 3 2 4 2" xfId="11795"/>
    <cellStyle name="Input 4 6 3 2 5" xfId="8375"/>
    <cellStyle name="Input 4 6 3 3" xfId="2272"/>
    <cellStyle name="Input 4 6 3 3 2" xfId="5692"/>
    <cellStyle name="Input 4 6 3 3 2 2" xfId="12532"/>
    <cellStyle name="Input 4 6 3 3 3" xfId="9112"/>
    <cellStyle name="Input 4 6 3 4" xfId="3412"/>
    <cellStyle name="Input 4 6 3 4 2" xfId="6832"/>
    <cellStyle name="Input 4 6 3 4 2 2" xfId="13672"/>
    <cellStyle name="Input 4 6 3 4 3" xfId="10252"/>
    <cellStyle name="Input 4 6 3 5" xfId="4552"/>
    <cellStyle name="Input 4 6 3 5 2" xfId="11392"/>
    <cellStyle name="Input 4 6 3 6" xfId="7972"/>
    <cellStyle name="Input 4 6 4" xfId="38408"/>
    <cellStyle name="Input 4 6 5" xfId="54004"/>
    <cellStyle name="Input 4 6 6" xfId="54005"/>
    <cellStyle name="Input 4 6 7" xfId="54006"/>
    <cellStyle name="Input 4 7" xfId="1115"/>
    <cellStyle name="Input 4 7 2" xfId="1068"/>
    <cellStyle name="Input 4 7 2 2" xfId="2523"/>
    <cellStyle name="Input 4 7 2 2 2" xfId="5943"/>
    <cellStyle name="Input 4 7 2 2 2 2" xfId="12783"/>
    <cellStyle name="Input 4 7 2 2 3" xfId="9363"/>
    <cellStyle name="Input 4 7 2 3" xfId="3663"/>
    <cellStyle name="Input 4 7 2 3 2" xfId="7083"/>
    <cellStyle name="Input 4 7 2 3 2 2" xfId="13923"/>
    <cellStyle name="Input 4 7 2 3 3" xfId="10503"/>
    <cellStyle name="Input 4 7 2 4" xfId="4803"/>
    <cellStyle name="Input 4 7 2 4 2" xfId="11643"/>
    <cellStyle name="Input 4 7 2 5" xfId="8223"/>
    <cellStyle name="Input 4 7 3" xfId="1929"/>
    <cellStyle name="Input 4 7 3 2" xfId="5349"/>
    <cellStyle name="Input 4 7 3 2 2" xfId="12189"/>
    <cellStyle name="Input 4 7 3 3" xfId="8769"/>
    <cellStyle name="Input 4 7 4" xfId="3069"/>
    <cellStyle name="Input 4 7 4 2" xfId="6489"/>
    <cellStyle name="Input 4 7 4 2 2" xfId="13329"/>
    <cellStyle name="Input 4 7 4 3" xfId="9909"/>
    <cellStyle name="Input 4 7 5" xfId="4209"/>
    <cellStyle name="Input 4 7 5 2" xfId="11049"/>
    <cellStyle name="Input 4 7 6" xfId="7629"/>
    <cellStyle name="Input 4 8" xfId="38192"/>
    <cellStyle name="Input 5" xfId="105"/>
    <cellStyle name="Input 5 10" xfId="54007"/>
    <cellStyle name="Input 5 2" xfId="164"/>
    <cellStyle name="Input 5 2 2" xfId="290"/>
    <cellStyle name="Input 5 2 2 2" xfId="699"/>
    <cellStyle name="Input 5 2 2 2 2" xfId="1650"/>
    <cellStyle name="Input 5 2 2 2 2 2" xfId="757"/>
    <cellStyle name="Input 5 2 2 2 2 2 2" xfId="2662"/>
    <cellStyle name="Input 5 2 2 2 2 2 2 2" xfId="6082"/>
    <cellStyle name="Input 5 2 2 2 2 2 2 2 2" xfId="12922"/>
    <cellStyle name="Input 5 2 2 2 2 2 2 3" xfId="9502"/>
    <cellStyle name="Input 5 2 2 2 2 2 3" xfId="3802"/>
    <cellStyle name="Input 5 2 2 2 2 2 3 2" xfId="7222"/>
    <cellStyle name="Input 5 2 2 2 2 2 3 2 2" xfId="14062"/>
    <cellStyle name="Input 5 2 2 2 2 2 3 3" xfId="10642"/>
    <cellStyle name="Input 5 2 2 2 2 2 4" xfId="4942"/>
    <cellStyle name="Input 5 2 2 2 2 2 4 2" xfId="11782"/>
    <cellStyle name="Input 5 2 2 2 2 2 5" xfId="8362"/>
    <cellStyle name="Input 5 2 2 2 2 3" xfId="2484"/>
    <cellStyle name="Input 5 2 2 2 2 3 2" xfId="5904"/>
    <cellStyle name="Input 5 2 2 2 2 3 2 2" xfId="12744"/>
    <cellStyle name="Input 5 2 2 2 2 3 3" xfId="9324"/>
    <cellStyle name="Input 5 2 2 2 2 4" xfId="3624"/>
    <cellStyle name="Input 5 2 2 2 2 4 2" xfId="7044"/>
    <cellStyle name="Input 5 2 2 2 2 4 2 2" xfId="13884"/>
    <cellStyle name="Input 5 2 2 2 2 4 3" xfId="10464"/>
    <cellStyle name="Input 5 2 2 2 2 5" xfId="4764"/>
    <cellStyle name="Input 5 2 2 2 2 5 2" xfId="11604"/>
    <cellStyle name="Input 5 2 2 2 2 6" xfId="8184"/>
    <cellStyle name="Input 5 2 2 2 3" xfId="38543"/>
    <cellStyle name="Input 5 2 2 2 4" xfId="54008"/>
    <cellStyle name="Input 5 2 2 2 5" xfId="54009"/>
    <cellStyle name="Input 5 2 2 2 6" xfId="54010"/>
    <cellStyle name="Input 5 2 2 3" xfId="1296"/>
    <cellStyle name="Input 5 2 2 3 2" xfId="980"/>
    <cellStyle name="Input 5 2 2 3 2 2" xfId="2524"/>
    <cellStyle name="Input 5 2 2 3 2 2 2" xfId="5944"/>
    <cellStyle name="Input 5 2 2 3 2 2 2 2" xfId="12784"/>
    <cellStyle name="Input 5 2 2 3 2 2 3" xfId="9364"/>
    <cellStyle name="Input 5 2 2 3 2 3" xfId="3664"/>
    <cellStyle name="Input 5 2 2 3 2 3 2" xfId="7084"/>
    <cellStyle name="Input 5 2 2 3 2 3 2 2" xfId="13924"/>
    <cellStyle name="Input 5 2 2 3 2 3 3" xfId="10504"/>
    <cellStyle name="Input 5 2 2 3 2 4" xfId="4804"/>
    <cellStyle name="Input 5 2 2 3 2 4 2" xfId="11644"/>
    <cellStyle name="Input 5 2 2 3 2 5" xfId="8224"/>
    <cellStyle name="Input 5 2 2 3 3" xfId="2116"/>
    <cellStyle name="Input 5 2 2 3 3 2" xfId="5536"/>
    <cellStyle name="Input 5 2 2 3 3 2 2" xfId="12376"/>
    <cellStyle name="Input 5 2 2 3 3 3" xfId="8956"/>
    <cellStyle name="Input 5 2 2 3 4" xfId="3256"/>
    <cellStyle name="Input 5 2 2 3 4 2" xfId="6676"/>
    <cellStyle name="Input 5 2 2 3 4 2 2" xfId="13516"/>
    <cellStyle name="Input 5 2 2 3 4 3" xfId="10096"/>
    <cellStyle name="Input 5 2 2 3 5" xfId="4396"/>
    <cellStyle name="Input 5 2 2 3 5 2" xfId="11236"/>
    <cellStyle name="Input 5 2 2 3 6" xfId="7816"/>
    <cellStyle name="Input 5 2 2 4" xfId="38306"/>
    <cellStyle name="Input 5 2 2 5" xfId="54011"/>
    <cellStyle name="Input 5 2 2 6" xfId="54012"/>
    <cellStyle name="Input 5 2 2 7" xfId="54013"/>
    <cellStyle name="Input 5 2 3" xfId="611"/>
    <cellStyle name="Input 5 2 3 2" xfId="1598"/>
    <cellStyle name="Input 5 2 3 2 2" xfId="809"/>
    <cellStyle name="Input 5 2 3 2 2 2" xfId="2656"/>
    <cellStyle name="Input 5 2 3 2 2 2 2" xfId="6076"/>
    <cellStyle name="Input 5 2 3 2 2 2 2 2" xfId="12916"/>
    <cellStyle name="Input 5 2 3 2 2 2 3" xfId="9496"/>
    <cellStyle name="Input 5 2 3 2 2 3" xfId="3796"/>
    <cellStyle name="Input 5 2 3 2 2 3 2" xfId="7216"/>
    <cellStyle name="Input 5 2 3 2 2 3 2 2" xfId="14056"/>
    <cellStyle name="Input 5 2 3 2 2 3 3" xfId="10636"/>
    <cellStyle name="Input 5 2 3 2 2 4" xfId="4936"/>
    <cellStyle name="Input 5 2 3 2 2 4 2" xfId="11776"/>
    <cellStyle name="Input 5 2 3 2 2 5" xfId="8356"/>
    <cellStyle name="Input 5 2 3 2 3" xfId="2423"/>
    <cellStyle name="Input 5 2 3 2 3 2" xfId="5843"/>
    <cellStyle name="Input 5 2 3 2 3 2 2" xfId="12683"/>
    <cellStyle name="Input 5 2 3 2 3 3" xfId="9263"/>
    <cellStyle name="Input 5 2 3 2 4" xfId="3563"/>
    <cellStyle name="Input 5 2 3 2 4 2" xfId="6983"/>
    <cellStyle name="Input 5 2 3 2 4 2 2" xfId="13823"/>
    <cellStyle name="Input 5 2 3 2 4 3" xfId="10403"/>
    <cellStyle name="Input 5 2 3 2 5" xfId="4703"/>
    <cellStyle name="Input 5 2 3 2 5 2" xfId="11543"/>
    <cellStyle name="Input 5 2 3 2 6" xfId="8123"/>
    <cellStyle name="Input 5 2 3 3" xfId="38492"/>
    <cellStyle name="Input 5 2 3 4" xfId="54014"/>
    <cellStyle name="Input 5 2 3 5" xfId="54015"/>
    <cellStyle name="Input 5 2 3 6" xfId="54016"/>
    <cellStyle name="Input 5 2 4" xfId="1172"/>
    <cellStyle name="Input 5 2 4 2" xfId="1756"/>
    <cellStyle name="Input 5 2 4 2 2" xfId="2896"/>
    <cellStyle name="Input 5 2 4 2 2 2" xfId="6316"/>
    <cellStyle name="Input 5 2 4 2 2 2 2" xfId="13156"/>
    <cellStyle name="Input 5 2 4 2 2 3" xfId="9736"/>
    <cellStyle name="Input 5 2 4 2 3" xfId="4036"/>
    <cellStyle name="Input 5 2 4 2 3 2" xfId="7456"/>
    <cellStyle name="Input 5 2 4 2 3 2 2" xfId="14296"/>
    <cellStyle name="Input 5 2 4 2 3 3" xfId="10876"/>
    <cellStyle name="Input 5 2 4 2 4" xfId="5176"/>
    <cellStyle name="Input 5 2 4 2 4 2" xfId="12016"/>
    <cellStyle name="Input 5 2 4 2 5" xfId="8596"/>
    <cellStyle name="Input 5 2 4 3" xfId="1991"/>
    <cellStyle name="Input 5 2 4 3 2" xfId="5411"/>
    <cellStyle name="Input 5 2 4 3 2 2" xfId="12251"/>
    <cellStyle name="Input 5 2 4 3 3" xfId="8831"/>
    <cellStyle name="Input 5 2 4 4" xfId="3131"/>
    <cellStyle name="Input 5 2 4 4 2" xfId="6551"/>
    <cellStyle name="Input 5 2 4 4 2 2" xfId="13391"/>
    <cellStyle name="Input 5 2 4 4 3" xfId="9971"/>
    <cellStyle name="Input 5 2 4 5" xfId="4271"/>
    <cellStyle name="Input 5 2 4 5 2" xfId="11111"/>
    <cellStyle name="Input 5 2 4 6" xfId="7691"/>
    <cellStyle name="Input 5 2 5" xfId="38227"/>
    <cellStyle name="Input 5 2 6" xfId="54017"/>
    <cellStyle name="Input 5 2 7" xfId="54018"/>
    <cellStyle name="Input 5 2 8" xfId="54019"/>
    <cellStyle name="Input 5 3" xfId="330"/>
    <cellStyle name="Input 5 3 2" xfId="441"/>
    <cellStyle name="Input 5 3 2 2" xfId="1445"/>
    <cellStyle name="Input 5 3 2 2 2" xfId="1871"/>
    <cellStyle name="Input 5 3 2 2 2 2" xfId="3011"/>
    <cellStyle name="Input 5 3 2 2 2 2 2" xfId="6431"/>
    <cellStyle name="Input 5 3 2 2 2 2 2 2" xfId="13271"/>
    <cellStyle name="Input 5 3 2 2 2 2 3" xfId="9851"/>
    <cellStyle name="Input 5 3 2 2 2 3" xfId="4151"/>
    <cellStyle name="Input 5 3 2 2 2 3 2" xfId="7571"/>
    <cellStyle name="Input 5 3 2 2 2 3 2 2" xfId="14411"/>
    <cellStyle name="Input 5 3 2 2 2 3 3" xfId="10991"/>
    <cellStyle name="Input 5 3 2 2 2 4" xfId="5291"/>
    <cellStyle name="Input 5 3 2 2 2 4 2" xfId="12131"/>
    <cellStyle name="Input 5 3 2 2 2 5" xfId="8711"/>
    <cellStyle name="Input 5 3 2 2 3" xfId="2266"/>
    <cellStyle name="Input 5 3 2 2 3 2" xfId="5686"/>
    <cellStyle name="Input 5 3 2 2 3 2 2" xfId="12526"/>
    <cellStyle name="Input 5 3 2 2 3 3" xfId="9106"/>
    <cellStyle name="Input 5 3 2 2 4" xfId="3406"/>
    <cellStyle name="Input 5 3 2 2 4 2" xfId="6826"/>
    <cellStyle name="Input 5 3 2 2 4 2 2" xfId="13666"/>
    <cellStyle name="Input 5 3 2 2 4 3" xfId="10246"/>
    <cellStyle name="Input 5 3 2 2 5" xfId="4546"/>
    <cellStyle name="Input 5 3 2 2 5 2" xfId="11386"/>
    <cellStyle name="Input 5 3 2 2 6" xfId="7966"/>
    <cellStyle name="Input 5 3 2 3" xfId="38404"/>
    <cellStyle name="Input 5 3 2 4" xfId="54020"/>
    <cellStyle name="Input 5 3 2 5" xfId="54021"/>
    <cellStyle name="Input 5 3 2 6" xfId="54022"/>
    <cellStyle name="Input 5 3 3" xfId="1335"/>
    <cellStyle name="Input 5 3 3 2" xfId="957"/>
    <cellStyle name="Input 5 3 3 2 2" xfId="2756"/>
    <cellStyle name="Input 5 3 3 2 2 2" xfId="6176"/>
    <cellStyle name="Input 5 3 3 2 2 2 2" xfId="13016"/>
    <cellStyle name="Input 5 3 3 2 2 3" xfId="9596"/>
    <cellStyle name="Input 5 3 3 2 3" xfId="3896"/>
    <cellStyle name="Input 5 3 3 2 3 2" xfId="7316"/>
    <cellStyle name="Input 5 3 3 2 3 2 2" xfId="14156"/>
    <cellStyle name="Input 5 3 3 2 3 3" xfId="10736"/>
    <cellStyle name="Input 5 3 3 2 4" xfId="5036"/>
    <cellStyle name="Input 5 3 3 2 4 2" xfId="11876"/>
    <cellStyle name="Input 5 3 3 2 5" xfId="8456"/>
    <cellStyle name="Input 5 3 3 3" xfId="2156"/>
    <cellStyle name="Input 5 3 3 3 2" xfId="5576"/>
    <cellStyle name="Input 5 3 3 3 2 2" xfId="12416"/>
    <cellStyle name="Input 5 3 3 3 3" xfId="8996"/>
    <cellStyle name="Input 5 3 3 4" xfId="3296"/>
    <cellStyle name="Input 5 3 3 4 2" xfId="6716"/>
    <cellStyle name="Input 5 3 3 4 2 2" xfId="13556"/>
    <cellStyle name="Input 5 3 3 4 3" xfId="10136"/>
    <cellStyle name="Input 5 3 3 5" xfId="4436"/>
    <cellStyle name="Input 5 3 3 5 2" xfId="11276"/>
    <cellStyle name="Input 5 3 3 6" xfId="7856"/>
    <cellStyle name="Input 5 3 4" xfId="38326"/>
    <cellStyle name="Input 5 3 5" xfId="54023"/>
    <cellStyle name="Input 5 3 6" xfId="54024"/>
    <cellStyle name="Input 5 3 7" xfId="54025"/>
    <cellStyle name="Input 5 4" xfId="237"/>
    <cellStyle name="Input 5 4 2" xfId="468"/>
    <cellStyle name="Input 5 4 2 2" xfId="1472"/>
    <cellStyle name="Input 5 4 2 2 2" xfId="873"/>
    <cellStyle name="Input 5 4 2 2 2 2" xfId="2728"/>
    <cellStyle name="Input 5 4 2 2 2 2 2" xfId="6148"/>
    <cellStyle name="Input 5 4 2 2 2 2 2 2" xfId="12988"/>
    <cellStyle name="Input 5 4 2 2 2 2 3" xfId="9568"/>
    <cellStyle name="Input 5 4 2 2 2 3" xfId="3868"/>
    <cellStyle name="Input 5 4 2 2 2 3 2" xfId="7288"/>
    <cellStyle name="Input 5 4 2 2 2 3 2 2" xfId="14128"/>
    <cellStyle name="Input 5 4 2 2 2 3 3" xfId="10708"/>
    <cellStyle name="Input 5 4 2 2 2 4" xfId="5008"/>
    <cellStyle name="Input 5 4 2 2 2 4 2" xfId="11848"/>
    <cellStyle name="Input 5 4 2 2 2 5" xfId="8428"/>
    <cellStyle name="Input 5 4 2 2 3" xfId="2293"/>
    <cellStyle name="Input 5 4 2 2 3 2" xfId="5713"/>
    <cellStyle name="Input 5 4 2 2 3 2 2" xfId="12553"/>
    <cellStyle name="Input 5 4 2 2 3 3" xfId="9133"/>
    <cellStyle name="Input 5 4 2 2 4" xfId="3433"/>
    <cellStyle name="Input 5 4 2 2 4 2" xfId="6853"/>
    <cellStyle name="Input 5 4 2 2 4 2 2" xfId="13693"/>
    <cellStyle name="Input 5 4 2 2 4 3" xfId="10273"/>
    <cellStyle name="Input 5 4 2 2 5" xfId="4573"/>
    <cellStyle name="Input 5 4 2 2 5 2" xfId="11413"/>
    <cellStyle name="Input 5 4 2 2 6" xfId="7993"/>
    <cellStyle name="Input 5 4 2 3" xfId="38419"/>
    <cellStyle name="Input 5 4 2 4" xfId="54026"/>
    <cellStyle name="Input 5 4 2 5" xfId="54027"/>
    <cellStyle name="Input 5 4 2 6" xfId="54028"/>
    <cellStyle name="Input 5 4 3" xfId="1244"/>
    <cellStyle name="Input 5 4 3 2" xfId="1810"/>
    <cellStyle name="Input 5 4 3 2 2" xfId="2950"/>
    <cellStyle name="Input 5 4 3 2 2 2" xfId="6370"/>
    <cellStyle name="Input 5 4 3 2 2 2 2" xfId="13210"/>
    <cellStyle name="Input 5 4 3 2 2 3" xfId="9790"/>
    <cellStyle name="Input 5 4 3 2 3" xfId="4090"/>
    <cellStyle name="Input 5 4 3 2 3 2" xfId="7510"/>
    <cellStyle name="Input 5 4 3 2 3 2 2" xfId="14350"/>
    <cellStyle name="Input 5 4 3 2 3 3" xfId="10930"/>
    <cellStyle name="Input 5 4 3 2 4" xfId="5230"/>
    <cellStyle name="Input 5 4 3 2 4 2" xfId="12070"/>
    <cellStyle name="Input 5 4 3 2 5" xfId="8650"/>
    <cellStyle name="Input 5 4 3 3" xfId="2064"/>
    <cellStyle name="Input 5 4 3 3 2" xfId="5484"/>
    <cellStyle name="Input 5 4 3 3 2 2" xfId="12324"/>
    <cellStyle name="Input 5 4 3 3 3" xfId="8904"/>
    <cellStyle name="Input 5 4 3 4" xfId="3204"/>
    <cellStyle name="Input 5 4 3 4 2" xfId="6624"/>
    <cellStyle name="Input 5 4 3 4 2 2" xfId="13464"/>
    <cellStyle name="Input 5 4 3 4 3" xfId="10044"/>
    <cellStyle name="Input 5 4 3 5" xfId="4344"/>
    <cellStyle name="Input 5 4 3 5 2" xfId="11184"/>
    <cellStyle name="Input 5 4 3 6" xfId="7764"/>
    <cellStyle name="Input 5 4 4" xfId="38263"/>
    <cellStyle name="Input 5 4 5" xfId="54029"/>
    <cellStyle name="Input 5 4 6" xfId="54030"/>
    <cellStyle name="Input 5 4 7" xfId="54031"/>
    <cellStyle name="Input 5 5" xfId="495"/>
    <cellStyle name="Input 5 5 2" xfId="389"/>
    <cellStyle name="Input 5 5 2 2" xfId="1394"/>
    <cellStyle name="Input 5 5 2 2 2" xfId="912"/>
    <cellStyle name="Input 5 5 2 2 2 2" xfId="2586"/>
    <cellStyle name="Input 5 5 2 2 2 2 2" xfId="6006"/>
    <cellStyle name="Input 5 5 2 2 2 2 2 2" xfId="12846"/>
    <cellStyle name="Input 5 5 2 2 2 2 3" xfId="9426"/>
    <cellStyle name="Input 5 5 2 2 2 3" xfId="3726"/>
    <cellStyle name="Input 5 5 2 2 2 3 2" xfId="7146"/>
    <cellStyle name="Input 5 5 2 2 2 3 2 2" xfId="13986"/>
    <cellStyle name="Input 5 5 2 2 2 3 3" xfId="10566"/>
    <cellStyle name="Input 5 5 2 2 2 4" xfId="4866"/>
    <cellStyle name="Input 5 5 2 2 2 4 2" xfId="11706"/>
    <cellStyle name="Input 5 5 2 2 2 5" xfId="8286"/>
    <cellStyle name="Input 5 5 2 2 3" xfId="2215"/>
    <cellStyle name="Input 5 5 2 2 3 2" xfId="5635"/>
    <cellStyle name="Input 5 5 2 2 3 2 2" xfId="12475"/>
    <cellStyle name="Input 5 5 2 2 3 3" xfId="9055"/>
    <cellStyle name="Input 5 5 2 2 4" xfId="3355"/>
    <cellStyle name="Input 5 5 2 2 4 2" xfId="6775"/>
    <cellStyle name="Input 5 5 2 2 4 2 2" xfId="13615"/>
    <cellStyle name="Input 5 5 2 2 4 3" xfId="10195"/>
    <cellStyle name="Input 5 5 2 2 5" xfId="4495"/>
    <cellStyle name="Input 5 5 2 2 5 2" xfId="11335"/>
    <cellStyle name="Input 5 5 2 2 6" xfId="7915"/>
    <cellStyle name="Input 5 5 2 3" xfId="38371"/>
    <cellStyle name="Input 5 5 2 4" xfId="54032"/>
    <cellStyle name="Input 5 5 2 5" xfId="54033"/>
    <cellStyle name="Input 5 5 2 6" xfId="54034"/>
    <cellStyle name="Input 5 5 3" xfId="1499"/>
    <cellStyle name="Input 5 5 3 2" xfId="1692"/>
    <cellStyle name="Input 5 5 3 2 2" xfId="2832"/>
    <cellStyle name="Input 5 5 3 2 2 2" xfId="6252"/>
    <cellStyle name="Input 5 5 3 2 2 2 2" xfId="13092"/>
    <cellStyle name="Input 5 5 3 2 2 3" xfId="9672"/>
    <cellStyle name="Input 5 5 3 2 3" xfId="3972"/>
    <cellStyle name="Input 5 5 3 2 3 2" xfId="7392"/>
    <cellStyle name="Input 5 5 3 2 3 2 2" xfId="14232"/>
    <cellStyle name="Input 5 5 3 2 3 3" xfId="10812"/>
    <cellStyle name="Input 5 5 3 2 4" xfId="5112"/>
    <cellStyle name="Input 5 5 3 2 4 2" xfId="11952"/>
    <cellStyle name="Input 5 5 3 2 5" xfId="8532"/>
    <cellStyle name="Input 5 5 3 3" xfId="2320"/>
    <cellStyle name="Input 5 5 3 3 2" xfId="5740"/>
    <cellStyle name="Input 5 5 3 3 2 2" xfId="12580"/>
    <cellStyle name="Input 5 5 3 3 3" xfId="9160"/>
    <cellStyle name="Input 5 5 3 4" xfId="3460"/>
    <cellStyle name="Input 5 5 3 4 2" xfId="6880"/>
    <cellStyle name="Input 5 5 3 4 2 2" xfId="13720"/>
    <cellStyle name="Input 5 5 3 4 3" xfId="10300"/>
    <cellStyle name="Input 5 5 3 5" xfId="4600"/>
    <cellStyle name="Input 5 5 3 5 2" xfId="11440"/>
    <cellStyle name="Input 5 5 3 6" xfId="8020"/>
    <cellStyle name="Input 5 5 4" xfId="38433"/>
    <cellStyle name="Input 5 5 5" xfId="54035"/>
    <cellStyle name="Input 5 5 6" xfId="54036"/>
    <cellStyle name="Input 5 5 7" xfId="54037"/>
    <cellStyle name="Input 5 6" xfId="515"/>
    <cellStyle name="Input 5 6 2" xfId="363"/>
    <cellStyle name="Input 5 6 2 2" xfId="1368"/>
    <cellStyle name="Input 5 6 2 2 2" xfId="924"/>
    <cellStyle name="Input 5 6 2 2 2 2" xfId="2740"/>
    <cellStyle name="Input 5 6 2 2 2 2 2" xfId="6160"/>
    <cellStyle name="Input 5 6 2 2 2 2 2 2" xfId="13000"/>
    <cellStyle name="Input 5 6 2 2 2 2 3" xfId="9580"/>
    <cellStyle name="Input 5 6 2 2 2 3" xfId="3880"/>
    <cellStyle name="Input 5 6 2 2 2 3 2" xfId="7300"/>
    <cellStyle name="Input 5 6 2 2 2 3 2 2" xfId="14140"/>
    <cellStyle name="Input 5 6 2 2 2 3 3" xfId="10720"/>
    <cellStyle name="Input 5 6 2 2 2 4" xfId="5020"/>
    <cellStyle name="Input 5 6 2 2 2 4 2" xfId="11860"/>
    <cellStyle name="Input 5 6 2 2 2 5" xfId="8440"/>
    <cellStyle name="Input 5 6 2 2 3" xfId="2189"/>
    <cellStyle name="Input 5 6 2 2 3 2" xfId="5609"/>
    <cellStyle name="Input 5 6 2 2 3 2 2" xfId="12449"/>
    <cellStyle name="Input 5 6 2 2 3 3" xfId="9029"/>
    <cellStyle name="Input 5 6 2 2 4" xfId="3329"/>
    <cellStyle name="Input 5 6 2 2 4 2" xfId="6749"/>
    <cellStyle name="Input 5 6 2 2 4 2 2" xfId="13589"/>
    <cellStyle name="Input 5 6 2 2 4 3" xfId="10169"/>
    <cellStyle name="Input 5 6 2 2 5" xfId="4469"/>
    <cellStyle name="Input 5 6 2 2 5 2" xfId="11309"/>
    <cellStyle name="Input 5 6 2 2 6" xfId="7889"/>
    <cellStyle name="Input 5 6 2 3" xfId="38348"/>
    <cellStyle name="Input 5 6 2 4" xfId="54038"/>
    <cellStyle name="Input 5 6 2 5" xfId="54039"/>
    <cellStyle name="Input 5 6 2 6" xfId="54040"/>
    <cellStyle name="Input 5 6 3" xfId="1519"/>
    <cellStyle name="Input 5 6 3 2" xfId="850"/>
    <cellStyle name="Input 5 6 3 2 2" xfId="2380"/>
    <cellStyle name="Input 5 6 3 2 2 2" xfId="5800"/>
    <cellStyle name="Input 5 6 3 2 2 2 2" xfId="12640"/>
    <cellStyle name="Input 5 6 3 2 2 3" xfId="9220"/>
    <cellStyle name="Input 5 6 3 2 3" xfId="3520"/>
    <cellStyle name="Input 5 6 3 2 3 2" xfId="6940"/>
    <cellStyle name="Input 5 6 3 2 3 2 2" xfId="13780"/>
    <cellStyle name="Input 5 6 3 2 3 3" xfId="10360"/>
    <cellStyle name="Input 5 6 3 2 4" xfId="4660"/>
    <cellStyle name="Input 5 6 3 2 4 2" xfId="11500"/>
    <cellStyle name="Input 5 6 3 2 5" xfId="8080"/>
    <cellStyle name="Input 5 6 3 3" xfId="2340"/>
    <cellStyle name="Input 5 6 3 3 2" xfId="5760"/>
    <cellStyle name="Input 5 6 3 3 2 2" xfId="12600"/>
    <cellStyle name="Input 5 6 3 3 3" xfId="9180"/>
    <cellStyle name="Input 5 6 3 4" xfId="3480"/>
    <cellStyle name="Input 5 6 3 4 2" xfId="6900"/>
    <cellStyle name="Input 5 6 3 4 2 2" xfId="13740"/>
    <cellStyle name="Input 5 6 3 4 3" xfId="10320"/>
    <cellStyle name="Input 5 6 3 5" xfId="4620"/>
    <cellStyle name="Input 5 6 3 5 2" xfId="11460"/>
    <cellStyle name="Input 5 6 3 6" xfId="8040"/>
    <cellStyle name="Input 5 6 4" xfId="38441"/>
    <cellStyle name="Input 5 6 5" xfId="54041"/>
    <cellStyle name="Input 5 6 6" xfId="54042"/>
    <cellStyle name="Input 5 6 7" xfId="54043"/>
    <cellStyle name="Input 5 7" xfId="1121"/>
    <cellStyle name="Input 5 7 2" xfId="1802"/>
    <cellStyle name="Input 5 7 2 2" xfId="2942"/>
    <cellStyle name="Input 5 7 2 2 2" xfId="6362"/>
    <cellStyle name="Input 5 7 2 2 2 2" xfId="13202"/>
    <cellStyle name="Input 5 7 2 2 3" xfId="9782"/>
    <cellStyle name="Input 5 7 2 3" xfId="4082"/>
    <cellStyle name="Input 5 7 2 3 2" xfId="7502"/>
    <cellStyle name="Input 5 7 2 3 2 2" xfId="14342"/>
    <cellStyle name="Input 5 7 2 3 3" xfId="10922"/>
    <cellStyle name="Input 5 7 2 4" xfId="5222"/>
    <cellStyle name="Input 5 7 2 4 2" xfId="12062"/>
    <cellStyle name="Input 5 7 2 5" xfId="8642"/>
    <cellStyle name="Input 5 7 3" xfId="1935"/>
    <cellStyle name="Input 5 7 3 2" xfId="5355"/>
    <cellStyle name="Input 5 7 3 2 2" xfId="12195"/>
    <cellStyle name="Input 5 7 3 3" xfId="8775"/>
    <cellStyle name="Input 5 7 4" xfId="3075"/>
    <cellStyle name="Input 5 7 4 2" xfId="6495"/>
    <cellStyle name="Input 5 7 4 2 2" xfId="13335"/>
    <cellStyle name="Input 5 7 4 3" xfId="9915"/>
    <cellStyle name="Input 5 7 5" xfId="4215"/>
    <cellStyle name="Input 5 7 5 2" xfId="11055"/>
    <cellStyle name="Input 5 7 6" xfId="7635"/>
    <cellStyle name="Input 5 8" xfId="38197"/>
    <cellStyle name="Input 5 9" xfId="54044"/>
    <cellStyle name="Input 6" xfId="54045"/>
    <cellStyle name="Input 6 2" xfId="54046"/>
    <cellStyle name="Input 6 3" xfId="54047"/>
    <cellStyle name="Input 7" xfId="54048"/>
    <cellStyle name="Input 8" xfId="54049"/>
    <cellStyle name="Input 9" xfId="54050"/>
    <cellStyle name="Input Cell" xfId="54051"/>
    <cellStyle name="KPMG Heading 1" xfId="54052"/>
    <cellStyle name="KPMG Heading 2" xfId="54053"/>
    <cellStyle name="KPMG Heading 3" xfId="54054"/>
    <cellStyle name="KPMG Heading 4" xfId="54055"/>
    <cellStyle name="KPMG Normal" xfId="54056"/>
    <cellStyle name="KPMG Normal Text" xfId="54057"/>
    <cellStyle name="LABEL Normal" xfId="14498"/>
    <cellStyle name="LABEL Note" xfId="14499"/>
    <cellStyle name="LABEL Units" xfId="14500"/>
    <cellStyle name="Large" xfId="54058"/>
    <cellStyle name="Linked Cell 2" xfId="39"/>
    <cellStyle name="Linked Cell 3" xfId="629"/>
    <cellStyle name="LTM Cell Column Heading" xfId="54059"/>
    <cellStyle name="Mid_Centred" xfId="54060"/>
    <cellStyle name="Mik" xfId="54061"/>
    <cellStyle name="Mik 2" xfId="54062"/>
    <cellStyle name="Millions" xfId="54063"/>
    <cellStyle name="Multiple Cell Column Heading" xfId="54064"/>
    <cellStyle name="Named Range" xfId="54065"/>
    <cellStyle name="Named Range Cells" xfId="54066"/>
    <cellStyle name="Named Range Tag" xfId="54067"/>
    <cellStyle name="Named Range_PCT_initial_plan_form_template_10.12.20" xfId="54068"/>
    <cellStyle name="NB" xfId="54069"/>
    <cellStyle name="Neutral 2" xfId="40"/>
    <cellStyle name="Neutral 3" xfId="566"/>
    <cellStyle name="Normal" xfId="0" builtinId="0"/>
    <cellStyle name="Normal - Style1" xfId="54070"/>
    <cellStyle name="Normal 10" xfId="709"/>
    <cellStyle name="Normal 10 2" xfId="54071"/>
    <cellStyle name="Normal 10 2 2" xfId="54072"/>
    <cellStyle name="Normal 10 2 2 2" xfId="54073"/>
    <cellStyle name="Normal 10 2 2 3" xfId="54074"/>
    <cellStyle name="Normal 10 2 3" xfId="54075"/>
    <cellStyle name="Normal 10 2 4" xfId="54076"/>
    <cellStyle name="Normal 10 2 5" xfId="54077"/>
    <cellStyle name="Normal 10 3" xfId="54078"/>
    <cellStyle name="Normal 10 3 2" xfId="54079"/>
    <cellStyle name="Normal 10 3 3" xfId="54080"/>
    <cellStyle name="Normal 10 3 4" xfId="54081"/>
    <cellStyle name="Normal 10 4" xfId="54082"/>
    <cellStyle name="Normal 10 4 2" xfId="54083"/>
    <cellStyle name="Normal 10 4 3" xfId="54084"/>
    <cellStyle name="Normal 10 5" xfId="54085"/>
    <cellStyle name="Normal 10 6" xfId="54086"/>
    <cellStyle name="Normal 10 7" xfId="54087"/>
    <cellStyle name="Normal 11" xfId="715"/>
    <cellStyle name="Normal 11 2" xfId="730"/>
    <cellStyle name="Normal 11 2 2" xfId="54088"/>
    <cellStyle name="Normal 11 2 2 2" xfId="54089"/>
    <cellStyle name="Normal 11 2 2 3" xfId="54090"/>
    <cellStyle name="Normal 11 2 3" xfId="54091"/>
    <cellStyle name="Normal 11 2 4" xfId="54092"/>
    <cellStyle name="Normal 11 2 5" xfId="54093"/>
    <cellStyle name="Normal 11 3" xfId="54094"/>
    <cellStyle name="Normal 11 3 2" xfId="54095"/>
    <cellStyle name="Normal 11 3 3" xfId="54096"/>
    <cellStyle name="Normal 11 3 4" xfId="54097"/>
    <cellStyle name="Normal 11 4" xfId="54098"/>
    <cellStyle name="Normal 11 4 2" xfId="54099"/>
    <cellStyle name="Normal 11 5" xfId="54100"/>
    <cellStyle name="Normal 11 6" xfId="54101"/>
    <cellStyle name="Normal 12" xfId="716"/>
    <cellStyle name="Normal 12 2" xfId="728"/>
    <cellStyle name="Normal 12 2 2" xfId="54102"/>
    <cellStyle name="Normal 12 2 3" xfId="54103"/>
    <cellStyle name="Normal 12 2 4" xfId="54104"/>
    <cellStyle name="Normal 12 3" xfId="731"/>
    <cellStyle name="Normal 12 3 2" xfId="54105"/>
    <cellStyle name="Normal 12 4" xfId="54106"/>
    <cellStyle name="Normal 12 5" xfId="54107"/>
    <cellStyle name="Normal 13" xfId="54108"/>
    <cellStyle name="Normal 13 2" xfId="54109"/>
    <cellStyle name="Normal 13 3" xfId="54110"/>
    <cellStyle name="Normal 13 3 2" xfId="54111"/>
    <cellStyle name="Normal 14" xfId="54112"/>
    <cellStyle name="Normal 14 2" xfId="54113"/>
    <cellStyle name="Normal 14 3" xfId="54114"/>
    <cellStyle name="Normal 14 4" xfId="54115"/>
    <cellStyle name="Normal 15" xfId="54116"/>
    <cellStyle name="Normal 15 2" xfId="54117"/>
    <cellStyle name="Normal 15 3" xfId="54118"/>
    <cellStyle name="Normal 16" xfId="54119"/>
    <cellStyle name="Normal 16 2" xfId="54120"/>
    <cellStyle name="Normal 17" xfId="54121"/>
    <cellStyle name="Normal 17 2" xfId="54122"/>
    <cellStyle name="Normal 17 3" xfId="54123"/>
    <cellStyle name="Normal 18" xfId="54124"/>
    <cellStyle name="Normal 19" xfId="54125"/>
    <cellStyle name="Normal 2" xfId="1"/>
    <cellStyle name="Normal 2 2" xfId="48"/>
    <cellStyle name="Normal 2 2 2" xfId="54126"/>
    <cellStyle name="Normal 2 2 2 2" xfId="54127"/>
    <cellStyle name="Normal 2 2 2 3" xfId="54128"/>
    <cellStyle name="Normal 2 3" xfId="85"/>
    <cellStyle name="Normal 2 3 2" xfId="54129"/>
    <cellStyle name="Normal 2 3 2 2" xfId="54130"/>
    <cellStyle name="Normal 2 3 2 2 2" xfId="54131"/>
    <cellStyle name="Normal 2 3 2 2 2 2" xfId="54132"/>
    <cellStyle name="Normal 2 3 2 2 2 2 2" xfId="54133"/>
    <cellStyle name="Normal 2 3 2 2 2 2 3" xfId="54134"/>
    <cellStyle name="Normal 2 3 2 2 2 3" xfId="54135"/>
    <cellStyle name="Normal 2 3 2 2 2 4" xfId="54136"/>
    <cellStyle name="Normal 2 3 2 2 3" xfId="54137"/>
    <cellStyle name="Normal 2 3 2 2 3 2" xfId="54138"/>
    <cellStyle name="Normal 2 3 2 2 3 3" xfId="54139"/>
    <cellStyle name="Normal 2 3 2 2 4" xfId="54140"/>
    <cellStyle name="Normal 2 3 2 2 4 2" xfId="54141"/>
    <cellStyle name="Normal 2 3 2 2 4 3" xfId="54142"/>
    <cellStyle name="Normal 2 3 2 2 5" xfId="54143"/>
    <cellStyle name="Normal 2 3 2 2 6" xfId="54144"/>
    <cellStyle name="Normal 2 3 2 3" xfId="54145"/>
    <cellStyle name="Normal 2 3 2 3 2" xfId="54146"/>
    <cellStyle name="Normal 2 3 2 3 2 2" xfId="54147"/>
    <cellStyle name="Normal 2 3 2 3 2 2 2" xfId="54148"/>
    <cellStyle name="Normal 2 3 2 3 2 2 3" xfId="54149"/>
    <cellStyle name="Normal 2 3 2 3 2 3" xfId="54150"/>
    <cellStyle name="Normal 2 3 2 3 2 4" xfId="54151"/>
    <cellStyle name="Normal 2 3 2 3 3" xfId="54152"/>
    <cellStyle name="Normal 2 3 2 3 3 2" xfId="54153"/>
    <cellStyle name="Normal 2 3 2 3 3 3" xfId="54154"/>
    <cellStyle name="Normal 2 3 2 3 4" xfId="54155"/>
    <cellStyle name="Normal 2 3 2 3 5" xfId="54156"/>
    <cellStyle name="Normal 2 3 2 4" xfId="54157"/>
    <cellStyle name="Normal 2 3 2 4 2" xfId="54158"/>
    <cellStyle name="Normal 2 3 2 4 2 2" xfId="54159"/>
    <cellStyle name="Normal 2 3 2 4 2 3" xfId="54160"/>
    <cellStyle name="Normal 2 3 2 4 3" xfId="54161"/>
    <cellStyle name="Normal 2 3 2 4 4" xfId="54162"/>
    <cellStyle name="Normal 2 3 2 5" xfId="54163"/>
    <cellStyle name="Normal 2 3 2 5 2" xfId="54164"/>
    <cellStyle name="Normal 2 3 2 5 3" xfId="54165"/>
    <cellStyle name="Normal 2 3 2 6" xfId="54166"/>
    <cellStyle name="Normal 2 3 2 6 2" xfId="54167"/>
    <cellStyle name="Normal 2 3 2 6 3" xfId="54168"/>
    <cellStyle name="Normal 2 3 2 7" xfId="54169"/>
    <cellStyle name="Normal 2 3 3" xfId="54170"/>
    <cellStyle name="Normal 2 3 3 2" xfId="54171"/>
    <cellStyle name="Normal 2 3 3 2 2" xfId="54172"/>
    <cellStyle name="Normal 2 3 3 2 2 2" xfId="54173"/>
    <cellStyle name="Normal 2 3 3 2 2 3" xfId="54174"/>
    <cellStyle name="Normal 2 3 3 2 3" xfId="54175"/>
    <cellStyle name="Normal 2 3 3 2 4" xfId="54176"/>
    <cellStyle name="Normal 2 3 3 3" xfId="54177"/>
    <cellStyle name="Normal 2 3 3 3 2" xfId="54178"/>
    <cellStyle name="Normal 2 3 3 3 3" xfId="54179"/>
    <cellStyle name="Normal 2 3 3 4" xfId="54180"/>
    <cellStyle name="Normal 2 3 3 4 2" xfId="54181"/>
    <cellStyle name="Normal 2 3 3 4 3" xfId="54182"/>
    <cellStyle name="Normal 2 3 3 5" xfId="54183"/>
    <cellStyle name="Normal 2 3 3 6" xfId="54184"/>
    <cellStyle name="Normal 2 3 3 7" xfId="54185"/>
    <cellStyle name="Normal 2 3 4" xfId="54186"/>
    <cellStyle name="Normal 2 3 4 2" xfId="54187"/>
    <cellStyle name="Normal 2 3 4 2 2" xfId="54188"/>
    <cellStyle name="Normal 2 3 4 2 2 2" xfId="54189"/>
    <cellStyle name="Normal 2 3 4 2 2 3" xfId="54190"/>
    <cellStyle name="Normal 2 3 4 2 3" xfId="54191"/>
    <cellStyle name="Normal 2 3 4 2 4" xfId="54192"/>
    <cellStyle name="Normal 2 3 4 3" xfId="54193"/>
    <cellStyle name="Normal 2 3 4 3 2" xfId="54194"/>
    <cellStyle name="Normal 2 3 4 3 3" xfId="54195"/>
    <cellStyle name="Normal 2 3 4 4" xfId="54196"/>
    <cellStyle name="Normal 2 3 4 5" xfId="54197"/>
    <cellStyle name="Normal 2 3 5" xfId="54198"/>
    <cellStyle name="Normal 2 3 5 2" xfId="54199"/>
    <cellStyle name="Normal 2 3 5 2 2" xfId="54200"/>
    <cellStyle name="Normal 2 3 5 2 3" xfId="54201"/>
    <cellStyle name="Normal 2 3 5 3" xfId="54202"/>
    <cellStyle name="Normal 2 3 5 4" xfId="54203"/>
    <cellStyle name="Normal 2 3 6" xfId="54204"/>
    <cellStyle name="Normal 2 3 6 2" xfId="54205"/>
    <cellStyle name="Normal 2 3 6 3" xfId="54206"/>
    <cellStyle name="Normal 2 3 7" xfId="54207"/>
    <cellStyle name="Normal 2 3 7 2" xfId="54208"/>
    <cellStyle name="Normal 2 3 7 3" xfId="54209"/>
    <cellStyle name="Normal 2 3 8" xfId="54210"/>
    <cellStyle name="Normal 2 3 8 2" xfId="54211"/>
    <cellStyle name="Normal 2 3 8 3" xfId="54212"/>
    <cellStyle name="Normal 2 3 9" xfId="54213"/>
    <cellStyle name="Normal 2 4" xfId="69"/>
    <cellStyle name="Normal 2 4 10" xfId="54214"/>
    <cellStyle name="Normal 2 4 2" xfId="54215"/>
    <cellStyle name="Normal 2 4 2 2" xfId="54216"/>
    <cellStyle name="Normal 2 4 2 2 2" xfId="54217"/>
    <cellStyle name="Normal 2 4 2 2 2 2" xfId="54218"/>
    <cellStyle name="Normal 2 4 2 2 2 3" xfId="54219"/>
    <cellStyle name="Normal 2 4 2 2 3" xfId="54220"/>
    <cellStyle name="Normal 2 4 2 2 4" xfId="54221"/>
    <cellStyle name="Normal 2 4 2 3" xfId="54222"/>
    <cellStyle name="Normal 2 4 2 3 2" xfId="54223"/>
    <cellStyle name="Normal 2 4 2 3 3" xfId="54224"/>
    <cellStyle name="Normal 2 4 2 4" xfId="54225"/>
    <cellStyle name="Normal 2 4 2 4 2" xfId="54226"/>
    <cellStyle name="Normal 2 4 2 4 3" xfId="54227"/>
    <cellStyle name="Normal 2 4 2 5" xfId="54228"/>
    <cellStyle name="Normal 2 4 2 6" xfId="54229"/>
    <cellStyle name="Normal 2 4 2 7" xfId="54230"/>
    <cellStyle name="Normal 2 4 3" xfId="54231"/>
    <cellStyle name="Normal 2 4 3 2" xfId="54232"/>
    <cellStyle name="Normal 2 4 3 2 2" xfId="54233"/>
    <cellStyle name="Normal 2 4 3 2 2 2" xfId="54234"/>
    <cellStyle name="Normal 2 4 3 2 2 3" xfId="54235"/>
    <cellStyle name="Normal 2 4 3 2 3" xfId="54236"/>
    <cellStyle name="Normal 2 4 3 2 4" xfId="54237"/>
    <cellStyle name="Normal 2 4 3 3" xfId="54238"/>
    <cellStyle name="Normal 2 4 3 3 2" xfId="54239"/>
    <cellStyle name="Normal 2 4 3 3 3" xfId="54240"/>
    <cellStyle name="Normal 2 4 3 4" xfId="54241"/>
    <cellStyle name="Normal 2 4 3 5" xfId="54242"/>
    <cellStyle name="Normal 2 4 3 6" xfId="54243"/>
    <cellStyle name="Normal 2 4 4" xfId="54244"/>
    <cellStyle name="Normal 2 4 4 2" xfId="54245"/>
    <cellStyle name="Normal 2 4 4 2 2" xfId="54246"/>
    <cellStyle name="Normal 2 4 4 2 3" xfId="54247"/>
    <cellStyle name="Normal 2 4 4 3" xfId="54248"/>
    <cellStyle name="Normal 2 4 4 4" xfId="54249"/>
    <cellStyle name="Normal 2 4 5" xfId="54250"/>
    <cellStyle name="Normal 2 4 5 2" xfId="54251"/>
    <cellStyle name="Normal 2 4 5 3" xfId="54252"/>
    <cellStyle name="Normal 2 4 6" xfId="54253"/>
    <cellStyle name="Normal 2 4 6 2" xfId="54254"/>
    <cellStyle name="Normal 2 4 6 3" xfId="54255"/>
    <cellStyle name="Normal 2 4 7" xfId="54256"/>
    <cellStyle name="Normal 2 4 7 2" xfId="54257"/>
    <cellStyle name="Normal 2 4 7 3" xfId="54258"/>
    <cellStyle name="Normal 2 4 8" xfId="54259"/>
    <cellStyle name="Normal 2 4 9" xfId="54260"/>
    <cellStyle name="Normal 2 5" xfId="553"/>
    <cellStyle name="Normal 2 5 2" xfId="54261"/>
    <cellStyle name="Normal 2 6" xfId="711"/>
    <cellStyle name="Normal 2 7" xfId="717"/>
    <cellStyle name="Normal 2 8" xfId="738"/>
    <cellStyle name="Normal 2_2012-13 budgets summary V1 Start - April 2012" xfId="54262"/>
    <cellStyle name="Normal 20" xfId="54263"/>
    <cellStyle name="Normal 20 2" xfId="54264"/>
    <cellStyle name="Normal 20 3" xfId="54265"/>
    <cellStyle name="Normal 21" xfId="54266"/>
    <cellStyle name="Normal 22" xfId="54267"/>
    <cellStyle name="Normal 23" xfId="54268"/>
    <cellStyle name="Normal 24" xfId="54269"/>
    <cellStyle name="Normal 25" xfId="54270"/>
    <cellStyle name="Normal 26" xfId="54271"/>
    <cellStyle name="Normal 27" xfId="54272"/>
    <cellStyle name="Normal 28" xfId="14503"/>
    <cellStyle name="Normal 28 2" xfId="54273"/>
    <cellStyle name="Normal 28 3" xfId="54274"/>
    <cellStyle name="Normal 3" xfId="2"/>
    <cellStyle name="Normal 3 2" xfId="54"/>
    <cellStyle name="Normal 3 2 10" xfId="54275"/>
    <cellStyle name="Normal 3 2 2" xfId="54276"/>
    <cellStyle name="Normal 3 2 2 2" xfId="54277"/>
    <cellStyle name="Normal 3 2 2 2 2" xfId="54278"/>
    <cellStyle name="Normal 3 2 2 2 2 2" xfId="54279"/>
    <cellStyle name="Normal 3 2 2 2 2 2 2" xfId="54280"/>
    <cellStyle name="Normal 3 2 2 2 2 2 3" xfId="54281"/>
    <cellStyle name="Normal 3 2 2 2 2 3" xfId="54282"/>
    <cellStyle name="Normal 3 2 2 2 2 4" xfId="54283"/>
    <cellStyle name="Normal 3 2 2 2 3" xfId="54284"/>
    <cellStyle name="Normal 3 2 2 2 3 2" xfId="54285"/>
    <cellStyle name="Normal 3 2 2 2 3 3" xfId="54286"/>
    <cellStyle name="Normal 3 2 2 2 4" xfId="54287"/>
    <cellStyle name="Normal 3 2 2 2 4 2" xfId="54288"/>
    <cellStyle name="Normal 3 2 2 2 4 3" xfId="54289"/>
    <cellStyle name="Normal 3 2 2 2 5" xfId="54290"/>
    <cellStyle name="Normal 3 2 2 2 6" xfId="54291"/>
    <cellStyle name="Normal 3 2 2 3" xfId="54292"/>
    <cellStyle name="Normal 3 2 2 3 2" xfId="54293"/>
    <cellStyle name="Normal 3 2 2 3 2 2" xfId="54294"/>
    <cellStyle name="Normal 3 2 2 3 2 2 2" xfId="54295"/>
    <cellStyle name="Normal 3 2 2 3 2 2 3" xfId="54296"/>
    <cellStyle name="Normal 3 2 2 3 2 3" xfId="54297"/>
    <cellStyle name="Normal 3 2 2 3 2 4" xfId="54298"/>
    <cellStyle name="Normal 3 2 2 3 3" xfId="54299"/>
    <cellStyle name="Normal 3 2 2 3 3 2" xfId="54300"/>
    <cellStyle name="Normal 3 2 2 3 3 3" xfId="54301"/>
    <cellStyle name="Normal 3 2 2 3 4" xfId="54302"/>
    <cellStyle name="Normal 3 2 2 3 5" xfId="54303"/>
    <cellStyle name="Normal 3 2 2 4" xfId="54304"/>
    <cellStyle name="Normal 3 2 2 4 2" xfId="54305"/>
    <cellStyle name="Normal 3 2 2 4 2 2" xfId="54306"/>
    <cellStyle name="Normal 3 2 2 4 2 3" xfId="54307"/>
    <cellStyle name="Normal 3 2 2 4 3" xfId="54308"/>
    <cellStyle name="Normal 3 2 2 4 4" xfId="54309"/>
    <cellStyle name="Normal 3 2 2 5" xfId="54310"/>
    <cellStyle name="Normal 3 2 2 5 2" xfId="54311"/>
    <cellStyle name="Normal 3 2 2 5 3" xfId="54312"/>
    <cellStyle name="Normal 3 2 2 6" xfId="54313"/>
    <cellStyle name="Normal 3 2 2 6 2" xfId="54314"/>
    <cellStyle name="Normal 3 2 2 6 3" xfId="54315"/>
    <cellStyle name="Normal 3 2 2 7" xfId="54316"/>
    <cellStyle name="Normal 3 2 2 8" xfId="54317"/>
    <cellStyle name="Normal 3 2 2 9" xfId="54318"/>
    <cellStyle name="Normal 3 2 3" xfId="54319"/>
    <cellStyle name="Normal 3 2 3 2" xfId="54320"/>
    <cellStyle name="Normal 3 2 3 2 2" xfId="54321"/>
    <cellStyle name="Normal 3 2 3 2 2 2" xfId="54322"/>
    <cellStyle name="Normal 3 2 3 2 2 3" xfId="54323"/>
    <cellStyle name="Normal 3 2 3 2 3" xfId="54324"/>
    <cellStyle name="Normal 3 2 3 2 4" xfId="54325"/>
    <cellStyle name="Normal 3 2 3 3" xfId="54326"/>
    <cellStyle name="Normal 3 2 3 3 2" xfId="54327"/>
    <cellStyle name="Normal 3 2 3 3 3" xfId="54328"/>
    <cellStyle name="Normal 3 2 3 4" xfId="54329"/>
    <cellStyle name="Normal 3 2 3 4 2" xfId="54330"/>
    <cellStyle name="Normal 3 2 3 4 3" xfId="54331"/>
    <cellStyle name="Normal 3 2 3 5" xfId="54332"/>
    <cellStyle name="Normal 3 2 3 6" xfId="54333"/>
    <cellStyle name="Normal 3 2 4" xfId="54334"/>
    <cellStyle name="Normal 3 2 4 2" xfId="54335"/>
    <cellStyle name="Normal 3 2 4 2 2" xfId="54336"/>
    <cellStyle name="Normal 3 2 4 2 2 2" xfId="54337"/>
    <cellStyle name="Normal 3 2 4 2 2 3" xfId="54338"/>
    <cellStyle name="Normal 3 2 4 2 3" xfId="54339"/>
    <cellStyle name="Normal 3 2 4 2 4" xfId="54340"/>
    <cellStyle name="Normal 3 2 4 3" xfId="54341"/>
    <cellStyle name="Normal 3 2 4 3 2" xfId="54342"/>
    <cellStyle name="Normal 3 2 4 3 3" xfId="54343"/>
    <cellStyle name="Normal 3 2 4 4" xfId="54344"/>
    <cellStyle name="Normal 3 2 4 5" xfId="54345"/>
    <cellStyle name="Normal 3 2 5" xfId="54346"/>
    <cellStyle name="Normal 3 2 5 2" xfId="54347"/>
    <cellStyle name="Normal 3 2 5 2 2" xfId="54348"/>
    <cellStyle name="Normal 3 2 5 2 3" xfId="54349"/>
    <cellStyle name="Normal 3 2 5 3" xfId="54350"/>
    <cellStyle name="Normal 3 2 5 4" xfId="54351"/>
    <cellStyle name="Normal 3 2 6" xfId="54352"/>
    <cellStyle name="Normal 3 2 6 2" xfId="54353"/>
    <cellStyle name="Normal 3 2 6 3" xfId="54354"/>
    <cellStyle name="Normal 3 2 7" xfId="54355"/>
    <cellStyle name="Normal 3 2 7 2" xfId="54356"/>
    <cellStyle name="Normal 3 2 7 3" xfId="54357"/>
    <cellStyle name="Normal 3 2 8" xfId="54358"/>
    <cellStyle name="Normal 3 2 8 2" xfId="54359"/>
    <cellStyle name="Normal 3 2 8 3" xfId="54360"/>
    <cellStyle name="Normal 3 2 9" xfId="54361"/>
    <cellStyle name="Normal 3 3" xfId="125"/>
    <cellStyle name="Normal 3 3 10" xfId="54362"/>
    <cellStyle name="Normal 3 3 11" xfId="54363"/>
    <cellStyle name="Normal 3 3 2" xfId="54364"/>
    <cellStyle name="Normal 3 3 2 2" xfId="54365"/>
    <cellStyle name="Normal 3 3 2 2 2" xfId="54366"/>
    <cellStyle name="Normal 3 3 2 2 2 2" xfId="54367"/>
    <cellStyle name="Normal 3 3 2 2 2 2 2" xfId="54368"/>
    <cellStyle name="Normal 3 3 2 2 2 2 3" xfId="54369"/>
    <cellStyle name="Normal 3 3 2 2 2 3" xfId="54370"/>
    <cellStyle name="Normal 3 3 2 2 2 4" xfId="54371"/>
    <cellStyle name="Normal 3 3 2 2 3" xfId="54372"/>
    <cellStyle name="Normal 3 3 2 2 3 2" xfId="54373"/>
    <cellStyle name="Normal 3 3 2 2 3 3" xfId="54374"/>
    <cellStyle name="Normal 3 3 2 2 4" xfId="54375"/>
    <cellStyle name="Normal 3 3 2 2 4 2" xfId="54376"/>
    <cellStyle name="Normal 3 3 2 2 4 3" xfId="54377"/>
    <cellStyle name="Normal 3 3 2 2 5" xfId="54378"/>
    <cellStyle name="Normal 3 3 2 2 6" xfId="54379"/>
    <cellStyle name="Normal 3 3 2 3" xfId="54380"/>
    <cellStyle name="Normal 3 3 2 3 2" xfId="54381"/>
    <cellStyle name="Normal 3 3 2 3 2 2" xfId="54382"/>
    <cellStyle name="Normal 3 3 2 3 2 2 2" xfId="54383"/>
    <cellStyle name="Normal 3 3 2 3 2 2 3" xfId="54384"/>
    <cellStyle name="Normal 3 3 2 3 2 3" xfId="54385"/>
    <cellStyle name="Normal 3 3 2 3 2 4" xfId="54386"/>
    <cellStyle name="Normal 3 3 2 3 3" xfId="54387"/>
    <cellStyle name="Normal 3 3 2 3 3 2" xfId="54388"/>
    <cellStyle name="Normal 3 3 2 3 3 3" xfId="54389"/>
    <cellStyle name="Normal 3 3 2 3 4" xfId="54390"/>
    <cellStyle name="Normal 3 3 2 3 5" xfId="54391"/>
    <cellStyle name="Normal 3 3 2 4" xfId="54392"/>
    <cellStyle name="Normal 3 3 2 4 2" xfId="54393"/>
    <cellStyle name="Normal 3 3 2 4 2 2" xfId="54394"/>
    <cellStyle name="Normal 3 3 2 4 2 3" xfId="54395"/>
    <cellStyle name="Normal 3 3 2 4 3" xfId="54396"/>
    <cellStyle name="Normal 3 3 2 4 4" xfId="54397"/>
    <cellStyle name="Normal 3 3 2 5" xfId="54398"/>
    <cellStyle name="Normal 3 3 2 5 2" xfId="54399"/>
    <cellStyle name="Normal 3 3 2 5 3" xfId="54400"/>
    <cellStyle name="Normal 3 3 2 6" xfId="54401"/>
    <cellStyle name="Normal 3 3 2 6 2" xfId="54402"/>
    <cellStyle name="Normal 3 3 2 6 3" xfId="54403"/>
    <cellStyle name="Normal 3 3 2 7" xfId="54404"/>
    <cellStyle name="Normal 3 3 2 8" xfId="54405"/>
    <cellStyle name="Normal 3 3 2 9" xfId="54406"/>
    <cellStyle name="Normal 3 3 3" xfId="54407"/>
    <cellStyle name="Normal 3 3 3 2" xfId="54408"/>
    <cellStyle name="Normal 3 3 3 2 2" xfId="54409"/>
    <cellStyle name="Normal 3 3 3 2 2 2" xfId="54410"/>
    <cellStyle name="Normal 3 3 3 2 2 3" xfId="54411"/>
    <cellStyle name="Normal 3 3 3 2 3" xfId="54412"/>
    <cellStyle name="Normal 3 3 3 2 4" xfId="54413"/>
    <cellStyle name="Normal 3 3 3 3" xfId="54414"/>
    <cellStyle name="Normal 3 3 3 3 2" xfId="54415"/>
    <cellStyle name="Normal 3 3 3 3 3" xfId="54416"/>
    <cellStyle name="Normal 3 3 3 4" xfId="54417"/>
    <cellStyle name="Normal 3 3 3 4 2" xfId="54418"/>
    <cellStyle name="Normal 3 3 3 4 3" xfId="54419"/>
    <cellStyle name="Normal 3 3 3 5" xfId="54420"/>
    <cellStyle name="Normal 3 3 3 6" xfId="54421"/>
    <cellStyle name="Normal 3 3 3 7" xfId="54422"/>
    <cellStyle name="Normal 3 3 4" xfId="54423"/>
    <cellStyle name="Normal 3 3 4 2" xfId="54424"/>
    <cellStyle name="Normal 3 3 4 2 2" xfId="54425"/>
    <cellStyle name="Normal 3 3 4 2 2 2" xfId="54426"/>
    <cellStyle name="Normal 3 3 4 2 2 3" xfId="54427"/>
    <cellStyle name="Normal 3 3 4 2 3" xfId="54428"/>
    <cellStyle name="Normal 3 3 4 2 4" xfId="54429"/>
    <cellStyle name="Normal 3 3 4 3" xfId="54430"/>
    <cellStyle name="Normal 3 3 4 3 2" xfId="54431"/>
    <cellStyle name="Normal 3 3 4 3 3" xfId="54432"/>
    <cellStyle name="Normal 3 3 4 4" xfId="54433"/>
    <cellStyle name="Normal 3 3 4 5" xfId="54434"/>
    <cellStyle name="Normal 3 3 5" xfId="54435"/>
    <cellStyle name="Normal 3 3 5 2" xfId="54436"/>
    <cellStyle name="Normal 3 3 5 2 2" xfId="54437"/>
    <cellStyle name="Normal 3 3 5 2 3" xfId="54438"/>
    <cellStyle name="Normal 3 3 5 3" xfId="54439"/>
    <cellStyle name="Normal 3 3 5 4" xfId="54440"/>
    <cellStyle name="Normal 3 3 6" xfId="54441"/>
    <cellStyle name="Normal 3 3 6 2" xfId="54442"/>
    <cellStyle name="Normal 3 3 6 3" xfId="54443"/>
    <cellStyle name="Normal 3 3 7" xfId="54444"/>
    <cellStyle name="Normal 3 3 7 2" xfId="54445"/>
    <cellStyle name="Normal 3 3 7 3" xfId="54446"/>
    <cellStyle name="Normal 3 3 8" xfId="54447"/>
    <cellStyle name="Normal 3 3 8 2" xfId="54448"/>
    <cellStyle name="Normal 3 3 8 3" xfId="54449"/>
    <cellStyle name="Normal 3 3 9" xfId="54450"/>
    <cellStyle name="Normal 3 4" xfId="54451"/>
    <cellStyle name="Normal 3 4 2" xfId="54452"/>
    <cellStyle name="Normal 3 4 3" xfId="54453"/>
    <cellStyle name="Normal 3 5" xfId="54454"/>
    <cellStyle name="Normal 3 5 2" xfId="54455"/>
    <cellStyle name="Normal 3 6" xfId="54456"/>
    <cellStyle name="Normal 3 7" xfId="54457"/>
    <cellStyle name="Normal 3_2012-13 budgets summary V1 Start - April 2012" xfId="54458"/>
    <cellStyle name="Normal 4" xfId="58"/>
    <cellStyle name="Normal 4 2" xfId="87"/>
    <cellStyle name="Normal 4 2 2" xfId="54459"/>
    <cellStyle name="Normal 4 2 2 2" xfId="54460"/>
    <cellStyle name="Normal 4 2 2 2 2" xfId="54461"/>
    <cellStyle name="Normal 4 2 2 2 2 2" xfId="54462"/>
    <cellStyle name="Normal 4 2 2 2 2 3" xfId="54463"/>
    <cellStyle name="Normal 4 2 2 2 3" xfId="54464"/>
    <cellStyle name="Normal 4 2 2 2 4" xfId="54465"/>
    <cellStyle name="Normal 4 2 2 2 5" xfId="54466"/>
    <cellStyle name="Normal 4 2 2 3" xfId="54467"/>
    <cellStyle name="Normal 4 2 2 3 2" xfId="54468"/>
    <cellStyle name="Normal 4 2 2 3 3" xfId="54469"/>
    <cellStyle name="Normal 4 2 2 4" xfId="54470"/>
    <cellStyle name="Normal 4 2 2 4 2" xfId="54471"/>
    <cellStyle name="Normal 4 2 2 4 3" xfId="54472"/>
    <cellStyle name="Normal 4 2 2 5" xfId="54473"/>
    <cellStyle name="Normal 4 2 2 6" xfId="54474"/>
    <cellStyle name="Normal 4 2 2 7" xfId="54475"/>
    <cellStyle name="Normal 4 2 3" xfId="54476"/>
    <cellStyle name="Normal 4 2 3 2" xfId="54477"/>
    <cellStyle name="Normal 4 2 3 2 2" xfId="54478"/>
    <cellStyle name="Normal 4 2 3 2 2 2" xfId="54479"/>
    <cellStyle name="Normal 4 2 3 2 2 3" xfId="54480"/>
    <cellStyle name="Normal 4 2 3 2 3" xfId="54481"/>
    <cellStyle name="Normal 4 2 3 2 4" xfId="54482"/>
    <cellStyle name="Normal 4 2 3 3" xfId="54483"/>
    <cellStyle name="Normal 4 2 3 3 2" xfId="54484"/>
    <cellStyle name="Normal 4 2 3 3 3" xfId="54485"/>
    <cellStyle name="Normal 4 2 3 4" xfId="54486"/>
    <cellStyle name="Normal 4 2 3 5" xfId="54487"/>
    <cellStyle name="Normal 4 2 3 6" xfId="54488"/>
    <cellStyle name="Normal 4 2 4" xfId="54489"/>
    <cellStyle name="Normal 4 2 4 2" xfId="54490"/>
    <cellStyle name="Normal 4 2 4 2 2" xfId="54491"/>
    <cellStyle name="Normal 4 2 4 2 3" xfId="54492"/>
    <cellStyle name="Normal 4 2 4 3" xfId="54493"/>
    <cellStyle name="Normal 4 2 4 4" xfId="54494"/>
    <cellStyle name="Normal 4 2 5" xfId="54495"/>
    <cellStyle name="Normal 4 2 5 2" xfId="54496"/>
    <cellStyle name="Normal 4 2 5 3" xfId="54497"/>
    <cellStyle name="Normal 4 2 6" xfId="54498"/>
    <cellStyle name="Normal 4 2 6 2" xfId="54499"/>
    <cellStyle name="Normal 4 2 6 3" xfId="54500"/>
    <cellStyle name="Normal 4 2 7" xfId="54501"/>
    <cellStyle name="Normal 4 2 8" xfId="54502"/>
    <cellStyle name="Normal 4 2 9" xfId="54503"/>
    <cellStyle name="Normal 4 3" xfId="624"/>
    <cellStyle name="Normal 4 3 2" xfId="54504"/>
    <cellStyle name="Normal 4 4" xfId="727"/>
    <cellStyle name="Normal 4 5" xfId="737"/>
    <cellStyle name="Normal 4 5 2" xfId="54505"/>
    <cellStyle name="Normal 4 5 3" xfId="54506"/>
    <cellStyle name="Normal 4 6" xfId="54507"/>
    <cellStyle name="Normal 4 6 2" xfId="54508"/>
    <cellStyle name="Normal 4 7" xfId="54509"/>
    <cellStyle name="Normal 40 4" xfId="54510"/>
    <cellStyle name="Normal 5" xfId="75"/>
    <cellStyle name="Normal 5 10" xfId="54511"/>
    <cellStyle name="Normal 5 2" xfId="88"/>
    <cellStyle name="Normal 5 2 2" xfId="54512"/>
    <cellStyle name="Normal 5 2 2 2" xfId="54513"/>
    <cellStyle name="Normal 5 2 2 2 2" xfId="54514"/>
    <cellStyle name="Normal 5 2 2 2 2 2" xfId="54515"/>
    <cellStyle name="Normal 5 2 2 2 2 3" xfId="54516"/>
    <cellStyle name="Normal 5 2 2 2 3" xfId="54517"/>
    <cellStyle name="Normal 5 2 2 2 4" xfId="54518"/>
    <cellStyle name="Normal 5 2 2 3" xfId="54519"/>
    <cellStyle name="Normal 5 2 2 3 2" xfId="54520"/>
    <cellStyle name="Normal 5 2 2 3 3" xfId="54521"/>
    <cellStyle name="Normal 5 2 2 4" xfId="54522"/>
    <cellStyle name="Normal 5 2 2 4 2" xfId="54523"/>
    <cellStyle name="Normal 5 2 2 4 3" xfId="54524"/>
    <cellStyle name="Normal 5 2 2 5" xfId="54525"/>
    <cellStyle name="Normal 5 2 2 6" xfId="54526"/>
    <cellStyle name="Normal 5 2 2 7" xfId="54527"/>
    <cellStyle name="Normal 5 2 3" xfId="54528"/>
    <cellStyle name="Normal 5 2 3 2" xfId="54529"/>
    <cellStyle name="Normal 5 2 3 2 2" xfId="54530"/>
    <cellStyle name="Normal 5 2 3 2 2 2" xfId="54531"/>
    <cellStyle name="Normal 5 2 3 2 2 3" xfId="54532"/>
    <cellStyle name="Normal 5 2 3 2 3" xfId="54533"/>
    <cellStyle name="Normal 5 2 3 2 4" xfId="54534"/>
    <cellStyle name="Normal 5 2 3 3" xfId="54535"/>
    <cellStyle name="Normal 5 2 3 3 2" xfId="54536"/>
    <cellStyle name="Normal 5 2 3 3 3" xfId="54537"/>
    <cellStyle name="Normal 5 2 3 4" xfId="54538"/>
    <cellStyle name="Normal 5 2 3 5" xfId="54539"/>
    <cellStyle name="Normal 5 2 4" xfId="54540"/>
    <cellStyle name="Normal 5 2 4 2" xfId="54541"/>
    <cellStyle name="Normal 5 2 4 2 2" xfId="54542"/>
    <cellStyle name="Normal 5 2 4 2 3" xfId="54543"/>
    <cellStyle name="Normal 5 2 4 3" xfId="54544"/>
    <cellStyle name="Normal 5 2 4 4" xfId="54545"/>
    <cellStyle name="Normal 5 2 5" xfId="54546"/>
    <cellStyle name="Normal 5 2 5 2" xfId="54547"/>
    <cellStyle name="Normal 5 2 5 3" xfId="54548"/>
    <cellStyle name="Normal 5 2 6" xfId="54549"/>
    <cellStyle name="Normal 5 2 6 2" xfId="54550"/>
    <cellStyle name="Normal 5 2 6 3" xfId="54551"/>
    <cellStyle name="Normal 5 2 7" xfId="54552"/>
    <cellStyle name="Normal 5 2 8" xfId="54553"/>
    <cellStyle name="Normal 5 2 9" xfId="54554"/>
    <cellStyle name="Normal 5 3" xfId="568"/>
    <cellStyle name="Normal 5 3 2" xfId="54555"/>
    <cellStyle name="Normal 5 3 2 2" xfId="54556"/>
    <cellStyle name="Normal 5 3 2 2 2" xfId="54557"/>
    <cellStyle name="Normal 5 3 2 2 3" xfId="54558"/>
    <cellStyle name="Normal 5 3 2 3" xfId="54559"/>
    <cellStyle name="Normal 5 3 2 4" xfId="54560"/>
    <cellStyle name="Normal 5 3 2 5" xfId="54561"/>
    <cellStyle name="Normal 5 3 3" xfId="54562"/>
    <cellStyle name="Normal 5 3 3 2" xfId="54563"/>
    <cellStyle name="Normal 5 3 3 3" xfId="54564"/>
    <cellStyle name="Normal 5 3 3 4" xfId="54565"/>
    <cellStyle name="Normal 5 3 4" xfId="54566"/>
    <cellStyle name="Normal 5 3 4 2" xfId="54567"/>
    <cellStyle name="Normal 5 3 4 3" xfId="54568"/>
    <cellStyle name="Normal 5 3 5" xfId="54569"/>
    <cellStyle name="Normal 5 3 6" xfId="54570"/>
    <cellStyle name="Normal 5 3 7" xfId="54571"/>
    <cellStyle name="Normal 5 4" xfId="712"/>
    <cellStyle name="Normal 5 4 2" xfId="54572"/>
    <cellStyle name="Normal 5 4 2 2" xfId="54573"/>
    <cellStyle name="Normal 5 4 2 2 2" xfId="54574"/>
    <cellStyle name="Normal 5 4 2 2 3" xfId="54575"/>
    <cellStyle name="Normal 5 4 2 3" xfId="54576"/>
    <cellStyle name="Normal 5 4 2 4" xfId="54577"/>
    <cellStyle name="Normal 5 4 3" xfId="54578"/>
    <cellStyle name="Normal 5 4 3 2" xfId="54579"/>
    <cellStyle name="Normal 5 4 3 3" xfId="54580"/>
    <cellStyle name="Normal 5 4 4" xfId="54581"/>
    <cellStyle name="Normal 5 4 5" xfId="54582"/>
    <cellStyle name="Normal 5 4 6" xfId="54583"/>
    <cellStyle name="Normal 5 5" xfId="552"/>
    <cellStyle name="Normal 5 5 2" xfId="54584"/>
    <cellStyle name="Normal 5 5 2 2" xfId="54585"/>
    <cellStyle name="Normal 5 5 2 3" xfId="54586"/>
    <cellStyle name="Normal 5 5 3" xfId="54587"/>
    <cellStyle name="Normal 5 5 4" xfId="54588"/>
    <cellStyle name="Normal 5 5 5" xfId="54589"/>
    <cellStyle name="Normal 5 6" xfId="725"/>
    <cellStyle name="Normal 5 6 2" xfId="54590"/>
    <cellStyle name="Normal 5 6 3" xfId="54591"/>
    <cellStyle name="Normal 5 6 4" xfId="54592"/>
    <cellStyle name="Normal 5 7" xfId="736"/>
    <cellStyle name="Normal 5 7 2" xfId="54593"/>
    <cellStyle name="Normal 5 7 2 2" xfId="54594"/>
    <cellStyle name="Normal 5 7 3" xfId="54595"/>
    <cellStyle name="Normal 5 7 4" xfId="54596"/>
    <cellStyle name="Normal 5 8" xfId="54597"/>
    <cellStyle name="Normal 5 8 2" xfId="54598"/>
    <cellStyle name="Normal 5 8 2 2" xfId="54599"/>
    <cellStyle name="Normal 5 8 3" xfId="54600"/>
    <cellStyle name="Normal 5 8 4" xfId="54601"/>
    <cellStyle name="Normal 5 9" xfId="54602"/>
    <cellStyle name="Normal 5 9 2" xfId="54603"/>
    <cellStyle name="Normal 6" xfId="77"/>
    <cellStyle name="Normal 6 10" xfId="54604"/>
    <cellStyle name="Normal 6 10 2" xfId="54605"/>
    <cellStyle name="Normal 6 10 3" xfId="54606"/>
    <cellStyle name="Normal 6 11" xfId="54607"/>
    <cellStyle name="Normal 6 12" xfId="54608"/>
    <cellStyle name="Normal 6 13" xfId="54609"/>
    <cellStyle name="Normal 6 2" xfId="90"/>
    <cellStyle name="Normal 6 2 2" xfId="54610"/>
    <cellStyle name="Normal 6 2 2 2" xfId="54611"/>
    <cellStyle name="Normal 6 2 2 2 2" xfId="54612"/>
    <cellStyle name="Normal 6 2 2 2 2 2" xfId="54613"/>
    <cellStyle name="Normal 6 2 2 2 2 3" xfId="54614"/>
    <cellStyle name="Normal 6 2 2 2 3" xfId="54615"/>
    <cellStyle name="Normal 6 2 2 2 4" xfId="54616"/>
    <cellStyle name="Normal 6 2 2 3" xfId="54617"/>
    <cellStyle name="Normal 6 2 2 3 2" xfId="54618"/>
    <cellStyle name="Normal 6 2 2 3 3" xfId="54619"/>
    <cellStyle name="Normal 6 2 2 4" xfId="54620"/>
    <cellStyle name="Normal 6 2 2 4 2" xfId="54621"/>
    <cellStyle name="Normal 6 2 2 4 3" xfId="54622"/>
    <cellStyle name="Normal 6 2 2 5" xfId="54623"/>
    <cellStyle name="Normal 6 2 2 6" xfId="54624"/>
    <cellStyle name="Normal 6 2 2 7" xfId="54625"/>
    <cellStyle name="Normal 6 2 3" xfId="54626"/>
    <cellStyle name="Normal 6 2 3 2" xfId="54627"/>
    <cellStyle name="Normal 6 2 3 2 2" xfId="54628"/>
    <cellStyle name="Normal 6 2 3 2 2 2" xfId="54629"/>
    <cellStyle name="Normal 6 2 3 2 2 3" xfId="54630"/>
    <cellStyle name="Normal 6 2 3 2 3" xfId="54631"/>
    <cellStyle name="Normal 6 2 3 2 4" xfId="54632"/>
    <cellStyle name="Normal 6 2 3 3" xfId="54633"/>
    <cellStyle name="Normal 6 2 3 3 2" xfId="54634"/>
    <cellStyle name="Normal 6 2 3 3 3" xfId="54635"/>
    <cellStyle name="Normal 6 2 3 4" xfId="54636"/>
    <cellStyle name="Normal 6 2 3 5" xfId="54637"/>
    <cellStyle name="Normal 6 2 3 6" xfId="54638"/>
    <cellStyle name="Normal 6 2 4" xfId="54639"/>
    <cellStyle name="Normal 6 2 4 2" xfId="54640"/>
    <cellStyle name="Normal 6 2 4 2 2" xfId="54641"/>
    <cellStyle name="Normal 6 2 4 2 3" xfId="54642"/>
    <cellStyle name="Normal 6 2 4 3" xfId="54643"/>
    <cellStyle name="Normal 6 2 4 4" xfId="54644"/>
    <cellStyle name="Normal 6 2 5" xfId="54645"/>
    <cellStyle name="Normal 6 2 5 2" xfId="54646"/>
    <cellStyle name="Normal 6 2 5 3" xfId="54647"/>
    <cellStyle name="Normal 6 2 6" xfId="54648"/>
    <cellStyle name="Normal 6 2 6 2" xfId="54649"/>
    <cellStyle name="Normal 6 2 6 3" xfId="54650"/>
    <cellStyle name="Normal 6 2 7" xfId="54651"/>
    <cellStyle name="Normal 6 2 8" xfId="54652"/>
    <cellStyle name="Normal 6 2 9" xfId="54653"/>
    <cellStyle name="Normal 6 3" xfId="723"/>
    <cellStyle name="Normal 6 3 2" xfId="54654"/>
    <cellStyle name="Normal 6 3 3" xfId="54655"/>
    <cellStyle name="Normal 6 4" xfId="735"/>
    <cellStyle name="Normal 6 4 2" xfId="54656"/>
    <cellStyle name="Normal 6 4 2 2" xfId="54657"/>
    <cellStyle name="Normal 6 4 2 2 2" xfId="54658"/>
    <cellStyle name="Normal 6 4 2 2 2 2" xfId="54659"/>
    <cellStyle name="Normal 6 4 2 2 2 3" xfId="54660"/>
    <cellStyle name="Normal 6 4 2 2 3" xfId="54661"/>
    <cellStyle name="Normal 6 4 2 2 4" xfId="54662"/>
    <cellStyle name="Normal 6 4 2 3" xfId="54663"/>
    <cellStyle name="Normal 6 4 2 3 2" xfId="54664"/>
    <cellStyle name="Normal 6 4 2 3 3" xfId="54665"/>
    <cellStyle name="Normal 6 4 2 4" xfId="54666"/>
    <cellStyle name="Normal 6 4 2 4 2" xfId="54667"/>
    <cellStyle name="Normal 6 4 2 4 3" xfId="54668"/>
    <cellStyle name="Normal 6 4 2 5" xfId="54669"/>
    <cellStyle name="Normal 6 4 2 6" xfId="54670"/>
    <cellStyle name="Normal 6 4 2 7" xfId="54671"/>
    <cellStyle name="Normal 6 4 3" xfId="54672"/>
    <cellStyle name="Normal 6 4 3 2" xfId="54673"/>
    <cellStyle name="Normal 6 4 3 2 2" xfId="54674"/>
    <cellStyle name="Normal 6 4 3 2 2 2" xfId="54675"/>
    <cellStyle name="Normal 6 4 3 2 2 3" xfId="54676"/>
    <cellStyle name="Normal 6 4 3 2 3" xfId="54677"/>
    <cellStyle name="Normal 6 4 3 2 4" xfId="54678"/>
    <cellStyle name="Normal 6 4 3 3" xfId="54679"/>
    <cellStyle name="Normal 6 4 3 3 2" xfId="54680"/>
    <cellStyle name="Normal 6 4 3 3 3" xfId="54681"/>
    <cellStyle name="Normal 6 4 3 4" xfId="54682"/>
    <cellStyle name="Normal 6 4 3 5" xfId="54683"/>
    <cellStyle name="Normal 6 4 3 6" xfId="54684"/>
    <cellStyle name="Normal 6 4 4" xfId="54685"/>
    <cellStyle name="Normal 6 4 4 2" xfId="54686"/>
    <cellStyle name="Normal 6 4 4 2 2" xfId="54687"/>
    <cellStyle name="Normal 6 4 4 2 3" xfId="54688"/>
    <cellStyle name="Normal 6 4 4 3" xfId="54689"/>
    <cellStyle name="Normal 6 4 4 4" xfId="54690"/>
    <cellStyle name="Normal 6 4 5" xfId="54691"/>
    <cellStyle name="Normal 6 4 5 2" xfId="54692"/>
    <cellStyle name="Normal 6 4 5 3" xfId="54693"/>
    <cellStyle name="Normal 6 4 6" xfId="54694"/>
    <cellStyle name="Normal 6 4 6 2" xfId="54695"/>
    <cellStyle name="Normal 6 4 6 3" xfId="54696"/>
    <cellStyle name="Normal 6 4 7" xfId="54697"/>
    <cellStyle name="Normal 6 4 8" xfId="54698"/>
    <cellStyle name="Normal 6 4 9" xfId="54699"/>
    <cellStyle name="Normal 6 5" xfId="54700"/>
    <cellStyle name="Normal 6 5 2" xfId="54701"/>
    <cellStyle name="Normal 6 5 2 2" xfId="54702"/>
    <cellStyle name="Normal 6 5 2 2 2" xfId="54703"/>
    <cellStyle name="Normal 6 5 2 2 3" xfId="54704"/>
    <cellStyle name="Normal 6 5 2 3" xfId="54705"/>
    <cellStyle name="Normal 6 5 2 4" xfId="54706"/>
    <cellStyle name="Normal 6 5 3" xfId="54707"/>
    <cellStyle name="Normal 6 5 3 2" xfId="54708"/>
    <cellStyle name="Normal 6 5 3 3" xfId="54709"/>
    <cellStyle name="Normal 6 5 4" xfId="54710"/>
    <cellStyle name="Normal 6 5 4 2" xfId="54711"/>
    <cellStyle name="Normal 6 5 4 3" xfId="54712"/>
    <cellStyle name="Normal 6 5 5" xfId="54713"/>
    <cellStyle name="Normal 6 5 6" xfId="54714"/>
    <cellStyle name="Normal 6 5 7" xfId="54715"/>
    <cellStyle name="Normal 6 6" xfId="54716"/>
    <cellStyle name="Normal 6 6 2" xfId="54717"/>
    <cellStyle name="Normal 6 6 2 2" xfId="54718"/>
    <cellStyle name="Normal 6 6 2 2 2" xfId="54719"/>
    <cellStyle name="Normal 6 6 2 2 3" xfId="54720"/>
    <cellStyle name="Normal 6 6 2 3" xfId="54721"/>
    <cellStyle name="Normal 6 6 2 4" xfId="54722"/>
    <cellStyle name="Normal 6 6 3" xfId="54723"/>
    <cellStyle name="Normal 6 6 3 2" xfId="54724"/>
    <cellStyle name="Normal 6 6 3 3" xfId="54725"/>
    <cellStyle name="Normal 6 6 4" xfId="54726"/>
    <cellStyle name="Normal 6 6 5" xfId="54727"/>
    <cellStyle name="Normal 6 7" xfId="54728"/>
    <cellStyle name="Normal 6 7 2" xfId="54729"/>
    <cellStyle name="Normal 6 7 2 2" xfId="54730"/>
    <cellStyle name="Normal 6 7 2 3" xfId="54731"/>
    <cellStyle name="Normal 6 7 3" xfId="54732"/>
    <cellStyle name="Normal 6 7 4" xfId="54733"/>
    <cellStyle name="Normal 6 8" xfId="54734"/>
    <cellStyle name="Normal 6 8 2" xfId="54735"/>
    <cellStyle name="Normal 6 8 3" xfId="54736"/>
    <cellStyle name="Normal 6 9" xfId="54737"/>
    <cellStyle name="Normal 6 9 2" xfId="54738"/>
    <cellStyle name="Normal 6 9 3" xfId="54739"/>
    <cellStyle name="Normal 7" xfId="93"/>
    <cellStyle name="Normal 7 2" xfId="726"/>
    <cellStyle name="Normal 7 2 2" xfId="54740"/>
    <cellStyle name="Normal 7 2 2 2" xfId="54741"/>
    <cellStyle name="Normal 7 2 2 2 2" xfId="54742"/>
    <cellStyle name="Normal 7 2 2 2 3" xfId="54743"/>
    <cellStyle name="Normal 7 2 2 3" xfId="54744"/>
    <cellStyle name="Normal 7 2 2 4" xfId="54745"/>
    <cellStyle name="Normal 7 2 3" xfId="54746"/>
    <cellStyle name="Normal 7 2 3 2" xfId="54747"/>
    <cellStyle name="Normal 7 2 3 3" xfId="54748"/>
    <cellStyle name="Normal 7 2 4" xfId="54749"/>
    <cellStyle name="Normal 7 2 4 2" xfId="54750"/>
    <cellStyle name="Normal 7 2 4 3" xfId="54751"/>
    <cellStyle name="Normal 7 2 5" xfId="54752"/>
    <cellStyle name="Normal 7 2 6" xfId="54753"/>
    <cellStyle name="Normal 7 2 7" xfId="54754"/>
    <cellStyle name="Normal 7 3" xfId="734"/>
    <cellStyle name="Normal 7 3 2" xfId="54755"/>
    <cellStyle name="Normal 7 3 2 2" xfId="54756"/>
    <cellStyle name="Normal 7 3 2 2 2" xfId="54757"/>
    <cellStyle name="Normal 7 3 2 2 3" xfId="54758"/>
    <cellStyle name="Normal 7 3 2 3" xfId="54759"/>
    <cellStyle name="Normal 7 3 2 4" xfId="54760"/>
    <cellStyle name="Normal 7 3 2 5" xfId="54761"/>
    <cellStyle name="Normal 7 3 3" xfId="54762"/>
    <cellStyle name="Normal 7 3 3 2" xfId="54763"/>
    <cellStyle name="Normal 7 3 3 3" xfId="54764"/>
    <cellStyle name="Normal 7 3 3 4" xfId="54765"/>
    <cellStyle name="Normal 7 3 4" xfId="54766"/>
    <cellStyle name="Normal 7 3 5" xfId="54767"/>
    <cellStyle name="Normal 7 3 6" xfId="54768"/>
    <cellStyle name="Normal 7 4" xfId="54769"/>
    <cellStyle name="Normal 7 4 2" xfId="54770"/>
    <cellStyle name="Normal 7 4 2 2" xfId="54771"/>
    <cellStyle name="Normal 7 4 2 3" xfId="54772"/>
    <cellStyle name="Normal 7 4 2 4" xfId="54773"/>
    <cellStyle name="Normal 7 4 3" xfId="54774"/>
    <cellStyle name="Normal 7 4 4" xfId="54775"/>
    <cellStyle name="Normal 7 4 5" xfId="54776"/>
    <cellStyle name="Normal 7 5" xfId="54777"/>
    <cellStyle name="Normal 7 5 2" xfId="54778"/>
    <cellStyle name="Normal 7 5 3" xfId="54779"/>
    <cellStyle name="Normal 7 6" xfId="54780"/>
    <cellStyle name="Normal 7 6 2" xfId="54781"/>
    <cellStyle name="Normal 7 6 3" xfId="54782"/>
    <cellStyle name="Normal 7 7" xfId="54783"/>
    <cellStyle name="Normal 8" xfId="96"/>
    <cellStyle name="Normal 8 2" xfId="724"/>
    <cellStyle name="Normal 8 2 2" xfId="54784"/>
    <cellStyle name="Normal 8 2 2 2" xfId="54785"/>
    <cellStyle name="Normal 8 2 2 2 2" xfId="54786"/>
    <cellStyle name="Normal 8 2 2 2 3" xfId="54787"/>
    <cellStyle name="Normal 8 2 2 3" xfId="54788"/>
    <cellStyle name="Normal 8 2 2 4" xfId="54789"/>
    <cellStyle name="Normal 8 2 3" xfId="54790"/>
    <cellStyle name="Normal 8 2 3 2" xfId="54791"/>
    <cellStyle name="Normal 8 2 3 3" xfId="54792"/>
    <cellStyle name="Normal 8 2 4" xfId="54793"/>
    <cellStyle name="Normal 8 2 4 2" xfId="54794"/>
    <cellStyle name="Normal 8 2 4 3" xfId="54795"/>
    <cellStyle name="Normal 8 2 5" xfId="54796"/>
    <cellStyle name="Normal 8 2 6" xfId="54797"/>
    <cellStyle name="Normal 8 2 7" xfId="54798"/>
    <cellStyle name="Normal 8 3" xfId="733"/>
    <cellStyle name="Normal 8 3 2" xfId="54799"/>
    <cellStyle name="Normal 8 3 2 2" xfId="54800"/>
    <cellStyle name="Normal 8 3 2 2 2" xfId="54801"/>
    <cellStyle name="Normal 8 3 2 2 3" xfId="54802"/>
    <cellStyle name="Normal 8 3 2 3" xfId="54803"/>
    <cellStyle name="Normal 8 3 2 4" xfId="54804"/>
    <cellStyle name="Normal 8 3 2 5" xfId="54805"/>
    <cellStyle name="Normal 8 3 3" xfId="54806"/>
    <cellStyle name="Normal 8 3 3 2" xfId="54807"/>
    <cellStyle name="Normal 8 3 3 3" xfId="54808"/>
    <cellStyle name="Normal 8 3 3 4" xfId="54809"/>
    <cellStyle name="Normal 8 3 4" xfId="54810"/>
    <cellStyle name="Normal 8 3 5" xfId="54811"/>
    <cellStyle name="Normal 8 3 6" xfId="54812"/>
    <cellStyle name="Normal 8 4" xfId="54813"/>
    <cellStyle name="Normal 8 4 2" xfId="54814"/>
    <cellStyle name="Normal 8 4 2 2" xfId="54815"/>
    <cellStyle name="Normal 8 4 2 3" xfId="54816"/>
    <cellStyle name="Normal 8 4 3" xfId="54817"/>
    <cellStyle name="Normal 8 4 4" xfId="54818"/>
    <cellStyle name="Normal 8 4 5" xfId="54819"/>
    <cellStyle name="Normal 8 5" xfId="54820"/>
    <cellStyle name="Normal 8 5 2" xfId="54821"/>
    <cellStyle name="Normal 8 5 3" xfId="54822"/>
    <cellStyle name="Normal 8 6" xfId="54823"/>
    <cellStyle name="Normal 8 6 2" xfId="54824"/>
    <cellStyle name="Normal 8 6 3" xfId="54825"/>
    <cellStyle name="Normal 8 7" xfId="54826"/>
    <cellStyle name="Normal 9" xfId="68"/>
    <cellStyle name="Normal 9 2" xfId="146"/>
    <cellStyle name="Normal 9 2 2" xfId="272"/>
    <cellStyle name="Normal 9 3" xfId="312"/>
    <cellStyle name="Normal 9 3 2" xfId="432"/>
    <cellStyle name="Normal 9 3 3" xfId="708"/>
    <cellStyle name="Normal 9 3 3 2" xfId="714"/>
    <cellStyle name="Normal 9 4" xfId="211"/>
    <cellStyle name="Normal 9 5" xfId="54827"/>
    <cellStyle name="Normal 9 5 2" xfId="54828"/>
    <cellStyle name="Normal 9 6" xfId="54829"/>
    <cellStyle name="Normal_Sheet1" xfId="51"/>
    <cellStyle name="Note 10" xfId="54830"/>
    <cellStyle name="Note 2" xfId="41"/>
    <cellStyle name="Note 2 10" xfId="1091"/>
    <cellStyle name="Note 2 10 10" xfId="23087"/>
    <cellStyle name="Note 2 10 11" xfId="54831"/>
    <cellStyle name="Note 2 10 2" xfId="1085"/>
    <cellStyle name="Note 2 10 2 2" xfId="2769"/>
    <cellStyle name="Note 2 10 2 2 2" xfId="6189"/>
    <cellStyle name="Note 2 10 2 2 2 2" xfId="13029"/>
    <cellStyle name="Note 2 10 2 2 3" xfId="9609"/>
    <cellStyle name="Note 2 10 2 3" xfId="3909"/>
    <cellStyle name="Note 2 10 2 3 2" xfId="7329"/>
    <cellStyle name="Note 2 10 2 3 2 2" xfId="14169"/>
    <cellStyle name="Note 2 10 2 3 3" xfId="10749"/>
    <cellStyle name="Note 2 10 2 4" xfId="5049"/>
    <cellStyle name="Note 2 10 2 4 2" xfId="11889"/>
    <cellStyle name="Note 2 10 2 5" xfId="8469"/>
    <cellStyle name="Note 2 10 2 6" xfId="24122"/>
    <cellStyle name="Note 2 10 2 7" xfId="31410"/>
    <cellStyle name="Note 2 10 3" xfId="1896"/>
    <cellStyle name="Note 2 10 3 2" xfId="5316"/>
    <cellStyle name="Note 2 10 3 2 2" xfId="12156"/>
    <cellStyle name="Note 2 10 3 2 3" xfId="54832"/>
    <cellStyle name="Note 2 10 3 3" xfId="8736"/>
    <cellStyle name="Note 2 10 3 4" xfId="25094"/>
    <cellStyle name="Note 2 10 3 5" xfId="32343"/>
    <cellStyle name="Note 2 10 4" xfId="3036"/>
    <cellStyle name="Note 2 10 4 2" xfId="6456"/>
    <cellStyle name="Note 2 10 4 2 2" xfId="13296"/>
    <cellStyle name="Note 2 10 4 2 3" xfId="54833"/>
    <cellStyle name="Note 2 10 4 3" xfId="9876"/>
    <cellStyle name="Note 2 10 4 4" xfId="26120"/>
    <cellStyle name="Note 2 10 4 5" xfId="33320"/>
    <cellStyle name="Note 2 10 5" xfId="4176"/>
    <cellStyle name="Note 2 10 5 2" xfId="11016"/>
    <cellStyle name="Note 2 10 5 2 2" xfId="54834"/>
    <cellStyle name="Note 2 10 5 2 3" xfId="54835"/>
    <cellStyle name="Note 2 10 5 3" xfId="27101"/>
    <cellStyle name="Note 2 10 5 4" xfId="34260"/>
    <cellStyle name="Note 2 10 6" xfId="7596"/>
    <cellStyle name="Note 2 10 6 2" xfId="28070"/>
    <cellStyle name="Note 2 10 6 2 2" xfId="54836"/>
    <cellStyle name="Note 2 10 6 2 3" xfId="54837"/>
    <cellStyle name="Note 2 10 6 3" xfId="35206"/>
    <cellStyle name="Note 2 10 6 4" xfId="54838"/>
    <cellStyle name="Note 2 10 7" xfId="20706"/>
    <cellStyle name="Note 2 10 7 2" xfId="29027"/>
    <cellStyle name="Note 2 10 7 2 2" xfId="54839"/>
    <cellStyle name="Note 2 10 7 2 3" xfId="54840"/>
    <cellStyle name="Note 2 10 7 3" xfId="36120"/>
    <cellStyle name="Note 2 10 7 4" xfId="54841"/>
    <cellStyle name="Note 2 10 8" xfId="21118"/>
    <cellStyle name="Note 2 10 8 2" xfId="29432"/>
    <cellStyle name="Note 2 10 8 2 2" xfId="54842"/>
    <cellStyle name="Note 2 10 8 2 3" xfId="54843"/>
    <cellStyle name="Note 2 10 8 3" xfId="36505"/>
    <cellStyle name="Note 2 10 8 4" xfId="54844"/>
    <cellStyle name="Note 2 10 9" xfId="22142"/>
    <cellStyle name="Note 2 10 9 2" xfId="30440"/>
    <cellStyle name="Note 2 10 9 2 2" xfId="54845"/>
    <cellStyle name="Note 2 10 9 2 3" xfId="54846"/>
    <cellStyle name="Note 2 10 9 3" xfId="37471"/>
    <cellStyle name="Note 2 10 9 4" xfId="54847"/>
    <cellStyle name="Note 2 11" xfId="14713"/>
    <cellStyle name="Note 2 11 10" xfId="23075"/>
    <cellStyle name="Note 2 11 11" xfId="54848"/>
    <cellStyle name="Note 2 11 2" xfId="15794"/>
    <cellStyle name="Note 2 11 2 2" xfId="24110"/>
    <cellStyle name="Note 2 11 2 2 2" xfId="54849"/>
    <cellStyle name="Note 2 11 2 2 3" xfId="54850"/>
    <cellStyle name="Note 2 11 2 3" xfId="31398"/>
    <cellStyle name="Note 2 11 2 4" xfId="54851"/>
    <cellStyle name="Note 2 11 3" xfId="16760"/>
    <cellStyle name="Note 2 11 3 2" xfId="25082"/>
    <cellStyle name="Note 2 11 3 2 2" xfId="54852"/>
    <cellStyle name="Note 2 11 3 2 3" xfId="54853"/>
    <cellStyle name="Note 2 11 3 3" xfId="32331"/>
    <cellStyle name="Note 2 11 3 4" xfId="54854"/>
    <cellStyle name="Note 2 11 4" xfId="17784"/>
    <cellStyle name="Note 2 11 4 2" xfId="26108"/>
    <cellStyle name="Note 2 11 4 2 2" xfId="54855"/>
    <cellStyle name="Note 2 11 4 2 3" xfId="54856"/>
    <cellStyle name="Note 2 11 4 3" xfId="33308"/>
    <cellStyle name="Note 2 11 4 4" xfId="54857"/>
    <cellStyle name="Note 2 11 5" xfId="18768"/>
    <cellStyle name="Note 2 11 5 2" xfId="27089"/>
    <cellStyle name="Note 2 11 5 2 2" xfId="54858"/>
    <cellStyle name="Note 2 11 5 2 3" xfId="54859"/>
    <cellStyle name="Note 2 11 5 3" xfId="34248"/>
    <cellStyle name="Note 2 11 5 4" xfId="54860"/>
    <cellStyle name="Note 2 11 6" xfId="19737"/>
    <cellStyle name="Note 2 11 6 2" xfId="28058"/>
    <cellStyle name="Note 2 11 6 2 2" xfId="54861"/>
    <cellStyle name="Note 2 11 6 2 3" xfId="54862"/>
    <cellStyle name="Note 2 11 6 3" xfId="35194"/>
    <cellStyle name="Note 2 11 6 4" xfId="54863"/>
    <cellStyle name="Note 2 11 7" xfId="20694"/>
    <cellStyle name="Note 2 11 7 2" xfId="29015"/>
    <cellStyle name="Note 2 11 7 2 2" xfId="54864"/>
    <cellStyle name="Note 2 11 7 2 3" xfId="54865"/>
    <cellStyle name="Note 2 11 7 3" xfId="36108"/>
    <cellStyle name="Note 2 11 7 4" xfId="54866"/>
    <cellStyle name="Note 2 11 8" xfId="21341"/>
    <cellStyle name="Note 2 11 8 2" xfId="29645"/>
    <cellStyle name="Note 2 11 8 2 2" xfId="54867"/>
    <cellStyle name="Note 2 11 8 2 3" xfId="54868"/>
    <cellStyle name="Note 2 11 8 3" xfId="36711"/>
    <cellStyle name="Note 2 11 8 4" xfId="54869"/>
    <cellStyle name="Note 2 11 9" xfId="22130"/>
    <cellStyle name="Note 2 11 9 2" xfId="30428"/>
    <cellStyle name="Note 2 11 9 2 2" xfId="54870"/>
    <cellStyle name="Note 2 11 9 2 3" xfId="54871"/>
    <cellStyle name="Note 2 11 9 3" xfId="37459"/>
    <cellStyle name="Note 2 11 9 4" xfId="54872"/>
    <cellStyle name="Note 2 12" xfId="14926"/>
    <cellStyle name="Note 2 12 10" xfId="23289"/>
    <cellStyle name="Note 2 12 11" xfId="54873"/>
    <cellStyle name="Note 2 12 2" xfId="16007"/>
    <cellStyle name="Note 2 12 2 2" xfId="24324"/>
    <cellStyle name="Note 2 12 2 2 2" xfId="54874"/>
    <cellStyle name="Note 2 12 2 2 3" xfId="54875"/>
    <cellStyle name="Note 2 12 2 3" xfId="31604"/>
    <cellStyle name="Note 2 12 2 4" xfId="54876"/>
    <cellStyle name="Note 2 12 3" xfId="16973"/>
    <cellStyle name="Note 2 12 3 2" xfId="25296"/>
    <cellStyle name="Note 2 12 3 2 2" xfId="54877"/>
    <cellStyle name="Note 2 12 3 2 3" xfId="54878"/>
    <cellStyle name="Note 2 12 3 3" xfId="32537"/>
    <cellStyle name="Note 2 12 3 4" xfId="54879"/>
    <cellStyle name="Note 2 12 4" xfId="18000"/>
    <cellStyle name="Note 2 12 4 2" xfId="26322"/>
    <cellStyle name="Note 2 12 4 2 2" xfId="54880"/>
    <cellStyle name="Note 2 12 4 2 3" xfId="54881"/>
    <cellStyle name="Note 2 12 4 3" xfId="33514"/>
    <cellStyle name="Note 2 12 4 4" xfId="54882"/>
    <cellStyle name="Note 2 12 5" xfId="18984"/>
    <cellStyle name="Note 2 12 5 2" xfId="27304"/>
    <cellStyle name="Note 2 12 5 2 2" xfId="54883"/>
    <cellStyle name="Note 2 12 5 2 3" xfId="54884"/>
    <cellStyle name="Note 2 12 5 3" xfId="34455"/>
    <cellStyle name="Note 2 12 5 4" xfId="54885"/>
    <cellStyle name="Note 2 12 6" xfId="19952"/>
    <cellStyle name="Note 2 12 6 2" xfId="28274"/>
    <cellStyle name="Note 2 12 6 2 2" xfId="54886"/>
    <cellStyle name="Note 2 12 6 2 3" xfId="54887"/>
    <cellStyle name="Note 2 12 6 3" xfId="35402"/>
    <cellStyle name="Note 2 12 6 4" xfId="54888"/>
    <cellStyle name="Note 2 12 7" xfId="20910"/>
    <cellStyle name="Note 2 12 7 2" xfId="29229"/>
    <cellStyle name="Note 2 12 7 2 2" xfId="54889"/>
    <cellStyle name="Note 2 12 7 2 3" xfId="54890"/>
    <cellStyle name="Note 2 12 7 3" xfId="36312"/>
    <cellStyle name="Note 2 12 7 4" xfId="54891"/>
    <cellStyle name="Note 2 12 8" xfId="21417"/>
    <cellStyle name="Note 2 12 8 2" xfId="29720"/>
    <cellStyle name="Note 2 12 8 2 2" xfId="54892"/>
    <cellStyle name="Note 2 12 8 2 3" xfId="54893"/>
    <cellStyle name="Note 2 12 8 3" xfId="36782"/>
    <cellStyle name="Note 2 12 8 4" xfId="54894"/>
    <cellStyle name="Note 2 12 9" xfId="22345"/>
    <cellStyle name="Note 2 12 9 2" xfId="30643"/>
    <cellStyle name="Note 2 12 9 2 2" xfId="54895"/>
    <cellStyle name="Note 2 12 9 2 3" xfId="54896"/>
    <cellStyle name="Note 2 12 9 3" xfId="37665"/>
    <cellStyle name="Note 2 12 9 4" xfId="54897"/>
    <cellStyle name="Note 2 13" xfId="14987"/>
    <cellStyle name="Note 2 13 10" xfId="23348"/>
    <cellStyle name="Note 2 13 11" xfId="54898"/>
    <cellStyle name="Note 2 13 2" xfId="16068"/>
    <cellStyle name="Note 2 13 2 2" xfId="24383"/>
    <cellStyle name="Note 2 13 2 2 2" xfId="54899"/>
    <cellStyle name="Note 2 13 2 2 3" xfId="54900"/>
    <cellStyle name="Note 2 13 2 3" xfId="31662"/>
    <cellStyle name="Note 2 13 2 4" xfId="54901"/>
    <cellStyle name="Note 2 13 3" xfId="17034"/>
    <cellStyle name="Note 2 13 3 2" xfId="25355"/>
    <cellStyle name="Note 2 13 3 2 2" xfId="54902"/>
    <cellStyle name="Note 2 13 3 2 3" xfId="54903"/>
    <cellStyle name="Note 2 13 3 3" xfId="32595"/>
    <cellStyle name="Note 2 13 3 4" xfId="54904"/>
    <cellStyle name="Note 2 13 4" xfId="18061"/>
    <cellStyle name="Note 2 13 4 2" xfId="26381"/>
    <cellStyle name="Note 2 13 4 2 2" xfId="54905"/>
    <cellStyle name="Note 2 13 4 2 3" xfId="54906"/>
    <cellStyle name="Note 2 13 4 3" xfId="33572"/>
    <cellStyle name="Note 2 13 4 4" xfId="54907"/>
    <cellStyle name="Note 2 13 5" xfId="19045"/>
    <cellStyle name="Note 2 13 5 2" xfId="27365"/>
    <cellStyle name="Note 2 13 5 2 2" xfId="54908"/>
    <cellStyle name="Note 2 13 5 2 3" xfId="54909"/>
    <cellStyle name="Note 2 13 5 3" xfId="34515"/>
    <cellStyle name="Note 2 13 5 4" xfId="54910"/>
    <cellStyle name="Note 2 13 6" xfId="20013"/>
    <cellStyle name="Note 2 13 6 2" xfId="28335"/>
    <cellStyle name="Note 2 13 6 2 2" xfId="54911"/>
    <cellStyle name="Note 2 13 6 2 3" xfId="54912"/>
    <cellStyle name="Note 2 13 6 3" xfId="35462"/>
    <cellStyle name="Note 2 13 6 4" xfId="54913"/>
    <cellStyle name="Note 2 13 7" xfId="20971"/>
    <cellStyle name="Note 2 13 7 2" xfId="29288"/>
    <cellStyle name="Note 2 13 7 2 2" xfId="54914"/>
    <cellStyle name="Note 2 13 7 2 3" xfId="54915"/>
    <cellStyle name="Note 2 13 7 3" xfId="36370"/>
    <cellStyle name="Note 2 13 7 4" xfId="54916"/>
    <cellStyle name="Note 2 13 8" xfId="21478"/>
    <cellStyle name="Note 2 13 8 2" xfId="29779"/>
    <cellStyle name="Note 2 13 8 2 2" xfId="54917"/>
    <cellStyle name="Note 2 13 8 2 3" xfId="54918"/>
    <cellStyle name="Note 2 13 8 3" xfId="36840"/>
    <cellStyle name="Note 2 13 8 4" xfId="54919"/>
    <cellStyle name="Note 2 13 9" xfId="22406"/>
    <cellStyle name="Note 2 13 9 2" xfId="30702"/>
    <cellStyle name="Note 2 13 9 2 2" xfId="54920"/>
    <cellStyle name="Note 2 13 9 2 3" xfId="54921"/>
    <cellStyle name="Note 2 13 9 3" xfId="37723"/>
    <cellStyle name="Note 2 13 9 4" xfId="54922"/>
    <cellStyle name="Note 2 14" xfId="15050"/>
    <cellStyle name="Note 2 14 10" xfId="23410"/>
    <cellStyle name="Note 2 14 11" xfId="54923"/>
    <cellStyle name="Note 2 14 2" xfId="16130"/>
    <cellStyle name="Note 2 14 2 2" xfId="24445"/>
    <cellStyle name="Note 2 14 2 2 2" xfId="54924"/>
    <cellStyle name="Note 2 14 2 2 3" xfId="54925"/>
    <cellStyle name="Note 2 14 2 3" xfId="31722"/>
    <cellStyle name="Note 2 14 2 4" xfId="54926"/>
    <cellStyle name="Note 2 14 3" xfId="17097"/>
    <cellStyle name="Note 2 14 3 2" xfId="25418"/>
    <cellStyle name="Note 2 14 3 2 2" xfId="54927"/>
    <cellStyle name="Note 2 14 3 2 3" xfId="54928"/>
    <cellStyle name="Note 2 14 3 3" xfId="32656"/>
    <cellStyle name="Note 2 14 3 4" xfId="54929"/>
    <cellStyle name="Note 2 14 4" xfId="18124"/>
    <cellStyle name="Note 2 14 4 2" xfId="26444"/>
    <cellStyle name="Note 2 14 4 2 2" xfId="54930"/>
    <cellStyle name="Note 2 14 4 2 3" xfId="54931"/>
    <cellStyle name="Note 2 14 4 3" xfId="33633"/>
    <cellStyle name="Note 2 14 4 4" xfId="54932"/>
    <cellStyle name="Note 2 14 5" xfId="19108"/>
    <cellStyle name="Note 2 14 5 2" xfId="27428"/>
    <cellStyle name="Note 2 14 5 2 2" xfId="54933"/>
    <cellStyle name="Note 2 14 5 2 3" xfId="54934"/>
    <cellStyle name="Note 2 14 5 3" xfId="34576"/>
    <cellStyle name="Note 2 14 5 4" xfId="54935"/>
    <cellStyle name="Note 2 14 6" xfId="20076"/>
    <cellStyle name="Note 2 14 6 2" xfId="28398"/>
    <cellStyle name="Note 2 14 6 2 2" xfId="54936"/>
    <cellStyle name="Note 2 14 6 2 3" xfId="54937"/>
    <cellStyle name="Note 2 14 6 3" xfId="35523"/>
    <cellStyle name="Note 2 14 6 4" xfId="54938"/>
    <cellStyle name="Note 2 14 7" xfId="21033"/>
    <cellStyle name="Note 2 14 7 2" xfId="29350"/>
    <cellStyle name="Note 2 14 7 2 2" xfId="54939"/>
    <cellStyle name="Note 2 14 7 2 3" xfId="54940"/>
    <cellStyle name="Note 2 14 7 3" xfId="36430"/>
    <cellStyle name="Note 2 14 7 4" xfId="54941"/>
    <cellStyle name="Note 2 14 8" xfId="21540"/>
    <cellStyle name="Note 2 14 8 2" xfId="29841"/>
    <cellStyle name="Note 2 14 8 2 2" xfId="54942"/>
    <cellStyle name="Note 2 14 8 2 3" xfId="54943"/>
    <cellStyle name="Note 2 14 8 3" xfId="36900"/>
    <cellStyle name="Note 2 14 8 4" xfId="54944"/>
    <cellStyle name="Note 2 14 9" xfId="22468"/>
    <cellStyle name="Note 2 14 9 2" xfId="30764"/>
    <cellStyle name="Note 2 14 9 2 2" xfId="54945"/>
    <cellStyle name="Note 2 14 9 2 3" xfId="54946"/>
    <cellStyle name="Note 2 14 9 3" xfId="37783"/>
    <cellStyle name="Note 2 14 9 4" xfId="54947"/>
    <cellStyle name="Note 2 15" xfId="15126"/>
    <cellStyle name="Note 2 15 10" xfId="54948"/>
    <cellStyle name="Note 2 15 2" xfId="16206"/>
    <cellStyle name="Note 2 15 2 2" xfId="24519"/>
    <cellStyle name="Note 2 15 2 2 2" xfId="54949"/>
    <cellStyle name="Note 2 15 2 2 3" xfId="54950"/>
    <cellStyle name="Note 2 15 2 3" xfId="31796"/>
    <cellStyle name="Note 2 15 2 4" xfId="54951"/>
    <cellStyle name="Note 2 15 3" xfId="17172"/>
    <cellStyle name="Note 2 15 3 2" xfId="25493"/>
    <cellStyle name="Note 2 15 3 2 2" xfId="54952"/>
    <cellStyle name="Note 2 15 3 2 3" xfId="54953"/>
    <cellStyle name="Note 2 15 3 3" xfId="32729"/>
    <cellStyle name="Note 2 15 3 4" xfId="54954"/>
    <cellStyle name="Note 2 15 4" xfId="18200"/>
    <cellStyle name="Note 2 15 4 2" xfId="26520"/>
    <cellStyle name="Note 2 15 4 2 2" xfId="54955"/>
    <cellStyle name="Note 2 15 4 2 3" xfId="54956"/>
    <cellStyle name="Note 2 15 4 3" xfId="33707"/>
    <cellStyle name="Note 2 15 4 4" xfId="54957"/>
    <cellStyle name="Note 2 15 5" xfId="19184"/>
    <cellStyle name="Note 2 15 5 2" xfId="27504"/>
    <cellStyle name="Note 2 15 5 2 2" xfId="54958"/>
    <cellStyle name="Note 2 15 5 2 3" xfId="54959"/>
    <cellStyle name="Note 2 15 5 3" xfId="34652"/>
    <cellStyle name="Note 2 15 5 4" xfId="54960"/>
    <cellStyle name="Note 2 15 6" xfId="20152"/>
    <cellStyle name="Note 2 15 6 2" xfId="28474"/>
    <cellStyle name="Note 2 15 6 2 2" xfId="54961"/>
    <cellStyle name="Note 2 15 6 2 3" xfId="54962"/>
    <cellStyle name="Note 2 15 6 3" xfId="35599"/>
    <cellStyle name="Note 2 15 6 4" xfId="54963"/>
    <cellStyle name="Note 2 15 7" xfId="21613"/>
    <cellStyle name="Note 2 15 7 2" xfId="29914"/>
    <cellStyle name="Note 2 15 7 2 2" xfId="54964"/>
    <cellStyle name="Note 2 15 7 2 3" xfId="54965"/>
    <cellStyle name="Note 2 15 7 3" xfId="36973"/>
    <cellStyle name="Note 2 15 7 4" xfId="54966"/>
    <cellStyle name="Note 2 15 8" xfId="22541"/>
    <cellStyle name="Note 2 15 8 2" xfId="30837"/>
    <cellStyle name="Note 2 15 8 2 2" xfId="54967"/>
    <cellStyle name="Note 2 15 8 2 3" xfId="54968"/>
    <cellStyle name="Note 2 15 8 3" xfId="37856"/>
    <cellStyle name="Note 2 15 8 4" xfId="54969"/>
    <cellStyle name="Note 2 15 9" xfId="23483"/>
    <cellStyle name="Note 2 16" xfId="15175"/>
    <cellStyle name="Note 2 16 10" xfId="54970"/>
    <cellStyle name="Note 2 16 2" xfId="16255"/>
    <cellStyle name="Note 2 16 2 2" xfId="24568"/>
    <cellStyle name="Note 2 16 2 2 2" xfId="54971"/>
    <cellStyle name="Note 2 16 2 2 3" xfId="54972"/>
    <cellStyle name="Note 2 16 2 3" xfId="31840"/>
    <cellStyle name="Note 2 16 2 4" xfId="54973"/>
    <cellStyle name="Note 2 16 3" xfId="17221"/>
    <cellStyle name="Note 2 16 3 2" xfId="25542"/>
    <cellStyle name="Note 2 16 3 2 2" xfId="54974"/>
    <cellStyle name="Note 2 16 3 2 3" xfId="54975"/>
    <cellStyle name="Note 2 16 3 3" xfId="32773"/>
    <cellStyle name="Note 2 16 3 4" xfId="54976"/>
    <cellStyle name="Note 2 16 4" xfId="18249"/>
    <cellStyle name="Note 2 16 4 2" xfId="26569"/>
    <cellStyle name="Note 2 16 4 2 2" xfId="54977"/>
    <cellStyle name="Note 2 16 4 2 3" xfId="54978"/>
    <cellStyle name="Note 2 16 4 3" xfId="33751"/>
    <cellStyle name="Note 2 16 4 4" xfId="54979"/>
    <cellStyle name="Note 2 16 5" xfId="19233"/>
    <cellStyle name="Note 2 16 5 2" xfId="27553"/>
    <cellStyle name="Note 2 16 5 2 2" xfId="54980"/>
    <cellStyle name="Note 2 16 5 2 3" xfId="54981"/>
    <cellStyle name="Note 2 16 5 3" xfId="34701"/>
    <cellStyle name="Note 2 16 5 4" xfId="54982"/>
    <cellStyle name="Note 2 16 6" xfId="20201"/>
    <cellStyle name="Note 2 16 6 2" xfId="28523"/>
    <cellStyle name="Note 2 16 6 2 2" xfId="54983"/>
    <cellStyle name="Note 2 16 6 2 3" xfId="54984"/>
    <cellStyle name="Note 2 16 6 3" xfId="35643"/>
    <cellStyle name="Note 2 16 6 4" xfId="54985"/>
    <cellStyle name="Note 2 16 7" xfId="21662"/>
    <cellStyle name="Note 2 16 7 2" xfId="29963"/>
    <cellStyle name="Note 2 16 7 2 2" xfId="54986"/>
    <cellStyle name="Note 2 16 7 2 3" xfId="54987"/>
    <cellStyle name="Note 2 16 7 3" xfId="37017"/>
    <cellStyle name="Note 2 16 7 4" xfId="54988"/>
    <cellStyle name="Note 2 16 8" xfId="22590"/>
    <cellStyle name="Note 2 16 8 2" xfId="30886"/>
    <cellStyle name="Note 2 16 8 2 2" xfId="54989"/>
    <cellStyle name="Note 2 16 8 2 3" xfId="54990"/>
    <cellStyle name="Note 2 16 8 3" xfId="37900"/>
    <cellStyle name="Note 2 16 8 4" xfId="54991"/>
    <cellStyle name="Note 2 16 9" xfId="23532"/>
    <cellStyle name="Note 2 17" xfId="15172"/>
    <cellStyle name="Note 2 17 10" xfId="54992"/>
    <cellStyle name="Note 2 17 2" xfId="16252"/>
    <cellStyle name="Note 2 17 2 2" xfId="24565"/>
    <cellStyle name="Note 2 17 2 2 2" xfId="54993"/>
    <cellStyle name="Note 2 17 2 2 3" xfId="54994"/>
    <cellStyle name="Note 2 17 2 3" xfId="31837"/>
    <cellStyle name="Note 2 17 2 4" xfId="54995"/>
    <cellStyle name="Note 2 17 3" xfId="17218"/>
    <cellStyle name="Note 2 17 3 2" xfId="25539"/>
    <cellStyle name="Note 2 17 3 2 2" xfId="54996"/>
    <cellStyle name="Note 2 17 3 2 3" xfId="54997"/>
    <cellStyle name="Note 2 17 3 3" xfId="32770"/>
    <cellStyle name="Note 2 17 3 4" xfId="54998"/>
    <cellStyle name="Note 2 17 4" xfId="18246"/>
    <cellStyle name="Note 2 17 4 2" xfId="26566"/>
    <cellStyle name="Note 2 17 4 2 2" xfId="54999"/>
    <cellStyle name="Note 2 17 4 2 3" xfId="55000"/>
    <cellStyle name="Note 2 17 4 3" xfId="33748"/>
    <cellStyle name="Note 2 17 4 4" xfId="55001"/>
    <cellStyle name="Note 2 17 5" xfId="19230"/>
    <cellStyle name="Note 2 17 5 2" xfId="27550"/>
    <cellStyle name="Note 2 17 5 2 2" xfId="55002"/>
    <cellStyle name="Note 2 17 5 2 3" xfId="55003"/>
    <cellStyle name="Note 2 17 5 3" xfId="34698"/>
    <cellStyle name="Note 2 17 5 4" xfId="55004"/>
    <cellStyle name="Note 2 17 6" xfId="20198"/>
    <cellStyle name="Note 2 17 6 2" xfId="28520"/>
    <cellStyle name="Note 2 17 6 2 2" xfId="55005"/>
    <cellStyle name="Note 2 17 6 2 3" xfId="55006"/>
    <cellStyle name="Note 2 17 6 3" xfId="35640"/>
    <cellStyle name="Note 2 17 6 4" xfId="55007"/>
    <cellStyle name="Note 2 17 7" xfId="21659"/>
    <cellStyle name="Note 2 17 7 2" xfId="29960"/>
    <cellStyle name="Note 2 17 7 2 2" xfId="55008"/>
    <cellStyle name="Note 2 17 7 2 3" xfId="55009"/>
    <cellStyle name="Note 2 17 7 3" xfId="37014"/>
    <cellStyle name="Note 2 17 7 4" xfId="55010"/>
    <cellStyle name="Note 2 17 8" xfId="22587"/>
    <cellStyle name="Note 2 17 8 2" xfId="30883"/>
    <cellStyle name="Note 2 17 8 2 2" xfId="55011"/>
    <cellStyle name="Note 2 17 8 2 3" xfId="55012"/>
    <cellStyle name="Note 2 17 8 3" xfId="37897"/>
    <cellStyle name="Note 2 17 8 4" xfId="55013"/>
    <cellStyle name="Note 2 17 9" xfId="23529"/>
    <cellStyle name="Note 2 18" xfId="15214"/>
    <cellStyle name="Note 2 18 10" xfId="55014"/>
    <cellStyle name="Note 2 18 2" xfId="16294"/>
    <cellStyle name="Note 2 18 2 2" xfId="24607"/>
    <cellStyle name="Note 2 18 2 2 2" xfId="55015"/>
    <cellStyle name="Note 2 18 2 2 3" xfId="55016"/>
    <cellStyle name="Note 2 18 2 3" xfId="31876"/>
    <cellStyle name="Note 2 18 2 4" xfId="55017"/>
    <cellStyle name="Note 2 18 3" xfId="17260"/>
    <cellStyle name="Note 2 18 3 2" xfId="25581"/>
    <cellStyle name="Note 2 18 3 2 2" xfId="55018"/>
    <cellStyle name="Note 2 18 3 2 3" xfId="55019"/>
    <cellStyle name="Note 2 18 3 3" xfId="32809"/>
    <cellStyle name="Note 2 18 3 4" xfId="55020"/>
    <cellStyle name="Note 2 18 4" xfId="18288"/>
    <cellStyle name="Note 2 18 4 2" xfId="26608"/>
    <cellStyle name="Note 2 18 4 2 2" xfId="55021"/>
    <cellStyle name="Note 2 18 4 2 3" xfId="55022"/>
    <cellStyle name="Note 2 18 4 3" xfId="33787"/>
    <cellStyle name="Note 2 18 4 4" xfId="55023"/>
    <cellStyle name="Note 2 18 5" xfId="19272"/>
    <cellStyle name="Note 2 18 5 2" xfId="27592"/>
    <cellStyle name="Note 2 18 5 2 2" xfId="55024"/>
    <cellStyle name="Note 2 18 5 2 3" xfId="55025"/>
    <cellStyle name="Note 2 18 5 3" xfId="34740"/>
    <cellStyle name="Note 2 18 5 4" xfId="55026"/>
    <cellStyle name="Note 2 18 6" xfId="20240"/>
    <cellStyle name="Note 2 18 6 2" xfId="28562"/>
    <cellStyle name="Note 2 18 6 2 2" xfId="55027"/>
    <cellStyle name="Note 2 18 6 2 3" xfId="55028"/>
    <cellStyle name="Note 2 18 6 3" xfId="35679"/>
    <cellStyle name="Note 2 18 6 4" xfId="55029"/>
    <cellStyle name="Note 2 18 7" xfId="21701"/>
    <cellStyle name="Note 2 18 7 2" xfId="30002"/>
    <cellStyle name="Note 2 18 7 2 2" xfId="55030"/>
    <cellStyle name="Note 2 18 7 2 3" xfId="55031"/>
    <cellStyle name="Note 2 18 7 3" xfId="37053"/>
    <cellStyle name="Note 2 18 7 4" xfId="55032"/>
    <cellStyle name="Note 2 18 8" xfId="22629"/>
    <cellStyle name="Note 2 18 8 2" xfId="30925"/>
    <cellStyle name="Note 2 18 8 2 2" xfId="55033"/>
    <cellStyle name="Note 2 18 8 2 3" xfId="55034"/>
    <cellStyle name="Note 2 18 8 3" xfId="37936"/>
    <cellStyle name="Note 2 18 8 4" xfId="55035"/>
    <cellStyle name="Note 2 18 9" xfId="23571"/>
    <cellStyle name="Note 2 19" xfId="15212"/>
    <cellStyle name="Note 2 19 10" xfId="55036"/>
    <cellStyle name="Note 2 19 2" xfId="16292"/>
    <cellStyle name="Note 2 19 2 2" xfId="24605"/>
    <cellStyle name="Note 2 19 2 2 2" xfId="55037"/>
    <cellStyle name="Note 2 19 2 2 3" xfId="55038"/>
    <cellStyle name="Note 2 19 2 3" xfId="31874"/>
    <cellStyle name="Note 2 19 2 4" xfId="55039"/>
    <cellStyle name="Note 2 19 3" xfId="17258"/>
    <cellStyle name="Note 2 19 3 2" xfId="25579"/>
    <cellStyle name="Note 2 19 3 2 2" xfId="55040"/>
    <cellStyle name="Note 2 19 3 2 3" xfId="55041"/>
    <cellStyle name="Note 2 19 3 3" xfId="32807"/>
    <cellStyle name="Note 2 19 3 4" xfId="55042"/>
    <cellStyle name="Note 2 19 4" xfId="18286"/>
    <cellStyle name="Note 2 19 4 2" xfId="26606"/>
    <cellStyle name="Note 2 19 4 2 2" xfId="55043"/>
    <cellStyle name="Note 2 19 4 2 3" xfId="55044"/>
    <cellStyle name="Note 2 19 4 3" xfId="33785"/>
    <cellStyle name="Note 2 19 4 4" xfId="55045"/>
    <cellStyle name="Note 2 19 5" xfId="19270"/>
    <cellStyle name="Note 2 19 5 2" xfId="27590"/>
    <cellStyle name="Note 2 19 5 2 2" xfId="55046"/>
    <cellStyle name="Note 2 19 5 2 3" xfId="55047"/>
    <cellStyle name="Note 2 19 5 3" xfId="34738"/>
    <cellStyle name="Note 2 19 5 4" xfId="55048"/>
    <cellStyle name="Note 2 19 6" xfId="20238"/>
    <cellStyle name="Note 2 19 6 2" xfId="28560"/>
    <cellStyle name="Note 2 19 6 2 2" xfId="55049"/>
    <cellStyle name="Note 2 19 6 2 3" xfId="55050"/>
    <cellStyle name="Note 2 19 6 3" xfId="35677"/>
    <cellStyle name="Note 2 19 6 4" xfId="55051"/>
    <cellStyle name="Note 2 19 7" xfId="21699"/>
    <cellStyle name="Note 2 19 7 2" xfId="30000"/>
    <cellStyle name="Note 2 19 7 2 2" xfId="55052"/>
    <cellStyle name="Note 2 19 7 2 3" xfId="55053"/>
    <cellStyle name="Note 2 19 7 3" xfId="37051"/>
    <cellStyle name="Note 2 19 7 4" xfId="55054"/>
    <cellStyle name="Note 2 19 8" xfId="22627"/>
    <cellStyle name="Note 2 19 8 2" xfId="30923"/>
    <cellStyle name="Note 2 19 8 2 2" xfId="55055"/>
    <cellStyle name="Note 2 19 8 2 3" xfId="55056"/>
    <cellStyle name="Note 2 19 8 3" xfId="37934"/>
    <cellStyle name="Note 2 19 8 4" xfId="55057"/>
    <cellStyle name="Note 2 19 9" xfId="23569"/>
    <cellStyle name="Note 2 2" xfId="55"/>
    <cellStyle name="Note 2 2 10" xfId="14655"/>
    <cellStyle name="Note 2 2 10 10" xfId="23017"/>
    <cellStyle name="Note 2 2 10 2" xfId="15736"/>
    <cellStyle name="Note 2 2 10 2 2" xfId="24052"/>
    <cellStyle name="Note 2 2 10 2 2 2" xfId="55058"/>
    <cellStyle name="Note 2 2 10 2 2 3" xfId="55059"/>
    <cellStyle name="Note 2 2 10 2 3" xfId="31344"/>
    <cellStyle name="Note 2 2 10 2 4" xfId="55060"/>
    <cellStyle name="Note 2 2 10 3" xfId="16702"/>
    <cellStyle name="Note 2 2 10 3 2" xfId="25023"/>
    <cellStyle name="Note 2 2 10 3 2 2" xfId="55061"/>
    <cellStyle name="Note 2 2 10 3 2 3" xfId="55062"/>
    <cellStyle name="Note 2 2 10 3 3" xfId="32277"/>
    <cellStyle name="Note 2 2 10 3 4" xfId="55063"/>
    <cellStyle name="Note 2 2 10 4" xfId="17726"/>
    <cellStyle name="Note 2 2 10 4 2" xfId="26049"/>
    <cellStyle name="Note 2 2 10 4 2 2" xfId="55064"/>
    <cellStyle name="Note 2 2 10 4 2 3" xfId="55065"/>
    <cellStyle name="Note 2 2 10 4 3" xfId="33254"/>
    <cellStyle name="Note 2 2 10 4 4" xfId="55066"/>
    <cellStyle name="Note 2 2 10 5" xfId="18709"/>
    <cellStyle name="Note 2 2 10 5 2" xfId="27030"/>
    <cellStyle name="Note 2 2 10 5 2 2" xfId="55067"/>
    <cellStyle name="Note 2 2 10 5 2 3" xfId="55068"/>
    <cellStyle name="Note 2 2 10 5 3" xfId="34193"/>
    <cellStyle name="Note 2 2 10 5 4" xfId="55069"/>
    <cellStyle name="Note 2 2 10 6" xfId="19678"/>
    <cellStyle name="Note 2 2 10 6 2" xfId="27999"/>
    <cellStyle name="Note 2 2 10 6 2 2" xfId="55070"/>
    <cellStyle name="Note 2 2 10 6 2 3" xfId="55071"/>
    <cellStyle name="Note 2 2 10 6 3" xfId="35139"/>
    <cellStyle name="Note 2 2 10 6 4" xfId="55072"/>
    <cellStyle name="Note 2 2 10 7" xfId="20635"/>
    <cellStyle name="Note 2 2 10 7 2" xfId="28956"/>
    <cellStyle name="Note 2 2 10 7 2 2" xfId="55073"/>
    <cellStyle name="Note 2 2 10 7 2 3" xfId="55074"/>
    <cellStyle name="Note 2 2 10 7 3" xfId="36054"/>
    <cellStyle name="Note 2 2 10 7 4" xfId="55075"/>
    <cellStyle name="Note 2 2 10 8" xfId="21072"/>
    <cellStyle name="Note 2 2 10 8 2" xfId="29389"/>
    <cellStyle name="Note 2 2 10 8 2 2" xfId="55076"/>
    <cellStyle name="Note 2 2 10 8 2 3" xfId="55077"/>
    <cellStyle name="Note 2 2 10 8 3" xfId="36467"/>
    <cellStyle name="Note 2 2 10 8 4" xfId="55078"/>
    <cellStyle name="Note 2 2 10 9" xfId="22072"/>
    <cellStyle name="Note 2 2 10 9 2" xfId="30370"/>
    <cellStyle name="Note 2 2 10 9 2 2" xfId="55079"/>
    <cellStyle name="Note 2 2 10 9 2 3" xfId="55080"/>
    <cellStyle name="Note 2 2 10 9 3" xfId="37405"/>
    <cellStyle name="Note 2 2 10 9 4" xfId="55081"/>
    <cellStyle name="Note 2 2 11" xfId="14669"/>
    <cellStyle name="Note 2 2 11 10" xfId="23031"/>
    <cellStyle name="Note 2 2 11 2" xfId="15750"/>
    <cellStyle name="Note 2 2 11 2 2" xfId="24066"/>
    <cellStyle name="Note 2 2 11 2 2 2" xfId="55082"/>
    <cellStyle name="Note 2 2 11 2 2 3" xfId="55083"/>
    <cellStyle name="Note 2 2 11 2 3" xfId="31358"/>
    <cellStyle name="Note 2 2 11 2 4" xfId="55084"/>
    <cellStyle name="Note 2 2 11 3" xfId="16716"/>
    <cellStyle name="Note 2 2 11 3 2" xfId="25037"/>
    <cellStyle name="Note 2 2 11 3 2 2" xfId="55085"/>
    <cellStyle name="Note 2 2 11 3 2 3" xfId="55086"/>
    <cellStyle name="Note 2 2 11 3 3" xfId="32291"/>
    <cellStyle name="Note 2 2 11 3 4" xfId="55087"/>
    <cellStyle name="Note 2 2 11 4" xfId="17740"/>
    <cellStyle name="Note 2 2 11 4 2" xfId="26063"/>
    <cellStyle name="Note 2 2 11 4 2 2" xfId="55088"/>
    <cellStyle name="Note 2 2 11 4 2 3" xfId="55089"/>
    <cellStyle name="Note 2 2 11 4 3" xfId="33268"/>
    <cellStyle name="Note 2 2 11 4 4" xfId="55090"/>
    <cellStyle name="Note 2 2 11 5" xfId="18723"/>
    <cellStyle name="Note 2 2 11 5 2" xfId="27044"/>
    <cellStyle name="Note 2 2 11 5 2 2" xfId="55091"/>
    <cellStyle name="Note 2 2 11 5 2 3" xfId="55092"/>
    <cellStyle name="Note 2 2 11 5 3" xfId="34207"/>
    <cellStyle name="Note 2 2 11 5 4" xfId="55093"/>
    <cellStyle name="Note 2 2 11 6" xfId="19692"/>
    <cellStyle name="Note 2 2 11 6 2" xfId="28013"/>
    <cellStyle name="Note 2 2 11 6 2 2" xfId="55094"/>
    <cellStyle name="Note 2 2 11 6 2 3" xfId="55095"/>
    <cellStyle name="Note 2 2 11 6 3" xfId="35153"/>
    <cellStyle name="Note 2 2 11 6 4" xfId="55096"/>
    <cellStyle name="Note 2 2 11 7" xfId="20649"/>
    <cellStyle name="Note 2 2 11 7 2" xfId="28970"/>
    <cellStyle name="Note 2 2 11 7 2 2" xfId="55097"/>
    <cellStyle name="Note 2 2 11 7 2 3" xfId="55098"/>
    <cellStyle name="Note 2 2 11 7 3" xfId="36068"/>
    <cellStyle name="Note 2 2 11 7 4" xfId="55099"/>
    <cellStyle name="Note 2 2 11 8" xfId="21281"/>
    <cellStyle name="Note 2 2 11 8 2" xfId="29588"/>
    <cellStyle name="Note 2 2 11 8 2 2" xfId="55100"/>
    <cellStyle name="Note 2 2 11 8 2 3" xfId="55101"/>
    <cellStyle name="Note 2 2 11 8 3" xfId="36655"/>
    <cellStyle name="Note 2 2 11 8 4" xfId="55102"/>
    <cellStyle name="Note 2 2 11 9" xfId="22086"/>
    <cellStyle name="Note 2 2 11 9 2" xfId="30384"/>
    <cellStyle name="Note 2 2 11 9 2 2" xfId="55103"/>
    <cellStyle name="Note 2 2 11 9 2 3" xfId="55104"/>
    <cellStyle name="Note 2 2 11 9 3" xfId="37419"/>
    <cellStyle name="Note 2 2 11 9 4" xfId="55105"/>
    <cellStyle name="Note 2 2 12" xfId="14711"/>
    <cellStyle name="Note 2 2 12 10" xfId="23073"/>
    <cellStyle name="Note 2 2 12 11" xfId="55106"/>
    <cellStyle name="Note 2 2 12 2" xfId="15792"/>
    <cellStyle name="Note 2 2 12 2 2" xfId="24108"/>
    <cellStyle name="Note 2 2 12 2 2 2" xfId="55107"/>
    <cellStyle name="Note 2 2 12 2 2 3" xfId="55108"/>
    <cellStyle name="Note 2 2 12 2 3" xfId="31396"/>
    <cellStyle name="Note 2 2 12 2 4" xfId="55109"/>
    <cellStyle name="Note 2 2 12 3" xfId="16758"/>
    <cellStyle name="Note 2 2 12 3 2" xfId="25080"/>
    <cellStyle name="Note 2 2 12 3 2 2" xfId="55110"/>
    <cellStyle name="Note 2 2 12 3 2 3" xfId="55111"/>
    <cellStyle name="Note 2 2 12 3 3" xfId="32329"/>
    <cellStyle name="Note 2 2 12 3 4" xfId="55112"/>
    <cellStyle name="Note 2 2 12 4" xfId="17782"/>
    <cellStyle name="Note 2 2 12 4 2" xfId="26106"/>
    <cellStyle name="Note 2 2 12 4 2 2" xfId="55113"/>
    <cellStyle name="Note 2 2 12 4 2 3" xfId="55114"/>
    <cellStyle name="Note 2 2 12 4 3" xfId="33306"/>
    <cellStyle name="Note 2 2 12 4 4" xfId="55115"/>
    <cellStyle name="Note 2 2 12 5" xfId="18766"/>
    <cellStyle name="Note 2 2 12 5 2" xfId="27087"/>
    <cellStyle name="Note 2 2 12 5 2 2" xfId="55116"/>
    <cellStyle name="Note 2 2 12 5 2 3" xfId="55117"/>
    <cellStyle name="Note 2 2 12 5 3" xfId="34246"/>
    <cellStyle name="Note 2 2 12 5 4" xfId="55118"/>
    <cellStyle name="Note 2 2 12 6" xfId="19735"/>
    <cellStyle name="Note 2 2 12 6 2" xfId="28056"/>
    <cellStyle name="Note 2 2 12 6 2 2" xfId="55119"/>
    <cellStyle name="Note 2 2 12 6 2 3" xfId="55120"/>
    <cellStyle name="Note 2 2 12 6 3" xfId="35192"/>
    <cellStyle name="Note 2 2 12 6 4" xfId="55121"/>
    <cellStyle name="Note 2 2 12 7" xfId="20692"/>
    <cellStyle name="Note 2 2 12 7 2" xfId="29013"/>
    <cellStyle name="Note 2 2 12 7 2 2" xfId="55122"/>
    <cellStyle name="Note 2 2 12 7 2 3" xfId="55123"/>
    <cellStyle name="Note 2 2 12 7 3" xfId="36106"/>
    <cellStyle name="Note 2 2 12 7 4" xfId="55124"/>
    <cellStyle name="Note 2 2 12 8" xfId="21373"/>
    <cellStyle name="Note 2 2 12 8 2" xfId="29676"/>
    <cellStyle name="Note 2 2 12 8 2 2" xfId="55125"/>
    <cellStyle name="Note 2 2 12 8 2 3" xfId="55126"/>
    <cellStyle name="Note 2 2 12 8 3" xfId="36740"/>
    <cellStyle name="Note 2 2 12 8 4" xfId="55127"/>
    <cellStyle name="Note 2 2 12 9" xfId="22128"/>
    <cellStyle name="Note 2 2 12 9 2" xfId="30426"/>
    <cellStyle name="Note 2 2 12 9 2 2" xfId="55128"/>
    <cellStyle name="Note 2 2 12 9 2 3" xfId="55129"/>
    <cellStyle name="Note 2 2 12 9 3" xfId="37457"/>
    <cellStyle name="Note 2 2 12 9 4" xfId="55130"/>
    <cellStyle name="Note 2 2 13" xfId="14795"/>
    <cellStyle name="Note 2 2 13 10" xfId="23159"/>
    <cellStyle name="Note 2 2 13 11" xfId="55131"/>
    <cellStyle name="Note 2 2 13 2" xfId="15876"/>
    <cellStyle name="Note 2 2 13 2 2" xfId="24194"/>
    <cellStyle name="Note 2 2 13 2 2 2" xfId="55132"/>
    <cellStyle name="Note 2 2 13 2 2 3" xfId="55133"/>
    <cellStyle name="Note 2 2 13 2 3" xfId="31480"/>
    <cellStyle name="Note 2 2 13 2 4" xfId="55134"/>
    <cellStyle name="Note 2 2 13 3" xfId="16842"/>
    <cellStyle name="Note 2 2 13 3 2" xfId="25166"/>
    <cellStyle name="Note 2 2 13 3 2 2" xfId="55135"/>
    <cellStyle name="Note 2 2 13 3 2 3" xfId="55136"/>
    <cellStyle name="Note 2 2 13 3 3" xfId="32413"/>
    <cellStyle name="Note 2 2 13 3 4" xfId="55137"/>
    <cellStyle name="Note 2 2 13 4" xfId="17869"/>
    <cellStyle name="Note 2 2 13 4 2" xfId="26192"/>
    <cellStyle name="Note 2 2 13 4 2 2" xfId="55138"/>
    <cellStyle name="Note 2 2 13 4 2 3" xfId="55139"/>
    <cellStyle name="Note 2 2 13 4 3" xfId="33390"/>
    <cellStyle name="Note 2 2 13 4 4" xfId="55140"/>
    <cellStyle name="Note 2 2 13 5" xfId="18853"/>
    <cellStyle name="Note 2 2 13 5 2" xfId="27173"/>
    <cellStyle name="Note 2 2 13 5 2 2" xfId="55141"/>
    <cellStyle name="Note 2 2 13 5 2 3" xfId="55142"/>
    <cellStyle name="Note 2 2 13 5 3" xfId="34330"/>
    <cellStyle name="Note 2 2 13 5 4" xfId="55143"/>
    <cellStyle name="Note 2 2 13 6" xfId="19821"/>
    <cellStyle name="Note 2 2 13 6 2" xfId="28143"/>
    <cellStyle name="Note 2 2 13 6 2 2" xfId="55144"/>
    <cellStyle name="Note 2 2 13 6 2 3" xfId="55145"/>
    <cellStyle name="Note 2 2 13 6 3" xfId="35277"/>
    <cellStyle name="Note 2 2 13 6 4" xfId="55146"/>
    <cellStyle name="Note 2 2 13 7" xfId="20779"/>
    <cellStyle name="Note 2 2 13 7 2" xfId="29099"/>
    <cellStyle name="Note 2 2 13 7 2 2" xfId="55147"/>
    <cellStyle name="Note 2 2 13 7 2 3" xfId="55148"/>
    <cellStyle name="Note 2 2 13 7 3" xfId="36189"/>
    <cellStyle name="Note 2 2 13 7 4" xfId="55149"/>
    <cellStyle name="Note 2 2 13 8" xfId="21170"/>
    <cellStyle name="Note 2 2 13 8 2" xfId="29482"/>
    <cellStyle name="Note 2 2 13 8 2 2" xfId="55150"/>
    <cellStyle name="Note 2 2 13 8 2 3" xfId="55151"/>
    <cellStyle name="Note 2 2 13 8 3" xfId="36553"/>
    <cellStyle name="Note 2 2 13 8 4" xfId="55152"/>
    <cellStyle name="Note 2 2 13 9" xfId="22215"/>
    <cellStyle name="Note 2 2 13 9 2" xfId="30513"/>
    <cellStyle name="Note 2 2 13 9 2 2" xfId="55153"/>
    <cellStyle name="Note 2 2 13 9 2 3" xfId="55154"/>
    <cellStyle name="Note 2 2 13 9 3" xfId="37541"/>
    <cellStyle name="Note 2 2 13 9 4" xfId="55155"/>
    <cellStyle name="Note 2 2 14" xfId="14788"/>
    <cellStyle name="Note 2 2 14 10" xfId="23153"/>
    <cellStyle name="Note 2 2 14 11" xfId="55156"/>
    <cellStyle name="Note 2 2 14 2" xfId="15869"/>
    <cellStyle name="Note 2 2 14 2 2" xfId="24188"/>
    <cellStyle name="Note 2 2 14 2 2 2" xfId="55157"/>
    <cellStyle name="Note 2 2 14 2 2 3" xfId="55158"/>
    <cellStyle name="Note 2 2 14 2 3" xfId="31474"/>
    <cellStyle name="Note 2 2 14 2 4" xfId="55159"/>
    <cellStyle name="Note 2 2 14 3" xfId="16835"/>
    <cellStyle name="Note 2 2 14 3 2" xfId="25160"/>
    <cellStyle name="Note 2 2 14 3 2 2" xfId="55160"/>
    <cellStyle name="Note 2 2 14 3 2 3" xfId="55161"/>
    <cellStyle name="Note 2 2 14 3 3" xfId="32407"/>
    <cellStyle name="Note 2 2 14 3 4" xfId="55162"/>
    <cellStyle name="Note 2 2 14 4" xfId="17862"/>
    <cellStyle name="Note 2 2 14 4 2" xfId="26186"/>
    <cellStyle name="Note 2 2 14 4 2 2" xfId="55163"/>
    <cellStyle name="Note 2 2 14 4 2 3" xfId="55164"/>
    <cellStyle name="Note 2 2 14 4 3" xfId="33384"/>
    <cellStyle name="Note 2 2 14 4 4" xfId="55165"/>
    <cellStyle name="Note 2 2 14 5" xfId="18846"/>
    <cellStyle name="Note 2 2 14 5 2" xfId="27167"/>
    <cellStyle name="Note 2 2 14 5 2 2" xfId="55166"/>
    <cellStyle name="Note 2 2 14 5 2 3" xfId="55167"/>
    <cellStyle name="Note 2 2 14 5 3" xfId="34324"/>
    <cellStyle name="Note 2 2 14 5 4" xfId="55168"/>
    <cellStyle name="Note 2 2 14 6" xfId="19814"/>
    <cellStyle name="Note 2 2 14 6 2" xfId="28136"/>
    <cellStyle name="Note 2 2 14 6 2 2" xfId="55169"/>
    <cellStyle name="Note 2 2 14 6 2 3" xfId="55170"/>
    <cellStyle name="Note 2 2 14 6 3" xfId="35270"/>
    <cellStyle name="Note 2 2 14 6 4" xfId="55171"/>
    <cellStyle name="Note 2 2 14 7" xfId="20772"/>
    <cellStyle name="Note 2 2 14 7 2" xfId="29093"/>
    <cellStyle name="Note 2 2 14 7 2 2" xfId="55172"/>
    <cellStyle name="Note 2 2 14 7 2 3" xfId="55173"/>
    <cellStyle name="Note 2 2 14 7 3" xfId="36183"/>
    <cellStyle name="Note 2 2 14 7 4" xfId="55174"/>
    <cellStyle name="Note 2 2 14 8" xfId="21347"/>
    <cellStyle name="Note 2 2 14 8 2" xfId="29650"/>
    <cellStyle name="Note 2 2 14 8 2 2" xfId="55175"/>
    <cellStyle name="Note 2 2 14 8 2 3" xfId="55176"/>
    <cellStyle name="Note 2 2 14 8 3" xfId="36715"/>
    <cellStyle name="Note 2 2 14 8 4" xfId="55177"/>
    <cellStyle name="Note 2 2 14 9" xfId="22208"/>
    <cellStyle name="Note 2 2 14 9 2" xfId="30506"/>
    <cellStyle name="Note 2 2 14 9 2 2" xfId="55178"/>
    <cellStyle name="Note 2 2 14 9 2 3" xfId="55179"/>
    <cellStyle name="Note 2 2 14 9 3" xfId="37535"/>
    <cellStyle name="Note 2 2 14 9 4" xfId="55180"/>
    <cellStyle name="Note 2 2 15" xfId="14836"/>
    <cellStyle name="Note 2 2 15 10" xfId="23199"/>
    <cellStyle name="Note 2 2 15 11" xfId="55181"/>
    <cellStyle name="Note 2 2 15 2" xfId="15917"/>
    <cellStyle name="Note 2 2 15 2 2" xfId="24234"/>
    <cellStyle name="Note 2 2 15 2 2 2" xfId="55182"/>
    <cellStyle name="Note 2 2 15 2 2 3" xfId="55183"/>
    <cellStyle name="Note 2 2 15 2 3" xfId="31518"/>
    <cellStyle name="Note 2 2 15 2 4" xfId="55184"/>
    <cellStyle name="Note 2 2 15 3" xfId="16883"/>
    <cellStyle name="Note 2 2 15 3 2" xfId="25206"/>
    <cellStyle name="Note 2 2 15 3 2 2" xfId="55185"/>
    <cellStyle name="Note 2 2 15 3 2 3" xfId="55186"/>
    <cellStyle name="Note 2 2 15 3 3" xfId="32451"/>
    <cellStyle name="Note 2 2 15 3 4" xfId="55187"/>
    <cellStyle name="Note 2 2 15 4" xfId="17910"/>
    <cellStyle name="Note 2 2 15 4 2" xfId="26232"/>
    <cellStyle name="Note 2 2 15 4 2 2" xfId="55188"/>
    <cellStyle name="Note 2 2 15 4 2 3" xfId="55189"/>
    <cellStyle name="Note 2 2 15 4 3" xfId="33428"/>
    <cellStyle name="Note 2 2 15 4 4" xfId="55190"/>
    <cellStyle name="Note 2 2 15 5" xfId="18894"/>
    <cellStyle name="Note 2 2 15 5 2" xfId="27214"/>
    <cellStyle name="Note 2 2 15 5 2 2" xfId="55191"/>
    <cellStyle name="Note 2 2 15 5 2 3" xfId="55192"/>
    <cellStyle name="Note 2 2 15 5 3" xfId="34369"/>
    <cellStyle name="Note 2 2 15 5 4" xfId="55193"/>
    <cellStyle name="Note 2 2 15 6" xfId="19862"/>
    <cellStyle name="Note 2 2 15 6 2" xfId="28184"/>
    <cellStyle name="Note 2 2 15 6 2 2" xfId="55194"/>
    <cellStyle name="Note 2 2 15 6 2 3" xfId="55195"/>
    <cellStyle name="Note 2 2 15 6 3" xfId="35316"/>
    <cellStyle name="Note 2 2 15 6 4" xfId="55196"/>
    <cellStyle name="Note 2 2 15 7" xfId="20820"/>
    <cellStyle name="Note 2 2 15 7 2" xfId="29139"/>
    <cellStyle name="Note 2 2 15 7 2 2" xfId="55197"/>
    <cellStyle name="Note 2 2 15 7 2 3" xfId="55198"/>
    <cellStyle name="Note 2 2 15 7 3" xfId="36226"/>
    <cellStyle name="Note 2 2 15 7 4" xfId="55199"/>
    <cellStyle name="Note 2 2 15 8" xfId="21337"/>
    <cellStyle name="Note 2 2 15 8 2" xfId="29641"/>
    <cellStyle name="Note 2 2 15 8 2 2" xfId="55200"/>
    <cellStyle name="Note 2 2 15 8 2 3" xfId="55201"/>
    <cellStyle name="Note 2 2 15 8 3" xfId="36707"/>
    <cellStyle name="Note 2 2 15 8 4" xfId="55202"/>
    <cellStyle name="Note 2 2 15 9" xfId="22255"/>
    <cellStyle name="Note 2 2 15 9 2" xfId="30553"/>
    <cellStyle name="Note 2 2 15 9 2 2" xfId="55203"/>
    <cellStyle name="Note 2 2 15 9 2 3" xfId="55204"/>
    <cellStyle name="Note 2 2 15 9 3" xfId="37579"/>
    <cellStyle name="Note 2 2 15 9 4" xfId="55205"/>
    <cellStyle name="Note 2 2 16" xfId="14873"/>
    <cellStyle name="Note 2 2 16 10" xfId="23236"/>
    <cellStyle name="Note 2 2 16 11" xfId="55206"/>
    <cellStyle name="Note 2 2 16 2" xfId="15954"/>
    <cellStyle name="Note 2 2 16 2 2" xfId="24271"/>
    <cellStyle name="Note 2 2 16 2 2 2" xfId="55207"/>
    <cellStyle name="Note 2 2 16 2 2 3" xfId="55208"/>
    <cellStyle name="Note 2 2 16 2 3" xfId="31554"/>
    <cellStyle name="Note 2 2 16 2 4" xfId="55209"/>
    <cellStyle name="Note 2 2 16 3" xfId="16920"/>
    <cellStyle name="Note 2 2 16 3 2" xfId="25243"/>
    <cellStyle name="Note 2 2 16 3 2 2" xfId="55210"/>
    <cellStyle name="Note 2 2 16 3 2 3" xfId="55211"/>
    <cellStyle name="Note 2 2 16 3 3" xfId="32487"/>
    <cellStyle name="Note 2 2 16 3 4" xfId="55212"/>
    <cellStyle name="Note 2 2 16 4" xfId="17947"/>
    <cellStyle name="Note 2 2 16 4 2" xfId="26269"/>
    <cellStyle name="Note 2 2 16 4 2 2" xfId="55213"/>
    <cellStyle name="Note 2 2 16 4 2 3" xfId="55214"/>
    <cellStyle name="Note 2 2 16 4 3" xfId="33464"/>
    <cellStyle name="Note 2 2 16 4 4" xfId="55215"/>
    <cellStyle name="Note 2 2 16 5" xfId="18931"/>
    <cellStyle name="Note 2 2 16 5 2" xfId="27251"/>
    <cellStyle name="Note 2 2 16 5 2 2" xfId="55216"/>
    <cellStyle name="Note 2 2 16 5 2 3" xfId="55217"/>
    <cellStyle name="Note 2 2 16 5 3" xfId="34405"/>
    <cellStyle name="Note 2 2 16 5 4" xfId="55218"/>
    <cellStyle name="Note 2 2 16 6" xfId="19899"/>
    <cellStyle name="Note 2 2 16 6 2" xfId="28221"/>
    <cellStyle name="Note 2 2 16 6 2 2" xfId="55219"/>
    <cellStyle name="Note 2 2 16 6 2 3" xfId="55220"/>
    <cellStyle name="Note 2 2 16 6 3" xfId="35352"/>
    <cellStyle name="Note 2 2 16 6 4" xfId="55221"/>
    <cellStyle name="Note 2 2 16 7" xfId="20857"/>
    <cellStyle name="Note 2 2 16 7 2" xfId="29176"/>
    <cellStyle name="Note 2 2 16 7 2 2" xfId="55222"/>
    <cellStyle name="Note 2 2 16 7 2 3" xfId="55223"/>
    <cellStyle name="Note 2 2 16 7 3" xfId="36262"/>
    <cellStyle name="Note 2 2 16 7 4" xfId="55224"/>
    <cellStyle name="Note 2 2 16 8" xfId="17574"/>
    <cellStyle name="Note 2 2 16 8 2" xfId="25893"/>
    <cellStyle name="Note 2 2 16 8 2 2" xfId="55225"/>
    <cellStyle name="Note 2 2 16 8 2 3" xfId="55226"/>
    <cellStyle name="Note 2 2 16 8 3" xfId="33106"/>
    <cellStyle name="Note 2 2 16 8 4" xfId="55227"/>
    <cellStyle name="Note 2 2 16 9" xfId="22292"/>
    <cellStyle name="Note 2 2 16 9 2" xfId="30590"/>
    <cellStyle name="Note 2 2 16 9 2 2" xfId="55228"/>
    <cellStyle name="Note 2 2 16 9 2 3" xfId="55229"/>
    <cellStyle name="Note 2 2 16 9 3" xfId="37615"/>
    <cellStyle name="Note 2 2 16 9 4" xfId="55230"/>
    <cellStyle name="Note 2 2 17" xfId="14889"/>
    <cellStyle name="Note 2 2 17 10" xfId="23252"/>
    <cellStyle name="Note 2 2 17 11" xfId="55231"/>
    <cellStyle name="Note 2 2 17 2" xfId="15970"/>
    <cellStyle name="Note 2 2 17 2 2" xfId="24287"/>
    <cellStyle name="Note 2 2 17 2 2 2" xfId="55232"/>
    <cellStyle name="Note 2 2 17 2 2 3" xfId="55233"/>
    <cellStyle name="Note 2 2 17 2 3" xfId="31568"/>
    <cellStyle name="Note 2 2 17 2 4" xfId="55234"/>
    <cellStyle name="Note 2 2 17 3" xfId="16936"/>
    <cellStyle name="Note 2 2 17 3 2" xfId="25259"/>
    <cellStyle name="Note 2 2 17 3 2 2" xfId="55235"/>
    <cellStyle name="Note 2 2 17 3 2 3" xfId="55236"/>
    <cellStyle name="Note 2 2 17 3 3" xfId="32501"/>
    <cellStyle name="Note 2 2 17 3 4" xfId="55237"/>
    <cellStyle name="Note 2 2 17 4" xfId="17963"/>
    <cellStyle name="Note 2 2 17 4 2" xfId="26285"/>
    <cellStyle name="Note 2 2 17 4 2 2" xfId="55238"/>
    <cellStyle name="Note 2 2 17 4 2 3" xfId="55239"/>
    <cellStyle name="Note 2 2 17 4 3" xfId="33478"/>
    <cellStyle name="Note 2 2 17 4 4" xfId="55240"/>
    <cellStyle name="Note 2 2 17 5" xfId="18947"/>
    <cellStyle name="Note 2 2 17 5 2" xfId="27267"/>
    <cellStyle name="Note 2 2 17 5 2 2" xfId="55241"/>
    <cellStyle name="Note 2 2 17 5 2 3" xfId="55242"/>
    <cellStyle name="Note 2 2 17 5 3" xfId="34419"/>
    <cellStyle name="Note 2 2 17 5 4" xfId="55243"/>
    <cellStyle name="Note 2 2 17 6" xfId="19915"/>
    <cellStyle name="Note 2 2 17 6 2" xfId="28237"/>
    <cellStyle name="Note 2 2 17 6 2 2" xfId="55244"/>
    <cellStyle name="Note 2 2 17 6 2 3" xfId="55245"/>
    <cellStyle name="Note 2 2 17 6 3" xfId="35366"/>
    <cellStyle name="Note 2 2 17 6 4" xfId="55246"/>
    <cellStyle name="Note 2 2 17 7" xfId="20873"/>
    <cellStyle name="Note 2 2 17 7 2" xfId="29192"/>
    <cellStyle name="Note 2 2 17 7 2 2" xfId="55247"/>
    <cellStyle name="Note 2 2 17 7 2 3" xfId="55248"/>
    <cellStyle name="Note 2 2 17 7 3" xfId="36276"/>
    <cellStyle name="Note 2 2 17 7 4" xfId="55249"/>
    <cellStyle name="Note 2 2 17 8" xfId="21380"/>
    <cellStyle name="Note 2 2 17 8 2" xfId="29683"/>
    <cellStyle name="Note 2 2 17 8 2 2" xfId="55250"/>
    <cellStyle name="Note 2 2 17 8 2 3" xfId="55251"/>
    <cellStyle name="Note 2 2 17 8 3" xfId="36746"/>
    <cellStyle name="Note 2 2 17 8 4" xfId="55252"/>
    <cellStyle name="Note 2 2 17 9" xfId="22308"/>
    <cellStyle name="Note 2 2 17 9 2" xfId="30606"/>
    <cellStyle name="Note 2 2 17 9 2 2" xfId="55253"/>
    <cellStyle name="Note 2 2 17 9 2 3" xfId="55254"/>
    <cellStyle name="Note 2 2 17 9 3" xfId="37629"/>
    <cellStyle name="Note 2 2 17 9 4" xfId="55255"/>
    <cellStyle name="Note 2 2 18" xfId="14934"/>
    <cellStyle name="Note 2 2 18 10" xfId="23297"/>
    <cellStyle name="Note 2 2 18 11" xfId="55256"/>
    <cellStyle name="Note 2 2 18 2" xfId="16015"/>
    <cellStyle name="Note 2 2 18 2 2" xfId="24332"/>
    <cellStyle name="Note 2 2 18 2 2 2" xfId="55257"/>
    <cellStyle name="Note 2 2 18 2 2 3" xfId="55258"/>
    <cellStyle name="Note 2 2 18 2 3" xfId="31612"/>
    <cellStyle name="Note 2 2 18 2 4" xfId="55259"/>
    <cellStyle name="Note 2 2 18 3" xfId="16981"/>
    <cellStyle name="Note 2 2 18 3 2" xfId="25304"/>
    <cellStyle name="Note 2 2 18 3 2 2" xfId="55260"/>
    <cellStyle name="Note 2 2 18 3 2 3" xfId="55261"/>
    <cellStyle name="Note 2 2 18 3 3" xfId="32545"/>
    <cellStyle name="Note 2 2 18 3 4" xfId="55262"/>
    <cellStyle name="Note 2 2 18 4" xfId="18008"/>
    <cellStyle name="Note 2 2 18 4 2" xfId="26330"/>
    <cellStyle name="Note 2 2 18 4 2 2" xfId="55263"/>
    <cellStyle name="Note 2 2 18 4 2 3" xfId="55264"/>
    <cellStyle name="Note 2 2 18 4 3" xfId="33522"/>
    <cellStyle name="Note 2 2 18 4 4" xfId="55265"/>
    <cellStyle name="Note 2 2 18 5" xfId="18992"/>
    <cellStyle name="Note 2 2 18 5 2" xfId="27312"/>
    <cellStyle name="Note 2 2 18 5 2 2" xfId="55266"/>
    <cellStyle name="Note 2 2 18 5 2 3" xfId="55267"/>
    <cellStyle name="Note 2 2 18 5 3" xfId="34463"/>
    <cellStyle name="Note 2 2 18 5 4" xfId="55268"/>
    <cellStyle name="Note 2 2 18 6" xfId="19960"/>
    <cellStyle name="Note 2 2 18 6 2" xfId="28282"/>
    <cellStyle name="Note 2 2 18 6 2 2" xfId="55269"/>
    <cellStyle name="Note 2 2 18 6 2 3" xfId="55270"/>
    <cellStyle name="Note 2 2 18 6 3" xfId="35410"/>
    <cellStyle name="Note 2 2 18 6 4" xfId="55271"/>
    <cellStyle name="Note 2 2 18 7" xfId="20918"/>
    <cellStyle name="Note 2 2 18 7 2" xfId="29237"/>
    <cellStyle name="Note 2 2 18 7 2 2" xfId="55272"/>
    <cellStyle name="Note 2 2 18 7 2 3" xfId="55273"/>
    <cellStyle name="Note 2 2 18 7 3" xfId="36320"/>
    <cellStyle name="Note 2 2 18 7 4" xfId="55274"/>
    <cellStyle name="Note 2 2 18 8" xfId="21425"/>
    <cellStyle name="Note 2 2 18 8 2" xfId="29728"/>
    <cellStyle name="Note 2 2 18 8 2 2" xfId="55275"/>
    <cellStyle name="Note 2 2 18 8 2 3" xfId="55276"/>
    <cellStyle name="Note 2 2 18 8 3" xfId="36790"/>
    <cellStyle name="Note 2 2 18 8 4" xfId="55277"/>
    <cellStyle name="Note 2 2 18 9" xfId="22353"/>
    <cellStyle name="Note 2 2 18 9 2" xfId="30651"/>
    <cellStyle name="Note 2 2 18 9 2 2" xfId="55278"/>
    <cellStyle name="Note 2 2 18 9 2 3" xfId="55279"/>
    <cellStyle name="Note 2 2 18 9 3" xfId="37673"/>
    <cellStyle name="Note 2 2 18 9 4" xfId="55280"/>
    <cellStyle name="Note 2 2 19" xfId="14930"/>
    <cellStyle name="Note 2 2 19 10" xfId="23293"/>
    <cellStyle name="Note 2 2 19 11" xfId="55281"/>
    <cellStyle name="Note 2 2 19 2" xfId="16011"/>
    <cellStyle name="Note 2 2 19 2 2" xfId="24328"/>
    <cellStyle name="Note 2 2 19 2 2 2" xfId="55282"/>
    <cellStyle name="Note 2 2 19 2 2 3" xfId="55283"/>
    <cellStyle name="Note 2 2 19 2 3" xfId="31608"/>
    <cellStyle name="Note 2 2 19 2 4" xfId="55284"/>
    <cellStyle name="Note 2 2 19 3" xfId="16977"/>
    <cellStyle name="Note 2 2 19 3 2" xfId="25300"/>
    <cellStyle name="Note 2 2 19 3 2 2" xfId="55285"/>
    <cellStyle name="Note 2 2 19 3 2 3" xfId="55286"/>
    <cellStyle name="Note 2 2 19 3 3" xfId="32541"/>
    <cellStyle name="Note 2 2 19 3 4" xfId="55287"/>
    <cellStyle name="Note 2 2 19 4" xfId="18004"/>
    <cellStyle name="Note 2 2 19 4 2" xfId="26326"/>
    <cellStyle name="Note 2 2 19 4 2 2" xfId="55288"/>
    <cellStyle name="Note 2 2 19 4 2 3" xfId="55289"/>
    <cellStyle name="Note 2 2 19 4 3" xfId="33518"/>
    <cellStyle name="Note 2 2 19 4 4" xfId="55290"/>
    <cellStyle name="Note 2 2 19 5" xfId="18988"/>
    <cellStyle name="Note 2 2 19 5 2" xfId="27308"/>
    <cellStyle name="Note 2 2 19 5 2 2" xfId="55291"/>
    <cellStyle name="Note 2 2 19 5 2 3" xfId="55292"/>
    <cellStyle name="Note 2 2 19 5 3" xfId="34459"/>
    <cellStyle name="Note 2 2 19 5 4" xfId="55293"/>
    <cellStyle name="Note 2 2 19 6" xfId="19956"/>
    <cellStyle name="Note 2 2 19 6 2" xfId="28278"/>
    <cellStyle name="Note 2 2 19 6 2 2" xfId="55294"/>
    <cellStyle name="Note 2 2 19 6 2 3" xfId="55295"/>
    <cellStyle name="Note 2 2 19 6 3" xfId="35406"/>
    <cellStyle name="Note 2 2 19 6 4" xfId="55296"/>
    <cellStyle name="Note 2 2 19 7" xfId="20914"/>
    <cellStyle name="Note 2 2 19 7 2" xfId="29233"/>
    <cellStyle name="Note 2 2 19 7 2 2" xfId="55297"/>
    <cellStyle name="Note 2 2 19 7 2 3" xfId="55298"/>
    <cellStyle name="Note 2 2 19 7 3" xfId="36316"/>
    <cellStyle name="Note 2 2 19 7 4" xfId="55299"/>
    <cellStyle name="Note 2 2 19 8" xfId="21421"/>
    <cellStyle name="Note 2 2 19 8 2" xfId="29724"/>
    <cellStyle name="Note 2 2 19 8 2 2" xfId="55300"/>
    <cellStyle name="Note 2 2 19 8 2 3" xfId="55301"/>
    <cellStyle name="Note 2 2 19 8 3" xfId="36786"/>
    <cellStyle name="Note 2 2 19 8 4" xfId="55302"/>
    <cellStyle name="Note 2 2 19 9" xfId="22349"/>
    <cellStyle name="Note 2 2 19 9 2" xfId="30647"/>
    <cellStyle name="Note 2 2 19 9 2 2" xfId="55303"/>
    <cellStyle name="Note 2 2 19 9 2 3" xfId="55304"/>
    <cellStyle name="Note 2 2 19 9 3" xfId="37669"/>
    <cellStyle name="Note 2 2 19 9 4" xfId="55305"/>
    <cellStyle name="Note 2 2 2" xfId="79"/>
    <cellStyle name="Note 2 2 2 10" xfId="14438"/>
    <cellStyle name="Note 2 2 2 10 2" xfId="55306"/>
    <cellStyle name="Note 2 2 2 10 3" xfId="55307"/>
    <cellStyle name="Note 2 2 2 11" xfId="55308"/>
    <cellStyle name="Note 2 2 2 12" xfId="55309"/>
    <cellStyle name="Note 2 2 2 13" xfId="55310"/>
    <cellStyle name="Note 2 2 2 14" xfId="55311"/>
    <cellStyle name="Note 2 2 2 2" xfId="153"/>
    <cellStyle name="Note 2 2 2 2 2" xfId="279"/>
    <cellStyle name="Note 2 2 2 2 2 2" xfId="688"/>
    <cellStyle name="Note 2 2 2 2 2 2 2" xfId="1639"/>
    <cellStyle name="Note 2 2 2 2 2 2 2 2" xfId="768"/>
    <cellStyle name="Note 2 2 2 2 2 2 2 2 2" xfId="2440"/>
    <cellStyle name="Note 2 2 2 2 2 2 2 2 2 2" xfId="5860"/>
    <cellStyle name="Note 2 2 2 2 2 2 2 2 2 2 2" xfId="12700"/>
    <cellStyle name="Note 2 2 2 2 2 2 2 2 2 3" xfId="9280"/>
    <cellStyle name="Note 2 2 2 2 2 2 2 2 3" xfId="3580"/>
    <cellStyle name="Note 2 2 2 2 2 2 2 2 3 2" xfId="7000"/>
    <cellStyle name="Note 2 2 2 2 2 2 2 2 3 2 2" xfId="13840"/>
    <cellStyle name="Note 2 2 2 2 2 2 2 2 3 3" xfId="10420"/>
    <cellStyle name="Note 2 2 2 2 2 2 2 2 4" xfId="4720"/>
    <cellStyle name="Note 2 2 2 2 2 2 2 2 4 2" xfId="11560"/>
    <cellStyle name="Note 2 2 2 2 2 2 2 2 5" xfId="8140"/>
    <cellStyle name="Note 2 2 2 2 2 2 2 3" xfId="2473"/>
    <cellStyle name="Note 2 2 2 2 2 2 2 3 2" xfId="5893"/>
    <cellStyle name="Note 2 2 2 2 2 2 2 3 2 2" xfId="12733"/>
    <cellStyle name="Note 2 2 2 2 2 2 2 3 3" xfId="9313"/>
    <cellStyle name="Note 2 2 2 2 2 2 2 4" xfId="3613"/>
    <cellStyle name="Note 2 2 2 2 2 2 2 4 2" xfId="7033"/>
    <cellStyle name="Note 2 2 2 2 2 2 2 4 2 2" xfId="13873"/>
    <cellStyle name="Note 2 2 2 2 2 2 2 4 3" xfId="10453"/>
    <cellStyle name="Note 2 2 2 2 2 2 2 5" xfId="4753"/>
    <cellStyle name="Note 2 2 2 2 2 2 2 5 2" xfId="11593"/>
    <cellStyle name="Note 2 2 2 2 2 2 2 6" xfId="8173"/>
    <cellStyle name="Note 2 2 2 2 2 2 3" xfId="38532"/>
    <cellStyle name="Note 2 2 2 2 2 2 4" xfId="55312"/>
    <cellStyle name="Note 2 2 2 2 2 2 5" xfId="55313"/>
    <cellStyle name="Note 2 2 2 2 2 2 6" xfId="55314"/>
    <cellStyle name="Note 2 2 2 2 2 3" xfId="1285"/>
    <cellStyle name="Note 2 2 2 2 2 3 2" xfId="985"/>
    <cellStyle name="Note 2 2 2 2 2 3 2 2" xfId="2587"/>
    <cellStyle name="Note 2 2 2 2 2 3 2 2 2" xfId="6007"/>
    <cellStyle name="Note 2 2 2 2 2 3 2 2 2 2" xfId="12847"/>
    <cellStyle name="Note 2 2 2 2 2 3 2 2 3" xfId="9427"/>
    <cellStyle name="Note 2 2 2 2 2 3 2 3" xfId="3727"/>
    <cellStyle name="Note 2 2 2 2 2 3 2 3 2" xfId="7147"/>
    <cellStyle name="Note 2 2 2 2 2 3 2 3 2 2" xfId="13987"/>
    <cellStyle name="Note 2 2 2 2 2 3 2 3 3" xfId="10567"/>
    <cellStyle name="Note 2 2 2 2 2 3 2 4" xfId="4867"/>
    <cellStyle name="Note 2 2 2 2 2 3 2 4 2" xfId="11707"/>
    <cellStyle name="Note 2 2 2 2 2 3 2 5" xfId="8287"/>
    <cellStyle name="Note 2 2 2 2 2 3 3" xfId="2105"/>
    <cellStyle name="Note 2 2 2 2 2 3 3 2" xfId="5525"/>
    <cellStyle name="Note 2 2 2 2 2 3 3 2 2" xfId="12365"/>
    <cellStyle name="Note 2 2 2 2 2 3 3 3" xfId="8945"/>
    <cellStyle name="Note 2 2 2 2 2 3 4" xfId="3245"/>
    <cellStyle name="Note 2 2 2 2 2 3 4 2" xfId="6665"/>
    <cellStyle name="Note 2 2 2 2 2 3 4 2 2" xfId="13505"/>
    <cellStyle name="Note 2 2 2 2 2 3 4 3" xfId="10085"/>
    <cellStyle name="Note 2 2 2 2 2 3 5" xfId="4385"/>
    <cellStyle name="Note 2 2 2 2 2 3 5 2" xfId="11225"/>
    <cellStyle name="Note 2 2 2 2 2 3 6" xfId="7805"/>
    <cellStyle name="Note 2 2 2 2 2 4" xfId="38295"/>
    <cellStyle name="Note 2 2 2 2 2 5" xfId="55315"/>
    <cellStyle name="Note 2 2 2 2 2 6" xfId="55316"/>
    <cellStyle name="Note 2 2 2 2 2 7" xfId="55317"/>
    <cellStyle name="Note 2 2 2 2 2 8" xfId="55318"/>
    <cellStyle name="Note 2 2 2 2 3" xfId="600"/>
    <cellStyle name="Note 2 2 2 2 3 2" xfId="1587"/>
    <cellStyle name="Note 2 2 2 2 3 2 2" xfId="1743"/>
    <cellStyle name="Note 2 2 2 2 3 2 2 2" xfId="2883"/>
    <cellStyle name="Note 2 2 2 2 3 2 2 2 2" xfId="6303"/>
    <cellStyle name="Note 2 2 2 2 3 2 2 2 2 2" xfId="13143"/>
    <cellStyle name="Note 2 2 2 2 3 2 2 2 3" xfId="9723"/>
    <cellStyle name="Note 2 2 2 2 3 2 2 3" xfId="4023"/>
    <cellStyle name="Note 2 2 2 2 3 2 2 3 2" xfId="7443"/>
    <cellStyle name="Note 2 2 2 2 3 2 2 3 2 2" xfId="14283"/>
    <cellStyle name="Note 2 2 2 2 3 2 2 3 3" xfId="10863"/>
    <cellStyle name="Note 2 2 2 2 3 2 2 4" xfId="5163"/>
    <cellStyle name="Note 2 2 2 2 3 2 2 4 2" xfId="12003"/>
    <cellStyle name="Note 2 2 2 2 3 2 2 5" xfId="8583"/>
    <cellStyle name="Note 2 2 2 2 3 2 3" xfId="2412"/>
    <cellStyle name="Note 2 2 2 2 3 2 3 2" xfId="5832"/>
    <cellStyle name="Note 2 2 2 2 3 2 3 2 2" xfId="12672"/>
    <cellStyle name="Note 2 2 2 2 3 2 3 3" xfId="9252"/>
    <cellStyle name="Note 2 2 2 2 3 2 4" xfId="3552"/>
    <cellStyle name="Note 2 2 2 2 3 2 4 2" xfId="6972"/>
    <cellStyle name="Note 2 2 2 2 3 2 4 2 2" xfId="13812"/>
    <cellStyle name="Note 2 2 2 2 3 2 4 3" xfId="10392"/>
    <cellStyle name="Note 2 2 2 2 3 2 5" xfId="4692"/>
    <cellStyle name="Note 2 2 2 2 3 2 5 2" xfId="11532"/>
    <cellStyle name="Note 2 2 2 2 3 2 6" xfId="8112"/>
    <cellStyle name="Note 2 2 2 2 3 3" xfId="38481"/>
    <cellStyle name="Note 2 2 2 2 3 4" xfId="55319"/>
    <cellStyle name="Note 2 2 2 2 3 5" xfId="55320"/>
    <cellStyle name="Note 2 2 2 2 3 6" xfId="55321"/>
    <cellStyle name="Note 2 2 2 2 4" xfId="1161"/>
    <cellStyle name="Note 2 2 2 2 4 2" xfId="1782"/>
    <cellStyle name="Note 2 2 2 2 4 2 2" xfId="2922"/>
    <cellStyle name="Note 2 2 2 2 4 2 2 2" xfId="6342"/>
    <cellStyle name="Note 2 2 2 2 4 2 2 2 2" xfId="13182"/>
    <cellStyle name="Note 2 2 2 2 4 2 2 3" xfId="9762"/>
    <cellStyle name="Note 2 2 2 2 4 2 3" xfId="4062"/>
    <cellStyle name="Note 2 2 2 2 4 2 3 2" xfId="7482"/>
    <cellStyle name="Note 2 2 2 2 4 2 3 2 2" xfId="14322"/>
    <cellStyle name="Note 2 2 2 2 4 2 3 3" xfId="10902"/>
    <cellStyle name="Note 2 2 2 2 4 2 4" xfId="5202"/>
    <cellStyle name="Note 2 2 2 2 4 2 4 2" xfId="12042"/>
    <cellStyle name="Note 2 2 2 2 4 2 5" xfId="8622"/>
    <cellStyle name="Note 2 2 2 2 4 3" xfId="1980"/>
    <cellStyle name="Note 2 2 2 2 4 3 2" xfId="5400"/>
    <cellStyle name="Note 2 2 2 2 4 3 2 2" xfId="12240"/>
    <cellStyle name="Note 2 2 2 2 4 3 3" xfId="8820"/>
    <cellStyle name="Note 2 2 2 2 4 4" xfId="3120"/>
    <cellStyle name="Note 2 2 2 2 4 4 2" xfId="6540"/>
    <cellStyle name="Note 2 2 2 2 4 4 2 2" xfId="13380"/>
    <cellStyle name="Note 2 2 2 2 4 4 3" xfId="9960"/>
    <cellStyle name="Note 2 2 2 2 4 5" xfId="4260"/>
    <cellStyle name="Note 2 2 2 2 4 5 2" xfId="11100"/>
    <cellStyle name="Note 2 2 2 2 4 6" xfId="7680"/>
    <cellStyle name="Note 2 2 2 2 5" xfId="23904"/>
    <cellStyle name="Note 2 2 2 2 6" xfId="38217"/>
    <cellStyle name="Note 2 2 2 2 7" xfId="55322"/>
    <cellStyle name="Note 2 2 2 2 8" xfId="55323"/>
    <cellStyle name="Note 2 2 2 3" xfId="319"/>
    <cellStyle name="Note 2 2 2 3 2" xfId="379"/>
    <cellStyle name="Note 2 2 2 3 2 2" xfId="1384"/>
    <cellStyle name="Note 2 2 2 3 2 2 2" xfId="916"/>
    <cellStyle name="Note 2 2 2 3 2 2 2 2" xfId="2636"/>
    <cellStyle name="Note 2 2 2 3 2 2 2 2 2" xfId="6056"/>
    <cellStyle name="Note 2 2 2 3 2 2 2 2 2 2" xfId="12896"/>
    <cellStyle name="Note 2 2 2 3 2 2 2 2 3" xfId="9476"/>
    <cellStyle name="Note 2 2 2 3 2 2 2 3" xfId="3776"/>
    <cellStyle name="Note 2 2 2 3 2 2 2 3 2" xfId="7196"/>
    <cellStyle name="Note 2 2 2 3 2 2 2 3 2 2" xfId="14036"/>
    <cellStyle name="Note 2 2 2 3 2 2 2 3 3" xfId="10616"/>
    <cellStyle name="Note 2 2 2 3 2 2 2 4" xfId="4916"/>
    <cellStyle name="Note 2 2 2 3 2 2 2 4 2" xfId="11756"/>
    <cellStyle name="Note 2 2 2 3 2 2 2 5" xfId="8336"/>
    <cellStyle name="Note 2 2 2 3 2 2 3" xfId="2205"/>
    <cellStyle name="Note 2 2 2 3 2 2 3 2" xfId="5625"/>
    <cellStyle name="Note 2 2 2 3 2 2 3 2 2" xfId="12465"/>
    <cellStyle name="Note 2 2 2 3 2 2 3 3" xfId="9045"/>
    <cellStyle name="Note 2 2 2 3 2 2 4" xfId="3345"/>
    <cellStyle name="Note 2 2 2 3 2 2 4 2" xfId="6765"/>
    <cellStyle name="Note 2 2 2 3 2 2 4 2 2" xfId="13605"/>
    <cellStyle name="Note 2 2 2 3 2 2 4 3" xfId="10185"/>
    <cellStyle name="Note 2 2 2 3 2 2 5" xfId="4485"/>
    <cellStyle name="Note 2 2 2 3 2 2 5 2" xfId="11325"/>
    <cellStyle name="Note 2 2 2 3 2 2 6" xfId="7905"/>
    <cellStyle name="Note 2 2 2 3 2 3" xfId="38362"/>
    <cellStyle name="Note 2 2 2 3 2 4" xfId="55324"/>
    <cellStyle name="Note 2 2 2 3 2 5" xfId="55325"/>
    <cellStyle name="Note 2 2 2 3 2 6" xfId="55326"/>
    <cellStyle name="Note 2 2 2 3 2 7" xfId="55327"/>
    <cellStyle name="Note 2 2 2 3 3" xfId="1324"/>
    <cellStyle name="Note 2 2 2 3 3 2" xfId="967"/>
    <cellStyle name="Note 2 2 2 3 3 2 2" xfId="2644"/>
    <cellStyle name="Note 2 2 2 3 3 2 2 2" xfId="6064"/>
    <cellStyle name="Note 2 2 2 3 3 2 2 2 2" xfId="12904"/>
    <cellStyle name="Note 2 2 2 3 3 2 2 3" xfId="9484"/>
    <cellStyle name="Note 2 2 2 3 3 2 3" xfId="3784"/>
    <cellStyle name="Note 2 2 2 3 3 2 3 2" xfId="7204"/>
    <cellStyle name="Note 2 2 2 3 3 2 3 2 2" xfId="14044"/>
    <cellStyle name="Note 2 2 2 3 3 2 3 3" xfId="10624"/>
    <cellStyle name="Note 2 2 2 3 3 2 4" xfId="4924"/>
    <cellStyle name="Note 2 2 2 3 3 2 4 2" xfId="11764"/>
    <cellStyle name="Note 2 2 2 3 3 2 5" xfId="8344"/>
    <cellStyle name="Note 2 2 2 3 3 3" xfId="2145"/>
    <cellStyle name="Note 2 2 2 3 3 3 2" xfId="5565"/>
    <cellStyle name="Note 2 2 2 3 3 3 2 2" xfId="12405"/>
    <cellStyle name="Note 2 2 2 3 3 3 3" xfId="8985"/>
    <cellStyle name="Note 2 2 2 3 3 4" xfId="3285"/>
    <cellStyle name="Note 2 2 2 3 3 4 2" xfId="6705"/>
    <cellStyle name="Note 2 2 2 3 3 4 2 2" xfId="13545"/>
    <cellStyle name="Note 2 2 2 3 3 4 3" xfId="10125"/>
    <cellStyle name="Note 2 2 2 3 3 5" xfId="4425"/>
    <cellStyle name="Note 2 2 2 3 3 5 2" xfId="11265"/>
    <cellStyle name="Note 2 2 2 3 3 6" xfId="7845"/>
    <cellStyle name="Note 2 2 2 3 4" xfId="24875"/>
    <cellStyle name="Note 2 2 2 3 5" xfId="32135"/>
    <cellStyle name="Note 2 2 2 3 6" xfId="55328"/>
    <cellStyle name="Note 2 2 2 3 7" xfId="55329"/>
    <cellStyle name="Note 2 2 2 3 8" xfId="55330"/>
    <cellStyle name="Note 2 2 2 4" xfId="220"/>
    <cellStyle name="Note 2 2 2 4 2" xfId="225"/>
    <cellStyle name="Note 2 2 2 4 2 2" xfId="1232"/>
    <cellStyle name="Note 2 2 2 4 2 2 2" xfId="1012"/>
    <cellStyle name="Note 2 2 2 4 2 2 2 2" xfId="1958"/>
    <cellStyle name="Note 2 2 2 4 2 2 2 2 2" xfId="5378"/>
    <cellStyle name="Note 2 2 2 4 2 2 2 2 2 2" xfId="12218"/>
    <cellStyle name="Note 2 2 2 4 2 2 2 2 3" xfId="8798"/>
    <cellStyle name="Note 2 2 2 4 2 2 2 3" xfId="3098"/>
    <cellStyle name="Note 2 2 2 4 2 2 2 3 2" xfId="6518"/>
    <cellStyle name="Note 2 2 2 4 2 2 2 3 2 2" xfId="13358"/>
    <cellStyle name="Note 2 2 2 4 2 2 2 3 3" xfId="9938"/>
    <cellStyle name="Note 2 2 2 4 2 2 2 4" xfId="4238"/>
    <cellStyle name="Note 2 2 2 4 2 2 2 4 2" xfId="11078"/>
    <cellStyle name="Note 2 2 2 4 2 2 2 5" xfId="7658"/>
    <cellStyle name="Note 2 2 2 4 2 2 3" xfId="2052"/>
    <cellStyle name="Note 2 2 2 4 2 2 3 2" xfId="5472"/>
    <cellStyle name="Note 2 2 2 4 2 2 3 2 2" xfId="12312"/>
    <cellStyle name="Note 2 2 2 4 2 2 3 3" xfId="8892"/>
    <cellStyle name="Note 2 2 2 4 2 2 4" xfId="3192"/>
    <cellStyle name="Note 2 2 2 4 2 2 4 2" xfId="6612"/>
    <cellStyle name="Note 2 2 2 4 2 2 4 2 2" xfId="13452"/>
    <cellStyle name="Note 2 2 2 4 2 2 4 3" xfId="10032"/>
    <cellStyle name="Note 2 2 2 4 2 2 5" xfId="4332"/>
    <cellStyle name="Note 2 2 2 4 2 2 5 2" xfId="11172"/>
    <cellStyle name="Note 2 2 2 4 2 2 6" xfId="7752"/>
    <cellStyle name="Note 2 2 2 4 2 3" xfId="38254"/>
    <cellStyle name="Note 2 2 2 4 2 4" xfId="55331"/>
    <cellStyle name="Note 2 2 2 4 2 5" xfId="55332"/>
    <cellStyle name="Note 2 2 2 4 2 6" xfId="55333"/>
    <cellStyle name="Note 2 2 2 4 2 7" xfId="55334"/>
    <cellStyle name="Note 2 2 2 4 3" xfId="1227"/>
    <cellStyle name="Note 2 2 2 4 3 2" xfId="1812"/>
    <cellStyle name="Note 2 2 2 4 3 2 2" xfId="2952"/>
    <cellStyle name="Note 2 2 2 4 3 2 2 2" xfId="6372"/>
    <cellStyle name="Note 2 2 2 4 3 2 2 2 2" xfId="13212"/>
    <cellStyle name="Note 2 2 2 4 3 2 2 3" xfId="9792"/>
    <cellStyle name="Note 2 2 2 4 3 2 3" xfId="4092"/>
    <cellStyle name="Note 2 2 2 4 3 2 3 2" xfId="7512"/>
    <cellStyle name="Note 2 2 2 4 3 2 3 2 2" xfId="14352"/>
    <cellStyle name="Note 2 2 2 4 3 2 3 3" xfId="10932"/>
    <cellStyle name="Note 2 2 2 4 3 2 4" xfId="5232"/>
    <cellStyle name="Note 2 2 2 4 3 2 4 2" xfId="12072"/>
    <cellStyle name="Note 2 2 2 4 3 2 5" xfId="8652"/>
    <cellStyle name="Note 2 2 2 4 3 3" xfId="2047"/>
    <cellStyle name="Note 2 2 2 4 3 3 2" xfId="5467"/>
    <cellStyle name="Note 2 2 2 4 3 3 2 2" xfId="12307"/>
    <cellStyle name="Note 2 2 2 4 3 3 3" xfId="8887"/>
    <cellStyle name="Note 2 2 2 4 3 4" xfId="3187"/>
    <cellStyle name="Note 2 2 2 4 3 4 2" xfId="6607"/>
    <cellStyle name="Note 2 2 2 4 3 4 2 2" xfId="13447"/>
    <cellStyle name="Note 2 2 2 4 3 4 3" xfId="10027"/>
    <cellStyle name="Note 2 2 2 4 3 5" xfId="4327"/>
    <cellStyle name="Note 2 2 2 4 3 5 2" xfId="11167"/>
    <cellStyle name="Note 2 2 2 4 3 6" xfId="7747"/>
    <cellStyle name="Note 2 2 2 4 4" xfId="25899"/>
    <cellStyle name="Note 2 2 2 4 5" xfId="33112"/>
    <cellStyle name="Note 2 2 2 4 6" xfId="55335"/>
    <cellStyle name="Note 2 2 2 4 7" xfId="55336"/>
    <cellStyle name="Note 2 2 2 4 8" xfId="55337"/>
    <cellStyle name="Note 2 2 2 5" xfId="482"/>
    <cellStyle name="Note 2 2 2 5 2" xfId="444"/>
    <cellStyle name="Note 2 2 2 5 2 2" xfId="1448"/>
    <cellStyle name="Note 2 2 2 5 2 2 2" xfId="885"/>
    <cellStyle name="Note 2 2 2 5 2 2 2 2" xfId="2786"/>
    <cellStyle name="Note 2 2 2 5 2 2 2 2 2" xfId="6206"/>
    <cellStyle name="Note 2 2 2 5 2 2 2 2 2 2" xfId="13046"/>
    <cellStyle name="Note 2 2 2 5 2 2 2 2 3" xfId="9626"/>
    <cellStyle name="Note 2 2 2 5 2 2 2 3" xfId="3926"/>
    <cellStyle name="Note 2 2 2 5 2 2 2 3 2" xfId="7346"/>
    <cellStyle name="Note 2 2 2 5 2 2 2 3 2 2" xfId="14186"/>
    <cellStyle name="Note 2 2 2 5 2 2 2 3 3" xfId="10766"/>
    <cellStyle name="Note 2 2 2 5 2 2 2 4" xfId="5066"/>
    <cellStyle name="Note 2 2 2 5 2 2 2 4 2" xfId="11906"/>
    <cellStyle name="Note 2 2 2 5 2 2 2 5" xfId="8486"/>
    <cellStyle name="Note 2 2 2 5 2 2 3" xfId="2269"/>
    <cellStyle name="Note 2 2 2 5 2 2 3 2" xfId="5689"/>
    <cellStyle name="Note 2 2 2 5 2 2 3 2 2" xfId="12529"/>
    <cellStyle name="Note 2 2 2 5 2 2 3 3" xfId="9109"/>
    <cellStyle name="Note 2 2 2 5 2 2 4" xfId="3409"/>
    <cellStyle name="Note 2 2 2 5 2 2 4 2" xfId="6829"/>
    <cellStyle name="Note 2 2 2 5 2 2 4 2 2" xfId="13669"/>
    <cellStyle name="Note 2 2 2 5 2 2 4 3" xfId="10249"/>
    <cellStyle name="Note 2 2 2 5 2 2 5" xfId="4549"/>
    <cellStyle name="Note 2 2 2 5 2 2 5 2" xfId="11389"/>
    <cellStyle name="Note 2 2 2 5 2 2 6" xfId="7969"/>
    <cellStyle name="Note 2 2 2 5 2 3" xfId="38407"/>
    <cellStyle name="Note 2 2 2 5 2 4" xfId="55338"/>
    <cellStyle name="Note 2 2 2 5 2 5" xfId="55339"/>
    <cellStyle name="Note 2 2 2 5 2 6" xfId="55340"/>
    <cellStyle name="Note 2 2 2 5 2 7" xfId="55341"/>
    <cellStyle name="Note 2 2 2 5 3" xfId="1486"/>
    <cellStyle name="Note 2 2 2 5 3 2" xfId="866"/>
    <cellStyle name="Note 2 2 2 5 3 2 2" xfId="2518"/>
    <cellStyle name="Note 2 2 2 5 3 2 2 2" xfId="5938"/>
    <cellStyle name="Note 2 2 2 5 3 2 2 2 2" xfId="12778"/>
    <cellStyle name="Note 2 2 2 5 3 2 2 3" xfId="9358"/>
    <cellStyle name="Note 2 2 2 5 3 2 3" xfId="3658"/>
    <cellStyle name="Note 2 2 2 5 3 2 3 2" xfId="7078"/>
    <cellStyle name="Note 2 2 2 5 3 2 3 2 2" xfId="13918"/>
    <cellStyle name="Note 2 2 2 5 3 2 3 3" xfId="10498"/>
    <cellStyle name="Note 2 2 2 5 3 2 4" xfId="4798"/>
    <cellStyle name="Note 2 2 2 5 3 2 4 2" xfId="11638"/>
    <cellStyle name="Note 2 2 2 5 3 2 5" xfId="8218"/>
    <cellStyle name="Note 2 2 2 5 3 3" xfId="2307"/>
    <cellStyle name="Note 2 2 2 5 3 3 2" xfId="5727"/>
    <cellStyle name="Note 2 2 2 5 3 3 2 2" xfId="12567"/>
    <cellStyle name="Note 2 2 2 5 3 3 3" xfId="9147"/>
    <cellStyle name="Note 2 2 2 5 3 4" xfId="3447"/>
    <cellStyle name="Note 2 2 2 5 3 4 2" xfId="6867"/>
    <cellStyle name="Note 2 2 2 5 3 4 2 2" xfId="13707"/>
    <cellStyle name="Note 2 2 2 5 3 4 3" xfId="10287"/>
    <cellStyle name="Note 2 2 2 5 3 5" xfId="4587"/>
    <cellStyle name="Note 2 2 2 5 3 5 2" xfId="11427"/>
    <cellStyle name="Note 2 2 2 5 3 6" xfId="8007"/>
    <cellStyle name="Note 2 2 2 5 4" xfId="26877"/>
    <cellStyle name="Note 2 2 2 5 5" xfId="34046"/>
    <cellStyle name="Note 2 2 2 5 6" xfId="55342"/>
    <cellStyle name="Note 2 2 2 5 7" xfId="55343"/>
    <cellStyle name="Note 2 2 2 5 8" xfId="55344"/>
    <cellStyle name="Note 2 2 2 6" xfId="463"/>
    <cellStyle name="Note 2 2 2 6 2" xfId="529"/>
    <cellStyle name="Note 2 2 2 6 2 2" xfId="1533"/>
    <cellStyle name="Note 2 2 2 6 2 2 2" xfId="842"/>
    <cellStyle name="Note 2 2 2 6 2 2 2 2" xfId="2567"/>
    <cellStyle name="Note 2 2 2 6 2 2 2 2 2" xfId="5987"/>
    <cellStyle name="Note 2 2 2 6 2 2 2 2 2 2" xfId="12827"/>
    <cellStyle name="Note 2 2 2 6 2 2 2 2 3" xfId="9407"/>
    <cellStyle name="Note 2 2 2 6 2 2 2 3" xfId="3707"/>
    <cellStyle name="Note 2 2 2 6 2 2 2 3 2" xfId="7127"/>
    <cellStyle name="Note 2 2 2 6 2 2 2 3 2 2" xfId="13967"/>
    <cellStyle name="Note 2 2 2 6 2 2 2 3 3" xfId="10547"/>
    <cellStyle name="Note 2 2 2 6 2 2 2 4" xfId="4847"/>
    <cellStyle name="Note 2 2 2 6 2 2 2 4 2" xfId="11687"/>
    <cellStyle name="Note 2 2 2 6 2 2 2 5" xfId="8267"/>
    <cellStyle name="Note 2 2 2 6 2 2 3" xfId="2354"/>
    <cellStyle name="Note 2 2 2 6 2 2 3 2" xfId="5774"/>
    <cellStyle name="Note 2 2 2 6 2 2 3 2 2" xfId="12614"/>
    <cellStyle name="Note 2 2 2 6 2 2 3 3" xfId="9194"/>
    <cellStyle name="Note 2 2 2 6 2 2 4" xfId="3494"/>
    <cellStyle name="Note 2 2 2 6 2 2 4 2" xfId="6914"/>
    <cellStyle name="Note 2 2 2 6 2 2 4 2 2" xfId="13754"/>
    <cellStyle name="Note 2 2 2 6 2 2 4 3" xfId="10334"/>
    <cellStyle name="Note 2 2 2 6 2 2 5" xfId="4634"/>
    <cellStyle name="Note 2 2 2 6 2 2 5 2" xfId="11474"/>
    <cellStyle name="Note 2 2 2 6 2 2 6" xfId="8054"/>
    <cellStyle name="Note 2 2 2 6 2 3" xfId="38448"/>
    <cellStyle name="Note 2 2 2 6 2 4" xfId="55345"/>
    <cellStyle name="Note 2 2 2 6 2 5" xfId="55346"/>
    <cellStyle name="Note 2 2 2 6 2 6" xfId="55347"/>
    <cellStyle name="Note 2 2 2 6 2 7" xfId="55348"/>
    <cellStyle name="Note 2 2 2 6 3" xfId="1467"/>
    <cellStyle name="Note 2 2 2 6 3 2" xfId="1734"/>
    <cellStyle name="Note 2 2 2 6 3 2 2" xfId="2874"/>
    <cellStyle name="Note 2 2 2 6 3 2 2 2" xfId="6294"/>
    <cellStyle name="Note 2 2 2 6 3 2 2 2 2" xfId="13134"/>
    <cellStyle name="Note 2 2 2 6 3 2 2 3" xfId="9714"/>
    <cellStyle name="Note 2 2 2 6 3 2 3" xfId="4014"/>
    <cellStyle name="Note 2 2 2 6 3 2 3 2" xfId="7434"/>
    <cellStyle name="Note 2 2 2 6 3 2 3 2 2" xfId="14274"/>
    <cellStyle name="Note 2 2 2 6 3 2 3 3" xfId="10854"/>
    <cellStyle name="Note 2 2 2 6 3 2 4" xfId="5154"/>
    <cellStyle name="Note 2 2 2 6 3 2 4 2" xfId="11994"/>
    <cellStyle name="Note 2 2 2 6 3 2 5" xfId="8574"/>
    <cellStyle name="Note 2 2 2 6 3 3" xfId="2288"/>
    <cellStyle name="Note 2 2 2 6 3 3 2" xfId="5708"/>
    <cellStyle name="Note 2 2 2 6 3 3 2 2" xfId="12548"/>
    <cellStyle name="Note 2 2 2 6 3 3 3" xfId="9128"/>
    <cellStyle name="Note 2 2 2 6 3 4" xfId="3428"/>
    <cellStyle name="Note 2 2 2 6 3 4 2" xfId="6848"/>
    <cellStyle name="Note 2 2 2 6 3 4 2 2" xfId="13688"/>
    <cellStyle name="Note 2 2 2 6 3 4 3" xfId="10268"/>
    <cellStyle name="Note 2 2 2 6 3 5" xfId="4568"/>
    <cellStyle name="Note 2 2 2 6 3 5 2" xfId="11408"/>
    <cellStyle name="Note 2 2 2 6 3 6" xfId="7988"/>
    <cellStyle name="Note 2 2 2 6 4" xfId="23894"/>
    <cellStyle name="Note 2 2 2 6 5" xfId="31238"/>
    <cellStyle name="Note 2 2 2 6 6" xfId="55349"/>
    <cellStyle name="Note 2 2 2 6 7" xfId="55350"/>
    <cellStyle name="Note 2 2 2 6 8" xfId="55351"/>
    <cellStyle name="Note 2 2 2 7" xfId="1110"/>
    <cellStyle name="Note 2 2 2 7 2" xfId="1071"/>
    <cellStyle name="Note 2 2 2 7 2 2" xfId="2500"/>
    <cellStyle name="Note 2 2 2 7 2 2 2" xfId="5920"/>
    <cellStyle name="Note 2 2 2 7 2 2 2 2" xfId="12760"/>
    <cellStyle name="Note 2 2 2 7 2 2 3" xfId="9340"/>
    <cellStyle name="Note 2 2 2 7 2 3" xfId="3640"/>
    <cellStyle name="Note 2 2 2 7 2 3 2" xfId="7060"/>
    <cellStyle name="Note 2 2 2 7 2 3 2 2" xfId="13900"/>
    <cellStyle name="Note 2 2 2 7 2 3 3" xfId="10480"/>
    <cellStyle name="Note 2 2 2 7 2 4" xfId="4780"/>
    <cellStyle name="Note 2 2 2 7 2 4 2" xfId="11620"/>
    <cellStyle name="Note 2 2 2 7 2 5" xfId="8200"/>
    <cellStyle name="Note 2 2 2 7 3" xfId="1919"/>
    <cellStyle name="Note 2 2 2 7 3 2" xfId="5339"/>
    <cellStyle name="Note 2 2 2 7 3 2 2" xfId="12179"/>
    <cellStyle name="Note 2 2 2 7 3 3" xfId="8759"/>
    <cellStyle name="Note 2 2 2 7 4" xfId="3059"/>
    <cellStyle name="Note 2 2 2 7 4 2" xfId="6479"/>
    <cellStyle name="Note 2 2 2 7 4 2 2" xfId="13319"/>
    <cellStyle name="Note 2 2 2 7 4 3" xfId="9899"/>
    <cellStyle name="Note 2 2 2 7 5" xfId="4199"/>
    <cellStyle name="Note 2 2 2 7 5 2" xfId="11039"/>
    <cellStyle name="Note 2 2 2 7 6" xfId="7619"/>
    <cellStyle name="Note 2 2 2 7 7" xfId="23842"/>
    <cellStyle name="Note 2 2 2 7 8" xfId="31191"/>
    <cellStyle name="Note 2 2 2 8" xfId="21136"/>
    <cellStyle name="Note 2 2 2 8 2" xfId="29450"/>
    <cellStyle name="Note 2 2 2 8 2 2" xfId="55352"/>
    <cellStyle name="Note 2 2 2 8 2 3" xfId="55353"/>
    <cellStyle name="Note 2 2 2 8 3" xfId="36522"/>
    <cellStyle name="Note 2 2 2 8 4" xfId="55354"/>
    <cellStyle name="Note 2 2 2 9" xfId="21358"/>
    <cellStyle name="Note 2 2 2 9 2" xfId="29661"/>
    <cellStyle name="Note 2 2 2 9 2 2" xfId="55355"/>
    <cellStyle name="Note 2 2 2 9 2 3" xfId="55356"/>
    <cellStyle name="Note 2 2 2 9 3" xfId="36726"/>
    <cellStyle name="Note 2 2 2 9 4" xfId="55357"/>
    <cellStyle name="Note 2 2 20" xfId="14964"/>
    <cellStyle name="Note 2 2 20 10" xfId="23325"/>
    <cellStyle name="Note 2 2 20 11" xfId="55358"/>
    <cellStyle name="Note 2 2 20 2" xfId="16045"/>
    <cellStyle name="Note 2 2 20 2 2" xfId="24360"/>
    <cellStyle name="Note 2 2 20 2 2 2" xfId="55359"/>
    <cellStyle name="Note 2 2 20 2 2 3" xfId="55360"/>
    <cellStyle name="Note 2 2 20 2 3" xfId="31639"/>
    <cellStyle name="Note 2 2 20 2 4" xfId="55361"/>
    <cellStyle name="Note 2 2 20 3" xfId="17011"/>
    <cellStyle name="Note 2 2 20 3 2" xfId="25332"/>
    <cellStyle name="Note 2 2 20 3 2 2" xfId="55362"/>
    <cellStyle name="Note 2 2 20 3 2 3" xfId="55363"/>
    <cellStyle name="Note 2 2 20 3 3" xfId="32572"/>
    <cellStyle name="Note 2 2 20 3 4" xfId="55364"/>
    <cellStyle name="Note 2 2 20 4" xfId="18038"/>
    <cellStyle name="Note 2 2 20 4 2" xfId="26358"/>
    <cellStyle name="Note 2 2 20 4 2 2" xfId="55365"/>
    <cellStyle name="Note 2 2 20 4 2 3" xfId="55366"/>
    <cellStyle name="Note 2 2 20 4 3" xfId="33549"/>
    <cellStyle name="Note 2 2 20 4 4" xfId="55367"/>
    <cellStyle name="Note 2 2 20 5" xfId="19022"/>
    <cellStyle name="Note 2 2 20 5 2" xfId="27342"/>
    <cellStyle name="Note 2 2 20 5 2 2" xfId="55368"/>
    <cellStyle name="Note 2 2 20 5 2 3" xfId="55369"/>
    <cellStyle name="Note 2 2 20 5 3" xfId="34492"/>
    <cellStyle name="Note 2 2 20 5 4" xfId="55370"/>
    <cellStyle name="Note 2 2 20 6" xfId="19990"/>
    <cellStyle name="Note 2 2 20 6 2" xfId="28312"/>
    <cellStyle name="Note 2 2 20 6 2 2" xfId="55371"/>
    <cellStyle name="Note 2 2 20 6 2 3" xfId="55372"/>
    <cellStyle name="Note 2 2 20 6 3" xfId="35439"/>
    <cellStyle name="Note 2 2 20 6 4" xfId="55373"/>
    <cellStyle name="Note 2 2 20 7" xfId="20948"/>
    <cellStyle name="Note 2 2 20 7 2" xfId="29265"/>
    <cellStyle name="Note 2 2 20 7 2 2" xfId="55374"/>
    <cellStyle name="Note 2 2 20 7 2 3" xfId="55375"/>
    <cellStyle name="Note 2 2 20 7 3" xfId="36347"/>
    <cellStyle name="Note 2 2 20 7 4" xfId="55376"/>
    <cellStyle name="Note 2 2 20 8" xfId="21455"/>
    <cellStyle name="Note 2 2 20 8 2" xfId="29756"/>
    <cellStyle name="Note 2 2 20 8 2 2" xfId="55377"/>
    <cellStyle name="Note 2 2 20 8 2 3" xfId="55378"/>
    <cellStyle name="Note 2 2 20 8 3" xfId="36817"/>
    <cellStyle name="Note 2 2 20 8 4" xfId="55379"/>
    <cellStyle name="Note 2 2 20 9" xfId="22383"/>
    <cellStyle name="Note 2 2 20 9 2" xfId="30679"/>
    <cellStyle name="Note 2 2 20 9 2 2" xfId="55380"/>
    <cellStyle name="Note 2 2 20 9 2 3" xfId="55381"/>
    <cellStyle name="Note 2 2 20 9 3" xfId="37700"/>
    <cellStyle name="Note 2 2 20 9 4" xfId="55382"/>
    <cellStyle name="Note 2 2 21" xfId="15011"/>
    <cellStyle name="Note 2 2 21 10" xfId="23372"/>
    <cellStyle name="Note 2 2 21 11" xfId="55383"/>
    <cellStyle name="Note 2 2 21 2" xfId="16092"/>
    <cellStyle name="Note 2 2 21 2 2" xfId="24407"/>
    <cellStyle name="Note 2 2 21 2 2 2" xfId="55384"/>
    <cellStyle name="Note 2 2 21 2 2 3" xfId="55385"/>
    <cellStyle name="Note 2 2 21 2 3" xfId="31686"/>
    <cellStyle name="Note 2 2 21 2 4" xfId="55386"/>
    <cellStyle name="Note 2 2 21 3" xfId="17058"/>
    <cellStyle name="Note 2 2 21 3 2" xfId="25379"/>
    <cellStyle name="Note 2 2 21 3 2 2" xfId="55387"/>
    <cellStyle name="Note 2 2 21 3 2 3" xfId="55388"/>
    <cellStyle name="Note 2 2 21 3 3" xfId="32619"/>
    <cellStyle name="Note 2 2 21 3 4" xfId="55389"/>
    <cellStyle name="Note 2 2 21 4" xfId="18085"/>
    <cellStyle name="Note 2 2 21 4 2" xfId="26405"/>
    <cellStyle name="Note 2 2 21 4 2 2" xfId="55390"/>
    <cellStyle name="Note 2 2 21 4 2 3" xfId="55391"/>
    <cellStyle name="Note 2 2 21 4 3" xfId="33596"/>
    <cellStyle name="Note 2 2 21 4 4" xfId="55392"/>
    <cellStyle name="Note 2 2 21 5" xfId="19069"/>
    <cellStyle name="Note 2 2 21 5 2" xfId="27389"/>
    <cellStyle name="Note 2 2 21 5 2 2" xfId="55393"/>
    <cellStyle name="Note 2 2 21 5 2 3" xfId="55394"/>
    <cellStyle name="Note 2 2 21 5 3" xfId="34539"/>
    <cellStyle name="Note 2 2 21 5 4" xfId="55395"/>
    <cellStyle name="Note 2 2 21 6" xfId="20037"/>
    <cellStyle name="Note 2 2 21 6 2" xfId="28359"/>
    <cellStyle name="Note 2 2 21 6 2 2" xfId="55396"/>
    <cellStyle name="Note 2 2 21 6 2 3" xfId="55397"/>
    <cellStyle name="Note 2 2 21 6 3" xfId="35486"/>
    <cellStyle name="Note 2 2 21 6 4" xfId="55398"/>
    <cellStyle name="Note 2 2 21 7" xfId="20995"/>
    <cellStyle name="Note 2 2 21 7 2" xfId="29312"/>
    <cellStyle name="Note 2 2 21 7 2 2" xfId="55399"/>
    <cellStyle name="Note 2 2 21 7 2 3" xfId="55400"/>
    <cellStyle name="Note 2 2 21 7 3" xfId="36394"/>
    <cellStyle name="Note 2 2 21 7 4" xfId="55401"/>
    <cellStyle name="Note 2 2 21 8" xfId="21502"/>
    <cellStyle name="Note 2 2 21 8 2" xfId="29803"/>
    <cellStyle name="Note 2 2 21 8 2 2" xfId="55402"/>
    <cellStyle name="Note 2 2 21 8 2 3" xfId="55403"/>
    <cellStyle name="Note 2 2 21 8 3" xfId="36864"/>
    <cellStyle name="Note 2 2 21 8 4" xfId="55404"/>
    <cellStyle name="Note 2 2 21 9" xfId="22430"/>
    <cellStyle name="Note 2 2 21 9 2" xfId="30726"/>
    <cellStyle name="Note 2 2 21 9 2 2" xfId="55405"/>
    <cellStyle name="Note 2 2 21 9 2 3" xfId="55406"/>
    <cellStyle name="Note 2 2 21 9 3" xfId="37747"/>
    <cellStyle name="Note 2 2 21 9 4" xfId="55407"/>
    <cellStyle name="Note 2 2 22" xfId="15044"/>
    <cellStyle name="Note 2 2 22 10" xfId="23404"/>
    <cellStyle name="Note 2 2 22 11" xfId="55408"/>
    <cellStyle name="Note 2 2 22 2" xfId="16124"/>
    <cellStyle name="Note 2 2 22 2 2" xfId="24439"/>
    <cellStyle name="Note 2 2 22 2 2 2" xfId="55409"/>
    <cellStyle name="Note 2 2 22 2 2 3" xfId="55410"/>
    <cellStyle name="Note 2 2 22 2 3" xfId="31716"/>
    <cellStyle name="Note 2 2 22 2 4" xfId="55411"/>
    <cellStyle name="Note 2 2 22 3" xfId="17091"/>
    <cellStyle name="Note 2 2 22 3 2" xfId="25412"/>
    <cellStyle name="Note 2 2 22 3 2 2" xfId="55412"/>
    <cellStyle name="Note 2 2 22 3 2 3" xfId="55413"/>
    <cellStyle name="Note 2 2 22 3 3" xfId="32650"/>
    <cellStyle name="Note 2 2 22 3 4" xfId="55414"/>
    <cellStyle name="Note 2 2 22 4" xfId="18118"/>
    <cellStyle name="Note 2 2 22 4 2" xfId="26438"/>
    <cellStyle name="Note 2 2 22 4 2 2" xfId="55415"/>
    <cellStyle name="Note 2 2 22 4 2 3" xfId="55416"/>
    <cellStyle name="Note 2 2 22 4 3" xfId="33627"/>
    <cellStyle name="Note 2 2 22 4 4" xfId="55417"/>
    <cellStyle name="Note 2 2 22 5" xfId="19102"/>
    <cellStyle name="Note 2 2 22 5 2" xfId="27422"/>
    <cellStyle name="Note 2 2 22 5 2 2" xfId="55418"/>
    <cellStyle name="Note 2 2 22 5 2 3" xfId="55419"/>
    <cellStyle name="Note 2 2 22 5 3" xfId="34570"/>
    <cellStyle name="Note 2 2 22 5 4" xfId="55420"/>
    <cellStyle name="Note 2 2 22 6" xfId="20070"/>
    <cellStyle name="Note 2 2 22 6 2" xfId="28392"/>
    <cellStyle name="Note 2 2 22 6 2 2" xfId="55421"/>
    <cellStyle name="Note 2 2 22 6 2 3" xfId="55422"/>
    <cellStyle name="Note 2 2 22 6 3" xfId="35517"/>
    <cellStyle name="Note 2 2 22 6 4" xfId="55423"/>
    <cellStyle name="Note 2 2 22 7" xfId="21027"/>
    <cellStyle name="Note 2 2 22 7 2" xfId="29344"/>
    <cellStyle name="Note 2 2 22 7 2 2" xfId="55424"/>
    <cellStyle name="Note 2 2 22 7 2 3" xfId="55425"/>
    <cellStyle name="Note 2 2 22 7 3" xfId="36424"/>
    <cellStyle name="Note 2 2 22 7 4" xfId="55426"/>
    <cellStyle name="Note 2 2 22 8" xfId="21534"/>
    <cellStyle name="Note 2 2 22 8 2" xfId="29835"/>
    <cellStyle name="Note 2 2 22 8 2 2" xfId="55427"/>
    <cellStyle name="Note 2 2 22 8 2 3" xfId="55428"/>
    <cellStyle name="Note 2 2 22 8 3" xfId="36894"/>
    <cellStyle name="Note 2 2 22 8 4" xfId="55429"/>
    <cellStyle name="Note 2 2 22 9" xfId="22462"/>
    <cellStyle name="Note 2 2 22 9 2" xfId="30758"/>
    <cellStyle name="Note 2 2 22 9 2 2" xfId="55430"/>
    <cellStyle name="Note 2 2 22 9 2 3" xfId="55431"/>
    <cellStyle name="Note 2 2 22 9 3" xfId="37777"/>
    <cellStyle name="Note 2 2 22 9 4" xfId="55432"/>
    <cellStyle name="Note 2 2 23" xfId="15078"/>
    <cellStyle name="Note 2 2 23 10" xfId="23437"/>
    <cellStyle name="Note 2 2 23 11" xfId="55433"/>
    <cellStyle name="Note 2 2 23 2" xfId="16158"/>
    <cellStyle name="Note 2 2 23 2 2" xfId="24472"/>
    <cellStyle name="Note 2 2 23 2 2 2" xfId="55434"/>
    <cellStyle name="Note 2 2 23 2 2 3" xfId="55435"/>
    <cellStyle name="Note 2 2 23 2 3" xfId="31749"/>
    <cellStyle name="Note 2 2 23 2 4" xfId="55436"/>
    <cellStyle name="Note 2 2 23 3" xfId="17125"/>
    <cellStyle name="Note 2 2 23 3 2" xfId="25446"/>
    <cellStyle name="Note 2 2 23 3 2 2" xfId="55437"/>
    <cellStyle name="Note 2 2 23 3 2 3" xfId="55438"/>
    <cellStyle name="Note 2 2 23 3 3" xfId="32683"/>
    <cellStyle name="Note 2 2 23 3 4" xfId="55439"/>
    <cellStyle name="Note 2 2 23 4" xfId="18152"/>
    <cellStyle name="Note 2 2 23 4 2" xfId="26472"/>
    <cellStyle name="Note 2 2 23 4 2 2" xfId="55440"/>
    <cellStyle name="Note 2 2 23 4 2 3" xfId="55441"/>
    <cellStyle name="Note 2 2 23 4 3" xfId="33660"/>
    <cellStyle name="Note 2 2 23 4 4" xfId="55442"/>
    <cellStyle name="Note 2 2 23 5" xfId="19136"/>
    <cellStyle name="Note 2 2 23 5 2" xfId="27456"/>
    <cellStyle name="Note 2 2 23 5 2 2" xfId="55443"/>
    <cellStyle name="Note 2 2 23 5 2 3" xfId="55444"/>
    <cellStyle name="Note 2 2 23 5 3" xfId="34604"/>
    <cellStyle name="Note 2 2 23 5 4" xfId="55445"/>
    <cellStyle name="Note 2 2 23 6" xfId="20104"/>
    <cellStyle name="Note 2 2 23 6 2" xfId="28426"/>
    <cellStyle name="Note 2 2 23 6 2 2" xfId="55446"/>
    <cellStyle name="Note 2 2 23 6 2 3" xfId="55447"/>
    <cellStyle name="Note 2 2 23 6 3" xfId="35551"/>
    <cellStyle name="Note 2 2 23 6 4" xfId="55448"/>
    <cellStyle name="Note 2 2 23 7" xfId="21060"/>
    <cellStyle name="Note 2 2 23 7 2" xfId="29377"/>
    <cellStyle name="Note 2 2 23 7 2 2" xfId="55449"/>
    <cellStyle name="Note 2 2 23 7 2 3" xfId="55450"/>
    <cellStyle name="Note 2 2 23 7 3" xfId="36456"/>
    <cellStyle name="Note 2 2 23 7 4" xfId="55451"/>
    <cellStyle name="Note 2 2 23 8" xfId="21567"/>
    <cellStyle name="Note 2 2 23 8 2" xfId="29868"/>
    <cellStyle name="Note 2 2 23 8 2 2" xfId="55452"/>
    <cellStyle name="Note 2 2 23 8 2 3" xfId="55453"/>
    <cellStyle name="Note 2 2 23 8 3" xfId="36927"/>
    <cellStyle name="Note 2 2 23 8 4" xfId="55454"/>
    <cellStyle name="Note 2 2 23 9" xfId="22495"/>
    <cellStyle name="Note 2 2 23 9 2" xfId="30791"/>
    <cellStyle name="Note 2 2 23 9 2 2" xfId="55455"/>
    <cellStyle name="Note 2 2 23 9 2 3" xfId="55456"/>
    <cellStyle name="Note 2 2 23 9 3" xfId="37810"/>
    <cellStyle name="Note 2 2 23 9 4" xfId="55457"/>
    <cellStyle name="Note 2 2 24" xfId="15138"/>
    <cellStyle name="Note 2 2 24 10" xfId="55458"/>
    <cellStyle name="Note 2 2 24 2" xfId="16218"/>
    <cellStyle name="Note 2 2 24 2 2" xfId="24531"/>
    <cellStyle name="Note 2 2 24 2 2 2" xfId="55459"/>
    <cellStyle name="Note 2 2 24 2 2 3" xfId="55460"/>
    <cellStyle name="Note 2 2 24 2 3" xfId="31806"/>
    <cellStyle name="Note 2 2 24 2 4" xfId="55461"/>
    <cellStyle name="Note 2 2 24 3" xfId="17184"/>
    <cellStyle name="Note 2 2 24 3 2" xfId="25505"/>
    <cellStyle name="Note 2 2 24 3 2 2" xfId="55462"/>
    <cellStyle name="Note 2 2 24 3 2 3" xfId="55463"/>
    <cellStyle name="Note 2 2 24 3 3" xfId="32739"/>
    <cellStyle name="Note 2 2 24 3 4" xfId="55464"/>
    <cellStyle name="Note 2 2 24 4" xfId="18212"/>
    <cellStyle name="Note 2 2 24 4 2" xfId="26532"/>
    <cellStyle name="Note 2 2 24 4 2 2" xfId="55465"/>
    <cellStyle name="Note 2 2 24 4 2 3" xfId="55466"/>
    <cellStyle name="Note 2 2 24 4 3" xfId="33717"/>
    <cellStyle name="Note 2 2 24 4 4" xfId="55467"/>
    <cellStyle name="Note 2 2 24 5" xfId="19196"/>
    <cellStyle name="Note 2 2 24 5 2" xfId="27516"/>
    <cellStyle name="Note 2 2 24 5 2 2" xfId="55468"/>
    <cellStyle name="Note 2 2 24 5 2 3" xfId="55469"/>
    <cellStyle name="Note 2 2 24 5 3" xfId="34664"/>
    <cellStyle name="Note 2 2 24 5 4" xfId="55470"/>
    <cellStyle name="Note 2 2 24 6" xfId="20164"/>
    <cellStyle name="Note 2 2 24 6 2" xfId="28486"/>
    <cellStyle name="Note 2 2 24 6 2 2" xfId="55471"/>
    <cellStyle name="Note 2 2 24 6 2 3" xfId="55472"/>
    <cellStyle name="Note 2 2 24 6 3" xfId="35609"/>
    <cellStyle name="Note 2 2 24 6 4" xfId="55473"/>
    <cellStyle name="Note 2 2 24 7" xfId="21625"/>
    <cellStyle name="Note 2 2 24 7 2" xfId="29926"/>
    <cellStyle name="Note 2 2 24 7 2 2" xfId="55474"/>
    <cellStyle name="Note 2 2 24 7 2 3" xfId="55475"/>
    <cellStyle name="Note 2 2 24 7 3" xfId="36983"/>
    <cellStyle name="Note 2 2 24 7 4" xfId="55476"/>
    <cellStyle name="Note 2 2 24 8" xfId="22553"/>
    <cellStyle name="Note 2 2 24 8 2" xfId="30849"/>
    <cellStyle name="Note 2 2 24 8 2 2" xfId="55477"/>
    <cellStyle name="Note 2 2 24 8 2 3" xfId="55478"/>
    <cellStyle name="Note 2 2 24 8 3" xfId="37866"/>
    <cellStyle name="Note 2 2 24 8 4" xfId="55479"/>
    <cellStyle name="Note 2 2 24 9" xfId="23495"/>
    <cellStyle name="Note 2 2 25" xfId="15158"/>
    <cellStyle name="Note 2 2 25 10" xfId="55480"/>
    <cellStyle name="Note 2 2 25 2" xfId="16238"/>
    <cellStyle name="Note 2 2 25 2 2" xfId="24551"/>
    <cellStyle name="Note 2 2 25 2 2 2" xfId="55481"/>
    <cellStyle name="Note 2 2 25 2 2 3" xfId="55482"/>
    <cellStyle name="Note 2 2 25 2 3" xfId="31824"/>
    <cellStyle name="Note 2 2 25 2 4" xfId="55483"/>
    <cellStyle name="Note 2 2 25 3" xfId="17204"/>
    <cellStyle name="Note 2 2 25 3 2" xfId="25525"/>
    <cellStyle name="Note 2 2 25 3 2 2" xfId="55484"/>
    <cellStyle name="Note 2 2 25 3 2 3" xfId="55485"/>
    <cellStyle name="Note 2 2 25 3 3" xfId="32757"/>
    <cellStyle name="Note 2 2 25 3 4" xfId="55486"/>
    <cellStyle name="Note 2 2 25 4" xfId="18232"/>
    <cellStyle name="Note 2 2 25 4 2" xfId="26552"/>
    <cellStyle name="Note 2 2 25 4 2 2" xfId="55487"/>
    <cellStyle name="Note 2 2 25 4 2 3" xfId="55488"/>
    <cellStyle name="Note 2 2 25 4 3" xfId="33735"/>
    <cellStyle name="Note 2 2 25 4 4" xfId="55489"/>
    <cellStyle name="Note 2 2 25 5" xfId="19216"/>
    <cellStyle name="Note 2 2 25 5 2" xfId="27536"/>
    <cellStyle name="Note 2 2 25 5 2 2" xfId="55490"/>
    <cellStyle name="Note 2 2 25 5 2 3" xfId="55491"/>
    <cellStyle name="Note 2 2 25 5 3" xfId="34684"/>
    <cellStyle name="Note 2 2 25 5 4" xfId="55492"/>
    <cellStyle name="Note 2 2 25 6" xfId="20184"/>
    <cellStyle name="Note 2 2 25 6 2" xfId="28506"/>
    <cellStyle name="Note 2 2 25 6 2 2" xfId="55493"/>
    <cellStyle name="Note 2 2 25 6 2 3" xfId="55494"/>
    <cellStyle name="Note 2 2 25 6 3" xfId="35627"/>
    <cellStyle name="Note 2 2 25 6 4" xfId="55495"/>
    <cellStyle name="Note 2 2 25 7" xfId="21645"/>
    <cellStyle name="Note 2 2 25 7 2" xfId="29946"/>
    <cellStyle name="Note 2 2 25 7 2 2" xfId="55496"/>
    <cellStyle name="Note 2 2 25 7 2 3" xfId="55497"/>
    <cellStyle name="Note 2 2 25 7 3" xfId="37001"/>
    <cellStyle name="Note 2 2 25 7 4" xfId="55498"/>
    <cellStyle name="Note 2 2 25 8" xfId="22573"/>
    <cellStyle name="Note 2 2 25 8 2" xfId="30869"/>
    <cellStyle name="Note 2 2 25 8 2 2" xfId="55499"/>
    <cellStyle name="Note 2 2 25 8 2 3" xfId="55500"/>
    <cellStyle name="Note 2 2 25 8 3" xfId="37884"/>
    <cellStyle name="Note 2 2 25 8 4" xfId="55501"/>
    <cellStyle name="Note 2 2 25 9" xfId="23515"/>
    <cellStyle name="Note 2 2 26" xfId="15180"/>
    <cellStyle name="Note 2 2 26 10" xfId="55502"/>
    <cellStyle name="Note 2 2 26 2" xfId="16260"/>
    <cellStyle name="Note 2 2 26 2 2" xfId="24573"/>
    <cellStyle name="Note 2 2 26 2 2 2" xfId="55503"/>
    <cellStyle name="Note 2 2 26 2 2 3" xfId="55504"/>
    <cellStyle name="Note 2 2 26 2 3" xfId="31845"/>
    <cellStyle name="Note 2 2 26 2 4" xfId="55505"/>
    <cellStyle name="Note 2 2 26 3" xfId="17226"/>
    <cellStyle name="Note 2 2 26 3 2" xfId="25547"/>
    <cellStyle name="Note 2 2 26 3 2 2" xfId="55506"/>
    <cellStyle name="Note 2 2 26 3 2 3" xfId="55507"/>
    <cellStyle name="Note 2 2 26 3 3" xfId="32778"/>
    <cellStyle name="Note 2 2 26 3 4" xfId="55508"/>
    <cellStyle name="Note 2 2 26 4" xfId="18254"/>
    <cellStyle name="Note 2 2 26 4 2" xfId="26574"/>
    <cellStyle name="Note 2 2 26 4 2 2" xfId="55509"/>
    <cellStyle name="Note 2 2 26 4 2 3" xfId="55510"/>
    <cellStyle name="Note 2 2 26 4 3" xfId="33756"/>
    <cellStyle name="Note 2 2 26 4 4" xfId="55511"/>
    <cellStyle name="Note 2 2 26 5" xfId="19238"/>
    <cellStyle name="Note 2 2 26 5 2" xfId="27558"/>
    <cellStyle name="Note 2 2 26 5 2 2" xfId="55512"/>
    <cellStyle name="Note 2 2 26 5 2 3" xfId="55513"/>
    <cellStyle name="Note 2 2 26 5 3" xfId="34706"/>
    <cellStyle name="Note 2 2 26 5 4" xfId="55514"/>
    <cellStyle name="Note 2 2 26 6" xfId="20206"/>
    <cellStyle name="Note 2 2 26 6 2" xfId="28528"/>
    <cellStyle name="Note 2 2 26 6 2 2" xfId="55515"/>
    <cellStyle name="Note 2 2 26 6 2 3" xfId="55516"/>
    <cellStyle name="Note 2 2 26 6 3" xfId="35648"/>
    <cellStyle name="Note 2 2 26 6 4" xfId="55517"/>
    <cellStyle name="Note 2 2 26 7" xfId="21667"/>
    <cellStyle name="Note 2 2 26 7 2" xfId="29968"/>
    <cellStyle name="Note 2 2 26 7 2 2" xfId="55518"/>
    <cellStyle name="Note 2 2 26 7 2 3" xfId="55519"/>
    <cellStyle name="Note 2 2 26 7 3" xfId="37022"/>
    <cellStyle name="Note 2 2 26 7 4" xfId="55520"/>
    <cellStyle name="Note 2 2 26 8" xfId="22595"/>
    <cellStyle name="Note 2 2 26 8 2" xfId="30891"/>
    <cellStyle name="Note 2 2 26 8 2 2" xfId="55521"/>
    <cellStyle name="Note 2 2 26 8 2 3" xfId="55522"/>
    <cellStyle name="Note 2 2 26 8 3" xfId="37905"/>
    <cellStyle name="Note 2 2 26 8 4" xfId="55523"/>
    <cellStyle name="Note 2 2 26 9" xfId="23537"/>
    <cellStyle name="Note 2 2 27" xfId="15128"/>
    <cellStyle name="Note 2 2 27 10" xfId="55524"/>
    <cellStyle name="Note 2 2 27 2" xfId="16208"/>
    <cellStyle name="Note 2 2 27 2 2" xfId="24521"/>
    <cellStyle name="Note 2 2 27 2 2 2" xfId="55525"/>
    <cellStyle name="Note 2 2 27 2 2 3" xfId="55526"/>
    <cellStyle name="Note 2 2 27 2 3" xfId="31798"/>
    <cellStyle name="Note 2 2 27 2 4" xfId="55527"/>
    <cellStyle name="Note 2 2 27 3" xfId="17174"/>
    <cellStyle name="Note 2 2 27 3 2" xfId="25495"/>
    <cellStyle name="Note 2 2 27 3 2 2" xfId="55528"/>
    <cellStyle name="Note 2 2 27 3 2 3" xfId="55529"/>
    <cellStyle name="Note 2 2 27 3 3" xfId="32731"/>
    <cellStyle name="Note 2 2 27 3 4" xfId="55530"/>
    <cellStyle name="Note 2 2 27 4" xfId="18202"/>
    <cellStyle name="Note 2 2 27 4 2" xfId="26522"/>
    <cellStyle name="Note 2 2 27 4 2 2" xfId="55531"/>
    <cellStyle name="Note 2 2 27 4 2 3" xfId="55532"/>
    <cellStyle name="Note 2 2 27 4 3" xfId="33709"/>
    <cellStyle name="Note 2 2 27 4 4" xfId="55533"/>
    <cellStyle name="Note 2 2 27 5" xfId="19186"/>
    <cellStyle name="Note 2 2 27 5 2" xfId="27506"/>
    <cellStyle name="Note 2 2 27 5 2 2" xfId="55534"/>
    <cellStyle name="Note 2 2 27 5 2 3" xfId="55535"/>
    <cellStyle name="Note 2 2 27 5 3" xfId="34654"/>
    <cellStyle name="Note 2 2 27 5 4" xfId="55536"/>
    <cellStyle name="Note 2 2 27 6" xfId="20154"/>
    <cellStyle name="Note 2 2 27 6 2" xfId="28476"/>
    <cellStyle name="Note 2 2 27 6 2 2" xfId="55537"/>
    <cellStyle name="Note 2 2 27 6 2 3" xfId="55538"/>
    <cellStyle name="Note 2 2 27 6 3" xfId="35601"/>
    <cellStyle name="Note 2 2 27 6 4" xfId="55539"/>
    <cellStyle name="Note 2 2 27 7" xfId="21615"/>
    <cellStyle name="Note 2 2 27 7 2" xfId="29916"/>
    <cellStyle name="Note 2 2 27 7 2 2" xfId="55540"/>
    <cellStyle name="Note 2 2 27 7 2 3" xfId="55541"/>
    <cellStyle name="Note 2 2 27 7 3" xfId="36975"/>
    <cellStyle name="Note 2 2 27 7 4" xfId="55542"/>
    <cellStyle name="Note 2 2 27 8" xfId="22543"/>
    <cellStyle name="Note 2 2 27 8 2" xfId="30839"/>
    <cellStyle name="Note 2 2 27 8 2 2" xfId="55543"/>
    <cellStyle name="Note 2 2 27 8 2 3" xfId="55544"/>
    <cellStyle name="Note 2 2 27 8 3" xfId="37858"/>
    <cellStyle name="Note 2 2 27 8 4" xfId="55545"/>
    <cellStyle name="Note 2 2 27 9" xfId="23485"/>
    <cellStyle name="Note 2 2 28" xfId="15196"/>
    <cellStyle name="Note 2 2 28 10" xfId="55546"/>
    <cellStyle name="Note 2 2 28 2" xfId="16276"/>
    <cellStyle name="Note 2 2 28 2 2" xfId="24589"/>
    <cellStyle name="Note 2 2 28 2 2 2" xfId="55547"/>
    <cellStyle name="Note 2 2 28 2 2 3" xfId="55548"/>
    <cellStyle name="Note 2 2 28 2 3" xfId="31859"/>
    <cellStyle name="Note 2 2 28 2 4" xfId="55549"/>
    <cellStyle name="Note 2 2 28 3" xfId="17242"/>
    <cellStyle name="Note 2 2 28 3 2" xfId="25563"/>
    <cellStyle name="Note 2 2 28 3 2 2" xfId="55550"/>
    <cellStyle name="Note 2 2 28 3 2 3" xfId="55551"/>
    <cellStyle name="Note 2 2 28 3 3" xfId="32792"/>
    <cellStyle name="Note 2 2 28 3 4" xfId="55552"/>
    <cellStyle name="Note 2 2 28 4" xfId="18270"/>
    <cellStyle name="Note 2 2 28 4 2" xfId="26590"/>
    <cellStyle name="Note 2 2 28 4 2 2" xfId="55553"/>
    <cellStyle name="Note 2 2 28 4 2 3" xfId="55554"/>
    <cellStyle name="Note 2 2 28 4 3" xfId="33770"/>
    <cellStyle name="Note 2 2 28 4 4" xfId="55555"/>
    <cellStyle name="Note 2 2 28 5" xfId="19254"/>
    <cellStyle name="Note 2 2 28 5 2" xfId="27574"/>
    <cellStyle name="Note 2 2 28 5 2 2" xfId="55556"/>
    <cellStyle name="Note 2 2 28 5 2 3" xfId="55557"/>
    <cellStyle name="Note 2 2 28 5 3" xfId="34722"/>
    <cellStyle name="Note 2 2 28 5 4" xfId="55558"/>
    <cellStyle name="Note 2 2 28 6" xfId="20222"/>
    <cellStyle name="Note 2 2 28 6 2" xfId="28544"/>
    <cellStyle name="Note 2 2 28 6 2 2" xfId="55559"/>
    <cellStyle name="Note 2 2 28 6 2 3" xfId="55560"/>
    <cellStyle name="Note 2 2 28 6 3" xfId="35662"/>
    <cellStyle name="Note 2 2 28 6 4" xfId="55561"/>
    <cellStyle name="Note 2 2 28 7" xfId="21683"/>
    <cellStyle name="Note 2 2 28 7 2" xfId="29984"/>
    <cellStyle name="Note 2 2 28 7 2 2" xfId="55562"/>
    <cellStyle name="Note 2 2 28 7 2 3" xfId="55563"/>
    <cellStyle name="Note 2 2 28 7 3" xfId="37036"/>
    <cellStyle name="Note 2 2 28 7 4" xfId="55564"/>
    <cellStyle name="Note 2 2 28 8" xfId="22611"/>
    <cellStyle name="Note 2 2 28 8 2" xfId="30907"/>
    <cellStyle name="Note 2 2 28 8 2 2" xfId="55565"/>
    <cellStyle name="Note 2 2 28 8 2 3" xfId="55566"/>
    <cellStyle name="Note 2 2 28 8 3" xfId="37919"/>
    <cellStyle name="Note 2 2 28 8 4" xfId="55567"/>
    <cellStyle name="Note 2 2 28 9" xfId="23553"/>
    <cellStyle name="Note 2 2 29" xfId="15261"/>
    <cellStyle name="Note 2 2 29 10" xfId="55568"/>
    <cellStyle name="Note 2 2 29 2" xfId="16341"/>
    <cellStyle name="Note 2 2 29 2 2" xfId="24654"/>
    <cellStyle name="Note 2 2 29 2 2 2" xfId="55569"/>
    <cellStyle name="Note 2 2 29 2 2 3" xfId="55570"/>
    <cellStyle name="Note 2 2 29 2 3" xfId="31921"/>
    <cellStyle name="Note 2 2 29 2 4" xfId="55571"/>
    <cellStyle name="Note 2 2 29 3" xfId="17307"/>
    <cellStyle name="Note 2 2 29 3 2" xfId="25628"/>
    <cellStyle name="Note 2 2 29 3 2 2" xfId="55572"/>
    <cellStyle name="Note 2 2 29 3 2 3" xfId="55573"/>
    <cellStyle name="Note 2 2 29 3 3" xfId="32854"/>
    <cellStyle name="Note 2 2 29 3 4" xfId="55574"/>
    <cellStyle name="Note 2 2 29 4" xfId="18335"/>
    <cellStyle name="Note 2 2 29 4 2" xfId="26655"/>
    <cellStyle name="Note 2 2 29 4 2 2" xfId="55575"/>
    <cellStyle name="Note 2 2 29 4 2 3" xfId="55576"/>
    <cellStyle name="Note 2 2 29 4 3" xfId="33832"/>
    <cellStyle name="Note 2 2 29 4 4" xfId="55577"/>
    <cellStyle name="Note 2 2 29 5" xfId="19319"/>
    <cellStyle name="Note 2 2 29 5 2" xfId="27639"/>
    <cellStyle name="Note 2 2 29 5 2 2" xfId="55578"/>
    <cellStyle name="Note 2 2 29 5 2 3" xfId="55579"/>
    <cellStyle name="Note 2 2 29 5 3" xfId="34787"/>
    <cellStyle name="Note 2 2 29 5 4" xfId="55580"/>
    <cellStyle name="Note 2 2 29 6" xfId="20287"/>
    <cellStyle name="Note 2 2 29 6 2" xfId="28609"/>
    <cellStyle name="Note 2 2 29 6 2 2" xfId="55581"/>
    <cellStyle name="Note 2 2 29 6 2 3" xfId="55582"/>
    <cellStyle name="Note 2 2 29 6 3" xfId="35724"/>
    <cellStyle name="Note 2 2 29 6 4" xfId="55583"/>
    <cellStyle name="Note 2 2 29 7" xfId="21748"/>
    <cellStyle name="Note 2 2 29 7 2" xfId="30049"/>
    <cellStyle name="Note 2 2 29 7 2 2" xfId="55584"/>
    <cellStyle name="Note 2 2 29 7 2 3" xfId="55585"/>
    <cellStyle name="Note 2 2 29 7 3" xfId="37098"/>
    <cellStyle name="Note 2 2 29 7 4" xfId="55586"/>
    <cellStyle name="Note 2 2 29 8" xfId="22676"/>
    <cellStyle name="Note 2 2 29 8 2" xfId="30972"/>
    <cellStyle name="Note 2 2 29 8 2 2" xfId="55587"/>
    <cellStyle name="Note 2 2 29 8 2 3" xfId="55588"/>
    <cellStyle name="Note 2 2 29 8 3" xfId="37981"/>
    <cellStyle name="Note 2 2 29 8 4" xfId="55589"/>
    <cellStyle name="Note 2 2 29 9" xfId="23618"/>
    <cellStyle name="Note 2 2 3" xfId="115"/>
    <cellStyle name="Note 2 2 3 10" xfId="14437"/>
    <cellStyle name="Note 2 2 3 10 2" xfId="55590"/>
    <cellStyle name="Note 2 2 3 10 3" xfId="55591"/>
    <cellStyle name="Note 2 2 3 11" xfId="55592"/>
    <cellStyle name="Note 2 2 3 12" xfId="55593"/>
    <cellStyle name="Note 2 2 3 13" xfId="55594"/>
    <cellStyle name="Note 2 2 3 14" xfId="55595"/>
    <cellStyle name="Note 2 2 3 2" xfId="247"/>
    <cellStyle name="Note 2 2 3 2 2" xfId="658"/>
    <cellStyle name="Note 2 2 3 2 2 2" xfId="1609"/>
    <cellStyle name="Note 2 2 3 2 2 2 2" xfId="798"/>
    <cellStyle name="Note 2 2 3 2 2 2 2 2" xfId="2548"/>
    <cellStyle name="Note 2 2 3 2 2 2 2 2 2" xfId="5968"/>
    <cellStyle name="Note 2 2 3 2 2 2 2 2 2 2" xfId="12808"/>
    <cellStyle name="Note 2 2 3 2 2 2 2 2 3" xfId="9388"/>
    <cellStyle name="Note 2 2 3 2 2 2 2 3" xfId="3688"/>
    <cellStyle name="Note 2 2 3 2 2 2 2 3 2" xfId="7108"/>
    <cellStyle name="Note 2 2 3 2 2 2 2 3 2 2" xfId="13948"/>
    <cellStyle name="Note 2 2 3 2 2 2 2 3 3" xfId="10528"/>
    <cellStyle name="Note 2 2 3 2 2 2 2 4" xfId="4828"/>
    <cellStyle name="Note 2 2 3 2 2 2 2 4 2" xfId="11668"/>
    <cellStyle name="Note 2 2 3 2 2 2 2 5" xfId="8248"/>
    <cellStyle name="Note 2 2 3 2 2 2 3" xfId="2443"/>
    <cellStyle name="Note 2 2 3 2 2 2 3 2" xfId="5863"/>
    <cellStyle name="Note 2 2 3 2 2 2 3 2 2" xfId="12703"/>
    <cellStyle name="Note 2 2 3 2 2 2 3 3" xfId="9283"/>
    <cellStyle name="Note 2 2 3 2 2 2 4" xfId="3583"/>
    <cellStyle name="Note 2 2 3 2 2 2 4 2" xfId="7003"/>
    <cellStyle name="Note 2 2 3 2 2 2 4 2 2" xfId="13843"/>
    <cellStyle name="Note 2 2 3 2 2 2 4 3" xfId="10423"/>
    <cellStyle name="Note 2 2 3 2 2 2 5" xfId="4723"/>
    <cellStyle name="Note 2 2 3 2 2 2 5 2" xfId="11563"/>
    <cellStyle name="Note 2 2 3 2 2 2 6" xfId="8143"/>
    <cellStyle name="Note 2 2 3 2 2 3" xfId="38502"/>
    <cellStyle name="Note 2 2 3 2 2 4" xfId="55596"/>
    <cellStyle name="Note 2 2 3 2 2 5" xfId="55597"/>
    <cellStyle name="Note 2 2 3 2 2 6" xfId="55598"/>
    <cellStyle name="Note 2 2 3 2 2 7" xfId="55599"/>
    <cellStyle name="Note 2 2 3 2 3" xfId="1254"/>
    <cellStyle name="Note 2 2 3 2 3 2" xfId="1001"/>
    <cellStyle name="Note 2 2 3 2 3 2 2" xfId="2621"/>
    <cellStyle name="Note 2 2 3 2 3 2 2 2" xfId="6041"/>
    <cellStyle name="Note 2 2 3 2 3 2 2 2 2" xfId="12881"/>
    <cellStyle name="Note 2 2 3 2 3 2 2 3" xfId="9461"/>
    <cellStyle name="Note 2 2 3 2 3 2 3" xfId="3761"/>
    <cellStyle name="Note 2 2 3 2 3 2 3 2" xfId="7181"/>
    <cellStyle name="Note 2 2 3 2 3 2 3 2 2" xfId="14021"/>
    <cellStyle name="Note 2 2 3 2 3 2 3 3" xfId="10601"/>
    <cellStyle name="Note 2 2 3 2 3 2 4" xfId="4901"/>
    <cellStyle name="Note 2 2 3 2 3 2 4 2" xfId="11741"/>
    <cellStyle name="Note 2 2 3 2 3 2 5" xfId="8321"/>
    <cellStyle name="Note 2 2 3 2 3 3" xfId="2074"/>
    <cellStyle name="Note 2 2 3 2 3 3 2" xfId="5494"/>
    <cellStyle name="Note 2 2 3 2 3 3 2 2" xfId="12334"/>
    <cellStyle name="Note 2 2 3 2 3 3 3" xfId="8914"/>
    <cellStyle name="Note 2 2 3 2 3 4" xfId="3214"/>
    <cellStyle name="Note 2 2 3 2 3 4 2" xfId="6634"/>
    <cellStyle name="Note 2 2 3 2 3 4 2 2" xfId="13474"/>
    <cellStyle name="Note 2 2 3 2 3 4 3" xfId="10054"/>
    <cellStyle name="Note 2 2 3 2 3 5" xfId="4354"/>
    <cellStyle name="Note 2 2 3 2 3 5 2" xfId="11194"/>
    <cellStyle name="Note 2 2 3 2 3 6" xfId="7774"/>
    <cellStyle name="Note 2 2 3 2 4" xfId="23905"/>
    <cellStyle name="Note 2 2 3 2 5" xfId="38268"/>
    <cellStyle name="Note 2 2 3 2 6" xfId="55600"/>
    <cellStyle name="Note 2 2 3 2 7" xfId="55601"/>
    <cellStyle name="Note 2 2 3 3" xfId="570"/>
    <cellStyle name="Note 2 2 3 3 2" xfId="1557"/>
    <cellStyle name="Note 2 2 3 3 2 2" xfId="832"/>
    <cellStyle name="Note 2 2 3 3 2 2 2" xfId="2561"/>
    <cellStyle name="Note 2 2 3 3 2 2 2 2" xfId="5981"/>
    <cellStyle name="Note 2 2 3 3 2 2 2 2 2" xfId="12821"/>
    <cellStyle name="Note 2 2 3 3 2 2 2 3" xfId="9401"/>
    <cellStyle name="Note 2 2 3 3 2 2 3" xfId="3701"/>
    <cellStyle name="Note 2 2 3 3 2 2 3 2" xfId="7121"/>
    <cellStyle name="Note 2 2 3 3 2 2 3 2 2" xfId="13961"/>
    <cellStyle name="Note 2 2 3 3 2 2 3 3" xfId="10541"/>
    <cellStyle name="Note 2 2 3 3 2 2 4" xfId="4841"/>
    <cellStyle name="Note 2 2 3 3 2 2 4 2" xfId="11681"/>
    <cellStyle name="Note 2 2 3 3 2 2 5" xfId="8261"/>
    <cellStyle name="Note 2 2 3 3 2 3" xfId="2382"/>
    <cellStyle name="Note 2 2 3 3 2 3 2" xfId="5802"/>
    <cellStyle name="Note 2 2 3 3 2 3 2 2" xfId="12642"/>
    <cellStyle name="Note 2 2 3 3 2 3 3" xfId="9222"/>
    <cellStyle name="Note 2 2 3 3 2 4" xfId="3522"/>
    <cellStyle name="Note 2 2 3 3 2 4 2" xfId="6942"/>
    <cellStyle name="Note 2 2 3 3 2 4 2 2" xfId="13782"/>
    <cellStyle name="Note 2 2 3 3 2 4 3" xfId="10362"/>
    <cellStyle name="Note 2 2 3 3 2 5" xfId="4662"/>
    <cellStyle name="Note 2 2 3 3 2 5 2" xfId="11502"/>
    <cellStyle name="Note 2 2 3 3 2 6" xfId="8082"/>
    <cellStyle name="Note 2 2 3 3 3" xfId="24876"/>
    <cellStyle name="Note 2 2 3 3 4" xfId="32136"/>
    <cellStyle name="Note 2 2 3 3 5" xfId="55602"/>
    <cellStyle name="Note 2 2 3 3 6" xfId="55603"/>
    <cellStyle name="Note 2 2 3 3 7" xfId="55604"/>
    <cellStyle name="Note 2 2 3 3 8" xfId="55605"/>
    <cellStyle name="Note 2 2 3 4" xfId="1131"/>
    <cellStyle name="Note 2 2 3 4 2" xfId="1061"/>
    <cellStyle name="Note 2 2 3 4 2 2" xfId="2553"/>
    <cellStyle name="Note 2 2 3 4 2 2 2" xfId="5973"/>
    <cellStyle name="Note 2 2 3 4 2 2 2 2" xfId="12813"/>
    <cellStyle name="Note 2 2 3 4 2 2 3" xfId="9393"/>
    <cellStyle name="Note 2 2 3 4 2 3" xfId="3693"/>
    <cellStyle name="Note 2 2 3 4 2 3 2" xfId="7113"/>
    <cellStyle name="Note 2 2 3 4 2 3 2 2" xfId="13953"/>
    <cellStyle name="Note 2 2 3 4 2 3 3" xfId="10533"/>
    <cellStyle name="Note 2 2 3 4 2 4" xfId="4833"/>
    <cellStyle name="Note 2 2 3 4 2 4 2" xfId="11673"/>
    <cellStyle name="Note 2 2 3 4 2 5" xfId="8253"/>
    <cellStyle name="Note 2 2 3 4 3" xfId="1945"/>
    <cellStyle name="Note 2 2 3 4 3 2" xfId="5365"/>
    <cellStyle name="Note 2 2 3 4 3 2 2" xfId="12205"/>
    <cellStyle name="Note 2 2 3 4 3 3" xfId="8785"/>
    <cellStyle name="Note 2 2 3 4 4" xfId="3085"/>
    <cellStyle name="Note 2 2 3 4 4 2" xfId="6505"/>
    <cellStyle name="Note 2 2 3 4 4 2 2" xfId="13345"/>
    <cellStyle name="Note 2 2 3 4 4 3" xfId="9925"/>
    <cellStyle name="Note 2 2 3 4 5" xfId="4225"/>
    <cellStyle name="Note 2 2 3 4 5 2" xfId="11065"/>
    <cellStyle name="Note 2 2 3 4 6" xfId="7645"/>
    <cellStyle name="Note 2 2 3 4 7" xfId="25900"/>
    <cellStyle name="Note 2 2 3 4 8" xfId="33113"/>
    <cellStyle name="Note 2 2 3 5" xfId="18560"/>
    <cellStyle name="Note 2 2 3 5 2" xfId="26878"/>
    <cellStyle name="Note 2 2 3 5 2 2" xfId="55606"/>
    <cellStyle name="Note 2 2 3 5 2 3" xfId="55607"/>
    <cellStyle name="Note 2 2 3 5 3" xfId="34047"/>
    <cellStyle name="Note 2 2 3 5 4" xfId="55608"/>
    <cellStyle name="Note 2 2 3 6" xfId="16556"/>
    <cellStyle name="Note 2 2 3 6 2" xfId="24869"/>
    <cellStyle name="Note 2 2 3 6 2 2" xfId="55609"/>
    <cellStyle name="Note 2 2 3 6 2 3" xfId="55610"/>
    <cellStyle name="Note 2 2 3 6 3" xfId="32129"/>
    <cellStyle name="Note 2 2 3 6 4" xfId="55611"/>
    <cellStyle name="Note 2 2 3 7" xfId="19133"/>
    <cellStyle name="Note 2 2 3 7 2" xfId="27453"/>
    <cellStyle name="Note 2 2 3 7 2 2" xfId="55612"/>
    <cellStyle name="Note 2 2 3 7 2 3" xfId="55613"/>
    <cellStyle name="Note 2 2 3 7 3" xfId="34601"/>
    <cellStyle name="Note 2 2 3 7 4" xfId="55614"/>
    <cellStyle name="Note 2 2 3 8" xfId="21105"/>
    <cellStyle name="Note 2 2 3 8 2" xfId="29421"/>
    <cellStyle name="Note 2 2 3 8 2 2" xfId="55615"/>
    <cellStyle name="Note 2 2 3 8 2 3" xfId="55616"/>
    <cellStyle name="Note 2 2 3 8 3" xfId="36494"/>
    <cellStyle name="Note 2 2 3 8 4" xfId="55617"/>
    <cellStyle name="Note 2 2 3 9" xfId="21309"/>
    <cellStyle name="Note 2 2 3 9 2" xfId="29616"/>
    <cellStyle name="Note 2 2 3 9 2 2" xfId="55618"/>
    <cellStyle name="Note 2 2 3 9 2 3" xfId="55619"/>
    <cellStyle name="Note 2 2 3 9 3" xfId="36683"/>
    <cellStyle name="Note 2 2 3 9 4" xfId="55620"/>
    <cellStyle name="Note 2 2 30" xfId="15273"/>
    <cellStyle name="Note 2 2 30 10" xfId="55621"/>
    <cellStyle name="Note 2 2 30 2" xfId="16353"/>
    <cellStyle name="Note 2 2 30 2 2" xfId="24666"/>
    <cellStyle name="Note 2 2 30 2 2 2" xfId="55622"/>
    <cellStyle name="Note 2 2 30 2 2 3" xfId="55623"/>
    <cellStyle name="Note 2 2 30 2 3" xfId="31933"/>
    <cellStyle name="Note 2 2 30 2 4" xfId="55624"/>
    <cellStyle name="Note 2 2 30 3" xfId="17319"/>
    <cellStyle name="Note 2 2 30 3 2" xfId="25640"/>
    <cellStyle name="Note 2 2 30 3 2 2" xfId="55625"/>
    <cellStyle name="Note 2 2 30 3 2 3" xfId="55626"/>
    <cellStyle name="Note 2 2 30 3 3" xfId="32866"/>
    <cellStyle name="Note 2 2 30 3 4" xfId="55627"/>
    <cellStyle name="Note 2 2 30 4" xfId="18347"/>
    <cellStyle name="Note 2 2 30 4 2" xfId="26667"/>
    <cellStyle name="Note 2 2 30 4 2 2" xfId="55628"/>
    <cellStyle name="Note 2 2 30 4 2 3" xfId="55629"/>
    <cellStyle name="Note 2 2 30 4 3" xfId="33844"/>
    <cellStyle name="Note 2 2 30 4 4" xfId="55630"/>
    <cellStyle name="Note 2 2 30 5" xfId="19331"/>
    <cellStyle name="Note 2 2 30 5 2" xfId="27651"/>
    <cellStyle name="Note 2 2 30 5 2 2" xfId="55631"/>
    <cellStyle name="Note 2 2 30 5 2 3" xfId="55632"/>
    <cellStyle name="Note 2 2 30 5 3" xfId="34799"/>
    <cellStyle name="Note 2 2 30 5 4" xfId="55633"/>
    <cellStyle name="Note 2 2 30 6" xfId="20299"/>
    <cellStyle name="Note 2 2 30 6 2" xfId="28621"/>
    <cellStyle name="Note 2 2 30 6 2 2" xfId="55634"/>
    <cellStyle name="Note 2 2 30 6 2 3" xfId="55635"/>
    <cellStyle name="Note 2 2 30 6 3" xfId="35736"/>
    <cellStyle name="Note 2 2 30 6 4" xfId="55636"/>
    <cellStyle name="Note 2 2 30 7" xfId="21760"/>
    <cellStyle name="Note 2 2 30 7 2" xfId="30061"/>
    <cellStyle name="Note 2 2 30 7 2 2" xfId="55637"/>
    <cellStyle name="Note 2 2 30 7 2 3" xfId="55638"/>
    <cellStyle name="Note 2 2 30 7 3" xfId="37110"/>
    <cellStyle name="Note 2 2 30 7 4" xfId="55639"/>
    <cellStyle name="Note 2 2 30 8" xfId="22688"/>
    <cellStyle name="Note 2 2 30 8 2" xfId="30984"/>
    <cellStyle name="Note 2 2 30 8 2 2" xfId="55640"/>
    <cellStyle name="Note 2 2 30 8 2 3" xfId="55641"/>
    <cellStyle name="Note 2 2 30 8 3" xfId="37993"/>
    <cellStyle name="Note 2 2 30 8 4" xfId="55642"/>
    <cellStyle name="Note 2 2 30 9" xfId="23630"/>
    <cellStyle name="Note 2 2 31" xfId="15296"/>
    <cellStyle name="Note 2 2 31 10" xfId="55643"/>
    <cellStyle name="Note 2 2 31 2" xfId="16376"/>
    <cellStyle name="Note 2 2 31 2 2" xfId="24689"/>
    <cellStyle name="Note 2 2 31 2 2 2" xfId="55644"/>
    <cellStyle name="Note 2 2 31 2 2 3" xfId="55645"/>
    <cellStyle name="Note 2 2 31 2 3" xfId="31955"/>
    <cellStyle name="Note 2 2 31 2 4" xfId="55646"/>
    <cellStyle name="Note 2 2 31 3" xfId="17342"/>
    <cellStyle name="Note 2 2 31 3 2" xfId="25663"/>
    <cellStyle name="Note 2 2 31 3 2 2" xfId="55647"/>
    <cellStyle name="Note 2 2 31 3 2 3" xfId="55648"/>
    <cellStyle name="Note 2 2 31 3 3" xfId="32888"/>
    <cellStyle name="Note 2 2 31 3 4" xfId="55649"/>
    <cellStyle name="Note 2 2 31 4" xfId="18370"/>
    <cellStyle name="Note 2 2 31 4 2" xfId="26690"/>
    <cellStyle name="Note 2 2 31 4 2 2" xfId="55650"/>
    <cellStyle name="Note 2 2 31 4 2 3" xfId="55651"/>
    <cellStyle name="Note 2 2 31 4 3" xfId="33866"/>
    <cellStyle name="Note 2 2 31 4 4" xfId="55652"/>
    <cellStyle name="Note 2 2 31 5" xfId="19353"/>
    <cellStyle name="Note 2 2 31 5 2" xfId="27674"/>
    <cellStyle name="Note 2 2 31 5 2 2" xfId="55653"/>
    <cellStyle name="Note 2 2 31 5 2 3" xfId="55654"/>
    <cellStyle name="Note 2 2 31 5 3" xfId="34822"/>
    <cellStyle name="Note 2 2 31 5 4" xfId="55655"/>
    <cellStyle name="Note 2 2 31 6" xfId="20322"/>
    <cellStyle name="Note 2 2 31 6 2" xfId="28644"/>
    <cellStyle name="Note 2 2 31 6 2 2" xfId="55656"/>
    <cellStyle name="Note 2 2 31 6 2 3" xfId="55657"/>
    <cellStyle name="Note 2 2 31 6 3" xfId="35758"/>
    <cellStyle name="Note 2 2 31 6 4" xfId="55658"/>
    <cellStyle name="Note 2 2 31 7" xfId="21783"/>
    <cellStyle name="Note 2 2 31 7 2" xfId="30084"/>
    <cellStyle name="Note 2 2 31 7 2 2" xfId="55659"/>
    <cellStyle name="Note 2 2 31 7 2 3" xfId="55660"/>
    <cellStyle name="Note 2 2 31 7 3" xfId="37132"/>
    <cellStyle name="Note 2 2 31 7 4" xfId="55661"/>
    <cellStyle name="Note 2 2 31 8" xfId="22711"/>
    <cellStyle name="Note 2 2 31 8 2" xfId="31007"/>
    <cellStyle name="Note 2 2 31 8 2 2" xfId="55662"/>
    <cellStyle name="Note 2 2 31 8 2 3" xfId="55663"/>
    <cellStyle name="Note 2 2 31 8 3" xfId="38015"/>
    <cellStyle name="Note 2 2 31 8 4" xfId="55664"/>
    <cellStyle name="Note 2 2 31 9" xfId="23653"/>
    <cellStyle name="Note 2 2 32" xfId="15239"/>
    <cellStyle name="Note 2 2 32 10" xfId="55665"/>
    <cellStyle name="Note 2 2 32 11" xfId="55666"/>
    <cellStyle name="Note 2 2 32 2" xfId="16319"/>
    <cellStyle name="Note 2 2 32 2 2" xfId="24632"/>
    <cellStyle name="Note 2 2 32 2 2 2" xfId="55667"/>
    <cellStyle name="Note 2 2 32 2 2 3" xfId="55668"/>
    <cellStyle name="Note 2 2 32 2 3" xfId="31899"/>
    <cellStyle name="Note 2 2 32 2 4" xfId="55669"/>
    <cellStyle name="Note 2 2 32 3" xfId="17285"/>
    <cellStyle name="Note 2 2 32 3 2" xfId="25606"/>
    <cellStyle name="Note 2 2 32 3 2 2" xfId="55670"/>
    <cellStyle name="Note 2 2 32 3 2 3" xfId="55671"/>
    <cellStyle name="Note 2 2 32 3 3" xfId="32832"/>
    <cellStyle name="Note 2 2 32 3 4" xfId="55672"/>
    <cellStyle name="Note 2 2 32 4" xfId="18313"/>
    <cellStyle name="Note 2 2 32 4 2" xfId="26633"/>
    <cellStyle name="Note 2 2 32 4 2 2" xfId="55673"/>
    <cellStyle name="Note 2 2 32 4 2 3" xfId="55674"/>
    <cellStyle name="Note 2 2 32 4 3" xfId="33810"/>
    <cellStyle name="Note 2 2 32 4 4" xfId="55675"/>
    <cellStyle name="Note 2 2 32 5" xfId="19297"/>
    <cellStyle name="Note 2 2 32 5 2" xfId="27617"/>
    <cellStyle name="Note 2 2 32 5 2 2" xfId="55676"/>
    <cellStyle name="Note 2 2 32 5 2 3" xfId="55677"/>
    <cellStyle name="Note 2 2 32 5 3" xfId="34765"/>
    <cellStyle name="Note 2 2 32 5 4" xfId="55678"/>
    <cellStyle name="Note 2 2 32 6" xfId="20265"/>
    <cellStyle name="Note 2 2 32 6 2" xfId="28587"/>
    <cellStyle name="Note 2 2 32 6 2 2" xfId="55679"/>
    <cellStyle name="Note 2 2 32 6 2 3" xfId="55680"/>
    <cellStyle name="Note 2 2 32 6 3" xfId="35702"/>
    <cellStyle name="Note 2 2 32 6 4" xfId="55681"/>
    <cellStyle name="Note 2 2 32 7" xfId="21726"/>
    <cellStyle name="Note 2 2 32 7 2" xfId="30027"/>
    <cellStyle name="Note 2 2 32 7 2 2" xfId="55682"/>
    <cellStyle name="Note 2 2 32 7 2 3" xfId="55683"/>
    <cellStyle name="Note 2 2 32 7 3" xfId="37076"/>
    <cellStyle name="Note 2 2 32 7 4" xfId="55684"/>
    <cellStyle name="Note 2 2 32 8" xfId="22654"/>
    <cellStyle name="Note 2 2 32 8 2" xfId="30950"/>
    <cellStyle name="Note 2 2 32 8 2 2" xfId="55685"/>
    <cellStyle name="Note 2 2 32 8 2 3" xfId="55686"/>
    <cellStyle name="Note 2 2 32 8 3" xfId="37959"/>
    <cellStyle name="Note 2 2 32 8 4" xfId="55687"/>
    <cellStyle name="Note 2 2 32 9" xfId="23596"/>
    <cellStyle name="Note 2 2 32 9 2" xfId="55688"/>
    <cellStyle name="Note 2 2 32 9 3" xfId="55689"/>
    <cellStyle name="Note 2 2 33" xfId="15311"/>
    <cellStyle name="Note 2 2 33 10" xfId="55690"/>
    <cellStyle name="Note 2 2 33 2" xfId="16391"/>
    <cellStyle name="Note 2 2 33 2 2" xfId="24704"/>
    <cellStyle name="Note 2 2 33 2 2 2" xfId="55691"/>
    <cellStyle name="Note 2 2 33 2 2 3" xfId="55692"/>
    <cellStyle name="Note 2 2 33 2 3" xfId="31969"/>
    <cellStyle name="Note 2 2 33 2 4" xfId="55693"/>
    <cellStyle name="Note 2 2 33 3" xfId="17357"/>
    <cellStyle name="Note 2 2 33 3 2" xfId="25678"/>
    <cellStyle name="Note 2 2 33 3 2 2" xfId="55694"/>
    <cellStyle name="Note 2 2 33 3 2 3" xfId="55695"/>
    <cellStyle name="Note 2 2 33 3 3" xfId="32902"/>
    <cellStyle name="Note 2 2 33 3 4" xfId="55696"/>
    <cellStyle name="Note 2 2 33 4" xfId="18385"/>
    <cellStyle name="Note 2 2 33 4 2" xfId="26705"/>
    <cellStyle name="Note 2 2 33 4 2 2" xfId="55697"/>
    <cellStyle name="Note 2 2 33 4 2 3" xfId="55698"/>
    <cellStyle name="Note 2 2 33 4 3" xfId="33880"/>
    <cellStyle name="Note 2 2 33 4 4" xfId="55699"/>
    <cellStyle name="Note 2 2 33 5" xfId="19368"/>
    <cellStyle name="Note 2 2 33 5 2" xfId="27689"/>
    <cellStyle name="Note 2 2 33 5 2 2" xfId="55700"/>
    <cellStyle name="Note 2 2 33 5 2 3" xfId="55701"/>
    <cellStyle name="Note 2 2 33 5 3" xfId="34837"/>
    <cellStyle name="Note 2 2 33 5 4" xfId="55702"/>
    <cellStyle name="Note 2 2 33 6" xfId="20337"/>
    <cellStyle name="Note 2 2 33 6 2" xfId="28659"/>
    <cellStyle name="Note 2 2 33 6 2 2" xfId="55703"/>
    <cellStyle name="Note 2 2 33 6 2 3" xfId="55704"/>
    <cellStyle name="Note 2 2 33 6 3" xfId="35772"/>
    <cellStyle name="Note 2 2 33 6 4" xfId="55705"/>
    <cellStyle name="Note 2 2 33 7" xfId="21798"/>
    <cellStyle name="Note 2 2 33 7 2" xfId="30099"/>
    <cellStyle name="Note 2 2 33 7 2 2" xfId="55706"/>
    <cellStyle name="Note 2 2 33 7 2 3" xfId="55707"/>
    <cellStyle name="Note 2 2 33 7 3" xfId="37146"/>
    <cellStyle name="Note 2 2 33 7 4" xfId="55708"/>
    <cellStyle name="Note 2 2 33 8" xfId="22726"/>
    <cellStyle name="Note 2 2 33 8 2" xfId="31022"/>
    <cellStyle name="Note 2 2 33 8 2 2" xfId="55709"/>
    <cellStyle name="Note 2 2 33 8 2 3" xfId="55710"/>
    <cellStyle name="Note 2 2 33 8 3" xfId="38029"/>
    <cellStyle name="Note 2 2 33 8 4" xfId="55711"/>
    <cellStyle name="Note 2 2 33 9" xfId="23668"/>
    <cellStyle name="Note 2 2 34" xfId="15333"/>
    <cellStyle name="Note 2 2 34 10" xfId="55712"/>
    <cellStyle name="Note 2 2 34 11" xfId="55713"/>
    <cellStyle name="Note 2 2 34 2" xfId="16413"/>
    <cellStyle name="Note 2 2 34 2 2" xfId="24726"/>
    <cellStyle name="Note 2 2 34 2 2 2" xfId="55714"/>
    <cellStyle name="Note 2 2 34 2 2 3" xfId="55715"/>
    <cellStyle name="Note 2 2 34 2 3" xfId="31991"/>
    <cellStyle name="Note 2 2 34 2 4" xfId="55716"/>
    <cellStyle name="Note 2 2 34 3" xfId="17379"/>
    <cellStyle name="Note 2 2 34 3 2" xfId="25700"/>
    <cellStyle name="Note 2 2 34 3 2 2" xfId="55717"/>
    <cellStyle name="Note 2 2 34 3 2 3" xfId="55718"/>
    <cellStyle name="Note 2 2 34 3 3" xfId="32924"/>
    <cellStyle name="Note 2 2 34 3 4" xfId="55719"/>
    <cellStyle name="Note 2 2 34 4" xfId="18407"/>
    <cellStyle name="Note 2 2 34 4 2" xfId="26727"/>
    <cellStyle name="Note 2 2 34 4 2 2" xfId="55720"/>
    <cellStyle name="Note 2 2 34 4 2 3" xfId="55721"/>
    <cellStyle name="Note 2 2 34 4 3" xfId="33902"/>
    <cellStyle name="Note 2 2 34 4 4" xfId="55722"/>
    <cellStyle name="Note 2 2 34 5" xfId="19390"/>
    <cellStyle name="Note 2 2 34 5 2" xfId="27711"/>
    <cellStyle name="Note 2 2 34 5 2 2" xfId="55723"/>
    <cellStyle name="Note 2 2 34 5 2 3" xfId="55724"/>
    <cellStyle name="Note 2 2 34 5 3" xfId="34859"/>
    <cellStyle name="Note 2 2 34 5 4" xfId="55725"/>
    <cellStyle name="Note 2 2 34 6" xfId="20359"/>
    <cellStyle name="Note 2 2 34 6 2" xfId="28681"/>
    <cellStyle name="Note 2 2 34 6 2 2" xfId="55726"/>
    <cellStyle name="Note 2 2 34 6 2 3" xfId="55727"/>
    <cellStyle name="Note 2 2 34 6 3" xfId="35794"/>
    <cellStyle name="Note 2 2 34 6 4" xfId="55728"/>
    <cellStyle name="Note 2 2 34 7" xfId="21820"/>
    <cellStyle name="Note 2 2 34 7 2" xfId="30121"/>
    <cellStyle name="Note 2 2 34 7 2 2" xfId="55729"/>
    <cellStyle name="Note 2 2 34 7 2 3" xfId="55730"/>
    <cellStyle name="Note 2 2 34 7 3" xfId="37168"/>
    <cellStyle name="Note 2 2 34 7 4" xfId="55731"/>
    <cellStyle name="Note 2 2 34 8" xfId="22748"/>
    <cellStyle name="Note 2 2 34 8 2" xfId="31044"/>
    <cellStyle name="Note 2 2 34 8 2 2" xfId="55732"/>
    <cellStyle name="Note 2 2 34 8 2 3" xfId="55733"/>
    <cellStyle name="Note 2 2 34 8 3" xfId="38051"/>
    <cellStyle name="Note 2 2 34 8 4" xfId="55734"/>
    <cellStyle name="Note 2 2 34 9" xfId="23690"/>
    <cellStyle name="Note 2 2 34 9 2" xfId="55735"/>
    <cellStyle name="Note 2 2 34 9 3" xfId="55736"/>
    <cellStyle name="Note 2 2 35" xfId="15384"/>
    <cellStyle name="Note 2 2 35 10" xfId="55737"/>
    <cellStyle name="Note 2 2 35 11" xfId="55738"/>
    <cellStyle name="Note 2 2 35 2" xfId="16464"/>
    <cellStyle name="Note 2 2 35 2 2" xfId="24777"/>
    <cellStyle name="Note 2 2 35 2 2 2" xfId="55739"/>
    <cellStyle name="Note 2 2 35 2 2 3" xfId="55740"/>
    <cellStyle name="Note 2 2 35 2 3" xfId="32041"/>
    <cellStyle name="Note 2 2 35 2 4" xfId="55741"/>
    <cellStyle name="Note 2 2 35 3" xfId="17430"/>
    <cellStyle name="Note 2 2 35 3 2" xfId="25751"/>
    <cellStyle name="Note 2 2 35 3 2 2" xfId="55742"/>
    <cellStyle name="Note 2 2 35 3 2 3" xfId="55743"/>
    <cellStyle name="Note 2 2 35 3 3" xfId="32974"/>
    <cellStyle name="Note 2 2 35 3 4" xfId="55744"/>
    <cellStyle name="Note 2 2 35 4" xfId="18458"/>
    <cellStyle name="Note 2 2 35 4 2" xfId="26778"/>
    <cellStyle name="Note 2 2 35 4 2 2" xfId="55745"/>
    <cellStyle name="Note 2 2 35 4 2 3" xfId="55746"/>
    <cellStyle name="Note 2 2 35 4 3" xfId="33952"/>
    <cellStyle name="Note 2 2 35 4 4" xfId="55747"/>
    <cellStyle name="Note 2 2 35 5" xfId="19441"/>
    <cellStyle name="Note 2 2 35 5 2" xfId="27762"/>
    <cellStyle name="Note 2 2 35 5 2 2" xfId="55748"/>
    <cellStyle name="Note 2 2 35 5 2 3" xfId="55749"/>
    <cellStyle name="Note 2 2 35 5 3" xfId="34910"/>
    <cellStyle name="Note 2 2 35 5 4" xfId="55750"/>
    <cellStyle name="Note 2 2 35 6" xfId="20410"/>
    <cellStyle name="Note 2 2 35 6 2" xfId="28732"/>
    <cellStyle name="Note 2 2 35 6 2 2" xfId="55751"/>
    <cellStyle name="Note 2 2 35 6 2 3" xfId="55752"/>
    <cellStyle name="Note 2 2 35 6 3" xfId="35844"/>
    <cellStyle name="Note 2 2 35 6 4" xfId="55753"/>
    <cellStyle name="Note 2 2 35 7" xfId="21871"/>
    <cellStyle name="Note 2 2 35 7 2" xfId="30172"/>
    <cellStyle name="Note 2 2 35 7 2 2" xfId="55754"/>
    <cellStyle name="Note 2 2 35 7 2 3" xfId="55755"/>
    <cellStyle name="Note 2 2 35 7 3" xfId="37217"/>
    <cellStyle name="Note 2 2 35 7 4" xfId="55756"/>
    <cellStyle name="Note 2 2 35 8" xfId="22799"/>
    <cellStyle name="Note 2 2 35 8 2" xfId="31095"/>
    <cellStyle name="Note 2 2 35 8 2 2" xfId="55757"/>
    <cellStyle name="Note 2 2 35 8 2 3" xfId="55758"/>
    <cellStyle name="Note 2 2 35 8 3" xfId="38101"/>
    <cellStyle name="Note 2 2 35 8 4" xfId="55759"/>
    <cellStyle name="Note 2 2 35 9" xfId="23741"/>
    <cellStyle name="Note 2 2 35 9 2" xfId="55760"/>
    <cellStyle name="Note 2 2 35 9 3" xfId="55761"/>
    <cellStyle name="Note 2 2 36" xfId="15400"/>
    <cellStyle name="Note 2 2 36 10" xfId="55762"/>
    <cellStyle name="Note 2 2 36 11" xfId="55763"/>
    <cellStyle name="Note 2 2 36 2" xfId="16480"/>
    <cellStyle name="Note 2 2 36 2 2" xfId="24793"/>
    <cellStyle name="Note 2 2 36 2 2 2" xfId="55764"/>
    <cellStyle name="Note 2 2 36 2 2 3" xfId="55765"/>
    <cellStyle name="Note 2 2 36 2 3" xfId="32055"/>
    <cellStyle name="Note 2 2 36 2 4" xfId="55766"/>
    <cellStyle name="Note 2 2 36 3" xfId="17446"/>
    <cellStyle name="Note 2 2 36 3 2" xfId="25767"/>
    <cellStyle name="Note 2 2 36 3 2 2" xfId="55767"/>
    <cellStyle name="Note 2 2 36 3 2 3" xfId="55768"/>
    <cellStyle name="Note 2 2 36 3 3" xfId="32988"/>
    <cellStyle name="Note 2 2 36 3 4" xfId="55769"/>
    <cellStyle name="Note 2 2 36 4" xfId="18474"/>
    <cellStyle name="Note 2 2 36 4 2" xfId="26794"/>
    <cellStyle name="Note 2 2 36 4 2 2" xfId="55770"/>
    <cellStyle name="Note 2 2 36 4 2 3" xfId="55771"/>
    <cellStyle name="Note 2 2 36 4 3" xfId="33966"/>
    <cellStyle name="Note 2 2 36 4 4" xfId="55772"/>
    <cellStyle name="Note 2 2 36 5" xfId="19457"/>
    <cellStyle name="Note 2 2 36 5 2" xfId="27778"/>
    <cellStyle name="Note 2 2 36 5 2 2" xfId="55773"/>
    <cellStyle name="Note 2 2 36 5 2 3" xfId="55774"/>
    <cellStyle name="Note 2 2 36 5 3" xfId="34926"/>
    <cellStyle name="Note 2 2 36 5 4" xfId="55775"/>
    <cellStyle name="Note 2 2 36 6" xfId="20426"/>
    <cellStyle name="Note 2 2 36 6 2" xfId="28748"/>
    <cellStyle name="Note 2 2 36 6 2 2" xfId="55776"/>
    <cellStyle name="Note 2 2 36 6 2 3" xfId="55777"/>
    <cellStyle name="Note 2 2 36 6 3" xfId="35858"/>
    <cellStyle name="Note 2 2 36 6 4" xfId="55778"/>
    <cellStyle name="Note 2 2 36 7" xfId="21887"/>
    <cellStyle name="Note 2 2 36 7 2" xfId="30188"/>
    <cellStyle name="Note 2 2 36 7 2 2" xfId="55779"/>
    <cellStyle name="Note 2 2 36 7 2 3" xfId="55780"/>
    <cellStyle name="Note 2 2 36 7 3" xfId="37231"/>
    <cellStyle name="Note 2 2 36 7 4" xfId="55781"/>
    <cellStyle name="Note 2 2 36 8" xfId="22815"/>
    <cellStyle name="Note 2 2 36 8 2" xfId="31111"/>
    <cellStyle name="Note 2 2 36 8 2 2" xfId="55782"/>
    <cellStyle name="Note 2 2 36 8 2 3" xfId="55783"/>
    <cellStyle name="Note 2 2 36 8 3" xfId="38115"/>
    <cellStyle name="Note 2 2 36 8 4" xfId="55784"/>
    <cellStyle name="Note 2 2 36 9" xfId="23757"/>
    <cellStyle name="Note 2 2 36 9 2" xfId="55785"/>
    <cellStyle name="Note 2 2 36 9 3" xfId="55786"/>
    <cellStyle name="Note 2 2 37" xfId="15416"/>
    <cellStyle name="Note 2 2 37 10" xfId="55787"/>
    <cellStyle name="Note 2 2 37 11" xfId="55788"/>
    <cellStyle name="Note 2 2 37 2" xfId="16496"/>
    <cellStyle name="Note 2 2 37 2 2" xfId="24809"/>
    <cellStyle name="Note 2 2 37 2 2 2" xfId="55789"/>
    <cellStyle name="Note 2 2 37 2 2 3" xfId="55790"/>
    <cellStyle name="Note 2 2 37 2 3" xfId="32070"/>
    <cellStyle name="Note 2 2 37 2 4" xfId="55791"/>
    <cellStyle name="Note 2 2 37 3" xfId="17462"/>
    <cellStyle name="Note 2 2 37 3 2" xfId="25783"/>
    <cellStyle name="Note 2 2 37 3 2 2" xfId="55792"/>
    <cellStyle name="Note 2 2 37 3 2 3" xfId="55793"/>
    <cellStyle name="Note 2 2 37 3 3" xfId="33003"/>
    <cellStyle name="Note 2 2 37 3 4" xfId="55794"/>
    <cellStyle name="Note 2 2 37 4" xfId="18490"/>
    <cellStyle name="Note 2 2 37 4 2" xfId="26810"/>
    <cellStyle name="Note 2 2 37 4 2 2" xfId="55795"/>
    <cellStyle name="Note 2 2 37 4 2 3" xfId="55796"/>
    <cellStyle name="Note 2 2 37 4 3" xfId="33981"/>
    <cellStyle name="Note 2 2 37 4 4" xfId="55797"/>
    <cellStyle name="Note 2 2 37 5" xfId="19473"/>
    <cellStyle name="Note 2 2 37 5 2" xfId="27794"/>
    <cellStyle name="Note 2 2 37 5 2 2" xfId="55798"/>
    <cellStyle name="Note 2 2 37 5 2 3" xfId="55799"/>
    <cellStyle name="Note 2 2 37 5 3" xfId="34942"/>
    <cellStyle name="Note 2 2 37 5 4" xfId="55800"/>
    <cellStyle name="Note 2 2 37 6" xfId="20442"/>
    <cellStyle name="Note 2 2 37 6 2" xfId="28764"/>
    <cellStyle name="Note 2 2 37 6 2 2" xfId="55801"/>
    <cellStyle name="Note 2 2 37 6 2 3" xfId="55802"/>
    <cellStyle name="Note 2 2 37 6 3" xfId="35873"/>
    <cellStyle name="Note 2 2 37 6 4" xfId="55803"/>
    <cellStyle name="Note 2 2 37 7" xfId="21903"/>
    <cellStyle name="Note 2 2 37 7 2" xfId="30204"/>
    <cellStyle name="Note 2 2 37 7 2 2" xfId="55804"/>
    <cellStyle name="Note 2 2 37 7 2 3" xfId="55805"/>
    <cellStyle name="Note 2 2 37 7 3" xfId="37246"/>
    <cellStyle name="Note 2 2 37 7 4" xfId="55806"/>
    <cellStyle name="Note 2 2 37 8" xfId="22831"/>
    <cellStyle name="Note 2 2 37 8 2" xfId="31127"/>
    <cellStyle name="Note 2 2 37 8 2 2" xfId="55807"/>
    <cellStyle name="Note 2 2 37 8 2 3" xfId="55808"/>
    <cellStyle name="Note 2 2 37 8 3" xfId="38130"/>
    <cellStyle name="Note 2 2 37 8 4" xfId="55809"/>
    <cellStyle name="Note 2 2 37 9" xfId="23773"/>
    <cellStyle name="Note 2 2 37 9 2" xfId="55810"/>
    <cellStyle name="Note 2 2 37 9 3" xfId="55811"/>
    <cellStyle name="Note 2 2 38" xfId="15430"/>
    <cellStyle name="Note 2 2 38 10" xfId="55812"/>
    <cellStyle name="Note 2 2 38 11" xfId="55813"/>
    <cellStyle name="Note 2 2 38 2" xfId="16510"/>
    <cellStyle name="Note 2 2 38 2 2" xfId="24823"/>
    <cellStyle name="Note 2 2 38 2 2 2" xfId="55814"/>
    <cellStyle name="Note 2 2 38 2 2 3" xfId="55815"/>
    <cellStyle name="Note 2 2 38 2 3" xfId="32084"/>
    <cellStyle name="Note 2 2 38 2 4" xfId="55816"/>
    <cellStyle name="Note 2 2 38 3" xfId="17476"/>
    <cellStyle name="Note 2 2 38 3 2" xfId="25797"/>
    <cellStyle name="Note 2 2 38 3 2 2" xfId="55817"/>
    <cellStyle name="Note 2 2 38 3 2 3" xfId="55818"/>
    <cellStyle name="Note 2 2 38 3 3" xfId="33017"/>
    <cellStyle name="Note 2 2 38 3 4" xfId="55819"/>
    <cellStyle name="Note 2 2 38 4" xfId="18504"/>
    <cellStyle name="Note 2 2 38 4 2" xfId="26824"/>
    <cellStyle name="Note 2 2 38 4 2 2" xfId="55820"/>
    <cellStyle name="Note 2 2 38 4 2 3" xfId="55821"/>
    <cellStyle name="Note 2 2 38 4 3" xfId="33995"/>
    <cellStyle name="Note 2 2 38 4 4" xfId="55822"/>
    <cellStyle name="Note 2 2 38 5" xfId="19487"/>
    <cellStyle name="Note 2 2 38 5 2" xfId="27808"/>
    <cellStyle name="Note 2 2 38 5 2 2" xfId="55823"/>
    <cellStyle name="Note 2 2 38 5 2 3" xfId="55824"/>
    <cellStyle name="Note 2 2 38 5 3" xfId="34956"/>
    <cellStyle name="Note 2 2 38 5 4" xfId="55825"/>
    <cellStyle name="Note 2 2 38 6" xfId="20456"/>
    <cellStyle name="Note 2 2 38 6 2" xfId="28778"/>
    <cellStyle name="Note 2 2 38 6 2 2" xfId="55826"/>
    <cellStyle name="Note 2 2 38 6 2 3" xfId="55827"/>
    <cellStyle name="Note 2 2 38 6 3" xfId="35887"/>
    <cellStyle name="Note 2 2 38 6 4" xfId="55828"/>
    <cellStyle name="Note 2 2 38 7" xfId="21917"/>
    <cellStyle name="Note 2 2 38 7 2" xfId="30218"/>
    <cellStyle name="Note 2 2 38 7 2 2" xfId="55829"/>
    <cellStyle name="Note 2 2 38 7 2 3" xfId="55830"/>
    <cellStyle name="Note 2 2 38 7 3" xfId="37260"/>
    <cellStyle name="Note 2 2 38 7 4" xfId="55831"/>
    <cellStyle name="Note 2 2 38 8" xfId="22845"/>
    <cellStyle name="Note 2 2 38 8 2" xfId="31141"/>
    <cellStyle name="Note 2 2 38 8 2 2" xfId="55832"/>
    <cellStyle name="Note 2 2 38 8 2 3" xfId="55833"/>
    <cellStyle name="Note 2 2 38 8 3" xfId="38144"/>
    <cellStyle name="Note 2 2 38 8 4" xfId="55834"/>
    <cellStyle name="Note 2 2 38 9" xfId="23787"/>
    <cellStyle name="Note 2 2 38 9 2" xfId="55835"/>
    <cellStyle name="Note 2 2 38 9 3" xfId="55836"/>
    <cellStyle name="Note 2 2 39" xfId="15444"/>
    <cellStyle name="Note 2 2 39 10" xfId="55837"/>
    <cellStyle name="Note 2 2 39 11" xfId="55838"/>
    <cellStyle name="Note 2 2 39 2" xfId="16524"/>
    <cellStyle name="Note 2 2 39 2 2" xfId="24837"/>
    <cellStyle name="Note 2 2 39 2 2 2" xfId="55839"/>
    <cellStyle name="Note 2 2 39 2 2 3" xfId="55840"/>
    <cellStyle name="Note 2 2 39 2 3" xfId="32098"/>
    <cellStyle name="Note 2 2 39 2 4" xfId="55841"/>
    <cellStyle name="Note 2 2 39 3" xfId="17490"/>
    <cellStyle name="Note 2 2 39 3 2" xfId="25811"/>
    <cellStyle name="Note 2 2 39 3 2 2" xfId="55842"/>
    <cellStyle name="Note 2 2 39 3 2 3" xfId="55843"/>
    <cellStyle name="Note 2 2 39 3 3" xfId="33031"/>
    <cellStyle name="Note 2 2 39 3 4" xfId="55844"/>
    <cellStyle name="Note 2 2 39 4" xfId="18518"/>
    <cellStyle name="Note 2 2 39 4 2" xfId="26838"/>
    <cellStyle name="Note 2 2 39 4 2 2" xfId="55845"/>
    <cellStyle name="Note 2 2 39 4 2 3" xfId="55846"/>
    <cellStyle name="Note 2 2 39 4 3" xfId="34009"/>
    <cellStyle name="Note 2 2 39 4 4" xfId="55847"/>
    <cellStyle name="Note 2 2 39 5" xfId="19501"/>
    <cellStyle name="Note 2 2 39 5 2" xfId="27822"/>
    <cellStyle name="Note 2 2 39 5 2 2" xfId="55848"/>
    <cellStyle name="Note 2 2 39 5 2 3" xfId="55849"/>
    <cellStyle name="Note 2 2 39 5 3" xfId="34970"/>
    <cellStyle name="Note 2 2 39 5 4" xfId="55850"/>
    <cellStyle name="Note 2 2 39 6" xfId="20470"/>
    <cellStyle name="Note 2 2 39 6 2" xfId="28792"/>
    <cellStyle name="Note 2 2 39 6 2 2" xfId="55851"/>
    <cellStyle name="Note 2 2 39 6 2 3" xfId="55852"/>
    <cellStyle name="Note 2 2 39 6 3" xfId="35901"/>
    <cellStyle name="Note 2 2 39 6 4" xfId="55853"/>
    <cellStyle name="Note 2 2 39 7" xfId="21931"/>
    <cellStyle name="Note 2 2 39 7 2" xfId="30232"/>
    <cellStyle name="Note 2 2 39 7 2 2" xfId="55854"/>
    <cellStyle name="Note 2 2 39 7 2 3" xfId="55855"/>
    <cellStyle name="Note 2 2 39 7 3" xfId="37274"/>
    <cellStyle name="Note 2 2 39 7 4" xfId="55856"/>
    <cellStyle name="Note 2 2 39 8" xfId="22859"/>
    <cellStyle name="Note 2 2 39 8 2" xfId="31155"/>
    <cellStyle name="Note 2 2 39 8 2 2" xfId="55857"/>
    <cellStyle name="Note 2 2 39 8 2 3" xfId="55858"/>
    <cellStyle name="Note 2 2 39 8 3" xfId="38158"/>
    <cellStyle name="Note 2 2 39 8 4" xfId="55859"/>
    <cellStyle name="Note 2 2 39 9" xfId="23801"/>
    <cellStyle name="Note 2 2 39 9 2" xfId="55860"/>
    <cellStyle name="Note 2 2 39 9 3" xfId="55861"/>
    <cellStyle name="Note 2 2 4" xfId="138"/>
    <cellStyle name="Note 2 2 4 10" xfId="55862"/>
    <cellStyle name="Note 2 2 4 11" xfId="55863"/>
    <cellStyle name="Note 2 2 4 12" xfId="55864"/>
    <cellStyle name="Note 2 2 4 13" xfId="55865"/>
    <cellStyle name="Note 2 2 4 2" xfId="264"/>
    <cellStyle name="Note 2 2 4 2 2" xfId="674"/>
    <cellStyle name="Note 2 2 4 2 2 2" xfId="1625"/>
    <cellStyle name="Note 2 2 4 2 2 2 2" xfId="782"/>
    <cellStyle name="Note 2 2 4 2 2 2 2 2" xfId="2542"/>
    <cellStyle name="Note 2 2 4 2 2 2 2 2 2" xfId="5962"/>
    <cellStyle name="Note 2 2 4 2 2 2 2 2 2 2" xfId="12802"/>
    <cellStyle name="Note 2 2 4 2 2 2 2 2 3" xfId="9382"/>
    <cellStyle name="Note 2 2 4 2 2 2 2 3" xfId="3682"/>
    <cellStyle name="Note 2 2 4 2 2 2 2 3 2" xfId="7102"/>
    <cellStyle name="Note 2 2 4 2 2 2 2 3 2 2" xfId="13942"/>
    <cellStyle name="Note 2 2 4 2 2 2 2 3 3" xfId="10522"/>
    <cellStyle name="Note 2 2 4 2 2 2 2 4" xfId="4822"/>
    <cellStyle name="Note 2 2 4 2 2 2 2 4 2" xfId="11662"/>
    <cellStyle name="Note 2 2 4 2 2 2 2 5" xfId="8242"/>
    <cellStyle name="Note 2 2 4 2 2 2 3" xfId="2459"/>
    <cellStyle name="Note 2 2 4 2 2 2 3 2" xfId="5879"/>
    <cellStyle name="Note 2 2 4 2 2 2 3 2 2" xfId="12719"/>
    <cellStyle name="Note 2 2 4 2 2 2 3 3" xfId="9299"/>
    <cellStyle name="Note 2 2 4 2 2 2 4" xfId="3599"/>
    <cellStyle name="Note 2 2 4 2 2 2 4 2" xfId="7019"/>
    <cellStyle name="Note 2 2 4 2 2 2 4 2 2" xfId="13859"/>
    <cellStyle name="Note 2 2 4 2 2 2 4 3" xfId="10439"/>
    <cellStyle name="Note 2 2 4 2 2 2 5" xfId="4739"/>
    <cellStyle name="Note 2 2 4 2 2 2 5 2" xfId="11579"/>
    <cellStyle name="Note 2 2 4 2 2 2 6" xfId="8159"/>
    <cellStyle name="Note 2 2 4 2 2 3" xfId="38518"/>
    <cellStyle name="Note 2 2 4 2 2 4" xfId="55866"/>
    <cellStyle name="Note 2 2 4 2 2 5" xfId="55867"/>
    <cellStyle name="Note 2 2 4 2 2 6" xfId="55868"/>
    <cellStyle name="Note 2 2 4 2 2 7" xfId="55869"/>
    <cellStyle name="Note 2 2 4 2 3" xfId="1271"/>
    <cellStyle name="Note 2 2 4 2 3 2" xfId="1770"/>
    <cellStyle name="Note 2 2 4 2 3 2 2" xfId="2910"/>
    <cellStyle name="Note 2 2 4 2 3 2 2 2" xfId="6330"/>
    <cellStyle name="Note 2 2 4 2 3 2 2 2 2" xfId="13170"/>
    <cellStyle name="Note 2 2 4 2 3 2 2 3" xfId="9750"/>
    <cellStyle name="Note 2 2 4 2 3 2 3" xfId="4050"/>
    <cellStyle name="Note 2 2 4 2 3 2 3 2" xfId="7470"/>
    <cellStyle name="Note 2 2 4 2 3 2 3 2 2" xfId="14310"/>
    <cellStyle name="Note 2 2 4 2 3 2 3 3" xfId="10890"/>
    <cellStyle name="Note 2 2 4 2 3 2 4" xfId="5190"/>
    <cellStyle name="Note 2 2 4 2 3 2 4 2" xfId="12030"/>
    <cellStyle name="Note 2 2 4 2 3 2 5" xfId="8610"/>
    <cellStyle name="Note 2 2 4 2 3 3" xfId="2091"/>
    <cellStyle name="Note 2 2 4 2 3 3 2" xfId="5511"/>
    <cellStyle name="Note 2 2 4 2 3 3 2 2" xfId="12351"/>
    <cellStyle name="Note 2 2 4 2 3 3 3" xfId="8931"/>
    <cellStyle name="Note 2 2 4 2 3 4" xfId="3231"/>
    <cellStyle name="Note 2 2 4 2 3 4 2" xfId="6651"/>
    <cellStyle name="Note 2 2 4 2 3 4 2 2" xfId="13491"/>
    <cellStyle name="Note 2 2 4 2 3 4 3" xfId="10071"/>
    <cellStyle name="Note 2 2 4 2 3 5" xfId="4371"/>
    <cellStyle name="Note 2 2 4 2 3 5 2" xfId="11211"/>
    <cellStyle name="Note 2 2 4 2 3 6" xfId="7791"/>
    <cellStyle name="Note 2 2 4 2 4" xfId="23930"/>
    <cellStyle name="Note 2 2 4 2 5" xfId="38281"/>
    <cellStyle name="Note 2 2 4 2 6" xfId="55870"/>
    <cellStyle name="Note 2 2 4 2 7" xfId="55871"/>
    <cellStyle name="Note 2 2 4 3" xfId="586"/>
    <cellStyle name="Note 2 2 4 3 2" xfId="1573"/>
    <cellStyle name="Note 2 2 4 3 2 2" xfId="1801"/>
    <cellStyle name="Note 2 2 4 3 2 2 2" xfId="2941"/>
    <cellStyle name="Note 2 2 4 3 2 2 2 2" xfId="6361"/>
    <cellStyle name="Note 2 2 4 3 2 2 2 2 2" xfId="13201"/>
    <cellStyle name="Note 2 2 4 3 2 2 2 3" xfId="9781"/>
    <cellStyle name="Note 2 2 4 3 2 2 3" xfId="4081"/>
    <cellStyle name="Note 2 2 4 3 2 2 3 2" xfId="7501"/>
    <cellStyle name="Note 2 2 4 3 2 2 3 2 2" xfId="14341"/>
    <cellStyle name="Note 2 2 4 3 2 2 3 3" xfId="10921"/>
    <cellStyle name="Note 2 2 4 3 2 2 4" xfId="5221"/>
    <cellStyle name="Note 2 2 4 3 2 2 4 2" xfId="12061"/>
    <cellStyle name="Note 2 2 4 3 2 2 5" xfId="8641"/>
    <cellStyle name="Note 2 2 4 3 2 3" xfId="2398"/>
    <cellStyle name="Note 2 2 4 3 2 3 2" xfId="5818"/>
    <cellStyle name="Note 2 2 4 3 2 3 2 2" xfId="12658"/>
    <cellStyle name="Note 2 2 4 3 2 3 3" xfId="9238"/>
    <cellStyle name="Note 2 2 4 3 2 4" xfId="3538"/>
    <cellStyle name="Note 2 2 4 3 2 4 2" xfId="6958"/>
    <cellStyle name="Note 2 2 4 3 2 4 2 2" xfId="13798"/>
    <cellStyle name="Note 2 2 4 3 2 4 3" xfId="10378"/>
    <cellStyle name="Note 2 2 4 3 2 5" xfId="4678"/>
    <cellStyle name="Note 2 2 4 3 2 5 2" xfId="11518"/>
    <cellStyle name="Note 2 2 4 3 2 6" xfId="8098"/>
    <cellStyle name="Note 2 2 4 3 3" xfId="24901"/>
    <cellStyle name="Note 2 2 4 3 4" xfId="32161"/>
    <cellStyle name="Note 2 2 4 3 5" xfId="55872"/>
    <cellStyle name="Note 2 2 4 3 6" xfId="55873"/>
    <cellStyle name="Note 2 2 4 3 7" xfId="55874"/>
    <cellStyle name="Note 2 2 4 3 8" xfId="55875"/>
    <cellStyle name="Note 2 2 4 4" xfId="1147"/>
    <cellStyle name="Note 2 2 4 4 2" xfId="1701"/>
    <cellStyle name="Note 2 2 4 4 2 2" xfId="2841"/>
    <cellStyle name="Note 2 2 4 4 2 2 2" xfId="6261"/>
    <cellStyle name="Note 2 2 4 4 2 2 2 2" xfId="13101"/>
    <cellStyle name="Note 2 2 4 4 2 2 3" xfId="9681"/>
    <cellStyle name="Note 2 2 4 4 2 3" xfId="3981"/>
    <cellStyle name="Note 2 2 4 4 2 3 2" xfId="7401"/>
    <cellStyle name="Note 2 2 4 4 2 3 2 2" xfId="14241"/>
    <cellStyle name="Note 2 2 4 4 2 3 3" xfId="10821"/>
    <cellStyle name="Note 2 2 4 4 2 4" xfId="5121"/>
    <cellStyle name="Note 2 2 4 4 2 4 2" xfId="11961"/>
    <cellStyle name="Note 2 2 4 4 2 5" xfId="8541"/>
    <cellStyle name="Note 2 2 4 4 3" xfId="1966"/>
    <cellStyle name="Note 2 2 4 4 3 2" xfId="5386"/>
    <cellStyle name="Note 2 2 4 4 3 2 2" xfId="12226"/>
    <cellStyle name="Note 2 2 4 4 3 3" xfId="8806"/>
    <cellStyle name="Note 2 2 4 4 4" xfId="3106"/>
    <cellStyle name="Note 2 2 4 4 4 2" xfId="6526"/>
    <cellStyle name="Note 2 2 4 4 4 2 2" xfId="13366"/>
    <cellStyle name="Note 2 2 4 4 4 3" xfId="9946"/>
    <cellStyle name="Note 2 2 4 4 5" xfId="4246"/>
    <cellStyle name="Note 2 2 4 4 5 2" xfId="11086"/>
    <cellStyle name="Note 2 2 4 4 6" xfId="7666"/>
    <cellStyle name="Note 2 2 4 4 7" xfId="25926"/>
    <cellStyle name="Note 2 2 4 4 8" xfId="33138"/>
    <cellStyle name="Note 2 2 4 5" xfId="18585"/>
    <cellStyle name="Note 2 2 4 5 2" xfId="26904"/>
    <cellStyle name="Note 2 2 4 5 2 2" xfId="55876"/>
    <cellStyle name="Note 2 2 4 5 2 3" xfId="55877"/>
    <cellStyle name="Note 2 2 4 5 3" xfId="34073"/>
    <cellStyle name="Note 2 2 4 5 4" xfId="55878"/>
    <cellStyle name="Note 2 2 4 6" xfId="19553"/>
    <cellStyle name="Note 2 2 4 6 2" xfId="27874"/>
    <cellStyle name="Note 2 2 4 6 2 2" xfId="55879"/>
    <cellStyle name="Note 2 2 4 6 2 3" xfId="55880"/>
    <cellStyle name="Note 2 2 4 6 3" xfId="35021"/>
    <cellStyle name="Note 2 2 4 6 4" xfId="55881"/>
    <cellStyle name="Note 2 2 4 7" xfId="20511"/>
    <cellStyle name="Note 2 2 4 7 2" xfId="28833"/>
    <cellStyle name="Note 2 2 4 7 2 2" xfId="55882"/>
    <cellStyle name="Note 2 2 4 7 2 3" xfId="55883"/>
    <cellStyle name="Note 2 2 4 7 3" xfId="35938"/>
    <cellStyle name="Note 2 2 4 7 4" xfId="55884"/>
    <cellStyle name="Note 2 2 4 8" xfId="21112"/>
    <cellStyle name="Note 2 2 4 8 2" xfId="29426"/>
    <cellStyle name="Note 2 2 4 8 2 2" xfId="55885"/>
    <cellStyle name="Note 2 2 4 8 2 3" xfId="55886"/>
    <cellStyle name="Note 2 2 4 8 3" xfId="36499"/>
    <cellStyle name="Note 2 2 4 8 4" xfId="55887"/>
    <cellStyle name="Note 2 2 4 9" xfId="22894"/>
    <cellStyle name="Note 2 2 4 9 2" xfId="55888"/>
    <cellStyle name="Note 2 2 4 9 3" xfId="55889"/>
    <cellStyle name="Note 2 2 40" xfId="15348"/>
    <cellStyle name="Note 2 2 40 10" xfId="55890"/>
    <cellStyle name="Note 2 2 40 11" xfId="55891"/>
    <cellStyle name="Note 2 2 40 2" xfId="16428"/>
    <cellStyle name="Note 2 2 40 2 2" xfId="24741"/>
    <cellStyle name="Note 2 2 40 2 2 2" xfId="55892"/>
    <cellStyle name="Note 2 2 40 2 2 3" xfId="55893"/>
    <cellStyle name="Note 2 2 40 2 3" xfId="32006"/>
    <cellStyle name="Note 2 2 40 2 4" xfId="55894"/>
    <cellStyle name="Note 2 2 40 3" xfId="17394"/>
    <cellStyle name="Note 2 2 40 3 2" xfId="25715"/>
    <cellStyle name="Note 2 2 40 3 2 2" xfId="55895"/>
    <cellStyle name="Note 2 2 40 3 2 3" xfId="55896"/>
    <cellStyle name="Note 2 2 40 3 3" xfId="32939"/>
    <cellStyle name="Note 2 2 40 3 4" xfId="55897"/>
    <cellStyle name="Note 2 2 40 4" xfId="18422"/>
    <cellStyle name="Note 2 2 40 4 2" xfId="26742"/>
    <cellStyle name="Note 2 2 40 4 2 2" xfId="55898"/>
    <cellStyle name="Note 2 2 40 4 2 3" xfId="55899"/>
    <cellStyle name="Note 2 2 40 4 3" xfId="33917"/>
    <cellStyle name="Note 2 2 40 4 4" xfId="55900"/>
    <cellStyle name="Note 2 2 40 5" xfId="19405"/>
    <cellStyle name="Note 2 2 40 5 2" xfId="27726"/>
    <cellStyle name="Note 2 2 40 5 2 2" xfId="55901"/>
    <cellStyle name="Note 2 2 40 5 2 3" xfId="55902"/>
    <cellStyle name="Note 2 2 40 5 3" xfId="34874"/>
    <cellStyle name="Note 2 2 40 5 4" xfId="55903"/>
    <cellStyle name="Note 2 2 40 6" xfId="20374"/>
    <cellStyle name="Note 2 2 40 6 2" xfId="28696"/>
    <cellStyle name="Note 2 2 40 6 2 2" xfId="55904"/>
    <cellStyle name="Note 2 2 40 6 2 3" xfId="55905"/>
    <cellStyle name="Note 2 2 40 6 3" xfId="35809"/>
    <cellStyle name="Note 2 2 40 6 4" xfId="55906"/>
    <cellStyle name="Note 2 2 40 7" xfId="21835"/>
    <cellStyle name="Note 2 2 40 7 2" xfId="30136"/>
    <cellStyle name="Note 2 2 40 7 2 2" xfId="55907"/>
    <cellStyle name="Note 2 2 40 7 2 3" xfId="55908"/>
    <cellStyle name="Note 2 2 40 7 3" xfId="37183"/>
    <cellStyle name="Note 2 2 40 7 4" xfId="55909"/>
    <cellStyle name="Note 2 2 40 8" xfId="22763"/>
    <cellStyle name="Note 2 2 40 8 2" xfId="31059"/>
    <cellStyle name="Note 2 2 40 8 2 2" xfId="55910"/>
    <cellStyle name="Note 2 2 40 8 2 3" xfId="55911"/>
    <cellStyle name="Note 2 2 40 8 3" xfId="38066"/>
    <cellStyle name="Note 2 2 40 8 4" xfId="55912"/>
    <cellStyle name="Note 2 2 40 9" xfId="23705"/>
    <cellStyle name="Note 2 2 40 9 2" xfId="55913"/>
    <cellStyle name="Note 2 2 40 9 3" xfId="55914"/>
    <cellStyle name="Note 2 2 41" xfId="15476"/>
    <cellStyle name="Note 2 2 41 10" xfId="55915"/>
    <cellStyle name="Note 2 2 41 11" xfId="55916"/>
    <cellStyle name="Note 2 2 41 2" xfId="16550"/>
    <cellStyle name="Note 2 2 41 2 2" xfId="24863"/>
    <cellStyle name="Note 2 2 41 2 2 2" xfId="55917"/>
    <cellStyle name="Note 2 2 41 2 2 3" xfId="55918"/>
    <cellStyle name="Note 2 2 41 2 3" xfId="32123"/>
    <cellStyle name="Note 2 2 41 2 4" xfId="55919"/>
    <cellStyle name="Note 2 2 41 3" xfId="17522"/>
    <cellStyle name="Note 2 2 41 3 2" xfId="25842"/>
    <cellStyle name="Note 2 2 41 3 2 2" xfId="55920"/>
    <cellStyle name="Note 2 2 41 3 2 3" xfId="55921"/>
    <cellStyle name="Note 2 2 41 3 3" xfId="33060"/>
    <cellStyle name="Note 2 2 41 3 4" xfId="55922"/>
    <cellStyle name="Note 2 2 41 4" xfId="18549"/>
    <cellStyle name="Note 2 2 41 4 2" xfId="26866"/>
    <cellStyle name="Note 2 2 41 4 2 2" xfId="55923"/>
    <cellStyle name="Note 2 2 41 4 2 3" xfId="55924"/>
    <cellStyle name="Note 2 2 41 4 3" xfId="34036"/>
    <cellStyle name="Note 2 2 41 4 4" xfId="55925"/>
    <cellStyle name="Note 2 2 41 5" xfId="19533"/>
    <cellStyle name="Note 2 2 41 5 2" xfId="27854"/>
    <cellStyle name="Note 2 2 41 5 2 2" xfId="55926"/>
    <cellStyle name="Note 2 2 41 5 2 3" xfId="55927"/>
    <cellStyle name="Note 2 2 41 5 3" xfId="35002"/>
    <cellStyle name="Note 2 2 41 5 4" xfId="55928"/>
    <cellStyle name="Note 2 2 41 6" xfId="20497"/>
    <cellStyle name="Note 2 2 41 6 2" xfId="28819"/>
    <cellStyle name="Note 2 2 41 6 2 2" xfId="55929"/>
    <cellStyle name="Note 2 2 41 6 2 3" xfId="55930"/>
    <cellStyle name="Note 2 2 41 6 3" xfId="35926"/>
    <cellStyle name="Note 2 2 41 6 4" xfId="55931"/>
    <cellStyle name="Note 2 2 41 7" xfId="21957"/>
    <cellStyle name="Note 2 2 41 7 2" xfId="30258"/>
    <cellStyle name="Note 2 2 41 7 2 2" xfId="55932"/>
    <cellStyle name="Note 2 2 41 7 2 3" xfId="55933"/>
    <cellStyle name="Note 2 2 41 7 3" xfId="37298"/>
    <cellStyle name="Note 2 2 41 7 4" xfId="55934"/>
    <cellStyle name="Note 2 2 41 8" xfId="22881"/>
    <cellStyle name="Note 2 2 41 8 2" xfId="31177"/>
    <cellStyle name="Note 2 2 41 8 2 2" xfId="55935"/>
    <cellStyle name="Note 2 2 41 8 2 3" xfId="55936"/>
    <cellStyle name="Note 2 2 41 8 3" xfId="38179"/>
    <cellStyle name="Note 2 2 41 8 4" xfId="55937"/>
    <cellStyle name="Note 2 2 41 9" xfId="23826"/>
    <cellStyle name="Note 2 2 41 9 2" xfId="55938"/>
    <cellStyle name="Note 2 2 41 9 3" xfId="55939"/>
    <cellStyle name="Note 2 2 42" xfId="15514"/>
    <cellStyle name="Note 2 2 42 2" xfId="23854"/>
    <cellStyle name="Note 2 2 42 2 2" xfId="55940"/>
    <cellStyle name="Note 2 2 42 2 3" xfId="55941"/>
    <cellStyle name="Note 2 2 42 3" xfId="31201"/>
    <cellStyle name="Note 2 2 42 4" xfId="55942"/>
    <cellStyle name="Note 2 2 43" xfId="17551"/>
    <cellStyle name="Note 2 2 43 2" xfId="25870"/>
    <cellStyle name="Note 2 2 43 2 2" xfId="55943"/>
    <cellStyle name="Note 2 2 43 2 3" xfId="55944"/>
    <cellStyle name="Note 2 2 43 3" xfId="33087"/>
    <cellStyle name="Note 2 2 43 4" xfId="55945"/>
    <cellStyle name="Note 2 2 44" xfId="20493"/>
    <cellStyle name="Note 2 2 44 2" xfId="28815"/>
    <cellStyle name="Note 2 2 44 2 2" xfId="55946"/>
    <cellStyle name="Note 2 2 44 2 3" xfId="55947"/>
    <cellStyle name="Note 2 2 44 3" xfId="35923"/>
    <cellStyle name="Note 2 2 44 4" xfId="55948"/>
    <cellStyle name="Note 2 2 45" xfId="21367"/>
    <cellStyle name="Note 2 2 45 2" xfId="29670"/>
    <cellStyle name="Note 2 2 45 2 2" xfId="55949"/>
    <cellStyle name="Note 2 2 45 2 3" xfId="55950"/>
    <cellStyle name="Note 2 2 45 3" xfId="36735"/>
    <cellStyle name="Note 2 2 45 4" xfId="55951"/>
    <cellStyle name="Note 2 2 46" xfId="14501"/>
    <cellStyle name="Note 2 2 46 2" xfId="55952"/>
    <cellStyle name="Note 2 2 46 3" xfId="55953"/>
    <cellStyle name="Note 2 2 47" xfId="55954"/>
    <cellStyle name="Note 2 2 48" xfId="55955"/>
    <cellStyle name="Note 2 2 49" xfId="55956"/>
    <cellStyle name="Note 2 2 5" xfId="202"/>
    <cellStyle name="Note 2 2 5 10" xfId="22959"/>
    <cellStyle name="Note 2 2 5 11" xfId="55957"/>
    <cellStyle name="Note 2 2 5 12" xfId="55958"/>
    <cellStyle name="Note 2 2 5 13" xfId="55959"/>
    <cellStyle name="Note 2 2 5 14" xfId="55960"/>
    <cellStyle name="Note 2 2 5 2" xfId="358"/>
    <cellStyle name="Note 2 2 5 2 2" xfId="1363"/>
    <cellStyle name="Note 2 2 5 2 2 2" xfId="929"/>
    <cellStyle name="Note 2 2 5 2 2 2 2" xfId="2683"/>
    <cellStyle name="Note 2 2 5 2 2 2 2 2" xfId="6103"/>
    <cellStyle name="Note 2 2 5 2 2 2 2 2 2" xfId="12943"/>
    <cellStyle name="Note 2 2 5 2 2 2 2 3" xfId="9523"/>
    <cellStyle name="Note 2 2 5 2 2 2 3" xfId="3823"/>
    <cellStyle name="Note 2 2 5 2 2 2 3 2" xfId="7243"/>
    <cellStyle name="Note 2 2 5 2 2 2 3 2 2" xfId="14083"/>
    <cellStyle name="Note 2 2 5 2 2 2 3 3" xfId="10663"/>
    <cellStyle name="Note 2 2 5 2 2 2 4" xfId="4963"/>
    <cellStyle name="Note 2 2 5 2 2 2 4 2" xfId="11803"/>
    <cellStyle name="Note 2 2 5 2 2 2 5" xfId="8383"/>
    <cellStyle name="Note 2 2 5 2 2 3" xfId="2184"/>
    <cellStyle name="Note 2 2 5 2 2 3 2" xfId="5604"/>
    <cellStyle name="Note 2 2 5 2 2 3 2 2" xfId="12444"/>
    <cellStyle name="Note 2 2 5 2 2 3 3" xfId="9024"/>
    <cellStyle name="Note 2 2 5 2 2 4" xfId="3324"/>
    <cellStyle name="Note 2 2 5 2 2 4 2" xfId="6744"/>
    <cellStyle name="Note 2 2 5 2 2 4 2 2" xfId="13584"/>
    <cellStyle name="Note 2 2 5 2 2 4 3" xfId="10164"/>
    <cellStyle name="Note 2 2 5 2 2 5" xfId="4464"/>
    <cellStyle name="Note 2 2 5 2 2 5 2" xfId="11304"/>
    <cellStyle name="Note 2 2 5 2 2 6" xfId="7884"/>
    <cellStyle name="Note 2 2 5 2 3" xfId="23994"/>
    <cellStyle name="Note 2 2 5 2 4" xfId="31289"/>
    <cellStyle name="Note 2 2 5 2 5" xfId="55961"/>
    <cellStyle name="Note 2 2 5 2 6" xfId="55962"/>
    <cellStyle name="Note 2 2 5 2 7" xfId="55963"/>
    <cellStyle name="Note 2 2 5 2 8" xfId="55964"/>
    <cellStyle name="Note 2 2 5 3" xfId="1210"/>
    <cellStyle name="Note 2 2 5 3 2" xfId="1848"/>
    <cellStyle name="Note 2 2 5 3 2 2" xfId="2988"/>
    <cellStyle name="Note 2 2 5 3 2 2 2" xfId="6408"/>
    <cellStyle name="Note 2 2 5 3 2 2 2 2" xfId="13248"/>
    <cellStyle name="Note 2 2 5 3 2 2 3" xfId="9828"/>
    <cellStyle name="Note 2 2 5 3 2 3" xfId="4128"/>
    <cellStyle name="Note 2 2 5 3 2 3 2" xfId="7548"/>
    <cellStyle name="Note 2 2 5 3 2 3 2 2" xfId="14388"/>
    <cellStyle name="Note 2 2 5 3 2 3 3" xfId="10968"/>
    <cellStyle name="Note 2 2 5 3 2 4" xfId="5268"/>
    <cellStyle name="Note 2 2 5 3 2 4 2" xfId="12108"/>
    <cellStyle name="Note 2 2 5 3 2 5" xfId="8688"/>
    <cellStyle name="Note 2 2 5 3 3" xfId="2029"/>
    <cellStyle name="Note 2 2 5 3 3 2" xfId="5449"/>
    <cellStyle name="Note 2 2 5 3 3 2 2" xfId="12289"/>
    <cellStyle name="Note 2 2 5 3 3 3" xfId="8869"/>
    <cellStyle name="Note 2 2 5 3 4" xfId="3169"/>
    <cellStyle name="Note 2 2 5 3 4 2" xfId="6589"/>
    <cellStyle name="Note 2 2 5 3 4 2 2" xfId="13429"/>
    <cellStyle name="Note 2 2 5 3 4 3" xfId="10009"/>
    <cellStyle name="Note 2 2 5 3 5" xfId="4309"/>
    <cellStyle name="Note 2 2 5 3 5 2" xfId="11149"/>
    <cellStyle name="Note 2 2 5 3 6" xfId="7729"/>
    <cellStyle name="Note 2 2 5 3 7" xfId="24965"/>
    <cellStyle name="Note 2 2 5 3 8" xfId="32222"/>
    <cellStyle name="Note 2 2 5 4" xfId="17667"/>
    <cellStyle name="Note 2 2 5 4 2" xfId="25991"/>
    <cellStyle name="Note 2 2 5 4 2 2" xfId="55965"/>
    <cellStyle name="Note 2 2 5 4 2 3" xfId="55966"/>
    <cellStyle name="Note 2 2 5 4 3" xfId="33199"/>
    <cellStyle name="Note 2 2 5 4 4" xfId="55967"/>
    <cellStyle name="Note 2 2 5 5" xfId="18650"/>
    <cellStyle name="Note 2 2 5 5 2" xfId="26971"/>
    <cellStyle name="Note 2 2 5 5 2 2" xfId="55968"/>
    <cellStyle name="Note 2 2 5 5 2 3" xfId="55969"/>
    <cellStyle name="Note 2 2 5 5 3" xfId="34137"/>
    <cellStyle name="Note 2 2 5 5 4" xfId="55970"/>
    <cellStyle name="Note 2 2 5 6" xfId="19619"/>
    <cellStyle name="Note 2 2 5 6 2" xfId="27940"/>
    <cellStyle name="Note 2 2 5 6 2 2" xfId="55971"/>
    <cellStyle name="Note 2 2 5 6 2 3" xfId="55972"/>
    <cellStyle name="Note 2 2 5 6 3" xfId="35083"/>
    <cellStyle name="Note 2 2 5 6 4" xfId="55973"/>
    <cellStyle name="Note 2 2 5 7" xfId="20576"/>
    <cellStyle name="Note 2 2 5 7 2" xfId="28898"/>
    <cellStyle name="Note 2 2 5 7 2 2" xfId="55974"/>
    <cellStyle name="Note 2 2 5 7 2 3" xfId="55975"/>
    <cellStyle name="Note 2 2 5 7 3" xfId="35999"/>
    <cellStyle name="Note 2 2 5 7 4" xfId="55976"/>
    <cellStyle name="Note 2 2 5 8" xfId="21167"/>
    <cellStyle name="Note 2 2 5 8 2" xfId="29479"/>
    <cellStyle name="Note 2 2 5 8 2 2" xfId="55977"/>
    <cellStyle name="Note 2 2 5 8 2 3" xfId="55978"/>
    <cellStyle name="Note 2 2 5 8 3" xfId="36551"/>
    <cellStyle name="Note 2 2 5 8 4" xfId="55979"/>
    <cellStyle name="Note 2 2 5 9" xfId="22013"/>
    <cellStyle name="Note 2 2 5 9 2" xfId="30312"/>
    <cellStyle name="Note 2 2 5 9 2 2" xfId="55980"/>
    <cellStyle name="Note 2 2 5 9 2 3" xfId="55981"/>
    <cellStyle name="Note 2 2 5 9 3" xfId="37350"/>
    <cellStyle name="Note 2 2 5 9 4" xfId="55982"/>
    <cellStyle name="Note 2 2 50" xfId="55983"/>
    <cellStyle name="Note 2 2 6" xfId="394"/>
    <cellStyle name="Note 2 2 6 10" xfId="22977"/>
    <cellStyle name="Note 2 2 6 11" xfId="55984"/>
    <cellStyle name="Note 2 2 6 12" xfId="55985"/>
    <cellStyle name="Note 2 2 6 13" xfId="55986"/>
    <cellStyle name="Note 2 2 6 14" xfId="55987"/>
    <cellStyle name="Note 2 2 6 2" xfId="361"/>
    <cellStyle name="Note 2 2 6 2 2" xfId="1366"/>
    <cellStyle name="Note 2 2 6 2 2 2" xfId="926"/>
    <cellStyle name="Note 2 2 6 2 2 2 2" xfId="2528"/>
    <cellStyle name="Note 2 2 6 2 2 2 2 2" xfId="5948"/>
    <cellStyle name="Note 2 2 6 2 2 2 2 2 2" xfId="12788"/>
    <cellStyle name="Note 2 2 6 2 2 2 2 3" xfId="9368"/>
    <cellStyle name="Note 2 2 6 2 2 2 3" xfId="3668"/>
    <cellStyle name="Note 2 2 6 2 2 2 3 2" xfId="7088"/>
    <cellStyle name="Note 2 2 6 2 2 2 3 2 2" xfId="13928"/>
    <cellStyle name="Note 2 2 6 2 2 2 3 3" xfId="10508"/>
    <cellStyle name="Note 2 2 6 2 2 2 4" xfId="4808"/>
    <cellStyle name="Note 2 2 6 2 2 2 4 2" xfId="11648"/>
    <cellStyle name="Note 2 2 6 2 2 2 5" xfId="8228"/>
    <cellStyle name="Note 2 2 6 2 2 3" xfId="2187"/>
    <cellStyle name="Note 2 2 6 2 2 3 2" xfId="5607"/>
    <cellStyle name="Note 2 2 6 2 2 3 2 2" xfId="12447"/>
    <cellStyle name="Note 2 2 6 2 2 3 3" xfId="9027"/>
    <cellStyle name="Note 2 2 6 2 2 4" xfId="3327"/>
    <cellStyle name="Note 2 2 6 2 2 4 2" xfId="6747"/>
    <cellStyle name="Note 2 2 6 2 2 4 2 2" xfId="13587"/>
    <cellStyle name="Note 2 2 6 2 2 4 3" xfId="10167"/>
    <cellStyle name="Note 2 2 6 2 2 5" xfId="4467"/>
    <cellStyle name="Note 2 2 6 2 2 5 2" xfId="11307"/>
    <cellStyle name="Note 2 2 6 2 2 6" xfId="7887"/>
    <cellStyle name="Note 2 2 6 2 3" xfId="24012"/>
    <cellStyle name="Note 2 2 6 2 4" xfId="31306"/>
    <cellStyle name="Note 2 2 6 2 5" xfId="55988"/>
    <cellStyle name="Note 2 2 6 2 6" xfId="55989"/>
    <cellStyle name="Note 2 2 6 2 7" xfId="55990"/>
    <cellStyle name="Note 2 2 6 2 8" xfId="55991"/>
    <cellStyle name="Note 2 2 6 3" xfId="1399"/>
    <cellStyle name="Note 2 2 6 3 2" xfId="1820"/>
    <cellStyle name="Note 2 2 6 3 2 2" xfId="2960"/>
    <cellStyle name="Note 2 2 6 3 2 2 2" xfId="6380"/>
    <cellStyle name="Note 2 2 6 3 2 2 2 2" xfId="13220"/>
    <cellStyle name="Note 2 2 6 3 2 2 3" xfId="9800"/>
    <cellStyle name="Note 2 2 6 3 2 3" xfId="4100"/>
    <cellStyle name="Note 2 2 6 3 2 3 2" xfId="7520"/>
    <cellStyle name="Note 2 2 6 3 2 3 2 2" xfId="14360"/>
    <cellStyle name="Note 2 2 6 3 2 3 3" xfId="10940"/>
    <cellStyle name="Note 2 2 6 3 2 4" xfId="5240"/>
    <cellStyle name="Note 2 2 6 3 2 4 2" xfId="12080"/>
    <cellStyle name="Note 2 2 6 3 2 5" xfId="8660"/>
    <cellStyle name="Note 2 2 6 3 3" xfId="2220"/>
    <cellStyle name="Note 2 2 6 3 3 2" xfId="5640"/>
    <cellStyle name="Note 2 2 6 3 3 2 2" xfId="12480"/>
    <cellStyle name="Note 2 2 6 3 3 3" xfId="9060"/>
    <cellStyle name="Note 2 2 6 3 4" xfId="3360"/>
    <cellStyle name="Note 2 2 6 3 4 2" xfId="6780"/>
    <cellStyle name="Note 2 2 6 3 4 2 2" xfId="13620"/>
    <cellStyle name="Note 2 2 6 3 4 3" xfId="10200"/>
    <cellStyle name="Note 2 2 6 3 5" xfId="4500"/>
    <cellStyle name="Note 2 2 6 3 5 2" xfId="11340"/>
    <cellStyle name="Note 2 2 6 3 6" xfId="7920"/>
    <cellStyle name="Note 2 2 6 3 7" xfId="24983"/>
    <cellStyle name="Note 2 2 6 3 8" xfId="32239"/>
    <cellStyle name="Note 2 2 6 4" xfId="17686"/>
    <cellStyle name="Note 2 2 6 4 2" xfId="26009"/>
    <cellStyle name="Note 2 2 6 4 2 2" xfId="55992"/>
    <cellStyle name="Note 2 2 6 4 2 3" xfId="55993"/>
    <cellStyle name="Note 2 2 6 4 3" xfId="33216"/>
    <cellStyle name="Note 2 2 6 4 4" xfId="55994"/>
    <cellStyle name="Note 2 2 6 5" xfId="18669"/>
    <cellStyle name="Note 2 2 6 5 2" xfId="26990"/>
    <cellStyle name="Note 2 2 6 5 2 2" xfId="55995"/>
    <cellStyle name="Note 2 2 6 5 2 3" xfId="55996"/>
    <cellStyle name="Note 2 2 6 5 3" xfId="34155"/>
    <cellStyle name="Note 2 2 6 5 4" xfId="55997"/>
    <cellStyle name="Note 2 2 6 6" xfId="19638"/>
    <cellStyle name="Note 2 2 6 6 2" xfId="27959"/>
    <cellStyle name="Note 2 2 6 6 2 2" xfId="55998"/>
    <cellStyle name="Note 2 2 6 6 2 3" xfId="55999"/>
    <cellStyle name="Note 2 2 6 6 3" xfId="35101"/>
    <cellStyle name="Note 2 2 6 6 4" xfId="56000"/>
    <cellStyle name="Note 2 2 6 7" xfId="20595"/>
    <cellStyle name="Note 2 2 6 7 2" xfId="28916"/>
    <cellStyle name="Note 2 2 6 7 2 2" xfId="56001"/>
    <cellStyle name="Note 2 2 6 7 2 3" xfId="56002"/>
    <cellStyle name="Note 2 2 6 7 3" xfId="36016"/>
    <cellStyle name="Note 2 2 6 7 4" xfId="56003"/>
    <cellStyle name="Note 2 2 6 8" xfId="21308"/>
    <cellStyle name="Note 2 2 6 8 2" xfId="29615"/>
    <cellStyle name="Note 2 2 6 8 2 2" xfId="56004"/>
    <cellStyle name="Note 2 2 6 8 2 3" xfId="56005"/>
    <cellStyle name="Note 2 2 6 8 3" xfId="36682"/>
    <cellStyle name="Note 2 2 6 8 4" xfId="56006"/>
    <cellStyle name="Note 2 2 6 9" xfId="22032"/>
    <cellStyle name="Note 2 2 6 9 2" xfId="30330"/>
    <cellStyle name="Note 2 2 6 9 2 2" xfId="56007"/>
    <cellStyle name="Note 2 2 6 9 2 3" xfId="56008"/>
    <cellStyle name="Note 2 2 6 9 3" xfId="37367"/>
    <cellStyle name="Note 2 2 6 9 4" xfId="56009"/>
    <cellStyle name="Note 2 2 7" xfId="507"/>
    <cellStyle name="Note 2 2 7 10" xfId="22932"/>
    <cellStyle name="Note 2 2 7 11" xfId="56010"/>
    <cellStyle name="Note 2 2 7 12" xfId="56011"/>
    <cellStyle name="Note 2 2 7 13" xfId="56012"/>
    <cellStyle name="Note 2 2 7 14" xfId="56013"/>
    <cellStyle name="Note 2 2 7 2" xfId="356"/>
    <cellStyle name="Note 2 2 7 2 2" xfId="1361"/>
    <cellStyle name="Note 2 2 7 2 2 2" xfId="931"/>
    <cellStyle name="Note 2 2 7 2 2 2 2" xfId="2539"/>
    <cellStyle name="Note 2 2 7 2 2 2 2 2" xfId="5959"/>
    <cellStyle name="Note 2 2 7 2 2 2 2 2 2" xfId="12799"/>
    <cellStyle name="Note 2 2 7 2 2 2 2 3" xfId="9379"/>
    <cellStyle name="Note 2 2 7 2 2 2 3" xfId="3679"/>
    <cellStyle name="Note 2 2 7 2 2 2 3 2" xfId="7099"/>
    <cellStyle name="Note 2 2 7 2 2 2 3 2 2" xfId="13939"/>
    <cellStyle name="Note 2 2 7 2 2 2 3 3" xfId="10519"/>
    <cellStyle name="Note 2 2 7 2 2 2 4" xfId="4819"/>
    <cellStyle name="Note 2 2 7 2 2 2 4 2" xfId="11659"/>
    <cellStyle name="Note 2 2 7 2 2 2 5" xfId="8239"/>
    <cellStyle name="Note 2 2 7 2 2 3" xfId="2182"/>
    <cellStyle name="Note 2 2 7 2 2 3 2" xfId="5602"/>
    <cellStyle name="Note 2 2 7 2 2 3 2 2" xfId="12442"/>
    <cellStyle name="Note 2 2 7 2 2 3 3" xfId="9022"/>
    <cellStyle name="Note 2 2 7 2 2 4" xfId="3322"/>
    <cellStyle name="Note 2 2 7 2 2 4 2" xfId="6742"/>
    <cellStyle name="Note 2 2 7 2 2 4 2 2" xfId="13582"/>
    <cellStyle name="Note 2 2 7 2 2 4 3" xfId="10162"/>
    <cellStyle name="Note 2 2 7 2 2 5" xfId="4462"/>
    <cellStyle name="Note 2 2 7 2 2 5 2" xfId="11302"/>
    <cellStyle name="Note 2 2 7 2 2 6" xfId="7882"/>
    <cellStyle name="Note 2 2 7 2 3" xfId="23968"/>
    <cellStyle name="Note 2 2 7 2 4" xfId="31265"/>
    <cellStyle name="Note 2 2 7 2 5" xfId="56014"/>
    <cellStyle name="Note 2 2 7 2 6" xfId="56015"/>
    <cellStyle name="Note 2 2 7 2 7" xfId="56016"/>
    <cellStyle name="Note 2 2 7 2 8" xfId="56017"/>
    <cellStyle name="Note 2 2 7 3" xfId="1511"/>
    <cellStyle name="Note 2 2 7 3 2" xfId="854"/>
    <cellStyle name="Note 2 2 7 3 2 2" xfId="2643"/>
    <cellStyle name="Note 2 2 7 3 2 2 2" xfId="6063"/>
    <cellStyle name="Note 2 2 7 3 2 2 2 2" xfId="12903"/>
    <cellStyle name="Note 2 2 7 3 2 2 3" xfId="9483"/>
    <cellStyle name="Note 2 2 7 3 2 3" xfId="3783"/>
    <cellStyle name="Note 2 2 7 3 2 3 2" xfId="7203"/>
    <cellStyle name="Note 2 2 7 3 2 3 2 2" xfId="14043"/>
    <cellStyle name="Note 2 2 7 3 2 3 3" xfId="10623"/>
    <cellStyle name="Note 2 2 7 3 2 4" xfId="4923"/>
    <cellStyle name="Note 2 2 7 3 2 4 2" xfId="11763"/>
    <cellStyle name="Note 2 2 7 3 2 5" xfId="8343"/>
    <cellStyle name="Note 2 2 7 3 3" xfId="2332"/>
    <cellStyle name="Note 2 2 7 3 3 2" xfId="5752"/>
    <cellStyle name="Note 2 2 7 3 3 2 2" xfId="12592"/>
    <cellStyle name="Note 2 2 7 3 3 3" xfId="9172"/>
    <cellStyle name="Note 2 2 7 3 4" xfId="3472"/>
    <cellStyle name="Note 2 2 7 3 4 2" xfId="6892"/>
    <cellStyle name="Note 2 2 7 3 4 2 2" xfId="13732"/>
    <cellStyle name="Note 2 2 7 3 4 3" xfId="10312"/>
    <cellStyle name="Note 2 2 7 3 5" xfId="4612"/>
    <cellStyle name="Note 2 2 7 3 5 2" xfId="11452"/>
    <cellStyle name="Note 2 2 7 3 6" xfId="8032"/>
    <cellStyle name="Note 2 2 7 3 7" xfId="24939"/>
    <cellStyle name="Note 2 2 7 3 8" xfId="32198"/>
    <cellStyle name="Note 2 2 7 4" xfId="17642"/>
    <cellStyle name="Note 2 2 7 4 2" xfId="25965"/>
    <cellStyle name="Note 2 2 7 4 2 2" xfId="56018"/>
    <cellStyle name="Note 2 2 7 4 2 3" xfId="56019"/>
    <cellStyle name="Note 2 2 7 4 3" xfId="33175"/>
    <cellStyle name="Note 2 2 7 4 4" xfId="56020"/>
    <cellStyle name="Note 2 2 7 5" xfId="18624"/>
    <cellStyle name="Note 2 2 7 5 2" xfId="26944"/>
    <cellStyle name="Note 2 2 7 5 2 2" xfId="56021"/>
    <cellStyle name="Note 2 2 7 5 2 3" xfId="56022"/>
    <cellStyle name="Note 2 2 7 5 3" xfId="34112"/>
    <cellStyle name="Note 2 2 7 5 4" xfId="56023"/>
    <cellStyle name="Note 2 2 7 6" xfId="19593"/>
    <cellStyle name="Note 2 2 7 6 2" xfId="27913"/>
    <cellStyle name="Note 2 2 7 6 2 2" xfId="56024"/>
    <cellStyle name="Note 2 2 7 6 2 3" xfId="56025"/>
    <cellStyle name="Note 2 2 7 6 3" xfId="35058"/>
    <cellStyle name="Note 2 2 7 6 4" xfId="56026"/>
    <cellStyle name="Note 2 2 7 7" xfId="20550"/>
    <cellStyle name="Note 2 2 7 7 2" xfId="28872"/>
    <cellStyle name="Note 2 2 7 7 2 2" xfId="56027"/>
    <cellStyle name="Note 2 2 7 7 2 3" xfId="56028"/>
    <cellStyle name="Note 2 2 7 7 3" xfId="35975"/>
    <cellStyle name="Note 2 2 7 7 4" xfId="56029"/>
    <cellStyle name="Note 2 2 7 8" xfId="21282"/>
    <cellStyle name="Note 2 2 7 8 2" xfId="29589"/>
    <cellStyle name="Note 2 2 7 8 2 2" xfId="56030"/>
    <cellStyle name="Note 2 2 7 8 2 3" xfId="56031"/>
    <cellStyle name="Note 2 2 7 8 3" xfId="36656"/>
    <cellStyle name="Note 2 2 7 8 4" xfId="56032"/>
    <cellStyle name="Note 2 2 7 9" xfId="21986"/>
    <cellStyle name="Note 2 2 7 9 2" xfId="30286"/>
    <cellStyle name="Note 2 2 7 9 2 2" xfId="56033"/>
    <cellStyle name="Note 2 2 7 9 2 3" xfId="56034"/>
    <cellStyle name="Note 2 2 7 9 3" xfId="37326"/>
    <cellStyle name="Note 2 2 7 9 4" xfId="56035"/>
    <cellStyle name="Note 2 2 8" xfId="1096"/>
    <cellStyle name="Note 2 2 8 10" xfId="22995"/>
    <cellStyle name="Note 2 2 8 2" xfId="1081"/>
    <cellStyle name="Note 2 2 8 2 2" xfId="2720"/>
    <cellStyle name="Note 2 2 8 2 2 2" xfId="6140"/>
    <cellStyle name="Note 2 2 8 2 2 2 2" xfId="12980"/>
    <cellStyle name="Note 2 2 8 2 2 3" xfId="9560"/>
    <cellStyle name="Note 2 2 8 2 3" xfId="3860"/>
    <cellStyle name="Note 2 2 8 2 3 2" xfId="7280"/>
    <cellStyle name="Note 2 2 8 2 3 2 2" xfId="14120"/>
    <cellStyle name="Note 2 2 8 2 3 3" xfId="10700"/>
    <cellStyle name="Note 2 2 8 2 4" xfId="5000"/>
    <cellStyle name="Note 2 2 8 2 4 2" xfId="11840"/>
    <cellStyle name="Note 2 2 8 2 5" xfId="8420"/>
    <cellStyle name="Note 2 2 8 2 6" xfId="24030"/>
    <cellStyle name="Note 2 2 8 2 7" xfId="31323"/>
    <cellStyle name="Note 2 2 8 3" xfId="1903"/>
    <cellStyle name="Note 2 2 8 3 2" xfId="5323"/>
    <cellStyle name="Note 2 2 8 3 2 2" xfId="12163"/>
    <cellStyle name="Note 2 2 8 3 2 3" xfId="56036"/>
    <cellStyle name="Note 2 2 8 3 3" xfId="8743"/>
    <cellStyle name="Note 2 2 8 3 4" xfId="25001"/>
    <cellStyle name="Note 2 2 8 3 5" xfId="32256"/>
    <cellStyle name="Note 2 2 8 4" xfId="3043"/>
    <cellStyle name="Note 2 2 8 4 2" xfId="6463"/>
    <cellStyle name="Note 2 2 8 4 2 2" xfId="13303"/>
    <cellStyle name="Note 2 2 8 4 2 3" xfId="56037"/>
    <cellStyle name="Note 2 2 8 4 3" xfId="9883"/>
    <cellStyle name="Note 2 2 8 4 4" xfId="26027"/>
    <cellStyle name="Note 2 2 8 4 5" xfId="33233"/>
    <cellStyle name="Note 2 2 8 5" xfId="4183"/>
    <cellStyle name="Note 2 2 8 5 2" xfId="11023"/>
    <cellStyle name="Note 2 2 8 5 2 2" xfId="56038"/>
    <cellStyle name="Note 2 2 8 5 2 3" xfId="56039"/>
    <cellStyle name="Note 2 2 8 5 3" xfId="27008"/>
    <cellStyle name="Note 2 2 8 5 4" xfId="34172"/>
    <cellStyle name="Note 2 2 8 6" xfId="7603"/>
    <cellStyle name="Note 2 2 8 6 2" xfId="27977"/>
    <cellStyle name="Note 2 2 8 6 2 2" xfId="56040"/>
    <cellStyle name="Note 2 2 8 6 2 3" xfId="56041"/>
    <cellStyle name="Note 2 2 8 6 3" xfId="35118"/>
    <cellStyle name="Note 2 2 8 6 4" xfId="56042"/>
    <cellStyle name="Note 2 2 8 7" xfId="20613"/>
    <cellStyle name="Note 2 2 8 7 2" xfId="28934"/>
    <cellStyle name="Note 2 2 8 7 2 2" xfId="56043"/>
    <cellStyle name="Note 2 2 8 7 2 3" xfId="56044"/>
    <cellStyle name="Note 2 2 8 7 3" xfId="36033"/>
    <cellStyle name="Note 2 2 8 7 4" xfId="56045"/>
    <cellStyle name="Note 2 2 8 8" xfId="21263"/>
    <cellStyle name="Note 2 2 8 8 2" xfId="29571"/>
    <cellStyle name="Note 2 2 8 8 2 2" xfId="56046"/>
    <cellStyle name="Note 2 2 8 8 2 3" xfId="56047"/>
    <cellStyle name="Note 2 2 8 8 3" xfId="36638"/>
    <cellStyle name="Note 2 2 8 8 4" xfId="56048"/>
    <cellStyle name="Note 2 2 8 9" xfId="22050"/>
    <cellStyle name="Note 2 2 8 9 2" xfId="30348"/>
    <cellStyle name="Note 2 2 8 9 2 2" xfId="56049"/>
    <cellStyle name="Note 2 2 8 9 2 3" xfId="56050"/>
    <cellStyle name="Note 2 2 8 9 3" xfId="37384"/>
    <cellStyle name="Note 2 2 8 9 4" xfId="56051"/>
    <cellStyle name="Note 2 2 9" xfId="14553"/>
    <cellStyle name="Note 2 2 9 10" xfId="22909"/>
    <cellStyle name="Note 2 2 9 2" xfId="15632"/>
    <cellStyle name="Note 2 2 9 2 2" xfId="23945"/>
    <cellStyle name="Note 2 2 9 2 2 2" xfId="56052"/>
    <cellStyle name="Note 2 2 9 2 2 3" xfId="56053"/>
    <cellStyle name="Note 2 2 9 2 3" xfId="31242"/>
    <cellStyle name="Note 2 2 9 2 4" xfId="56054"/>
    <cellStyle name="Note 2 2 9 3" xfId="16599"/>
    <cellStyle name="Note 2 2 9 3 2" xfId="24916"/>
    <cellStyle name="Note 2 2 9 3 2 2" xfId="56055"/>
    <cellStyle name="Note 2 2 9 3 2 3" xfId="56056"/>
    <cellStyle name="Note 2 2 9 3 3" xfId="32175"/>
    <cellStyle name="Note 2 2 9 3 4" xfId="56057"/>
    <cellStyle name="Note 2 2 9 4" xfId="17619"/>
    <cellStyle name="Note 2 2 9 4 2" xfId="25942"/>
    <cellStyle name="Note 2 2 9 4 2 2" xfId="56058"/>
    <cellStyle name="Note 2 2 9 4 2 3" xfId="56059"/>
    <cellStyle name="Note 2 2 9 4 3" xfId="33152"/>
    <cellStyle name="Note 2 2 9 4 4" xfId="56060"/>
    <cellStyle name="Note 2 2 9 5" xfId="18601"/>
    <cellStyle name="Note 2 2 9 5 2" xfId="26920"/>
    <cellStyle name="Note 2 2 9 5 2 2" xfId="56061"/>
    <cellStyle name="Note 2 2 9 5 2 3" xfId="56062"/>
    <cellStyle name="Note 2 2 9 5 3" xfId="34088"/>
    <cellStyle name="Note 2 2 9 5 4" xfId="56063"/>
    <cellStyle name="Note 2 2 9 6" xfId="19569"/>
    <cellStyle name="Note 2 2 9 6 2" xfId="27890"/>
    <cellStyle name="Note 2 2 9 6 2 2" xfId="56064"/>
    <cellStyle name="Note 2 2 9 6 2 3" xfId="56065"/>
    <cellStyle name="Note 2 2 9 6 3" xfId="35035"/>
    <cellStyle name="Note 2 2 9 6 4" xfId="56066"/>
    <cellStyle name="Note 2 2 9 7" xfId="20527"/>
    <cellStyle name="Note 2 2 9 7 2" xfId="28849"/>
    <cellStyle name="Note 2 2 9 7 2 2" xfId="56067"/>
    <cellStyle name="Note 2 2 9 7 2 3" xfId="56068"/>
    <cellStyle name="Note 2 2 9 7 3" xfId="35952"/>
    <cellStyle name="Note 2 2 9 7 4" xfId="56069"/>
    <cellStyle name="Note 2 2 9 8" xfId="21213"/>
    <cellStyle name="Note 2 2 9 8 2" xfId="29524"/>
    <cellStyle name="Note 2 2 9 8 2 2" xfId="56070"/>
    <cellStyle name="Note 2 2 9 8 2 3" xfId="56071"/>
    <cellStyle name="Note 2 2 9 8 3" xfId="36593"/>
    <cellStyle name="Note 2 2 9 8 4" xfId="56072"/>
    <cellStyle name="Note 2 2 9 9" xfId="21290"/>
    <cellStyle name="Note 2 2 9 9 2" xfId="29597"/>
    <cellStyle name="Note 2 2 9 9 2 2" xfId="56073"/>
    <cellStyle name="Note 2 2 9 9 2 3" xfId="56074"/>
    <cellStyle name="Note 2 2 9 9 3" xfId="36664"/>
    <cellStyle name="Note 2 2 9 9 4" xfId="56075"/>
    <cellStyle name="Note 2 20" xfId="15376"/>
    <cellStyle name="Note 2 20 10" xfId="56076"/>
    <cellStyle name="Note 2 20 11" xfId="56077"/>
    <cellStyle name="Note 2 20 2" xfId="16456"/>
    <cellStyle name="Note 2 20 2 2" xfId="24769"/>
    <cellStyle name="Note 2 20 2 2 2" xfId="56078"/>
    <cellStyle name="Note 2 20 2 2 3" xfId="56079"/>
    <cellStyle name="Note 2 20 2 3" xfId="32033"/>
    <cellStyle name="Note 2 20 2 4" xfId="56080"/>
    <cellStyle name="Note 2 20 3" xfId="17422"/>
    <cellStyle name="Note 2 20 3 2" xfId="25743"/>
    <cellStyle name="Note 2 20 3 2 2" xfId="56081"/>
    <cellStyle name="Note 2 20 3 2 3" xfId="56082"/>
    <cellStyle name="Note 2 20 3 3" xfId="32966"/>
    <cellStyle name="Note 2 20 3 4" xfId="56083"/>
    <cellStyle name="Note 2 20 4" xfId="18450"/>
    <cellStyle name="Note 2 20 4 2" xfId="26770"/>
    <cellStyle name="Note 2 20 4 2 2" xfId="56084"/>
    <cellStyle name="Note 2 20 4 2 3" xfId="56085"/>
    <cellStyle name="Note 2 20 4 3" xfId="33944"/>
    <cellStyle name="Note 2 20 4 4" xfId="56086"/>
    <cellStyle name="Note 2 20 5" xfId="19433"/>
    <cellStyle name="Note 2 20 5 2" xfId="27754"/>
    <cellStyle name="Note 2 20 5 2 2" xfId="56087"/>
    <cellStyle name="Note 2 20 5 2 3" xfId="56088"/>
    <cellStyle name="Note 2 20 5 3" xfId="34902"/>
    <cellStyle name="Note 2 20 5 4" xfId="56089"/>
    <cellStyle name="Note 2 20 6" xfId="20402"/>
    <cellStyle name="Note 2 20 6 2" xfId="28724"/>
    <cellStyle name="Note 2 20 6 2 2" xfId="56090"/>
    <cellStyle name="Note 2 20 6 2 3" xfId="56091"/>
    <cellStyle name="Note 2 20 6 3" xfId="35836"/>
    <cellStyle name="Note 2 20 6 4" xfId="56092"/>
    <cellStyle name="Note 2 20 7" xfId="21863"/>
    <cellStyle name="Note 2 20 7 2" xfId="30164"/>
    <cellStyle name="Note 2 20 7 2 2" xfId="56093"/>
    <cellStyle name="Note 2 20 7 2 3" xfId="56094"/>
    <cellStyle name="Note 2 20 7 3" xfId="37209"/>
    <cellStyle name="Note 2 20 7 4" xfId="56095"/>
    <cellStyle name="Note 2 20 8" xfId="22791"/>
    <cellStyle name="Note 2 20 8 2" xfId="31087"/>
    <cellStyle name="Note 2 20 8 2 2" xfId="56096"/>
    <cellStyle name="Note 2 20 8 2 3" xfId="56097"/>
    <cellStyle name="Note 2 20 8 3" xfId="38093"/>
    <cellStyle name="Note 2 20 8 4" xfId="56098"/>
    <cellStyle name="Note 2 20 9" xfId="23733"/>
    <cellStyle name="Note 2 20 9 2" xfId="56099"/>
    <cellStyle name="Note 2 20 9 3" xfId="56100"/>
    <cellStyle name="Note 2 21" xfId="15461"/>
    <cellStyle name="Note 2 21 10" xfId="56101"/>
    <cellStyle name="Note 2 21 11" xfId="56102"/>
    <cellStyle name="Note 2 21 2" xfId="16541"/>
    <cellStyle name="Note 2 21 2 2" xfId="24854"/>
    <cellStyle name="Note 2 21 2 2 2" xfId="56103"/>
    <cellStyle name="Note 2 21 2 2 3" xfId="56104"/>
    <cellStyle name="Note 2 21 2 3" xfId="32114"/>
    <cellStyle name="Note 2 21 2 4" xfId="56105"/>
    <cellStyle name="Note 2 21 3" xfId="17507"/>
    <cellStyle name="Note 2 21 3 2" xfId="25828"/>
    <cellStyle name="Note 2 21 3 2 2" xfId="56106"/>
    <cellStyle name="Note 2 21 3 2 3" xfId="56107"/>
    <cellStyle name="Note 2 21 3 3" xfId="33047"/>
    <cellStyle name="Note 2 21 3 4" xfId="56108"/>
    <cellStyle name="Note 2 21 4" xfId="18535"/>
    <cellStyle name="Note 2 21 4 2" xfId="26855"/>
    <cellStyle name="Note 2 21 4 2 2" xfId="56109"/>
    <cellStyle name="Note 2 21 4 2 3" xfId="56110"/>
    <cellStyle name="Note 2 21 4 3" xfId="34025"/>
    <cellStyle name="Note 2 21 4 4" xfId="56111"/>
    <cellStyle name="Note 2 21 5" xfId="19518"/>
    <cellStyle name="Note 2 21 5 2" xfId="27839"/>
    <cellStyle name="Note 2 21 5 2 2" xfId="56112"/>
    <cellStyle name="Note 2 21 5 2 3" xfId="56113"/>
    <cellStyle name="Note 2 21 5 3" xfId="34987"/>
    <cellStyle name="Note 2 21 5 4" xfId="56114"/>
    <cellStyle name="Note 2 21 6" xfId="20487"/>
    <cellStyle name="Note 2 21 6 2" xfId="28809"/>
    <cellStyle name="Note 2 21 6 2 2" xfId="56115"/>
    <cellStyle name="Note 2 21 6 2 3" xfId="56116"/>
    <cellStyle name="Note 2 21 6 3" xfId="35917"/>
    <cellStyle name="Note 2 21 6 4" xfId="56117"/>
    <cellStyle name="Note 2 21 7" xfId="21948"/>
    <cellStyle name="Note 2 21 7 2" xfId="30249"/>
    <cellStyle name="Note 2 21 7 2 2" xfId="56118"/>
    <cellStyle name="Note 2 21 7 2 3" xfId="56119"/>
    <cellStyle name="Note 2 21 7 3" xfId="37290"/>
    <cellStyle name="Note 2 21 7 4" xfId="56120"/>
    <cellStyle name="Note 2 21 8" xfId="22876"/>
    <cellStyle name="Note 2 21 8 2" xfId="31172"/>
    <cellStyle name="Note 2 21 8 2 2" xfId="56121"/>
    <cellStyle name="Note 2 21 8 2 3" xfId="56122"/>
    <cellStyle name="Note 2 21 8 3" xfId="38174"/>
    <cellStyle name="Note 2 21 8 4" xfId="56123"/>
    <cellStyle name="Note 2 21 9" xfId="23818"/>
    <cellStyle name="Note 2 21 9 2" xfId="56124"/>
    <cellStyle name="Note 2 21 9 3" xfId="56125"/>
    <cellStyle name="Note 2 22" xfId="15515"/>
    <cellStyle name="Note 2 22 2" xfId="23855"/>
    <cellStyle name="Note 2 22 2 2" xfId="56126"/>
    <cellStyle name="Note 2 22 2 3" xfId="56127"/>
    <cellStyle name="Note 2 22 3" xfId="31202"/>
    <cellStyle name="Note 2 22 4" xfId="56128"/>
    <cellStyle name="Note 2 23" xfId="17550"/>
    <cellStyle name="Note 2 23 2" xfId="25869"/>
    <cellStyle name="Note 2 23 2 2" xfId="56129"/>
    <cellStyle name="Note 2 23 2 3" xfId="56130"/>
    <cellStyle name="Note 2 23 3" xfId="33086"/>
    <cellStyle name="Note 2 23 4" xfId="56131"/>
    <cellStyle name="Note 2 24" xfId="18159"/>
    <cellStyle name="Note 2 24 2" xfId="26479"/>
    <cellStyle name="Note 2 24 2 2" xfId="56132"/>
    <cellStyle name="Note 2 24 2 3" xfId="56133"/>
    <cellStyle name="Note 2 24 3" xfId="33666"/>
    <cellStyle name="Note 2 24 4" xfId="56134"/>
    <cellStyle name="Note 2 25" xfId="15564"/>
    <cellStyle name="Note 2 25 2" xfId="23890"/>
    <cellStyle name="Note 2 25 2 2" xfId="56135"/>
    <cellStyle name="Note 2 25 2 3" xfId="56136"/>
    <cellStyle name="Note 2 25 3" xfId="31234"/>
    <cellStyle name="Note 2 25 4" xfId="56137"/>
    <cellStyle name="Note 2 26" xfId="14502"/>
    <cellStyle name="Note 2 26 2" xfId="56138"/>
    <cellStyle name="Note 2 26 3" xfId="56139"/>
    <cellStyle name="Note 2 27" xfId="56140"/>
    <cellStyle name="Note 2 28" xfId="56141"/>
    <cellStyle name="Note 2 29" xfId="56142"/>
    <cellStyle name="Note 2 3" xfId="72"/>
    <cellStyle name="Note 2 3 10" xfId="56143"/>
    <cellStyle name="Note 2 3 11" xfId="56144"/>
    <cellStyle name="Note 2 3 12" xfId="56145"/>
    <cellStyle name="Note 2 3 13" xfId="56146"/>
    <cellStyle name="Note 2 3 2" xfId="149"/>
    <cellStyle name="Note 2 3 2 2" xfId="275"/>
    <cellStyle name="Note 2 3 2 2 2" xfId="684"/>
    <cellStyle name="Note 2 3 2 2 2 2" xfId="1635"/>
    <cellStyle name="Note 2 3 2 2 2 2 2" xfId="772"/>
    <cellStyle name="Note 2 3 2 2 2 2 2 2" xfId="2551"/>
    <cellStyle name="Note 2 3 2 2 2 2 2 2 2" xfId="5971"/>
    <cellStyle name="Note 2 3 2 2 2 2 2 2 2 2" xfId="12811"/>
    <cellStyle name="Note 2 3 2 2 2 2 2 2 3" xfId="9391"/>
    <cellStyle name="Note 2 3 2 2 2 2 2 3" xfId="3691"/>
    <cellStyle name="Note 2 3 2 2 2 2 2 3 2" xfId="7111"/>
    <cellStyle name="Note 2 3 2 2 2 2 2 3 2 2" xfId="13951"/>
    <cellStyle name="Note 2 3 2 2 2 2 2 3 3" xfId="10531"/>
    <cellStyle name="Note 2 3 2 2 2 2 2 4" xfId="4831"/>
    <cellStyle name="Note 2 3 2 2 2 2 2 4 2" xfId="11671"/>
    <cellStyle name="Note 2 3 2 2 2 2 2 5" xfId="8251"/>
    <cellStyle name="Note 2 3 2 2 2 2 3" xfId="2469"/>
    <cellStyle name="Note 2 3 2 2 2 2 3 2" xfId="5889"/>
    <cellStyle name="Note 2 3 2 2 2 2 3 2 2" xfId="12729"/>
    <cellStyle name="Note 2 3 2 2 2 2 3 3" xfId="9309"/>
    <cellStyle name="Note 2 3 2 2 2 2 4" xfId="3609"/>
    <cellStyle name="Note 2 3 2 2 2 2 4 2" xfId="7029"/>
    <cellStyle name="Note 2 3 2 2 2 2 4 2 2" xfId="13869"/>
    <cellStyle name="Note 2 3 2 2 2 2 4 3" xfId="10449"/>
    <cellStyle name="Note 2 3 2 2 2 2 5" xfId="4749"/>
    <cellStyle name="Note 2 3 2 2 2 2 5 2" xfId="11589"/>
    <cellStyle name="Note 2 3 2 2 2 2 6" xfId="8169"/>
    <cellStyle name="Note 2 3 2 2 2 3" xfId="38528"/>
    <cellStyle name="Note 2 3 2 2 2 4" xfId="56147"/>
    <cellStyle name="Note 2 3 2 2 2 5" xfId="56148"/>
    <cellStyle name="Note 2 3 2 2 2 6" xfId="56149"/>
    <cellStyle name="Note 2 3 2 2 3" xfId="1281"/>
    <cellStyle name="Note 2 3 2 2 3 2" xfId="987"/>
    <cellStyle name="Note 2 3 2 2 3 2 2" xfId="2569"/>
    <cellStyle name="Note 2 3 2 2 3 2 2 2" xfId="5989"/>
    <cellStyle name="Note 2 3 2 2 3 2 2 2 2" xfId="12829"/>
    <cellStyle name="Note 2 3 2 2 3 2 2 3" xfId="9409"/>
    <cellStyle name="Note 2 3 2 2 3 2 3" xfId="3709"/>
    <cellStyle name="Note 2 3 2 2 3 2 3 2" xfId="7129"/>
    <cellStyle name="Note 2 3 2 2 3 2 3 2 2" xfId="13969"/>
    <cellStyle name="Note 2 3 2 2 3 2 3 3" xfId="10549"/>
    <cellStyle name="Note 2 3 2 2 3 2 4" xfId="4849"/>
    <cellStyle name="Note 2 3 2 2 3 2 4 2" xfId="11689"/>
    <cellStyle name="Note 2 3 2 2 3 2 5" xfId="8269"/>
    <cellStyle name="Note 2 3 2 2 3 3" xfId="2101"/>
    <cellStyle name="Note 2 3 2 2 3 3 2" xfId="5521"/>
    <cellStyle name="Note 2 3 2 2 3 3 2 2" xfId="12361"/>
    <cellStyle name="Note 2 3 2 2 3 3 3" xfId="8941"/>
    <cellStyle name="Note 2 3 2 2 3 4" xfId="3241"/>
    <cellStyle name="Note 2 3 2 2 3 4 2" xfId="6661"/>
    <cellStyle name="Note 2 3 2 2 3 4 2 2" xfId="13501"/>
    <cellStyle name="Note 2 3 2 2 3 4 3" xfId="10081"/>
    <cellStyle name="Note 2 3 2 2 3 5" xfId="4381"/>
    <cellStyle name="Note 2 3 2 2 3 5 2" xfId="11221"/>
    <cellStyle name="Note 2 3 2 2 3 6" xfId="7801"/>
    <cellStyle name="Note 2 3 2 2 4" xfId="38291"/>
    <cellStyle name="Note 2 3 2 2 5" xfId="56150"/>
    <cellStyle name="Note 2 3 2 2 6" xfId="56151"/>
    <cellStyle name="Note 2 3 2 2 7" xfId="56152"/>
    <cellStyle name="Note 2 3 2 2 8" xfId="56153"/>
    <cellStyle name="Note 2 3 2 3" xfId="596"/>
    <cellStyle name="Note 2 3 2 3 2" xfId="1583"/>
    <cellStyle name="Note 2 3 2 3 2 2" xfId="819"/>
    <cellStyle name="Note 2 3 2 3 2 2 2" xfId="2773"/>
    <cellStyle name="Note 2 3 2 3 2 2 2 2" xfId="6193"/>
    <cellStyle name="Note 2 3 2 3 2 2 2 2 2" xfId="13033"/>
    <cellStyle name="Note 2 3 2 3 2 2 2 3" xfId="9613"/>
    <cellStyle name="Note 2 3 2 3 2 2 3" xfId="3913"/>
    <cellStyle name="Note 2 3 2 3 2 2 3 2" xfId="7333"/>
    <cellStyle name="Note 2 3 2 3 2 2 3 2 2" xfId="14173"/>
    <cellStyle name="Note 2 3 2 3 2 2 3 3" xfId="10753"/>
    <cellStyle name="Note 2 3 2 3 2 2 4" xfId="5053"/>
    <cellStyle name="Note 2 3 2 3 2 2 4 2" xfId="11893"/>
    <cellStyle name="Note 2 3 2 3 2 2 5" xfId="8473"/>
    <cellStyle name="Note 2 3 2 3 2 3" xfId="2408"/>
    <cellStyle name="Note 2 3 2 3 2 3 2" xfId="5828"/>
    <cellStyle name="Note 2 3 2 3 2 3 2 2" xfId="12668"/>
    <cellStyle name="Note 2 3 2 3 2 3 3" xfId="9248"/>
    <cellStyle name="Note 2 3 2 3 2 4" xfId="3548"/>
    <cellStyle name="Note 2 3 2 3 2 4 2" xfId="6968"/>
    <cellStyle name="Note 2 3 2 3 2 4 2 2" xfId="13808"/>
    <cellStyle name="Note 2 3 2 3 2 4 3" xfId="10388"/>
    <cellStyle name="Note 2 3 2 3 2 5" xfId="4688"/>
    <cellStyle name="Note 2 3 2 3 2 5 2" xfId="11528"/>
    <cellStyle name="Note 2 3 2 3 2 6" xfId="8108"/>
    <cellStyle name="Note 2 3 2 3 3" xfId="38477"/>
    <cellStyle name="Note 2 3 2 3 4" xfId="56154"/>
    <cellStyle name="Note 2 3 2 3 5" xfId="56155"/>
    <cellStyle name="Note 2 3 2 3 6" xfId="56156"/>
    <cellStyle name="Note 2 3 2 4" xfId="1157"/>
    <cellStyle name="Note 2 3 2 4 2" xfId="1049"/>
    <cellStyle name="Note 2 3 2 4 2 2" xfId="2659"/>
    <cellStyle name="Note 2 3 2 4 2 2 2" xfId="6079"/>
    <cellStyle name="Note 2 3 2 4 2 2 2 2" xfId="12919"/>
    <cellStyle name="Note 2 3 2 4 2 2 3" xfId="9499"/>
    <cellStyle name="Note 2 3 2 4 2 3" xfId="3799"/>
    <cellStyle name="Note 2 3 2 4 2 3 2" xfId="7219"/>
    <cellStyle name="Note 2 3 2 4 2 3 2 2" xfId="14059"/>
    <cellStyle name="Note 2 3 2 4 2 3 3" xfId="10639"/>
    <cellStyle name="Note 2 3 2 4 2 4" xfId="4939"/>
    <cellStyle name="Note 2 3 2 4 2 4 2" xfId="11779"/>
    <cellStyle name="Note 2 3 2 4 2 5" xfId="8359"/>
    <cellStyle name="Note 2 3 2 4 3" xfId="1976"/>
    <cellStyle name="Note 2 3 2 4 3 2" xfId="5396"/>
    <cellStyle name="Note 2 3 2 4 3 2 2" xfId="12236"/>
    <cellStyle name="Note 2 3 2 4 3 3" xfId="8816"/>
    <cellStyle name="Note 2 3 2 4 4" xfId="3116"/>
    <cellStyle name="Note 2 3 2 4 4 2" xfId="6536"/>
    <cellStyle name="Note 2 3 2 4 4 2 2" xfId="13376"/>
    <cellStyle name="Note 2 3 2 4 4 3" xfId="9956"/>
    <cellStyle name="Note 2 3 2 4 5" xfId="4256"/>
    <cellStyle name="Note 2 3 2 4 5 2" xfId="11096"/>
    <cellStyle name="Note 2 3 2 4 6" xfId="7676"/>
    <cellStyle name="Note 2 3 2 5" xfId="23916"/>
    <cellStyle name="Note 2 3 2 6" xfId="38213"/>
    <cellStyle name="Note 2 3 2 7" xfId="56157"/>
    <cellStyle name="Note 2 3 2 8" xfId="56158"/>
    <cellStyle name="Note 2 3 3" xfId="315"/>
    <cellStyle name="Note 2 3 3 2" xfId="353"/>
    <cellStyle name="Note 2 3 3 2 2" xfId="1358"/>
    <cellStyle name="Note 2 3 3 2 2 2" xfId="934"/>
    <cellStyle name="Note 2 3 3 2 2 2 2" xfId="2434"/>
    <cellStyle name="Note 2 3 3 2 2 2 2 2" xfId="5854"/>
    <cellStyle name="Note 2 3 3 2 2 2 2 2 2" xfId="12694"/>
    <cellStyle name="Note 2 3 3 2 2 2 2 3" xfId="9274"/>
    <cellStyle name="Note 2 3 3 2 2 2 3" xfId="3574"/>
    <cellStyle name="Note 2 3 3 2 2 2 3 2" xfId="6994"/>
    <cellStyle name="Note 2 3 3 2 2 2 3 2 2" xfId="13834"/>
    <cellStyle name="Note 2 3 3 2 2 2 3 3" xfId="10414"/>
    <cellStyle name="Note 2 3 3 2 2 2 4" xfId="4714"/>
    <cellStyle name="Note 2 3 3 2 2 2 4 2" xfId="11554"/>
    <cellStyle name="Note 2 3 3 2 2 2 5" xfId="8134"/>
    <cellStyle name="Note 2 3 3 2 2 3" xfId="2179"/>
    <cellStyle name="Note 2 3 3 2 2 3 2" xfId="5599"/>
    <cellStyle name="Note 2 3 3 2 2 3 2 2" xfId="12439"/>
    <cellStyle name="Note 2 3 3 2 2 3 3" xfId="9019"/>
    <cellStyle name="Note 2 3 3 2 2 4" xfId="3319"/>
    <cellStyle name="Note 2 3 3 2 2 4 2" xfId="6739"/>
    <cellStyle name="Note 2 3 3 2 2 4 2 2" xfId="13579"/>
    <cellStyle name="Note 2 3 3 2 2 4 3" xfId="10159"/>
    <cellStyle name="Note 2 3 3 2 2 5" xfId="4459"/>
    <cellStyle name="Note 2 3 3 2 2 5 2" xfId="11299"/>
    <cellStyle name="Note 2 3 3 2 2 6" xfId="7879"/>
    <cellStyle name="Note 2 3 3 2 3" xfId="38342"/>
    <cellStyle name="Note 2 3 3 2 4" xfId="56159"/>
    <cellStyle name="Note 2 3 3 2 5" xfId="56160"/>
    <cellStyle name="Note 2 3 3 2 6" xfId="56161"/>
    <cellStyle name="Note 2 3 3 2 7" xfId="56162"/>
    <cellStyle name="Note 2 3 3 3" xfId="1320"/>
    <cellStyle name="Note 2 3 3 3 2" xfId="1856"/>
    <cellStyle name="Note 2 3 3 3 2 2" xfId="2996"/>
    <cellStyle name="Note 2 3 3 3 2 2 2" xfId="6416"/>
    <cellStyle name="Note 2 3 3 3 2 2 2 2" xfId="13256"/>
    <cellStyle name="Note 2 3 3 3 2 2 3" xfId="9836"/>
    <cellStyle name="Note 2 3 3 3 2 3" xfId="4136"/>
    <cellStyle name="Note 2 3 3 3 2 3 2" xfId="7556"/>
    <cellStyle name="Note 2 3 3 3 2 3 2 2" xfId="14396"/>
    <cellStyle name="Note 2 3 3 3 2 3 3" xfId="10976"/>
    <cellStyle name="Note 2 3 3 3 2 4" xfId="5276"/>
    <cellStyle name="Note 2 3 3 3 2 4 2" xfId="12116"/>
    <cellStyle name="Note 2 3 3 3 2 5" xfId="8696"/>
    <cellStyle name="Note 2 3 3 3 3" xfId="2141"/>
    <cellStyle name="Note 2 3 3 3 3 2" xfId="5561"/>
    <cellStyle name="Note 2 3 3 3 3 2 2" xfId="12401"/>
    <cellStyle name="Note 2 3 3 3 3 3" xfId="8981"/>
    <cellStyle name="Note 2 3 3 3 4" xfId="3281"/>
    <cellStyle name="Note 2 3 3 3 4 2" xfId="6701"/>
    <cellStyle name="Note 2 3 3 3 4 2 2" xfId="13541"/>
    <cellStyle name="Note 2 3 3 3 4 3" xfId="10121"/>
    <cellStyle name="Note 2 3 3 3 5" xfId="4421"/>
    <cellStyle name="Note 2 3 3 3 5 2" xfId="11261"/>
    <cellStyle name="Note 2 3 3 3 6" xfId="7841"/>
    <cellStyle name="Note 2 3 3 4" xfId="24887"/>
    <cellStyle name="Note 2 3 3 5" xfId="32147"/>
    <cellStyle name="Note 2 3 3 6" xfId="56163"/>
    <cellStyle name="Note 2 3 3 7" xfId="56164"/>
    <cellStyle name="Note 2 3 3 8" xfId="56165"/>
    <cellStyle name="Note 2 3 4" xfId="214"/>
    <cellStyle name="Note 2 3 4 2" xfId="452"/>
    <cellStyle name="Note 2 3 4 2 2" xfId="1456"/>
    <cellStyle name="Note 2 3 4 2 2 2" xfId="881"/>
    <cellStyle name="Note 2 3 4 2 2 2 2" xfId="2753"/>
    <cellStyle name="Note 2 3 4 2 2 2 2 2" xfId="6173"/>
    <cellStyle name="Note 2 3 4 2 2 2 2 2 2" xfId="13013"/>
    <cellStyle name="Note 2 3 4 2 2 2 2 3" xfId="9593"/>
    <cellStyle name="Note 2 3 4 2 2 2 3" xfId="3893"/>
    <cellStyle name="Note 2 3 4 2 2 2 3 2" xfId="7313"/>
    <cellStyle name="Note 2 3 4 2 2 2 3 2 2" xfId="14153"/>
    <cellStyle name="Note 2 3 4 2 2 2 3 3" xfId="10733"/>
    <cellStyle name="Note 2 3 4 2 2 2 4" xfId="5033"/>
    <cellStyle name="Note 2 3 4 2 2 2 4 2" xfId="11873"/>
    <cellStyle name="Note 2 3 4 2 2 2 5" xfId="8453"/>
    <cellStyle name="Note 2 3 4 2 2 3" xfId="2277"/>
    <cellStyle name="Note 2 3 4 2 2 3 2" xfId="5697"/>
    <cellStyle name="Note 2 3 4 2 2 3 2 2" xfId="12537"/>
    <cellStyle name="Note 2 3 4 2 2 3 3" xfId="9117"/>
    <cellStyle name="Note 2 3 4 2 2 4" xfId="3417"/>
    <cellStyle name="Note 2 3 4 2 2 4 2" xfId="6837"/>
    <cellStyle name="Note 2 3 4 2 2 4 2 2" xfId="13677"/>
    <cellStyle name="Note 2 3 4 2 2 4 3" xfId="10257"/>
    <cellStyle name="Note 2 3 4 2 2 5" xfId="4557"/>
    <cellStyle name="Note 2 3 4 2 2 5 2" xfId="11397"/>
    <cellStyle name="Note 2 3 4 2 2 6" xfId="7977"/>
    <cellStyle name="Note 2 3 4 2 3" xfId="38413"/>
    <cellStyle name="Note 2 3 4 2 4" xfId="56166"/>
    <cellStyle name="Note 2 3 4 2 5" xfId="56167"/>
    <cellStyle name="Note 2 3 4 2 6" xfId="56168"/>
    <cellStyle name="Note 2 3 4 2 7" xfId="56169"/>
    <cellStyle name="Note 2 3 4 3" xfId="1221"/>
    <cellStyle name="Note 2 3 4 3 2" xfId="1017"/>
    <cellStyle name="Note 2 3 4 3 2 2" xfId="2634"/>
    <cellStyle name="Note 2 3 4 3 2 2 2" xfId="6054"/>
    <cellStyle name="Note 2 3 4 3 2 2 2 2" xfId="12894"/>
    <cellStyle name="Note 2 3 4 3 2 2 3" xfId="9474"/>
    <cellStyle name="Note 2 3 4 3 2 3" xfId="3774"/>
    <cellStyle name="Note 2 3 4 3 2 3 2" xfId="7194"/>
    <cellStyle name="Note 2 3 4 3 2 3 2 2" xfId="14034"/>
    <cellStyle name="Note 2 3 4 3 2 3 3" xfId="10614"/>
    <cellStyle name="Note 2 3 4 3 2 4" xfId="4914"/>
    <cellStyle name="Note 2 3 4 3 2 4 2" xfId="11754"/>
    <cellStyle name="Note 2 3 4 3 2 5" xfId="8334"/>
    <cellStyle name="Note 2 3 4 3 3" xfId="2041"/>
    <cellStyle name="Note 2 3 4 3 3 2" xfId="5461"/>
    <cellStyle name="Note 2 3 4 3 3 2 2" xfId="12301"/>
    <cellStyle name="Note 2 3 4 3 3 3" xfId="8881"/>
    <cellStyle name="Note 2 3 4 3 4" xfId="3181"/>
    <cellStyle name="Note 2 3 4 3 4 2" xfId="6601"/>
    <cellStyle name="Note 2 3 4 3 4 2 2" xfId="13441"/>
    <cellStyle name="Note 2 3 4 3 4 3" xfId="10021"/>
    <cellStyle name="Note 2 3 4 3 5" xfId="4321"/>
    <cellStyle name="Note 2 3 4 3 5 2" xfId="11161"/>
    <cellStyle name="Note 2 3 4 3 6" xfId="7741"/>
    <cellStyle name="Note 2 3 4 4" xfId="25911"/>
    <cellStyle name="Note 2 3 4 5" xfId="33124"/>
    <cellStyle name="Note 2 3 4 6" xfId="56170"/>
    <cellStyle name="Note 2 3 4 7" xfId="56171"/>
    <cellStyle name="Note 2 3 4 8" xfId="56172"/>
    <cellStyle name="Note 2 3 5" xfId="423"/>
    <cellStyle name="Note 2 3 5 2" xfId="544"/>
    <cellStyle name="Note 2 3 5 2 2" xfId="1548"/>
    <cellStyle name="Note 2 3 5 2 2 2" xfId="1720"/>
    <cellStyle name="Note 2 3 5 2 2 2 2" xfId="2860"/>
    <cellStyle name="Note 2 3 5 2 2 2 2 2" xfId="6280"/>
    <cellStyle name="Note 2 3 5 2 2 2 2 2 2" xfId="13120"/>
    <cellStyle name="Note 2 3 5 2 2 2 2 3" xfId="9700"/>
    <cellStyle name="Note 2 3 5 2 2 2 3" xfId="4000"/>
    <cellStyle name="Note 2 3 5 2 2 2 3 2" xfId="7420"/>
    <cellStyle name="Note 2 3 5 2 2 2 3 2 2" xfId="14260"/>
    <cellStyle name="Note 2 3 5 2 2 2 3 3" xfId="10840"/>
    <cellStyle name="Note 2 3 5 2 2 2 4" xfId="5140"/>
    <cellStyle name="Note 2 3 5 2 2 2 4 2" xfId="11980"/>
    <cellStyle name="Note 2 3 5 2 2 2 5" xfId="8560"/>
    <cellStyle name="Note 2 3 5 2 2 3" xfId="2369"/>
    <cellStyle name="Note 2 3 5 2 2 3 2" xfId="5789"/>
    <cellStyle name="Note 2 3 5 2 2 3 2 2" xfId="12629"/>
    <cellStyle name="Note 2 3 5 2 2 3 3" xfId="9209"/>
    <cellStyle name="Note 2 3 5 2 2 4" xfId="3509"/>
    <cellStyle name="Note 2 3 5 2 2 4 2" xfId="6929"/>
    <cellStyle name="Note 2 3 5 2 2 4 2 2" xfId="13769"/>
    <cellStyle name="Note 2 3 5 2 2 4 3" xfId="10349"/>
    <cellStyle name="Note 2 3 5 2 2 5" xfId="4649"/>
    <cellStyle name="Note 2 3 5 2 2 5 2" xfId="11489"/>
    <cellStyle name="Note 2 3 5 2 2 6" xfId="8069"/>
    <cellStyle name="Note 2 3 5 2 3" xfId="38459"/>
    <cellStyle name="Note 2 3 5 2 4" xfId="56173"/>
    <cellStyle name="Note 2 3 5 2 5" xfId="56174"/>
    <cellStyle name="Note 2 3 5 2 6" xfId="56175"/>
    <cellStyle name="Note 2 3 5 2 7" xfId="56176"/>
    <cellStyle name="Note 2 3 5 3" xfId="1428"/>
    <cellStyle name="Note 2 3 5 3 2" xfId="895"/>
    <cellStyle name="Note 2 3 5 3 2 2" xfId="2770"/>
    <cellStyle name="Note 2 3 5 3 2 2 2" xfId="6190"/>
    <cellStyle name="Note 2 3 5 3 2 2 2 2" xfId="13030"/>
    <cellStyle name="Note 2 3 5 3 2 2 3" xfId="9610"/>
    <cellStyle name="Note 2 3 5 3 2 3" xfId="3910"/>
    <cellStyle name="Note 2 3 5 3 2 3 2" xfId="7330"/>
    <cellStyle name="Note 2 3 5 3 2 3 2 2" xfId="14170"/>
    <cellStyle name="Note 2 3 5 3 2 3 3" xfId="10750"/>
    <cellStyle name="Note 2 3 5 3 2 4" xfId="5050"/>
    <cellStyle name="Note 2 3 5 3 2 4 2" xfId="11890"/>
    <cellStyle name="Note 2 3 5 3 2 5" xfId="8470"/>
    <cellStyle name="Note 2 3 5 3 3" xfId="2249"/>
    <cellStyle name="Note 2 3 5 3 3 2" xfId="5669"/>
    <cellStyle name="Note 2 3 5 3 3 2 2" xfId="12509"/>
    <cellStyle name="Note 2 3 5 3 3 3" xfId="9089"/>
    <cellStyle name="Note 2 3 5 3 4" xfId="3389"/>
    <cellStyle name="Note 2 3 5 3 4 2" xfId="6809"/>
    <cellStyle name="Note 2 3 5 3 4 2 2" xfId="13649"/>
    <cellStyle name="Note 2 3 5 3 4 3" xfId="10229"/>
    <cellStyle name="Note 2 3 5 3 5" xfId="4529"/>
    <cellStyle name="Note 2 3 5 3 5 2" xfId="11369"/>
    <cellStyle name="Note 2 3 5 3 6" xfId="7949"/>
    <cellStyle name="Note 2 3 5 4" xfId="26889"/>
    <cellStyle name="Note 2 3 5 5" xfId="34058"/>
    <cellStyle name="Note 2 3 5 6" xfId="56177"/>
    <cellStyle name="Note 2 3 5 7" xfId="56178"/>
    <cellStyle name="Note 2 3 5 8" xfId="56179"/>
    <cellStyle name="Note 2 3 6" xfId="504"/>
    <cellStyle name="Note 2 3 6 2" xfId="380"/>
    <cellStyle name="Note 2 3 6 2 2" xfId="1385"/>
    <cellStyle name="Note 2 3 6 2 2 2" xfId="1763"/>
    <cellStyle name="Note 2 3 6 2 2 2 2" xfId="2903"/>
    <cellStyle name="Note 2 3 6 2 2 2 2 2" xfId="6323"/>
    <cellStyle name="Note 2 3 6 2 2 2 2 2 2" xfId="13163"/>
    <cellStyle name="Note 2 3 6 2 2 2 2 3" xfId="9743"/>
    <cellStyle name="Note 2 3 6 2 2 2 3" xfId="4043"/>
    <cellStyle name="Note 2 3 6 2 2 2 3 2" xfId="7463"/>
    <cellStyle name="Note 2 3 6 2 2 2 3 2 2" xfId="14303"/>
    <cellStyle name="Note 2 3 6 2 2 2 3 3" xfId="10883"/>
    <cellStyle name="Note 2 3 6 2 2 2 4" xfId="5183"/>
    <cellStyle name="Note 2 3 6 2 2 2 4 2" xfId="12023"/>
    <cellStyle name="Note 2 3 6 2 2 2 5" xfId="8603"/>
    <cellStyle name="Note 2 3 6 2 2 3" xfId="2206"/>
    <cellStyle name="Note 2 3 6 2 2 3 2" xfId="5626"/>
    <cellStyle name="Note 2 3 6 2 2 3 2 2" xfId="12466"/>
    <cellStyle name="Note 2 3 6 2 2 3 3" xfId="9046"/>
    <cellStyle name="Note 2 3 6 2 2 4" xfId="3346"/>
    <cellStyle name="Note 2 3 6 2 2 4 2" xfId="6766"/>
    <cellStyle name="Note 2 3 6 2 2 4 2 2" xfId="13606"/>
    <cellStyle name="Note 2 3 6 2 2 4 3" xfId="10186"/>
    <cellStyle name="Note 2 3 6 2 2 5" xfId="4486"/>
    <cellStyle name="Note 2 3 6 2 2 5 2" xfId="11326"/>
    <cellStyle name="Note 2 3 6 2 2 6" xfId="7906"/>
    <cellStyle name="Note 2 3 6 2 3" xfId="38363"/>
    <cellStyle name="Note 2 3 6 2 4" xfId="56180"/>
    <cellStyle name="Note 2 3 6 2 5" xfId="56181"/>
    <cellStyle name="Note 2 3 6 2 6" xfId="56182"/>
    <cellStyle name="Note 2 3 6 2 7" xfId="56183"/>
    <cellStyle name="Note 2 3 6 3" xfId="1508"/>
    <cellStyle name="Note 2 3 6 3 2" xfId="1665"/>
    <cellStyle name="Note 2 3 6 3 2 2" xfId="2805"/>
    <cellStyle name="Note 2 3 6 3 2 2 2" xfId="6225"/>
    <cellStyle name="Note 2 3 6 3 2 2 2 2" xfId="13065"/>
    <cellStyle name="Note 2 3 6 3 2 2 3" xfId="9645"/>
    <cellStyle name="Note 2 3 6 3 2 3" xfId="3945"/>
    <cellStyle name="Note 2 3 6 3 2 3 2" xfId="7365"/>
    <cellStyle name="Note 2 3 6 3 2 3 2 2" xfId="14205"/>
    <cellStyle name="Note 2 3 6 3 2 3 3" xfId="10785"/>
    <cellStyle name="Note 2 3 6 3 2 4" xfId="5085"/>
    <cellStyle name="Note 2 3 6 3 2 4 2" xfId="11925"/>
    <cellStyle name="Note 2 3 6 3 2 5" xfId="8505"/>
    <cellStyle name="Note 2 3 6 3 3" xfId="2329"/>
    <cellStyle name="Note 2 3 6 3 3 2" xfId="5749"/>
    <cellStyle name="Note 2 3 6 3 3 2 2" xfId="12589"/>
    <cellStyle name="Note 2 3 6 3 3 3" xfId="9169"/>
    <cellStyle name="Note 2 3 6 3 4" xfId="3469"/>
    <cellStyle name="Note 2 3 6 3 4 2" xfId="6889"/>
    <cellStyle name="Note 2 3 6 3 4 2 2" xfId="13729"/>
    <cellStyle name="Note 2 3 6 3 4 3" xfId="10309"/>
    <cellStyle name="Note 2 3 6 3 5" xfId="4609"/>
    <cellStyle name="Note 2 3 6 3 5 2" xfId="11449"/>
    <cellStyle name="Note 2 3 6 3 6" xfId="8029"/>
    <cellStyle name="Note 2 3 6 4" xfId="25864"/>
    <cellStyle name="Note 2 3 6 5" xfId="33081"/>
    <cellStyle name="Note 2 3 6 6" xfId="56184"/>
    <cellStyle name="Note 2 3 6 7" xfId="56185"/>
    <cellStyle name="Note 2 3 6 8" xfId="56186"/>
    <cellStyle name="Note 2 3 7" xfId="1106"/>
    <cellStyle name="Note 2 3 7 2" xfId="1072"/>
    <cellStyle name="Note 2 3 7 2 2" xfId="2560"/>
    <cellStyle name="Note 2 3 7 2 2 2" xfId="5980"/>
    <cellStyle name="Note 2 3 7 2 2 2 2" xfId="12820"/>
    <cellStyle name="Note 2 3 7 2 2 3" xfId="9400"/>
    <cellStyle name="Note 2 3 7 2 3" xfId="3700"/>
    <cellStyle name="Note 2 3 7 2 3 2" xfId="7120"/>
    <cellStyle name="Note 2 3 7 2 3 2 2" xfId="13960"/>
    <cellStyle name="Note 2 3 7 2 3 3" xfId="10540"/>
    <cellStyle name="Note 2 3 7 2 4" xfId="4840"/>
    <cellStyle name="Note 2 3 7 2 4 2" xfId="11680"/>
    <cellStyle name="Note 2 3 7 2 5" xfId="8260"/>
    <cellStyle name="Note 2 3 7 3" xfId="1915"/>
    <cellStyle name="Note 2 3 7 3 2" xfId="5335"/>
    <cellStyle name="Note 2 3 7 3 2 2" xfId="12175"/>
    <cellStyle name="Note 2 3 7 3 3" xfId="8755"/>
    <cellStyle name="Note 2 3 7 4" xfId="3055"/>
    <cellStyle name="Note 2 3 7 4 2" xfId="6475"/>
    <cellStyle name="Note 2 3 7 4 2 2" xfId="13315"/>
    <cellStyle name="Note 2 3 7 4 3" xfId="9895"/>
    <cellStyle name="Note 2 3 7 5" xfId="4195"/>
    <cellStyle name="Note 2 3 7 5 2" xfId="11035"/>
    <cellStyle name="Note 2 3 7 6" xfId="7615"/>
    <cellStyle name="Note 2 3 7 7" xfId="27667"/>
    <cellStyle name="Note 2 3 7 8" xfId="34815"/>
    <cellStyle name="Note 2 3 8" xfId="21241"/>
    <cellStyle name="Note 2 3 8 2" xfId="29551"/>
    <cellStyle name="Note 2 3 8 2 2" xfId="56187"/>
    <cellStyle name="Note 2 3 8 2 3" xfId="56188"/>
    <cellStyle name="Note 2 3 8 3" xfId="36619"/>
    <cellStyle name="Note 2 3 8 4" xfId="56189"/>
    <cellStyle name="Note 2 3 9" xfId="14426"/>
    <cellStyle name="Note 2 3 9 2" xfId="56190"/>
    <cellStyle name="Note 2 3 9 3" xfId="56191"/>
    <cellStyle name="Note 2 30" xfId="56192"/>
    <cellStyle name="Note 2 4" xfId="108"/>
    <cellStyle name="Note 2 4 10" xfId="22926"/>
    <cellStyle name="Note 2 4 11" xfId="56193"/>
    <cellStyle name="Note 2 4 12" xfId="56194"/>
    <cellStyle name="Note 2 4 13" xfId="56195"/>
    <cellStyle name="Note 2 4 14" xfId="56196"/>
    <cellStyle name="Note 2 4 2" xfId="167"/>
    <cellStyle name="Note 2 4 2 2" xfId="293"/>
    <cellStyle name="Note 2 4 2 2 2" xfId="702"/>
    <cellStyle name="Note 2 4 2 2 2 2" xfId="1653"/>
    <cellStyle name="Note 2 4 2 2 2 2 2" xfId="754"/>
    <cellStyle name="Note 2 4 2 2 2 2 2 2" xfId="2601"/>
    <cellStyle name="Note 2 4 2 2 2 2 2 2 2" xfId="6021"/>
    <cellStyle name="Note 2 4 2 2 2 2 2 2 2 2" xfId="12861"/>
    <cellStyle name="Note 2 4 2 2 2 2 2 2 3" xfId="9441"/>
    <cellStyle name="Note 2 4 2 2 2 2 2 3" xfId="3741"/>
    <cellStyle name="Note 2 4 2 2 2 2 2 3 2" xfId="7161"/>
    <cellStyle name="Note 2 4 2 2 2 2 2 3 2 2" xfId="14001"/>
    <cellStyle name="Note 2 4 2 2 2 2 2 3 3" xfId="10581"/>
    <cellStyle name="Note 2 4 2 2 2 2 2 4" xfId="4881"/>
    <cellStyle name="Note 2 4 2 2 2 2 2 4 2" xfId="11721"/>
    <cellStyle name="Note 2 4 2 2 2 2 2 5" xfId="8301"/>
    <cellStyle name="Note 2 4 2 2 2 2 3" xfId="2487"/>
    <cellStyle name="Note 2 4 2 2 2 2 3 2" xfId="5907"/>
    <cellStyle name="Note 2 4 2 2 2 2 3 2 2" xfId="12747"/>
    <cellStyle name="Note 2 4 2 2 2 2 3 3" xfId="9327"/>
    <cellStyle name="Note 2 4 2 2 2 2 4" xfId="3627"/>
    <cellStyle name="Note 2 4 2 2 2 2 4 2" xfId="7047"/>
    <cellStyle name="Note 2 4 2 2 2 2 4 2 2" xfId="13887"/>
    <cellStyle name="Note 2 4 2 2 2 2 4 3" xfId="10467"/>
    <cellStyle name="Note 2 4 2 2 2 2 5" xfId="4767"/>
    <cellStyle name="Note 2 4 2 2 2 2 5 2" xfId="11607"/>
    <cellStyle name="Note 2 4 2 2 2 2 6" xfId="8187"/>
    <cellStyle name="Note 2 4 2 2 2 3" xfId="38546"/>
    <cellStyle name="Note 2 4 2 2 2 4" xfId="56197"/>
    <cellStyle name="Note 2 4 2 2 2 5" xfId="56198"/>
    <cellStyle name="Note 2 4 2 2 2 6" xfId="56199"/>
    <cellStyle name="Note 2 4 2 2 3" xfId="1299"/>
    <cellStyle name="Note 2 4 2 2 3 2" xfId="979"/>
    <cellStyle name="Note 2 4 2 2 3 2 2" xfId="2653"/>
    <cellStyle name="Note 2 4 2 2 3 2 2 2" xfId="6073"/>
    <cellStyle name="Note 2 4 2 2 3 2 2 2 2" xfId="12913"/>
    <cellStyle name="Note 2 4 2 2 3 2 2 3" xfId="9493"/>
    <cellStyle name="Note 2 4 2 2 3 2 3" xfId="3793"/>
    <cellStyle name="Note 2 4 2 2 3 2 3 2" xfId="7213"/>
    <cellStyle name="Note 2 4 2 2 3 2 3 2 2" xfId="14053"/>
    <cellStyle name="Note 2 4 2 2 3 2 3 3" xfId="10633"/>
    <cellStyle name="Note 2 4 2 2 3 2 4" xfId="4933"/>
    <cellStyle name="Note 2 4 2 2 3 2 4 2" xfId="11773"/>
    <cellStyle name="Note 2 4 2 2 3 2 5" xfId="8353"/>
    <cellStyle name="Note 2 4 2 2 3 3" xfId="2119"/>
    <cellStyle name="Note 2 4 2 2 3 3 2" xfId="5539"/>
    <cellStyle name="Note 2 4 2 2 3 3 2 2" xfId="12379"/>
    <cellStyle name="Note 2 4 2 2 3 3 3" xfId="8959"/>
    <cellStyle name="Note 2 4 2 2 3 4" xfId="3259"/>
    <cellStyle name="Note 2 4 2 2 3 4 2" xfId="6679"/>
    <cellStyle name="Note 2 4 2 2 3 4 2 2" xfId="13519"/>
    <cellStyle name="Note 2 4 2 2 3 4 3" xfId="10099"/>
    <cellStyle name="Note 2 4 2 2 3 5" xfId="4399"/>
    <cellStyle name="Note 2 4 2 2 3 5 2" xfId="11239"/>
    <cellStyle name="Note 2 4 2 2 3 6" xfId="7819"/>
    <cellStyle name="Note 2 4 2 2 4" xfId="38309"/>
    <cellStyle name="Note 2 4 2 2 5" xfId="56200"/>
    <cellStyle name="Note 2 4 2 2 6" xfId="56201"/>
    <cellStyle name="Note 2 4 2 2 7" xfId="56202"/>
    <cellStyle name="Note 2 4 2 2 8" xfId="56203"/>
    <cellStyle name="Note 2 4 2 3" xfId="614"/>
    <cellStyle name="Note 2 4 2 3 2" xfId="1601"/>
    <cellStyle name="Note 2 4 2 3 2 2" xfId="806"/>
    <cellStyle name="Note 2 4 2 3 2 2 2" xfId="2593"/>
    <cellStyle name="Note 2 4 2 3 2 2 2 2" xfId="6013"/>
    <cellStyle name="Note 2 4 2 3 2 2 2 2 2" xfId="12853"/>
    <cellStyle name="Note 2 4 2 3 2 2 2 3" xfId="9433"/>
    <cellStyle name="Note 2 4 2 3 2 2 3" xfId="3733"/>
    <cellStyle name="Note 2 4 2 3 2 2 3 2" xfId="7153"/>
    <cellStyle name="Note 2 4 2 3 2 2 3 2 2" xfId="13993"/>
    <cellStyle name="Note 2 4 2 3 2 2 3 3" xfId="10573"/>
    <cellStyle name="Note 2 4 2 3 2 2 4" xfId="4873"/>
    <cellStyle name="Note 2 4 2 3 2 2 4 2" xfId="11713"/>
    <cellStyle name="Note 2 4 2 3 2 2 5" xfId="8293"/>
    <cellStyle name="Note 2 4 2 3 2 3" xfId="2426"/>
    <cellStyle name="Note 2 4 2 3 2 3 2" xfId="5846"/>
    <cellStyle name="Note 2 4 2 3 2 3 2 2" xfId="12686"/>
    <cellStyle name="Note 2 4 2 3 2 3 3" xfId="9266"/>
    <cellStyle name="Note 2 4 2 3 2 4" xfId="3566"/>
    <cellStyle name="Note 2 4 2 3 2 4 2" xfId="6986"/>
    <cellStyle name="Note 2 4 2 3 2 4 2 2" xfId="13826"/>
    <cellStyle name="Note 2 4 2 3 2 4 3" xfId="10406"/>
    <cellStyle name="Note 2 4 2 3 2 5" xfId="4706"/>
    <cellStyle name="Note 2 4 2 3 2 5 2" xfId="11546"/>
    <cellStyle name="Note 2 4 2 3 2 6" xfId="8126"/>
    <cellStyle name="Note 2 4 2 3 3" xfId="38495"/>
    <cellStyle name="Note 2 4 2 3 4" xfId="56204"/>
    <cellStyle name="Note 2 4 2 3 5" xfId="56205"/>
    <cellStyle name="Note 2 4 2 3 6" xfId="56206"/>
    <cellStyle name="Note 2 4 2 4" xfId="1175"/>
    <cellStyle name="Note 2 4 2 4 2" xfId="1040"/>
    <cellStyle name="Note 2 4 2 4 2 2" xfId="2673"/>
    <cellStyle name="Note 2 4 2 4 2 2 2" xfId="6093"/>
    <cellStyle name="Note 2 4 2 4 2 2 2 2" xfId="12933"/>
    <cellStyle name="Note 2 4 2 4 2 2 3" xfId="9513"/>
    <cellStyle name="Note 2 4 2 4 2 3" xfId="3813"/>
    <cellStyle name="Note 2 4 2 4 2 3 2" xfId="7233"/>
    <cellStyle name="Note 2 4 2 4 2 3 2 2" xfId="14073"/>
    <cellStyle name="Note 2 4 2 4 2 3 3" xfId="10653"/>
    <cellStyle name="Note 2 4 2 4 2 4" xfId="4953"/>
    <cellStyle name="Note 2 4 2 4 2 4 2" xfId="11793"/>
    <cellStyle name="Note 2 4 2 4 2 5" xfId="8373"/>
    <cellStyle name="Note 2 4 2 4 3" xfId="1994"/>
    <cellStyle name="Note 2 4 2 4 3 2" xfId="5414"/>
    <cellStyle name="Note 2 4 2 4 3 2 2" xfId="12254"/>
    <cellStyle name="Note 2 4 2 4 3 3" xfId="8834"/>
    <cellStyle name="Note 2 4 2 4 4" xfId="3134"/>
    <cellStyle name="Note 2 4 2 4 4 2" xfId="6554"/>
    <cellStyle name="Note 2 4 2 4 4 2 2" xfId="13394"/>
    <cellStyle name="Note 2 4 2 4 4 3" xfId="9974"/>
    <cellStyle name="Note 2 4 2 4 5" xfId="4274"/>
    <cellStyle name="Note 2 4 2 4 5 2" xfId="11114"/>
    <cellStyle name="Note 2 4 2 4 6" xfId="7694"/>
    <cellStyle name="Note 2 4 2 5" xfId="23962"/>
    <cellStyle name="Note 2 4 2 6" xfId="31259"/>
    <cellStyle name="Note 2 4 2 7" xfId="56207"/>
    <cellStyle name="Note 2 4 2 8" xfId="56208"/>
    <cellStyle name="Note 2 4 2 9" xfId="56209"/>
    <cellStyle name="Note 2 4 3" xfId="333"/>
    <cellStyle name="Note 2 4 3 2" xfId="374"/>
    <cellStyle name="Note 2 4 3 2 2" xfId="1379"/>
    <cellStyle name="Note 2 4 3 2 2 2" xfId="919"/>
    <cellStyle name="Note 2 4 3 2 2 2 2" xfId="2654"/>
    <cellStyle name="Note 2 4 3 2 2 2 2 2" xfId="6074"/>
    <cellStyle name="Note 2 4 3 2 2 2 2 2 2" xfId="12914"/>
    <cellStyle name="Note 2 4 3 2 2 2 2 3" xfId="9494"/>
    <cellStyle name="Note 2 4 3 2 2 2 3" xfId="3794"/>
    <cellStyle name="Note 2 4 3 2 2 2 3 2" xfId="7214"/>
    <cellStyle name="Note 2 4 3 2 2 2 3 2 2" xfId="14054"/>
    <cellStyle name="Note 2 4 3 2 2 2 3 3" xfId="10634"/>
    <cellStyle name="Note 2 4 3 2 2 2 4" xfId="4934"/>
    <cellStyle name="Note 2 4 3 2 2 2 4 2" xfId="11774"/>
    <cellStyle name="Note 2 4 3 2 2 2 5" xfId="8354"/>
    <cellStyle name="Note 2 4 3 2 2 3" xfId="2200"/>
    <cellStyle name="Note 2 4 3 2 2 3 2" xfId="5620"/>
    <cellStyle name="Note 2 4 3 2 2 3 2 2" xfId="12460"/>
    <cellStyle name="Note 2 4 3 2 2 3 3" xfId="9040"/>
    <cellStyle name="Note 2 4 3 2 2 4" xfId="3340"/>
    <cellStyle name="Note 2 4 3 2 2 4 2" xfId="6760"/>
    <cellStyle name="Note 2 4 3 2 2 4 2 2" xfId="13600"/>
    <cellStyle name="Note 2 4 3 2 2 4 3" xfId="10180"/>
    <cellStyle name="Note 2 4 3 2 2 5" xfId="4480"/>
    <cellStyle name="Note 2 4 3 2 2 5 2" xfId="11320"/>
    <cellStyle name="Note 2 4 3 2 2 6" xfId="7900"/>
    <cellStyle name="Note 2 4 3 2 3" xfId="38357"/>
    <cellStyle name="Note 2 4 3 2 4" xfId="56210"/>
    <cellStyle name="Note 2 4 3 2 5" xfId="56211"/>
    <cellStyle name="Note 2 4 3 2 6" xfId="56212"/>
    <cellStyle name="Note 2 4 3 2 7" xfId="56213"/>
    <cellStyle name="Note 2 4 3 3" xfId="1338"/>
    <cellStyle name="Note 2 4 3 3 2" xfId="954"/>
    <cellStyle name="Note 2 4 3 3 2 2" xfId="2771"/>
    <cellStyle name="Note 2 4 3 3 2 2 2" xfId="6191"/>
    <cellStyle name="Note 2 4 3 3 2 2 2 2" xfId="13031"/>
    <cellStyle name="Note 2 4 3 3 2 2 3" xfId="9611"/>
    <cellStyle name="Note 2 4 3 3 2 3" xfId="3911"/>
    <cellStyle name="Note 2 4 3 3 2 3 2" xfId="7331"/>
    <cellStyle name="Note 2 4 3 3 2 3 2 2" xfId="14171"/>
    <cellStyle name="Note 2 4 3 3 2 3 3" xfId="10751"/>
    <cellStyle name="Note 2 4 3 3 2 4" xfId="5051"/>
    <cellStyle name="Note 2 4 3 3 2 4 2" xfId="11891"/>
    <cellStyle name="Note 2 4 3 3 2 5" xfId="8471"/>
    <cellStyle name="Note 2 4 3 3 3" xfId="2159"/>
    <cellStyle name="Note 2 4 3 3 3 2" xfId="5579"/>
    <cellStyle name="Note 2 4 3 3 3 2 2" xfId="12419"/>
    <cellStyle name="Note 2 4 3 3 3 3" xfId="8999"/>
    <cellStyle name="Note 2 4 3 3 4" xfId="3299"/>
    <cellStyle name="Note 2 4 3 3 4 2" xfId="6719"/>
    <cellStyle name="Note 2 4 3 3 4 2 2" xfId="13559"/>
    <cellStyle name="Note 2 4 3 3 4 3" xfId="10139"/>
    <cellStyle name="Note 2 4 3 3 5" xfId="4439"/>
    <cellStyle name="Note 2 4 3 3 5 2" xfId="11279"/>
    <cellStyle name="Note 2 4 3 3 6" xfId="7859"/>
    <cellStyle name="Note 2 4 3 4" xfId="24933"/>
    <cellStyle name="Note 2 4 3 5" xfId="32192"/>
    <cellStyle name="Note 2 4 3 6" xfId="56214"/>
    <cellStyle name="Note 2 4 3 7" xfId="56215"/>
    <cellStyle name="Note 2 4 3 8" xfId="56216"/>
    <cellStyle name="Note 2 4 4" xfId="240"/>
    <cellStyle name="Note 2 4 4 2" xfId="549"/>
    <cellStyle name="Note 2 4 4 2 2" xfId="1553"/>
    <cellStyle name="Note 2 4 4 2 2 2" xfId="834"/>
    <cellStyle name="Note 2 4 4 2 2 2 2" xfId="2665"/>
    <cellStyle name="Note 2 4 4 2 2 2 2 2" xfId="6085"/>
    <cellStyle name="Note 2 4 4 2 2 2 2 2 2" xfId="12925"/>
    <cellStyle name="Note 2 4 4 2 2 2 2 3" xfId="9505"/>
    <cellStyle name="Note 2 4 4 2 2 2 3" xfId="3805"/>
    <cellStyle name="Note 2 4 4 2 2 2 3 2" xfId="7225"/>
    <cellStyle name="Note 2 4 4 2 2 2 3 2 2" xfId="14065"/>
    <cellStyle name="Note 2 4 4 2 2 2 3 3" xfId="10645"/>
    <cellStyle name="Note 2 4 4 2 2 2 4" xfId="4945"/>
    <cellStyle name="Note 2 4 4 2 2 2 4 2" xfId="11785"/>
    <cellStyle name="Note 2 4 4 2 2 2 5" xfId="8365"/>
    <cellStyle name="Note 2 4 4 2 2 3" xfId="2374"/>
    <cellStyle name="Note 2 4 4 2 2 3 2" xfId="5794"/>
    <cellStyle name="Note 2 4 4 2 2 3 2 2" xfId="12634"/>
    <cellStyle name="Note 2 4 4 2 2 3 3" xfId="9214"/>
    <cellStyle name="Note 2 4 4 2 2 4" xfId="3514"/>
    <cellStyle name="Note 2 4 4 2 2 4 2" xfId="6934"/>
    <cellStyle name="Note 2 4 4 2 2 4 2 2" xfId="13774"/>
    <cellStyle name="Note 2 4 4 2 2 4 3" xfId="10354"/>
    <cellStyle name="Note 2 4 4 2 2 5" xfId="4654"/>
    <cellStyle name="Note 2 4 4 2 2 5 2" xfId="11494"/>
    <cellStyle name="Note 2 4 4 2 2 6" xfId="8074"/>
    <cellStyle name="Note 2 4 4 2 3" xfId="38463"/>
    <cellStyle name="Note 2 4 4 2 4" xfId="56217"/>
    <cellStyle name="Note 2 4 4 2 5" xfId="56218"/>
    <cellStyle name="Note 2 4 4 2 6" xfId="56219"/>
    <cellStyle name="Note 2 4 4 2 7" xfId="56220"/>
    <cellStyle name="Note 2 4 4 3" xfId="1247"/>
    <cellStyle name="Note 2 4 4 3 2" xfId="1004"/>
    <cellStyle name="Note 2 4 4 3 2 2" xfId="2520"/>
    <cellStyle name="Note 2 4 4 3 2 2 2" xfId="5940"/>
    <cellStyle name="Note 2 4 4 3 2 2 2 2" xfId="12780"/>
    <cellStyle name="Note 2 4 4 3 2 2 3" xfId="9360"/>
    <cellStyle name="Note 2 4 4 3 2 3" xfId="3660"/>
    <cellStyle name="Note 2 4 4 3 2 3 2" xfId="7080"/>
    <cellStyle name="Note 2 4 4 3 2 3 2 2" xfId="13920"/>
    <cellStyle name="Note 2 4 4 3 2 3 3" xfId="10500"/>
    <cellStyle name="Note 2 4 4 3 2 4" xfId="4800"/>
    <cellStyle name="Note 2 4 4 3 2 4 2" xfId="11640"/>
    <cellStyle name="Note 2 4 4 3 2 5" xfId="8220"/>
    <cellStyle name="Note 2 4 4 3 3" xfId="2067"/>
    <cellStyle name="Note 2 4 4 3 3 2" xfId="5487"/>
    <cellStyle name="Note 2 4 4 3 3 2 2" xfId="12327"/>
    <cellStyle name="Note 2 4 4 3 3 3" xfId="8907"/>
    <cellStyle name="Note 2 4 4 3 4" xfId="3207"/>
    <cellStyle name="Note 2 4 4 3 4 2" xfId="6627"/>
    <cellStyle name="Note 2 4 4 3 4 2 2" xfId="13467"/>
    <cellStyle name="Note 2 4 4 3 4 3" xfId="10047"/>
    <cellStyle name="Note 2 4 4 3 5" xfId="4347"/>
    <cellStyle name="Note 2 4 4 3 5 2" xfId="11187"/>
    <cellStyle name="Note 2 4 4 3 6" xfId="7767"/>
    <cellStyle name="Note 2 4 4 4" xfId="25959"/>
    <cellStyle name="Note 2 4 4 5" xfId="33169"/>
    <cellStyle name="Note 2 4 4 6" xfId="56221"/>
    <cellStyle name="Note 2 4 4 7" xfId="56222"/>
    <cellStyle name="Note 2 4 4 8" xfId="56223"/>
    <cellStyle name="Note 2 4 5" xfId="498"/>
    <cellStyle name="Note 2 4 5 2" xfId="460"/>
    <cellStyle name="Note 2 4 5 2 2" xfId="1464"/>
    <cellStyle name="Note 2 4 5 2 2 2" xfId="877"/>
    <cellStyle name="Note 2 4 5 2 2 2 2" xfId="2752"/>
    <cellStyle name="Note 2 4 5 2 2 2 2 2" xfId="6172"/>
    <cellStyle name="Note 2 4 5 2 2 2 2 2 2" xfId="13012"/>
    <cellStyle name="Note 2 4 5 2 2 2 2 3" xfId="9592"/>
    <cellStyle name="Note 2 4 5 2 2 2 3" xfId="3892"/>
    <cellStyle name="Note 2 4 5 2 2 2 3 2" xfId="7312"/>
    <cellStyle name="Note 2 4 5 2 2 2 3 2 2" xfId="14152"/>
    <cellStyle name="Note 2 4 5 2 2 2 3 3" xfId="10732"/>
    <cellStyle name="Note 2 4 5 2 2 2 4" xfId="5032"/>
    <cellStyle name="Note 2 4 5 2 2 2 4 2" xfId="11872"/>
    <cellStyle name="Note 2 4 5 2 2 2 5" xfId="8452"/>
    <cellStyle name="Note 2 4 5 2 2 3" xfId="2285"/>
    <cellStyle name="Note 2 4 5 2 2 3 2" xfId="5705"/>
    <cellStyle name="Note 2 4 5 2 2 3 2 2" xfId="12545"/>
    <cellStyle name="Note 2 4 5 2 2 3 3" xfId="9125"/>
    <cellStyle name="Note 2 4 5 2 2 4" xfId="3425"/>
    <cellStyle name="Note 2 4 5 2 2 4 2" xfId="6845"/>
    <cellStyle name="Note 2 4 5 2 2 4 2 2" xfId="13685"/>
    <cellStyle name="Note 2 4 5 2 2 4 3" xfId="10265"/>
    <cellStyle name="Note 2 4 5 2 2 5" xfId="4565"/>
    <cellStyle name="Note 2 4 5 2 2 5 2" xfId="11405"/>
    <cellStyle name="Note 2 4 5 2 2 6" xfId="7985"/>
    <cellStyle name="Note 2 4 5 2 3" xfId="38417"/>
    <cellStyle name="Note 2 4 5 2 4" xfId="56224"/>
    <cellStyle name="Note 2 4 5 2 5" xfId="56225"/>
    <cellStyle name="Note 2 4 5 2 6" xfId="56226"/>
    <cellStyle name="Note 2 4 5 2 7" xfId="56227"/>
    <cellStyle name="Note 2 4 5 3" xfId="1502"/>
    <cellStyle name="Note 2 4 5 3 2" xfId="1748"/>
    <cellStyle name="Note 2 4 5 3 2 2" xfId="2888"/>
    <cellStyle name="Note 2 4 5 3 2 2 2" xfId="6308"/>
    <cellStyle name="Note 2 4 5 3 2 2 2 2" xfId="13148"/>
    <cellStyle name="Note 2 4 5 3 2 2 3" xfId="9728"/>
    <cellStyle name="Note 2 4 5 3 2 3" xfId="4028"/>
    <cellStyle name="Note 2 4 5 3 2 3 2" xfId="7448"/>
    <cellStyle name="Note 2 4 5 3 2 3 2 2" xfId="14288"/>
    <cellStyle name="Note 2 4 5 3 2 3 3" xfId="10868"/>
    <cellStyle name="Note 2 4 5 3 2 4" xfId="5168"/>
    <cellStyle name="Note 2 4 5 3 2 4 2" xfId="12008"/>
    <cellStyle name="Note 2 4 5 3 2 5" xfId="8588"/>
    <cellStyle name="Note 2 4 5 3 3" xfId="2323"/>
    <cellStyle name="Note 2 4 5 3 3 2" xfId="5743"/>
    <cellStyle name="Note 2 4 5 3 3 2 2" xfId="12583"/>
    <cellStyle name="Note 2 4 5 3 3 3" xfId="9163"/>
    <cellStyle name="Note 2 4 5 3 4" xfId="3463"/>
    <cellStyle name="Note 2 4 5 3 4 2" xfId="6883"/>
    <cellStyle name="Note 2 4 5 3 4 2 2" xfId="13723"/>
    <cellStyle name="Note 2 4 5 3 4 3" xfId="10303"/>
    <cellStyle name="Note 2 4 5 3 5" xfId="4603"/>
    <cellStyle name="Note 2 4 5 3 5 2" xfId="11443"/>
    <cellStyle name="Note 2 4 5 3 6" xfId="8023"/>
    <cellStyle name="Note 2 4 5 4" xfId="26938"/>
    <cellStyle name="Note 2 4 5 5" xfId="34106"/>
    <cellStyle name="Note 2 4 5 6" xfId="56228"/>
    <cellStyle name="Note 2 4 5 7" xfId="56229"/>
    <cellStyle name="Note 2 4 5 8" xfId="56230"/>
    <cellStyle name="Note 2 4 6" xfId="518"/>
    <cellStyle name="Note 2 4 6 2" xfId="401"/>
    <cellStyle name="Note 2 4 6 2 2" xfId="1406"/>
    <cellStyle name="Note 2 4 6 2 2 2" xfId="906"/>
    <cellStyle name="Note 2 4 6 2 2 2 2" xfId="2712"/>
    <cellStyle name="Note 2 4 6 2 2 2 2 2" xfId="6132"/>
    <cellStyle name="Note 2 4 6 2 2 2 2 2 2" xfId="12972"/>
    <cellStyle name="Note 2 4 6 2 2 2 2 3" xfId="9552"/>
    <cellStyle name="Note 2 4 6 2 2 2 3" xfId="3852"/>
    <cellStyle name="Note 2 4 6 2 2 2 3 2" xfId="7272"/>
    <cellStyle name="Note 2 4 6 2 2 2 3 2 2" xfId="14112"/>
    <cellStyle name="Note 2 4 6 2 2 2 3 3" xfId="10692"/>
    <cellStyle name="Note 2 4 6 2 2 2 4" xfId="4992"/>
    <cellStyle name="Note 2 4 6 2 2 2 4 2" xfId="11832"/>
    <cellStyle name="Note 2 4 6 2 2 2 5" xfId="8412"/>
    <cellStyle name="Note 2 4 6 2 2 3" xfId="2227"/>
    <cellStyle name="Note 2 4 6 2 2 3 2" xfId="5647"/>
    <cellStyle name="Note 2 4 6 2 2 3 2 2" xfId="12487"/>
    <cellStyle name="Note 2 4 6 2 2 3 3" xfId="9067"/>
    <cellStyle name="Note 2 4 6 2 2 4" xfId="3367"/>
    <cellStyle name="Note 2 4 6 2 2 4 2" xfId="6787"/>
    <cellStyle name="Note 2 4 6 2 2 4 2 2" xfId="13627"/>
    <cellStyle name="Note 2 4 6 2 2 4 3" xfId="10207"/>
    <cellStyle name="Note 2 4 6 2 2 5" xfId="4507"/>
    <cellStyle name="Note 2 4 6 2 2 5 2" xfId="11347"/>
    <cellStyle name="Note 2 4 6 2 2 6" xfId="7927"/>
    <cellStyle name="Note 2 4 6 2 3" xfId="38379"/>
    <cellStyle name="Note 2 4 6 2 4" xfId="56231"/>
    <cellStyle name="Note 2 4 6 2 5" xfId="56232"/>
    <cellStyle name="Note 2 4 6 2 6" xfId="56233"/>
    <cellStyle name="Note 2 4 6 2 7" xfId="56234"/>
    <cellStyle name="Note 2 4 6 3" xfId="1522"/>
    <cellStyle name="Note 2 4 6 3 2" xfId="1705"/>
    <cellStyle name="Note 2 4 6 3 2 2" xfId="2845"/>
    <cellStyle name="Note 2 4 6 3 2 2 2" xfId="6265"/>
    <cellStyle name="Note 2 4 6 3 2 2 2 2" xfId="13105"/>
    <cellStyle name="Note 2 4 6 3 2 2 3" xfId="9685"/>
    <cellStyle name="Note 2 4 6 3 2 3" xfId="3985"/>
    <cellStyle name="Note 2 4 6 3 2 3 2" xfId="7405"/>
    <cellStyle name="Note 2 4 6 3 2 3 2 2" xfId="14245"/>
    <cellStyle name="Note 2 4 6 3 2 3 3" xfId="10825"/>
    <cellStyle name="Note 2 4 6 3 2 4" xfId="5125"/>
    <cellStyle name="Note 2 4 6 3 2 4 2" xfId="11965"/>
    <cellStyle name="Note 2 4 6 3 2 5" xfId="8545"/>
    <cellStyle name="Note 2 4 6 3 3" xfId="2343"/>
    <cellStyle name="Note 2 4 6 3 3 2" xfId="5763"/>
    <cellStyle name="Note 2 4 6 3 3 2 2" xfId="12603"/>
    <cellStyle name="Note 2 4 6 3 3 3" xfId="9183"/>
    <cellStyle name="Note 2 4 6 3 4" xfId="3483"/>
    <cellStyle name="Note 2 4 6 3 4 2" xfId="6903"/>
    <cellStyle name="Note 2 4 6 3 4 2 2" xfId="13743"/>
    <cellStyle name="Note 2 4 6 3 4 3" xfId="10323"/>
    <cellStyle name="Note 2 4 6 3 5" xfId="4623"/>
    <cellStyle name="Note 2 4 6 3 5 2" xfId="11463"/>
    <cellStyle name="Note 2 4 6 3 6" xfId="8043"/>
    <cellStyle name="Note 2 4 6 4" xfId="27907"/>
    <cellStyle name="Note 2 4 6 5" xfId="35052"/>
    <cellStyle name="Note 2 4 6 6" xfId="56235"/>
    <cellStyle name="Note 2 4 6 7" xfId="56236"/>
    <cellStyle name="Note 2 4 6 8" xfId="56237"/>
    <cellStyle name="Note 2 4 7" xfId="1124"/>
    <cellStyle name="Note 2 4 7 2" xfId="1693"/>
    <cellStyle name="Note 2 4 7 2 2" xfId="2833"/>
    <cellStyle name="Note 2 4 7 2 2 2" xfId="6253"/>
    <cellStyle name="Note 2 4 7 2 2 2 2" xfId="13093"/>
    <cellStyle name="Note 2 4 7 2 2 3" xfId="9673"/>
    <cellStyle name="Note 2 4 7 2 3" xfId="3973"/>
    <cellStyle name="Note 2 4 7 2 3 2" xfId="7393"/>
    <cellStyle name="Note 2 4 7 2 3 2 2" xfId="14233"/>
    <cellStyle name="Note 2 4 7 2 3 3" xfId="10813"/>
    <cellStyle name="Note 2 4 7 2 4" xfId="5113"/>
    <cellStyle name="Note 2 4 7 2 4 2" xfId="11953"/>
    <cellStyle name="Note 2 4 7 2 5" xfId="8533"/>
    <cellStyle name="Note 2 4 7 3" xfId="1938"/>
    <cellStyle name="Note 2 4 7 3 2" xfId="5358"/>
    <cellStyle name="Note 2 4 7 3 2 2" xfId="12198"/>
    <cellStyle name="Note 2 4 7 3 3" xfId="8778"/>
    <cellStyle name="Note 2 4 7 4" xfId="3078"/>
    <cellStyle name="Note 2 4 7 4 2" xfId="6498"/>
    <cellStyle name="Note 2 4 7 4 2 2" xfId="13338"/>
    <cellStyle name="Note 2 4 7 4 3" xfId="9918"/>
    <cellStyle name="Note 2 4 7 5" xfId="4218"/>
    <cellStyle name="Note 2 4 7 5 2" xfId="11058"/>
    <cellStyle name="Note 2 4 7 6" xfId="7638"/>
    <cellStyle name="Note 2 4 7 7" xfId="28866"/>
    <cellStyle name="Note 2 4 7 8" xfId="35969"/>
    <cellStyle name="Note 2 4 8" xfId="21264"/>
    <cellStyle name="Note 2 4 8 2" xfId="29572"/>
    <cellStyle name="Note 2 4 8 2 2" xfId="56238"/>
    <cellStyle name="Note 2 4 8 2 3" xfId="56239"/>
    <cellStyle name="Note 2 4 8 3" xfId="36639"/>
    <cellStyle name="Note 2 4 8 4" xfId="56240"/>
    <cellStyle name="Note 2 4 9" xfId="21980"/>
    <cellStyle name="Note 2 4 9 2" xfId="30280"/>
    <cellStyle name="Note 2 4 9 2 2" xfId="56241"/>
    <cellStyle name="Note 2 4 9 2 3" xfId="56242"/>
    <cellStyle name="Note 2 4 9 3" xfId="37320"/>
    <cellStyle name="Note 2 4 9 4" xfId="56243"/>
    <cellStyle name="Note 2 5" xfId="113"/>
    <cellStyle name="Note 2 5 10" xfId="22951"/>
    <cellStyle name="Note 2 5 11" xfId="56244"/>
    <cellStyle name="Note 2 5 12" xfId="56245"/>
    <cellStyle name="Note 2 5 13" xfId="56246"/>
    <cellStyle name="Note 2 5 14" xfId="56247"/>
    <cellStyle name="Note 2 5 2" xfId="172"/>
    <cellStyle name="Note 2 5 2 2" xfId="298"/>
    <cellStyle name="Note 2 5 2 2 2" xfId="707"/>
    <cellStyle name="Note 2 5 2 2 2 2" xfId="1658"/>
    <cellStyle name="Note 2 5 2 2 2 2 2" xfId="749"/>
    <cellStyle name="Note 2 5 2 2 2 2 2 2" xfId="2499"/>
    <cellStyle name="Note 2 5 2 2 2 2 2 2 2" xfId="5919"/>
    <cellStyle name="Note 2 5 2 2 2 2 2 2 2 2" xfId="12759"/>
    <cellStyle name="Note 2 5 2 2 2 2 2 2 3" xfId="9339"/>
    <cellStyle name="Note 2 5 2 2 2 2 2 3" xfId="3639"/>
    <cellStyle name="Note 2 5 2 2 2 2 2 3 2" xfId="7059"/>
    <cellStyle name="Note 2 5 2 2 2 2 2 3 2 2" xfId="13899"/>
    <cellStyle name="Note 2 5 2 2 2 2 2 3 3" xfId="10479"/>
    <cellStyle name="Note 2 5 2 2 2 2 2 4" xfId="4779"/>
    <cellStyle name="Note 2 5 2 2 2 2 2 4 2" xfId="11619"/>
    <cellStyle name="Note 2 5 2 2 2 2 2 5" xfId="8199"/>
    <cellStyle name="Note 2 5 2 2 2 2 3" xfId="2492"/>
    <cellStyle name="Note 2 5 2 2 2 2 3 2" xfId="5912"/>
    <cellStyle name="Note 2 5 2 2 2 2 3 2 2" xfId="12752"/>
    <cellStyle name="Note 2 5 2 2 2 2 3 3" xfId="9332"/>
    <cellStyle name="Note 2 5 2 2 2 2 4" xfId="3632"/>
    <cellStyle name="Note 2 5 2 2 2 2 4 2" xfId="7052"/>
    <cellStyle name="Note 2 5 2 2 2 2 4 2 2" xfId="13892"/>
    <cellStyle name="Note 2 5 2 2 2 2 4 3" xfId="10472"/>
    <cellStyle name="Note 2 5 2 2 2 2 5" xfId="4772"/>
    <cellStyle name="Note 2 5 2 2 2 2 5 2" xfId="11612"/>
    <cellStyle name="Note 2 5 2 2 2 2 6" xfId="8192"/>
    <cellStyle name="Note 2 5 2 2 2 3" xfId="38551"/>
    <cellStyle name="Note 2 5 2 2 2 4" xfId="56248"/>
    <cellStyle name="Note 2 5 2 2 2 5" xfId="56249"/>
    <cellStyle name="Note 2 5 2 2 2 6" xfId="56250"/>
    <cellStyle name="Note 2 5 2 2 3" xfId="1304"/>
    <cellStyle name="Note 2 5 2 2 3 2" xfId="1839"/>
    <cellStyle name="Note 2 5 2 2 3 2 2" xfId="2979"/>
    <cellStyle name="Note 2 5 2 2 3 2 2 2" xfId="6399"/>
    <cellStyle name="Note 2 5 2 2 3 2 2 2 2" xfId="13239"/>
    <cellStyle name="Note 2 5 2 2 3 2 2 3" xfId="9819"/>
    <cellStyle name="Note 2 5 2 2 3 2 3" xfId="4119"/>
    <cellStyle name="Note 2 5 2 2 3 2 3 2" xfId="7539"/>
    <cellStyle name="Note 2 5 2 2 3 2 3 2 2" xfId="14379"/>
    <cellStyle name="Note 2 5 2 2 3 2 3 3" xfId="10959"/>
    <cellStyle name="Note 2 5 2 2 3 2 4" xfId="5259"/>
    <cellStyle name="Note 2 5 2 2 3 2 4 2" xfId="12099"/>
    <cellStyle name="Note 2 5 2 2 3 2 5" xfId="8679"/>
    <cellStyle name="Note 2 5 2 2 3 3" xfId="2124"/>
    <cellStyle name="Note 2 5 2 2 3 3 2" xfId="5544"/>
    <cellStyle name="Note 2 5 2 2 3 3 2 2" xfId="12384"/>
    <cellStyle name="Note 2 5 2 2 3 3 3" xfId="8964"/>
    <cellStyle name="Note 2 5 2 2 3 4" xfId="3264"/>
    <cellStyle name="Note 2 5 2 2 3 4 2" xfId="6684"/>
    <cellStyle name="Note 2 5 2 2 3 4 2 2" xfId="13524"/>
    <cellStyle name="Note 2 5 2 2 3 4 3" xfId="10104"/>
    <cellStyle name="Note 2 5 2 2 3 5" xfId="4404"/>
    <cellStyle name="Note 2 5 2 2 3 5 2" xfId="11244"/>
    <cellStyle name="Note 2 5 2 2 3 6" xfId="7824"/>
    <cellStyle name="Note 2 5 2 2 4" xfId="38314"/>
    <cellStyle name="Note 2 5 2 2 5" xfId="56251"/>
    <cellStyle name="Note 2 5 2 2 6" xfId="56252"/>
    <cellStyle name="Note 2 5 2 2 7" xfId="56253"/>
    <cellStyle name="Note 2 5 2 2 8" xfId="56254"/>
    <cellStyle name="Note 2 5 2 3" xfId="619"/>
    <cellStyle name="Note 2 5 2 3 2" xfId="1606"/>
    <cellStyle name="Note 2 5 2 3 2 2" xfId="801"/>
    <cellStyle name="Note 2 5 2 3 2 2 2" xfId="2783"/>
    <cellStyle name="Note 2 5 2 3 2 2 2 2" xfId="6203"/>
    <cellStyle name="Note 2 5 2 3 2 2 2 2 2" xfId="13043"/>
    <cellStyle name="Note 2 5 2 3 2 2 2 3" xfId="9623"/>
    <cellStyle name="Note 2 5 2 3 2 2 3" xfId="3923"/>
    <cellStyle name="Note 2 5 2 3 2 2 3 2" xfId="7343"/>
    <cellStyle name="Note 2 5 2 3 2 2 3 2 2" xfId="14183"/>
    <cellStyle name="Note 2 5 2 3 2 2 3 3" xfId="10763"/>
    <cellStyle name="Note 2 5 2 3 2 2 4" xfId="5063"/>
    <cellStyle name="Note 2 5 2 3 2 2 4 2" xfId="11903"/>
    <cellStyle name="Note 2 5 2 3 2 2 5" xfId="8483"/>
    <cellStyle name="Note 2 5 2 3 2 3" xfId="2431"/>
    <cellStyle name="Note 2 5 2 3 2 3 2" xfId="5851"/>
    <cellStyle name="Note 2 5 2 3 2 3 2 2" xfId="12691"/>
    <cellStyle name="Note 2 5 2 3 2 3 3" xfId="9271"/>
    <cellStyle name="Note 2 5 2 3 2 4" xfId="3571"/>
    <cellStyle name="Note 2 5 2 3 2 4 2" xfId="6991"/>
    <cellStyle name="Note 2 5 2 3 2 4 2 2" xfId="13831"/>
    <cellStyle name="Note 2 5 2 3 2 4 3" xfId="10411"/>
    <cellStyle name="Note 2 5 2 3 2 5" xfId="4711"/>
    <cellStyle name="Note 2 5 2 3 2 5 2" xfId="11551"/>
    <cellStyle name="Note 2 5 2 3 2 6" xfId="8131"/>
    <cellStyle name="Note 2 5 2 3 3" xfId="38500"/>
    <cellStyle name="Note 2 5 2 3 4" xfId="56255"/>
    <cellStyle name="Note 2 5 2 3 5" xfId="56256"/>
    <cellStyle name="Note 2 5 2 3 6" xfId="56257"/>
    <cellStyle name="Note 2 5 2 4" xfId="1180"/>
    <cellStyle name="Note 2 5 2 4 2" xfId="1872"/>
    <cellStyle name="Note 2 5 2 4 2 2" xfId="3012"/>
    <cellStyle name="Note 2 5 2 4 2 2 2" xfId="6432"/>
    <cellStyle name="Note 2 5 2 4 2 2 2 2" xfId="13272"/>
    <cellStyle name="Note 2 5 2 4 2 2 3" xfId="9852"/>
    <cellStyle name="Note 2 5 2 4 2 3" xfId="4152"/>
    <cellStyle name="Note 2 5 2 4 2 3 2" xfId="7572"/>
    <cellStyle name="Note 2 5 2 4 2 3 2 2" xfId="14412"/>
    <cellStyle name="Note 2 5 2 4 2 3 3" xfId="10992"/>
    <cellStyle name="Note 2 5 2 4 2 4" xfId="5292"/>
    <cellStyle name="Note 2 5 2 4 2 4 2" xfId="12132"/>
    <cellStyle name="Note 2 5 2 4 2 5" xfId="8712"/>
    <cellStyle name="Note 2 5 2 4 3" xfId="1999"/>
    <cellStyle name="Note 2 5 2 4 3 2" xfId="5419"/>
    <cellStyle name="Note 2 5 2 4 3 2 2" xfId="12259"/>
    <cellStyle name="Note 2 5 2 4 3 3" xfId="8839"/>
    <cellStyle name="Note 2 5 2 4 4" xfId="3139"/>
    <cellStyle name="Note 2 5 2 4 4 2" xfId="6559"/>
    <cellStyle name="Note 2 5 2 4 4 2 2" xfId="13399"/>
    <cellStyle name="Note 2 5 2 4 4 3" xfId="9979"/>
    <cellStyle name="Note 2 5 2 4 5" xfId="4279"/>
    <cellStyle name="Note 2 5 2 4 5 2" xfId="11119"/>
    <cellStyle name="Note 2 5 2 4 6" xfId="7699"/>
    <cellStyle name="Note 2 5 2 5" xfId="23986"/>
    <cellStyle name="Note 2 5 2 6" xfId="31282"/>
    <cellStyle name="Note 2 5 2 7" xfId="56258"/>
    <cellStyle name="Note 2 5 2 8" xfId="56259"/>
    <cellStyle name="Note 2 5 2 9" xfId="56260"/>
    <cellStyle name="Note 2 5 3" xfId="338"/>
    <cellStyle name="Note 2 5 3 2" xfId="469"/>
    <cellStyle name="Note 2 5 3 2 2" xfId="1473"/>
    <cellStyle name="Note 2 5 3 2 2 2" xfId="872"/>
    <cellStyle name="Note 2 5 3 2 2 2 2" xfId="2762"/>
    <cellStyle name="Note 2 5 3 2 2 2 2 2" xfId="6182"/>
    <cellStyle name="Note 2 5 3 2 2 2 2 2 2" xfId="13022"/>
    <cellStyle name="Note 2 5 3 2 2 2 2 3" xfId="9602"/>
    <cellStyle name="Note 2 5 3 2 2 2 3" xfId="3902"/>
    <cellStyle name="Note 2 5 3 2 2 2 3 2" xfId="7322"/>
    <cellStyle name="Note 2 5 3 2 2 2 3 2 2" xfId="14162"/>
    <cellStyle name="Note 2 5 3 2 2 2 3 3" xfId="10742"/>
    <cellStyle name="Note 2 5 3 2 2 2 4" xfId="5042"/>
    <cellStyle name="Note 2 5 3 2 2 2 4 2" xfId="11882"/>
    <cellStyle name="Note 2 5 3 2 2 2 5" xfId="8462"/>
    <cellStyle name="Note 2 5 3 2 2 3" xfId="2294"/>
    <cellStyle name="Note 2 5 3 2 2 3 2" xfId="5714"/>
    <cellStyle name="Note 2 5 3 2 2 3 2 2" xfId="12554"/>
    <cellStyle name="Note 2 5 3 2 2 3 3" xfId="9134"/>
    <cellStyle name="Note 2 5 3 2 2 4" xfId="3434"/>
    <cellStyle name="Note 2 5 3 2 2 4 2" xfId="6854"/>
    <cellStyle name="Note 2 5 3 2 2 4 2 2" xfId="13694"/>
    <cellStyle name="Note 2 5 3 2 2 4 3" xfId="10274"/>
    <cellStyle name="Note 2 5 3 2 2 5" xfId="4574"/>
    <cellStyle name="Note 2 5 3 2 2 5 2" xfId="11414"/>
    <cellStyle name="Note 2 5 3 2 2 6" xfId="7994"/>
    <cellStyle name="Note 2 5 3 2 3" xfId="38420"/>
    <cellStyle name="Note 2 5 3 2 4" xfId="56261"/>
    <cellStyle name="Note 2 5 3 2 5" xfId="56262"/>
    <cellStyle name="Note 2 5 3 2 6" xfId="56263"/>
    <cellStyle name="Note 2 5 3 2 7" xfId="56264"/>
    <cellStyle name="Note 2 5 3 3" xfId="1343"/>
    <cellStyle name="Note 2 5 3 3 2" xfId="949"/>
    <cellStyle name="Note 2 5 3 3 2 2" xfId="2598"/>
    <cellStyle name="Note 2 5 3 3 2 2 2" xfId="6018"/>
    <cellStyle name="Note 2 5 3 3 2 2 2 2" xfId="12858"/>
    <cellStyle name="Note 2 5 3 3 2 2 3" xfId="9438"/>
    <cellStyle name="Note 2 5 3 3 2 3" xfId="3738"/>
    <cellStyle name="Note 2 5 3 3 2 3 2" xfId="7158"/>
    <cellStyle name="Note 2 5 3 3 2 3 2 2" xfId="13998"/>
    <cellStyle name="Note 2 5 3 3 2 3 3" xfId="10578"/>
    <cellStyle name="Note 2 5 3 3 2 4" xfId="4878"/>
    <cellStyle name="Note 2 5 3 3 2 4 2" xfId="11718"/>
    <cellStyle name="Note 2 5 3 3 2 5" xfId="8298"/>
    <cellStyle name="Note 2 5 3 3 3" xfId="2164"/>
    <cellStyle name="Note 2 5 3 3 3 2" xfId="5584"/>
    <cellStyle name="Note 2 5 3 3 3 2 2" xfId="12424"/>
    <cellStyle name="Note 2 5 3 3 3 3" xfId="9004"/>
    <cellStyle name="Note 2 5 3 3 4" xfId="3304"/>
    <cellStyle name="Note 2 5 3 3 4 2" xfId="6724"/>
    <cellStyle name="Note 2 5 3 3 4 2 2" xfId="13564"/>
    <cellStyle name="Note 2 5 3 3 4 3" xfId="10144"/>
    <cellStyle name="Note 2 5 3 3 5" xfId="4444"/>
    <cellStyle name="Note 2 5 3 3 5 2" xfId="11284"/>
    <cellStyle name="Note 2 5 3 3 6" xfId="7864"/>
    <cellStyle name="Note 2 5 3 4" xfId="24957"/>
    <cellStyle name="Note 2 5 3 5" xfId="32215"/>
    <cellStyle name="Note 2 5 3 6" xfId="56265"/>
    <cellStyle name="Note 2 5 3 7" xfId="56266"/>
    <cellStyle name="Note 2 5 3 8" xfId="56267"/>
    <cellStyle name="Note 2 5 4" xfId="245"/>
    <cellStyle name="Note 2 5 4 2" xfId="371"/>
    <cellStyle name="Note 2 5 4 2 2" xfId="1376"/>
    <cellStyle name="Note 2 5 4 2 2 2" xfId="920"/>
    <cellStyle name="Note 2 5 4 2 2 2 2" xfId="2749"/>
    <cellStyle name="Note 2 5 4 2 2 2 2 2" xfId="6169"/>
    <cellStyle name="Note 2 5 4 2 2 2 2 2 2" xfId="13009"/>
    <cellStyle name="Note 2 5 4 2 2 2 2 3" xfId="9589"/>
    <cellStyle name="Note 2 5 4 2 2 2 3" xfId="3889"/>
    <cellStyle name="Note 2 5 4 2 2 2 3 2" xfId="7309"/>
    <cellStyle name="Note 2 5 4 2 2 2 3 2 2" xfId="14149"/>
    <cellStyle name="Note 2 5 4 2 2 2 3 3" xfId="10729"/>
    <cellStyle name="Note 2 5 4 2 2 2 4" xfId="5029"/>
    <cellStyle name="Note 2 5 4 2 2 2 4 2" xfId="11869"/>
    <cellStyle name="Note 2 5 4 2 2 2 5" xfId="8449"/>
    <cellStyle name="Note 2 5 4 2 2 3" xfId="2197"/>
    <cellStyle name="Note 2 5 4 2 2 3 2" xfId="5617"/>
    <cellStyle name="Note 2 5 4 2 2 3 2 2" xfId="12457"/>
    <cellStyle name="Note 2 5 4 2 2 3 3" xfId="9037"/>
    <cellStyle name="Note 2 5 4 2 2 4" xfId="3337"/>
    <cellStyle name="Note 2 5 4 2 2 4 2" xfId="6757"/>
    <cellStyle name="Note 2 5 4 2 2 4 2 2" xfId="13597"/>
    <cellStyle name="Note 2 5 4 2 2 4 3" xfId="10177"/>
    <cellStyle name="Note 2 5 4 2 2 5" xfId="4477"/>
    <cellStyle name="Note 2 5 4 2 2 5 2" xfId="11317"/>
    <cellStyle name="Note 2 5 4 2 2 6" xfId="7897"/>
    <cellStyle name="Note 2 5 4 2 3" xfId="38354"/>
    <cellStyle name="Note 2 5 4 2 4" xfId="56268"/>
    <cellStyle name="Note 2 5 4 2 5" xfId="56269"/>
    <cellStyle name="Note 2 5 4 2 6" xfId="56270"/>
    <cellStyle name="Note 2 5 4 2 7" xfId="56271"/>
    <cellStyle name="Note 2 5 4 3" xfId="1252"/>
    <cellStyle name="Note 2 5 4 3 2" xfId="1718"/>
    <cellStyle name="Note 2 5 4 3 2 2" xfId="2858"/>
    <cellStyle name="Note 2 5 4 3 2 2 2" xfId="6278"/>
    <cellStyle name="Note 2 5 4 3 2 2 2 2" xfId="13118"/>
    <cellStyle name="Note 2 5 4 3 2 2 3" xfId="9698"/>
    <cellStyle name="Note 2 5 4 3 2 3" xfId="3998"/>
    <cellStyle name="Note 2 5 4 3 2 3 2" xfId="7418"/>
    <cellStyle name="Note 2 5 4 3 2 3 2 2" xfId="14258"/>
    <cellStyle name="Note 2 5 4 3 2 3 3" xfId="10838"/>
    <cellStyle name="Note 2 5 4 3 2 4" xfId="5138"/>
    <cellStyle name="Note 2 5 4 3 2 4 2" xfId="11978"/>
    <cellStyle name="Note 2 5 4 3 2 5" xfId="8558"/>
    <cellStyle name="Note 2 5 4 3 3" xfId="2072"/>
    <cellStyle name="Note 2 5 4 3 3 2" xfId="5492"/>
    <cellStyle name="Note 2 5 4 3 3 2 2" xfId="12332"/>
    <cellStyle name="Note 2 5 4 3 3 3" xfId="8912"/>
    <cellStyle name="Note 2 5 4 3 4" xfId="3212"/>
    <cellStyle name="Note 2 5 4 3 4 2" xfId="6632"/>
    <cellStyle name="Note 2 5 4 3 4 2 2" xfId="13472"/>
    <cellStyle name="Note 2 5 4 3 4 3" xfId="10052"/>
    <cellStyle name="Note 2 5 4 3 5" xfId="4352"/>
    <cellStyle name="Note 2 5 4 3 5 2" xfId="11192"/>
    <cellStyle name="Note 2 5 4 3 6" xfId="7772"/>
    <cellStyle name="Note 2 5 4 4" xfId="25983"/>
    <cellStyle name="Note 2 5 4 5" xfId="33192"/>
    <cellStyle name="Note 2 5 4 6" xfId="56272"/>
    <cellStyle name="Note 2 5 4 7" xfId="56273"/>
    <cellStyle name="Note 2 5 4 8" xfId="56274"/>
    <cellStyle name="Note 2 5 5" xfId="503"/>
    <cellStyle name="Note 2 5 5 2" xfId="339"/>
    <cellStyle name="Note 2 5 5 2 2" xfId="1344"/>
    <cellStyle name="Note 2 5 5 2 2 2" xfId="948"/>
    <cellStyle name="Note 2 5 5 2 2 2 2" xfId="2787"/>
    <cellStyle name="Note 2 5 5 2 2 2 2 2" xfId="6207"/>
    <cellStyle name="Note 2 5 5 2 2 2 2 2 2" xfId="13047"/>
    <cellStyle name="Note 2 5 5 2 2 2 2 3" xfId="9627"/>
    <cellStyle name="Note 2 5 5 2 2 2 3" xfId="3927"/>
    <cellStyle name="Note 2 5 5 2 2 2 3 2" xfId="7347"/>
    <cellStyle name="Note 2 5 5 2 2 2 3 2 2" xfId="14187"/>
    <cellStyle name="Note 2 5 5 2 2 2 3 3" xfId="10767"/>
    <cellStyle name="Note 2 5 5 2 2 2 4" xfId="5067"/>
    <cellStyle name="Note 2 5 5 2 2 2 4 2" xfId="11907"/>
    <cellStyle name="Note 2 5 5 2 2 2 5" xfId="8487"/>
    <cellStyle name="Note 2 5 5 2 2 3" xfId="2165"/>
    <cellStyle name="Note 2 5 5 2 2 3 2" xfId="5585"/>
    <cellStyle name="Note 2 5 5 2 2 3 2 2" xfId="12425"/>
    <cellStyle name="Note 2 5 5 2 2 3 3" xfId="9005"/>
    <cellStyle name="Note 2 5 5 2 2 4" xfId="3305"/>
    <cellStyle name="Note 2 5 5 2 2 4 2" xfId="6725"/>
    <cellStyle name="Note 2 5 5 2 2 4 2 2" xfId="13565"/>
    <cellStyle name="Note 2 5 5 2 2 4 3" xfId="10145"/>
    <cellStyle name="Note 2 5 5 2 2 5" xfId="4445"/>
    <cellStyle name="Note 2 5 5 2 2 5 2" xfId="11285"/>
    <cellStyle name="Note 2 5 5 2 2 6" xfId="7865"/>
    <cellStyle name="Note 2 5 5 2 3" xfId="38330"/>
    <cellStyle name="Note 2 5 5 2 4" xfId="56275"/>
    <cellStyle name="Note 2 5 5 2 5" xfId="56276"/>
    <cellStyle name="Note 2 5 5 2 6" xfId="56277"/>
    <cellStyle name="Note 2 5 5 2 7" xfId="56278"/>
    <cellStyle name="Note 2 5 5 3" xfId="1507"/>
    <cellStyle name="Note 2 5 5 3 2" xfId="855"/>
    <cellStyle name="Note 2 5 5 3 2 2" xfId="2708"/>
    <cellStyle name="Note 2 5 5 3 2 2 2" xfId="6128"/>
    <cellStyle name="Note 2 5 5 3 2 2 2 2" xfId="12968"/>
    <cellStyle name="Note 2 5 5 3 2 2 3" xfId="9548"/>
    <cellStyle name="Note 2 5 5 3 2 3" xfId="3848"/>
    <cellStyle name="Note 2 5 5 3 2 3 2" xfId="7268"/>
    <cellStyle name="Note 2 5 5 3 2 3 2 2" xfId="14108"/>
    <cellStyle name="Note 2 5 5 3 2 3 3" xfId="10688"/>
    <cellStyle name="Note 2 5 5 3 2 4" xfId="4988"/>
    <cellStyle name="Note 2 5 5 3 2 4 2" xfId="11828"/>
    <cellStyle name="Note 2 5 5 3 2 5" xfId="8408"/>
    <cellStyle name="Note 2 5 5 3 3" xfId="2328"/>
    <cellStyle name="Note 2 5 5 3 3 2" xfId="5748"/>
    <cellStyle name="Note 2 5 5 3 3 2 2" xfId="12588"/>
    <cellStyle name="Note 2 5 5 3 3 3" xfId="9168"/>
    <cellStyle name="Note 2 5 5 3 4" xfId="3468"/>
    <cellStyle name="Note 2 5 5 3 4 2" xfId="6888"/>
    <cellStyle name="Note 2 5 5 3 4 2 2" xfId="13728"/>
    <cellStyle name="Note 2 5 5 3 4 3" xfId="10308"/>
    <cellStyle name="Note 2 5 5 3 5" xfId="4608"/>
    <cellStyle name="Note 2 5 5 3 5 2" xfId="11448"/>
    <cellStyle name="Note 2 5 5 3 6" xfId="8028"/>
    <cellStyle name="Note 2 5 5 4" xfId="26963"/>
    <cellStyle name="Note 2 5 5 5" xfId="34130"/>
    <cellStyle name="Note 2 5 5 6" xfId="56279"/>
    <cellStyle name="Note 2 5 5 7" xfId="56280"/>
    <cellStyle name="Note 2 5 5 8" xfId="56281"/>
    <cellStyle name="Note 2 5 6" xfId="523"/>
    <cellStyle name="Note 2 5 6 2" xfId="355"/>
    <cellStyle name="Note 2 5 6 2 2" xfId="1360"/>
    <cellStyle name="Note 2 5 6 2 2 2" xfId="932"/>
    <cellStyle name="Note 2 5 6 2 2 2 2" xfId="2709"/>
    <cellStyle name="Note 2 5 6 2 2 2 2 2" xfId="6129"/>
    <cellStyle name="Note 2 5 6 2 2 2 2 2 2" xfId="12969"/>
    <cellStyle name="Note 2 5 6 2 2 2 2 3" xfId="9549"/>
    <cellStyle name="Note 2 5 6 2 2 2 3" xfId="3849"/>
    <cellStyle name="Note 2 5 6 2 2 2 3 2" xfId="7269"/>
    <cellStyle name="Note 2 5 6 2 2 2 3 2 2" xfId="14109"/>
    <cellStyle name="Note 2 5 6 2 2 2 3 3" xfId="10689"/>
    <cellStyle name="Note 2 5 6 2 2 2 4" xfId="4989"/>
    <cellStyle name="Note 2 5 6 2 2 2 4 2" xfId="11829"/>
    <cellStyle name="Note 2 5 6 2 2 2 5" xfId="8409"/>
    <cellStyle name="Note 2 5 6 2 2 3" xfId="2181"/>
    <cellStyle name="Note 2 5 6 2 2 3 2" xfId="5601"/>
    <cellStyle name="Note 2 5 6 2 2 3 2 2" xfId="12441"/>
    <cellStyle name="Note 2 5 6 2 2 3 3" xfId="9021"/>
    <cellStyle name="Note 2 5 6 2 2 4" xfId="3321"/>
    <cellStyle name="Note 2 5 6 2 2 4 2" xfId="6741"/>
    <cellStyle name="Note 2 5 6 2 2 4 2 2" xfId="13581"/>
    <cellStyle name="Note 2 5 6 2 2 4 3" xfId="10161"/>
    <cellStyle name="Note 2 5 6 2 2 5" xfId="4461"/>
    <cellStyle name="Note 2 5 6 2 2 5 2" xfId="11301"/>
    <cellStyle name="Note 2 5 6 2 2 6" xfId="7881"/>
    <cellStyle name="Note 2 5 6 2 3" xfId="38343"/>
    <cellStyle name="Note 2 5 6 2 4" xfId="56282"/>
    <cellStyle name="Note 2 5 6 2 5" xfId="56283"/>
    <cellStyle name="Note 2 5 6 2 6" xfId="56284"/>
    <cellStyle name="Note 2 5 6 2 7" xfId="56285"/>
    <cellStyle name="Note 2 5 6 3" xfId="1527"/>
    <cellStyle name="Note 2 5 6 3 2" xfId="846"/>
    <cellStyle name="Note 2 5 6 3 2 2" xfId="2439"/>
    <cellStyle name="Note 2 5 6 3 2 2 2" xfId="5859"/>
    <cellStyle name="Note 2 5 6 3 2 2 2 2" xfId="12699"/>
    <cellStyle name="Note 2 5 6 3 2 2 3" xfId="9279"/>
    <cellStyle name="Note 2 5 6 3 2 3" xfId="3579"/>
    <cellStyle name="Note 2 5 6 3 2 3 2" xfId="6999"/>
    <cellStyle name="Note 2 5 6 3 2 3 2 2" xfId="13839"/>
    <cellStyle name="Note 2 5 6 3 2 3 3" xfId="10419"/>
    <cellStyle name="Note 2 5 6 3 2 4" xfId="4719"/>
    <cellStyle name="Note 2 5 6 3 2 4 2" xfId="11559"/>
    <cellStyle name="Note 2 5 6 3 2 5" xfId="8139"/>
    <cellStyle name="Note 2 5 6 3 3" xfId="2348"/>
    <cellStyle name="Note 2 5 6 3 3 2" xfId="5768"/>
    <cellStyle name="Note 2 5 6 3 3 2 2" xfId="12608"/>
    <cellStyle name="Note 2 5 6 3 3 3" xfId="9188"/>
    <cellStyle name="Note 2 5 6 3 4" xfId="3488"/>
    <cellStyle name="Note 2 5 6 3 4 2" xfId="6908"/>
    <cellStyle name="Note 2 5 6 3 4 2 2" xfId="13748"/>
    <cellStyle name="Note 2 5 6 3 4 3" xfId="10328"/>
    <cellStyle name="Note 2 5 6 3 5" xfId="4628"/>
    <cellStyle name="Note 2 5 6 3 5 2" xfId="11468"/>
    <cellStyle name="Note 2 5 6 3 6" xfId="8048"/>
    <cellStyle name="Note 2 5 6 4" xfId="27932"/>
    <cellStyle name="Note 2 5 6 5" xfId="35076"/>
    <cellStyle name="Note 2 5 6 6" xfId="56286"/>
    <cellStyle name="Note 2 5 6 7" xfId="56287"/>
    <cellStyle name="Note 2 5 6 8" xfId="56288"/>
    <cellStyle name="Note 2 5 7" xfId="1129"/>
    <cellStyle name="Note 2 5 7 2" xfId="1063"/>
    <cellStyle name="Note 2 5 7 2 2" xfId="2682"/>
    <cellStyle name="Note 2 5 7 2 2 2" xfId="6102"/>
    <cellStyle name="Note 2 5 7 2 2 2 2" xfId="12942"/>
    <cellStyle name="Note 2 5 7 2 2 3" xfId="9522"/>
    <cellStyle name="Note 2 5 7 2 3" xfId="3822"/>
    <cellStyle name="Note 2 5 7 2 3 2" xfId="7242"/>
    <cellStyle name="Note 2 5 7 2 3 2 2" xfId="14082"/>
    <cellStyle name="Note 2 5 7 2 3 3" xfId="10662"/>
    <cellStyle name="Note 2 5 7 2 4" xfId="4962"/>
    <cellStyle name="Note 2 5 7 2 4 2" xfId="11802"/>
    <cellStyle name="Note 2 5 7 2 5" xfId="8382"/>
    <cellStyle name="Note 2 5 7 3" xfId="1943"/>
    <cellStyle name="Note 2 5 7 3 2" xfId="5363"/>
    <cellStyle name="Note 2 5 7 3 2 2" xfId="12203"/>
    <cellStyle name="Note 2 5 7 3 3" xfId="8783"/>
    <cellStyle name="Note 2 5 7 4" xfId="3083"/>
    <cellStyle name="Note 2 5 7 4 2" xfId="6503"/>
    <cellStyle name="Note 2 5 7 4 2 2" xfId="13343"/>
    <cellStyle name="Note 2 5 7 4 3" xfId="9923"/>
    <cellStyle name="Note 2 5 7 5" xfId="4223"/>
    <cellStyle name="Note 2 5 7 5 2" xfId="11063"/>
    <cellStyle name="Note 2 5 7 6" xfId="7643"/>
    <cellStyle name="Note 2 5 7 7" xfId="28890"/>
    <cellStyle name="Note 2 5 7 8" xfId="35992"/>
    <cellStyle name="Note 2 5 8" xfId="15503"/>
    <cellStyle name="Note 2 5 8 2" xfId="23844"/>
    <cellStyle name="Note 2 5 8 2 2" xfId="56289"/>
    <cellStyle name="Note 2 5 8 2 3" xfId="56290"/>
    <cellStyle name="Note 2 5 8 3" xfId="31193"/>
    <cellStyle name="Note 2 5 8 4" xfId="56291"/>
    <cellStyle name="Note 2 5 9" xfId="22005"/>
    <cellStyle name="Note 2 5 9 2" xfId="30304"/>
    <cellStyle name="Note 2 5 9 2 2" xfId="56292"/>
    <cellStyle name="Note 2 5 9 2 3" xfId="56293"/>
    <cellStyle name="Note 2 5 9 3" xfId="37343"/>
    <cellStyle name="Note 2 5 9 4" xfId="56294"/>
    <cellStyle name="Note 2 6" xfId="133"/>
    <cellStyle name="Note 2 6 10" xfId="22938"/>
    <cellStyle name="Note 2 6 11" xfId="56295"/>
    <cellStyle name="Note 2 6 12" xfId="56296"/>
    <cellStyle name="Note 2 6 13" xfId="56297"/>
    <cellStyle name="Note 2 6 14" xfId="56298"/>
    <cellStyle name="Note 2 6 2" xfId="259"/>
    <cellStyle name="Note 2 6 2 2" xfId="669"/>
    <cellStyle name="Note 2 6 2 2 2" xfId="1620"/>
    <cellStyle name="Note 2 6 2 2 2 2" xfId="787"/>
    <cellStyle name="Note 2 6 2 2 2 2 2" xfId="2529"/>
    <cellStyle name="Note 2 6 2 2 2 2 2 2" xfId="5949"/>
    <cellStyle name="Note 2 6 2 2 2 2 2 2 2" xfId="12789"/>
    <cellStyle name="Note 2 6 2 2 2 2 2 3" xfId="9369"/>
    <cellStyle name="Note 2 6 2 2 2 2 3" xfId="3669"/>
    <cellStyle name="Note 2 6 2 2 2 2 3 2" xfId="7089"/>
    <cellStyle name="Note 2 6 2 2 2 2 3 2 2" xfId="13929"/>
    <cellStyle name="Note 2 6 2 2 2 2 3 3" xfId="10509"/>
    <cellStyle name="Note 2 6 2 2 2 2 4" xfId="4809"/>
    <cellStyle name="Note 2 6 2 2 2 2 4 2" xfId="11649"/>
    <cellStyle name="Note 2 6 2 2 2 2 5" xfId="8229"/>
    <cellStyle name="Note 2 6 2 2 2 3" xfId="2454"/>
    <cellStyle name="Note 2 6 2 2 2 3 2" xfId="5874"/>
    <cellStyle name="Note 2 6 2 2 2 3 2 2" xfId="12714"/>
    <cellStyle name="Note 2 6 2 2 2 3 3" xfId="9294"/>
    <cellStyle name="Note 2 6 2 2 2 4" xfId="3594"/>
    <cellStyle name="Note 2 6 2 2 2 4 2" xfId="7014"/>
    <cellStyle name="Note 2 6 2 2 2 4 2 2" xfId="13854"/>
    <cellStyle name="Note 2 6 2 2 2 4 3" xfId="10434"/>
    <cellStyle name="Note 2 6 2 2 2 5" xfId="4734"/>
    <cellStyle name="Note 2 6 2 2 2 5 2" xfId="11574"/>
    <cellStyle name="Note 2 6 2 2 2 6" xfId="8154"/>
    <cellStyle name="Note 2 6 2 2 3" xfId="38513"/>
    <cellStyle name="Note 2 6 2 2 4" xfId="56299"/>
    <cellStyle name="Note 2 6 2 2 5" xfId="56300"/>
    <cellStyle name="Note 2 6 2 2 6" xfId="56301"/>
    <cellStyle name="Note 2 6 2 2 7" xfId="56302"/>
    <cellStyle name="Note 2 6 2 3" xfId="1266"/>
    <cellStyle name="Note 2 6 2 3 2" xfId="995"/>
    <cellStyle name="Note 2 6 2 3 2 2" xfId="2563"/>
    <cellStyle name="Note 2 6 2 3 2 2 2" xfId="5983"/>
    <cellStyle name="Note 2 6 2 3 2 2 2 2" xfId="12823"/>
    <cellStyle name="Note 2 6 2 3 2 2 3" xfId="9403"/>
    <cellStyle name="Note 2 6 2 3 2 3" xfId="3703"/>
    <cellStyle name="Note 2 6 2 3 2 3 2" xfId="7123"/>
    <cellStyle name="Note 2 6 2 3 2 3 2 2" xfId="13963"/>
    <cellStyle name="Note 2 6 2 3 2 3 3" xfId="10543"/>
    <cellStyle name="Note 2 6 2 3 2 4" xfId="4843"/>
    <cellStyle name="Note 2 6 2 3 2 4 2" xfId="11683"/>
    <cellStyle name="Note 2 6 2 3 2 5" xfId="8263"/>
    <cellStyle name="Note 2 6 2 3 3" xfId="2086"/>
    <cellStyle name="Note 2 6 2 3 3 2" xfId="5506"/>
    <cellStyle name="Note 2 6 2 3 3 2 2" xfId="12346"/>
    <cellStyle name="Note 2 6 2 3 3 3" xfId="8926"/>
    <cellStyle name="Note 2 6 2 3 4" xfId="3226"/>
    <cellStyle name="Note 2 6 2 3 4 2" xfId="6646"/>
    <cellStyle name="Note 2 6 2 3 4 2 2" xfId="13486"/>
    <cellStyle name="Note 2 6 2 3 4 3" xfId="10066"/>
    <cellStyle name="Note 2 6 2 3 5" xfId="4366"/>
    <cellStyle name="Note 2 6 2 3 5 2" xfId="11206"/>
    <cellStyle name="Note 2 6 2 3 6" xfId="7786"/>
    <cellStyle name="Note 2 6 2 4" xfId="23974"/>
    <cellStyle name="Note 2 6 2 5" xfId="31271"/>
    <cellStyle name="Note 2 6 2 6" xfId="56303"/>
    <cellStyle name="Note 2 6 2 7" xfId="56304"/>
    <cellStyle name="Note 2 6 2 8" xfId="56305"/>
    <cellStyle name="Note 2 6 3" xfId="581"/>
    <cellStyle name="Note 2 6 3 2" xfId="1568"/>
    <cellStyle name="Note 2 6 3 2 2" xfId="1819"/>
    <cellStyle name="Note 2 6 3 2 2 2" xfId="2959"/>
    <cellStyle name="Note 2 6 3 2 2 2 2" xfId="6379"/>
    <cellStyle name="Note 2 6 3 2 2 2 2 2" xfId="13219"/>
    <cellStyle name="Note 2 6 3 2 2 2 3" xfId="9799"/>
    <cellStyle name="Note 2 6 3 2 2 3" xfId="4099"/>
    <cellStyle name="Note 2 6 3 2 2 3 2" xfId="7519"/>
    <cellStyle name="Note 2 6 3 2 2 3 2 2" xfId="14359"/>
    <cellStyle name="Note 2 6 3 2 2 3 3" xfId="10939"/>
    <cellStyle name="Note 2 6 3 2 2 4" xfId="5239"/>
    <cellStyle name="Note 2 6 3 2 2 4 2" xfId="12079"/>
    <cellStyle name="Note 2 6 3 2 2 5" xfId="8659"/>
    <cellStyle name="Note 2 6 3 2 3" xfId="2393"/>
    <cellStyle name="Note 2 6 3 2 3 2" xfId="5813"/>
    <cellStyle name="Note 2 6 3 2 3 2 2" xfId="12653"/>
    <cellStyle name="Note 2 6 3 2 3 3" xfId="9233"/>
    <cellStyle name="Note 2 6 3 2 4" xfId="3533"/>
    <cellStyle name="Note 2 6 3 2 4 2" xfId="6953"/>
    <cellStyle name="Note 2 6 3 2 4 2 2" xfId="13793"/>
    <cellStyle name="Note 2 6 3 2 4 3" xfId="10373"/>
    <cellStyle name="Note 2 6 3 2 5" xfId="4673"/>
    <cellStyle name="Note 2 6 3 2 5 2" xfId="11513"/>
    <cellStyle name="Note 2 6 3 2 6" xfId="8093"/>
    <cellStyle name="Note 2 6 3 3" xfId="24945"/>
    <cellStyle name="Note 2 6 3 4" xfId="32204"/>
    <cellStyle name="Note 2 6 3 5" xfId="56306"/>
    <cellStyle name="Note 2 6 3 6" xfId="56307"/>
    <cellStyle name="Note 2 6 3 7" xfId="56308"/>
    <cellStyle name="Note 2 6 3 8" xfId="56309"/>
    <cellStyle name="Note 2 6 4" xfId="1142"/>
    <cellStyle name="Note 2 6 4 2" xfId="1725"/>
    <cellStyle name="Note 2 6 4 2 2" xfId="2865"/>
    <cellStyle name="Note 2 6 4 2 2 2" xfId="6285"/>
    <cellStyle name="Note 2 6 4 2 2 2 2" xfId="13125"/>
    <cellStyle name="Note 2 6 4 2 2 3" xfId="9705"/>
    <cellStyle name="Note 2 6 4 2 3" xfId="4005"/>
    <cellStyle name="Note 2 6 4 2 3 2" xfId="7425"/>
    <cellStyle name="Note 2 6 4 2 3 2 2" xfId="14265"/>
    <cellStyle name="Note 2 6 4 2 3 3" xfId="10845"/>
    <cellStyle name="Note 2 6 4 2 4" xfId="5145"/>
    <cellStyle name="Note 2 6 4 2 4 2" xfId="11985"/>
    <cellStyle name="Note 2 6 4 2 5" xfId="8565"/>
    <cellStyle name="Note 2 6 4 3" xfId="1961"/>
    <cellStyle name="Note 2 6 4 3 2" xfId="5381"/>
    <cellStyle name="Note 2 6 4 3 2 2" xfId="12221"/>
    <cellStyle name="Note 2 6 4 3 3" xfId="8801"/>
    <cellStyle name="Note 2 6 4 4" xfId="3101"/>
    <cellStyle name="Note 2 6 4 4 2" xfId="6521"/>
    <cellStyle name="Note 2 6 4 4 2 2" xfId="13361"/>
    <cellStyle name="Note 2 6 4 4 3" xfId="9941"/>
    <cellStyle name="Note 2 6 4 5" xfId="4241"/>
    <cellStyle name="Note 2 6 4 5 2" xfId="11081"/>
    <cellStyle name="Note 2 6 4 6" xfId="7661"/>
    <cellStyle name="Note 2 6 4 7" xfId="25971"/>
    <cellStyle name="Note 2 6 4 8" xfId="33181"/>
    <cellStyle name="Note 2 6 5" xfId="18630"/>
    <cellStyle name="Note 2 6 5 2" xfId="26950"/>
    <cellStyle name="Note 2 6 5 2 2" xfId="56310"/>
    <cellStyle name="Note 2 6 5 2 3" xfId="56311"/>
    <cellStyle name="Note 2 6 5 3" xfId="34118"/>
    <cellStyle name="Note 2 6 5 4" xfId="56312"/>
    <cellStyle name="Note 2 6 6" xfId="19599"/>
    <cellStyle name="Note 2 6 6 2" xfId="27919"/>
    <cellStyle name="Note 2 6 6 2 2" xfId="56313"/>
    <cellStyle name="Note 2 6 6 2 3" xfId="56314"/>
    <cellStyle name="Note 2 6 6 3" xfId="35064"/>
    <cellStyle name="Note 2 6 6 4" xfId="56315"/>
    <cellStyle name="Note 2 6 7" xfId="20556"/>
    <cellStyle name="Note 2 6 7 2" xfId="28878"/>
    <cellStyle name="Note 2 6 7 2 2" xfId="56316"/>
    <cellStyle name="Note 2 6 7 2 3" xfId="56317"/>
    <cellStyle name="Note 2 6 7 3" xfId="35981"/>
    <cellStyle name="Note 2 6 7 4" xfId="56318"/>
    <cellStyle name="Note 2 6 8" xfId="21245"/>
    <cellStyle name="Note 2 6 8 2" xfId="29554"/>
    <cellStyle name="Note 2 6 8 2 2" xfId="56319"/>
    <cellStyle name="Note 2 6 8 2 3" xfId="56320"/>
    <cellStyle name="Note 2 6 8 3" xfId="36622"/>
    <cellStyle name="Note 2 6 8 4" xfId="56321"/>
    <cellStyle name="Note 2 6 9" xfId="21992"/>
    <cellStyle name="Note 2 6 9 2" xfId="30292"/>
    <cellStyle name="Note 2 6 9 2 2" xfId="56322"/>
    <cellStyle name="Note 2 6 9 2 3" xfId="56323"/>
    <cellStyle name="Note 2 6 9 3" xfId="37332"/>
    <cellStyle name="Note 2 6 9 4" xfId="56324"/>
    <cellStyle name="Note 2 7" xfId="193"/>
    <cellStyle name="Note 2 7 10" xfId="23045"/>
    <cellStyle name="Note 2 7 11" xfId="56325"/>
    <cellStyle name="Note 2 7 12" xfId="56326"/>
    <cellStyle name="Note 2 7 13" xfId="56327"/>
    <cellStyle name="Note 2 7 14" xfId="56328"/>
    <cellStyle name="Note 2 7 2" xfId="228"/>
    <cellStyle name="Note 2 7 2 2" xfId="1235"/>
    <cellStyle name="Note 2 7 2 2 2" xfId="1862"/>
    <cellStyle name="Note 2 7 2 2 2 2" xfId="3002"/>
    <cellStyle name="Note 2 7 2 2 2 2 2" xfId="6422"/>
    <cellStyle name="Note 2 7 2 2 2 2 2 2" xfId="13262"/>
    <cellStyle name="Note 2 7 2 2 2 2 3" xfId="9842"/>
    <cellStyle name="Note 2 7 2 2 2 3" xfId="4142"/>
    <cellStyle name="Note 2 7 2 2 2 3 2" xfId="7562"/>
    <cellStyle name="Note 2 7 2 2 2 3 2 2" xfId="14402"/>
    <cellStyle name="Note 2 7 2 2 2 3 3" xfId="10982"/>
    <cellStyle name="Note 2 7 2 2 2 4" xfId="5282"/>
    <cellStyle name="Note 2 7 2 2 2 4 2" xfId="12122"/>
    <cellStyle name="Note 2 7 2 2 2 5" xfId="8702"/>
    <cellStyle name="Note 2 7 2 2 3" xfId="2055"/>
    <cellStyle name="Note 2 7 2 2 3 2" xfId="5475"/>
    <cellStyle name="Note 2 7 2 2 3 2 2" xfId="12315"/>
    <cellStyle name="Note 2 7 2 2 3 3" xfId="8895"/>
    <cellStyle name="Note 2 7 2 2 4" xfId="3195"/>
    <cellStyle name="Note 2 7 2 2 4 2" xfId="6615"/>
    <cellStyle name="Note 2 7 2 2 4 2 2" xfId="13455"/>
    <cellStyle name="Note 2 7 2 2 4 3" xfId="10035"/>
    <cellStyle name="Note 2 7 2 2 5" xfId="4335"/>
    <cellStyle name="Note 2 7 2 2 5 2" xfId="11175"/>
    <cellStyle name="Note 2 7 2 2 6" xfId="7755"/>
    <cellStyle name="Note 2 7 2 3" xfId="24080"/>
    <cellStyle name="Note 2 7 2 4" xfId="31371"/>
    <cellStyle name="Note 2 7 2 5" xfId="56329"/>
    <cellStyle name="Note 2 7 2 6" xfId="56330"/>
    <cellStyle name="Note 2 7 2 7" xfId="56331"/>
    <cellStyle name="Note 2 7 2 8" xfId="56332"/>
    <cellStyle name="Note 2 7 3" xfId="656"/>
    <cellStyle name="Note 2 7 3 2" xfId="1607"/>
    <cellStyle name="Note 2 7 3 2 2" xfId="800"/>
    <cellStyle name="Note 2 7 3 2 2 2" xfId="2672"/>
    <cellStyle name="Note 2 7 3 2 2 2 2" xfId="6092"/>
    <cellStyle name="Note 2 7 3 2 2 2 2 2" xfId="12932"/>
    <cellStyle name="Note 2 7 3 2 2 2 3" xfId="9512"/>
    <cellStyle name="Note 2 7 3 2 2 3" xfId="3812"/>
    <cellStyle name="Note 2 7 3 2 2 3 2" xfId="7232"/>
    <cellStyle name="Note 2 7 3 2 2 3 2 2" xfId="14072"/>
    <cellStyle name="Note 2 7 3 2 2 3 3" xfId="10652"/>
    <cellStyle name="Note 2 7 3 2 2 4" xfId="4952"/>
    <cellStyle name="Note 2 7 3 2 2 4 2" xfId="11792"/>
    <cellStyle name="Note 2 7 3 2 2 5" xfId="8372"/>
    <cellStyle name="Note 2 7 3 2 3" xfId="2441"/>
    <cellStyle name="Note 2 7 3 2 3 2" xfId="5861"/>
    <cellStyle name="Note 2 7 3 2 3 2 2" xfId="12701"/>
    <cellStyle name="Note 2 7 3 2 3 3" xfId="9281"/>
    <cellStyle name="Note 2 7 3 2 4" xfId="3581"/>
    <cellStyle name="Note 2 7 3 2 4 2" xfId="7001"/>
    <cellStyle name="Note 2 7 3 2 4 2 2" xfId="13841"/>
    <cellStyle name="Note 2 7 3 2 4 3" xfId="10421"/>
    <cellStyle name="Note 2 7 3 2 5" xfId="4721"/>
    <cellStyle name="Note 2 7 3 2 5 2" xfId="11561"/>
    <cellStyle name="Note 2 7 3 2 6" xfId="8141"/>
    <cellStyle name="Note 2 7 3 3" xfId="25051"/>
    <cellStyle name="Note 2 7 3 4" xfId="32304"/>
    <cellStyle name="Note 2 7 3 5" xfId="56333"/>
    <cellStyle name="Note 2 7 3 6" xfId="56334"/>
    <cellStyle name="Note 2 7 3 7" xfId="56335"/>
    <cellStyle name="Note 2 7 3 8" xfId="56336"/>
    <cellStyle name="Note 2 7 4" xfId="1201"/>
    <cellStyle name="Note 2 7 4 2" xfId="1709"/>
    <cellStyle name="Note 2 7 4 2 2" xfId="2849"/>
    <cellStyle name="Note 2 7 4 2 2 2" xfId="6269"/>
    <cellStyle name="Note 2 7 4 2 2 2 2" xfId="13109"/>
    <cellStyle name="Note 2 7 4 2 2 3" xfId="9689"/>
    <cellStyle name="Note 2 7 4 2 3" xfId="3989"/>
    <cellStyle name="Note 2 7 4 2 3 2" xfId="7409"/>
    <cellStyle name="Note 2 7 4 2 3 2 2" xfId="14249"/>
    <cellStyle name="Note 2 7 4 2 3 3" xfId="10829"/>
    <cellStyle name="Note 2 7 4 2 4" xfId="5129"/>
    <cellStyle name="Note 2 7 4 2 4 2" xfId="11969"/>
    <cellStyle name="Note 2 7 4 2 5" xfId="8549"/>
    <cellStyle name="Note 2 7 4 3" xfId="2020"/>
    <cellStyle name="Note 2 7 4 3 2" xfId="5440"/>
    <cellStyle name="Note 2 7 4 3 2 2" xfId="12280"/>
    <cellStyle name="Note 2 7 4 3 3" xfId="8860"/>
    <cellStyle name="Note 2 7 4 4" xfId="3160"/>
    <cellStyle name="Note 2 7 4 4 2" xfId="6580"/>
    <cellStyle name="Note 2 7 4 4 2 2" xfId="13420"/>
    <cellStyle name="Note 2 7 4 4 3" xfId="10000"/>
    <cellStyle name="Note 2 7 4 5" xfId="4300"/>
    <cellStyle name="Note 2 7 4 5 2" xfId="11140"/>
    <cellStyle name="Note 2 7 4 6" xfId="7720"/>
    <cellStyle name="Note 2 7 4 7" xfId="26077"/>
    <cellStyle name="Note 2 7 4 8" xfId="33281"/>
    <cellStyle name="Note 2 7 5" xfId="18737"/>
    <cellStyle name="Note 2 7 5 2" xfId="27058"/>
    <cellStyle name="Note 2 7 5 2 2" xfId="56337"/>
    <cellStyle name="Note 2 7 5 2 3" xfId="56338"/>
    <cellStyle name="Note 2 7 5 3" xfId="34220"/>
    <cellStyle name="Note 2 7 5 4" xfId="56339"/>
    <cellStyle name="Note 2 7 6" xfId="19706"/>
    <cellStyle name="Note 2 7 6 2" xfId="28027"/>
    <cellStyle name="Note 2 7 6 2 2" xfId="56340"/>
    <cellStyle name="Note 2 7 6 2 3" xfId="56341"/>
    <cellStyle name="Note 2 7 6 3" xfId="35166"/>
    <cellStyle name="Note 2 7 6 4" xfId="56342"/>
    <cellStyle name="Note 2 7 7" xfId="20663"/>
    <cellStyle name="Note 2 7 7 2" xfId="28984"/>
    <cellStyle name="Note 2 7 7 2 2" xfId="56343"/>
    <cellStyle name="Note 2 7 7 2 3" xfId="56344"/>
    <cellStyle name="Note 2 7 7 3" xfId="36081"/>
    <cellStyle name="Note 2 7 7 4" xfId="56345"/>
    <cellStyle name="Note 2 7 8" xfId="21180"/>
    <cellStyle name="Note 2 7 8 2" xfId="29492"/>
    <cellStyle name="Note 2 7 8 2 2" xfId="56346"/>
    <cellStyle name="Note 2 7 8 2 3" xfId="56347"/>
    <cellStyle name="Note 2 7 8 3" xfId="36563"/>
    <cellStyle name="Note 2 7 8 4" xfId="56348"/>
    <cellStyle name="Note 2 7 9" xfId="22100"/>
    <cellStyle name="Note 2 7 9 2" xfId="30398"/>
    <cellStyle name="Note 2 7 9 2 2" xfId="56349"/>
    <cellStyle name="Note 2 7 9 2 3" xfId="56350"/>
    <cellStyle name="Note 2 7 9 3" xfId="37432"/>
    <cellStyle name="Note 2 7 9 4" xfId="56351"/>
    <cellStyle name="Note 2 8" xfId="461"/>
    <cellStyle name="Note 2 8 10" xfId="23091"/>
    <cellStyle name="Note 2 8 11" xfId="56352"/>
    <cellStyle name="Note 2 8 12" xfId="56353"/>
    <cellStyle name="Note 2 8 13" xfId="56354"/>
    <cellStyle name="Note 2 8 14" xfId="56355"/>
    <cellStyle name="Note 2 8 15" xfId="56356"/>
    <cellStyle name="Note 2 8 2" xfId="538"/>
    <cellStyle name="Note 2 8 2 2" xfId="1542"/>
    <cellStyle name="Note 2 8 2 2 2" xfId="1088"/>
    <cellStyle name="Note 2 8 2 2 2 2" xfId="2710"/>
    <cellStyle name="Note 2 8 2 2 2 2 2" xfId="6130"/>
    <cellStyle name="Note 2 8 2 2 2 2 2 2" xfId="12970"/>
    <cellStyle name="Note 2 8 2 2 2 2 3" xfId="9550"/>
    <cellStyle name="Note 2 8 2 2 2 3" xfId="3850"/>
    <cellStyle name="Note 2 8 2 2 2 3 2" xfId="7270"/>
    <cellStyle name="Note 2 8 2 2 2 3 2 2" xfId="14110"/>
    <cellStyle name="Note 2 8 2 2 2 3 3" xfId="10690"/>
    <cellStyle name="Note 2 8 2 2 2 4" xfId="4990"/>
    <cellStyle name="Note 2 8 2 2 2 4 2" xfId="11830"/>
    <cellStyle name="Note 2 8 2 2 2 5" xfId="8410"/>
    <cellStyle name="Note 2 8 2 2 3" xfId="2363"/>
    <cellStyle name="Note 2 8 2 2 3 2" xfId="5783"/>
    <cellStyle name="Note 2 8 2 2 3 2 2" xfId="12623"/>
    <cellStyle name="Note 2 8 2 2 3 3" xfId="9203"/>
    <cellStyle name="Note 2 8 2 2 4" xfId="3503"/>
    <cellStyle name="Note 2 8 2 2 4 2" xfId="6923"/>
    <cellStyle name="Note 2 8 2 2 4 2 2" xfId="13763"/>
    <cellStyle name="Note 2 8 2 2 4 3" xfId="10343"/>
    <cellStyle name="Note 2 8 2 2 5" xfId="4643"/>
    <cellStyle name="Note 2 8 2 2 5 2" xfId="11483"/>
    <cellStyle name="Note 2 8 2 2 6" xfId="8063"/>
    <cellStyle name="Note 2 8 2 3" xfId="24126"/>
    <cellStyle name="Note 2 8 2 4" xfId="31414"/>
    <cellStyle name="Note 2 8 2 5" xfId="56357"/>
    <cellStyle name="Note 2 8 2 6" xfId="56358"/>
    <cellStyle name="Note 2 8 2 7" xfId="56359"/>
    <cellStyle name="Note 2 8 2 8" xfId="56360"/>
    <cellStyle name="Note 2 8 3" xfId="1465"/>
    <cellStyle name="Note 2 8 3 2" xfId="876"/>
    <cellStyle name="Note 2 8 3 2 2" xfId="2695"/>
    <cellStyle name="Note 2 8 3 2 2 2" xfId="6115"/>
    <cellStyle name="Note 2 8 3 2 2 2 2" xfId="12955"/>
    <cellStyle name="Note 2 8 3 2 2 3" xfId="9535"/>
    <cellStyle name="Note 2 8 3 2 3" xfId="3835"/>
    <cellStyle name="Note 2 8 3 2 3 2" xfId="7255"/>
    <cellStyle name="Note 2 8 3 2 3 2 2" xfId="14095"/>
    <cellStyle name="Note 2 8 3 2 3 3" xfId="10675"/>
    <cellStyle name="Note 2 8 3 2 4" xfId="4975"/>
    <cellStyle name="Note 2 8 3 2 4 2" xfId="11815"/>
    <cellStyle name="Note 2 8 3 2 5" xfId="8395"/>
    <cellStyle name="Note 2 8 3 3" xfId="2286"/>
    <cellStyle name="Note 2 8 3 3 2" xfId="5706"/>
    <cellStyle name="Note 2 8 3 3 2 2" xfId="12546"/>
    <cellStyle name="Note 2 8 3 3 3" xfId="9126"/>
    <cellStyle name="Note 2 8 3 4" xfId="3426"/>
    <cellStyle name="Note 2 8 3 4 2" xfId="6846"/>
    <cellStyle name="Note 2 8 3 4 2 2" xfId="13686"/>
    <cellStyle name="Note 2 8 3 4 3" xfId="10266"/>
    <cellStyle name="Note 2 8 3 5" xfId="4566"/>
    <cellStyle name="Note 2 8 3 5 2" xfId="11406"/>
    <cellStyle name="Note 2 8 3 6" xfId="7986"/>
    <cellStyle name="Note 2 8 3 7" xfId="25098"/>
    <cellStyle name="Note 2 8 3 8" xfId="32347"/>
    <cellStyle name="Note 2 8 4" xfId="17800"/>
    <cellStyle name="Note 2 8 4 2" xfId="26124"/>
    <cellStyle name="Note 2 8 4 2 2" xfId="56361"/>
    <cellStyle name="Note 2 8 4 2 3" xfId="56362"/>
    <cellStyle name="Note 2 8 4 3" xfId="33324"/>
    <cellStyle name="Note 2 8 4 4" xfId="56363"/>
    <cellStyle name="Note 2 8 5" xfId="18784"/>
    <cellStyle name="Note 2 8 5 2" xfId="27105"/>
    <cellStyle name="Note 2 8 5 2 2" xfId="56364"/>
    <cellStyle name="Note 2 8 5 2 3" xfId="56365"/>
    <cellStyle name="Note 2 8 5 3" xfId="34264"/>
    <cellStyle name="Note 2 8 5 4" xfId="56366"/>
    <cellStyle name="Note 2 8 6" xfId="19752"/>
    <cellStyle name="Note 2 8 6 2" xfId="28074"/>
    <cellStyle name="Note 2 8 6 2 2" xfId="56367"/>
    <cellStyle name="Note 2 8 6 2 3" xfId="56368"/>
    <cellStyle name="Note 2 8 6 3" xfId="35210"/>
    <cellStyle name="Note 2 8 6 4" xfId="56369"/>
    <cellStyle name="Note 2 8 7" xfId="20710"/>
    <cellStyle name="Note 2 8 7 2" xfId="29031"/>
    <cellStyle name="Note 2 8 7 2 2" xfId="56370"/>
    <cellStyle name="Note 2 8 7 2 3" xfId="56371"/>
    <cellStyle name="Note 2 8 7 3" xfId="36124"/>
    <cellStyle name="Note 2 8 7 4" xfId="56372"/>
    <cellStyle name="Note 2 8 8" xfId="21085"/>
    <cellStyle name="Note 2 8 8 2" xfId="29402"/>
    <cellStyle name="Note 2 8 8 2 2" xfId="56373"/>
    <cellStyle name="Note 2 8 8 2 3" xfId="56374"/>
    <cellStyle name="Note 2 8 8 3" xfId="36478"/>
    <cellStyle name="Note 2 8 8 4" xfId="56375"/>
    <cellStyle name="Note 2 8 9" xfId="22146"/>
    <cellStyle name="Note 2 8 9 2" xfId="30444"/>
    <cellStyle name="Note 2 8 9 2 2" xfId="56376"/>
    <cellStyle name="Note 2 8 9 2 3" xfId="56377"/>
    <cellStyle name="Note 2 8 9 3" xfId="37475"/>
    <cellStyle name="Note 2 8 9 4" xfId="56378"/>
    <cellStyle name="Note 2 9" xfId="427"/>
    <cellStyle name="Note 2 9 10" xfId="23148"/>
    <cellStyle name="Note 2 9 11" xfId="56379"/>
    <cellStyle name="Note 2 9 12" xfId="56380"/>
    <cellStyle name="Note 2 9 13" xfId="56381"/>
    <cellStyle name="Note 2 9 14" xfId="56382"/>
    <cellStyle name="Note 2 9 15" xfId="56383"/>
    <cellStyle name="Note 2 9 2" xfId="458"/>
    <cellStyle name="Note 2 9 2 2" xfId="1462"/>
    <cellStyle name="Note 2 9 2 2 2" xfId="1796"/>
    <cellStyle name="Note 2 9 2 2 2 2" xfId="2936"/>
    <cellStyle name="Note 2 9 2 2 2 2 2" xfId="6356"/>
    <cellStyle name="Note 2 9 2 2 2 2 2 2" xfId="13196"/>
    <cellStyle name="Note 2 9 2 2 2 2 3" xfId="9776"/>
    <cellStyle name="Note 2 9 2 2 2 3" xfId="4076"/>
    <cellStyle name="Note 2 9 2 2 2 3 2" xfId="7496"/>
    <cellStyle name="Note 2 9 2 2 2 3 2 2" xfId="14336"/>
    <cellStyle name="Note 2 9 2 2 2 3 3" xfId="10916"/>
    <cellStyle name="Note 2 9 2 2 2 4" xfId="5216"/>
    <cellStyle name="Note 2 9 2 2 2 4 2" xfId="12056"/>
    <cellStyle name="Note 2 9 2 2 2 5" xfId="8636"/>
    <cellStyle name="Note 2 9 2 2 3" xfId="2283"/>
    <cellStyle name="Note 2 9 2 2 3 2" xfId="5703"/>
    <cellStyle name="Note 2 9 2 2 3 2 2" xfId="12543"/>
    <cellStyle name="Note 2 9 2 2 3 3" xfId="9123"/>
    <cellStyle name="Note 2 9 2 2 4" xfId="3423"/>
    <cellStyle name="Note 2 9 2 2 4 2" xfId="6843"/>
    <cellStyle name="Note 2 9 2 2 4 2 2" xfId="13683"/>
    <cellStyle name="Note 2 9 2 2 4 3" xfId="10263"/>
    <cellStyle name="Note 2 9 2 2 5" xfId="4563"/>
    <cellStyle name="Note 2 9 2 2 5 2" xfId="11403"/>
    <cellStyle name="Note 2 9 2 2 6" xfId="7983"/>
    <cellStyle name="Note 2 9 2 3" xfId="24183"/>
    <cellStyle name="Note 2 9 2 4" xfId="31470"/>
    <cellStyle name="Note 2 9 2 5" xfId="56384"/>
    <cellStyle name="Note 2 9 2 6" xfId="56385"/>
    <cellStyle name="Note 2 9 2 7" xfId="56386"/>
    <cellStyle name="Note 2 9 2 8" xfId="56387"/>
    <cellStyle name="Note 2 9 3" xfId="1432"/>
    <cellStyle name="Note 2 9 3 2" xfId="893"/>
    <cellStyle name="Note 2 9 3 2 2" xfId="2657"/>
    <cellStyle name="Note 2 9 3 2 2 2" xfId="6077"/>
    <cellStyle name="Note 2 9 3 2 2 2 2" xfId="12917"/>
    <cellStyle name="Note 2 9 3 2 2 3" xfId="9497"/>
    <cellStyle name="Note 2 9 3 2 3" xfId="3797"/>
    <cellStyle name="Note 2 9 3 2 3 2" xfId="7217"/>
    <cellStyle name="Note 2 9 3 2 3 2 2" xfId="14057"/>
    <cellStyle name="Note 2 9 3 2 3 3" xfId="10637"/>
    <cellStyle name="Note 2 9 3 2 4" xfId="4937"/>
    <cellStyle name="Note 2 9 3 2 4 2" xfId="11777"/>
    <cellStyle name="Note 2 9 3 2 5" xfId="8357"/>
    <cellStyle name="Note 2 9 3 3" xfId="2253"/>
    <cellStyle name="Note 2 9 3 3 2" xfId="5673"/>
    <cellStyle name="Note 2 9 3 3 2 2" xfId="12513"/>
    <cellStyle name="Note 2 9 3 3 3" xfId="9093"/>
    <cellStyle name="Note 2 9 3 4" xfId="3393"/>
    <cellStyle name="Note 2 9 3 4 2" xfId="6813"/>
    <cellStyle name="Note 2 9 3 4 2 2" xfId="13653"/>
    <cellStyle name="Note 2 9 3 4 3" xfId="10233"/>
    <cellStyle name="Note 2 9 3 5" xfId="4533"/>
    <cellStyle name="Note 2 9 3 5 2" xfId="11373"/>
    <cellStyle name="Note 2 9 3 6" xfId="7953"/>
    <cellStyle name="Note 2 9 3 7" xfId="25155"/>
    <cellStyle name="Note 2 9 3 8" xfId="32403"/>
    <cellStyle name="Note 2 9 4" xfId="17857"/>
    <cellStyle name="Note 2 9 4 2" xfId="26181"/>
    <cellStyle name="Note 2 9 4 2 2" xfId="56388"/>
    <cellStyle name="Note 2 9 4 2 3" xfId="56389"/>
    <cellStyle name="Note 2 9 4 3" xfId="33380"/>
    <cellStyle name="Note 2 9 4 4" xfId="56390"/>
    <cellStyle name="Note 2 9 5" xfId="18841"/>
    <cellStyle name="Note 2 9 5 2" xfId="27162"/>
    <cellStyle name="Note 2 9 5 2 2" xfId="56391"/>
    <cellStyle name="Note 2 9 5 2 3" xfId="56392"/>
    <cellStyle name="Note 2 9 5 3" xfId="34320"/>
    <cellStyle name="Note 2 9 5 4" xfId="56393"/>
    <cellStyle name="Note 2 9 6" xfId="19809"/>
    <cellStyle name="Note 2 9 6 2" xfId="28131"/>
    <cellStyle name="Note 2 9 6 2 2" xfId="56394"/>
    <cellStyle name="Note 2 9 6 2 3" xfId="56395"/>
    <cellStyle name="Note 2 9 6 3" xfId="35266"/>
    <cellStyle name="Note 2 9 6 4" xfId="56396"/>
    <cellStyle name="Note 2 9 7" xfId="20767"/>
    <cellStyle name="Note 2 9 7 2" xfId="29088"/>
    <cellStyle name="Note 2 9 7 2 2" xfId="56397"/>
    <cellStyle name="Note 2 9 7 2 3" xfId="56398"/>
    <cellStyle name="Note 2 9 7 3" xfId="36179"/>
    <cellStyle name="Note 2 9 7 4" xfId="56399"/>
    <cellStyle name="Note 2 9 8" xfId="21068"/>
    <cellStyle name="Note 2 9 8 2" xfId="29385"/>
    <cellStyle name="Note 2 9 8 2 2" xfId="56400"/>
    <cellStyle name="Note 2 9 8 2 3" xfId="56401"/>
    <cellStyle name="Note 2 9 8 3" xfId="36463"/>
    <cellStyle name="Note 2 9 8 4" xfId="56402"/>
    <cellStyle name="Note 2 9 9" xfId="22203"/>
    <cellStyle name="Note 2 9 9 2" xfId="30501"/>
    <cellStyle name="Note 2 9 9 2 2" xfId="56403"/>
    <cellStyle name="Note 2 9 9 2 3" xfId="56404"/>
    <cellStyle name="Note 2 9 9 3" xfId="37531"/>
    <cellStyle name="Note 2 9 9 4" xfId="56405"/>
    <cellStyle name="Note 3" xfId="64"/>
    <cellStyle name="Note 3 10" xfId="56406"/>
    <cellStyle name="Note 3 2" xfId="121"/>
    <cellStyle name="Note 3 2 2" xfId="253"/>
    <cellStyle name="Note 3 2 2 2" xfId="664"/>
    <cellStyle name="Note 3 2 2 2 2" xfId="1615"/>
    <cellStyle name="Note 3 2 2 2 2 2" xfId="792"/>
    <cellStyle name="Note 3 2 2 2 2 2 2" xfId="2692"/>
    <cellStyle name="Note 3 2 2 2 2 2 2 2" xfId="6112"/>
    <cellStyle name="Note 3 2 2 2 2 2 2 2 2" xfId="12952"/>
    <cellStyle name="Note 3 2 2 2 2 2 2 3" xfId="9532"/>
    <cellStyle name="Note 3 2 2 2 2 2 3" xfId="3832"/>
    <cellStyle name="Note 3 2 2 2 2 2 3 2" xfId="7252"/>
    <cellStyle name="Note 3 2 2 2 2 2 3 2 2" xfId="14092"/>
    <cellStyle name="Note 3 2 2 2 2 2 3 3" xfId="10672"/>
    <cellStyle name="Note 3 2 2 2 2 2 4" xfId="4972"/>
    <cellStyle name="Note 3 2 2 2 2 2 4 2" xfId="11812"/>
    <cellStyle name="Note 3 2 2 2 2 2 5" xfId="8392"/>
    <cellStyle name="Note 3 2 2 2 2 3" xfId="2449"/>
    <cellStyle name="Note 3 2 2 2 2 3 2" xfId="5869"/>
    <cellStyle name="Note 3 2 2 2 2 3 2 2" xfId="12709"/>
    <cellStyle name="Note 3 2 2 2 2 3 3" xfId="9289"/>
    <cellStyle name="Note 3 2 2 2 2 4" xfId="3589"/>
    <cellStyle name="Note 3 2 2 2 2 4 2" xfId="7009"/>
    <cellStyle name="Note 3 2 2 2 2 4 2 2" xfId="13849"/>
    <cellStyle name="Note 3 2 2 2 2 4 3" xfId="10429"/>
    <cellStyle name="Note 3 2 2 2 2 5" xfId="4729"/>
    <cellStyle name="Note 3 2 2 2 2 5 2" xfId="11569"/>
    <cellStyle name="Note 3 2 2 2 2 6" xfId="8149"/>
    <cellStyle name="Note 3 2 2 2 3" xfId="38508"/>
    <cellStyle name="Note 3 2 2 2 4" xfId="56407"/>
    <cellStyle name="Note 3 2 2 2 5" xfId="56408"/>
    <cellStyle name="Note 3 2 2 2 6" xfId="56409"/>
    <cellStyle name="Note 3 2 2 3" xfId="1260"/>
    <cellStyle name="Note 3 2 2 3 2" xfId="1686"/>
    <cellStyle name="Note 3 2 2 3 2 2" xfId="2826"/>
    <cellStyle name="Note 3 2 2 3 2 2 2" xfId="6246"/>
    <cellStyle name="Note 3 2 2 3 2 2 2 2" xfId="13086"/>
    <cellStyle name="Note 3 2 2 3 2 2 3" xfId="9666"/>
    <cellStyle name="Note 3 2 2 3 2 3" xfId="3966"/>
    <cellStyle name="Note 3 2 2 3 2 3 2" xfId="7386"/>
    <cellStyle name="Note 3 2 2 3 2 3 2 2" xfId="14226"/>
    <cellStyle name="Note 3 2 2 3 2 3 3" xfId="10806"/>
    <cellStyle name="Note 3 2 2 3 2 4" xfId="5106"/>
    <cellStyle name="Note 3 2 2 3 2 4 2" xfId="11946"/>
    <cellStyle name="Note 3 2 2 3 2 5" xfId="8526"/>
    <cellStyle name="Note 3 2 2 3 3" xfId="2080"/>
    <cellStyle name="Note 3 2 2 3 3 2" xfId="5500"/>
    <cellStyle name="Note 3 2 2 3 3 2 2" xfId="12340"/>
    <cellStyle name="Note 3 2 2 3 3 3" xfId="8920"/>
    <cellStyle name="Note 3 2 2 3 4" xfId="3220"/>
    <cellStyle name="Note 3 2 2 3 4 2" xfId="6640"/>
    <cellStyle name="Note 3 2 2 3 4 2 2" xfId="13480"/>
    <cellStyle name="Note 3 2 2 3 4 3" xfId="10060"/>
    <cellStyle name="Note 3 2 2 3 5" xfId="4360"/>
    <cellStyle name="Note 3 2 2 3 5 2" xfId="11200"/>
    <cellStyle name="Note 3 2 2 3 6" xfId="7780"/>
    <cellStyle name="Note 3 2 2 4" xfId="38274"/>
    <cellStyle name="Note 3 2 2 5" xfId="56410"/>
    <cellStyle name="Note 3 2 2 6" xfId="56411"/>
    <cellStyle name="Note 3 2 2 7" xfId="56412"/>
    <cellStyle name="Note 3 2 3" xfId="576"/>
    <cellStyle name="Note 3 2 3 2" xfId="1563"/>
    <cellStyle name="Note 3 2 3 2 2" xfId="1863"/>
    <cellStyle name="Note 3 2 3 2 2 2" xfId="3003"/>
    <cellStyle name="Note 3 2 3 2 2 2 2" xfId="6423"/>
    <cellStyle name="Note 3 2 3 2 2 2 2 2" xfId="13263"/>
    <cellStyle name="Note 3 2 3 2 2 2 3" xfId="9843"/>
    <cellStyle name="Note 3 2 3 2 2 3" xfId="4143"/>
    <cellStyle name="Note 3 2 3 2 2 3 2" xfId="7563"/>
    <cellStyle name="Note 3 2 3 2 2 3 2 2" xfId="14403"/>
    <cellStyle name="Note 3 2 3 2 2 3 3" xfId="10983"/>
    <cellStyle name="Note 3 2 3 2 2 4" xfId="5283"/>
    <cellStyle name="Note 3 2 3 2 2 4 2" xfId="12123"/>
    <cellStyle name="Note 3 2 3 2 2 5" xfId="8703"/>
    <cellStyle name="Note 3 2 3 2 3" xfId="2388"/>
    <cellStyle name="Note 3 2 3 2 3 2" xfId="5808"/>
    <cellStyle name="Note 3 2 3 2 3 2 2" xfId="12648"/>
    <cellStyle name="Note 3 2 3 2 3 3" xfId="9228"/>
    <cellStyle name="Note 3 2 3 2 4" xfId="3528"/>
    <cellStyle name="Note 3 2 3 2 4 2" xfId="6948"/>
    <cellStyle name="Note 3 2 3 2 4 2 2" xfId="13788"/>
    <cellStyle name="Note 3 2 3 2 4 3" xfId="10368"/>
    <cellStyle name="Note 3 2 3 2 5" xfId="4668"/>
    <cellStyle name="Note 3 2 3 2 5 2" xfId="11508"/>
    <cellStyle name="Note 3 2 3 2 6" xfId="8088"/>
    <cellStyle name="Note 3 2 3 3" xfId="38467"/>
    <cellStyle name="Note 3 2 3 4" xfId="56413"/>
    <cellStyle name="Note 3 2 3 5" xfId="56414"/>
    <cellStyle name="Note 3 2 3 6" xfId="56415"/>
    <cellStyle name="Note 3 2 4" xfId="1137"/>
    <cellStyle name="Note 3 2 4 2" xfId="743"/>
    <cellStyle name="Note 3 2 4 2 2" xfId="2588"/>
    <cellStyle name="Note 3 2 4 2 2 2" xfId="6008"/>
    <cellStyle name="Note 3 2 4 2 2 2 2" xfId="12848"/>
    <cellStyle name="Note 3 2 4 2 2 3" xfId="9428"/>
    <cellStyle name="Note 3 2 4 2 3" xfId="3728"/>
    <cellStyle name="Note 3 2 4 2 3 2" xfId="7148"/>
    <cellStyle name="Note 3 2 4 2 3 2 2" xfId="13988"/>
    <cellStyle name="Note 3 2 4 2 3 3" xfId="10568"/>
    <cellStyle name="Note 3 2 4 2 4" xfId="4868"/>
    <cellStyle name="Note 3 2 4 2 4 2" xfId="11708"/>
    <cellStyle name="Note 3 2 4 2 5" xfId="8288"/>
    <cellStyle name="Note 3 2 4 3" xfId="1951"/>
    <cellStyle name="Note 3 2 4 3 2" xfId="5371"/>
    <cellStyle name="Note 3 2 4 3 2 2" xfId="12211"/>
    <cellStyle name="Note 3 2 4 3 3" xfId="8791"/>
    <cellStyle name="Note 3 2 4 4" xfId="3091"/>
    <cellStyle name="Note 3 2 4 4 2" xfId="6511"/>
    <cellStyle name="Note 3 2 4 4 2 2" xfId="13351"/>
    <cellStyle name="Note 3 2 4 4 3" xfId="9931"/>
    <cellStyle name="Note 3 2 4 5" xfId="4231"/>
    <cellStyle name="Note 3 2 4 5 2" xfId="11071"/>
    <cellStyle name="Note 3 2 4 6" xfId="7651"/>
    <cellStyle name="Note 3 2 5" xfId="38203"/>
    <cellStyle name="Note 3 2 6" xfId="56416"/>
    <cellStyle name="Note 3 2 7" xfId="56417"/>
    <cellStyle name="Note 3 3" xfId="143"/>
    <cellStyle name="Note 3 3 2" xfId="269"/>
    <cellStyle name="Note 3 3 2 2" xfId="679"/>
    <cellStyle name="Note 3 3 2 2 2" xfId="1630"/>
    <cellStyle name="Note 3 3 2 2 2 2" xfId="777"/>
    <cellStyle name="Note 3 3 2 2 2 2 2" xfId="2706"/>
    <cellStyle name="Note 3 3 2 2 2 2 2 2" xfId="6126"/>
    <cellStyle name="Note 3 3 2 2 2 2 2 2 2" xfId="12966"/>
    <cellStyle name="Note 3 3 2 2 2 2 2 3" xfId="9546"/>
    <cellStyle name="Note 3 3 2 2 2 2 3" xfId="3846"/>
    <cellStyle name="Note 3 3 2 2 2 2 3 2" xfId="7266"/>
    <cellStyle name="Note 3 3 2 2 2 2 3 2 2" xfId="14106"/>
    <cellStyle name="Note 3 3 2 2 2 2 3 3" xfId="10686"/>
    <cellStyle name="Note 3 3 2 2 2 2 4" xfId="4986"/>
    <cellStyle name="Note 3 3 2 2 2 2 4 2" xfId="11826"/>
    <cellStyle name="Note 3 3 2 2 2 2 5" xfId="8406"/>
    <cellStyle name="Note 3 3 2 2 2 3" xfId="2464"/>
    <cellStyle name="Note 3 3 2 2 2 3 2" xfId="5884"/>
    <cellStyle name="Note 3 3 2 2 2 3 2 2" xfId="12724"/>
    <cellStyle name="Note 3 3 2 2 2 3 3" xfId="9304"/>
    <cellStyle name="Note 3 3 2 2 2 4" xfId="3604"/>
    <cellStyle name="Note 3 3 2 2 2 4 2" xfId="7024"/>
    <cellStyle name="Note 3 3 2 2 2 4 2 2" xfId="13864"/>
    <cellStyle name="Note 3 3 2 2 2 4 3" xfId="10444"/>
    <cellStyle name="Note 3 3 2 2 2 5" xfId="4744"/>
    <cellStyle name="Note 3 3 2 2 2 5 2" xfId="11584"/>
    <cellStyle name="Note 3 3 2 2 2 6" xfId="8164"/>
    <cellStyle name="Note 3 3 2 2 3" xfId="38523"/>
    <cellStyle name="Note 3 3 2 2 4" xfId="56418"/>
    <cellStyle name="Note 3 3 2 2 5" xfId="56419"/>
    <cellStyle name="Note 3 3 2 2 6" xfId="56420"/>
    <cellStyle name="Note 3 3 2 3" xfId="1276"/>
    <cellStyle name="Note 3 3 2 3 2" xfId="990"/>
    <cellStyle name="Note 3 3 2 3 2 2" xfId="2599"/>
    <cellStyle name="Note 3 3 2 3 2 2 2" xfId="6019"/>
    <cellStyle name="Note 3 3 2 3 2 2 2 2" xfId="12859"/>
    <cellStyle name="Note 3 3 2 3 2 2 3" xfId="9439"/>
    <cellStyle name="Note 3 3 2 3 2 3" xfId="3739"/>
    <cellStyle name="Note 3 3 2 3 2 3 2" xfId="7159"/>
    <cellStyle name="Note 3 3 2 3 2 3 2 2" xfId="13999"/>
    <cellStyle name="Note 3 3 2 3 2 3 3" xfId="10579"/>
    <cellStyle name="Note 3 3 2 3 2 4" xfId="4879"/>
    <cellStyle name="Note 3 3 2 3 2 4 2" xfId="11719"/>
    <cellStyle name="Note 3 3 2 3 2 5" xfId="8299"/>
    <cellStyle name="Note 3 3 2 3 3" xfId="2096"/>
    <cellStyle name="Note 3 3 2 3 3 2" xfId="5516"/>
    <cellStyle name="Note 3 3 2 3 3 2 2" xfId="12356"/>
    <cellStyle name="Note 3 3 2 3 3 3" xfId="8936"/>
    <cellStyle name="Note 3 3 2 3 4" xfId="3236"/>
    <cellStyle name="Note 3 3 2 3 4 2" xfId="6656"/>
    <cellStyle name="Note 3 3 2 3 4 2 2" xfId="13496"/>
    <cellStyle name="Note 3 3 2 3 4 3" xfId="10076"/>
    <cellStyle name="Note 3 3 2 3 5" xfId="4376"/>
    <cellStyle name="Note 3 3 2 3 5 2" xfId="11216"/>
    <cellStyle name="Note 3 3 2 3 6" xfId="7796"/>
    <cellStyle name="Note 3 3 2 4" xfId="38286"/>
    <cellStyle name="Note 3 3 2 5" xfId="56421"/>
    <cellStyle name="Note 3 3 2 6" xfId="56422"/>
    <cellStyle name="Note 3 3 2 7" xfId="56423"/>
    <cellStyle name="Note 3 3 3" xfId="591"/>
    <cellStyle name="Note 3 3 3 2" xfId="1578"/>
    <cellStyle name="Note 3 3 3 2 2" xfId="822"/>
    <cellStyle name="Note 3 3 3 2 2 2" xfId="2711"/>
    <cellStyle name="Note 3 3 3 2 2 2 2" xfId="6131"/>
    <cellStyle name="Note 3 3 3 2 2 2 2 2" xfId="12971"/>
    <cellStyle name="Note 3 3 3 2 2 2 3" xfId="9551"/>
    <cellStyle name="Note 3 3 3 2 2 3" xfId="3851"/>
    <cellStyle name="Note 3 3 3 2 2 3 2" xfId="7271"/>
    <cellStyle name="Note 3 3 3 2 2 3 2 2" xfId="14111"/>
    <cellStyle name="Note 3 3 3 2 2 3 3" xfId="10691"/>
    <cellStyle name="Note 3 3 3 2 2 4" xfId="4991"/>
    <cellStyle name="Note 3 3 3 2 2 4 2" xfId="11831"/>
    <cellStyle name="Note 3 3 3 2 2 5" xfId="8411"/>
    <cellStyle name="Note 3 3 3 2 3" xfId="2403"/>
    <cellStyle name="Note 3 3 3 2 3 2" xfId="5823"/>
    <cellStyle name="Note 3 3 3 2 3 2 2" xfId="12663"/>
    <cellStyle name="Note 3 3 3 2 3 3" xfId="9243"/>
    <cellStyle name="Note 3 3 3 2 4" xfId="3543"/>
    <cellStyle name="Note 3 3 3 2 4 2" xfId="6963"/>
    <cellStyle name="Note 3 3 3 2 4 2 2" xfId="13803"/>
    <cellStyle name="Note 3 3 3 2 4 3" xfId="10383"/>
    <cellStyle name="Note 3 3 3 2 5" xfId="4683"/>
    <cellStyle name="Note 3 3 3 2 5 2" xfId="11523"/>
    <cellStyle name="Note 3 3 3 2 6" xfId="8103"/>
    <cellStyle name="Note 3 3 3 3" xfId="38472"/>
    <cellStyle name="Note 3 3 3 4" xfId="56424"/>
    <cellStyle name="Note 3 3 3 5" xfId="56425"/>
    <cellStyle name="Note 3 3 3 6" xfId="56426"/>
    <cellStyle name="Note 3 3 4" xfId="1152"/>
    <cellStyle name="Note 3 3 4 2" xfId="1052"/>
    <cellStyle name="Note 3 3 4 2 2" xfId="2597"/>
    <cellStyle name="Note 3 3 4 2 2 2" xfId="6017"/>
    <cellStyle name="Note 3 3 4 2 2 2 2" xfId="12857"/>
    <cellStyle name="Note 3 3 4 2 2 3" xfId="9437"/>
    <cellStyle name="Note 3 3 4 2 3" xfId="3737"/>
    <cellStyle name="Note 3 3 4 2 3 2" xfId="7157"/>
    <cellStyle name="Note 3 3 4 2 3 2 2" xfId="13997"/>
    <cellStyle name="Note 3 3 4 2 3 3" xfId="10577"/>
    <cellStyle name="Note 3 3 4 2 4" xfId="4877"/>
    <cellStyle name="Note 3 3 4 2 4 2" xfId="11717"/>
    <cellStyle name="Note 3 3 4 2 5" xfId="8297"/>
    <cellStyle name="Note 3 3 4 3" xfId="1971"/>
    <cellStyle name="Note 3 3 4 3 2" xfId="5391"/>
    <cellStyle name="Note 3 3 4 3 2 2" xfId="12231"/>
    <cellStyle name="Note 3 3 4 3 3" xfId="8811"/>
    <cellStyle name="Note 3 3 4 4" xfId="3111"/>
    <cellStyle name="Note 3 3 4 4 2" xfId="6531"/>
    <cellStyle name="Note 3 3 4 4 2 2" xfId="13371"/>
    <cellStyle name="Note 3 3 4 4 3" xfId="9951"/>
    <cellStyle name="Note 3 3 4 5" xfId="4251"/>
    <cellStyle name="Note 3 3 4 5 2" xfId="11091"/>
    <cellStyle name="Note 3 3 4 6" xfId="7671"/>
    <cellStyle name="Note 3 3 5" xfId="38208"/>
    <cellStyle name="Note 3 3 6" xfId="56427"/>
    <cellStyle name="Note 3 3 7" xfId="56428"/>
    <cellStyle name="Note 3 4" xfId="309"/>
    <cellStyle name="Note 3 4 2" xfId="381"/>
    <cellStyle name="Note 3 4 2 2" xfId="1386"/>
    <cellStyle name="Note 3 4 2 2 2" xfId="1816"/>
    <cellStyle name="Note 3 4 2 2 2 2" xfId="2956"/>
    <cellStyle name="Note 3 4 2 2 2 2 2" xfId="6376"/>
    <cellStyle name="Note 3 4 2 2 2 2 2 2" xfId="13216"/>
    <cellStyle name="Note 3 4 2 2 2 2 3" xfId="9796"/>
    <cellStyle name="Note 3 4 2 2 2 3" xfId="4096"/>
    <cellStyle name="Note 3 4 2 2 2 3 2" xfId="7516"/>
    <cellStyle name="Note 3 4 2 2 2 3 2 2" xfId="14356"/>
    <cellStyle name="Note 3 4 2 2 2 3 3" xfId="10936"/>
    <cellStyle name="Note 3 4 2 2 2 4" xfId="5236"/>
    <cellStyle name="Note 3 4 2 2 2 4 2" xfId="12076"/>
    <cellStyle name="Note 3 4 2 2 2 5" xfId="8656"/>
    <cellStyle name="Note 3 4 2 2 3" xfId="2207"/>
    <cellStyle name="Note 3 4 2 2 3 2" xfId="5627"/>
    <cellStyle name="Note 3 4 2 2 3 2 2" xfId="12467"/>
    <cellStyle name="Note 3 4 2 2 3 3" xfId="9047"/>
    <cellStyle name="Note 3 4 2 2 4" xfId="3347"/>
    <cellStyle name="Note 3 4 2 2 4 2" xfId="6767"/>
    <cellStyle name="Note 3 4 2 2 4 2 2" xfId="13607"/>
    <cellStyle name="Note 3 4 2 2 4 3" xfId="10187"/>
    <cellStyle name="Note 3 4 2 2 5" xfId="4487"/>
    <cellStyle name="Note 3 4 2 2 5 2" xfId="11327"/>
    <cellStyle name="Note 3 4 2 2 6" xfId="7907"/>
    <cellStyle name="Note 3 4 2 3" xfId="38364"/>
    <cellStyle name="Note 3 4 2 4" xfId="56429"/>
    <cellStyle name="Note 3 4 2 5" xfId="56430"/>
    <cellStyle name="Note 3 4 2 6" xfId="56431"/>
    <cellStyle name="Note 3 4 3" xfId="1315"/>
    <cellStyle name="Note 3 4 3 2" xfId="1760"/>
    <cellStyle name="Note 3 4 3 2 2" xfId="2900"/>
    <cellStyle name="Note 3 4 3 2 2 2" xfId="6320"/>
    <cellStyle name="Note 3 4 3 2 2 2 2" xfId="13160"/>
    <cellStyle name="Note 3 4 3 2 2 3" xfId="9740"/>
    <cellStyle name="Note 3 4 3 2 3" xfId="4040"/>
    <cellStyle name="Note 3 4 3 2 3 2" xfId="7460"/>
    <cellStyle name="Note 3 4 3 2 3 2 2" xfId="14300"/>
    <cellStyle name="Note 3 4 3 2 3 3" xfId="10880"/>
    <cellStyle name="Note 3 4 3 2 4" xfId="5180"/>
    <cellStyle name="Note 3 4 3 2 4 2" xfId="12020"/>
    <cellStyle name="Note 3 4 3 2 5" xfId="8600"/>
    <cellStyle name="Note 3 4 3 3" xfId="2135"/>
    <cellStyle name="Note 3 4 3 3 2" xfId="5555"/>
    <cellStyle name="Note 3 4 3 3 2 2" xfId="12395"/>
    <cellStyle name="Note 3 4 3 3 3" xfId="8975"/>
    <cellStyle name="Note 3 4 3 4" xfId="3275"/>
    <cellStyle name="Note 3 4 3 4 2" xfId="6695"/>
    <cellStyle name="Note 3 4 3 4 2 2" xfId="13535"/>
    <cellStyle name="Note 3 4 3 4 3" xfId="10115"/>
    <cellStyle name="Note 3 4 3 5" xfId="4415"/>
    <cellStyle name="Note 3 4 3 5 2" xfId="11255"/>
    <cellStyle name="Note 3 4 3 6" xfId="7835"/>
    <cellStyle name="Note 3 4 4" xfId="38317"/>
    <cellStyle name="Note 3 4 5" xfId="56432"/>
    <cellStyle name="Note 3 4 6" xfId="56433"/>
    <cellStyle name="Note 3 5" xfId="208"/>
    <cellStyle name="Note 3 5 2" xfId="181"/>
    <cellStyle name="Note 3 5 2 2" xfId="1189"/>
    <cellStyle name="Note 3 5 2 2 2" xfId="1034"/>
    <cellStyle name="Note 3 5 2 2 2 2" xfId="2574"/>
    <cellStyle name="Note 3 5 2 2 2 2 2" xfId="5994"/>
    <cellStyle name="Note 3 5 2 2 2 2 2 2" xfId="12834"/>
    <cellStyle name="Note 3 5 2 2 2 2 3" xfId="9414"/>
    <cellStyle name="Note 3 5 2 2 2 3" xfId="3714"/>
    <cellStyle name="Note 3 5 2 2 2 3 2" xfId="7134"/>
    <cellStyle name="Note 3 5 2 2 2 3 2 2" xfId="13974"/>
    <cellStyle name="Note 3 5 2 2 2 3 3" xfId="10554"/>
    <cellStyle name="Note 3 5 2 2 2 4" xfId="4854"/>
    <cellStyle name="Note 3 5 2 2 2 4 2" xfId="11694"/>
    <cellStyle name="Note 3 5 2 2 2 5" xfId="8274"/>
    <cellStyle name="Note 3 5 2 2 3" xfId="2008"/>
    <cellStyle name="Note 3 5 2 2 3 2" xfId="5428"/>
    <cellStyle name="Note 3 5 2 2 3 2 2" xfId="12268"/>
    <cellStyle name="Note 3 5 2 2 3 3" xfId="8848"/>
    <cellStyle name="Note 3 5 2 2 4" xfId="3148"/>
    <cellStyle name="Note 3 5 2 2 4 2" xfId="6568"/>
    <cellStyle name="Note 3 5 2 2 4 2 2" xfId="13408"/>
    <cellStyle name="Note 3 5 2 2 4 3" xfId="9988"/>
    <cellStyle name="Note 3 5 2 2 5" xfId="4288"/>
    <cellStyle name="Note 3 5 2 2 5 2" xfId="11128"/>
    <cellStyle name="Note 3 5 2 2 6" xfId="7708"/>
    <cellStyle name="Note 3 5 2 3" xfId="38238"/>
    <cellStyle name="Note 3 5 2 4" xfId="56434"/>
    <cellStyle name="Note 3 5 2 5" xfId="56435"/>
    <cellStyle name="Note 3 5 2 6" xfId="56436"/>
    <cellStyle name="Note 3 5 3" xfId="1216"/>
    <cellStyle name="Note 3 5 3 2" xfId="1019"/>
    <cellStyle name="Note 3 5 3 2 2" xfId="2555"/>
    <cellStyle name="Note 3 5 3 2 2 2" xfId="5975"/>
    <cellStyle name="Note 3 5 3 2 2 2 2" xfId="12815"/>
    <cellStyle name="Note 3 5 3 2 2 3" xfId="9395"/>
    <cellStyle name="Note 3 5 3 2 3" xfId="3695"/>
    <cellStyle name="Note 3 5 3 2 3 2" xfId="7115"/>
    <cellStyle name="Note 3 5 3 2 3 2 2" xfId="13955"/>
    <cellStyle name="Note 3 5 3 2 3 3" xfId="10535"/>
    <cellStyle name="Note 3 5 3 2 4" xfId="4835"/>
    <cellStyle name="Note 3 5 3 2 4 2" xfId="11675"/>
    <cellStyle name="Note 3 5 3 2 5" xfId="8255"/>
    <cellStyle name="Note 3 5 3 3" xfId="2035"/>
    <cellStyle name="Note 3 5 3 3 2" xfId="5455"/>
    <cellStyle name="Note 3 5 3 3 2 2" xfId="12295"/>
    <cellStyle name="Note 3 5 3 3 3" xfId="8875"/>
    <cellStyle name="Note 3 5 3 4" xfId="3175"/>
    <cellStyle name="Note 3 5 3 4 2" xfId="6595"/>
    <cellStyle name="Note 3 5 3 4 2 2" xfId="13435"/>
    <cellStyle name="Note 3 5 3 4 3" xfId="10015"/>
    <cellStyle name="Note 3 5 3 5" xfId="4315"/>
    <cellStyle name="Note 3 5 3 5 2" xfId="11155"/>
    <cellStyle name="Note 3 5 3 6" xfId="7735"/>
    <cellStyle name="Note 3 5 4" xfId="38250"/>
    <cellStyle name="Note 3 5 5" xfId="56437"/>
    <cellStyle name="Note 3 5 6" xfId="56438"/>
    <cellStyle name="Note 3 6" xfId="435"/>
    <cellStyle name="Note 3 6 2" xfId="536"/>
    <cellStyle name="Note 3 6 2 2" xfId="1540"/>
    <cellStyle name="Note 3 6 2 2 2" xfId="1702"/>
    <cellStyle name="Note 3 6 2 2 2 2" xfId="2842"/>
    <cellStyle name="Note 3 6 2 2 2 2 2" xfId="6262"/>
    <cellStyle name="Note 3 6 2 2 2 2 2 2" xfId="13102"/>
    <cellStyle name="Note 3 6 2 2 2 2 3" xfId="9682"/>
    <cellStyle name="Note 3 6 2 2 2 3" xfId="3982"/>
    <cellStyle name="Note 3 6 2 2 2 3 2" xfId="7402"/>
    <cellStyle name="Note 3 6 2 2 2 3 2 2" xfId="14242"/>
    <cellStyle name="Note 3 6 2 2 2 3 3" xfId="10822"/>
    <cellStyle name="Note 3 6 2 2 2 4" xfId="5122"/>
    <cellStyle name="Note 3 6 2 2 2 4 2" xfId="11962"/>
    <cellStyle name="Note 3 6 2 2 2 5" xfId="8542"/>
    <cellStyle name="Note 3 6 2 2 3" xfId="2361"/>
    <cellStyle name="Note 3 6 2 2 3 2" xfId="5781"/>
    <cellStyle name="Note 3 6 2 2 3 2 2" xfId="12621"/>
    <cellStyle name="Note 3 6 2 2 3 3" xfId="9201"/>
    <cellStyle name="Note 3 6 2 2 4" xfId="3501"/>
    <cellStyle name="Note 3 6 2 2 4 2" xfId="6921"/>
    <cellStyle name="Note 3 6 2 2 4 2 2" xfId="13761"/>
    <cellStyle name="Note 3 6 2 2 4 3" xfId="10341"/>
    <cellStyle name="Note 3 6 2 2 5" xfId="4641"/>
    <cellStyle name="Note 3 6 2 2 5 2" xfId="11481"/>
    <cellStyle name="Note 3 6 2 2 6" xfId="8061"/>
    <cellStyle name="Note 3 6 2 3" xfId="38454"/>
    <cellStyle name="Note 3 6 2 4" xfId="56439"/>
    <cellStyle name="Note 3 6 2 5" xfId="56440"/>
    <cellStyle name="Note 3 6 2 6" xfId="56441"/>
    <cellStyle name="Note 3 6 3" xfId="1439"/>
    <cellStyle name="Note 3 6 3 2" xfId="890"/>
    <cellStyle name="Note 3 6 3 2 2" xfId="2521"/>
    <cellStyle name="Note 3 6 3 2 2 2" xfId="5941"/>
    <cellStyle name="Note 3 6 3 2 2 2 2" xfId="12781"/>
    <cellStyle name="Note 3 6 3 2 2 3" xfId="9361"/>
    <cellStyle name="Note 3 6 3 2 3" xfId="3661"/>
    <cellStyle name="Note 3 6 3 2 3 2" xfId="7081"/>
    <cellStyle name="Note 3 6 3 2 3 2 2" xfId="13921"/>
    <cellStyle name="Note 3 6 3 2 3 3" xfId="10501"/>
    <cellStyle name="Note 3 6 3 2 4" xfId="4801"/>
    <cellStyle name="Note 3 6 3 2 4 2" xfId="11641"/>
    <cellStyle name="Note 3 6 3 2 5" xfId="8221"/>
    <cellStyle name="Note 3 6 3 3" xfId="2260"/>
    <cellStyle name="Note 3 6 3 3 2" xfId="5680"/>
    <cellStyle name="Note 3 6 3 3 2 2" xfId="12520"/>
    <cellStyle name="Note 3 6 3 3 3" xfId="9100"/>
    <cellStyle name="Note 3 6 3 4" xfId="3400"/>
    <cellStyle name="Note 3 6 3 4 2" xfId="6820"/>
    <cellStyle name="Note 3 6 3 4 2 2" xfId="13660"/>
    <cellStyle name="Note 3 6 3 4 3" xfId="10240"/>
    <cellStyle name="Note 3 6 3 5" xfId="4540"/>
    <cellStyle name="Note 3 6 3 5 2" xfId="11380"/>
    <cellStyle name="Note 3 6 3 6" xfId="7960"/>
    <cellStyle name="Note 3 6 4" xfId="38398"/>
    <cellStyle name="Note 3 6 5" xfId="56442"/>
    <cellStyle name="Note 3 6 6" xfId="56443"/>
    <cellStyle name="Note 3 6 7" xfId="56444"/>
    <cellStyle name="Note 3 7" xfId="448"/>
    <cellStyle name="Note 3 7 2" xfId="197"/>
    <cellStyle name="Note 3 7 2 2" xfId="1205"/>
    <cellStyle name="Note 3 7 2 2 2" xfId="1752"/>
    <cellStyle name="Note 3 7 2 2 2 2" xfId="2892"/>
    <cellStyle name="Note 3 7 2 2 2 2 2" xfId="6312"/>
    <cellStyle name="Note 3 7 2 2 2 2 2 2" xfId="13152"/>
    <cellStyle name="Note 3 7 2 2 2 2 3" xfId="9732"/>
    <cellStyle name="Note 3 7 2 2 2 3" xfId="4032"/>
    <cellStyle name="Note 3 7 2 2 2 3 2" xfId="7452"/>
    <cellStyle name="Note 3 7 2 2 2 3 2 2" xfId="14292"/>
    <cellStyle name="Note 3 7 2 2 2 3 3" xfId="10872"/>
    <cellStyle name="Note 3 7 2 2 2 4" xfId="5172"/>
    <cellStyle name="Note 3 7 2 2 2 4 2" xfId="12012"/>
    <cellStyle name="Note 3 7 2 2 2 5" xfId="8592"/>
    <cellStyle name="Note 3 7 2 2 3" xfId="2024"/>
    <cellStyle name="Note 3 7 2 2 3 2" xfId="5444"/>
    <cellStyle name="Note 3 7 2 2 3 2 2" xfId="12284"/>
    <cellStyle name="Note 3 7 2 2 3 3" xfId="8864"/>
    <cellStyle name="Note 3 7 2 2 4" xfId="3164"/>
    <cellStyle name="Note 3 7 2 2 4 2" xfId="6584"/>
    <cellStyle name="Note 3 7 2 2 4 2 2" xfId="13424"/>
    <cellStyle name="Note 3 7 2 2 4 3" xfId="10004"/>
    <cellStyle name="Note 3 7 2 2 5" xfId="4304"/>
    <cellStyle name="Note 3 7 2 2 5 2" xfId="11144"/>
    <cellStyle name="Note 3 7 2 2 6" xfId="7724"/>
    <cellStyle name="Note 3 7 2 3" xfId="38246"/>
    <cellStyle name="Note 3 7 2 4" xfId="56445"/>
    <cellStyle name="Note 3 7 2 5" xfId="56446"/>
    <cellStyle name="Note 3 7 2 6" xfId="56447"/>
    <cellStyle name="Note 3 7 3" xfId="1452"/>
    <cellStyle name="Note 3 7 3 2" xfId="1732"/>
    <cellStyle name="Note 3 7 3 2 2" xfId="2872"/>
    <cellStyle name="Note 3 7 3 2 2 2" xfId="6292"/>
    <cellStyle name="Note 3 7 3 2 2 2 2" xfId="13132"/>
    <cellStyle name="Note 3 7 3 2 2 3" xfId="9712"/>
    <cellStyle name="Note 3 7 3 2 3" xfId="4012"/>
    <cellStyle name="Note 3 7 3 2 3 2" xfId="7432"/>
    <cellStyle name="Note 3 7 3 2 3 2 2" xfId="14272"/>
    <cellStyle name="Note 3 7 3 2 3 3" xfId="10852"/>
    <cellStyle name="Note 3 7 3 2 4" xfId="5152"/>
    <cellStyle name="Note 3 7 3 2 4 2" xfId="11992"/>
    <cellStyle name="Note 3 7 3 2 5" xfId="8572"/>
    <cellStyle name="Note 3 7 3 3" xfId="2273"/>
    <cellStyle name="Note 3 7 3 3 2" xfId="5693"/>
    <cellStyle name="Note 3 7 3 3 2 2" xfId="12533"/>
    <cellStyle name="Note 3 7 3 3 3" xfId="9113"/>
    <cellStyle name="Note 3 7 3 4" xfId="3413"/>
    <cellStyle name="Note 3 7 3 4 2" xfId="6833"/>
    <cellStyle name="Note 3 7 3 4 2 2" xfId="13673"/>
    <cellStyle name="Note 3 7 3 4 3" xfId="10253"/>
    <cellStyle name="Note 3 7 3 5" xfId="4553"/>
    <cellStyle name="Note 3 7 3 5 2" xfId="11393"/>
    <cellStyle name="Note 3 7 3 6" xfId="7973"/>
    <cellStyle name="Note 3 7 4" xfId="38409"/>
    <cellStyle name="Note 3 7 5" xfId="56448"/>
    <cellStyle name="Note 3 7 6" xfId="56449"/>
    <cellStyle name="Note 3 7 7" xfId="56450"/>
    <cellStyle name="Note 3 8" xfId="1101"/>
    <cellStyle name="Note 3 8 2" xfId="1076"/>
    <cellStyle name="Note 3 8 2 2" xfId="2763"/>
    <cellStyle name="Note 3 8 2 2 2" xfId="6183"/>
    <cellStyle name="Note 3 8 2 2 2 2" xfId="13023"/>
    <cellStyle name="Note 3 8 2 2 3" xfId="9603"/>
    <cellStyle name="Note 3 8 2 3" xfId="3903"/>
    <cellStyle name="Note 3 8 2 3 2" xfId="7323"/>
    <cellStyle name="Note 3 8 2 3 2 2" xfId="14163"/>
    <cellStyle name="Note 3 8 2 3 3" xfId="10743"/>
    <cellStyle name="Note 3 8 2 4" xfId="5043"/>
    <cellStyle name="Note 3 8 2 4 2" xfId="11883"/>
    <cellStyle name="Note 3 8 2 5" xfId="8463"/>
    <cellStyle name="Note 3 8 3" xfId="1908"/>
    <cellStyle name="Note 3 8 3 2" xfId="5328"/>
    <cellStyle name="Note 3 8 3 2 2" xfId="12168"/>
    <cellStyle name="Note 3 8 3 3" xfId="8748"/>
    <cellStyle name="Note 3 8 4" xfId="3048"/>
    <cellStyle name="Note 3 8 4 2" xfId="6468"/>
    <cellStyle name="Note 3 8 4 2 2" xfId="13308"/>
    <cellStyle name="Note 3 8 4 3" xfId="9888"/>
    <cellStyle name="Note 3 8 5" xfId="4188"/>
    <cellStyle name="Note 3 8 5 2" xfId="11028"/>
    <cellStyle name="Note 3 8 6" xfId="7608"/>
    <cellStyle name="Note 3 9" xfId="38187"/>
    <cellStyle name="Note 4" xfId="100"/>
    <cellStyle name="Note 4 2" xfId="159"/>
    <cellStyle name="Note 4 2 2" xfId="285"/>
    <cellStyle name="Note 4 2 2 2" xfId="694"/>
    <cellStyle name="Note 4 2 2 2 2" xfId="1645"/>
    <cellStyle name="Note 4 2 2 2 2 2" xfId="762"/>
    <cellStyle name="Note 4 2 2 2 2 2 2" xfId="2761"/>
    <cellStyle name="Note 4 2 2 2 2 2 2 2" xfId="6181"/>
    <cellStyle name="Note 4 2 2 2 2 2 2 2 2" xfId="13021"/>
    <cellStyle name="Note 4 2 2 2 2 2 2 3" xfId="9601"/>
    <cellStyle name="Note 4 2 2 2 2 2 3" xfId="3901"/>
    <cellStyle name="Note 4 2 2 2 2 2 3 2" xfId="7321"/>
    <cellStyle name="Note 4 2 2 2 2 2 3 2 2" xfId="14161"/>
    <cellStyle name="Note 4 2 2 2 2 2 3 3" xfId="10741"/>
    <cellStyle name="Note 4 2 2 2 2 2 4" xfId="5041"/>
    <cellStyle name="Note 4 2 2 2 2 2 4 2" xfId="11881"/>
    <cellStyle name="Note 4 2 2 2 2 2 5" xfId="8461"/>
    <cellStyle name="Note 4 2 2 2 2 3" xfId="2479"/>
    <cellStyle name="Note 4 2 2 2 2 3 2" xfId="5899"/>
    <cellStyle name="Note 4 2 2 2 2 3 2 2" xfId="12739"/>
    <cellStyle name="Note 4 2 2 2 2 3 3" xfId="9319"/>
    <cellStyle name="Note 4 2 2 2 2 4" xfId="3619"/>
    <cellStyle name="Note 4 2 2 2 2 4 2" xfId="7039"/>
    <cellStyle name="Note 4 2 2 2 2 4 2 2" xfId="13879"/>
    <cellStyle name="Note 4 2 2 2 2 4 3" xfId="10459"/>
    <cellStyle name="Note 4 2 2 2 2 5" xfId="4759"/>
    <cellStyle name="Note 4 2 2 2 2 5 2" xfId="11599"/>
    <cellStyle name="Note 4 2 2 2 2 6" xfId="8179"/>
    <cellStyle name="Note 4 2 2 2 3" xfId="38538"/>
    <cellStyle name="Note 4 2 2 2 4" xfId="56451"/>
    <cellStyle name="Note 4 2 2 2 5" xfId="56452"/>
    <cellStyle name="Note 4 2 2 2 6" xfId="56453"/>
    <cellStyle name="Note 4 2 2 3" xfId="1291"/>
    <cellStyle name="Note 4 2 2 3 2" xfId="983"/>
    <cellStyle name="Note 4 2 2 3 2 2" xfId="1889"/>
    <cellStyle name="Note 4 2 2 3 2 2 2" xfId="5309"/>
    <cellStyle name="Note 4 2 2 3 2 2 2 2" xfId="12149"/>
    <cellStyle name="Note 4 2 2 3 2 2 3" xfId="8729"/>
    <cellStyle name="Note 4 2 2 3 2 3" xfId="3029"/>
    <cellStyle name="Note 4 2 2 3 2 3 2" xfId="6449"/>
    <cellStyle name="Note 4 2 2 3 2 3 2 2" xfId="13289"/>
    <cellStyle name="Note 4 2 2 3 2 3 3" xfId="9869"/>
    <cellStyle name="Note 4 2 2 3 2 4" xfId="4169"/>
    <cellStyle name="Note 4 2 2 3 2 4 2" xfId="11009"/>
    <cellStyle name="Note 4 2 2 3 2 5" xfId="7589"/>
    <cellStyle name="Note 4 2 2 3 3" xfId="2111"/>
    <cellStyle name="Note 4 2 2 3 3 2" xfId="5531"/>
    <cellStyle name="Note 4 2 2 3 3 2 2" xfId="12371"/>
    <cellStyle name="Note 4 2 2 3 3 3" xfId="8951"/>
    <cellStyle name="Note 4 2 2 3 4" xfId="3251"/>
    <cellStyle name="Note 4 2 2 3 4 2" xfId="6671"/>
    <cellStyle name="Note 4 2 2 3 4 2 2" xfId="13511"/>
    <cellStyle name="Note 4 2 2 3 4 3" xfId="10091"/>
    <cellStyle name="Note 4 2 2 3 5" xfId="4391"/>
    <cellStyle name="Note 4 2 2 3 5 2" xfId="11231"/>
    <cellStyle name="Note 4 2 2 3 6" xfId="7811"/>
    <cellStyle name="Note 4 2 2 4" xfId="38301"/>
    <cellStyle name="Note 4 2 2 5" xfId="56454"/>
    <cellStyle name="Note 4 2 2 6" xfId="56455"/>
    <cellStyle name="Note 4 2 2 7" xfId="56456"/>
    <cellStyle name="Note 4 2 3" xfId="606"/>
    <cellStyle name="Note 4 2 3 2" xfId="1593"/>
    <cellStyle name="Note 4 2 3 2 2" xfId="813"/>
    <cellStyle name="Note 4 2 3 2 2 2" xfId="1954"/>
    <cellStyle name="Note 4 2 3 2 2 2 2" xfId="5374"/>
    <cellStyle name="Note 4 2 3 2 2 2 2 2" xfId="12214"/>
    <cellStyle name="Note 4 2 3 2 2 2 3" xfId="8794"/>
    <cellStyle name="Note 4 2 3 2 2 3" xfId="3094"/>
    <cellStyle name="Note 4 2 3 2 2 3 2" xfId="6514"/>
    <cellStyle name="Note 4 2 3 2 2 3 2 2" xfId="13354"/>
    <cellStyle name="Note 4 2 3 2 2 3 3" xfId="9934"/>
    <cellStyle name="Note 4 2 3 2 2 4" xfId="4234"/>
    <cellStyle name="Note 4 2 3 2 2 4 2" xfId="11074"/>
    <cellStyle name="Note 4 2 3 2 2 5" xfId="7654"/>
    <cellStyle name="Note 4 2 3 2 3" xfId="2418"/>
    <cellStyle name="Note 4 2 3 2 3 2" xfId="5838"/>
    <cellStyle name="Note 4 2 3 2 3 2 2" xfId="12678"/>
    <cellStyle name="Note 4 2 3 2 3 3" xfId="9258"/>
    <cellStyle name="Note 4 2 3 2 4" xfId="3558"/>
    <cellStyle name="Note 4 2 3 2 4 2" xfId="6978"/>
    <cellStyle name="Note 4 2 3 2 4 2 2" xfId="13818"/>
    <cellStyle name="Note 4 2 3 2 4 3" xfId="10398"/>
    <cellStyle name="Note 4 2 3 2 5" xfId="4698"/>
    <cellStyle name="Note 4 2 3 2 5 2" xfId="11538"/>
    <cellStyle name="Note 4 2 3 2 6" xfId="8118"/>
    <cellStyle name="Note 4 2 3 3" xfId="38487"/>
    <cellStyle name="Note 4 2 3 4" xfId="56457"/>
    <cellStyle name="Note 4 2 3 5" xfId="56458"/>
    <cellStyle name="Note 4 2 3 6" xfId="56459"/>
    <cellStyle name="Note 4 2 4" xfId="1167"/>
    <cellStyle name="Note 4 2 4 2" xfId="1044"/>
    <cellStyle name="Note 4 2 4 2 2" xfId="2796"/>
    <cellStyle name="Note 4 2 4 2 2 2" xfId="6216"/>
    <cellStyle name="Note 4 2 4 2 2 2 2" xfId="13056"/>
    <cellStyle name="Note 4 2 4 2 2 3" xfId="9636"/>
    <cellStyle name="Note 4 2 4 2 3" xfId="3936"/>
    <cellStyle name="Note 4 2 4 2 3 2" xfId="7356"/>
    <cellStyle name="Note 4 2 4 2 3 2 2" xfId="14196"/>
    <cellStyle name="Note 4 2 4 2 3 3" xfId="10776"/>
    <cellStyle name="Note 4 2 4 2 4" xfId="5076"/>
    <cellStyle name="Note 4 2 4 2 4 2" xfId="11916"/>
    <cellStyle name="Note 4 2 4 2 5" xfId="8496"/>
    <cellStyle name="Note 4 2 4 3" xfId="1986"/>
    <cellStyle name="Note 4 2 4 3 2" xfId="5406"/>
    <cellStyle name="Note 4 2 4 3 2 2" xfId="12246"/>
    <cellStyle name="Note 4 2 4 3 3" xfId="8826"/>
    <cellStyle name="Note 4 2 4 4" xfId="3126"/>
    <cellStyle name="Note 4 2 4 4 2" xfId="6546"/>
    <cellStyle name="Note 4 2 4 4 2 2" xfId="13386"/>
    <cellStyle name="Note 4 2 4 4 3" xfId="9966"/>
    <cellStyle name="Note 4 2 4 5" xfId="4266"/>
    <cellStyle name="Note 4 2 4 5 2" xfId="11106"/>
    <cellStyle name="Note 4 2 4 6" xfId="7686"/>
    <cellStyle name="Note 4 2 5" xfId="38223"/>
    <cellStyle name="Note 4 2 6" xfId="56460"/>
    <cellStyle name="Note 4 2 7" xfId="56461"/>
    <cellStyle name="Note 4 3" xfId="325"/>
    <cellStyle name="Note 4 3 2" xfId="342"/>
    <cellStyle name="Note 4 3 2 2" xfId="1347"/>
    <cellStyle name="Note 4 3 2 2 2" xfId="945"/>
    <cellStyle name="Note 4 3 2 2 2 2" xfId="2775"/>
    <cellStyle name="Note 4 3 2 2 2 2 2" xfId="6195"/>
    <cellStyle name="Note 4 3 2 2 2 2 2 2" xfId="13035"/>
    <cellStyle name="Note 4 3 2 2 2 2 3" xfId="9615"/>
    <cellStyle name="Note 4 3 2 2 2 3" xfId="3915"/>
    <cellStyle name="Note 4 3 2 2 2 3 2" xfId="7335"/>
    <cellStyle name="Note 4 3 2 2 2 3 2 2" xfId="14175"/>
    <cellStyle name="Note 4 3 2 2 2 3 3" xfId="10755"/>
    <cellStyle name="Note 4 3 2 2 2 4" xfId="5055"/>
    <cellStyle name="Note 4 3 2 2 2 4 2" xfId="11895"/>
    <cellStyle name="Note 4 3 2 2 2 5" xfId="8475"/>
    <cellStyle name="Note 4 3 2 2 3" xfId="2168"/>
    <cellStyle name="Note 4 3 2 2 3 2" xfId="5588"/>
    <cellStyle name="Note 4 3 2 2 3 2 2" xfId="12428"/>
    <cellStyle name="Note 4 3 2 2 3 3" xfId="9008"/>
    <cellStyle name="Note 4 3 2 2 4" xfId="3308"/>
    <cellStyle name="Note 4 3 2 2 4 2" xfId="6728"/>
    <cellStyle name="Note 4 3 2 2 4 2 2" xfId="13568"/>
    <cellStyle name="Note 4 3 2 2 4 3" xfId="10148"/>
    <cellStyle name="Note 4 3 2 2 5" xfId="4448"/>
    <cellStyle name="Note 4 3 2 2 5 2" xfId="11288"/>
    <cellStyle name="Note 4 3 2 2 6" xfId="7868"/>
    <cellStyle name="Note 4 3 2 3" xfId="38332"/>
    <cellStyle name="Note 4 3 2 4" xfId="56462"/>
    <cellStyle name="Note 4 3 2 5" xfId="56463"/>
    <cellStyle name="Note 4 3 2 6" xfId="56464"/>
    <cellStyle name="Note 4 3 3" xfId="1330"/>
    <cellStyle name="Note 4 3 3 2" xfId="962"/>
    <cellStyle name="Note 4 3 3 2 2" xfId="2768"/>
    <cellStyle name="Note 4 3 3 2 2 2" xfId="6188"/>
    <cellStyle name="Note 4 3 3 2 2 2 2" xfId="13028"/>
    <cellStyle name="Note 4 3 3 2 2 3" xfId="9608"/>
    <cellStyle name="Note 4 3 3 2 3" xfId="3908"/>
    <cellStyle name="Note 4 3 3 2 3 2" xfId="7328"/>
    <cellStyle name="Note 4 3 3 2 3 2 2" xfId="14168"/>
    <cellStyle name="Note 4 3 3 2 3 3" xfId="10748"/>
    <cellStyle name="Note 4 3 3 2 4" xfId="5048"/>
    <cellStyle name="Note 4 3 3 2 4 2" xfId="11888"/>
    <cellStyle name="Note 4 3 3 2 5" xfId="8468"/>
    <cellStyle name="Note 4 3 3 3" xfId="2151"/>
    <cellStyle name="Note 4 3 3 3 2" xfId="5571"/>
    <cellStyle name="Note 4 3 3 3 2 2" xfId="12411"/>
    <cellStyle name="Note 4 3 3 3 3" xfId="8991"/>
    <cellStyle name="Note 4 3 3 4" xfId="3291"/>
    <cellStyle name="Note 4 3 3 4 2" xfId="6711"/>
    <cellStyle name="Note 4 3 3 4 2 2" xfId="13551"/>
    <cellStyle name="Note 4 3 3 4 3" xfId="10131"/>
    <cellStyle name="Note 4 3 3 5" xfId="4431"/>
    <cellStyle name="Note 4 3 3 5 2" xfId="11271"/>
    <cellStyle name="Note 4 3 3 6" xfId="7851"/>
    <cellStyle name="Note 4 3 4" xfId="38322"/>
    <cellStyle name="Note 4 3 5" xfId="56465"/>
    <cellStyle name="Note 4 3 6" xfId="56466"/>
    <cellStyle name="Note 4 4" xfId="232"/>
    <cellStyle name="Note 4 4 2" xfId="347"/>
    <cellStyle name="Note 4 4 2 2" xfId="1352"/>
    <cellStyle name="Note 4 4 2 2 2" xfId="940"/>
    <cellStyle name="Note 4 4 2 2 2 2" xfId="2790"/>
    <cellStyle name="Note 4 4 2 2 2 2 2" xfId="6210"/>
    <cellStyle name="Note 4 4 2 2 2 2 2 2" xfId="13050"/>
    <cellStyle name="Note 4 4 2 2 2 2 3" xfId="9630"/>
    <cellStyle name="Note 4 4 2 2 2 3" xfId="3930"/>
    <cellStyle name="Note 4 4 2 2 2 3 2" xfId="7350"/>
    <cellStyle name="Note 4 4 2 2 2 3 2 2" xfId="14190"/>
    <cellStyle name="Note 4 4 2 2 2 3 3" xfId="10770"/>
    <cellStyle name="Note 4 4 2 2 2 4" xfId="5070"/>
    <cellStyle name="Note 4 4 2 2 2 4 2" xfId="11910"/>
    <cellStyle name="Note 4 4 2 2 2 5" xfId="8490"/>
    <cellStyle name="Note 4 4 2 2 3" xfId="2173"/>
    <cellStyle name="Note 4 4 2 2 3 2" xfId="5593"/>
    <cellStyle name="Note 4 4 2 2 3 2 2" xfId="12433"/>
    <cellStyle name="Note 4 4 2 2 3 3" xfId="9013"/>
    <cellStyle name="Note 4 4 2 2 4" xfId="3313"/>
    <cellStyle name="Note 4 4 2 2 4 2" xfId="6733"/>
    <cellStyle name="Note 4 4 2 2 4 2 2" xfId="13573"/>
    <cellStyle name="Note 4 4 2 2 4 3" xfId="10153"/>
    <cellStyle name="Note 4 4 2 2 5" xfId="4453"/>
    <cellStyle name="Note 4 4 2 2 5 2" xfId="11293"/>
    <cellStyle name="Note 4 4 2 2 6" xfId="7873"/>
    <cellStyle name="Note 4 4 2 3" xfId="38336"/>
    <cellStyle name="Note 4 4 2 4" xfId="56467"/>
    <cellStyle name="Note 4 4 2 5" xfId="56468"/>
    <cellStyle name="Note 4 4 2 6" xfId="56469"/>
    <cellStyle name="Note 4 4 3" xfId="1239"/>
    <cellStyle name="Note 4 4 3 2" xfId="1009"/>
    <cellStyle name="Note 4 4 3 2 2" xfId="2595"/>
    <cellStyle name="Note 4 4 3 2 2 2" xfId="6015"/>
    <cellStyle name="Note 4 4 3 2 2 2 2" xfId="12855"/>
    <cellStyle name="Note 4 4 3 2 2 3" xfId="9435"/>
    <cellStyle name="Note 4 4 3 2 3" xfId="3735"/>
    <cellStyle name="Note 4 4 3 2 3 2" xfId="7155"/>
    <cellStyle name="Note 4 4 3 2 3 2 2" xfId="13995"/>
    <cellStyle name="Note 4 4 3 2 3 3" xfId="10575"/>
    <cellStyle name="Note 4 4 3 2 4" xfId="4875"/>
    <cellStyle name="Note 4 4 3 2 4 2" xfId="11715"/>
    <cellStyle name="Note 4 4 3 2 5" xfId="8295"/>
    <cellStyle name="Note 4 4 3 3" xfId="2059"/>
    <cellStyle name="Note 4 4 3 3 2" xfId="5479"/>
    <cellStyle name="Note 4 4 3 3 2 2" xfId="12319"/>
    <cellStyle name="Note 4 4 3 3 3" xfId="8899"/>
    <cellStyle name="Note 4 4 3 4" xfId="3199"/>
    <cellStyle name="Note 4 4 3 4 2" xfId="6619"/>
    <cellStyle name="Note 4 4 3 4 2 2" xfId="13459"/>
    <cellStyle name="Note 4 4 3 4 3" xfId="10039"/>
    <cellStyle name="Note 4 4 3 5" xfId="4339"/>
    <cellStyle name="Note 4 4 3 5 2" xfId="11179"/>
    <cellStyle name="Note 4 4 3 6" xfId="7759"/>
    <cellStyle name="Note 4 4 4" xfId="38259"/>
    <cellStyle name="Note 4 4 5" xfId="56470"/>
    <cellStyle name="Note 4 4 6" xfId="56471"/>
    <cellStyle name="Note 4 5" xfId="490"/>
    <cellStyle name="Note 4 5 2" xfId="537"/>
    <cellStyle name="Note 4 5 2 2" xfId="1541"/>
    <cellStyle name="Note 4 5 2 2 2" xfId="839"/>
    <cellStyle name="Note 4 5 2 2 2 2" xfId="2519"/>
    <cellStyle name="Note 4 5 2 2 2 2 2" xfId="5939"/>
    <cellStyle name="Note 4 5 2 2 2 2 2 2" xfId="12779"/>
    <cellStyle name="Note 4 5 2 2 2 2 3" xfId="9359"/>
    <cellStyle name="Note 4 5 2 2 2 3" xfId="3659"/>
    <cellStyle name="Note 4 5 2 2 2 3 2" xfId="7079"/>
    <cellStyle name="Note 4 5 2 2 2 3 2 2" xfId="13919"/>
    <cellStyle name="Note 4 5 2 2 2 3 3" xfId="10499"/>
    <cellStyle name="Note 4 5 2 2 2 4" xfId="4799"/>
    <cellStyle name="Note 4 5 2 2 2 4 2" xfId="11639"/>
    <cellStyle name="Note 4 5 2 2 2 5" xfId="8219"/>
    <cellStyle name="Note 4 5 2 2 3" xfId="2362"/>
    <cellStyle name="Note 4 5 2 2 3 2" xfId="5782"/>
    <cellStyle name="Note 4 5 2 2 3 2 2" xfId="12622"/>
    <cellStyle name="Note 4 5 2 2 3 3" xfId="9202"/>
    <cellStyle name="Note 4 5 2 2 4" xfId="3502"/>
    <cellStyle name="Note 4 5 2 2 4 2" xfId="6922"/>
    <cellStyle name="Note 4 5 2 2 4 2 2" xfId="13762"/>
    <cellStyle name="Note 4 5 2 2 4 3" xfId="10342"/>
    <cellStyle name="Note 4 5 2 2 5" xfId="4642"/>
    <cellStyle name="Note 4 5 2 2 5 2" xfId="11482"/>
    <cellStyle name="Note 4 5 2 2 6" xfId="8062"/>
    <cellStyle name="Note 4 5 2 3" xfId="38455"/>
    <cellStyle name="Note 4 5 2 4" xfId="56472"/>
    <cellStyle name="Note 4 5 2 5" xfId="56473"/>
    <cellStyle name="Note 4 5 2 6" xfId="56474"/>
    <cellStyle name="Note 4 5 3" xfId="1494"/>
    <cellStyle name="Note 4 5 3 2" xfId="862"/>
    <cellStyle name="Note 4 5 3 2 2" xfId="2698"/>
    <cellStyle name="Note 4 5 3 2 2 2" xfId="6118"/>
    <cellStyle name="Note 4 5 3 2 2 2 2" xfId="12958"/>
    <cellStyle name="Note 4 5 3 2 2 3" xfId="9538"/>
    <cellStyle name="Note 4 5 3 2 3" xfId="3838"/>
    <cellStyle name="Note 4 5 3 2 3 2" xfId="7258"/>
    <cellStyle name="Note 4 5 3 2 3 2 2" xfId="14098"/>
    <cellStyle name="Note 4 5 3 2 3 3" xfId="10678"/>
    <cellStyle name="Note 4 5 3 2 4" xfId="4978"/>
    <cellStyle name="Note 4 5 3 2 4 2" xfId="11818"/>
    <cellStyle name="Note 4 5 3 2 5" xfId="8398"/>
    <cellStyle name="Note 4 5 3 3" xfId="2315"/>
    <cellStyle name="Note 4 5 3 3 2" xfId="5735"/>
    <cellStyle name="Note 4 5 3 3 2 2" xfId="12575"/>
    <cellStyle name="Note 4 5 3 3 3" xfId="9155"/>
    <cellStyle name="Note 4 5 3 4" xfId="3455"/>
    <cellStyle name="Note 4 5 3 4 2" xfId="6875"/>
    <cellStyle name="Note 4 5 3 4 2 2" xfId="13715"/>
    <cellStyle name="Note 4 5 3 4 3" xfId="10295"/>
    <cellStyle name="Note 4 5 3 5" xfId="4595"/>
    <cellStyle name="Note 4 5 3 5 2" xfId="11435"/>
    <cellStyle name="Note 4 5 3 6" xfId="8015"/>
    <cellStyle name="Note 4 5 4" xfId="38429"/>
    <cellStyle name="Note 4 5 5" xfId="56475"/>
    <cellStyle name="Note 4 5 6" xfId="56476"/>
    <cellStyle name="Note 4 5 7" xfId="56477"/>
    <cellStyle name="Note 4 6" xfId="431"/>
    <cellStyle name="Note 4 6 2" xfId="527"/>
    <cellStyle name="Note 4 6 2 2" xfId="1531"/>
    <cellStyle name="Note 4 6 2 2 2" xfId="844"/>
    <cellStyle name="Note 4 6 2 2 2 2" xfId="2754"/>
    <cellStyle name="Note 4 6 2 2 2 2 2" xfId="6174"/>
    <cellStyle name="Note 4 6 2 2 2 2 2 2" xfId="13014"/>
    <cellStyle name="Note 4 6 2 2 2 2 3" xfId="9594"/>
    <cellStyle name="Note 4 6 2 2 2 3" xfId="3894"/>
    <cellStyle name="Note 4 6 2 2 2 3 2" xfId="7314"/>
    <cellStyle name="Note 4 6 2 2 2 3 2 2" xfId="14154"/>
    <cellStyle name="Note 4 6 2 2 2 3 3" xfId="10734"/>
    <cellStyle name="Note 4 6 2 2 2 4" xfId="5034"/>
    <cellStyle name="Note 4 6 2 2 2 4 2" xfId="11874"/>
    <cellStyle name="Note 4 6 2 2 2 5" xfId="8454"/>
    <cellStyle name="Note 4 6 2 2 3" xfId="2352"/>
    <cellStyle name="Note 4 6 2 2 3 2" xfId="5772"/>
    <cellStyle name="Note 4 6 2 2 3 2 2" xfId="12612"/>
    <cellStyle name="Note 4 6 2 2 3 3" xfId="9192"/>
    <cellStyle name="Note 4 6 2 2 4" xfId="3492"/>
    <cellStyle name="Note 4 6 2 2 4 2" xfId="6912"/>
    <cellStyle name="Note 4 6 2 2 4 2 2" xfId="13752"/>
    <cellStyle name="Note 4 6 2 2 4 3" xfId="10332"/>
    <cellStyle name="Note 4 6 2 2 5" xfId="4632"/>
    <cellStyle name="Note 4 6 2 2 5 2" xfId="11472"/>
    <cellStyle name="Note 4 6 2 2 6" xfId="8052"/>
    <cellStyle name="Note 4 6 2 3" xfId="38447"/>
    <cellStyle name="Note 4 6 2 4" xfId="56478"/>
    <cellStyle name="Note 4 6 2 5" xfId="56479"/>
    <cellStyle name="Note 4 6 2 6" xfId="56480"/>
    <cellStyle name="Note 4 6 3" xfId="1436"/>
    <cellStyle name="Note 4 6 3 2" xfId="891"/>
    <cellStyle name="Note 4 6 3 2 2" xfId="2600"/>
    <cellStyle name="Note 4 6 3 2 2 2" xfId="6020"/>
    <cellStyle name="Note 4 6 3 2 2 2 2" xfId="12860"/>
    <cellStyle name="Note 4 6 3 2 2 3" xfId="9440"/>
    <cellStyle name="Note 4 6 3 2 3" xfId="3740"/>
    <cellStyle name="Note 4 6 3 2 3 2" xfId="7160"/>
    <cellStyle name="Note 4 6 3 2 3 2 2" xfId="14000"/>
    <cellStyle name="Note 4 6 3 2 3 3" xfId="10580"/>
    <cellStyle name="Note 4 6 3 2 4" xfId="4880"/>
    <cellStyle name="Note 4 6 3 2 4 2" xfId="11720"/>
    <cellStyle name="Note 4 6 3 2 5" xfId="8300"/>
    <cellStyle name="Note 4 6 3 3" xfId="2257"/>
    <cellStyle name="Note 4 6 3 3 2" xfId="5677"/>
    <cellStyle name="Note 4 6 3 3 2 2" xfId="12517"/>
    <cellStyle name="Note 4 6 3 3 3" xfId="9097"/>
    <cellStyle name="Note 4 6 3 4" xfId="3397"/>
    <cellStyle name="Note 4 6 3 4 2" xfId="6817"/>
    <cellStyle name="Note 4 6 3 4 2 2" xfId="13657"/>
    <cellStyle name="Note 4 6 3 4 3" xfId="10237"/>
    <cellStyle name="Note 4 6 3 5" xfId="4537"/>
    <cellStyle name="Note 4 6 3 5 2" xfId="11377"/>
    <cellStyle name="Note 4 6 3 6" xfId="7957"/>
    <cellStyle name="Note 4 6 4" xfId="38397"/>
    <cellStyle name="Note 4 6 5" xfId="56481"/>
    <cellStyle name="Note 4 6 6" xfId="56482"/>
    <cellStyle name="Note 4 6 7" xfId="56483"/>
    <cellStyle name="Note 4 7" xfId="1116"/>
    <cellStyle name="Note 4 7 2" xfId="1728"/>
    <cellStyle name="Note 4 7 2 2" xfId="2868"/>
    <cellStyle name="Note 4 7 2 2 2" xfId="6288"/>
    <cellStyle name="Note 4 7 2 2 2 2" xfId="13128"/>
    <cellStyle name="Note 4 7 2 2 3" xfId="9708"/>
    <cellStyle name="Note 4 7 2 3" xfId="4008"/>
    <cellStyle name="Note 4 7 2 3 2" xfId="7428"/>
    <cellStyle name="Note 4 7 2 3 2 2" xfId="14268"/>
    <cellStyle name="Note 4 7 2 3 3" xfId="10848"/>
    <cellStyle name="Note 4 7 2 4" xfId="5148"/>
    <cellStyle name="Note 4 7 2 4 2" xfId="11988"/>
    <cellStyle name="Note 4 7 2 5" xfId="8568"/>
    <cellStyle name="Note 4 7 3" xfId="1930"/>
    <cellStyle name="Note 4 7 3 2" xfId="5350"/>
    <cellStyle name="Note 4 7 3 2 2" xfId="12190"/>
    <cellStyle name="Note 4 7 3 3" xfId="8770"/>
    <cellStyle name="Note 4 7 4" xfId="3070"/>
    <cellStyle name="Note 4 7 4 2" xfId="6490"/>
    <cellStyle name="Note 4 7 4 2 2" xfId="13330"/>
    <cellStyle name="Note 4 7 4 3" xfId="9910"/>
    <cellStyle name="Note 4 7 5" xfId="4210"/>
    <cellStyle name="Note 4 7 5 2" xfId="11050"/>
    <cellStyle name="Note 4 7 6" xfId="7630"/>
    <cellStyle name="Note 4 8" xfId="38193"/>
    <cellStyle name="Note 4 9" xfId="56484"/>
    <cellStyle name="Note 5" xfId="107"/>
    <cellStyle name="Note 5 10" xfId="56485"/>
    <cellStyle name="Note 5 2" xfId="166"/>
    <cellStyle name="Note 5 2 2" xfId="292"/>
    <cellStyle name="Note 5 2 2 2" xfId="701"/>
    <cellStyle name="Note 5 2 2 2 2" xfId="1652"/>
    <cellStyle name="Note 5 2 2 2 2 2" xfId="755"/>
    <cellStyle name="Note 5 2 2 2 2 2 2" xfId="2547"/>
    <cellStyle name="Note 5 2 2 2 2 2 2 2" xfId="5967"/>
    <cellStyle name="Note 5 2 2 2 2 2 2 2 2" xfId="12807"/>
    <cellStyle name="Note 5 2 2 2 2 2 2 3" xfId="9387"/>
    <cellStyle name="Note 5 2 2 2 2 2 3" xfId="3687"/>
    <cellStyle name="Note 5 2 2 2 2 2 3 2" xfId="7107"/>
    <cellStyle name="Note 5 2 2 2 2 2 3 2 2" xfId="13947"/>
    <cellStyle name="Note 5 2 2 2 2 2 3 3" xfId="10527"/>
    <cellStyle name="Note 5 2 2 2 2 2 4" xfId="4827"/>
    <cellStyle name="Note 5 2 2 2 2 2 4 2" xfId="11667"/>
    <cellStyle name="Note 5 2 2 2 2 2 5" xfId="8247"/>
    <cellStyle name="Note 5 2 2 2 2 3" xfId="2486"/>
    <cellStyle name="Note 5 2 2 2 2 3 2" xfId="5906"/>
    <cellStyle name="Note 5 2 2 2 2 3 2 2" xfId="12746"/>
    <cellStyle name="Note 5 2 2 2 2 3 3" xfId="9326"/>
    <cellStyle name="Note 5 2 2 2 2 4" xfId="3626"/>
    <cellStyle name="Note 5 2 2 2 2 4 2" xfId="7046"/>
    <cellStyle name="Note 5 2 2 2 2 4 2 2" xfId="13886"/>
    <cellStyle name="Note 5 2 2 2 2 4 3" xfId="10466"/>
    <cellStyle name="Note 5 2 2 2 2 5" xfId="4766"/>
    <cellStyle name="Note 5 2 2 2 2 5 2" xfId="11606"/>
    <cellStyle name="Note 5 2 2 2 2 6" xfId="8186"/>
    <cellStyle name="Note 5 2 2 2 3" xfId="38545"/>
    <cellStyle name="Note 5 2 2 2 4" xfId="56486"/>
    <cellStyle name="Note 5 2 2 2 5" xfId="56487"/>
    <cellStyle name="Note 5 2 2 2 6" xfId="56488"/>
    <cellStyle name="Note 5 2 2 3" xfId="1298"/>
    <cellStyle name="Note 5 2 2 3 2" xfId="1864"/>
    <cellStyle name="Note 5 2 2 3 2 2" xfId="3004"/>
    <cellStyle name="Note 5 2 2 3 2 2 2" xfId="6424"/>
    <cellStyle name="Note 5 2 2 3 2 2 2 2" xfId="13264"/>
    <cellStyle name="Note 5 2 2 3 2 2 3" xfId="9844"/>
    <cellStyle name="Note 5 2 2 3 2 3" xfId="4144"/>
    <cellStyle name="Note 5 2 2 3 2 3 2" xfId="7564"/>
    <cellStyle name="Note 5 2 2 3 2 3 2 2" xfId="14404"/>
    <cellStyle name="Note 5 2 2 3 2 3 3" xfId="10984"/>
    <cellStyle name="Note 5 2 2 3 2 4" xfId="5284"/>
    <cellStyle name="Note 5 2 2 3 2 4 2" xfId="12124"/>
    <cellStyle name="Note 5 2 2 3 2 5" xfId="8704"/>
    <cellStyle name="Note 5 2 2 3 3" xfId="2118"/>
    <cellStyle name="Note 5 2 2 3 3 2" xfId="5538"/>
    <cellStyle name="Note 5 2 2 3 3 2 2" xfId="12378"/>
    <cellStyle name="Note 5 2 2 3 3 3" xfId="8958"/>
    <cellStyle name="Note 5 2 2 3 4" xfId="3258"/>
    <cellStyle name="Note 5 2 2 3 4 2" xfId="6678"/>
    <cellStyle name="Note 5 2 2 3 4 2 2" xfId="13518"/>
    <cellStyle name="Note 5 2 2 3 4 3" xfId="10098"/>
    <cellStyle name="Note 5 2 2 3 5" xfId="4398"/>
    <cellStyle name="Note 5 2 2 3 5 2" xfId="11238"/>
    <cellStyle name="Note 5 2 2 3 6" xfId="7818"/>
    <cellStyle name="Note 5 2 2 4" xfId="38308"/>
    <cellStyle name="Note 5 2 2 5" xfId="56489"/>
    <cellStyle name="Note 5 2 2 6" xfId="56490"/>
    <cellStyle name="Note 5 2 2 7" xfId="56491"/>
    <cellStyle name="Note 5 2 3" xfId="613"/>
    <cellStyle name="Note 5 2 3 2" xfId="1600"/>
    <cellStyle name="Note 5 2 3 2 2" xfId="807"/>
    <cellStyle name="Note 5 2 3 2 2 2" xfId="2508"/>
    <cellStyle name="Note 5 2 3 2 2 2 2" xfId="5928"/>
    <cellStyle name="Note 5 2 3 2 2 2 2 2" xfId="12768"/>
    <cellStyle name="Note 5 2 3 2 2 2 3" xfId="9348"/>
    <cellStyle name="Note 5 2 3 2 2 3" xfId="3648"/>
    <cellStyle name="Note 5 2 3 2 2 3 2" xfId="7068"/>
    <cellStyle name="Note 5 2 3 2 2 3 2 2" xfId="13908"/>
    <cellStyle name="Note 5 2 3 2 2 3 3" xfId="10488"/>
    <cellStyle name="Note 5 2 3 2 2 4" xfId="4788"/>
    <cellStyle name="Note 5 2 3 2 2 4 2" xfId="11628"/>
    <cellStyle name="Note 5 2 3 2 2 5" xfId="8208"/>
    <cellStyle name="Note 5 2 3 2 3" xfId="2425"/>
    <cellStyle name="Note 5 2 3 2 3 2" xfId="5845"/>
    <cellStyle name="Note 5 2 3 2 3 2 2" xfId="12685"/>
    <cellStyle name="Note 5 2 3 2 3 3" xfId="9265"/>
    <cellStyle name="Note 5 2 3 2 4" xfId="3565"/>
    <cellStyle name="Note 5 2 3 2 4 2" xfId="6985"/>
    <cellStyle name="Note 5 2 3 2 4 2 2" xfId="13825"/>
    <cellStyle name="Note 5 2 3 2 4 3" xfId="10405"/>
    <cellStyle name="Note 5 2 3 2 5" xfId="4705"/>
    <cellStyle name="Note 5 2 3 2 5 2" xfId="11545"/>
    <cellStyle name="Note 5 2 3 2 6" xfId="8125"/>
    <cellStyle name="Note 5 2 3 3" xfId="38494"/>
    <cellStyle name="Note 5 2 3 4" xfId="56492"/>
    <cellStyle name="Note 5 2 3 5" xfId="56493"/>
    <cellStyle name="Note 5 2 3 6" xfId="56494"/>
    <cellStyle name="Note 5 2 4" xfId="1174"/>
    <cellStyle name="Note 5 2 4 2" xfId="1041"/>
    <cellStyle name="Note 5 2 4 2 2" xfId="2784"/>
    <cellStyle name="Note 5 2 4 2 2 2" xfId="6204"/>
    <cellStyle name="Note 5 2 4 2 2 2 2" xfId="13044"/>
    <cellStyle name="Note 5 2 4 2 2 3" xfId="9624"/>
    <cellStyle name="Note 5 2 4 2 3" xfId="3924"/>
    <cellStyle name="Note 5 2 4 2 3 2" xfId="7344"/>
    <cellStyle name="Note 5 2 4 2 3 2 2" xfId="14184"/>
    <cellStyle name="Note 5 2 4 2 3 3" xfId="10764"/>
    <cellStyle name="Note 5 2 4 2 4" xfId="5064"/>
    <cellStyle name="Note 5 2 4 2 4 2" xfId="11904"/>
    <cellStyle name="Note 5 2 4 2 5" xfId="8484"/>
    <cellStyle name="Note 5 2 4 3" xfId="1993"/>
    <cellStyle name="Note 5 2 4 3 2" xfId="5413"/>
    <cellStyle name="Note 5 2 4 3 2 2" xfId="12253"/>
    <cellStyle name="Note 5 2 4 3 3" xfId="8833"/>
    <cellStyle name="Note 5 2 4 4" xfId="3133"/>
    <cellStyle name="Note 5 2 4 4 2" xfId="6553"/>
    <cellStyle name="Note 5 2 4 4 2 2" xfId="13393"/>
    <cellStyle name="Note 5 2 4 4 3" xfId="9973"/>
    <cellStyle name="Note 5 2 4 5" xfId="4273"/>
    <cellStyle name="Note 5 2 4 5 2" xfId="11113"/>
    <cellStyle name="Note 5 2 4 6" xfId="7693"/>
    <cellStyle name="Note 5 2 5" xfId="38228"/>
    <cellStyle name="Note 5 2 6" xfId="56495"/>
    <cellStyle name="Note 5 2 7" xfId="56496"/>
    <cellStyle name="Note 5 2 8" xfId="56497"/>
    <cellStyle name="Note 5 3" xfId="332"/>
    <cellStyle name="Note 5 3 2" xfId="349"/>
    <cellStyle name="Note 5 3 2 2" xfId="1354"/>
    <cellStyle name="Note 5 3 2 2 2" xfId="938"/>
    <cellStyle name="Note 5 3 2 2 2 2" xfId="2503"/>
    <cellStyle name="Note 5 3 2 2 2 2 2" xfId="5923"/>
    <cellStyle name="Note 5 3 2 2 2 2 2 2" xfId="12763"/>
    <cellStyle name="Note 5 3 2 2 2 2 3" xfId="9343"/>
    <cellStyle name="Note 5 3 2 2 2 3" xfId="3643"/>
    <cellStyle name="Note 5 3 2 2 2 3 2" xfId="7063"/>
    <cellStyle name="Note 5 3 2 2 2 3 2 2" xfId="13903"/>
    <cellStyle name="Note 5 3 2 2 2 3 3" xfId="10483"/>
    <cellStyle name="Note 5 3 2 2 2 4" xfId="4783"/>
    <cellStyle name="Note 5 3 2 2 2 4 2" xfId="11623"/>
    <cellStyle name="Note 5 3 2 2 2 5" xfId="8203"/>
    <cellStyle name="Note 5 3 2 2 3" xfId="2175"/>
    <cellStyle name="Note 5 3 2 2 3 2" xfId="5595"/>
    <cellStyle name="Note 5 3 2 2 3 2 2" xfId="12435"/>
    <cellStyle name="Note 5 3 2 2 3 3" xfId="9015"/>
    <cellStyle name="Note 5 3 2 2 4" xfId="3315"/>
    <cellStyle name="Note 5 3 2 2 4 2" xfId="6735"/>
    <cellStyle name="Note 5 3 2 2 4 2 2" xfId="13575"/>
    <cellStyle name="Note 5 3 2 2 4 3" xfId="10155"/>
    <cellStyle name="Note 5 3 2 2 5" xfId="4455"/>
    <cellStyle name="Note 5 3 2 2 5 2" xfId="11295"/>
    <cellStyle name="Note 5 3 2 2 6" xfId="7875"/>
    <cellStyle name="Note 5 3 2 3" xfId="38338"/>
    <cellStyle name="Note 5 3 2 4" xfId="56498"/>
    <cellStyle name="Note 5 3 2 5" xfId="56499"/>
    <cellStyle name="Note 5 3 2 6" xfId="56500"/>
    <cellStyle name="Note 5 3 3" xfId="1337"/>
    <cellStyle name="Note 5 3 3 2" xfId="955"/>
    <cellStyle name="Note 5 3 3 2 2" xfId="2647"/>
    <cellStyle name="Note 5 3 3 2 2 2" xfId="6067"/>
    <cellStyle name="Note 5 3 3 2 2 2 2" xfId="12907"/>
    <cellStyle name="Note 5 3 3 2 2 3" xfId="9487"/>
    <cellStyle name="Note 5 3 3 2 3" xfId="3787"/>
    <cellStyle name="Note 5 3 3 2 3 2" xfId="7207"/>
    <cellStyle name="Note 5 3 3 2 3 2 2" xfId="14047"/>
    <cellStyle name="Note 5 3 3 2 3 3" xfId="10627"/>
    <cellStyle name="Note 5 3 3 2 4" xfId="4927"/>
    <cellStyle name="Note 5 3 3 2 4 2" xfId="11767"/>
    <cellStyle name="Note 5 3 3 2 5" xfId="8347"/>
    <cellStyle name="Note 5 3 3 3" xfId="2158"/>
    <cellStyle name="Note 5 3 3 3 2" xfId="5578"/>
    <cellStyle name="Note 5 3 3 3 2 2" xfId="12418"/>
    <cellStyle name="Note 5 3 3 3 3" xfId="8998"/>
    <cellStyle name="Note 5 3 3 4" xfId="3298"/>
    <cellStyle name="Note 5 3 3 4 2" xfId="6718"/>
    <cellStyle name="Note 5 3 3 4 2 2" xfId="13558"/>
    <cellStyle name="Note 5 3 3 4 3" xfId="10138"/>
    <cellStyle name="Note 5 3 3 5" xfId="4438"/>
    <cellStyle name="Note 5 3 3 5 2" xfId="11278"/>
    <cellStyle name="Note 5 3 3 6" xfId="7858"/>
    <cellStyle name="Note 5 3 4" xfId="38327"/>
    <cellStyle name="Note 5 3 5" xfId="56501"/>
    <cellStyle name="Note 5 3 6" xfId="56502"/>
    <cellStyle name="Note 5 3 7" xfId="56503"/>
    <cellStyle name="Note 5 4" xfId="239"/>
    <cellStyle name="Note 5 4 2" xfId="205"/>
    <cellStyle name="Note 5 4 2 2" xfId="1213"/>
    <cellStyle name="Note 5 4 2 2 2" xfId="1868"/>
    <cellStyle name="Note 5 4 2 2 2 2" xfId="3008"/>
    <cellStyle name="Note 5 4 2 2 2 2 2" xfId="6428"/>
    <cellStyle name="Note 5 4 2 2 2 2 2 2" xfId="13268"/>
    <cellStyle name="Note 5 4 2 2 2 2 3" xfId="9848"/>
    <cellStyle name="Note 5 4 2 2 2 3" xfId="4148"/>
    <cellStyle name="Note 5 4 2 2 2 3 2" xfId="7568"/>
    <cellStyle name="Note 5 4 2 2 2 3 2 2" xfId="14408"/>
    <cellStyle name="Note 5 4 2 2 2 3 3" xfId="10988"/>
    <cellStyle name="Note 5 4 2 2 2 4" xfId="5288"/>
    <cellStyle name="Note 5 4 2 2 2 4 2" xfId="12128"/>
    <cellStyle name="Note 5 4 2 2 2 5" xfId="8708"/>
    <cellStyle name="Note 5 4 2 2 3" xfId="2032"/>
    <cellStyle name="Note 5 4 2 2 3 2" xfId="5452"/>
    <cellStyle name="Note 5 4 2 2 3 2 2" xfId="12292"/>
    <cellStyle name="Note 5 4 2 2 3 3" xfId="8872"/>
    <cellStyle name="Note 5 4 2 2 4" xfId="3172"/>
    <cellStyle name="Note 5 4 2 2 4 2" xfId="6592"/>
    <cellStyle name="Note 5 4 2 2 4 2 2" xfId="13432"/>
    <cellStyle name="Note 5 4 2 2 4 3" xfId="10012"/>
    <cellStyle name="Note 5 4 2 2 5" xfId="4312"/>
    <cellStyle name="Note 5 4 2 2 5 2" xfId="11152"/>
    <cellStyle name="Note 5 4 2 2 6" xfId="7732"/>
    <cellStyle name="Note 5 4 2 3" xfId="38247"/>
    <cellStyle name="Note 5 4 2 4" xfId="56504"/>
    <cellStyle name="Note 5 4 2 5" xfId="56505"/>
    <cellStyle name="Note 5 4 2 6" xfId="56506"/>
    <cellStyle name="Note 5 4 3" xfId="1246"/>
    <cellStyle name="Note 5 4 3 2" xfId="1005"/>
    <cellStyle name="Note 5 4 3 2 2" xfId="2604"/>
    <cellStyle name="Note 5 4 3 2 2 2" xfId="6024"/>
    <cellStyle name="Note 5 4 3 2 2 2 2" xfId="12864"/>
    <cellStyle name="Note 5 4 3 2 2 3" xfId="9444"/>
    <cellStyle name="Note 5 4 3 2 3" xfId="3744"/>
    <cellStyle name="Note 5 4 3 2 3 2" xfId="7164"/>
    <cellStyle name="Note 5 4 3 2 3 2 2" xfId="14004"/>
    <cellStyle name="Note 5 4 3 2 3 3" xfId="10584"/>
    <cellStyle name="Note 5 4 3 2 4" xfId="4884"/>
    <cellStyle name="Note 5 4 3 2 4 2" xfId="11724"/>
    <cellStyle name="Note 5 4 3 2 5" xfId="8304"/>
    <cellStyle name="Note 5 4 3 3" xfId="2066"/>
    <cellStyle name="Note 5 4 3 3 2" xfId="5486"/>
    <cellStyle name="Note 5 4 3 3 2 2" xfId="12326"/>
    <cellStyle name="Note 5 4 3 3 3" xfId="8906"/>
    <cellStyle name="Note 5 4 3 4" xfId="3206"/>
    <cellStyle name="Note 5 4 3 4 2" xfId="6626"/>
    <cellStyle name="Note 5 4 3 4 2 2" xfId="13466"/>
    <cellStyle name="Note 5 4 3 4 3" xfId="10046"/>
    <cellStyle name="Note 5 4 3 5" xfId="4346"/>
    <cellStyle name="Note 5 4 3 5 2" xfId="11186"/>
    <cellStyle name="Note 5 4 3 6" xfId="7766"/>
    <cellStyle name="Note 5 4 4" xfId="38264"/>
    <cellStyle name="Note 5 4 5" xfId="56507"/>
    <cellStyle name="Note 5 4 6" xfId="56508"/>
    <cellStyle name="Note 5 4 7" xfId="56509"/>
    <cellStyle name="Note 5 5" xfId="497"/>
    <cellStyle name="Note 5 5 2" xfId="439"/>
    <cellStyle name="Note 5 5 2 2" xfId="1443"/>
    <cellStyle name="Note 5 5 2 2 2" xfId="888"/>
    <cellStyle name="Note 5 5 2 2 2 2" xfId="2798"/>
    <cellStyle name="Note 5 5 2 2 2 2 2" xfId="6218"/>
    <cellStyle name="Note 5 5 2 2 2 2 2 2" xfId="13058"/>
    <cellStyle name="Note 5 5 2 2 2 2 3" xfId="9638"/>
    <cellStyle name="Note 5 5 2 2 2 3" xfId="3938"/>
    <cellStyle name="Note 5 5 2 2 2 3 2" xfId="7358"/>
    <cellStyle name="Note 5 5 2 2 2 3 2 2" xfId="14198"/>
    <cellStyle name="Note 5 5 2 2 2 3 3" xfId="10778"/>
    <cellStyle name="Note 5 5 2 2 2 4" xfId="5078"/>
    <cellStyle name="Note 5 5 2 2 2 4 2" xfId="11918"/>
    <cellStyle name="Note 5 5 2 2 2 5" xfId="8498"/>
    <cellStyle name="Note 5 5 2 2 3" xfId="2264"/>
    <cellStyle name="Note 5 5 2 2 3 2" xfId="5684"/>
    <cellStyle name="Note 5 5 2 2 3 2 2" xfId="12524"/>
    <cellStyle name="Note 5 5 2 2 3 3" xfId="9104"/>
    <cellStyle name="Note 5 5 2 2 4" xfId="3404"/>
    <cellStyle name="Note 5 5 2 2 4 2" xfId="6824"/>
    <cellStyle name="Note 5 5 2 2 4 2 2" xfId="13664"/>
    <cellStyle name="Note 5 5 2 2 4 3" xfId="10244"/>
    <cellStyle name="Note 5 5 2 2 5" xfId="4544"/>
    <cellStyle name="Note 5 5 2 2 5 2" xfId="11384"/>
    <cellStyle name="Note 5 5 2 2 6" xfId="7964"/>
    <cellStyle name="Note 5 5 2 3" xfId="38402"/>
    <cellStyle name="Note 5 5 2 4" xfId="56510"/>
    <cellStyle name="Note 5 5 2 5" xfId="56511"/>
    <cellStyle name="Note 5 5 2 6" xfId="56512"/>
    <cellStyle name="Note 5 5 3" xfId="1501"/>
    <cellStyle name="Note 5 5 3 2" xfId="859"/>
    <cellStyle name="Note 5 5 3 2 2" xfId="2666"/>
    <cellStyle name="Note 5 5 3 2 2 2" xfId="6086"/>
    <cellStyle name="Note 5 5 3 2 2 2 2" xfId="12926"/>
    <cellStyle name="Note 5 5 3 2 2 3" xfId="9506"/>
    <cellStyle name="Note 5 5 3 2 3" xfId="3806"/>
    <cellStyle name="Note 5 5 3 2 3 2" xfId="7226"/>
    <cellStyle name="Note 5 5 3 2 3 2 2" xfId="14066"/>
    <cellStyle name="Note 5 5 3 2 3 3" xfId="10646"/>
    <cellStyle name="Note 5 5 3 2 4" xfId="4946"/>
    <cellStyle name="Note 5 5 3 2 4 2" xfId="11786"/>
    <cellStyle name="Note 5 5 3 2 5" xfId="8366"/>
    <cellStyle name="Note 5 5 3 3" xfId="2322"/>
    <cellStyle name="Note 5 5 3 3 2" xfId="5742"/>
    <cellStyle name="Note 5 5 3 3 2 2" xfId="12582"/>
    <cellStyle name="Note 5 5 3 3 3" xfId="9162"/>
    <cellStyle name="Note 5 5 3 4" xfId="3462"/>
    <cellStyle name="Note 5 5 3 4 2" xfId="6882"/>
    <cellStyle name="Note 5 5 3 4 2 2" xfId="13722"/>
    <cellStyle name="Note 5 5 3 4 3" xfId="10302"/>
    <cellStyle name="Note 5 5 3 5" xfId="4602"/>
    <cellStyle name="Note 5 5 3 5 2" xfId="11442"/>
    <cellStyle name="Note 5 5 3 6" xfId="8022"/>
    <cellStyle name="Note 5 5 4" xfId="38434"/>
    <cellStyle name="Note 5 5 5" xfId="56513"/>
    <cellStyle name="Note 5 5 6" xfId="56514"/>
    <cellStyle name="Note 5 5 7" xfId="56515"/>
    <cellStyle name="Note 5 6" xfId="517"/>
    <cellStyle name="Note 5 6 2" xfId="430"/>
    <cellStyle name="Note 5 6 2 2" xfId="1435"/>
    <cellStyle name="Note 5 6 2 2 2" xfId="892"/>
    <cellStyle name="Note 5 6 2 2 2 2" xfId="2533"/>
    <cellStyle name="Note 5 6 2 2 2 2 2" xfId="5953"/>
    <cellStyle name="Note 5 6 2 2 2 2 2 2" xfId="12793"/>
    <cellStyle name="Note 5 6 2 2 2 2 3" xfId="9373"/>
    <cellStyle name="Note 5 6 2 2 2 3" xfId="3673"/>
    <cellStyle name="Note 5 6 2 2 2 3 2" xfId="7093"/>
    <cellStyle name="Note 5 6 2 2 2 3 2 2" xfId="13933"/>
    <cellStyle name="Note 5 6 2 2 2 3 3" xfId="10513"/>
    <cellStyle name="Note 5 6 2 2 2 4" xfId="4813"/>
    <cellStyle name="Note 5 6 2 2 2 4 2" xfId="11653"/>
    <cellStyle name="Note 5 6 2 2 2 5" xfId="8233"/>
    <cellStyle name="Note 5 6 2 2 3" xfId="2256"/>
    <cellStyle name="Note 5 6 2 2 3 2" xfId="5676"/>
    <cellStyle name="Note 5 6 2 2 3 2 2" xfId="12516"/>
    <cellStyle name="Note 5 6 2 2 3 3" xfId="9096"/>
    <cellStyle name="Note 5 6 2 2 4" xfId="3396"/>
    <cellStyle name="Note 5 6 2 2 4 2" xfId="6816"/>
    <cellStyle name="Note 5 6 2 2 4 2 2" xfId="13656"/>
    <cellStyle name="Note 5 6 2 2 4 3" xfId="10236"/>
    <cellStyle name="Note 5 6 2 2 5" xfId="4536"/>
    <cellStyle name="Note 5 6 2 2 5 2" xfId="11376"/>
    <cellStyle name="Note 5 6 2 2 6" xfId="7956"/>
    <cellStyle name="Note 5 6 2 3" xfId="38396"/>
    <cellStyle name="Note 5 6 2 4" xfId="56516"/>
    <cellStyle name="Note 5 6 2 5" xfId="56517"/>
    <cellStyle name="Note 5 6 2 6" xfId="56518"/>
    <cellStyle name="Note 5 6 3" xfId="1521"/>
    <cellStyle name="Note 5 6 3 2" xfId="1757"/>
    <cellStyle name="Note 5 6 3 2 2" xfId="2897"/>
    <cellStyle name="Note 5 6 3 2 2 2" xfId="6317"/>
    <cellStyle name="Note 5 6 3 2 2 2 2" xfId="13157"/>
    <cellStyle name="Note 5 6 3 2 2 3" xfId="9737"/>
    <cellStyle name="Note 5 6 3 2 3" xfId="4037"/>
    <cellStyle name="Note 5 6 3 2 3 2" xfId="7457"/>
    <cellStyle name="Note 5 6 3 2 3 2 2" xfId="14297"/>
    <cellStyle name="Note 5 6 3 2 3 3" xfId="10877"/>
    <cellStyle name="Note 5 6 3 2 4" xfId="5177"/>
    <cellStyle name="Note 5 6 3 2 4 2" xfId="12017"/>
    <cellStyle name="Note 5 6 3 2 5" xfId="8597"/>
    <cellStyle name="Note 5 6 3 3" xfId="2342"/>
    <cellStyle name="Note 5 6 3 3 2" xfId="5762"/>
    <cellStyle name="Note 5 6 3 3 2 2" xfId="12602"/>
    <cellStyle name="Note 5 6 3 3 3" xfId="9182"/>
    <cellStyle name="Note 5 6 3 4" xfId="3482"/>
    <cellStyle name="Note 5 6 3 4 2" xfId="6902"/>
    <cellStyle name="Note 5 6 3 4 2 2" xfId="13742"/>
    <cellStyle name="Note 5 6 3 4 3" xfId="10322"/>
    <cellStyle name="Note 5 6 3 5" xfId="4622"/>
    <cellStyle name="Note 5 6 3 5 2" xfId="11462"/>
    <cellStyle name="Note 5 6 3 6" xfId="8042"/>
    <cellStyle name="Note 5 6 4" xfId="38442"/>
    <cellStyle name="Note 5 6 5" xfId="56519"/>
    <cellStyle name="Note 5 6 6" xfId="56520"/>
    <cellStyle name="Note 5 6 7" xfId="56521"/>
    <cellStyle name="Note 5 7" xfId="1123"/>
    <cellStyle name="Note 5 7 2" xfId="745"/>
    <cellStyle name="Note 5 7 2 2" xfId="1955"/>
    <cellStyle name="Note 5 7 2 2 2" xfId="5375"/>
    <cellStyle name="Note 5 7 2 2 2 2" xfId="12215"/>
    <cellStyle name="Note 5 7 2 2 3" xfId="8795"/>
    <cellStyle name="Note 5 7 2 3" xfId="3095"/>
    <cellStyle name="Note 5 7 2 3 2" xfId="6515"/>
    <cellStyle name="Note 5 7 2 3 2 2" xfId="13355"/>
    <cellStyle name="Note 5 7 2 3 3" xfId="9935"/>
    <cellStyle name="Note 5 7 2 4" xfId="4235"/>
    <cellStyle name="Note 5 7 2 4 2" xfId="11075"/>
    <cellStyle name="Note 5 7 2 5" xfId="7655"/>
    <cellStyle name="Note 5 7 3" xfId="1937"/>
    <cellStyle name="Note 5 7 3 2" xfId="5357"/>
    <cellStyle name="Note 5 7 3 2 2" xfId="12197"/>
    <cellStyle name="Note 5 7 3 3" xfId="8777"/>
    <cellStyle name="Note 5 7 4" xfId="3077"/>
    <cellStyle name="Note 5 7 4 2" xfId="6497"/>
    <cellStyle name="Note 5 7 4 2 2" xfId="13337"/>
    <cellStyle name="Note 5 7 4 3" xfId="9917"/>
    <cellStyle name="Note 5 7 5" xfId="4217"/>
    <cellStyle name="Note 5 7 5 2" xfId="11057"/>
    <cellStyle name="Note 5 7 6" xfId="7637"/>
    <cellStyle name="Note 5 8" xfId="38198"/>
    <cellStyle name="Note 5 9" xfId="56522"/>
    <cellStyle name="Note 6" xfId="56523"/>
    <cellStyle name="Note 6 2" xfId="56524"/>
    <cellStyle name="Note 6 2 2" xfId="56525"/>
    <cellStyle name="Note 6 2 2 2" xfId="56526"/>
    <cellStyle name="Note 6 2 2 3" xfId="56527"/>
    <cellStyle name="Note 6 2 3" xfId="56528"/>
    <cellStyle name="Note 6 2 4" xfId="56529"/>
    <cellStyle name="Note 6 2 5" xfId="56530"/>
    <cellStyle name="Note 6 3" xfId="56531"/>
    <cellStyle name="Note 6 3 2" xfId="56532"/>
    <cellStyle name="Note 6 3 3" xfId="56533"/>
    <cellStyle name="Note 6 3 4" xfId="56534"/>
    <cellStyle name="Note 6 4" xfId="56535"/>
    <cellStyle name="Note 6 5" xfId="56536"/>
    <cellStyle name="Note 6 6" xfId="56537"/>
    <cellStyle name="Note 7" xfId="56538"/>
    <cellStyle name="Note 7 2" xfId="56539"/>
    <cellStyle name="Note 7 3" xfId="56540"/>
    <cellStyle name="Note 8" xfId="56541"/>
    <cellStyle name="Note 9" xfId="56542"/>
    <cellStyle name="NoteItem" xfId="56543"/>
    <cellStyle name="NoteNum" xfId="56544"/>
    <cellStyle name="Notes_multi" xfId="56545"/>
    <cellStyle name="NoteSection" xfId="56546"/>
    <cellStyle name="NoteSubItem" xfId="56547"/>
    <cellStyle name="NoteSubItemTotal" xfId="56548"/>
    <cellStyle name="NoteSubTotal" xfId="56549"/>
    <cellStyle name="NumResAccts" xfId="56550"/>
    <cellStyle name="NumResAccts 2" xfId="56551"/>
    <cellStyle name="NumResAccts_x000a_NA_x000d__x000a_" xfId="56552"/>
    <cellStyle name="OPa" xfId="56553"/>
    <cellStyle name="OPa 2" xfId="56554"/>
    <cellStyle name="OPa 2 2" xfId="56555"/>
    <cellStyle name="OPa 2 3" xfId="56556"/>
    <cellStyle name="OPa 3" xfId="56557"/>
    <cellStyle name="OPa 4" xfId="56558"/>
    <cellStyle name="OPb" xfId="56559"/>
    <cellStyle name="OPb 2" xfId="56560"/>
    <cellStyle name="OPb 2 2" xfId="56561"/>
    <cellStyle name="OPb 2 3" xfId="56562"/>
    <cellStyle name="OPb 3" xfId="56563"/>
    <cellStyle name="OPb 4" xfId="56564"/>
    <cellStyle name="OpenBals" xfId="56565"/>
    <cellStyle name="OpenBals 2" xfId="56566"/>
    <cellStyle name="OpenBals 2 2" xfId="56567"/>
    <cellStyle name="OpenBals 3" xfId="56568"/>
    <cellStyle name="OpeningBals" xfId="56569"/>
    <cellStyle name="OpeningBals 2" xfId="56570"/>
    <cellStyle name="OpSub" xfId="56571"/>
    <cellStyle name="OpSub 2" xfId="56572"/>
    <cellStyle name="Option" xfId="56573"/>
    <cellStyle name="Output 2" xfId="42"/>
    <cellStyle name="Output 2 10" xfId="1092"/>
    <cellStyle name="Output 2 10 10" xfId="14723"/>
    <cellStyle name="Output 2 10 11" xfId="23085"/>
    <cellStyle name="Output 2 10 2" xfId="1084"/>
    <cellStyle name="Output 2 10 2 2" xfId="2685"/>
    <cellStyle name="Output 2 10 2 2 2" xfId="6105"/>
    <cellStyle name="Output 2 10 2 2 2 2" xfId="12945"/>
    <cellStyle name="Output 2 10 2 2 3" xfId="9525"/>
    <cellStyle name="Output 2 10 2 3" xfId="3825"/>
    <cellStyle name="Output 2 10 2 3 2" xfId="7245"/>
    <cellStyle name="Output 2 10 2 3 2 2" xfId="14085"/>
    <cellStyle name="Output 2 10 2 3 3" xfId="10665"/>
    <cellStyle name="Output 2 10 2 4" xfId="4965"/>
    <cellStyle name="Output 2 10 2 4 2" xfId="11805"/>
    <cellStyle name="Output 2 10 2 5" xfId="8385"/>
    <cellStyle name="Output 2 10 2 6" xfId="15804"/>
    <cellStyle name="Output 2 10 2 7" xfId="24120"/>
    <cellStyle name="Output 2 10 2 8" xfId="31408"/>
    <cellStyle name="Output 2 10 3" xfId="1897"/>
    <cellStyle name="Output 2 10 3 2" xfId="5317"/>
    <cellStyle name="Output 2 10 3 2 2" xfId="12157"/>
    <cellStyle name="Output 2 10 3 2 3" xfId="56574"/>
    <cellStyle name="Output 2 10 3 3" xfId="8737"/>
    <cellStyle name="Output 2 10 3 4" xfId="16770"/>
    <cellStyle name="Output 2 10 3 5" xfId="25092"/>
    <cellStyle name="Output 2 10 3 6" xfId="32341"/>
    <cellStyle name="Output 2 10 4" xfId="3037"/>
    <cellStyle name="Output 2 10 4 2" xfId="6457"/>
    <cellStyle name="Output 2 10 4 2 2" xfId="13297"/>
    <cellStyle name="Output 2 10 4 2 3" xfId="56575"/>
    <cellStyle name="Output 2 10 4 3" xfId="9877"/>
    <cellStyle name="Output 2 10 4 4" xfId="17794"/>
    <cellStyle name="Output 2 10 4 5" xfId="26118"/>
    <cellStyle name="Output 2 10 4 6" xfId="33318"/>
    <cellStyle name="Output 2 10 5" xfId="4177"/>
    <cellStyle name="Output 2 10 5 2" xfId="11017"/>
    <cellStyle name="Output 2 10 5 2 2" xfId="56576"/>
    <cellStyle name="Output 2 10 5 2 3" xfId="56577"/>
    <cellStyle name="Output 2 10 5 3" xfId="18778"/>
    <cellStyle name="Output 2 10 5 4" xfId="27099"/>
    <cellStyle name="Output 2 10 5 5" xfId="34258"/>
    <cellStyle name="Output 2 10 6" xfId="7597"/>
    <cellStyle name="Output 2 10 6 2" xfId="19747"/>
    <cellStyle name="Output 2 10 6 2 2" xfId="56578"/>
    <cellStyle name="Output 2 10 6 2 3" xfId="56579"/>
    <cellStyle name="Output 2 10 6 3" xfId="28068"/>
    <cellStyle name="Output 2 10 6 4" xfId="35204"/>
    <cellStyle name="Output 2 10 7" xfId="20704"/>
    <cellStyle name="Output 2 10 7 2" xfId="29025"/>
    <cellStyle name="Output 2 10 7 2 2" xfId="56580"/>
    <cellStyle name="Output 2 10 7 2 3" xfId="56581"/>
    <cellStyle name="Output 2 10 7 3" xfId="36118"/>
    <cellStyle name="Output 2 10 7 4" xfId="56582"/>
    <cellStyle name="Output 2 10 8" xfId="21145"/>
    <cellStyle name="Output 2 10 8 2" xfId="29457"/>
    <cellStyle name="Output 2 10 8 2 2" xfId="56583"/>
    <cellStyle name="Output 2 10 8 2 3" xfId="56584"/>
    <cellStyle name="Output 2 10 8 3" xfId="36529"/>
    <cellStyle name="Output 2 10 8 4" xfId="56585"/>
    <cellStyle name="Output 2 10 9" xfId="22140"/>
    <cellStyle name="Output 2 10 9 2" xfId="30438"/>
    <cellStyle name="Output 2 10 9 3" xfId="37469"/>
    <cellStyle name="Output 2 11" xfId="14800"/>
    <cellStyle name="Output 2 11 10" xfId="23164"/>
    <cellStyle name="Output 2 11 11" xfId="56586"/>
    <cellStyle name="Output 2 11 2" xfId="15881"/>
    <cellStyle name="Output 2 11 2 2" xfId="24199"/>
    <cellStyle name="Output 2 11 2 2 2" xfId="56587"/>
    <cellStyle name="Output 2 11 2 2 3" xfId="56588"/>
    <cellStyle name="Output 2 11 2 3" xfId="31485"/>
    <cellStyle name="Output 2 11 2 4" xfId="56589"/>
    <cellStyle name="Output 2 11 3" xfId="16847"/>
    <cellStyle name="Output 2 11 3 2" xfId="25171"/>
    <cellStyle name="Output 2 11 3 2 2" xfId="56590"/>
    <cellStyle name="Output 2 11 3 2 3" xfId="56591"/>
    <cellStyle name="Output 2 11 3 3" xfId="32418"/>
    <cellStyle name="Output 2 11 3 4" xfId="56592"/>
    <cellStyle name="Output 2 11 4" xfId="17874"/>
    <cellStyle name="Output 2 11 4 2" xfId="26197"/>
    <cellStyle name="Output 2 11 4 2 2" xfId="56593"/>
    <cellStyle name="Output 2 11 4 2 3" xfId="56594"/>
    <cellStyle name="Output 2 11 4 3" xfId="33395"/>
    <cellStyle name="Output 2 11 4 4" xfId="56595"/>
    <cellStyle name="Output 2 11 5" xfId="18858"/>
    <cellStyle name="Output 2 11 5 2" xfId="27178"/>
    <cellStyle name="Output 2 11 5 2 2" xfId="56596"/>
    <cellStyle name="Output 2 11 5 2 3" xfId="56597"/>
    <cellStyle name="Output 2 11 5 3" xfId="34335"/>
    <cellStyle name="Output 2 11 5 4" xfId="56598"/>
    <cellStyle name="Output 2 11 6" xfId="19826"/>
    <cellStyle name="Output 2 11 6 2" xfId="28148"/>
    <cellStyle name="Output 2 11 6 2 2" xfId="56599"/>
    <cellStyle name="Output 2 11 6 2 3" xfId="56600"/>
    <cellStyle name="Output 2 11 6 3" xfId="35282"/>
    <cellStyle name="Output 2 11 6 4" xfId="56601"/>
    <cellStyle name="Output 2 11 7" xfId="20784"/>
    <cellStyle name="Output 2 11 7 2" xfId="29104"/>
    <cellStyle name="Output 2 11 7 2 2" xfId="56602"/>
    <cellStyle name="Output 2 11 7 2 3" xfId="56603"/>
    <cellStyle name="Output 2 11 7 3" xfId="36194"/>
    <cellStyle name="Output 2 11 7 4" xfId="56604"/>
    <cellStyle name="Output 2 11 8" xfId="21126"/>
    <cellStyle name="Output 2 11 8 2" xfId="29440"/>
    <cellStyle name="Output 2 11 8 2 2" xfId="56605"/>
    <cellStyle name="Output 2 11 8 2 3" xfId="56606"/>
    <cellStyle name="Output 2 11 8 3" xfId="36513"/>
    <cellStyle name="Output 2 11 8 4" xfId="56607"/>
    <cellStyle name="Output 2 11 9" xfId="22220"/>
    <cellStyle name="Output 2 11 9 2" xfId="30518"/>
    <cellStyle name="Output 2 11 9 3" xfId="37546"/>
    <cellStyle name="Output 2 12" xfId="14860"/>
    <cellStyle name="Output 2 12 10" xfId="23223"/>
    <cellStyle name="Output 2 12 11" xfId="56608"/>
    <cellStyle name="Output 2 12 2" xfId="15941"/>
    <cellStyle name="Output 2 12 2 2" xfId="24258"/>
    <cellStyle name="Output 2 12 2 2 2" xfId="56609"/>
    <cellStyle name="Output 2 12 2 2 3" xfId="56610"/>
    <cellStyle name="Output 2 12 2 3" xfId="31542"/>
    <cellStyle name="Output 2 12 2 4" xfId="56611"/>
    <cellStyle name="Output 2 12 3" xfId="16907"/>
    <cellStyle name="Output 2 12 3 2" xfId="25230"/>
    <cellStyle name="Output 2 12 3 2 2" xfId="56612"/>
    <cellStyle name="Output 2 12 3 2 3" xfId="56613"/>
    <cellStyle name="Output 2 12 3 3" xfId="32475"/>
    <cellStyle name="Output 2 12 3 4" xfId="56614"/>
    <cellStyle name="Output 2 12 4" xfId="17934"/>
    <cellStyle name="Output 2 12 4 2" xfId="26256"/>
    <cellStyle name="Output 2 12 4 2 2" xfId="56615"/>
    <cellStyle name="Output 2 12 4 2 3" xfId="56616"/>
    <cellStyle name="Output 2 12 4 3" xfId="33452"/>
    <cellStyle name="Output 2 12 4 4" xfId="56617"/>
    <cellStyle name="Output 2 12 5" xfId="18918"/>
    <cellStyle name="Output 2 12 5 2" xfId="27238"/>
    <cellStyle name="Output 2 12 5 2 2" xfId="56618"/>
    <cellStyle name="Output 2 12 5 2 3" xfId="56619"/>
    <cellStyle name="Output 2 12 5 3" xfId="34393"/>
    <cellStyle name="Output 2 12 5 4" xfId="56620"/>
    <cellStyle name="Output 2 12 6" xfId="19886"/>
    <cellStyle name="Output 2 12 6 2" xfId="28208"/>
    <cellStyle name="Output 2 12 6 2 2" xfId="56621"/>
    <cellStyle name="Output 2 12 6 2 3" xfId="56622"/>
    <cellStyle name="Output 2 12 6 3" xfId="35340"/>
    <cellStyle name="Output 2 12 6 4" xfId="56623"/>
    <cellStyle name="Output 2 12 7" xfId="20844"/>
    <cellStyle name="Output 2 12 7 2" xfId="29163"/>
    <cellStyle name="Output 2 12 7 2 2" xfId="56624"/>
    <cellStyle name="Output 2 12 7 2 3" xfId="56625"/>
    <cellStyle name="Output 2 12 7 3" xfId="36250"/>
    <cellStyle name="Output 2 12 7 4" xfId="56626"/>
    <cellStyle name="Output 2 12 8" xfId="15535"/>
    <cellStyle name="Output 2 12 8 2" xfId="23871"/>
    <cellStyle name="Output 2 12 8 2 2" xfId="56627"/>
    <cellStyle name="Output 2 12 8 2 3" xfId="56628"/>
    <cellStyle name="Output 2 12 8 3" xfId="31216"/>
    <cellStyle name="Output 2 12 8 4" xfId="56629"/>
    <cellStyle name="Output 2 12 9" xfId="22279"/>
    <cellStyle name="Output 2 12 9 2" xfId="30577"/>
    <cellStyle name="Output 2 12 9 3" xfId="37603"/>
    <cellStyle name="Output 2 13" xfId="14733"/>
    <cellStyle name="Output 2 13 10" xfId="23097"/>
    <cellStyle name="Output 2 13 11" xfId="56630"/>
    <cellStyle name="Output 2 13 2" xfId="15814"/>
    <cellStyle name="Output 2 13 2 2" xfId="24132"/>
    <cellStyle name="Output 2 13 2 2 2" xfId="56631"/>
    <cellStyle name="Output 2 13 2 2 3" xfId="56632"/>
    <cellStyle name="Output 2 13 2 3" xfId="31420"/>
    <cellStyle name="Output 2 13 2 4" xfId="56633"/>
    <cellStyle name="Output 2 13 3" xfId="16780"/>
    <cellStyle name="Output 2 13 3 2" xfId="25104"/>
    <cellStyle name="Output 2 13 3 2 2" xfId="56634"/>
    <cellStyle name="Output 2 13 3 2 3" xfId="56635"/>
    <cellStyle name="Output 2 13 3 3" xfId="32353"/>
    <cellStyle name="Output 2 13 3 4" xfId="56636"/>
    <cellStyle name="Output 2 13 4" xfId="17806"/>
    <cellStyle name="Output 2 13 4 2" xfId="26130"/>
    <cellStyle name="Output 2 13 4 2 2" xfId="56637"/>
    <cellStyle name="Output 2 13 4 2 3" xfId="56638"/>
    <cellStyle name="Output 2 13 4 3" xfId="33330"/>
    <cellStyle name="Output 2 13 4 4" xfId="56639"/>
    <cellStyle name="Output 2 13 5" xfId="18790"/>
    <cellStyle name="Output 2 13 5 2" xfId="27111"/>
    <cellStyle name="Output 2 13 5 2 2" xfId="56640"/>
    <cellStyle name="Output 2 13 5 2 3" xfId="56641"/>
    <cellStyle name="Output 2 13 5 3" xfId="34270"/>
    <cellStyle name="Output 2 13 5 4" xfId="56642"/>
    <cellStyle name="Output 2 13 6" xfId="19758"/>
    <cellStyle name="Output 2 13 6 2" xfId="28080"/>
    <cellStyle name="Output 2 13 6 2 2" xfId="56643"/>
    <cellStyle name="Output 2 13 6 2 3" xfId="56644"/>
    <cellStyle name="Output 2 13 6 3" xfId="35216"/>
    <cellStyle name="Output 2 13 6 4" xfId="56645"/>
    <cellStyle name="Output 2 13 7" xfId="20716"/>
    <cellStyle name="Output 2 13 7 2" xfId="29037"/>
    <cellStyle name="Output 2 13 7 2 2" xfId="56646"/>
    <cellStyle name="Output 2 13 7 2 3" xfId="56647"/>
    <cellStyle name="Output 2 13 7 3" xfId="36130"/>
    <cellStyle name="Output 2 13 7 4" xfId="56648"/>
    <cellStyle name="Output 2 13 8" xfId="21192"/>
    <cellStyle name="Output 2 13 8 2" xfId="29504"/>
    <cellStyle name="Output 2 13 8 2 2" xfId="56649"/>
    <cellStyle name="Output 2 13 8 2 3" xfId="56650"/>
    <cellStyle name="Output 2 13 8 3" xfId="36575"/>
    <cellStyle name="Output 2 13 8 4" xfId="56651"/>
    <cellStyle name="Output 2 13 9" xfId="22152"/>
    <cellStyle name="Output 2 13 9 2" xfId="30450"/>
    <cellStyle name="Output 2 13 9 3" xfId="37481"/>
    <cellStyle name="Output 2 14" xfId="14945"/>
    <cellStyle name="Output 2 14 10" xfId="23308"/>
    <cellStyle name="Output 2 14 11" xfId="56652"/>
    <cellStyle name="Output 2 14 2" xfId="16026"/>
    <cellStyle name="Output 2 14 2 2" xfId="24343"/>
    <cellStyle name="Output 2 14 2 2 2" xfId="56653"/>
    <cellStyle name="Output 2 14 2 2 3" xfId="56654"/>
    <cellStyle name="Output 2 14 2 3" xfId="31623"/>
    <cellStyle name="Output 2 14 2 4" xfId="56655"/>
    <cellStyle name="Output 2 14 3" xfId="16992"/>
    <cellStyle name="Output 2 14 3 2" xfId="25315"/>
    <cellStyle name="Output 2 14 3 2 2" xfId="56656"/>
    <cellStyle name="Output 2 14 3 2 3" xfId="56657"/>
    <cellStyle name="Output 2 14 3 3" xfId="32556"/>
    <cellStyle name="Output 2 14 3 4" xfId="56658"/>
    <cellStyle name="Output 2 14 4" xfId="18019"/>
    <cellStyle name="Output 2 14 4 2" xfId="26341"/>
    <cellStyle name="Output 2 14 4 2 2" xfId="56659"/>
    <cellStyle name="Output 2 14 4 2 3" xfId="56660"/>
    <cellStyle name="Output 2 14 4 3" xfId="33533"/>
    <cellStyle name="Output 2 14 4 4" xfId="56661"/>
    <cellStyle name="Output 2 14 5" xfId="19003"/>
    <cellStyle name="Output 2 14 5 2" xfId="27323"/>
    <cellStyle name="Output 2 14 5 2 2" xfId="56662"/>
    <cellStyle name="Output 2 14 5 2 3" xfId="56663"/>
    <cellStyle name="Output 2 14 5 3" xfId="34474"/>
    <cellStyle name="Output 2 14 5 4" xfId="56664"/>
    <cellStyle name="Output 2 14 6" xfId="19971"/>
    <cellStyle name="Output 2 14 6 2" xfId="28293"/>
    <cellStyle name="Output 2 14 6 2 2" xfId="56665"/>
    <cellStyle name="Output 2 14 6 2 3" xfId="56666"/>
    <cellStyle name="Output 2 14 6 3" xfId="35421"/>
    <cellStyle name="Output 2 14 6 4" xfId="56667"/>
    <cellStyle name="Output 2 14 7" xfId="20929"/>
    <cellStyle name="Output 2 14 7 2" xfId="29248"/>
    <cellStyle name="Output 2 14 7 2 2" xfId="56668"/>
    <cellStyle name="Output 2 14 7 2 3" xfId="56669"/>
    <cellStyle name="Output 2 14 7 3" xfId="36331"/>
    <cellStyle name="Output 2 14 7 4" xfId="56670"/>
    <cellStyle name="Output 2 14 8" xfId="21436"/>
    <cellStyle name="Output 2 14 8 2" xfId="29739"/>
    <cellStyle name="Output 2 14 8 2 2" xfId="56671"/>
    <cellStyle name="Output 2 14 8 2 3" xfId="56672"/>
    <cellStyle name="Output 2 14 8 3" xfId="36801"/>
    <cellStyle name="Output 2 14 8 4" xfId="56673"/>
    <cellStyle name="Output 2 14 9" xfId="22364"/>
    <cellStyle name="Output 2 14 9 2" xfId="30662"/>
    <cellStyle name="Output 2 14 9 3" xfId="37684"/>
    <cellStyle name="Output 2 15" xfId="15017"/>
    <cellStyle name="Output 2 15 10" xfId="23377"/>
    <cellStyle name="Output 2 15 11" xfId="56674"/>
    <cellStyle name="Output 2 15 2" xfId="16097"/>
    <cellStyle name="Output 2 15 2 2" xfId="24412"/>
    <cellStyle name="Output 2 15 2 2 2" xfId="56675"/>
    <cellStyle name="Output 2 15 2 2 3" xfId="56676"/>
    <cellStyle name="Output 2 15 2 3" xfId="31690"/>
    <cellStyle name="Output 2 15 2 4" xfId="56677"/>
    <cellStyle name="Output 2 15 3" xfId="17064"/>
    <cellStyle name="Output 2 15 3 2" xfId="25385"/>
    <cellStyle name="Output 2 15 3 2 2" xfId="56678"/>
    <cellStyle name="Output 2 15 3 2 3" xfId="56679"/>
    <cellStyle name="Output 2 15 3 3" xfId="32624"/>
    <cellStyle name="Output 2 15 3 4" xfId="56680"/>
    <cellStyle name="Output 2 15 4" xfId="18091"/>
    <cellStyle name="Output 2 15 4 2" xfId="26411"/>
    <cellStyle name="Output 2 15 4 2 2" xfId="56681"/>
    <cellStyle name="Output 2 15 4 2 3" xfId="56682"/>
    <cellStyle name="Output 2 15 4 3" xfId="33601"/>
    <cellStyle name="Output 2 15 4 4" xfId="56683"/>
    <cellStyle name="Output 2 15 5" xfId="19075"/>
    <cellStyle name="Output 2 15 5 2" xfId="27395"/>
    <cellStyle name="Output 2 15 5 2 2" xfId="56684"/>
    <cellStyle name="Output 2 15 5 2 3" xfId="56685"/>
    <cellStyle name="Output 2 15 5 3" xfId="34544"/>
    <cellStyle name="Output 2 15 5 4" xfId="56686"/>
    <cellStyle name="Output 2 15 6" xfId="20043"/>
    <cellStyle name="Output 2 15 6 2" xfId="28365"/>
    <cellStyle name="Output 2 15 6 2 2" xfId="56687"/>
    <cellStyle name="Output 2 15 6 2 3" xfId="56688"/>
    <cellStyle name="Output 2 15 6 3" xfId="35491"/>
    <cellStyle name="Output 2 15 6 4" xfId="56689"/>
    <cellStyle name="Output 2 15 7" xfId="21000"/>
    <cellStyle name="Output 2 15 7 2" xfId="29317"/>
    <cellStyle name="Output 2 15 7 2 2" xfId="56690"/>
    <cellStyle name="Output 2 15 7 2 3" xfId="56691"/>
    <cellStyle name="Output 2 15 7 3" xfId="36398"/>
    <cellStyle name="Output 2 15 7 4" xfId="56692"/>
    <cellStyle name="Output 2 15 8" xfId="21507"/>
    <cellStyle name="Output 2 15 8 2" xfId="29808"/>
    <cellStyle name="Output 2 15 8 2 2" xfId="56693"/>
    <cellStyle name="Output 2 15 8 2 3" xfId="56694"/>
    <cellStyle name="Output 2 15 8 3" xfId="36868"/>
    <cellStyle name="Output 2 15 8 4" xfId="56695"/>
    <cellStyle name="Output 2 15 9" xfId="22435"/>
    <cellStyle name="Output 2 15 9 2" xfId="30731"/>
    <cellStyle name="Output 2 15 9 3" xfId="37751"/>
    <cellStyle name="Output 2 16" xfId="15042"/>
    <cellStyle name="Output 2 16 10" xfId="23402"/>
    <cellStyle name="Output 2 16 11" xfId="56696"/>
    <cellStyle name="Output 2 16 2" xfId="16122"/>
    <cellStyle name="Output 2 16 2 2" xfId="24437"/>
    <cellStyle name="Output 2 16 2 2 2" xfId="56697"/>
    <cellStyle name="Output 2 16 2 2 3" xfId="56698"/>
    <cellStyle name="Output 2 16 2 3" xfId="31714"/>
    <cellStyle name="Output 2 16 2 4" xfId="56699"/>
    <cellStyle name="Output 2 16 3" xfId="17089"/>
    <cellStyle name="Output 2 16 3 2" xfId="25410"/>
    <cellStyle name="Output 2 16 3 2 2" xfId="56700"/>
    <cellStyle name="Output 2 16 3 2 3" xfId="56701"/>
    <cellStyle name="Output 2 16 3 3" xfId="32648"/>
    <cellStyle name="Output 2 16 3 4" xfId="56702"/>
    <cellStyle name="Output 2 16 4" xfId="18116"/>
    <cellStyle name="Output 2 16 4 2" xfId="26436"/>
    <cellStyle name="Output 2 16 4 2 2" xfId="56703"/>
    <cellStyle name="Output 2 16 4 2 3" xfId="56704"/>
    <cellStyle name="Output 2 16 4 3" xfId="33625"/>
    <cellStyle name="Output 2 16 4 4" xfId="56705"/>
    <cellStyle name="Output 2 16 5" xfId="19100"/>
    <cellStyle name="Output 2 16 5 2" xfId="27420"/>
    <cellStyle name="Output 2 16 5 2 2" xfId="56706"/>
    <cellStyle name="Output 2 16 5 2 3" xfId="56707"/>
    <cellStyle name="Output 2 16 5 3" xfId="34568"/>
    <cellStyle name="Output 2 16 5 4" xfId="56708"/>
    <cellStyle name="Output 2 16 6" xfId="20068"/>
    <cellStyle name="Output 2 16 6 2" xfId="28390"/>
    <cellStyle name="Output 2 16 6 2 2" xfId="56709"/>
    <cellStyle name="Output 2 16 6 2 3" xfId="56710"/>
    <cellStyle name="Output 2 16 6 3" xfId="35515"/>
    <cellStyle name="Output 2 16 6 4" xfId="56711"/>
    <cellStyle name="Output 2 16 7" xfId="21025"/>
    <cellStyle name="Output 2 16 7 2" xfId="29342"/>
    <cellStyle name="Output 2 16 7 2 2" xfId="56712"/>
    <cellStyle name="Output 2 16 7 2 3" xfId="56713"/>
    <cellStyle name="Output 2 16 7 3" xfId="36422"/>
    <cellStyle name="Output 2 16 7 4" xfId="56714"/>
    <cellStyle name="Output 2 16 8" xfId="21532"/>
    <cellStyle name="Output 2 16 8 2" xfId="29833"/>
    <cellStyle name="Output 2 16 8 2 2" xfId="56715"/>
    <cellStyle name="Output 2 16 8 2 3" xfId="56716"/>
    <cellStyle name="Output 2 16 8 3" xfId="36892"/>
    <cellStyle name="Output 2 16 8 4" xfId="56717"/>
    <cellStyle name="Output 2 16 9" xfId="22460"/>
    <cellStyle name="Output 2 16 9 2" xfId="30756"/>
    <cellStyle name="Output 2 16 9 3" xfId="37775"/>
    <cellStyle name="Output 2 17" xfId="15125"/>
    <cellStyle name="Output 2 17 10" xfId="56718"/>
    <cellStyle name="Output 2 17 2" xfId="16205"/>
    <cellStyle name="Output 2 17 2 2" xfId="24518"/>
    <cellStyle name="Output 2 17 2 2 2" xfId="56719"/>
    <cellStyle name="Output 2 17 2 2 3" xfId="56720"/>
    <cellStyle name="Output 2 17 2 3" xfId="31795"/>
    <cellStyle name="Output 2 17 2 4" xfId="56721"/>
    <cellStyle name="Output 2 17 3" xfId="17171"/>
    <cellStyle name="Output 2 17 3 2" xfId="25492"/>
    <cellStyle name="Output 2 17 3 2 2" xfId="56722"/>
    <cellStyle name="Output 2 17 3 2 3" xfId="56723"/>
    <cellStyle name="Output 2 17 3 3" xfId="32728"/>
    <cellStyle name="Output 2 17 3 4" xfId="56724"/>
    <cellStyle name="Output 2 17 4" xfId="18199"/>
    <cellStyle name="Output 2 17 4 2" xfId="26519"/>
    <cellStyle name="Output 2 17 4 2 2" xfId="56725"/>
    <cellStyle name="Output 2 17 4 2 3" xfId="56726"/>
    <cellStyle name="Output 2 17 4 3" xfId="33706"/>
    <cellStyle name="Output 2 17 4 4" xfId="56727"/>
    <cellStyle name="Output 2 17 5" xfId="19183"/>
    <cellStyle name="Output 2 17 5 2" xfId="27503"/>
    <cellStyle name="Output 2 17 5 2 2" xfId="56728"/>
    <cellStyle name="Output 2 17 5 2 3" xfId="56729"/>
    <cellStyle name="Output 2 17 5 3" xfId="34651"/>
    <cellStyle name="Output 2 17 5 4" xfId="56730"/>
    <cellStyle name="Output 2 17 6" xfId="20151"/>
    <cellStyle name="Output 2 17 6 2" xfId="28473"/>
    <cellStyle name="Output 2 17 6 2 2" xfId="56731"/>
    <cellStyle name="Output 2 17 6 2 3" xfId="56732"/>
    <cellStyle name="Output 2 17 6 3" xfId="35598"/>
    <cellStyle name="Output 2 17 6 4" xfId="56733"/>
    <cellStyle name="Output 2 17 7" xfId="21612"/>
    <cellStyle name="Output 2 17 7 2" xfId="29913"/>
    <cellStyle name="Output 2 17 7 2 2" xfId="56734"/>
    <cellStyle name="Output 2 17 7 2 3" xfId="56735"/>
    <cellStyle name="Output 2 17 7 3" xfId="36972"/>
    <cellStyle name="Output 2 17 7 4" xfId="56736"/>
    <cellStyle name="Output 2 17 8" xfId="22540"/>
    <cellStyle name="Output 2 17 8 2" xfId="30836"/>
    <cellStyle name="Output 2 17 8 3" xfId="37855"/>
    <cellStyle name="Output 2 17 9" xfId="23482"/>
    <cellStyle name="Output 2 18" xfId="15174"/>
    <cellStyle name="Output 2 18 10" xfId="56737"/>
    <cellStyle name="Output 2 18 2" xfId="16254"/>
    <cellStyle name="Output 2 18 2 2" xfId="24567"/>
    <cellStyle name="Output 2 18 2 2 2" xfId="56738"/>
    <cellStyle name="Output 2 18 2 2 3" xfId="56739"/>
    <cellStyle name="Output 2 18 2 3" xfId="31839"/>
    <cellStyle name="Output 2 18 2 4" xfId="56740"/>
    <cellStyle name="Output 2 18 3" xfId="17220"/>
    <cellStyle name="Output 2 18 3 2" xfId="25541"/>
    <cellStyle name="Output 2 18 3 2 2" xfId="56741"/>
    <cellStyle name="Output 2 18 3 2 3" xfId="56742"/>
    <cellStyle name="Output 2 18 3 3" xfId="32772"/>
    <cellStyle name="Output 2 18 3 4" xfId="56743"/>
    <cellStyle name="Output 2 18 4" xfId="18248"/>
    <cellStyle name="Output 2 18 4 2" xfId="26568"/>
    <cellStyle name="Output 2 18 4 2 2" xfId="56744"/>
    <cellStyle name="Output 2 18 4 2 3" xfId="56745"/>
    <cellStyle name="Output 2 18 4 3" xfId="33750"/>
    <cellStyle name="Output 2 18 4 4" xfId="56746"/>
    <cellStyle name="Output 2 18 5" xfId="19232"/>
    <cellStyle name="Output 2 18 5 2" xfId="27552"/>
    <cellStyle name="Output 2 18 5 2 2" xfId="56747"/>
    <cellStyle name="Output 2 18 5 2 3" xfId="56748"/>
    <cellStyle name="Output 2 18 5 3" xfId="34700"/>
    <cellStyle name="Output 2 18 5 4" xfId="56749"/>
    <cellStyle name="Output 2 18 6" xfId="20200"/>
    <cellStyle name="Output 2 18 6 2" xfId="28522"/>
    <cellStyle name="Output 2 18 6 2 2" xfId="56750"/>
    <cellStyle name="Output 2 18 6 2 3" xfId="56751"/>
    <cellStyle name="Output 2 18 6 3" xfId="35642"/>
    <cellStyle name="Output 2 18 6 4" xfId="56752"/>
    <cellStyle name="Output 2 18 7" xfId="21661"/>
    <cellStyle name="Output 2 18 7 2" xfId="29962"/>
    <cellStyle name="Output 2 18 7 2 2" xfId="56753"/>
    <cellStyle name="Output 2 18 7 2 3" xfId="56754"/>
    <cellStyle name="Output 2 18 7 3" xfId="37016"/>
    <cellStyle name="Output 2 18 7 4" xfId="56755"/>
    <cellStyle name="Output 2 18 8" xfId="22589"/>
    <cellStyle name="Output 2 18 8 2" xfId="30885"/>
    <cellStyle name="Output 2 18 8 3" xfId="37899"/>
    <cellStyle name="Output 2 18 9" xfId="23531"/>
    <cellStyle name="Output 2 19" xfId="15132"/>
    <cellStyle name="Output 2 19 10" xfId="56756"/>
    <cellStyle name="Output 2 19 2" xfId="16212"/>
    <cellStyle name="Output 2 19 2 2" xfId="24525"/>
    <cellStyle name="Output 2 19 2 2 2" xfId="56757"/>
    <cellStyle name="Output 2 19 2 2 3" xfId="56758"/>
    <cellStyle name="Output 2 19 2 3" xfId="31801"/>
    <cellStyle name="Output 2 19 2 4" xfId="56759"/>
    <cellStyle name="Output 2 19 3" xfId="17178"/>
    <cellStyle name="Output 2 19 3 2" xfId="25499"/>
    <cellStyle name="Output 2 19 3 2 2" xfId="56760"/>
    <cellStyle name="Output 2 19 3 2 3" xfId="56761"/>
    <cellStyle name="Output 2 19 3 3" xfId="32734"/>
    <cellStyle name="Output 2 19 3 4" xfId="56762"/>
    <cellStyle name="Output 2 19 4" xfId="18206"/>
    <cellStyle name="Output 2 19 4 2" xfId="26526"/>
    <cellStyle name="Output 2 19 4 2 2" xfId="56763"/>
    <cellStyle name="Output 2 19 4 2 3" xfId="56764"/>
    <cellStyle name="Output 2 19 4 3" xfId="33712"/>
    <cellStyle name="Output 2 19 4 4" xfId="56765"/>
    <cellStyle name="Output 2 19 5" xfId="19190"/>
    <cellStyle name="Output 2 19 5 2" xfId="27510"/>
    <cellStyle name="Output 2 19 5 2 2" xfId="56766"/>
    <cellStyle name="Output 2 19 5 2 3" xfId="56767"/>
    <cellStyle name="Output 2 19 5 3" xfId="34658"/>
    <cellStyle name="Output 2 19 5 4" xfId="56768"/>
    <cellStyle name="Output 2 19 6" xfId="20158"/>
    <cellStyle name="Output 2 19 6 2" xfId="28480"/>
    <cellStyle name="Output 2 19 6 2 2" xfId="56769"/>
    <cellStyle name="Output 2 19 6 2 3" xfId="56770"/>
    <cellStyle name="Output 2 19 6 3" xfId="35604"/>
    <cellStyle name="Output 2 19 6 4" xfId="56771"/>
    <cellStyle name="Output 2 19 7" xfId="21619"/>
    <cellStyle name="Output 2 19 7 2" xfId="29920"/>
    <cellStyle name="Output 2 19 7 2 2" xfId="56772"/>
    <cellStyle name="Output 2 19 7 2 3" xfId="56773"/>
    <cellStyle name="Output 2 19 7 3" xfId="36978"/>
    <cellStyle name="Output 2 19 7 4" xfId="56774"/>
    <cellStyle name="Output 2 19 8" xfId="22547"/>
    <cellStyle name="Output 2 19 8 2" xfId="30843"/>
    <cellStyle name="Output 2 19 8 3" xfId="37861"/>
    <cellStyle name="Output 2 19 9" xfId="23489"/>
    <cellStyle name="Output 2 2" xfId="56"/>
    <cellStyle name="Output 2 2 10" xfId="14710"/>
    <cellStyle name="Output 2 2 10 10" xfId="23072"/>
    <cellStyle name="Output 2 2 10 11" xfId="56775"/>
    <cellStyle name="Output 2 2 10 2" xfId="15791"/>
    <cellStyle name="Output 2 2 10 2 2" xfId="24107"/>
    <cellStyle name="Output 2 2 10 2 2 2" xfId="56776"/>
    <cellStyle name="Output 2 2 10 2 2 3" xfId="56777"/>
    <cellStyle name="Output 2 2 10 2 3" xfId="31395"/>
    <cellStyle name="Output 2 2 10 2 4" xfId="56778"/>
    <cellStyle name="Output 2 2 10 3" xfId="16757"/>
    <cellStyle name="Output 2 2 10 3 2" xfId="25079"/>
    <cellStyle name="Output 2 2 10 3 2 2" xfId="56779"/>
    <cellStyle name="Output 2 2 10 3 2 3" xfId="56780"/>
    <cellStyle name="Output 2 2 10 3 3" xfId="32328"/>
    <cellStyle name="Output 2 2 10 3 4" xfId="56781"/>
    <cellStyle name="Output 2 2 10 4" xfId="17781"/>
    <cellStyle name="Output 2 2 10 4 2" xfId="26105"/>
    <cellStyle name="Output 2 2 10 4 2 2" xfId="56782"/>
    <cellStyle name="Output 2 2 10 4 2 3" xfId="56783"/>
    <cellStyle name="Output 2 2 10 4 3" xfId="33305"/>
    <cellStyle name="Output 2 2 10 4 4" xfId="56784"/>
    <cellStyle name="Output 2 2 10 5" xfId="18765"/>
    <cellStyle name="Output 2 2 10 5 2" xfId="27086"/>
    <cellStyle name="Output 2 2 10 5 2 2" xfId="56785"/>
    <cellStyle name="Output 2 2 10 5 2 3" xfId="56786"/>
    <cellStyle name="Output 2 2 10 5 3" xfId="34245"/>
    <cellStyle name="Output 2 2 10 5 4" xfId="56787"/>
    <cellStyle name="Output 2 2 10 6" xfId="19734"/>
    <cellStyle name="Output 2 2 10 6 2" xfId="28055"/>
    <cellStyle name="Output 2 2 10 6 2 2" xfId="56788"/>
    <cellStyle name="Output 2 2 10 6 2 3" xfId="56789"/>
    <cellStyle name="Output 2 2 10 6 3" xfId="35191"/>
    <cellStyle name="Output 2 2 10 6 4" xfId="56790"/>
    <cellStyle name="Output 2 2 10 7" xfId="20691"/>
    <cellStyle name="Output 2 2 10 7 2" xfId="29012"/>
    <cellStyle name="Output 2 2 10 7 2 2" xfId="56791"/>
    <cellStyle name="Output 2 2 10 7 2 3" xfId="56792"/>
    <cellStyle name="Output 2 2 10 7 3" xfId="36105"/>
    <cellStyle name="Output 2 2 10 7 4" xfId="56793"/>
    <cellStyle name="Output 2 2 10 8" xfId="15497"/>
    <cellStyle name="Output 2 2 10 8 2" xfId="23837"/>
    <cellStyle name="Output 2 2 10 8 2 2" xfId="56794"/>
    <cellStyle name="Output 2 2 10 8 2 3" xfId="56795"/>
    <cellStyle name="Output 2 2 10 8 3" xfId="31186"/>
    <cellStyle name="Output 2 2 10 8 4" xfId="56796"/>
    <cellStyle name="Output 2 2 10 9" xfId="22127"/>
    <cellStyle name="Output 2 2 10 9 2" xfId="30425"/>
    <cellStyle name="Output 2 2 10 9 3" xfId="37456"/>
    <cellStyle name="Output 2 2 11" xfId="14796"/>
    <cellStyle name="Output 2 2 11 10" xfId="23160"/>
    <cellStyle name="Output 2 2 11 11" xfId="56797"/>
    <cellStyle name="Output 2 2 11 2" xfId="15877"/>
    <cellStyle name="Output 2 2 11 2 2" xfId="24195"/>
    <cellStyle name="Output 2 2 11 2 2 2" xfId="56798"/>
    <cellStyle name="Output 2 2 11 2 2 3" xfId="56799"/>
    <cellStyle name="Output 2 2 11 2 3" xfId="31481"/>
    <cellStyle name="Output 2 2 11 2 4" xfId="56800"/>
    <cellStyle name="Output 2 2 11 3" xfId="16843"/>
    <cellStyle name="Output 2 2 11 3 2" xfId="25167"/>
    <cellStyle name="Output 2 2 11 3 2 2" xfId="56801"/>
    <cellStyle name="Output 2 2 11 3 2 3" xfId="56802"/>
    <cellStyle name="Output 2 2 11 3 3" xfId="32414"/>
    <cellStyle name="Output 2 2 11 3 4" xfId="56803"/>
    <cellStyle name="Output 2 2 11 4" xfId="17870"/>
    <cellStyle name="Output 2 2 11 4 2" xfId="26193"/>
    <cellStyle name="Output 2 2 11 4 2 2" xfId="56804"/>
    <cellStyle name="Output 2 2 11 4 2 3" xfId="56805"/>
    <cellStyle name="Output 2 2 11 4 3" xfId="33391"/>
    <cellStyle name="Output 2 2 11 4 4" xfId="56806"/>
    <cellStyle name="Output 2 2 11 5" xfId="18854"/>
    <cellStyle name="Output 2 2 11 5 2" xfId="27174"/>
    <cellStyle name="Output 2 2 11 5 2 2" xfId="56807"/>
    <cellStyle name="Output 2 2 11 5 2 3" xfId="56808"/>
    <cellStyle name="Output 2 2 11 5 3" xfId="34331"/>
    <cellStyle name="Output 2 2 11 5 4" xfId="56809"/>
    <cellStyle name="Output 2 2 11 6" xfId="19822"/>
    <cellStyle name="Output 2 2 11 6 2" xfId="28144"/>
    <cellStyle name="Output 2 2 11 6 2 2" xfId="56810"/>
    <cellStyle name="Output 2 2 11 6 2 3" xfId="56811"/>
    <cellStyle name="Output 2 2 11 6 3" xfId="35278"/>
    <cellStyle name="Output 2 2 11 6 4" xfId="56812"/>
    <cellStyle name="Output 2 2 11 7" xfId="20780"/>
    <cellStyle name="Output 2 2 11 7 2" xfId="29100"/>
    <cellStyle name="Output 2 2 11 7 2 2" xfId="56813"/>
    <cellStyle name="Output 2 2 11 7 2 3" xfId="56814"/>
    <cellStyle name="Output 2 2 11 7 3" xfId="36190"/>
    <cellStyle name="Output 2 2 11 7 4" xfId="56815"/>
    <cellStyle name="Output 2 2 11 8" xfId="21200"/>
    <cellStyle name="Output 2 2 11 8 2" xfId="29512"/>
    <cellStyle name="Output 2 2 11 8 2 2" xfId="56816"/>
    <cellStyle name="Output 2 2 11 8 2 3" xfId="56817"/>
    <cellStyle name="Output 2 2 11 8 3" xfId="36582"/>
    <cellStyle name="Output 2 2 11 8 4" xfId="56818"/>
    <cellStyle name="Output 2 2 11 9" xfId="22216"/>
    <cellStyle name="Output 2 2 11 9 2" xfId="30514"/>
    <cellStyle name="Output 2 2 11 9 3" xfId="37542"/>
    <cellStyle name="Output 2 2 12" xfId="14706"/>
    <cellStyle name="Output 2 2 12 10" xfId="23068"/>
    <cellStyle name="Output 2 2 12 11" xfId="56819"/>
    <cellStyle name="Output 2 2 12 2" xfId="15787"/>
    <cellStyle name="Output 2 2 12 2 2" xfId="24103"/>
    <cellStyle name="Output 2 2 12 2 2 2" xfId="56820"/>
    <cellStyle name="Output 2 2 12 2 2 3" xfId="56821"/>
    <cellStyle name="Output 2 2 12 2 3" xfId="31392"/>
    <cellStyle name="Output 2 2 12 2 4" xfId="56822"/>
    <cellStyle name="Output 2 2 12 3" xfId="16753"/>
    <cellStyle name="Output 2 2 12 3 2" xfId="25075"/>
    <cellStyle name="Output 2 2 12 3 2 2" xfId="56823"/>
    <cellStyle name="Output 2 2 12 3 2 3" xfId="56824"/>
    <cellStyle name="Output 2 2 12 3 3" xfId="32325"/>
    <cellStyle name="Output 2 2 12 3 4" xfId="56825"/>
    <cellStyle name="Output 2 2 12 4" xfId="17777"/>
    <cellStyle name="Output 2 2 12 4 2" xfId="26101"/>
    <cellStyle name="Output 2 2 12 4 2 2" xfId="56826"/>
    <cellStyle name="Output 2 2 12 4 2 3" xfId="56827"/>
    <cellStyle name="Output 2 2 12 4 3" xfId="33302"/>
    <cellStyle name="Output 2 2 12 4 4" xfId="56828"/>
    <cellStyle name="Output 2 2 12 5" xfId="18761"/>
    <cellStyle name="Output 2 2 12 5 2" xfId="27082"/>
    <cellStyle name="Output 2 2 12 5 2 2" xfId="56829"/>
    <cellStyle name="Output 2 2 12 5 2 3" xfId="56830"/>
    <cellStyle name="Output 2 2 12 5 3" xfId="34242"/>
    <cellStyle name="Output 2 2 12 5 4" xfId="56831"/>
    <cellStyle name="Output 2 2 12 6" xfId="19730"/>
    <cellStyle name="Output 2 2 12 6 2" xfId="28051"/>
    <cellStyle name="Output 2 2 12 6 2 2" xfId="56832"/>
    <cellStyle name="Output 2 2 12 6 2 3" xfId="56833"/>
    <cellStyle name="Output 2 2 12 6 3" xfId="35188"/>
    <cellStyle name="Output 2 2 12 6 4" xfId="56834"/>
    <cellStyle name="Output 2 2 12 7" xfId="20687"/>
    <cellStyle name="Output 2 2 12 7 2" xfId="29008"/>
    <cellStyle name="Output 2 2 12 7 2 2" xfId="56835"/>
    <cellStyle name="Output 2 2 12 7 2 3" xfId="56836"/>
    <cellStyle name="Output 2 2 12 7 3" xfId="36102"/>
    <cellStyle name="Output 2 2 12 7 4" xfId="56837"/>
    <cellStyle name="Output 2 2 12 8" xfId="21361"/>
    <cellStyle name="Output 2 2 12 8 2" xfId="29664"/>
    <cellStyle name="Output 2 2 12 8 2 2" xfId="56838"/>
    <cellStyle name="Output 2 2 12 8 2 3" xfId="56839"/>
    <cellStyle name="Output 2 2 12 8 3" xfId="36729"/>
    <cellStyle name="Output 2 2 12 8 4" xfId="56840"/>
    <cellStyle name="Output 2 2 12 9" xfId="22123"/>
    <cellStyle name="Output 2 2 12 9 2" xfId="30421"/>
    <cellStyle name="Output 2 2 12 9 3" xfId="37453"/>
    <cellStyle name="Output 2 2 13" xfId="14837"/>
    <cellStyle name="Output 2 2 13 10" xfId="23200"/>
    <cellStyle name="Output 2 2 13 11" xfId="56841"/>
    <cellStyle name="Output 2 2 13 2" xfId="15918"/>
    <cellStyle name="Output 2 2 13 2 2" xfId="24235"/>
    <cellStyle name="Output 2 2 13 2 2 2" xfId="56842"/>
    <cellStyle name="Output 2 2 13 2 2 3" xfId="56843"/>
    <cellStyle name="Output 2 2 13 2 3" xfId="31519"/>
    <cellStyle name="Output 2 2 13 2 4" xfId="56844"/>
    <cellStyle name="Output 2 2 13 3" xfId="16884"/>
    <cellStyle name="Output 2 2 13 3 2" xfId="25207"/>
    <cellStyle name="Output 2 2 13 3 2 2" xfId="56845"/>
    <cellStyle name="Output 2 2 13 3 2 3" xfId="56846"/>
    <cellStyle name="Output 2 2 13 3 3" xfId="32452"/>
    <cellStyle name="Output 2 2 13 3 4" xfId="56847"/>
    <cellStyle name="Output 2 2 13 4" xfId="17911"/>
    <cellStyle name="Output 2 2 13 4 2" xfId="26233"/>
    <cellStyle name="Output 2 2 13 4 2 2" xfId="56848"/>
    <cellStyle name="Output 2 2 13 4 2 3" xfId="56849"/>
    <cellStyle name="Output 2 2 13 4 3" xfId="33429"/>
    <cellStyle name="Output 2 2 13 4 4" xfId="56850"/>
    <cellStyle name="Output 2 2 13 5" xfId="18895"/>
    <cellStyle name="Output 2 2 13 5 2" xfId="27215"/>
    <cellStyle name="Output 2 2 13 5 2 2" xfId="56851"/>
    <cellStyle name="Output 2 2 13 5 2 3" xfId="56852"/>
    <cellStyle name="Output 2 2 13 5 3" xfId="34370"/>
    <cellStyle name="Output 2 2 13 5 4" xfId="56853"/>
    <cellStyle name="Output 2 2 13 6" xfId="19863"/>
    <cellStyle name="Output 2 2 13 6 2" xfId="28185"/>
    <cellStyle name="Output 2 2 13 6 2 2" xfId="56854"/>
    <cellStyle name="Output 2 2 13 6 2 3" xfId="56855"/>
    <cellStyle name="Output 2 2 13 6 3" xfId="35317"/>
    <cellStyle name="Output 2 2 13 6 4" xfId="56856"/>
    <cellStyle name="Output 2 2 13 7" xfId="20821"/>
    <cellStyle name="Output 2 2 13 7 2" xfId="29140"/>
    <cellStyle name="Output 2 2 13 7 2 2" xfId="56857"/>
    <cellStyle name="Output 2 2 13 7 2 3" xfId="56858"/>
    <cellStyle name="Output 2 2 13 7 3" xfId="36227"/>
    <cellStyle name="Output 2 2 13 7 4" xfId="56859"/>
    <cellStyle name="Output 2 2 13 8" xfId="21326"/>
    <cellStyle name="Output 2 2 13 8 2" xfId="29631"/>
    <cellStyle name="Output 2 2 13 8 2 2" xfId="56860"/>
    <cellStyle name="Output 2 2 13 8 2 3" xfId="56861"/>
    <cellStyle name="Output 2 2 13 8 3" xfId="36697"/>
    <cellStyle name="Output 2 2 13 8 4" xfId="56862"/>
    <cellStyle name="Output 2 2 13 9" xfId="22256"/>
    <cellStyle name="Output 2 2 13 9 2" xfId="30554"/>
    <cellStyle name="Output 2 2 13 9 3" xfId="37580"/>
    <cellStyle name="Output 2 2 14" xfId="14874"/>
    <cellStyle name="Output 2 2 14 10" xfId="23237"/>
    <cellStyle name="Output 2 2 14 11" xfId="56863"/>
    <cellStyle name="Output 2 2 14 2" xfId="15955"/>
    <cellStyle name="Output 2 2 14 2 2" xfId="24272"/>
    <cellStyle name="Output 2 2 14 2 2 2" xfId="56864"/>
    <cellStyle name="Output 2 2 14 2 2 3" xfId="56865"/>
    <cellStyle name="Output 2 2 14 2 3" xfId="31555"/>
    <cellStyle name="Output 2 2 14 2 4" xfId="56866"/>
    <cellStyle name="Output 2 2 14 3" xfId="16921"/>
    <cellStyle name="Output 2 2 14 3 2" xfId="25244"/>
    <cellStyle name="Output 2 2 14 3 2 2" xfId="56867"/>
    <cellStyle name="Output 2 2 14 3 2 3" xfId="56868"/>
    <cellStyle name="Output 2 2 14 3 3" xfId="32488"/>
    <cellStyle name="Output 2 2 14 3 4" xfId="56869"/>
    <cellStyle name="Output 2 2 14 4" xfId="17948"/>
    <cellStyle name="Output 2 2 14 4 2" xfId="26270"/>
    <cellStyle name="Output 2 2 14 4 2 2" xfId="56870"/>
    <cellStyle name="Output 2 2 14 4 2 3" xfId="56871"/>
    <cellStyle name="Output 2 2 14 4 3" xfId="33465"/>
    <cellStyle name="Output 2 2 14 4 4" xfId="56872"/>
    <cellStyle name="Output 2 2 14 5" xfId="18932"/>
    <cellStyle name="Output 2 2 14 5 2" xfId="27252"/>
    <cellStyle name="Output 2 2 14 5 2 2" xfId="56873"/>
    <cellStyle name="Output 2 2 14 5 2 3" xfId="56874"/>
    <cellStyle name="Output 2 2 14 5 3" xfId="34406"/>
    <cellStyle name="Output 2 2 14 5 4" xfId="56875"/>
    <cellStyle name="Output 2 2 14 6" xfId="19900"/>
    <cellStyle name="Output 2 2 14 6 2" xfId="28222"/>
    <cellStyle name="Output 2 2 14 6 2 2" xfId="56876"/>
    <cellStyle name="Output 2 2 14 6 2 3" xfId="56877"/>
    <cellStyle name="Output 2 2 14 6 3" xfId="35353"/>
    <cellStyle name="Output 2 2 14 6 4" xfId="56878"/>
    <cellStyle name="Output 2 2 14 7" xfId="20858"/>
    <cellStyle name="Output 2 2 14 7 2" xfId="29177"/>
    <cellStyle name="Output 2 2 14 7 2 2" xfId="56879"/>
    <cellStyle name="Output 2 2 14 7 2 3" xfId="56880"/>
    <cellStyle name="Output 2 2 14 7 3" xfId="36263"/>
    <cellStyle name="Output 2 2 14 7 4" xfId="56881"/>
    <cellStyle name="Output 2 2 14 8" xfId="18545"/>
    <cellStyle name="Output 2 2 14 8 2" xfId="26862"/>
    <cellStyle name="Output 2 2 14 8 2 2" xfId="56882"/>
    <cellStyle name="Output 2 2 14 8 2 3" xfId="56883"/>
    <cellStyle name="Output 2 2 14 8 3" xfId="34032"/>
    <cellStyle name="Output 2 2 14 8 4" xfId="56884"/>
    <cellStyle name="Output 2 2 14 9" xfId="22293"/>
    <cellStyle name="Output 2 2 14 9 2" xfId="30591"/>
    <cellStyle name="Output 2 2 14 9 3" xfId="37616"/>
    <cellStyle name="Output 2 2 15" xfId="14890"/>
    <cellStyle name="Output 2 2 15 10" xfId="23253"/>
    <cellStyle name="Output 2 2 15 11" xfId="56885"/>
    <cellStyle name="Output 2 2 15 2" xfId="15971"/>
    <cellStyle name="Output 2 2 15 2 2" xfId="24288"/>
    <cellStyle name="Output 2 2 15 2 2 2" xfId="56886"/>
    <cellStyle name="Output 2 2 15 2 2 3" xfId="56887"/>
    <cellStyle name="Output 2 2 15 2 3" xfId="31569"/>
    <cellStyle name="Output 2 2 15 2 4" xfId="56888"/>
    <cellStyle name="Output 2 2 15 3" xfId="16937"/>
    <cellStyle name="Output 2 2 15 3 2" xfId="25260"/>
    <cellStyle name="Output 2 2 15 3 2 2" xfId="56889"/>
    <cellStyle name="Output 2 2 15 3 2 3" xfId="56890"/>
    <cellStyle name="Output 2 2 15 3 3" xfId="32502"/>
    <cellStyle name="Output 2 2 15 3 4" xfId="56891"/>
    <cellStyle name="Output 2 2 15 4" xfId="17964"/>
    <cellStyle name="Output 2 2 15 4 2" xfId="26286"/>
    <cellStyle name="Output 2 2 15 4 2 2" xfId="56892"/>
    <cellStyle name="Output 2 2 15 4 2 3" xfId="56893"/>
    <cellStyle name="Output 2 2 15 4 3" xfId="33479"/>
    <cellStyle name="Output 2 2 15 4 4" xfId="56894"/>
    <cellStyle name="Output 2 2 15 5" xfId="18948"/>
    <cellStyle name="Output 2 2 15 5 2" xfId="27268"/>
    <cellStyle name="Output 2 2 15 5 2 2" xfId="56895"/>
    <cellStyle name="Output 2 2 15 5 2 3" xfId="56896"/>
    <cellStyle name="Output 2 2 15 5 3" xfId="34420"/>
    <cellStyle name="Output 2 2 15 5 4" xfId="56897"/>
    <cellStyle name="Output 2 2 15 6" xfId="19916"/>
    <cellStyle name="Output 2 2 15 6 2" xfId="28238"/>
    <cellStyle name="Output 2 2 15 6 2 2" xfId="56898"/>
    <cellStyle name="Output 2 2 15 6 2 3" xfId="56899"/>
    <cellStyle name="Output 2 2 15 6 3" xfId="35367"/>
    <cellStyle name="Output 2 2 15 6 4" xfId="56900"/>
    <cellStyle name="Output 2 2 15 7" xfId="20874"/>
    <cellStyle name="Output 2 2 15 7 2" xfId="29193"/>
    <cellStyle name="Output 2 2 15 7 2 2" xfId="56901"/>
    <cellStyle name="Output 2 2 15 7 2 3" xfId="56902"/>
    <cellStyle name="Output 2 2 15 7 3" xfId="36277"/>
    <cellStyle name="Output 2 2 15 7 4" xfId="56903"/>
    <cellStyle name="Output 2 2 15 8" xfId="21381"/>
    <cellStyle name="Output 2 2 15 8 2" xfId="29684"/>
    <cellStyle name="Output 2 2 15 8 2 2" xfId="56904"/>
    <cellStyle name="Output 2 2 15 8 2 3" xfId="56905"/>
    <cellStyle name="Output 2 2 15 8 3" xfId="36747"/>
    <cellStyle name="Output 2 2 15 8 4" xfId="56906"/>
    <cellStyle name="Output 2 2 15 9" xfId="22309"/>
    <cellStyle name="Output 2 2 15 9 2" xfId="30607"/>
    <cellStyle name="Output 2 2 15 9 3" xfId="37630"/>
    <cellStyle name="Output 2 2 16" xfId="14935"/>
    <cellStyle name="Output 2 2 16 10" xfId="23298"/>
    <cellStyle name="Output 2 2 16 11" xfId="56907"/>
    <cellStyle name="Output 2 2 16 2" xfId="16016"/>
    <cellStyle name="Output 2 2 16 2 2" xfId="24333"/>
    <cellStyle name="Output 2 2 16 2 2 2" xfId="56908"/>
    <cellStyle name="Output 2 2 16 2 2 3" xfId="56909"/>
    <cellStyle name="Output 2 2 16 2 3" xfId="31613"/>
    <cellStyle name="Output 2 2 16 2 4" xfId="56910"/>
    <cellStyle name="Output 2 2 16 3" xfId="16982"/>
    <cellStyle name="Output 2 2 16 3 2" xfId="25305"/>
    <cellStyle name="Output 2 2 16 3 2 2" xfId="56911"/>
    <cellStyle name="Output 2 2 16 3 2 3" xfId="56912"/>
    <cellStyle name="Output 2 2 16 3 3" xfId="32546"/>
    <cellStyle name="Output 2 2 16 3 4" xfId="56913"/>
    <cellStyle name="Output 2 2 16 4" xfId="18009"/>
    <cellStyle name="Output 2 2 16 4 2" xfId="26331"/>
    <cellStyle name="Output 2 2 16 4 2 2" xfId="56914"/>
    <cellStyle name="Output 2 2 16 4 2 3" xfId="56915"/>
    <cellStyle name="Output 2 2 16 4 3" xfId="33523"/>
    <cellStyle name="Output 2 2 16 4 4" xfId="56916"/>
    <cellStyle name="Output 2 2 16 5" xfId="18993"/>
    <cellStyle name="Output 2 2 16 5 2" xfId="27313"/>
    <cellStyle name="Output 2 2 16 5 2 2" xfId="56917"/>
    <cellStyle name="Output 2 2 16 5 2 3" xfId="56918"/>
    <cellStyle name="Output 2 2 16 5 3" xfId="34464"/>
    <cellStyle name="Output 2 2 16 5 4" xfId="56919"/>
    <cellStyle name="Output 2 2 16 6" xfId="19961"/>
    <cellStyle name="Output 2 2 16 6 2" xfId="28283"/>
    <cellStyle name="Output 2 2 16 6 2 2" xfId="56920"/>
    <cellStyle name="Output 2 2 16 6 2 3" xfId="56921"/>
    <cellStyle name="Output 2 2 16 6 3" xfId="35411"/>
    <cellStyle name="Output 2 2 16 6 4" xfId="56922"/>
    <cellStyle name="Output 2 2 16 7" xfId="20919"/>
    <cellStyle name="Output 2 2 16 7 2" xfId="29238"/>
    <cellStyle name="Output 2 2 16 7 2 2" xfId="56923"/>
    <cellStyle name="Output 2 2 16 7 2 3" xfId="56924"/>
    <cellStyle name="Output 2 2 16 7 3" xfId="36321"/>
    <cellStyle name="Output 2 2 16 7 4" xfId="56925"/>
    <cellStyle name="Output 2 2 16 8" xfId="21426"/>
    <cellStyle name="Output 2 2 16 8 2" xfId="29729"/>
    <cellStyle name="Output 2 2 16 8 2 2" xfId="56926"/>
    <cellStyle name="Output 2 2 16 8 2 3" xfId="56927"/>
    <cellStyle name="Output 2 2 16 8 3" xfId="36791"/>
    <cellStyle name="Output 2 2 16 8 4" xfId="56928"/>
    <cellStyle name="Output 2 2 16 9" xfId="22354"/>
    <cellStyle name="Output 2 2 16 9 2" xfId="30652"/>
    <cellStyle name="Output 2 2 16 9 3" xfId="37674"/>
    <cellStyle name="Output 2 2 17" xfId="14851"/>
    <cellStyle name="Output 2 2 17 10" xfId="23214"/>
    <cellStyle name="Output 2 2 17 11" xfId="56929"/>
    <cellStyle name="Output 2 2 17 2" xfId="15932"/>
    <cellStyle name="Output 2 2 17 2 2" xfId="24249"/>
    <cellStyle name="Output 2 2 17 2 2 2" xfId="56930"/>
    <cellStyle name="Output 2 2 17 2 2 3" xfId="56931"/>
    <cellStyle name="Output 2 2 17 2 3" xfId="31533"/>
    <cellStyle name="Output 2 2 17 2 4" xfId="56932"/>
    <cellStyle name="Output 2 2 17 3" xfId="16898"/>
    <cellStyle name="Output 2 2 17 3 2" xfId="25221"/>
    <cellStyle name="Output 2 2 17 3 2 2" xfId="56933"/>
    <cellStyle name="Output 2 2 17 3 2 3" xfId="56934"/>
    <cellStyle name="Output 2 2 17 3 3" xfId="32466"/>
    <cellStyle name="Output 2 2 17 3 4" xfId="56935"/>
    <cellStyle name="Output 2 2 17 4" xfId="17925"/>
    <cellStyle name="Output 2 2 17 4 2" xfId="26247"/>
    <cellStyle name="Output 2 2 17 4 2 2" xfId="56936"/>
    <cellStyle name="Output 2 2 17 4 2 3" xfId="56937"/>
    <cellStyle name="Output 2 2 17 4 3" xfId="33443"/>
    <cellStyle name="Output 2 2 17 4 4" xfId="56938"/>
    <cellStyle name="Output 2 2 17 5" xfId="18909"/>
    <cellStyle name="Output 2 2 17 5 2" xfId="27229"/>
    <cellStyle name="Output 2 2 17 5 2 2" xfId="56939"/>
    <cellStyle name="Output 2 2 17 5 2 3" xfId="56940"/>
    <cellStyle name="Output 2 2 17 5 3" xfId="34384"/>
    <cellStyle name="Output 2 2 17 5 4" xfId="56941"/>
    <cellStyle name="Output 2 2 17 6" xfId="19877"/>
    <cellStyle name="Output 2 2 17 6 2" xfId="28199"/>
    <cellStyle name="Output 2 2 17 6 2 2" xfId="56942"/>
    <cellStyle name="Output 2 2 17 6 2 3" xfId="56943"/>
    <cellStyle name="Output 2 2 17 6 3" xfId="35331"/>
    <cellStyle name="Output 2 2 17 6 4" xfId="56944"/>
    <cellStyle name="Output 2 2 17 7" xfId="20835"/>
    <cellStyle name="Output 2 2 17 7 2" xfId="29154"/>
    <cellStyle name="Output 2 2 17 7 2 2" xfId="56945"/>
    <cellStyle name="Output 2 2 17 7 2 3" xfId="56946"/>
    <cellStyle name="Output 2 2 17 7 3" xfId="36241"/>
    <cellStyle name="Output 2 2 17 7 4" xfId="56947"/>
    <cellStyle name="Output 2 2 17 8" xfId="21083"/>
    <cellStyle name="Output 2 2 17 8 2" xfId="29400"/>
    <cellStyle name="Output 2 2 17 8 2 2" xfId="56948"/>
    <cellStyle name="Output 2 2 17 8 2 3" xfId="56949"/>
    <cellStyle name="Output 2 2 17 8 3" xfId="36476"/>
    <cellStyle name="Output 2 2 17 8 4" xfId="56950"/>
    <cellStyle name="Output 2 2 17 9" xfId="22270"/>
    <cellStyle name="Output 2 2 17 9 2" xfId="30568"/>
    <cellStyle name="Output 2 2 17 9 3" xfId="37594"/>
    <cellStyle name="Output 2 2 18" xfId="14965"/>
    <cellStyle name="Output 2 2 18 10" xfId="23326"/>
    <cellStyle name="Output 2 2 18 11" xfId="56951"/>
    <cellStyle name="Output 2 2 18 2" xfId="16046"/>
    <cellStyle name="Output 2 2 18 2 2" xfId="24361"/>
    <cellStyle name="Output 2 2 18 2 2 2" xfId="56952"/>
    <cellStyle name="Output 2 2 18 2 2 3" xfId="56953"/>
    <cellStyle name="Output 2 2 18 2 3" xfId="31640"/>
    <cellStyle name="Output 2 2 18 2 4" xfId="56954"/>
    <cellStyle name="Output 2 2 18 3" xfId="17012"/>
    <cellStyle name="Output 2 2 18 3 2" xfId="25333"/>
    <cellStyle name="Output 2 2 18 3 2 2" xfId="56955"/>
    <cellStyle name="Output 2 2 18 3 2 3" xfId="56956"/>
    <cellStyle name="Output 2 2 18 3 3" xfId="32573"/>
    <cellStyle name="Output 2 2 18 3 4" xfId="56957"/>
    <cellStyle name="Output 2 2 18 4" xfId="18039"/>
    <cellStyle name="Output 2 2 18 4 2" xfId="26359"/>
    <cellStyle name="Output 2 2 18 4 2 2" xfId="56958"/>
    <cellStyle name="Output 2 2 18 4 2 3" xfId="56959"/>
    <cellStyle name="Output 2 2 18 4 3" xfId="33550"/>
    <cellStyle name="Output 2 2 18 4 4" xfId="56960"/>
    <cellStyle name="Output 2 2 18 5" xfId="19023"/>
    <cellStyle name="Output 2 2 18 5 2" xfId="27343"/>
    <cellStyle name="Output 2 2 18 5 2 2" xfId="56961"/>
    <cellStyle name="Output 2 2 18 5 2 3" xfId="56962"/>
    <cellStyle name="Output 2 2 18 5 3" xfId="34493"/>
    <cellStyle name="Output 2 2 18 5 4" xfId="56963"/>
    <cellStyle name="Output 2 2 18 6" xfId="19991"/>
    <cellStyle name="Output 2 2 18 6 2" xfId="28313"/>
    <cellStyle name="Output 2 2 18 6 2 2" xfId="56964"/>
    <cellStyle name="Output 2 2 18 6 2 3" xfId="56965"/>
    <cellStyle name="Output 2 2 18 6 3" xfId="35440"/>
    <cellStyle name="Output 2 2 18 6 4" xfId="56966"/>
    <cellStyle name="Output 2 2 18 7" xfId="20949"/>
    <cellStyle name="Output 2 2 18 7 2" xfId="29266"/>
    <cellStyle name="Output 2 2 18 7 2 2" xfId="56967"/>
    <cellStyle name="Output 2 2 18 7 2 3" xfId="56968"/>
    <cellStyle name="Output 2 2 18 7 3" xfId="36348"/>
    <cellStyle name="Output 2 2 18 7 4" xfId="56969"/>
    <cellStyle name="Output 2 2 18 8" xfId="21456"/>
    <cellStyle name="Output 2 2 18 8 2" xfId="29757"/>
    <cellStyle name="Output 2 2 18 8 2 2" xfId="56970"/>
    <cellStyle name="Output 2 2 18 8 2 3" xfId="56971"/>
    <cellStyle name="Output 2 2 18 8 3" xfId="36818"/>
    <cellStyle name="Output 2 2 18 8 4" xfId="56972"/>
    <cellStyle name="Output 2 2 18 9" xfId="22384"/>
    <cellStyle name="Output 2 2 18 9 2" xfId="30680"/>
    <cellStyle name="Output 2 2 18 9 3" xfId="37701"/>
    <cellStyle name="Output 2 2 19" xfId="15008"/>
    <cellStyle name="Output 2 2 19 10" xfId="23369"/>
    <cellStyle name="Output 2 2 19 11" xfId="56973"/>
    <cellStyle name="Output 2 2 19 2" xfId="16089"/>
    <cellStyle name="Output 2 2 19 2 2" xfId="24404"/>
    <cellStyle name="Output 2 2 19 2 2 2" xfId="56974"/>
    <cellStyle name="Output 2 2 19 2 2 3" xfId="56975"/>
    <cellStyle name="Output 2 2 19 2 3" xfId="31683"/>
    <cellStyle name="Output 2 2 19 2 4" xfId="56976"/>
    <cellStyle name="Output 2 2 19 3" xfId="17055"/>
    <cellStyle name="Output 2 2 19 3 2" xfId="25376"/>
    <cellStyle name="Output 2 2 19 3 2 2" xfId="56977"/>
    <cellStyle name="Output 2 2 19 3 2 3" xfId="56978"/>
    <cellStyle name="Output 2 2 19 3 3" xfId="32616"/>
    <cellStyle name="Output 2 2 19 3 4" xfId="56979"/>
    <cellStyle name="Output 2 2 19 4" xfId="18082"/>
    <cellStyle name="Output 2 2 19 4 2" xfId="26402"/>
    <cellStyle name="Output 2 2 19 4 2 2" xfId="56980"/>
    <cellStyle name="Output 2 2 19 4 2 3" xfId="56981"/>
    <cellStyle name="Output 2 2 19 4 3" xfId="33593"/>
    <cellStyle name="Output 2 2 19 4 4" xfId="56982"/>
    <cellStyle name="Output 2 2 19 5" xfId="19066"/>
    <cellStyle name="Output 2 2 19 5 2" xfId="27386"/>
    <cellStyle name="Output 2 2 19 5 2 2" xfId="56983"/>
    <cellStyle name="Output 2 2 19 5 2 3" xfId="56984"/>
    <cellStyle name="Output 2 2 19 5 3" xfId="34536"/>
    <cellStyle name="Output 2 2 19 5 4" xfId="56985"/>
    <cellStyle name="Output 2 2 19 6" xfId="20034"/>
    <cellStyle name="Output 2 2 19 6 2" xfId="28356"/>
    <cellStyle name="Output 2 2 19 6 2 2" xfId="56986"/>
    <cellStyle name="Output 2 2 19 6 2 3" xfId="56987"/>
    <cellStyle name="Output 2 2 19 6 3" xfId="35483"/>
    <cellStyle name="Output 2 2 19 6 4" xfId="56988"/>
    <cellStyle name="Output 2 2 19 7" xfId="20992"/>
    <cellStyle name="Output 2 2 19 7 2" xfId="29309"/>
    <cellStyle name="Output 2 2 19 7 2 2" xfId="56989"/>
    <cellStyle name="Output 2 2 19 7 2 3" xfId="56990"/>
    <cellStyle name="Output 2 2 19 7 3" xfId="36391"/>
    <cellStyle name="Output 2 2 19 7 4" xfId="56991"/>
    <cellStyle name="Output 2 2 19 8" xfId="21499"/>
    <cellStyle name="Output 2 2 19 8 2" xfId="29800"/>
    <cellStyle name="Output 2 2 19 8 2 2" xfId="56992"/>
    <cellStyle name="Output 2 2 19 8 2 3" xfId="56993"/>
    <cellStyle name="Output 2 2 19 8 3" xfId="36861"/>
    <cellStyle name="Output 2 2 19 8 4" xfId="56994"/>
    <cellStyle name="Output 2 2 19 9" xfId="22427"/>
    <cellStyle name="Output 2 2 19 9 2" xfId="30723"/>
    <cellStyle name="Output 2 2 19 9 3" xfId="37744"/>
    <cellStyle name="Output 2 2 2" xfId="80"/>
    <cellStyle name="Output 2 2 2 10" xfId="14436"/>
    <cellStyle name="Output 2 2 2 10 2" xfId="56995"/>
    <cellStyle name="Output 2 2 2 10 3" xfId="56996"/>
    <cellStyle name="Output 2 2 2 11" xfId="56997"/>
    <cellStyle name="Output 2 2 2 12" xfId="56998"/>
    <cellStyle name="Output 2 2 2 13" xfId="56999"/>
    <cellStyle name="Output 2 2 2 14" xfId="57000"/>
    <cellStyle name="Output 2 2 2 2" xfId="154"/>
    <cellStyle name="Output 2 2 2 2 2" xfId="280"/>
    <cellStyle name="Output 2 2 2 2 2 2" xfId="689"/>
    <cellStyle name="Output 2 2 2 2 2 2 2" xfId="1640"/>
    <cellStyle name="Output 2 2 2 2 2 2 2 2" xfId="767"/>
    <cellStyle name="Output 2 2 2 2 2 2 2 2 2" xfId="2751"/>
    <cellStyle name="Output 2 2 2 2 2 2 2 2 2 2" xfId="6171"/>
    <cellStyle name="Output 2 2 2 2 2 2 2 2 2 2 2" xfId="13011"/>
    <cellStyle name="Output 2 2 2 2 2 2 2 2 2 3" xfId="9591"/>
    <cellStyle name="Output 2 2 2 2 2 2 2 2 3" xfId="3891"/>
    <cellStyle name="Output 2 2 2 2 2 2 2 2 3 2" xfId="7311"/>
    <cellStyle name="Output 2 2 2 2 2 2 2 2 3 2 2" xfId="14151"/>
    <cellStyle name="Output 2 2 2 2 2 2 2 2 3 3" xfId="10731"/>
    <cellStyle name="Output 2 2 2 2 2 2 2 2 4" xfId="5031"/>
    <cellStyle name="Output 2 2 2 2 2 2 2 2 4 2" xfId="11871"/>
    <cellStyle name="Output 2 2 2 2 2 2 2 2 5" xfId="8451"/>
    <cellStyle name="Output 2 2 2 2 2 2 2 3" xfId="2474"/>
    <cellStyle name="Output 2 2 2 2 2 2 2 3 2" xfId="5894"/>
    <cellStyle name="Output 2 2 2 2 2 2 2 3 2 2" xfId="12734"/>
    <cellStyle name="Output 2 2 2 2 2 2 2 3 3" xfId="9314"/>
    <cellStyle name="Output 2 2 2 2 2 2 2 4" xfId="3614"/>
    <cellStyle name="Output 2 2 2 2 2 2 2 4 2" xfId="7034"/>
    <cellStyle name="Output 2 2 2 2 2 2 2 4 2 2" xfId="13874"/>
    <cellStyle name="Output 2 2 2 2 2 2 2 4 3" xfId="10454"/>
    <cellStyle name="Output 2 2 2 2 2 2 2 5" xfId="4754"/>
    <cellStyle name="Output 2 2 2 2 2 2 2 5 2" xfId="11594"/>
    <cellStyle name="Output 2 2 2 2 2 2 2 6" xfId="8174"/>
    <cellStyle name="Output 2 2 2 2 2 2 3" xfId="38533"/>
    <cellStyle name="Output 2 2 2 2 2 2 4" xfId="57001"/>
    <cellStyle name="Output 2 2 2 2 2 2 5" xfId="57002"/>
    <cellStyle name="Output 2 2 2 2 2 2 6" xfId="57003"/>
    <cellStyle name="Output 2 2 2 2 2 3" xfId="1286"/>
    <cellStyle name="Output 2 2 2 2 2 3 2" xfId="1682"/>
    <cellStyle name="Output 2 2 2 2 2 3 2 2" xfId="2822"/>
    <cellStyle name="Output 2 2 2 2 2 3 2 2 2" xfId="6242"/>
    <cellStyle name="Output 2 2 2 2 2 3 2 2 2 2" xfId="13082"/>
    <cellStyle name="Output 2 2 2 2 2 3 2 2 3" xfId="9662"/>
    <cellStyle name="Output 2 2 2 2 2 3 2 3" xfId="3962"/>
    <cellStyle name="Output 2 2 2 2 2 3 2 3 2" xfId="7382"/>
    <cellStyle name="Output 2 2 2 2 2 3 2 3 2 2" xfId="14222"/>
    <cellStyle name="Output 2 2 2 2 2 3 2 3 3" xfId="10802"/>
    <cellStyle name="Output 2 2 2 2 2 3 2 4" xfId="5102"/>
    <cellStyle name="Output 2 2 2 2 2 3 2 4 2" xfId="11942"/>
    <cellStyle name="Output 2 2 2 2 2 3 2 5" xfId="8522"/>
    <cellStyle name="Output 2 2 2 2 2 3 3" xfId="2106"/>
    <cellStyle name="Output 2 2 2 2 2 3 3 2" xfId="5526"/>
    <cellStyle name="Output 2 2 2 2 2 3 3 2 2" xfId="12366"/>
    <cellStyle name="Output 2 2 2 2 2 3 3 3" xfId="8946"/>
    <cellStyle name="Output 2 2 2 2 2 3 4" xfId="3246"/>
    <cellStyle name="Output 2 2 2 2 2 3 4 2" xfId="6666"/>
    <cellStyle name="Output 2 2 2 2 2 3 4 2 2" xfId="13506"/>
    <cellStyle name="Output 2 2 2 2 2 3 4 3" xfId="10086"/>
    <cellStyle name="Output 2 2 2 2 2 3 5" xfId="4386"/>
    <cellStyle name="Output 2 2 2 2 2 3 5 2" xfId="11226"/>
    <cellStyle name="Output 2 2 2 2 2 3 6" xfId="7806"/>
    <cellStyle name="Output 2 2 2 2 2 4" xfId="38296"/>
    <cellStyle name="Output 2 2 2 2 2 5" xfId="57004"/>
    <cellStyle name="Output 2 2 2 2 2 6" xfId="57005"/>
    <cellStyle name="Output 2 2 2 2 2 7" xfId="57006"/>
    <cellStyle name="Output 2 2 2 2 2 8" xfId="57007"/>
    <cellStyle name="Output 2 2 2 2 3" xfId="601"/>
    <cellStyle name="Output 2 2 2 2 3 2" xfId="1588"/>
    <cellStyle name="Output 2 2 2 2 3 2 2" xfId="1875"/>
    <cellStyle name="Output 2 2 2 2 3 2 2 2" xfId="3015"/>
    <cellStyle name="Output 2 2 2 2 3 2 2 2 2" xfId="6435"/>
    <cellStyle name="Output 2 2 2 2 3 2 2 2 2 2" xfId="13275"/>
    <cellStyle name="Output 2 2 2 2 3 2 2 2 3" xfId="9855"/>
    <cellStyle name="Output 2 2 2 2 3 2 2 3" xfId="4155"/>
    <cellStyle name="Output 2 2 2 2 3 2 2 3 2" xfId="7575"/>
    <cellStyle name="Output 2 2 2 2 3 2 2 3 2 2" xfId="14415"/>
    <cellStyle name="Output 2 2 2 2 3 2 2 3 3" xfId="10995"/>
    <cellStyle name="Output 2 2 2 2 3 2 2 4" xfId="5295"/>
    <cellStyle name="Output 2 2 2 2 3 2 2 4 2" xfId="12135"/>
    <cellStyle name="Output 2 2 2 2 3 2 2 5" xfId="8715"/>
    <cellStyle name="Output 2 2 2 2 3 2 3" xfId="2413"/>
    <cellStyle name="Output 2 2 2 2 3 2 3 2" xfId="5833"/>
    <cellStyle name="Output 2 2 2 2 3 2 3 2 2" xfId="12673"/>
    <cellStyle name="Output 2 2 2 2 3 2 3 3" xfId="9253"/>
    <cellStyle name="Output 2 2 2 2 3 2 4" xfId="3553"/>
    <cellStyle name="Output 2 2 2 2 3 2 4 2" xfId="6973"/>
    <cellStyle name="Output 2 2 2 2 3 2 4 2 2" xfId="13813"/>
    <cellStyle name="Output 2 2 2 2 3 2 4 3" xfId="10393"/>
    <cellStyle name="Output 2 2 2 2 3 2 5" xfId="4693"/>
    <cellStyle name="Output 2 2 2 2 3 2 5 2" xfId="11533"/>
    <cellStyle name="Output 2 2 2 2 3 2 6" xfId="8113"/>
    <cellStyle name="Output 2 2 2 2 3 3" xfId="38482"/>
    <cellStyle name="Output 2 2 2 2 3 4" xfId="57008"/>
    <cellStyle name="Output 2 2 2 2 3 5" xfId="57009"/>
    <cellStyle name="Output 2 2 2 2 3 6" xfId="57010"/>
    <cellStyle name="Output 2 2 2 2 4" xfId="1162"/>
    <cellStyle name="Output 2 2 2 2 4 2" xfId="1047"/>
    <cellStyle name="Output 2 2 2 2 4 2 2" xfId="2637"/>
    <cellStyle name="Output 2 2 2 2 4 2 2 2" xfId="6057"/>
    <cellStyle name="Output 2 2 2 2 4 2 2 2 2" xfId="12897"/>
    <cellStyle name="Output 2 2 2 2 4 2 2 3" xfId="9477"/>
    <cellStyle name="Output 2 2 2 2 4 2 3" xfId="3777"/>
    <cellStyle name="Output 2 2 2 2 4 2 3 2" xfId="7197"/>
    <cellStyle name="Output 2 2 2 2 4 2 3 2 2" xfId="14037"/>
    <cellStyle name="Output 2 2 2 2 4 2 3 3" xfId="10617"/>
    <cellStyle name="Output 2 2 2 2 4 2 4" xfId="4917"/>
    <cellStyle name="Output 2 2 2 2 4 2 4 2" xfId="11757"/>
    <cellStyle name="Output 2 2 2 2 4 2 5" xfId="8337"/>
    <cellStyle name="Output 2 2 2 2 4 3" xfId="1981"/>
    <cellStyle name="Output 2 2 2 2 4 3 2" xfId="5401"/>
    <cellStyle name="Output 2 2 2 2 4 3 2 2" xfId="12241"/>
    <cellStyle name="Output 2 2 2 2 4 3 3" xfId="8821"/>
    <cellStyle name="Output 2 2 2 2 4 4" xfId="3121"/>
    <cellStyle name="Output 2 2 2 2 4 4 2" xfId="6541"/>
    <cellStyle name="Output 2 2 2 2 4 4 2 2" xfId="13381"/>
    <cellStyle name="Output 2 2 2 2 4 4 3" xfId="9961"/>
    <cellStyle name="Output 2 2 2 2 4 5" xfId="4261"/>
    <cellStyle name="Output 2 2 2 2 4 5 2" xfId="11101"/>
    <cellStyle name="Output 2 2 2 2 4 6" xfId="7681"/>
    <cellStyle name="Output 2 2 2 2 5" xfId="15592"/>
    <cellStyle name="Output 2 2 2 2 6" xfId="23906"/>
    <cellStyle name="Output 2 2 2 2 7" xfId="38218"/>
    <cellStyle name="Output 2 2 2 2 8" xfId="57011"/>
    <cellStyle name="Output 2 2 2 3" xfId="320"/>
    <cellStyle name="Output 2 2 2 3 2" xfId="403"/>
    <cellStyle name="Output 2 2 2 3 2 2" xfId="1408"/>
    <cellStyle name="Output 2 2 2 3 2 2 2" xfId="1704"/>
    <cellStyle name="Output 2 2 2 3 2 2 2 2" xfId="2844"/>
    <cellStyle name="Output 2 2 2 3 2 2 2 2 2" xfId="6264"/>
    <cellStyle name="Output 2 2 2 3 2 2 2 2 2 2" xfId="13104"/>
    <cellStyle name="Output 2 2 2 3 2 2 2 2 3" xfId="9684"/>
    <cellStyle name="Output 2 2 2 3 2 2 2 3" xfId="3984"/>
    <cellStyle name="Output 2 2 2 3 2 2 2 3 2" xfId="7404"/>
    <cellStyle name="Output 2 2 2 3 2 2 2 3 2 2" xfId="14244"/>
    <cellStyle name="Output 2 2 2 3 2 2 2 3 3" xfId="10824"/>
    <cellStyle name="Output 2 2 2 3 2 2 2 4" xfId="5124"/>
    <cellStyle name="Output 2 2 2 3 2 2 2 4 2" xfId="11964"/>
    <cellStyle name="Output 2 2 2 3 2 2 2 5" xfId="8544"/>
    <cellStyle name="Output 2 2 2 3 2 2 3" xfId="2229"/>
    <cellStyle name="Output 2 2 2 3 2 2 3 2" xfId="5649"/>
    <cellStyle name="Output 2 2 2 3 2 2 3 2 2" xfId="12489"/>
    <cellStyle name="Output 2 2 2 3 2 2 3 3" xfId="9069"/>
    <cellStyle name="Output 2 2 2 3 2 2 4" xfId="3369"/>
    <cellStyle name="Output 2 2 2 3 2 2 4 2" xfId="6789"/>
    <cellStyle name="Output 2 2 2 3 2 2 4 2 2" xfId="13629"/>
    <cellStyle name="Output 2 2 2 3 2 2 4 3" xfId="10209"/>
    <cellStyle name="Output 2 2 2 3 2 2 5" xfId="4509"/>
    <cellStyle name="Output 2 2 2 3 2 2 5 2" xfId="11349"/>
    <cellStyle name="Output 2 2 2 3 2 2 6" xfId="7929"/>
    <cellStyle name="Output 2 2 2 3 2 3" xfId="38381"/>
    <cellStyle name="Output 2 2 2 3 2 4" xfId="57012"/>
    <cellStyle name="Output 2 2 2 3 2 5" xfId="57013"/>
    <cellStyle name="Output 2 2 2 3 2 6" xfId="57014"/>
    <cellStyle name="Output 2 2 2 3 2 7" xfId="57015"/>
    <cellStyle name="Output 2 2 2 3 3" xfId="1325"/>
    <cellStyle name="Output 2 2 2 3 3 2" xfId="966"/>
    <cellStyle name="Output 2 2 2 3 3 2 2" xfId="2724"/>
    <cellStyle name="Output 2 2 2 3 3 2 2 2" xfId="6144"/>
    <cellStyle name="Output 2 2 2 3 3 2 2 2 2" xfId="12984"/>
    <cellStyle name="Output 2 2 2 3 3 2 2 3" xfId="9564"/>
    <cellStyle name="Output 2 2 2 3 3 2 3" xfId="3864"/>
    <cellStyle name="Output 2 2 2 3 3 2 3 2" xfId="7284"/>
    <cellStyle name="Output 2 2 2 3 3 2 3 2 2" xfId="14124"/>
    <cellStyle name="Output 2 2 2 3 3 2 3 3" xfId="10704"/>
    <cellStyle name="Output 2 2 2 3 3 2 4" xfId="5004"/>
    <cellStyle name="Output 2 2 2 3 3 2 4 2" xfId="11844"/>
    <cellStyle name="Output 2 2 2 3 3 2 5" xfId="8424"/>
    <cellStyle name="Output 2 2 2 3 3 3" xfId="2146"/>
    <cellStyle name="Output 2 2 2 3 3 3 2" xfId="5566"/>
    <cellStyle name="Output 2 2 2 3 3 3 2 2" xfId="12406"/>
    <cellStyle name="Output 2 2 2 3 3 3 3" xfId="8986"/>
    <cellStyle name="Output 2 2 2 3 3 4" xfId="3286"/>
    <cellStyle name="Output 2 2 2 3 3 4 2" xfId="6706"/>
    <cellStyle name="Output 2 2 2 3 3 4 2 2" xfId="13546"/>
    <cellStyle name="Output 2 2 2 3 3 4 3" xfId="10126"/>
    <cellStyle name="Output 2 2 2 3 3 5" xfId="4426"/>
    <cellStyle name="Output 2 2 2 3 3 5 2" xfId="11266"/>
    <cellStyle name="Output 2 2 2 3 3 6" xfId="7846"/>
    <cellStyle name="Output 2 2 2 3 4" xfId="16562"/>
    <cellStyle name="Output 2 2 2 3 5" xfId="24877"/>
    <cellStyle name="Output 2 2 2 3 6" xfId="32137"/>
    <cellStyle name="Output 2 2 2 3 7" xfId="57016"/>
    <cellStyle name="Output 2 2 2 3 8" xfId="57017"/>
    <cellStyle name="Output 2 2 2 4" xfId="221"/>
    <cellStyle name="Output 2 2 2 4 2" xfId="462"/>
    <cellStyle name="Output 2 2 2 4 2 2" xfId="1466"/>
    <cellStyle name="Output 2 2 2 4 2 2 2" xfId="1707"/>
    <cellStyle name="Output 2 2 2 4 2 2 2 2" xfId="2847"/>
    <cellStyle name="Output 2 2 2 4 2 2 2 2 2" xfId="6267"/>
    <cellStyle name="Output 2 2 2 4 2 2 2 2 2 2" xfId="13107"/>
    <cellStyle name="Output 2 2 2 4 2 2 2 2 3" xfId="9687"/>
    <cellStyle name="Output 2 2 2 4 2 2 2 3" xfId="3987"/>
    <cellStyle name="Output 2 2 2 4 2 2 2 3 2" xfId="7407"/>
    <cellStyle name="Output 2 2 2 4 2 2 2 3 2 2" xfId="14247"/>
    <cellStyle name="Output 2 2 2 4 2 2 2 3 3" xfId="10827"/>
    <cellStyle name="Output 2 2 2 4 2 2 2 4" xfId="5127"/>
    <cellStyle name="Output 2 2 2 4 2 2 2 4 2" xfId="11967"/>
    <cellStyle name="Output 2 2 2 4 2 2 2 5" xfId="8547"/>
    <cellStyle name="Output 2 2 2 4 2 2 3" xfId="2287"/>
    <cellStyle name="Output 2 2 2 4 2 2 3 2" xfId="5707"/>
    <cellStyle name="Output 2 2 2 4 2 2 3 2 2" xfId="12547"/>
    <cellStyle name="Output 2 2 2 4 2 2 3 3" xfId="9127"/>
    <cellStyle name="Output 2 2 2 4 2 2 4" xfId="3427"/>
    <cellStyle name="Output 2 2 2 4 2 2 4 2" xfId="6847"/>
    <cellStyle name="Output 2 2 2 4 2 2 4 2 2" xfId="13687"/>
    <cellStyle name="Output 2 2 2 4 2 2 4 3" xfId="10267"/>
    <cellStyle name="Output 2 2 2 4 2 2 5" xfId="4567"/>
    <cellStyle name="Output 2 2 2 4 2 2 5 2" xfId="11407"/>
    <cellStyle name="Output 2 2 2 4 2 2 6" xfId="7987"/>
    <cellStyle name="Output 2 2 2 4 2 3" xfId="38418"/>
    <cellStyle name="Output 2 2 2 4 2 4" xfId="57018"/>
    <cellStyle name="Output 2 2 2 4 2 5" xfId="57019"/>
    <cellStyle name="Output 2 2 2 4 2 6" xfId="57020"/>
    <cellStyle name="Output 2 2 2 4 2 7" xfId="57021"/>
    <cellStyle name="Output 2 2 2 4 3" xfId="1228"/>
    <cellStyle name="Output 2 2 2 4 3 2" xfId="1014"/>
    <cellStyle name="Output 2 2 2 4 3 2 2" xfId="1924"/>
    <cellStyle name="Output 2 2 2 4 3 2 2 2" xfId="5344"/>
    <cellStyle name="Output 2 2 2 4 3 2 2 2 2" xfId="12184"/>
    <cellStyle name="Output 2 2 2 4 3 2 2 3" xfId="8764"/>
    <cellStyle name="Output 2 2 2 4 3 2 3" xfId="3064"/>
    <cellStyle name="Output 2 2 2 4 3 2 3 2" xfId="6484"/>
    <cellStyle name="Output 2 2 2 4 3 2 3 2 2" xfId="13324"/>
    <cellStyle name="Output 2 2 2 4 3 2 3 3" xfId="9904"/>
    <cellStyle name="Output 2 2 2 4 3 2 4" xfId="4204"/>
    <cellStyle name="Output 2 2 2 4 3 2 4 2" xfId="11044"/>
    <cellStyle name="Output 2 2 2 4 3 2 5" xfId="7624"/>
    <cellStyle name="Output 2 2 2 4 3 3" xfId="2048"/>
    <cellStyle name="Output 2 2 2 4 3 3 2" xfId="5468"/>
    <cellStyle name="Output 2 2 2 4 3 3 2 2" xfId="12308"/>
    <cellStyle name="Output 2 2 2 4 3 3 3" xfId="8888"/>
    <cellStyle name="Output 2 2 2 4 3 4" xfId="3188"/>
    <cellStyle name="Output 2 2 2 4 3 4 2" xfId="6608"/>
    <cellStyle name="Output 2 2 2 4 3 4 2 2" xfId="13448"/>
    <cellStyle name="Output 2 2 2 4 3 4 3" xfId="10028"/>
    <cellStyle name="Output 2 2 2 4 3 5" xfId="4328"/>
    <cellStyle name="Output 2 2 2 4 3 5 2" xfId="11168"/>
    <cellStyle name="Output 2 2 2 4 3 6" xfId="7748"/>
    <cellStyle name="Output 2 2 2 4 4" xfId="17580"/>
    <cellStyle name="Output 2 2 2 4 5" xfId="25901"/>
    <cellStyle name="Output 2 2 2 4 6" xfId="33114"/>
    <cellStyle name="Output 2 2 2 4 7" xfId="57022"/>
    <cellStyle name="Output 2 2 2 4 8" xfId="57023"/>
    <cellStyle name="Output 2 2 2 5" xfId="483"/>
    <cellStyle name="Output 2 2 2 5 2" xfId="459"/>
    <cellStyle name="Output 2 2 2 5 2 2" xfId="1463"/>
    <cellStyle name="Output 2 2 2 5 2 2 2" xfId="1710"/>
    <cellStyle name="Output 2 2 2 5 2 2 2 2" xfId="2850"/>
    <cellStyle name="Output 2 2 2 5 2 2 2 2 2" xfId="6270"/>
    <cellStyle name="Output 2 2 2 5 2 2 2 2 2 2" xfId="13110"/>
    <cellStyle name="Output 2 2 2 5 2 2 2 2 3" xfId="9690"/>
    <cellStyle name="Output 2 2 2 5 2 2 2 3" xfId="3990"/>
    <cellStyle name="Output 2 2 2 5 2 2 2 3 2" xfId="7410"/>
    <cellStyle name="Output 2 2 2 5 2 2 2 3 2 2" xfId="14250"/>
    <cellStyle name="Output 2 2 2 5 2 2 2 3 3" xfId="10830"/>
    <cellStyle name="Output 2 2 2 5 2 2 2 4" xfId="5130"/>
    <cellStyle name="Output 2 2 2 5 2 2 2 4 2" xfId="11970"/>
    <cellStyle name="Output 2 2 2 5 2 2 2 5" xfId="8550"/>
    <cellStyle name="Output 2 2 2 5 2 2 3" xfId="2284"/>
    <cellStyle name="Output 2 2 2 5 2 2 3 2" xfId="5704"/>
    <cellStyle name="Output 2 2 2 5 2 2 3 2 2" xfId="12544"/>
    <cellStyle name="Output 2 2 2 5 2 2 3 3" xfId="9124"/>
    <cellStyle name="Output 2 2 2 5 2 2 4" xfId="3424"/>
    <cellStyle name="Output 2 2 2 5 2 2 4 2" xfId="6844"/>
    <cellStyle name="Output 2 2 2 5 2 2 4 2 2" xfId="13684"/>
    <cellStyle name="Output 2 2 2 5 2 2 4 3" xfId="10264"/>
    <cellStyle name="Output 2 2 2 5 2 2 5" xfId="4564"/>
    <cellStyle name="Output 2 2 2 5 2 2 5 2" xfId="11404"/>
    <cellStyle name="Output 2 2 2 5 2 2 6" xfId="7984"/>
    <cellStyle name="Output 2 2 2 5 2 3" xfId="38416"/>
    <cellStyle name="Output 2 2 2 5 2 4" xfId="57024"/>
    <cellStyle name="Output 2 2 2 5 2 5" xfId="57025"/>
    <cellStyle name="Output 2 2 2 5 2 6" xfId="57026"/>
    <cellStyle name="Output 2 2 2 5 2 7" xfId="57027"/>
    <cellStyle name="Output 2 2 2 5 3" xfId="1487"/>
    <cellStyle name="Output 2 2 2 5 3 2" xfId="1824"/>
    <cellStyle name="Output 2 2 2 5 3 2 2" xfId="2964"/>
    <cellStyle name="Output 2 2 2 5 3 2 2 2" xfId="6384"/>
    <cellStyle name="Output 2 2 2 5 3 2 2 2 2" xfId="13224"/>
    <cellStyle name="Output 2 2 2 5 3 2 2 3" xfId="9804"/>
    <cellStyle name="Output 2 2 2 5 3 2 3" xfId="4104"/>
    <cellStyle name="Output 2 2 2 5 3 2 3 2" xfId="7524"/>
    <cellStyle name="Output 2 2 2 5 3 2 3 2 2" xfId="14364"/>
    <cellStyle name="Output 2 2 2 5 3 2 3 3" xfId="10944"/>
    <cellStyle name="Output 2 2 2 5 3 2 4" xfId="5244"/>
    <cellStyle name="Output 2 2 2 5 3 2 4 2" xfId="12084"/>
    <cellStyle name="Output 2 2 2 5 3 2 5" xfId="8664"/>
    <cellStyle name="Output 2 2 2 5 3 3" xfId="2308"/>
    <cellStyle name="Output 2 2 2 5 3 3 2" xfId="5728"/>
    <cellStyle name="Output 2 2 2 5 3 3 2 2" xfId="12568"/>
    <cellStyle name="Output 2 2 2 5 3 3 3" xfId="9148"/>
    <cellStyle name="Output 2 2 2 5 3 4" xfId="3448"/>
    <cellStyle name="Output 2 2 2 5 3 4 2" xfId="6868"/>
    <cellStyle name="Output 2 2 2 5 3 4 2 2" xfId="13708"/>
    <cellStyle name="Output 2 2 2 5 3 4 3" xfId="10288"/>
    <cellStyle name="Output 2 2 2 5 3 5" xfId="4588"/>
    <cellStyle name="Output 2 2 2 5 3 5 2" xfId="11428"/>
    <cellStyle name="Output 2 2 2 5 3 6" xfId="8008"/>
    <cellStyle name="Output 2 2 2 5 4" xfId="18561"/>
    <cellStyle name="Output 2 2 2 5 5" xfId="26879"/>
    <cellStyle name="Output 2 2 2 5 6" xfId="34048"/>
    <cellStyle name="Output 2 2 2 5 7" xfId="57028"/>
    <cellStyle name="Output 2 2 2 5 8" xfId="57029"/>
    <cellStyle name="Output 2 2 2 6" xfId="445"/>
    <cellStyle name="Output 2 2 2 6 2" xfId="357"/>
    <cellStyle name="Output 2 2 2 6 2 2" xfId="1362"/>
    <cellStyle name="Output 2 2 2 6 2 2 2" xfId="930"/>
    <cellStyle name="Output 2 2 2 6 2 2 2 2" xfId="2578"/>
    <cellStyle name="Output 2 2 2 6 2 2 2 2 2" xfId="5998"/>
    <cellStyle name="Output 2 2 2 6 2 2 2 2 2 2" xfId="12838"/>
    <cellStyle name="Output 2 2 2 6 2 2 2 2 3" xfId="9418"/>
    <cellStyle name="Output 2 2 2 6 2 2 2 3" xfId="3718"/>
    <cellStyle name="Output 2 2 2 6 2 2 2 3 2" xfId="7138"/>
    <cellStyle name="Output 2 2 2 6 2 2 2 3 2 2" xfId="13978"/>
    <cellStyle name="Output 2 2 2 6 2 2 2 3 3" xfId="10558"/>
    <cellStyle name="Output 2 2 2 6 2 2 2 4" xfId="4858"/>
    <cellStyle name="Output 2 2 2 6 2 2 2 4 2" xfId="11698"/>
    <cellStyle name="Output 2 2 2 6 2 2 2 5" xfId="8278"/>
    <cellStyle name="Output 2 2 2 6 2 2 3" xfId="2183"/>
    <cellStyle name="Output 2 2 2 6 2 2 3 2" xfId="5603"/>
    <cellStyle name="Output 2 2 2 6 2 2 3 2 2" xfId="12443"/>
    <cellStyle name="Output 2 2 2 6 2 2 3 3" xfId="9023"/>
    <cellStyle name="Output 2 2 2 6 2 2 4" xfId="3323"/>
    <cellStyle name="Output 2 2 2 6 2 2 4 2" xfId="6743"/>
    <cellStyle name="Output 2 2 2 6 2 2 4 2 2" xfId="13583"/>
    <cellStyle name="Output 2 2 2 6 2 2 4 3" xfId="10163"/>
    <cellStyle name="Output 2 2 2 6 2 2 5" xfId="4463"/>
    <cellStyle name="Output 2 2 2 6 2 2 5 2" xfId="11303"/>
    <cellStyle name="Output 2 2 2 6 2 2 6" xfId="7883"/>
    <cellStyle name="Output 2 2 2 6 2 3" xfId="38344"/>
    <cellStyle name="Output 2 2 2 6 2 4" xfId="57030"/>
    <cellStyle name="Output 2 2 2 6 2 5" xfId="57031"/>
    <cellStyle name="Output 2 2 2 6 2 6" xfId="57032"/>
    <cellStyle name="Output 2 2 2 6 2 7" xfId="57033"/>
    <cellStyle name="Output 2 2 2 6 3" xfId="1449"/>
    <cellStyle name="Output 2 2 2 6 3 2" xfId="1677"/>
    <cellStyle name="Output 2 2 2 6 3 2 2" xfId="2817"/>
    <cellStyle name="Output 2 2 2 6 3 2 2 2" xfId="6237"/>
    <cellStyle name="Output 2 2 2 6 3 2 2 2 2" xfId="13077"/>
    <cellStyle name="Output 2 2 2 6 3 2 2 3" xfId="9657"/>
    <cellStyle name="Output 2 2 2 6 3 2 3" xfId="3957"/>
    <cellStyle name="Output 2 2 2 6 3 2 3 2" xfId="7377"/>
    <cellStyle name="Output 2 2 2 6 3 2 3 2 2" xfId="14217"/>
    <cellStyle name="Output 2 2 2 6 3 2 3 3" xfId="10797"/>
    <cellStyle name="Output 2 2 2 6 3 2 4" xfId="5097"/>
    <cellStyle name="Output 2 2 2 6 3 2 4 2" xfId="11937"/>
    <cellStyle name="Output 2 2 2 6 3 2 5" xfId="8517"/>
    <cellStyle name="Output 2 2 2 6 3 3" xfId="2270"/>
    <cellStyle name="Output 2 2 2 6 3 3 2" xfId="5690"/>
    <cellStyle name="Output 2 2 2 6 3 3 2 2" xfId="12530"/>
    <cellStyle name="Output 2 2 2 6 3 3 3" xfId="9110"/>
    <cellStyle name="Output 2 2 2 6 3 4" xfId="3410"/>
    <cellStyle name="Output 2 2 2 6 3 4 2" xfId="6830"/>
    <cellStyle name="Output 2 2 2 6 3 4 2 2" xfId="13670"/>
    <cellStyle name="Output 2 2 2 6 3 4 3" xfId="10250"/>
    <cellStyle name="Output 2 2 2 6 3 5" xfId="4550"/>
    <cellStyle name="Output 2 2 2 6 3 5 2" xfId="11390"/>
    <cellStyle name="Output 2 2 2 6 3 6" xfId="7970"/>
    <cellStyle name="Output 2 2 2 6 4" xfId="16547"/>
    <cellStyle name="Output 2 2 2 6 5" xfId="24860"/>
    <cellStyle name="Output 2 2 2 6 6" xfId="32120"/>
    <cellStyle name="Output 2 2 2 6 7" xfId="57034"/>
    <cellStyle name="Output 2 2 2 6 8" xfId="57035"/>
    <cellStyle name="Output 2 2 2 7" xfId="1111"/>
    <cellStyle name="Output 2 2 2 7 2" xfId="1070"/>
    <cellStyle name="Output 2 2 2 7 2 2" xfId="2794"/>
    <cellStyle name="Output 2 2 2 7 2 2 2" xfId="6214"/>
    <cellStyle name="Output 2 2 2 7 2 2 2 2" xfId="13054"/>
    <cellStyle name="Output 2 2 2 7 2 2 3" xfId="9634"/>
    <cellStyle name="Output 2 2 2 7 2 3" xfId="3934"/>
    <cellStyle name="Output 2 2 2 7 2 3 2" xfId="7354"/>
    <cellStyle name="Output 2 2 2 7 2 3 2 2" xfId="14194"/>
    <cellStyle name="Output 2 2 2 7 2 3 3" xfId="10774"/>
    <cellStyle name="Output 2 2 2 7 2 4" xfId="5074"/>
    <cellStyle name="Output 2 2 2 7 2 4 2" xfId="11914"/>
    <cellStyle name="Output 2 2 2 7 2 5" xfId="8494"/>
    <cellStyle name="Output 2 2 2 7 3" xfId="1920"/>
    <cellStyle name="Output 2 2 2 7 3 2" xfId="5340"/>
    <cellStyle name="Output 2 2 2 7 3 2 2" xfId="12180"/>
    <cellStyle name="Output 2 2 2 7 3 3" xfId="8760"/>
    <cellStyle name="Output 2 2 2 7 4" xfId="3060"/>
    <cellStyle name="Output 2 2 2 7 4 2" xfId="6480"/>
    <cellStyle name="Output 2 2 2 7 4 2 2" xfId="13320"/>
    <cellStyle name="Output 2 2 2 7 4 3" xfId="9900"/>
    <cellStyle name="Output 2 2 2 7 5" xfId="4200"/>
    <cellStyle name="Output 2 2 2 7 5 2" xfId="11040"/>
    <cellStyle name="Output 2 2 2 7 6" xfId="7620"/>
    <cellStyle name="Output 2 2 2 7 7" xfId="19191"/>
    <cellStyle name="Output 2 2 2 7 8" xfId="27511"/>
    <cellStyle name="Output 2 2 2 7 9" xfId="34659"/>
    <cellStyle name="Output 2 2 2 8" xfId="15532"/>
    <cellStyle name="Output 2 2 2 8 2" xfId="23868"/>
    <cellStyle name="Output 2 2 2 8 2 2" xfId="57036"/>
    <cellStyle name="Output 2 2 2 8 2 3" xfId="57037"/>
    <cellStyle name="Output 2 2 2 8 3" xfId="31214"/>
    <cellStyle name="Output 2 2 2 8 4" xfId="57038"/>
    <cellStyle name="Output 2 2 2 9" xfId="21960"/>
    <cellStyle name="Output 2 2 2 9 2" xfId="30261"/>
    <cellStyle name="Output 2 2 2 9 2 2" xfId="57039"/>
    <cellStyle name="Output 2 2 2 9 2 3" xfId="57040"/>
    <cellStyle name="Output 2 2 2 9 3" xfId="37301"/>
    <cellStyle name="Output 2 2 2 9 4" xfId="57041"/>
    <cellStyle name="Output 2 2 20" xfId="15079"/>
    <cellStyle name="Output 2 2 20 10" xfId="23438"/>
    <cellStyle name="Output 2 2 20 11" xfId="57042"/>
    <cellStyle name="Output 2 2 20 2" xfId="16159"/>
    <cellStyle name="Output 2 2 20 2 2" xfId="24473"/>
    <cellStyle name="Output 2 2 20 2 2 2" xfId="57043"/>
    <cellStyle name="Output 2 2 20 2 2 3" xfId="57044"/>
    <cellStyle name="Output 2 2 20 2 3" xfId="31750"/>
    <cellStyle name="Output 2 2 20 2 4" xfId="57045"/>
    <cellStyle name="Output 2 2 20 3" xfId="17126"/>
    <cellStyle name="Output 2 2 20 3 2" xfId="25447"/>
    <cellStyle name="Output 2 2 20 3 2 2" xfId="57046"/>
    <cellStyle name="Output 2 2 20 3 2 3" xfId="57047"/>
    <cellStyle name="Output 2 2 20 3 3" xfId="32684"/>
    <cellStyle name="Output 2 2 20 3 4" xfId="57048"/>
    <cellStyle name="Output 2 2 20 4" xfId="18153"/>
    <cellStyle name="Output 2 2 20 4 2" xfId="26473"/>
    <cellStyle name="Output 2 2 20 4 2 2" xfId="57049"/>
    <cellStyle name="Output 2 2 20 4 2 3" xfId="57050"/>
    <cellStyle name="Output 2 2 20 4 3" xfId="33661"/>
    <cellStyle name="Output 2 2 20 4 4" xfId="57051"/>
    <cellStyle name="Output 2 2 20 5" xfId="19137"/>
    <cellStyle name="Output 2 2 20 5 2" xfId="27457"/>
    <cellStyle name="Output 2 2 20 5 2 2" xfId="57052"/>
    <cellStyle name="Output 2 2 20 5 2 3" xfId="57053"/>
    <cellStyle name="Output 2 2 20 5 3" xfId="34605"/>
    <cellStyle name="Output 2 2 20 5 4" xfId="57054"/>
    <cellStyle name="Output 2 2 20 6" xfId="20105"/>
    <cellStyle name="Output 2 2 20 6 2" xfId="28427"/>
    <cellStyle name="Output 2 2 20 6 2 2" xfId="57055"/>
    <cellStyle name="Output 2 2 20 6 2 3" xfId="57056"/>
    <cellStyle name="Output 2 2 20 6 3" xfId="35552"/>
    <cellStyle name="Output 2 2 20 6 4" xfId="57057"/>
    <cellStyle name="Output 2 2 20 7" xfId="21061"/>
    <cellStyle name="Output 2 2 20 7 2" xfId="29378"/>
    <cellStyle name="Output 2 2 20 7 2 2" xfId="57058"/>
    <cellStyle name="Output 2 2 20 7 2 3" xfId="57059"/>
    <cellStyle name="Output 2 2 20 7 3" xfId="36457"/>
    <cellStyle name="Output 2 2 20 7 4" xfId="57060"/>
    <cellStyle name="Output 2 2 20 8" xfId="21568"/>
    <cellStyle name="Output 2 2 20 8 2" xfId="29869"/>
    <cellStyle name="Output 2 2 20 8 2 2" xfId="57061"/>
    <cellStyle name="Output 2 2 20 8 2 3" xfId="57062"/>
    <cellStyle name="Output 2 2 20 8 3" xfId="36928"/>
    <cellStyle name="Output 2 2 20 8 4" xfId="57063"/>
    <cellStyle name="Output 2 2 20 9" xfId="22496"/>
    <cellStyle name="Output 2 2 20 9 2" xfId="30792"/>
    <cellStyle name="Output 2 2 20 9 3" xfId="37811"/>
    <cellStyle name="Output 2 2 21" xfId="15139"/>
    <cellStyle name="Output 2 2 21 10" xfId="57064"/>
    <cellStyle name="Output 2 2 21 2" xfId="16219"/>
    <cellStyle name="Output 2 2 21 2 2" xfId="24532"/>
    <cellStyle name="Output 2 2 21 2 2 2" xfId="57065"/>
    <cellStyle name="Output 2 2 21 2 2 3" xfId="57066"/>
    <cellStyle name="Output 2 2 21 2 3" xfId="31807"/>
    <cellStyle name="Output 2 2 21 2 4" xfId="57067"/>
    <cellStyle name="Output 2 2 21 3" xfId="17185"/>
    <cellStyle name="Output 2 2 21 3 2" xfId="25506"/>
    <cellStyle name="Output 2 2 21 3 2 2" xfId="57068"/>
    <cellStyle name="Output 2 2 21 3 2 3" xfId="57069"/>
    <cellStyle name="Output 2 2 21 3 3" xfId="32740"/>
    <cellStyle name="Output 2 2 21 3 4" xfId="57070"/>
    <cellStyle name="Output 2 2 21 4" xfId="18213"/>
    <cellStyle name="Output 2 2 21 4 2" xfId="26533"/>
    <cellStyle name="Output 2 2 21 4 2 2" xfId="57071"/>
    <cellStyle name="Output 2 2 21 4 2 3" xfId="57072"/>
    <cellStyle name="Output 2 2 21 4 3" xfId="33718"/>
    <cellStyle name="Output 2 2 21 4 4" xfId="57073"/>
    <cellStyle name="Output 2 2 21 5" xfId="19197"/>
    <cellStyle name="Output 2 2 21 5 2" xfId="27517"/>
    <cellStyle name="Output 2 2 21 5 2 2" xfId="57074"/>
    <cellStyle name="Output 2 2 21 5 2 3" xfId="57075"/>
    <cellStyle name="Output 2 2 21 5 3" xfId="34665"/>
    <cellStyle name="Output 2 2 21 5 4" xfId="57076"/>
    <cellStyle name="Output 2 2 21 6" xfId="20165"/>
    <cellStyle name="Output 2 2 21 6 2" xfId="28487"/>
    <cellStyle name="Output 2 2 21 6 2 2" xfId="57077"/>
    <cellStyle name="Output 2 2 21 6 2 3" xfId="57078"/>
    <cellStyle name="Output 2 2 21 6 3" xfId="35610"/>
    <cellStyle name="Output 2 2 21 6 4" xfId="57079"/>
    <cellStyle name="Output 2 2 21 7" xfId="21626"/>
    <cellStyle name="Output 2 2 21 7 2" xfId="29927"/>
    <cellStyle name="Output 2 2 21 7 2 2" xfId="57080"/>
    <cellStyle name="Output 2 2 21 7 2 3" xfId="57081"/>
    <cellStyle name="Output 2 2 21 7 3" xfId="36984"/>
    <cellStyle name="Output 2 2 21 7 4" xfId="57082"/>
    <cellStyle name="Output 2 2 21 8" xfId="22554"/>
    <cellStyle name="Output 2 2 21 8 2" xfId="30850"/>
    <cellStyle name="Output 2 2 21 8 3" xfId="37867"/>
    <cellStyle name="Output 2 2 21 9" xfId="23496"/>
    <cellStyle name="Output 2 2 22" xfId="15159"/>
    <cellStyle name="Output 2 2 22 10" xfId="57083"/>
    <cellStyle name="Output 2 2 22 2" xfId="16239"/>
    <cellStyle name="Output 2 2 22 2 2" xfId="24552"/>
    <cellStyle name="Output 2 2 22 2 2 2" xfId="57084"/>
    <cellStyle name="Output 2 2 22 2 2 3" xfId="57085"/>
    <cellStyle name="Output 2 2 22 2 3" xfId="31825"/>
    <cellStyle name="Output 2 2 22 2 4" xfId="57086"/>
    <cellStyle name="Output 2 2 22 3" xfId="17205"/>
    <cellStyle name="Output 2 2 22 3 2" xfId="25526"/>
    <cellStyle name="Output 2 2 22 3 2 2" xfId="57087"/>
    <cellStyle name="Output 2 2 22 3 2 3" xfId="57088"/>
    <cellStyle name="Output 2 2 22 3 3" xfId="32758"/>
    <cellStyle name="Output 2 2 22 3 4" xfId="57089"/>
    <cellStyle name="Output 2 2 22 4" xfId="18233"/>
    <cellStyle name="Output 2 2 22 4 2" xfId="26553"/>
    <cellStyle name="Output 2 2 22 4 2 2" xfId="57090"/>
    <cellStyle name="Output 2 2 22 4 2 3" xfId="57091"/>
    <cellStyle name="Output 2 2 22 4 3" xfId="33736"/>
    <cellStyle name="Output 2 2 22 4 4" xfId="57092"/>
    <cellStyle name="Output 2 2 22 5" xfId="19217"/>
    <cellStyle name="Output 2 2 22 5 2" xfId="27537"/>
    <cellStyle name="Output 2 2 22 5 2 2" xfId="57093"/>
    <cellStyle name="Output 2 2 22 5 2 3" xfId="57094"/>
    <cellStyle name="Output 2 2 22 5 3" xfId="34685"/>
    <cellStyle name="Output 2 2 22 5 4" xfId="57095"/>
    <cellStyle name="Output 2 2 22 6" xfId="20185"/>
    <cellStyle name="Output 2 2 22 6 2" xfId="28507"/>
    <cellStyle name="Output 2 2 22 6 2 2" xfId="57096"/>
    <cellStyle name="Output 2 2 22 6 2 3" xfId="57097"/>
    <cellStyle name="Output 2 2 22 6 3" xfId="35628"/>
    <cellStyle name="Output 2 2 22 6 4" xfId="57098"/>
    <cellStyle name="Output 2 2 22 7" xfId="21646"/>
    <cellStyle name="Output 2 2 22 7 2" xfId="29947"/>
    <cellStyle name="Output 2 2 22 7 2 2" xfId="57099"/>
    <cellStyle name="Output 2 2 22 7 2 3" xfId="57100"/>
    <cellStyle name="Output 2 2 22 7 3" xfId="37002"/>
    <cellStyle name="Output 2 2 22 7 4" xfId="57101"/>
    <cellStyle name="Output 2 2 22 8" xfId="22574"/>
    <cellStyle name="Output 2 2 22 8 2" xfId="30870"/>
    <cellStyle name="Output 2 2 22 8 3" xfId="37885"/>
    <cellStyle name="Output 2 2 22 9" xfId="23516"/>
    <cellStyle name="Output 2 2 23" xfId="15181"/>
    <cellStyle name="Output 2 2 23 10" xfId="57102"/>
    <cellStyle name="Output 2 2 23 2" xfId="16261"/>
    <cellStyle name="Output 2 2 23 2 2" xfId="24574"/>
    <cellStyle name="Output 2 2 23 2 2 2" xfId="57103"/>
    <cellStyle name="Output 2 2 23 2 2 3" xfId="57104"/>
    <cellStyle name="Output 2 2 23 2 3" xfId="31846"/>
    <cellStyle name="Output 2 2 23 2 4" xfId="57105"/>
    <cellStyle name="Output 2 2 23 3" xfId="17227"/>
    <cellStyle name="Output 2 2 23 3 2" xfId="25548"/>
    <cellStyle name="Output 2 2 23 3 2 2" xfId="57106"/>
    <cellStyle name="Output 2 2 23 3 2 3" xfId="57107"/>
    <cellStyle name="Output 2 2 23 3 3" xfId="32779"/>
    <cellStyle name="Output 2 2 23 3 4" xfId="57108"/>
    <cellStyle name="Output 2 2 23 4" xfId="18255"/>
    <cellStyle name="Output 2 2 23 4 2" xfId="26575"/>
    <cellStyle name="Output 2 2 23 4 2 2" xfId="57109"/>
    <cellStyle name="Output 2 2 23 4 2 3" xfId="57110"/>
    <cellStyle name="Output 2 2 23 4 3" xfId="33757"/>
    <cellStyle name="Output 2 2 23 4 4" xfId="57111"/>
    <cellStyle name="Output 2 2 23 5" xfId="19239"/>
    <cellStyle name="Output 2 2 23 5 2" xfId="27559"/>
    <cellStyle name="Output 2 2 23 5 2 2" xfId="57112"/>
    <cellStyle name="Output 2 2 23 5 2 3" xfId="57113"/>
    <cellStyle name="Output 2 2 23 5 3" xfId="34707"/>
    <cellStyle name="Output 2 2 23 5 4" xfId="57114"/>
    <cellStyle name="Output 2 2 23 6" xfId="20207"/>
    <cellStyle name="Output 2 2 23 6 2" xfId="28529"/>
    <cellStyle name="Output 2 2 23 6 2 2" xfId="57115"/>
    <cellStyle name="Output 2 2 23 6 2 3" xfId="57116"/>
    <cellStyle name="Output 2 2 23 6 3" xfId="35649"/>
    <cellStyle name="Output 2 2 23 6 4" xfId="57117"/>
    <cellStyle name="Output 2 2 23 7" xfId="21668"/>
    <cellStyle name="Output 2 2 23 7 2" xfId="29969"/>
    <cellStyle name="Output 2 2 23 7 2 2" xfId="57118"/>
    <cellStyle name="Output 2 2 23 7 2 3" xfId="57119"/>
    <cellStyle name="Output 2 2 23 7 3" xfId="37023"/>
    <cellStyle name="Output 2 2 23 7 4" xfId="57120"/>
    <cellStyle name="Output 2 2 23 8" xfId="22596"/>
    <cellStyle name="Output 2 2 23 8 2" xfId="30892"/>
    <cellStyle name="Output 2 2 23 8 3" xfId="37906"/>
    <cellStyle name="Output 2 2 23 9" xfId="23538"/>
    <cellStyle name="Output 2 2 24" xfId="15107"/>
    <cellStyle name="Output 2 2 24 10" xfId="57121"/>
    <cellStyle name="Output 2 2 24 2" xfId="16187"/>
    <cellStyle name="Output 2 2 24 2 2" xfId="24500"/>
    <cellStyle name="Output 2 2 24 2 2 2" xfId="57122"/>
    <cellStyle name="Output 2 2 24 2 2 3" xfId="57123"/>
    <cellStyle name="Output 2 2 24 2 3" xfId="31777"/>
    <cellStyle name="Output 2 2 24 2 4" xfId="57124"/>
    <cellStyle name="Output 2 2 24 3" xfId="17153"/>
    <cellStyle name="Output 2 2 24 3 2" xfId="25474"/>
    <cellStyle name="Output 2 2 24 3 2 2" xfId="57125"/>
    <cellStyle name="Output 2 2 24 3 2 3" xfId="57126"/>
    <cellStyle name="Output 2 2 24 3 3" xfId="32710"/>
    <cellStyle name="Output 2 2 24 3 4" xfId="57127"/>
    <cellStyle name="Output 2 2 24 4" xfId="18181"/>
    <cellStyle name="Output 2 2 24 4 2" xfId="26501"/>
    <cellStyle name="Output 2 2 24 4 2 2" xfId="57128"/>
    <cellStyle name="Output 2 2 24 4 2 3" xfId="57129"/>
    <cellStyle name="Output 2 2 24 4 3" xfId="33688"/>
    <cellStyle name="Output 2 2 24 4 4" xfId="57130"/>
    <cellStyle name="Output 2 2 24 5" xfId="19165"/>
    <cellStyle name="Output 2 2 24 5 2" xfId="27485"/>
    <cellStyle name="Output 2 2 24 5 2 2" xfId="57131"/>
    <cellStyle name="Output 2 2 24 5 2 3" xfId="57132"/>
    <cellStyle name="Output 2 2 24 5 3" xfId="34633"/>
    <cellStyle name="Output 2 2 24 5 4" xfId="57133"/>
    <cellStyle name="Output 2 2 24 6" xfId="20133"/>
    <cellStyle name="Output 2 2 24 6 2" xfId="28455"/>
    <cellStyle name="Output 2 2 24 6 2 2" xfId="57134"/>
    <cellStyle name="Output 2 2 24 6 2 3" xfId="57135"/>
    <cellStyle name="Output 2 2 24 6 3" xfId="35580"/>
    <cellStyle name="Output 2 2 24 6 4" xfId="57136"/>
    <cellStyle name="Output 2 2 24 7" xfId="21594"/>
    <cellStyle name="Output 2 2 24 7 2" xfId="29895"/>
    <cellStyle name="Output 2 2 24 7 2 2" xfId="57137"/>
    <cellStyle name="Output 2 2 24 7 2 3" xfId="57138"/>
    <cellStyle name="Output 2 2 24 7 3" xfId="36954"/>
    <cellStyle name="Output 2 2 24 7 4" xfId="57139"/>
    <cellStyle name="Output 2 2 24 8" xfId="22522"/>
    <cellStyle name="Output 2 2 24 8 2" xfId="30818"/>
    <cellStyle name="Output 2 2 24 8 3" xfId="37837"/>
    <cellStyle name="Output 2 2 24 9" xfId="23464"/>
    <cellStyle name="Output 2 2 25" xfId="15197"/>
    <cellStyle name="Output 2 2 25 10" xfId="57140"/>
    <cellStyle name="Output 2 2 25 2" xfId="16277"/>
    <cellStyle name="Output 2 2 25 2 2" xfId="24590"/>
    <cellStyle name="Output 2 2 25 2 2 2" xfId="57141"/>
    <cellStyle name="Output 2 2 25 2 2 3" xfId="57142"/>
    <cellStyle name="Output 2 2 25 2 3" xfId="31860"/>
    <cellStyle name="Output 2 2 25 2 4" xfId="57143"/>
    <cellStyle name="Output 2 2 25 3" xfId="17243"/>
    <cellStyle name="Output 2 2 25 3 2" xfId="25564"/>
    <cellStyle name="Output 2 2 25 3 2 2" xfId="57144"/>
    <cellStyle name="Output 2 2 25 3 2 3" xfId="57145"/>
    <cellStyle name="Output 2 2 25 3 3" xfId="32793"/>
    <cellStyle name="Output 2 2 25 3 4" xfId="57146"/>
    <cellStyle name="Output 2 2 25 4" xfId="18271"/>
    <cellStyle name="Output 2 2 25 4 2" xfId="26591"/>
    <cellStyle name="Output 2 2 25 4 2 2" xfId="57147"/>
    <cellStyle name="Output 2 2 25 4 2 3" xfId="57148"/>
    <cellStyle name="Output 2 2 25 4 3" xfId="33771"/>
    <cellStyle name="Output 2 2 25 4 4" xfId="57149"/>
    <cellStyle name="Output 2 2 25 5" xfId="19255"/>
    <cellStyle name="Output 2 2 25 5 2" xfId="27575"/>
    <cellStyle name="Output 2 2 25 5 2 2" xfId="57150"/>
    <cellStyle name="Output 2 2 25 5 2 3" xfId="57151"/>
    <cellStyle name="Output 2 2 25 5 3" xfId="34723"/>
    <cellStyle name="Output 2 2 25 5 4" xfId="57152"/>
    <cellStyle name="Output 2 2 25 6" xfId="20223"/>
    <cellStyle name="Output 2 2 25 6 2" xfId="28545"/>
    <cellStyle name="Output 2 2 25 6 2 2" xfId="57153"/>
    <cellStyle name="Output 2 2 25 6 2 3" xfId="57154"/>
    <cellStyle name="Output 2 2 25 6 3" xfId="35663"/>
    <cellStyle name="Output 2 2 25 6 4" xfId="57155"/>
    <cellStyle name="Output 2 2 25 7" xfId="21684"/>
    <cellStyle name="Output 2 2 25 7 2" xfId="29985"/>
    <cellStyle name="Output 2 2 25 7 2 2" xfId="57156"/>
    <cellStyle name="Output 2 2 25 7 2 3" xfId="57157"/>
    <cellStyle name="Output 2 2 25 7 3" xfId="37037"/>
    <cellStyle name="Output 2 2 25 7 4" xfId="57158"/>
    <cellStyle name="Output 2 2 25 8" xfId="22612"/>
    <cellStyle name="Output 2 2 25 8 2" xfId="30908"/>
    <cellStyle name="Output 2 2 25 8 3" xfId="37920"/>
    <cellStyle name="Output 2 2 25 9" xfId="23554"/>
    <cellStyle name="Output 2 2 26" xfId="15262"/>
    <cellStyle name="Output 2 2 26 10" xfId="57159"/>
    <cellStyle name="Output 2 2 26 2" xfId="16342"/>
    <cellStyle name="Output 2 2 26 2 2" xfId="24655"/>
    <cellStyle name="Output 2 2 26 2 2 2" xfId="57160"/>
    <cellStyle name="Output 2 2 26 2 2 3" xfId="57161"/>
    <cellStyle name="Output 2 2 26 2 3" xfId="31922"/>
    <cellStyle name="Output 2 2 26 2 4" xfId="57162"/>
    <cellStyle name="Output 2 2 26 3" xfId="17308"/>
    <cellStyle name="Output 2 2 26 3 2" xfId="25629"/>
    <cellStyle name="Output 2 2 26 3 2 2" xfId="57163"/>
    <cellStyle name="Output 2 2 26 3 2 3" xfId="57164"/>
    <cellStyle name="Output 2 2 26 3 3" xfId="32855"/>
    <cellStyle name="Output 2 2 26 3 4" xfId="57165"/>
    <cellStyle name="Output 2 2 26 4" xfId="18336"/>
    <cellStyle name="Output 2 2 26 4 2" xfId="26656"/>
    <cellStyle name="Output 2 2 26 4 2 2" xfId="57166"/>
    <cellStyle name="Output 2 2 26 4 2 3" xfId="57167"/>
    <cellStyle name="Output 2 2 26 4 3" xfId="33833"/>
    <cellStyle name="Output 2 2 26 4 4" xfId="57168"/>
    <cellStyle name="Output 2 2 26 5" xfId="19320"/>
    <cellStyle name="Output 2 2 26 5 2" xfId="27640"/>
    <cellStyle name="Output 2 2 26 5 2 2" xfId="57169"/>
    <cellStyle name="Output 2 2 26 5 2 3" xfId="57170"/>
    <cellStyle name="Output 2 2 26 5 3" xfId="34788"/>
    <cellStyle name="Output 2 2 26 5 4" xfId="57171"/>
    <cellStyle name="Output 2 2 26 6" xfId="20288"/>
    <cellStyle name="Output 2 2 26 6 2" xfId="28610"/>
    <cellStyle name="Output 2 2 26 6 2 2" xfId="57172"/>
    <cellStyle name="Output 2 2 26 6 2 3" xfId="57173"/>
    <cellStyle name="Output 2 2 26 6 3" xfId="35725"/>
    <cellStyle name="Output 2 2 26 6 4" xfId="57174"/>
    <cellStyle name="Output 2 2 26 7" xfId="21749"/>
    <cellStyle name="Output 2 2 26 7 2" xfId="30050"/>
    <cellStyle name="Output 2 2 26 7 2 2" xfId="57175"/>
    <cellStyle name="Output 2 2 26 7 2 3" xfId="57176"/>
    <cellStyle name="Output 2 2 26 7 3" xfId="37099"/>
    <cellStyle name="Output 2 2 26 7 4" xfId="57177"/>
    <cellStyle name="Output 2 2 26 8" xfId="22677"/>
    <cellStyle name="Output 2 2 26 8 2" xfId="30973"/>
    <cellStyle name="Output 2 2 26 8 3" xfId="37982"/>
    <cellStyle name="Output 2 2 26 9" xfId="23619"/>
    <cellStyle name="Output 2 2 27" xfId="15257"/>
    <cellStyle name="Output 2 2 27 10" xfId="57178"/>
    <cellStyle name="Output 2 2 27 2" xfId="16337"/>
    <cellStyle name="Output 2 2 27 2 2" xfId="24650"/>
    <cellStyle name="Output 2 2 27 2 2 2" xfId="57179"/>
    <cellStyle name="Output 2 2 27 2 2 3" xfId="57180"/>
    <cellStyle name="Output 2 2 27 2 3" xfId="31917"/>
    <cellStyle name="Output 2 2 27 2 4" xfId="57181"/>
    <cellStyle name="Output 2 2 27 3" xfId="17303"/>
    <cellStyle name="Output 2 2 27 3 2" xfId="25624"/>
    <cellStyle name="Output 2 2 27 3 2 2" xfId="57182"/>
    <cellStyle name="Output 2 2 27 3 2 3" xfId="57183"/>
    <cellStyle name="Output 2 2 27 3 3" xfId="32850"/>
    <cellStyle name="Output 2 2 27 3 4" xfId="57184"/>
    <cellStyle name="Output 2 2 27 4" xfId="18331"/>
    <cellStyle name="Output 2 2 27 4 2" xfId="26651"/>
    <cellStyle name="Output 2 2 27 4 2 2" xfId="57185"/>
    <cellStyle name="Output 2 2 27 4 2 3" xfId="57186"/>
    <cellStyle name="Output 2 2 27 4 3" xfId="33828"/>
    <cellStyle name="Output 2 2 27 4 4" xfId="57187"/>
    <cellStyle name="Output 2 2 27 5" xfId="19315"/>
    <cellStyle name="Output 2 2 27 5 2" xfId="27635"/>
    <cellStyle name="Output 2 2 27 5 2 2" xfId="57188"/>
    <cellStyle name="Output 2 2 27 5 2 3" xfId="57189"/>
    <cellStyle name="Output 2 2 27 5 3" xfId="34783"/>
    <cellStyle name="Output 2 2 27 5 4" xfId="57190"/>
    <cellStyle name="Output 2 2 27 6" xfId="20283"/>
    <cellStyle name="Output 2 2 27 6 2" xfId="28605"/>
    <cellStyle name="Output 2 2 27 6 2 2" xfId="57191"/>
    <cellStyle name="Output 2 2 27 6 2 3" xfId="57192"/>
    <cellStyle name="Output 2 2 27 6 3" xfId="35720"/>
    <cellStyle name="Output 2 2 27 6 4" xfId="57193"/>
    <cellStyle name="Output 2 2 27 7" xfId="21744"/>
    <cellStyle name="Output 2 2 27 7 2" xfId="30045"/>
    <cellStyle name="Output 2 2 27 7 2 2" xfId="57194"/>
    <cellStyle name="Output 2 2 27 7 2 3" xfId="57195"/>
    <cellStyle name="Output 2 2 27 7 3" xfId="37094"/>
    <cellStyle name="Output 2 2 27 7 4" xfId="57196"/>
    <cellStyle name="Output 2 2 27 8" xfId="22672"/>
    <cellStyle name="Output 2 2 27 8 2" xfId="30968"/>
    <cellStyle name="Output 2 2 27 8 3" xfId="37977"/>
    <cellStyle name="Output 2 2 27 9" xfId="23614"/>
    <cellStyle name="Output 2 2 28" xfId="15297"/>
    <cellStyle name="Output 2 2 28 10" xfId="57197"/>
    <cellStyle name="Output 2 2 28 2" xfId="16377"/>
    <cellStyle name="Output 2 2 28 2 2" xfId="24690"/>
    <cellStyle name="Output 2 2 28 2 2 2" xfId="57198"/>
    <cellStyle name="Output 2 2 28 2 2 3" xfId="57199"/>
    <cellStyle name="Output 2 2 28 2 3" xfId="31956"/>
    <cellStyle name="Output 2 2 28 2 4" xfId="57200"/>
    <cellStyle name="Output 2 2 28 3" xfId="17343"/>
    <cellStyle name="Output 2 2 28 3 2" xfId="25664"/>
    <cellStyle name="Output 2 2 28 3 2 2" xfId="57201"/>
    <cellStyle name="Output 2 2 28 3 2 3" xfId="57202"/>
    <cellStyle name="Output 2 2 28 3 3" xfId="32889"/>
    <cellStyle name="Output 2 2 28 3 4" xfId="57203"/>
    <cellStyle name="Output 2 2 28 4" xfId="18371"/>
    <cellStyle name="Output 2 2 28 4 2" xfId="26691"/>
    <cellStyle name="Output 2 2 28 4 2 2" xfId="57204"/>
    <cellStyle name="Output 2 2 28 4 2 3" xfId="57205"/>
    <cellStyle name="Output 2 2 28 4 3" xfId="33867"/>
    <cellStyle name="Output 2 2 28 4 4" xfId="57206"/>
    <cellStyle name="Output 2 2 28 5" xfId="19354"/>
    <cellStyle name="Output 2 2 28 5 2" xfId="27675"/>
    <cellStyle name="Output 2 2 28 5 2 2" xfId="57207"/>
    <cellStyle name="Output 2 2 28 5 2 3" xfId="57208"/>
    <cellStyle name="Output 2 2 28 5 3" xfId="34823"/>
    <cellStyle name="Output 2 2 28 5 4" xfId="57209"/>
    <cellStyle name="Output 2 2 28 6" xfId="20323"/>
    <cellStyle name="Output 2 2 28 6 2" xfId="28645"/>
    <cellStyle name="Output 2 2 28 6 2 2" xfId="57210"/>
    <cellStyle name="Output 2 2 28 6 2 3" xfId="57211"/>
    <cellStyle name="Output 2 2 28 6 3" xfId="35759"/>
    <cellStyle name="Output 2 2 28 6 4" xfId="57212"/>
    <cellStyle name="Output 2 2 28 7" xfId="21784"/>
    <cellStyle name="Output 2 2 28 7 2" xfId="30085"/>
    <cellStyle name="Output 2 2 28 7 2 2" xfId="57213"/>
    <cellStyle name="Output 2 2 28 7 2 3" xfId="57214"/>
    <cellStyle name="Output 2 2 28 7 3" xfId="37133"/>
    <cellStyle name="Output 2 2 28 7 4" xfId="57215"/>
    <cellStyle name="Output 2 2 28 8" xfId="22712"/>
    <cellStyle name="Output 2 2 28 8 2" xfId="31008"/>
    <cellStyle name="Output 2 2 28 8 3" xfId="38016"/>
    <cellStyle name="Output 2 2 28 9" xfId="23654"/>
    <cellStyle name="Output 2 2 29" xfId="15280"/>
    <cellStyle name="Output 2 2 29 10" xfId="57216"/>
    <cellStyle name="Output 2 2 29 2" xfId="16360"/>
    <cellStyle name="Output 2 2 29 2 2" xfId="24673"/>
    <cellStyle name="Output 2 2 29 2 2 2" xfId="57217"/>
    <cellStyle name="Output 2 2 29 2 2 3" xfId="57218"/>
    <cellStyle name="Output 2 2 29 2 3" xfId="31940"/>
    <cellStyle name="Output 2 2 29 2 4" xfId="57219"/>
    <cellStyle name="Output 2 2 29 3" xfId="17326"/>
    <cellStyle name="Output 2 2 29 3 2" xfId="25647"/>
    <cellStyle name="Output 2 2 29 3 2 2" xfId="57220"/>
    <cellStyle name="Output 2 2 29 3 2 3" xfId="57221"/>
    <cellStyle name="Output 2 2 29 3 3" xfId="32873"/>
    <cellStyle name="Output 2 2 29 3 4" xfId="57222"/>
    <cellStyle name="Output 2 2 29 4" xfId="18354"/>
    <cellStyle name="Output 2 2 29 4 2" xfId="26674"/>
    <cellStyle name="Output 2 2 29 4 2 2" xfId="57223"/>
    <cellStyle name="Output 2 2 29 4 2 3" xfId="57224"/>
    <cellStyle name="Output 2 2 29 4 3" xfId="33851"/>
    <cellStyle name="Output 2 2 29 4 4" xfId="57225"/>
    <cellStyle name="Output 2 2 29 5" xfId="19338"/>
    <cellStyle name="Output 2 2 29 5 2" xfId="27658"/>
    <cellStyle name="Output 2 2 29 5 2 2" xfId="57226"/>
    <cellStyle name="Output 2 2 29 5 2 3" xfId="57227"/>
    <cellStyle name="Output 2 2 29 5 3" xfId="34806"/>
    <cellStyle name="Output 2 2 29 5 4" xfId="57228"/>
    <cellStyle name="Output 2 2 29 6" xfId="20306"/>
    <cellStyle name="Output 2 2 29 6 2" xfId="28628"/>
    <cellStyle name="Output 2 2 29 6 2 2" xfId="57229"/>
    <cellStyle name="Output 2 2 29 6 2 3" xfId="57230"/>
    <cellStyle name="Output 2 2 29 6 3" xfId="35743"/>
    <cellStyle name="Output 2 2 29 6 4" xfId="57231"/>
    <cellStyle name="Output 2 2 29 7" xfId="21767"/>
    <cellStyle name="Output 2 2 29 7 2" xfId="30068"/>
    <cellStyle name="Output 2 2 29 7 2 2" xfId="57232"/>
    <cellStyle name="Output 2 2 29 7 2 3" xfId="57233"/>
    <cellStyle name="Output 2 2 29 7 3" xfId="37117"/>
    <cellStyle name="Output 2 2 29 7 4" xfId="57234"/>
    <cellStyle name="Output 2 2 29 8" xfId="22695"/>
    <cellStyle name="Output 2 2 29 8 2" xfId="30991"/>
    <cellStyle name="Output 2 2 29 8 3" xfId="38000"/>
    <cellStyle name="Output 2 2 29 9" xfId="23637"/>
    <cellStyle name="Output 2 2 3" xfId="116"/>
    <cellStyle name="Output 2 2 3 10" xfId="14435"/>
    <cellStyle name="Output 2 2 3 10 2" xfId="57235"/>
    <cellStyle name="Output 2 2 3 10 3" xfId="57236"/>
    <cellStyle name="Output 2 2 3 11" xfId="57237"/>
    <cellStyle name="Output 2 2 3 12" xfId="57238"/>
    <cellStyle name="Output 2 2 3 13" xfId="57239"/>
    <cellStyle name="Output 2 2 3 14" xfId="57240"/>
    <cellStyle name="Output 2 2 3 2" xfId="248"/>
    <cellStyle name="Output 2 2 3 2 2" xfId="659"/>
    <cellStyle name="Output 2 2 3 2 2 2" xfId="1610"/>
    <cellStyle name="Output 2 2 3 2 2 2 2" xfId="797"/>
    <cellStyle name="Output 2 2 3 2 2 2 2 2" xfId="2678"/>
    <cellStyle name="Output 2 2 3 2 2 2 2 2 2" xfId="6098"/>
    <cellStyle name="Output 2 2 3 2 2 2 2 2 2 2" xfId="12938"/>
    <cellStyle name="Output 2 2 3 2 2 2 2 2 3" xfId="9518"/>
    <cellStyle name="Output 2 2 3 2 2 2 2 3" xfId="3818"/>
    <cellStyle name="Output 2 2 3 2 2 2 2 3 2" xfId="7238"/>
    <cellStyle name="Output 2 2 3 2 2 2 2 3 2 2" xfId="14078"/>
    <cellStyle name="Output 2 2 3 2 2 2 2 3 3" xfId="10658"/>
    <cellStyle name="Output 2 2 3 2 2 2 2 4" xfId="4958"/>
    <cellStyle name="Output 2 2 3 2 2 2 2 4 2" xfId="11798"/>
    <cellStyle name="Output 2 2 3 2 2 2 2 5" xfId="8378"/>
    <cellStyle name="Output 2 2 3 2 2 2 3" xfId="2444"/>
    <cellStyle name="Output 2 2 3 2 2 2 3 2" xfId="5864"/>
    <cellStyle name="Output 2 2 3 2 2 2 3 2 2" xfId="12704"/>
    <cellStyle name="Output 2 2 3 2 2 2 3 3" xfId="9284"/>
    <cellStyle name="Output 2 2 3 2 2 2 4" xfId="3584"/>
    <cellStyle name="Output 2 2 3 2 2 2 4 2" xfId="7004"/>
    <cellStyle name="Output 2 2 3 2 2 2 4 2 2" xfId="13844"/>
    <cellStyle name="Output 2 2 3 2 2 2 4 3" xfId="10424"/>
    <cellStyle name="Output 2 2 3 2 2 2 5" xfId="4724"/>
    <cellStyle name="Output 2 2 3 2 2 2 5 2" xfId="11564"/>
    <cellStyle name="Output 2 2 3 2 2 2 6" xfId="8144"/>
    <cellStyle name="Output 2 2 3 2 2 3" xfId="38503"/>
    <cellStyle name="Output 2 2 3 2 2 4" xfId="57241"/>
    <cellStyle name="Output 2 2 3 2 2 5" xfId="57242"/>
    <cellStyle name="Output 2 2 3 2 2 6" xfId="57243"/>
    <cellStyle name="Output 2 2 3 2 2 7" xfId="57244"/>
    <cellStyle name="Output 2 2 3 2 3" xfId="1255"/>
    <cellStyle name="Output 2 2 3 2 3 2" xfId="1000"/>
    <cellStyle name="Output 2 2 3 2 3 2 2" xfId="2596"/>
    <cellStyle name="Output 2 2 3 2 3 2 2 2" xfId="6016"/>
    <cellStyle name="Output 2 2 3 2 3 2 2 2 2" xfId="12856"/>
    <cellStyle name="Output 2 2 3 2 3 2 2 3" xfId="9436"/>
    <cellStyle name="Output 2 2 3 2 3 2 3" xfId="3736"/>
    <cellStyle name="Output 2 2 3 2 3 2 3 2" xfId="7156"/>
    <cellStyle name="Output 2 2 3 2 3 2 3 2 2" xfId="13996"/>
    <cellStyle name="Output 2 2 3 2 3 2 3 3" xfId="10576"/>
    <cellStyle name="Output 2 2 3 2 3 2 4" xfId="4876"/>
    <cellStyle name="Output 2 2 3 2 3 2 4 2" xfId="11716"/>
    <cellStyle name="Output 2 2 3 2 3 2 5" xfId="8296"/>
    <cellStyle name="Output 2 2 3 2 3 3" xfId="2075"/>
    <cellStyle name="Output 2 2 3 2 3 3 2" xfId="5495"/>
    <cellStyle name="Output 2 2 3 2 3 3 2 2" xfId="12335"/>
    <cellStyle name="Output 2 2 3 2 3 3 3" xfId="8915"/>
    <cellStyle name="Output 2 2 3 2 3 4" xfId="3215"/>
    <cellStyle name="Output 2 2 3 2 3 4 2" xfId="6635"/>
    <cellStyle name="Output 2 2 3 2 3 4 2 2" xfId="13475"/>
    <cellStyle name="Output 2 2 3 2 3 4 3" xfId="10055"/>
    <cellStyle name="Output 2 2 3 2 3 5" xfId="4355"/>
    <cellStyle name="Output 2 2 3 2 3 5 2" xfId="11195"/>
    <cellStyle name="Output 2 2 3 2 3 6" xfId="7775"/>
    <cellStyle name="Output 2 2 3 2 4" xfId="15593"/>
    <cellStyle name="Output 2 2 3 2 5" xfId="23907"/>
    <cellStyle name="Output 2 2 3 2 6" xfId="38269"/>
    <cellStyle name="Output 2 2 3 2 7" xfId="57245"/>
    <cellStyle name="Output 2 2 3 3" xfId="571"/>
    <cellStyle name="Output 2 2 3 3 2" xfId="1558"/>
    <cellStyle name="Output 2 2 3 3 2 2" xfId="831"/>
    <cellStyle name="Output 2 2 3 3 2 2 2" xfId="1912"/>
    <cellStyle name="Output 2 2 3 3 2 2 2 2" xfId="5332"/>
    <cellStyle name="Output 2 2 3 3 2 2 2 2 2" xfId="12172"/>
    <cellStyle name="Output 2 2 3 3 2 2 2 3" xfId="8752"/>
    <cellStyle name="Output 2 2 3 3 2 2 3" xfId="3052"/>
    <cellStyle name="Output 2 2 3 3 2 2 3 2" xfId="6472"/>
    <cellStyle name="Output 2 2 3 3 2 2 3 2 2" xfId="13312"/>
    <cellStyle name="Output 2 2 3 3 2 2 3 3" xfId="9892"/>
    <cellStyle name="Output 2 2 3 3 2 2 4" xfId="4192"/>
    <cellStyle name="Output 2 2 3 3 2 2 4 2" xfId="11032"/>
    <cellStyle name="Output 2 2 3 3 2 2 5" xfId="7612"/>
    <cellStyle name="Output 2 2 3 3 2 3" xfId="2383"/>
    <cellStyle name="Output 2 2 3 3 2 3 2" xfId="5803"/>
    <cellStyle name="Output 2 2 3 3 2 3 2 2" xfId="12643"/>
    <cellStyle name="Output 2 2 3 3 2 3 3" xfId="9223"/>
    <cellStyle name="Output 2 2 3 3 2 4" xfId="3523"/>
    <cellStyle name="Output 2 2 3 3 2 4 2" xfId="6943"/>
    <cellStyle name="Output 2 2 3 3 2 4 2 2" xfId="13783"/>
    <cellStyle name="Output 2 2 3 3 2 4 3" xfId="10363"/>
    <cellStyle name="Output 2 2 3 3 2 5" xfId="4663"/>
    <cellStyle name="Output 2 2 3 3 2 5 2" xfId="11503"/>
    <cellStyle name="Output 2 2 3 3 2 6" xfId="8083"/>
    <cellStyle name="Output 2 2 3 3 3" xfId="16563"/>
    <cellStyle name="Output 2 2 3 3 4" xfId="24878"/>
    <cellStyle name="Output 2 2 3 3 5" xfId="32138"/>
    <cellStyle name="Output 2 2 3 3 6" xfId="57246"/>
    <cellStyle name="Output 2 2 3 3 7" xfId="57247"/>
    <cellStyle name="Output 2 2 3 3 8" xfId="57248"/>
    <cellStyle name="Output 2 2 3 4" xfId="1132"/>
    <cellStyle name="Output 2 2 3 4 2" xfId="1060"/>
    <cellStyle name="Output 2 2 3 4 2 2" xfId="2583"/>
    <cellStyle name="Output 2 2 3 4 2 2 2" xfId="6003"/>
    <cellStyle name="Output 2 2 3 4 2 2 2 2" xfId="12843"/>
    <cellStyle name="Output 2 2 3 4 2 2 3" xfId="9423"/>
    <cellStyle name="Output 2 2 3 4 2 3" xfId="3723"/>
    <cellStyle name="Output 2 2 3 4 2 3 2" xfId="7143"/>
    <cellStyle name="Output 2 2 3 4 2 3 2 2" xfId="13983"/>
    <cellStyle name="Output 2 2 3 4 2 3 3" xfId="10563"/>
    <cellStyle name="Output 2 2 3 4 2 4" xfId="4863"/>
    <cellStyle name="Output 2 2 3 4 2 4 2" xfId="11703"/>
    <cellStyle name="Output 2 2 3 4 2 5" xfId="8283"/>
    <cellStyle name="Output 2 2 3 4 3" xfId="1946"/>
    <cellStyle name="Output 2 2 3 4 3 2" xfId="5366"/>
    <cellStyle name="Output 2 2 3 4 3 2 2" xfId="12206"/>
    <cellStyle name="Output 2 2 3 4 3 3" xfId="8786"/>
    <cellStyle name="Output 2 2 3 4 4" xfId="3086"/>
    <cellStyle name="Output 2 2 3 4 4 2" xfId="6506"/>
    <cellStyle name="Output 2 2 3 4 4 2 2" xfId="13346"/>
    <cellStyle name="Output 2 2 3 4 4 3" xfId="9926"/>
    <cellStyle name="Output 2 2 3 4 5" xfId="4226"/>
    <cellStyle name="Output 2 2 3 4 5 2" xfId="11066"/>
    <cellStyle name="Output 2 2 3 4 6" xfId="7646"/>
    <cellStyle name="Output 2 2 3 4 7" xfId="17581"/>
    <cellStyle name="Output 2 2 3 4 8" xfId="25902"/>
    <cellStyle name="Output 2 2 3 4 9" xfId="33115"/>
    <cellStyle name="Output 2 2 3 5" xfId="18562"/>
    <cellStyle name="Output 2 2 3 5 2" xfId="26880"/>
    <cellStyle name="Output 2 2 3 5 2 2" xfId="57249"/>
    <cellStyle name="Output 2 2 3 5 2 3" xfId="57250"/>
    <cellStyle name="Output 2 2 3 5 3" xfId="34049"/>
    <cellStyle name="Output 2 2 3 5 4" xfId="57251"/>
    <cellStyle name="Output 2 2 3 6" xfId="17535"/>
    <cellStyle name="Output 2 2 3 6 2" xfId="25855"/>
    <cellStyle name="Output 2 2 3 6 2 2" xfId="57252"/>
    <cellStyle name="Output 2 2 3 6 2 3" xfId="57253"/>
    <cellStyle name="Output 2 2 3 6 3" xfId="33072"/>
    <cellStyle name="Output 2 2 3 6 4" xfId="57254"/>
    <cellStyle name="Output 2 2 3 7" xfId="19212"/>
    <cellStyle name="Output 2 2 3 7 2" xfId="27532"/>
    <cellStyle name="Output 2 2 3 7 2 2" xfId="57255"/>
    <cellStyle name="Output 2 2 3 7 2 3" xfId="57256"/>
    <cellStyle name="Output 2 2 3 7 3" xfId="34680"/>
    <cellStyle name="Output 2 2 3 7 4" xfId="57257"/>
    <cellStyle name="Output 2 2 3 8" xfId="15523"/>
    <cellStyle name="Output 2 2 3 8 2" xfId="23859"/>
    <cellStyle name="Output 2 2 3 8 2 2" xfId="57258"/>
    <cellStyle name="Output 2 2 3 8 2 3" xfId="57259"/>
    <cellStyle name="Output 2 2 3 8 3" xfId="31206"/>
    <cellStyle name="Output 2 2 3 8 4" xfId="57260"/>
    <cellStyle name="Output 2 2 3 9" xfId="21323"/>
    <cellStyle name="Output 2 2 3 9 2" xfId="29628"/>
    <cellStyle name="Output 2 2 3 9 2 2" xfId="57261"/>
    <cellStyle name="Output 2 2 3 9 2 3" xfId="57262"/>
    <cellStyle name="Output 2 2 3 9 3" xfId="36695"/>
    <cellStyle name="Output 2 2 3 9 4" xfId="57263"/>
    <cellStyle name="Output 2 2 30" xfId="15312"/>
    <cellStyle name="Output 2 2 30 10" xfId="57264"/>
    <cellStyle name="Output 2 2 30 2" xfId="16392"/>
    <cellStyle name="Output 2 2 30 2 2" xfId="24705"/>
    <cellStyle name="Output 2 2 30 2 2 2" xfId="57265"/>
    <cellStyle name="Output 2 2 30 2 2 3" xfId="57266"/>
    <cellStyle name="Output 2 2 30 2 3" xfId="31970"/>
    <cellStyle name="Output 2 2 30 2 4" xfId="57267"/>
    <cellStyle name="Output 2 2 30 3" xfId="17358"/>
    <cellStyle name="Output 2 2 30 3 2" xfId="25679"/>
    <cellStyle name="Output 2 2 30 3 2 2" xfId="57268"/>
    <cellStyle name="Output 2 2 30 3 2 3" xfId="57269"/>
    <cellStyle name="Output 2 2 30 3 3" xfId="32903"/>
    <cellStyle name="Output 2 2 30 3 4" xfId="57270"/>
    <cellStyle name="Output 2 2 30 4" xfId="18386"/>
    <cellStyle name="Output 2 2 30 4 2" xfId="26706"/>
    <cellStyle name="Output 2 2 30 4 2 2" xfId="57271"/>
    <cellStyle name="Output 2 2 30 4 2 3" xfId="57272"/>
    <cellStyle name="Output 2 2 30 4 3" xfId="33881"/>
    <cellStyle name="Output 2 2 30 4 4" xfId="57273"/>
    <cellStyle name="Output 2 2 30 5" xfId="19369"/>
    <cellStyle name="Output 2 2 30 5 2" xfId="27690"/>
    <cellStyle name="Output 2 2 30 5 2 2" xfId="57274"/>
    <cellStyle name="Output 2 2 30 5 2 3" xfId="57275"/>
    <cellStyle name="Output 2 2 30 5 3" xfId="34838"/>
    <cellStyle name="Output 2 2 30 5 4" xfId="57276"/>
    <cellStyle name="Output 2 2 30 6" xfId="20338"/>
    <cellStyle name="Output 2 2 30 6 2" xfId="28660"/>
    <cellStyle name="Output 2 2 30 6 2 2" xfId="57277"/>
    <cellStyle name="Output 2 2 30 6 2 3" xfId="57278"/>
    <cellStyle name="Output 2 2 30 6 3" xfId="35773"/>
    <cellStyle name="Output 2 2 30 6 4" xfId="57279"/>
    <cellStyle name="Output 2 2 30 7" xfId="21799"/>
    <cellStyle name="Output 2 2 30 7 2" xfId="30100"/>
    <cellStyle name="Output 2 2 30 7 2 2" xfId="57280"/>
    <cellStyle name="Output 2 2 30 7 2 3" xfId="57281"/>
    <cellStyle name="Output 2 2 30 7 3" xfId="37147"/>
    <cellStyle name="Output 2 2 30 7 4" xfId="57282"/>
    <cellStyle name="Output 2 2 30 8" xfId="22727"/>
    <cellStyle name="Output 2 2 30 8 2" xfId="31023"/>
    <cellStyle name="Output 2 2 30 8 3" xfId="38030"/>
    <cellStyle name="Output 2 2 30 9" xfId="23669"/>
    <cellStyle name="Output 2 2 31" xfId="15332"/>
    <cellStyle name="Output 2 2 31 10" xfId="57283"/>
    <cellStyle name="Output 2 2 31 2" xfId="16412"/>
    <cellStyle name="Output 2 2 31 2 2" xfId="24725"/>
    <cellStyle name="Output 2 2 31 2 2 2" xfId="57284"/>
    <cellStyle name="Output 2 2 31 2 2 3" xfId="57285"/>
    <cellStyle name="Output 2 2 31 2 3" xfId="31990"/>
    <cellStyle name="Output 2 2 31 2 4" xfId="57286"/>
    <cellStyle name="Output 2 2 31 3" xfId="17378"/>
    <cellStyle name="Output 2 2 31 3 2" xfId="25699"/>
    <cellStyle name="Output 2 2 31 3 2 2" xfId="57287"/>
    <cellStyle name="Output 2 2 31 3 2 3" xfId="57288"/>
    <cellStyle name="Output 2 2 31 3 3" xfId="32923"/>
    <cellStyle name="Output 2 2 31 3 4" xfId="57289"/>
    <cellStyle name="Output 2 2 31 4" xfId="18406"/>
    <cellStyle name="Output 2 2 31 4 2" xfId="26726"/>
    <cellStyle name="Output 2 2 31 4 2 2" xfId="57290"/>
    <cellStyle name="Output 2 2 31 4 2 3" xfId="57291"/>
    <cellStyle name="Output 2 2 31 4 3" xfId="33901"/>
    <cellStyle name="Output 2 2 31 4 4" xfId="57292"/>
    <cellStyle name="Output 2 2 31 5" xfId="19389"/>
    <cellStyle name="Output 2 2 31 5 2" xfId="27710"/>
    <cellStyle name="Output 2 2 31 5 2 2" xfId="57293"/>
    <cellStyle name="Output 2 2 31 5 2 3" xfId="57294"/>
    <cellStyle name="Output 2 2 31 5 3" xfId="34858"/>
    <cellStyle name="Output 2 2 31 5 4" xfId="57295"/>
    <cellStyle name="Output 2 2 31 6" xfId="20358"/>
    <cellStyle name="Output 2 2 31 6 2" xfId="28680"/>
    <cellStyle name="Output 2 2 31 6 2 2" xfId="57296"/>
    <cellStyle name="Output 2 2 31 6 2 3" xfId="57297"/>
    <cellStyle name="Output 2 2 31 6 3" xfId="35793"/>
    <cellStyle name="Output 2 2 31 6 4" xfId="57298"/>
    <cellStyle name="Output 2 2 31 7" xfId="21819"/>
    <cellStyle name="Output 2 2 31 7 2" xfId="30120"/>
    <cellStyle name="Output 2 2 31 7 2 2" xfId="57299"/>
    <cellStyle name="Output 2 2 31 7 2 3" xfId="57300"/>
    <cellStyle name="Output 2 2 31 7 3" xfId="37167"/>
    <cellStyle name="Output 2 2 31 7 4" xfId="57301"/>
    <cellStyle name="Output 2 2 31 8" xfId="22747"/>
    <cellStyle name="Output 2 2 31 8 2" xfId="31043"/>
    <cellStyle name="Output 2 2 31 8 3" xfId="38050"/>
    <cellStyle name="Output 2 2 31 9" xfId="23689"/>
    <cellStyle name="Output 2 2 32" xfId="15385"/>
    <cellStyle name="Output 2 2 32 10" xfId="57302"/>
    <cellStyle name="Output 2 2 32 2" xfId="16465"/>
    <cellStyle name="Output 2 2 32 2 2" xfId="24778"/>
    <cellStyle name="Output 2 2 32 2 2 2" xfId="57303"/>
    <cellStyle name="Output 2 2 32 2 2 3" xfId="57304"/>
    <cellStyle name="Output 2 2 32 2 3" xfId="32042"/>
    <cellStyle name="Output 2 2 32 2 4" xfId="57305"/>
    <cellStyle name="Output 2 2 32 3" xfId="17431"/>
    <cellStyle name="Output 2 2 32 3 2" xfId="25752"/>
    <cellStyle name="Output 2 2 32 3 2 2" xfId="57306"/>
    <cellStyle name="Output 2 2 32 3 2 3" xfId="57307"/>
    <cellStyle name="Output 2 2 32 3 3" xfId="32975"/>
    <cellStyle name="Output 2 2 32 3 4" xfId="57308"/>
    <cellStyle name="Output 2 2 32 4" xfId="18459"/>
    <cellStyle name="Output 2 2 32 4 2" xfId="26779"/>
    <cellStyle name="Output 2 2 32 4 2 2" xfId="57309"/>
    <cellStyle name="Output 2 2 32 4 2 3" xfId="57310"/>
    <cellStyle name="Output 2 2 32 4 3" xfId="33953"/>
    <cellStyle name="Output 2 2 32 4 4" xfId="57311"/>
    <cellStyle name="Output 2 2 32 5" xfId="19442"/>
    <cellStyle name="Output 2 2 32 5 2" xfId="27763"/>
    <cellStyle name="Output 2 2 32 5 2 2" xfId="57312"/>
    <cellStyle name="Output 2 2 32 5 2 3" xfId="57313"/>
    <cellStyle name="Output 2 2 32 5 3" xfId="34911"/>
    <cellStyle name="Output 2 2 32 5 4" xfId="57314"/>
    <cellStyle name="Output 2 2 32 6" xfId="20411"/>
    <cellStyle name="Output 2 2 32 6 2" xfId="28733"/>
    <cellStyle name="Output 2 2 32 6 2 2" xfId="57315"/>
    <cellStyle name="Output 2 2 32 6 2 3" xfId="57316"/>
    <cellStyle name="Output 2 2 32 6 3" xfId="35845"/>
    <cellStyle name="Output 2 2 32 6 4" xfId="57317"/>
    <cellStyle name="Output 2 2 32 7" xfId="21872"/>
    <cellStyle name="Output 2 2 32 7 2" xfId="30173"/>
    <cellStyle name="Output 2 2 32 7 2 2" xfId="57318"/>
    <cellStyle name="Output 2 2 32 7 2 3" xfId="57319"/>
    <cellStyle name="Output 2 2 32 7 3" xfId="37218"/>
    <cellStyle name="Output 2 2 32 7 4" xfId="57320"/>
    <cellStyle name="Output 2 2 32 8" xfId="22800"/>
    <cellStyle name="Output 2 2 32 8 2" xfId="31096"/>
    <cellStyle name="Output 2 2 32 8 3" xfId="38102"/>
    <cellStyle name="Output 2 2 32 9" xfId="23742"/>
    <cellStyle name="Output 2 2 33" xfId="15401"/>
    <cellStyle name="Output 2 2 33 10" xfId="57321"/>
    <cellStyle name="Output 2 2 33 2" xfId="16481"/>
    <cellStyle name="Output 2 2 33 2 2" xfId="24794"/>
    <cellStyle name="Output 2 2 33 2 2 2" xfId="57322"/>
    <cellStyle name="Output 2 2 33 2 2 3" xfId="57323"/>
    <cellStyle name="Output 2 2 33 2 3" xfId="32056"/>
    <cellStyle name="Output 2 2 33 2 4" xfId="57324"/>
    <cellStyle name="Output 2 2 33 3" xfId="17447"/>
    <cellStyle name="Output 2 2 33 3 2" xfId="25768"/>
    <cellStyle name="Output 2 2 33 3 2 2" xfId="57325"/>
    <cellStyle name="Output 2 2 33 3 2 3" xfId="57326"/>
    <cellStyle name="Output 2 2 33 3 3" xfId="32989"/>
    <cellStyle name="Output 2 2 33 3 4" xfId="57327"/>
    <cellStyle name="Output 2 2 33 4" xfId="18475"/>
    <cellStyle name="Output 2 2 33 4 2" xfId="26795"/>
    <cellStyle name="Output 2 2 33 4 2 2" xfId="57328"/>
    <cellStyle name="Output 2 2 33 4 2 3" xfId="57329"/>
    <cellStyle name="Output 2 2 33 4 3" xfId="33967"/>
    <cellStyle name="Output 2 2 33 4 4" xfId="57330"/>
    <cellStyle name="Output 2 2 33 5" xfId="19458"/>
    <cellStyle name="Output 2 2 33 5 2" xfId="27779"/>
    <cellStyle name="Output 2 2 33 5 2 2" xfId="57331"/>
    <cellStyle name="Output 2 2 33 5 2 3" xfId="57332"/>
    <cellStyle name="Output 2 2 33 5 3" xfId="34927"/>
    <cellStyle name="Output 2 2 33 5 4" xfId="57333"/>
    <cellStyle name="Output 2 2 33 6" xfId="20427"/>
    <cellStyle name="Output 2 2 33 6 2" xfId="28749"/>
    <cellStyle name="Output 2 2 33 6 2 2" xfId="57334"/>
    <cellStyle name="Output 2 2 33 6 2 3" xfId="57335"/>
    <cellStyle name="Output 2 2 33 6 3" xfId="35859"/>
    <cellStyle name="Output 2 2 33 6 4" xfId="57336"/>
    <cellStyle name="Output 2 2 33 7" xfId="21888"/>
    <cellStyle name="Output 2 2 33 7 2" xfId="30189"/>
    <cellStyle name="Output 2 2 33 7 2 2" xfId="57337"/>
    <cellStyle name="Output 2 2 33 7 2 3" xfId="57338"/>
    <cellStyle name="Output 2 2 33 7 3" xfId="37232"/>
    <cellStyle name="Output 2 2 33 7 4" xfId="57339"/>
    <cellStyle name="Output 2 2 33 8" xfId="22816"/>
    <cellStyle name="Output 2 2 33 8 2" xfId="31112"/>
    <cellStyle name="Output 2 2 33 8 3" xfId="38116"/>
    <cellStyle name="Output 2 2 33 9" xfId="23758"/>
    <cellStyle name="Output 2 2 34" xfId="15417"/>
    <cellStyle name="Output 2 2 34 10" xfId="57340"/>
    <cellStyle name="Output 2 2 34 2" xfId="16497"/>
    <cellStyle name="Output 2 2 34 2 2" xfId="24810"/>
    <cellStyle name="Output 2 2 34 2 2 2" xfId="57341"/>
    <cellStyle name="Output 2 2 34 2 2 3" xfId="57342"/>
    <cellStyle name="Output 2 2 34 2 3" xfId="32071"/>
    <cellStyle name="Output 2 2 34 2 4" xfId="57343"/>
    <cellStyle name="Output 2 2 34 3" xfId="17463"/>
    <cellStyle name="Output 2 2 34 3 2" xfId="25784"/>
    <cellStyle name="Output 2 2 34 3 2 2" xfId="57344"/>
    <cellStyle name="Output 2 2 34 3 2 3" xfId="57345"/>
    <cellStyle name="Output 2 2 34 3 3" xfId="33004"/>
    <cellStyle name="Output 2 2 34 3 4" xfId="57346"/>
    <cellStyle name="Output 2 2 34 4" xfId="18491"/>
    <cellStyle name="Output 2 2 34 4 2" xfId="26811"/>
    <cellStyle name="Output 2 2 34 4 2 2" xfId="57347"/>
    <cellStyle name="Output 2 2 34 4 2 3" xfId="57348"/>
    <cellStyle name="Output 2 2 34 4 3" xfId="33982"/>
    <cellStyle name="Output 2 2 34 4 4" xfId="57349"/>
    <cellStyle name="Output 2 2 34 5" xfId="19474"/>
    <cellStyle name="Output 2 2 34 5 2" xfId="27795"/>
    <cellStyle name="Output 2 2 34 5 2 2" xfId="57350"/>
    <cellStyle name="Output 2 2 34 5 2 3" xfId="57351"/>
    <cellStyle name="Output 2 2 34 5 3" xfId="34943"/>
    <cellStyle name="Output 2 2 34 5 4" xfId="57352"/>
    <cellStyle name="Output 2 2 34 6" xfId="20443"/>
    <cellStyle name="Output 2 2 34 6 2" xfId="28765"/>
    <cellStyle name="Output 2 2 34 6 2 2" xfId="57353"/>
    <cellStyle name="Output 2 2 34 6 2 3" xfId="57354"/>
    <cellStyle name="Output 2 2 34 6 3" xfId="35874"/>
    <cellStyle name="Output 2 2 34 6 4" xfId="57355"/>
    <cellStyle name="Output 2 2 34 7" xfId="21904"/>
    <cellStyle name="Output 2 2 34 7 2" xfId="30205"/>
    <cellStyle name="Output 2 2 34 7 2 2" xfId="57356"/>
    <cellStyle name="Output 2 2 34 7 2 3" xfId="57357"/>
    <cellStyle name="Output 2 2 34 7 3" xfId="37247"/>
    <cellStyle name="Output 2 2 34 7 4" xfId="57358"/>
    <cellStyle name="Output 2 2 34 8" xfId="22832"/>
    <cellStyle name="Output 2 2 34 8 2" xfId="31128"/>
    <cellStyle name="Output 2 2 34 8 3" xfId="38131"/>
    <cellStyle name="Output 2 2 34 9" xfId="23774"/>
    <cellStyle name="Output 2 2 35" xfId="15431"/>
    <cellStyle name="Output 2 2 35 10" xfId="57359"/>
    <cellStyle name="Output 2 2 35 2" xfId="16511"/>
    <cellStyle name="Output 2 2 35 2 2" xfId="24824"/>
    <cellStyle name="Output 2 2 35 2 2 2" xfId="57360"/>
    <cellStyle name="Output 2 2 35 2 2 3" xfId="57361"/>
    <cellStyle name="Output 2 2 35 2 3" xfId="32085"/>
    <cellStyle name="Output 2 2 35 2 4" xfId="57362"/>
    <cellStyle name="Output 2 2 35 3" xfId="17477"/>
    <cellStyle name="Output 2 2 35 3 2" xfId="25798"/>
    <cellStyle name="Output 2 2 35 3 2 2" xfId="57363"/>
    <cellStyle name="Output 2 2 35 3 2 3" xfId="57364"/>
    <cellStyle name="Output 2 2 35 3 3" xfId="33018"/>
    <cellStyle name="Output 2 2 35 3 4" xfId="57365"/>
    <cellStyle name="Output 2 2 35 4" xfId="18505"/>
    <cellStyle name="Output 2 2 35 4 2" xfId="26825"/>
    <cellStyle name="Output 2 2 35 4 2 2" xfId="57366"/>
    <cellStyle name="Output 2 2 35 4 2 3" xfId="57367"/>
    <cellStyle name="Output 2 2 35 4 3" xfId="33996"/>
    <cellStyle name="Output 2 2 35 4 4" xfId="57368"/>
    <cellStyle name="Output 2 2 35 5" xfId="19488"/>
    <cellStyle name="Output 2 2 35 5 2" xfId="27809"/>
    <cellStyle name="Output 2 2 35 5 2 2" xfId="57369"/>
    <cellStyle name="Output 2 2 35 5 2 3" xfId="57370"/>
    <cellStyle name="Output 2 2 35 5 3" xfId="34957"/>
    <cellStyle name="Output 2 2 35 5 4" xfId="57371"/>
    <cellStyle name="Output 2 2 35 6" xfId="20457"/>
    <cellStyle name="Output 2 2 35 6 2" xfId="28779"/>
    <cellStyle name="Output 2 2 35 6 2 2" xfId="57372"/>
    <cellStyle name="Output 2 2 35 6 2 3" xfId="57373"/>
    <cellStyle name="Output 2 2 35 6 3" xfId="35888"/>
    <cellStyle name="Output 2 2 35 6 4" xfId="57374"/>
    <cellStyle name="Output 2 2 35 7" xfId="21918"/>
    <cellStyle name="Output 2 2 35 7 2" xfId="30219"/>
    <cellStyle name="Output 2 2 35 7 2 2" xfId="57375"/>
    <cellStyle name="Output 2 2 35 7 2 3" xfId="57376"/>
    <cellStyle name="Output 2 2 35 7 3" xfId="37261"/>
    <cellStyle name="Output 2 2 35 7 4" xfId="57377"/>
    <cellStyle name="Output 2 2 35 8" xfId="22846"/>
    <cellStyle name="Output 2 2 35 8 2" xfId="31142"/>
    <cellStyle name="Output 2 2 35 8 3" xfId="38145"/>
    <cellStyle name="Output 2 2 35 9" xfId="23788"/>
    <cellStyle name="Output 2 2 36" xfId="15445"/>
    <cellStyle name="Output 2 2 36 10" xfId="57378"/>
    <cellStyle name="Output 2 2 36 2" xfId="16525"/>
    <cellStyle name="Output 2 2 36 2 2" xfId="24838"/>
    <cellStyle name="Output 2 2 36 2 2 2" xfId="57379"/>
    <cellStyle name="Output 2 2 36 2 2 3" xfId="57380"/>
    <cellStyle name="Output 2 2 36 2 3" xfId="32099"/>
    <cellStyle name="Output 2 2 36 2 4" xfId="57381"/>
    <cellStyle name="Output 2 2 36 3" xfId="17491"/>
    <cellStyle name="Output 2 2 36 3 2" xfId="25812"/>
    <cellStyle name="Output 2 2 36 3 2 2" xfId="57382"/>
    <cellStyle name="Output 2 2 36 3 2 3" xfId="57383"/>
    <cellStyle name="Output 2 2 36 3 3" xfId="33032"/>
    <cellStyle name="Output 2 2 36 3 4" xfId="57384"/>
    <cellStyle name="Output 2 2 36 4" xfId="18519"/>
    <cellStyle name="Output 2 2 36 4 2" xfId="26839"/>
    <cellStyle name="Output 2 2 36 4 2 2" xfId="57385"/>
    <cellStyle name="Output 2 2 36 4 2 3" xfId="57386"/>
    <cellStyle name="Output 2 2 36 4 3" xfId="34010"/>
    <cellStyle name="Output 2 2 36 4 4" xfId="57387"/>
    <cellStyle name="Output 2 2 36 5" xfId="19502"/>
    <cellStyle name="Output 2 2 36 5 2" xfId="27823"/>
    <cellStyle name="Output 2 2 36 5 2 2" xfId="57388"/>
    <cellStyle name="Output 2 2 36 5 2 3" xfId="57389"/>
    <cellStyle name="Output 2 2 36 5 3" xfId="34971"/>
    <cellStyle name="Output 2 2 36 5 4" xfId="57390"/>
    <cellStyle name="Output 2 2 36 6" xfId="20471"/>
    <cellStyle name="Output 2 2 36 6 2" xfId="28793"/>
    <cellStyle name="Output 2 2 36 6 2 2" xfId="57391"/>
    <cellStyle name="Output 2 2 36 6 2 3" xfId="57392"/>
    <cellStyle name="Output 2 2 36 6 3" xfId="35902"/>
    <cellStyle name="Output 2 2 36 6 4" xfId="57393"/>
    <cellStyle name="Output 2 2 36 7" xfId="21932"/>
    <cellStyle name="Output 2 2 36 7 2" xfId="30233"/>
    <cellStyle name="Output 2 2 36 7 2 2" xfId="57394"/>
    <cellStyle name="Output 2 2 36 7 2 3" xfId="57395"/>
    <cellStyle name="Output 2 2 36 7 3" xfId="37275"/>
    <cellStyle name="Output 2 2 36 7 4" xfId="57396"/>
    <cellStyle name="Output 2 2 36 8" xfId="22860"/>
    <cellStyle name="Output 2 2 36 8 2" xfId="31156"/>
    <cellStyle name="Output 2 2 36 8 3" xfId="38159"/>
    <cellStyle name="Output 2 2 36 9" xfId="23802"/>
    <cellStyle name="Output 2 2 37" xfId="15477"/>
    <cellStyle name="Output 2 2 37 10" xfId="57397"/>
    <cellStyle name="Output 2 2 37 2" xfId="16551"/>
    <cellStyle name="Output 2 2 37 2 2" xfId="24864"/>
    <cellStyle name="Output 2 2 37 2 2 2" xfId="57398"/>
    <cellStyle name="Output 2 2 37 2 2 3" xfId="57399"/>
    <cellStyle name="Output 2 2 37 2 3" xfId="32124"/>
    <cellStyle name="Output 2 2 37 2 4" xfId="57400"/>
    <cellStyle name="Output 2 2 37 3" xfId="17523"/>
    <cellStyle name="Output 2 2 37 3 2" xfId="25843"/>
    <cellStyle name="Output 2 2 37 3 2 2" xfId="57401"/>
    <cellStyle name="Output 2 2 37 3 2 3" xfId="57402"/>
    <cellStyle name="Output 2 2 37 3 3" xfId="33061"/>
    <cellStyle name="Output 2 2 37 3 4" xfId="57403"/>
    <cellStyle name="Output 2 2 37 4" xfId="18550"/>
    <cellStyle name="Output 2 2 37 4 2" xfId="26867"/>
    <cellStyle name="Output 2 2 37 4 2 2" xfId="57404"/>
    <cellStyle name="Output 2 2 37 4 2 3" xfId="57405"/>
    <cellStyle name="Output 2 2 37 4 3" xfId="34037"/>
    <cellStyle name="Output 2 2 37 4 4" xfId="57406"/>
    <cellStyle name="Output 2 2 37 5" xfId="19534"/>
    <cellStyle name="Output 2 2 37 5 2" xfId="27855"/>
    <cellStyle name="Output 2 2 37 5 2 2" xfId="57407"/>
    <cellStyle name="Output 2 2 37 5 2 3" xfId="57408"/>
    <cellStyle name="Output 2 2 37 5 3" xfId="35003"/>
    <cellStyle name="Output 2 2 37 5 4" xfId="57409"/>
    <cellStyle name="Output 2 2 37 6" xfId="20498"/>
    <cellStyle name="Output 2 2 37 6 2" xfId="28820"/>
    <cellStyle name="Output 2 2 37 6 2 2" xfId="57410"/>
    <cellStyle name="Output 2 2 37 6 2 3" xfId="57411"/>
    <cellStyle name="Output 2 2 37 6 3" xfId="35927"/>
    <cellStyle name="Output 2 2 37 6 4" xfId="57412"/>
    <cellStyle name="Output 2 2 37 7" xfId="21958"/>
    <cellStyle name="Output 2 2 37 7 2" xfId="30259"/>
    <cellStyle name="Output 2 2 37 7 2 2" xfId="57413"/>
    <cellStyle name="Output 2 2 37 7 2 3" xfId="57414"/>
    <cellStyle name="Output 2 2 37 7 3" xfId="37299"/>
    <cellStyle name="Output 2 2 37 7 4" xfId="57415"/>
    <cellStyle name="Output 2 2 37 8" xfId="22882"/>
    <cellStyle name="Output 2 2 37 8 2" xfId="31178"/>
    <cellStyle name="Output 2 2 37 8 3" xfId="38180"/>
    <cellStyle name="Output 2 2 37 9" xfId="23827"/>
    <cellStyle name="Output 2 2 38" xfId="15512"/>
    <cellStyle name="Output 2 2 38 2" xfId="23852"/>
    <cellStyle name="Output 2 2 38 2 2" xfId="57416"/>
    <cellStyle name="Output 2 2 38 2 3" xfId="57417"/>
    <cellStyle name="Output 2 2 38 3" xfId="31199"/>
    <cellStyle name="Output 2 2 38 4" xfId="57418"/>
    <cellStyle name="Output 2 2 39" xfId="17553"/>
    <cellStyle name="Output 2 2 39 2" xfId="25872"/>
    <cellStyle name="Output 2 2 39 2 2" xfId="57419"/>
    <cellStyle name="Output 2 2 39 2 3" xfId="57420"/>
    <cellStyle name="Output 2 2 39 3" xfId="33089"/>
    <cellStyle name="Output 2 2 39 4" xfId="57421"/>
    <cellStyle name="Output 2 2 4" xfId="139"/>
    <cellStyle name="Output 2 2 4 10" xfId="57422"/>
    <cellStyle name="Output 2 2 4 11" xfId="57423"/>
    <cellStyle name="Output 2 2 4 12" xfId="57424"/>
    <cellStyle name="Output 2 2 4 2" xfId="265"/>
    <cellStyle name="Output 2 2 4 2 2" xfId="675"/>
    <cellStyle name="Output 2 2 4 2 2 2" xfId="1626"/>
    <cellStyle name="Output 2 2 4 2 2 2 2" xfId="781"/>
    <cellStyle name="Output 2 2 4 2 2 2 2 2" xfId="1886"/>
    <cellStyle name="Output 2 2 4 2 2 2 2 2 2" xfId="5306"/>
    <cellStyle name="Output 2 2 4 2 2 2 2 2 2 2" xfId="12146"/>
    <cellStyle name="Output 2 2 4 2 2 2 2 2 3" xfId="8726"/>
    <cellStyle name="Output 2 2 4 2 2 2 2 3" xfId="3026"/>
    <cellStyle name="Output 2 2 4 2 2 2 2 3 2" xfId="6446"/>
    <cellStyle name="Output 2 2 4 2 2 2 2 3 2 2" xfId="13286"/>
    <cellStyle name="Output 2 2 4 2 2 2 2 3 3" xfId="9866"/>
    <cellStyle name="Output 2 2 4 2 2 2 2 4" xfId="4166"/>
    <cellStyle name="Output 2 2 4 2 2 2 2 4 2" xfId="11006"/>
    <cellStyle name="Output 2 2 4 2 2 2 2 5" xfId="7586"/>
    <cellStyle name="Output 2 2 4 2 2 2 3" xfId="2460"/>
    <cellStyle name="Output 2 2 4 2 2 2 3 2" xfId="5880"/>
    <cellStyle name="Output 2 2 4 2 2 2 3 2 2" xfId="12720"/>
    <cellStyle name="Output 2 2 4 2 2 2 3 3" xfId="9300"/>
    <cellStyle name="Output 2 2 4 2 2 2 4" xfId="3600"/>
    <cellStyle name="Output 2 2 4 2 2 2 4 2" xfId="7020"/>
    <cellStyle name="Output 2 2 4 2 2 2 4 2 2" xfId="13860"/>
    <cellStyle name="Output 2 2 4 2 2 2 4 3" xfId="10440"/>
    <cellStyle name="Output 2 2 4 2 2 2 5" xfId="4740"/>
    <cellStyle name="Output 2 2 4 2 2 2 5 2" xfId="11580"/>
    <cellStyle name="Output 2 2 4 2 2 2 6" xfId="8160"/>
    <cellStyle name="Output 2 2 4 2 2 3" xfId="38519"/>
    <cellStyle name="Output 2 2 4 2 2 4" xfId="57425"/>
    <cellStyle name="Output 2 2 4 2 2 5" xfId="57426"/>
    <cellStyle name="Output 2 2 4 2 2 6" xfId="57427"/>
    <cellStyle name="Output 2 2 4 2 2 7" xfId="57428"/>
    <cellStyle name="Output 2 2 4 2 3" xfId="1272"/>
    <cellStyle name="Output 2 2 4 2 3 2" xfId="992"/>
    <cellStyle name="Output 2 2 4 2 3 2 2" xfId="2535"/>
    <cellStyle name="Output 2 2 4 2 3 2 2 2" xfId="5955"/>
    <cellStyle name="Output 2 2 4 2 3 2 2 2 2" xfId="12795"/>
    <cellStyle name="Output 2 2 4 2 3 2 2 3" xfId="9375"/>
    <cellStyle name="Output 2 2 4 2 3 2 3" xfId="3675"/>
    <cellStyle name="Output 2 2 4 2 3 2 3 2" xfId="7095"/>
    <cellStyle name="Output 2 2 4 2 3 2 3 2 2" xfId="13935"/>
    <cellStyle name="Output 2 2 4 2 3 2 3 3" xfId="10515"/>
    <cellStyle name="Output 2 2 4 2 3 2 4" xfId="4815"/>
    <cellStyle name="Output 2 2 4 2 3 2 4 2" xfId="11655"/>
    <cellStyle name="Output 2 2 4 2 3 2 5" xfId="8235"/>
    <cellStyle name="Output 2 2 4 2 3 3" xfId="2092"/>
    <cellStyle name="Output 2 2 4 2 3 3 2" xfId="5512"/>
    <cellStyle name="Output 2 2 4 2 3 3 2 2" xfId="12352"/>
    <cellStyle name="Output 2 2 4 2 3 3 3" xfId="8932"/>
    <cellStyle name="Output 2 2 4 2 3 4" xfId="3232"/>
    <cellStyle name="Output 2 2 4 2 3 4 2" xfId="6652"/>
    <cellStyle name="Output 2 2 4 2 3 4 2 2" xfId="13492"/>
    <cellStyle name="Output 2 2 4 2 3 4 3" xfId="10072"/>
    <cellStyle name="Output 2 2 4 2 3 5" xfId="4372"/>
    <cellStyle name="Output 2 2 4 2 3 5 2" xfId="11212"/>
    <cellStyle name="Output 2 2 4 2 3 6" xfId="7792"/>
    <cellStyle name="Output 2 2 4 2 4" xfId="15617"/>
    <cellStyle name="Output 2 2 4 2 5" xfId="23931"/>
    <cellStyle name="Output 2 2 4 2 6" xfId="38282"/>
    <cellStyle name="Output 2 2 4 2 7" xfId="57429"/>
    <cellStyle name="Output 2 2 4 3" xfId="587"/>
    <cellStyle name="Output 2 2 4 3 2" xfId="1574"/>
    <cellStyle name="Output 2 2 4 3 2 2" xfId="824"/>
    <cellStyle name="Output 2 2 4 3 2 2 2" xfId="2513"/>
    <cellStyle name="Output 2 2 4 3 2 2 2 2" xfId="5933"/>
    <cellStyle name="Output 2 2 4 3 2 2 2 2 2" xfId="12773"/>
    <cellStyle name="Output 2 2 4 3 2 2 2 3" xfId="9353"/>
    <cellStyle name="Output 2 2 4 3 2 2 3" xfId="3653"/>
    <cellStyle name="Output 2 2 4 3 2 2 3 2" xfId="7073"/>
    <cellStyle name="Output 2 2 4 3 2 2 3 2 2" xfId="13913"/>
    <cellStyle name="Output 2 2 4 3 2 2 3 3" xfId="10493"/>
    <cellStyle name="Output 2 2 4 3 2 2 4" xfId="4793"/>
    <cellStyle name="Output 2 2 4 3 2 2 4 2" xfId="11633"/>
    <cellStyle name="Output 2 2 4 3 2 2 5" xfId="8213"/>
    <cellStyle name="Output 2 2 4 3 2 3" xfId="2399"/>
    <cellStyle name="Output 2 2 4 3 2 3 2" xfId="5819"/>
    <cellStyle name="Output 2 2 4 3 2 3 2 2" xfId="12659"/>
    <cellStyle name="Output 2 2 4 3 2 3 3" xfId="9239"/>
    <cellStyle name="Output 2 2 4 3 2 4" xfId="3539"/>
    <cellStyle name="Output 2 2 4 3 2 4 2" xfId="6959"/>
    <cellStyle name="Output 2 2 4 3 2 4 2 2" xfId="13799"/>
    <cellStyle name="Output 2 2 4 3 2 4 3" xfId="10379"/>
    <cellStyle name="Output 2 2 4 3 2 5" xfId="4679"/>
    <cellStyle name="Output 2 2 4 3 2 5 2" xfId="11519"/>
    <cellStyle name="Output 2 2 4 3 2 6" xfId="8099"/>
    <cellStyle name="Output 2 2 4 3 3" xfId="16585"/>
    <cellStyle name="Output 2 2 4 3 4" xfId="24902"/>
    <cellStyle name="Output 2 2 4 3 5" xfId="32162"/>
    <cellStyle name="Output 2 2 4 3 6" xfId="57430"/>
    <cellStyle name="Output 2 2 4 3 7" xfId="57431"/>
    <cellStyle name="Output 2 2 4 3 8" xfId="57432"/>
    <cellStyle name="Output 2 2 4 4" xfId="1148"/>
    <cellStyle name="Output 2 2 4 4 2" xfId="1054"/>
    <cellStyle name="Output 2 2 4 4 2 2" xfId="2758"/>
    <cellStyle name="Output 2 2 4 4 2 2 2" xfId="6178"/>
    <cellStyle name="Output 2 2 4 4 2 2 2 2" xfId="13018"/>
    <cellStyle name="Output 2 2 4 4 2 2 3" xfId="9598"/>
    <cellStyle name="Output 2 2 4 4 2 3" xfId="3898"/>
    <cellStyle name="Output 2 2 4 4 2 3 2" xfId="7318"/>
    <cellStyle name="Output 2 2 4 4 2 3 2 2" xfId="14158"/>
    <cellStyle name="Output 2 2 4 4 2 3 3" xfId="10738"/>
    <cellStyle name="Output 2 2 4 4 2 4" xfId="5038"/>
    <cellStyle name="Output 2 2 4 4 2 4 2" xfId="11878"/>
    <cellStyle name="Output 2 2 4 4 2 5" xfId="8458"/>
    <cellStyle name="Output 2 2 4 4 3" xfId="1967"/>
    <cellStyle name="Output 2 2 4 4 3 2" xfId="5387"/>
    <cellStyle name="Output 2 2 4 4 3 2 2" xfId="12227"/>
    <cellStyle name="Output 2 2 4 4 3 3" xfId="8807"/>
    <cellStyle name="Output 2 2 4 4 4" xfId="3107"/>
    <cellStyle name="Output 2 2 4 4 4 2" xfId="6527"/>
    <cellStyle name="Output 2 2 4 4 4 2 2" xfId="13367"/>
    <cellStyle name="Output 2 2 4 4 4 3" xfId="9947"/>
    <cellStyle name="Output 2 2 4 4 5" xfId="4247"/>
    <cellStyle name="Output 2 2 4 4 5 2" xfId="11087"/>
    <cellStyle name="Output 2 2 4 4 6" xfId="7667"/>
    <cellStyle name="Output 2 2 4 4 7" xfId="17604"/>
    <cellStyle name="Output 2 2 4 4 8" xfId="25927"/>
    <cellStyle name="Output 2 2 4 4 9" xfId="33139"/>
    <cellStyle name="Output 2 2 4 5" xfId="18586"/>
    <cellStyle name="Output 2 2 4 5 2" xfId="26905"/>
    <cellStyle name="Output 2 2 4 5 2 2" xfId="57433"/>
    <cellStyle name="Output 2 2 4 5 2 3" xfId="57434"/>
    <cellStyle name="Output 2 2 4 5 3" xfId="34074"/>
    <cellStyle name="Output 2 2 4 5 4" xfId="57435"/>
    <cellStyle name="Output 2 2 4 6" xfId="19554"/>
    <cellStyle name="Output 2 2 4 6 2" xfId="27875"/>
    <cellStyle name="Output 2 2 4 6 2 2" xfId="57436"/>
    <cellStyle name="Output 2 2 4 6 2 3" xfId="57437"/>
    <cellStyle name="Output 2 2 4 6 3" xfId="35022"/>
    <cellStyle name="Output 2 2 4 6 4" xfId="57438"/>
    <cellStyle name="Output 2 2 4 7" xfId="20512"/>
    <cellStyle name="Output 2 2 4 7 2" xfId="28834"/>
    <cellStyle name="Output 2 2 4 7 2 2" xfId="57439"/>
    <cellStyle name="Output 2 2 4 7 2 3" xfId="57440"/>
    <cellStyle name="Output 2 2 4 7 3" xfId="35939"/>
    <cellStyle name="Output 2 2 4 7 4" xfId="57441"/>
    <cellStyle name="Output 2 2 4 8" xfId="22895"/>
    <cellStyle name="Output 2 2 4 8 2" xfId="57442"/>
    <cellStyle name="Output 2 2 4 8 3" xfId="57443"/>
    <cellStyle name="Output 2 2 4 9" xfId="57444"/>
    <cellStyle name="Output 2 2 40" xfId="20503"/>
    <cellStyle name="Output 2 2 40 2" xfId="28825"/>
    <cellStyle name="Output 2 2 40 2 2" xfId="57445"/>
    <cellStyle name="Output 2 2 40 2 3" xfId="57446"/>
    <cellStyle name="Output 2 2 40 3" xfId="35931"/>
    <cellStyle name="Output 2 2 40 4" xfId="57447"/>
    <cellStyle name="Output 2 2 41" xfId="21961"/>
    <cellStyle name="Output 2 2 41 2" xfId="30262"/>
    <cellStyle name="Output 2 2 41 2 2" xfId="57448"/>
    <cellStyle name="Output 2 2 41 2 3" xfId="57449"/>
    <cellStyle name="Output 2 2 41 3" xfId="37302"/>
    <cellStyle name="Output 2 2 41 4" xfId="57450"/>
    <cellStyle name="Output 2 2 42" xfId="14539"/>
    <cellStyle name="Output 2 2 42 2" xfId="57451"/>
    <cellStyle name="Output 2 2 42 3" xfId="57452"/>
    <cellStyle name="Output 2 2 43" xfId="57453"/>
    <cellStyle name="Output 2 2 44" xfId="57454"/>
    <cellStyle name="Output 2 2 45" xfId="57455"/>
    <cellStyle name="Output 2 2 46" xfId="57456"/>
    <cellStyle name="Output 2 2 5" xfId="305"/>
    <cellStyle name="Output 2 2 5 10" xfId="14599"/>
    <cellStyle name="Output 2 2 5 11" xfId="22960"/>
    <cellStyle name="Output 2 2 5 12" xfId="57457"/>
    <cellStyle name="Output 2 2 5 13" xfId="57458"/>
    <cellStyle name="Output 2 2 5 14" xfId="57459"/>
    <cellStyle name="Output 2 2 5 2" xfId="534"/>
    <cellStyle name="Output 2 2 5 2 2" xfId="1538"/>
    <cellStyle name="Output 2 2 5 2 2 2" xfId="840"/>
    <cellStyle name="Output 2 2 5 2 2 2 2" xfId="2589"/>
    <cellStyle name="Output 2 2 5 2 2 2 2 2" xfId="6009"/>
    <cellStyle name="Output 2 2 5 2 2 2 2 2 2" xfId="12849"/>
    <cellStyle name="Output 2 2 5 2 2 2 2 3" xfId="9429"/>
    <cellStyle name="Output 2 2 5 2 2 2 3" xfId="3729"/>
    <cellStyle name="Output 2 2 5 2 2 2 3 2" xfId="7149"/>
    <cellStyle name="Output 2 2 5 2 2 2 3 2 2" xfId="13989"/>
    <cellStyle name="Output 2 2 5 2 2 2 3 3" xfId="10569"/>
    <cellStyle name="Output 2 2 5 2 2 2 4" xfId="4869"/>
    <cellStyle name="Output 2 2 5 2 2 2 4 2" xfId="11709"/>
    <cellStyle name="Output 2 2 5 2 2 2 5" xfId="8289"/>
    <cellStyle name="Output 2 2 5 2 2 3" xfId="2359"/>
    <cellStyle name="Output 2 2 5 2 2 3 2" xfId="5779"/>
    <cellStyle name="Output 2 2 5 2 2 3 2 2" xfId="12619"/>
    <cellStyle name="Output 2 2 5 2 2 3 3" xfId="9199"/>
    <cellStyle name="Output 2 2 5 2 2 4" xfId="3499"/>
    <cellStyle name="Output 2 2 5 2 2 4 2" xfId="6919"/>
    <cellStyle name="Output 2 2 5 2 2 4 2 2" xfId="13759"/>
    <cellStyle name="Output 2 2 5 2 2 4 3" xfId="10339"/>
    <cellStyle name="Output 2 2 5 2 2 5" xfId="4639"/>
    <cellStyle name="Output 2 2 5 2 2 5 2" xfId="11479"/>
    <cellStyle name="Output 2 2 5 2 2 6" xfId="8059"/>
    <cellStyle name="Output 2 2 5 2 3" xfId="15679"/>
    <cellStyle name="Output 2 2 5 2 4" xfId="23995"/>
    <cellStyle name="Output 2 2 5 2 5" xfId="31290"/>
    <cellStyle name="Output 2 2 5 2 6" xfId="57460"/>
    <cellStyle name="Output 2 2 5 2 7" xfId="57461"/>
    <cellStyle name="Output 2 2 5 2 8" xfId="57462"/>
    <cellStyle name="Output 2 2 5 3" xfId="1311"/>
    <cellStyle name="Output 2 2 5 3 2" xfId="1721"/>
    <cellStyle name="Output 2 2 5 3 2 2" xfId="2861"/>
    <cellStyle name="Output 2 2 5 3 2 2 2" xfId="6281"/>
    <cellStyle name="Output 2 2 5 3 2 2 2 2" xfId="13121"/>
    <cellStyle name="Output 2 2 5 3 2 2 3" xfId="9701"/>
    <cellStyle name="Output 2 2 5 3 2 3" xfId="4001"/>
    <cellStyle name="Output 2 2 5 3 2 3 2" xfId="7421"/>
    <cellStyle name="Output 2 2 5 3 2 3 2 2" xfId="14261"/>
    <cellStyle name="Output 2 2 5 3 2 3 3" xfId="10841"/>
    <cellStyle name="Output 2 2 5 3 2 4" xfId="5141"/>
    <cellStyle name="Output 2 2 5 3 2 4 2" xfId="11981"/>
    <cellStyle name="Output 2 2 5 3 2 5" xfId="8561"/>
    <cellStyle name="Output 2 2 5 3 3" xfId="2131"/>
    <cellStyle name="Output 2 2 5 3 3 2" xfId="5551"/>
    <cellStyle name="Output 2 2 5 3 3 2 2" xfId="12391"/>
    <cellStyle name="Output 2 2 5 3 3 3" xfId="8971"/>
    <cellStyle name="Output 2 2 5 3 4" xfId="3271"/>
    <cellStyle name="Output 2 2 5 3 4 2" xfId="6691"/>
    <cellStyle name="Output 2 2 5 3 4 2 2" xfId="13531"/>
    <cellStyle name="Output 2 2 5 3 4 3" xfId="10111"/>
    <cellStyle name="Output 2 2 5 3 5" xfId="4411"/>
    <cellStyle name="Output 2 2 5 3 5 2" xfId="11251"/>
    <cellStyle name="Output 2 2 5 3 6" xfId="7831"/>
    <cellStyle name="Output 2 2 5 3 7" xfId="16646"/>
    <cellStyle name="Output 2 2 5 3 8" xfId="24966"/>
    <cellStyle name="Output 2 2 5 3 9" xfId="32223"/>
    <cellStyle name="Output 2 2 5 4" xfId="17668"/>
    <cellStyle name="Output 2 2 5 4 2" xfId="25992"/>
    <cellStyle name="Output 2 2 5 4 2 2" xfId="57463"/>
    <cellStyle name="Output 2 2 5 4 2 3" xfId="57464"/>
    <cellStyle name="Output 2 2 5 4 3" xfId="33200"/>
    <cellStyle name="Output 2 2 5 4 4" xfId="57465"/>
    <cellStyle name="Output 2 2 5 5" xfId="18651"/>
    <cellStyle name="Output 2 2 5 5 2" xfId="26972"/>
    <cellStyle name="Output 2 2 5 5 2 2" xfId="57466"/>
    <cellStyle name="Output 2 2 5 5 2 3" xfId="57467"/>
    <cellStyle name="Output 2 2 5 5 3" xfId="34138"/>
    <cellStyle name="Output 2 2 5 5 4" xfId="57468"/>
    <cellStyle name="Output 2 2 5 6" xfId="19620"/>
    <cellStyle name="Output 2 2 5 6 2" xfId="27941"/>
    <cellStyle name="Output 2 2 5 6 2 2" xfId="57469"/>
    <cellStyle name="Output 2 2 5 6 2 3" xfId="57470"/>
    <cellStyle name="Output 2 2 5 6 3" xfId="35084"/>
    <cellStyle name="Output 2 2 5 6 4" xfId="57471"/>
    <cellStyle name="Output 2 2 5 7" xfId="20577"/>
    <cellStyle name="Output 2 2 5 7 2" xfId="28899"/>
    <cellStyle name="Output 2 2 5 7 2 2" xfId="57472"/>
    <cellStyle name="Output 2 2 5 7 2 3" xfId="57473"/>
    <cellStyle name="Output 2 2 5 7 3" xfId="36000"/>
    <cellStyle name="Output 2 2 5 7 4" xfId="57474"/>
    <cellStyle name="Output 2 2 5 8" xfId="21221"/>
    <cellStyle name="Output 2 2 5 8 2" xfId="29532"/>
    <cellStyle name="Output 2 2 5 8 2 2" xfId="57475"/>
    <cellStyle name="Output 2 2 5 8 2 3" xfId="57476"/>
    <cellStyle name="Output 2 2 5 8 3" xfId="36601"/>
    <cellStyle name="Output 2 2 5 8 4" xfId="57477"/>
    <cellStyle name="Output 2 2 5 9" xfId="22014"/>
    <cellStyle name="Output 2 2 5 9 2" xfId="30313"/>
    <cellStyle name="Output 2 2 5 9 3" xfId="37351"/>
    <cellStyle name="Output 2 2 6" xfId="203"/>
    <cellStyle name="Output 2 2 6 10" xfId="14595"/>
    <cellStyle name="Output 2 2 6 11" xfId="22955"/>
    <cellStyle name="Output 2 2 6 12" xfId="57478"/>
    <cellStyle name="Output 2 2 6 13" xfId="57479"/>
    <cellStyle name="Output 2 2 6 14" xfId="57480"/>
    <cellStyle name="Output 2 2 6 2" xfId="383"/>
    <cellStyle name="Output 2 2 6 2 2" xfId="1388"/>
    <cellStyle name="Output 2 2 6 2 2 2" xfId="914"/>
    <cellStyle name="Output 2 2 6 2 2 2 2" xfId="2792"/>
    <cellStyle name="Output 2 2 6 2 2 2 2 2" xfId="6212"/>
    <cellStyle name="Output 2 2 6 2 2 2 2 2 2" xfId="13052"/>
    <cellStyle name="Output 2 2 6 2 2 2 2 3" xfId="9632"/>
    <cellStyle name="Output 2 2 6 2 2 2 3" xfId="3932"/>
    <cellStyle name="Output 2 2 6 2 2 2 3 2" xfId="7352"/>
    <cellStyle name="Output 2 2 6 2 2 2 3 2 2" xfId="14192"/>
    <cellStyle name="Output 2 2 6 2 2 2 3 3" xfId="10772"/>
    <cellStyle name="Output 2 2 6 2 2 2 4" xfId="5072"/>
    <cellStyle name="Output 2 2 6 2 2 2 4 2" xfId="11912"/>
    <cellStyle name="Output 2 2 6 2 2 2 5" xfId="8492"/>
    <cellStyle name="Output 2 2 6 2 2 3" xfId="2209"/>
    <cellStyle name="Output 2 2 6 2 2 3 2" xfId="5629"/>
    <cellStyle name="Output 2 2 6 2 2 3 2 2" xfId="12469"/>
    <cellStyle name="Output 2 2 6 2 2 3 3" xfId="9049"/>
    <cellStyle name="Output 2 2 6 2 2 4" xfId="3349"/>
    <cellStyle name="Output 2 2 6 2 2 4 2" xfId="6769"/>
    <cellStyle name="Output 2 2 6 2 2 4 2 2" xfId="13609"/>
    <cellStyle name="Output 2 2 6 2 2 4 3" xfId="10189"/>
    <cellStyle name="Output 2 2 6 2 2 5" xfId="4489"/>
    <cellStyle name="Output 2 2 6 2 2 5 2" xfId="11329"/>
    <cellStyle name="Output 2 2 6 2 2 6" xfId="7909"/>
    <cellStyle name="Output 2 2 6 2 3" xfId="15675"/>
    <cellStyle name="Output 2 2 6 2 4" xfId="23990"/>
    <cellStyle name="Output 2 2 6 2 5" xfId="31285"/>
    <cellStyle name="Output 2 2 6 2 6" xfId="57481"/>
    <cellStyle name="Output 2 2 6 2 7" xfId="57482"/>
    <cellStyle name="Output 2 2 6 2 8" xfId="57483"/>
    <cellStyle name="Output 2 2 6 3" xfId="1211"/>
    <cellStyle name="Output 2 2 6 3 2" xfId="1022"/>
    <cellStyle name="Output 2 2 6 3 2 2" xfId="2562"/>
    <cellStyle name="Output 2 2 6 3 2 2 2" xfId="5982"/>
    <cellStyle name="Output 2 2 6 3 2 2 2 2" xfId="12822"/>
    <cellStyle name="Output 2 2 6 3 2 2 3" xfId="9402"/>
    <cellStyle name="Output 2 2 6 3 2 3" xfId="3702"/>
    <cellStyle name="Output 2 2 6 3 2 3 2" xfId="7122"/>
    <cellStyle name="Output 2 2 6 3 2 3 2 2" xfId="13962"/>
    <cellStyle name="Output 2 2 6 3 2 3 3" xfId="10542"/>
    <cellStyle name="Output 2 2 6 3 2 4" xfId="4842"/>
    <cellStyle name="Output 2 2 6 3 2 4 2" xfId="11682"/>
    <cellStyle name="Output 2 2 6 3 2 5" xfId="8262"/>
    <cellStyle name="Output 2 2 6 3 3" xfId="2030"/>
    <cellStyle name="Output 2 2 6 3 3 2" xfId="5450"/>
    <cellStyle name="Output 2 2 6 3 3 2 2" xfId="12290"/>
    <cellStyle name="Output 2 2 6 3 3 3" xfId="8870"/>
    <cellStyle name="Output 2 2 6 3 4" xfId="3170"/>
    <cellStyle name="Output 2 2 6 3 4 2" xfId="6590"/>
    <cellStyle name="Output 2 2 6 3 4 2 2" xfId="13430"/>
    <cellStyle name="Output 2 2 6 3 4 3" xfId="10010"/>
    <cellStyle name="Output 2 2 6 3 5" xfId="4310"/>
    <cellStyle name="Output 2 2 6 3 5 2" xfId="11150"/>
    <cellStyle name="Output 2 2 6 3 6" xfId="7730"/>
    <cellStyle name="Output 2 2 6 3 7" xfId="16642"/>
    <cellStyle name="Output 2 2 6 3 8" xfId="24961"/>
    <cellStyle name="Output 2 2 6 3 9" xfId="32218"/>
    <cellStyle name="Output 2 2 6 4" xfId="17663"/>
    <cellStyle name="Output 2 2 6 4 2" xfId="25987"/>
    <cellStyle name="Output 2 2 6 4 2 2" xfId="57484"/>
    <cellStyle name="Output 2 2 6 4 2 3" xfId="57485"/>
    <cellStyle name="Output 2 2 6 4 3" xfId="33195"/>
    <cellStyle name="Output 2 2 6 4 4" xfId="57486"/>
    <cellStyle name="Output 2 2 6 5" xfId="18646"/>
    <cellStyle name="Output 2 2 6 5 2" xfId="26967"/>
    <cellStyle name="Output 2 2 6 5 2 2" xfId="57487"/>
    <cellStyle name="Output 2 2 6 5 2 3" xfId="57488"/>
    <cellStyle name="Output 2 2 6 5 3" xfId="34133"/>
    <cellStyle name="Output 2 2 6 5 4" xfId="57489"/>
    <cellStyle name="Output 2 2 6 6" xfId="19615"/>
    <cellStyle name="Output 2 2 6 6 2" xfId="27936"/>
    <cellStyle name="Output 2 2 6 6 2 2" xfId="57490"/>
    <cellStyle name="Output 2 2 6 6 2 3" xfId="57491"/>
    <cellStyle name="Output 2 2 6 6 3" xfId="35079"/>
    <cellStyle name="Output 2 2 6 6 4" xfId="57492"/>
    <cellStyle name="Output 2 2 6 7" xfId="20572"/>
    <cellStyle name="Output 2 2 6 7 2" xfId="28894"/>
    <cellStyle name="Output 2 2 6 7 2 2" xfId="57493"/>
    <cellStyle name="Output 2 2 6 7 2 3" xfId="57494"/>
    <cellStyle name="Output 2 2 6 7 3" xfId="35995"/>
    <cellStyle name="Output 2 2 6 7 4" xfId="57495"/>
    <cellStyle name="Output 2 2 6 8" xfId="21331"/>
    <cellStyle name="Output 2 2 6 8 2" xfId="29636"/>
    <cellStyle name="Output 2 2 6 8 2 2" xfId="57496"/>
    <cellStyle name="Output 2 2 6 8 2 3" xfId="57497"/>
    <cellStyle name="Output 2 2 6 8 3" xfId="36702"/>
    <cellStyle name="Output 2 2 6 8 4" xfId="57498"/>
    <cellStyle name="Output 2 2 6 9" xfId="22009"/>
    <cellStyle name="Output 2 2 6 9 2" xfId="30308"/>
    <cellStyle name="Output 2 2 6 9 3" xfId="37346"/>
    <cellStyle name="Output 2 2 7" xfId="395"/>
    <cellStyle name="Output 2 2 7 10" xfId="14634"/>
    <cellStyle name="Output 2 2 7 11" xfId="22996"/>
    <cellStyle name="Output 2 2 7 12" xfId="57499"/>
    <cellStyle name="Output 2 2 7 13" xfId="57500"/>
    <cellStyle name="Output 2 2 7 14" xfId="57501"/>
    <cellStyle name="Output 2 2 7 2" xfId="474"/>
    <cellStyle name="Output 2 2 7 2 2" xfId="1478"/>
    <cellStyle name="Output 2 2 7 2 2 2" xfId="1867"/>
    <cellStyle name="Output 2 2 7 2 2 2 2" xfId="3007"/>
    <cellStyle name="Output 2 2 7 2 2 2 2 2" xfId="6427"/>
    <cellStyle name="Output 2 2 7 2 2 2 2 2 2" xfId="13267"/>
    <cellStyle name="Output 2 2 7 2 2 2 2 3" xfId="9847"/>
    <cellStyle name="Output 2 2 7 2 2 2 3" xfId="4147"/>
    <cellStyle name="Output 2 2 7 2 2 2 3 2" xfId="7567"/>
    <cellStyle name="Output 2 2 7 2 2 2 3 2 2" xfId="14407"/>
    <cellStyle name="Output 2 2 7 2 2 2 3 3" xfId="10987"/>
    <cellStyle name="Output 2 2 7 2 2 2 4" xfId="5287"/>
    <cellStyle name="Output 2 2 7 2 2 2 4 2" xfId="12127"/>
    <cellStyle name="Output 2 2 7 2 2 2 5" xfId="8707"/>
    <cellStyle name="Output 2 2 7 2 2 3" xfId="2299"/>
    <cellStyle name="Output 2 2 7 2 2 3 2" xfId="5719"/>
    <cellStyle name="Output 2 2 7 2 2 3 2 2" xfId="12559"/>
    <cellStyle name="Output 2 2 7 2 2 3 3" xfId="9139"/>
    <cellStyle name="Output 2 2 7 2 2 4" xfId="3439"/>
    <cellStyle name="Output 2 2 7 2 2 4 2" xfId="6859"/>
    <cellStyle name="Output 2 2 7 2 2 4 2 2" xfId="13699"/>
    <cellStyle name="Output 2 2 7 2 2 4 3" xfId="10279"/>
    <cellStyle name="Output 2 2 7 2 2 5" xfId="4579"/>
    <cellStyle name="Output 2 2 7 2 2 5 2" xfId="11419"/>
    <cellStyle name="Output 2 2 7 2 2 6" xfId="7999"/>
    <cellStyle name="Output 2 2 7 2 3" xfId="15715"/>
    <cellStyle name="Output 2 2 7 2 4" xfId="24031"/>
    <cellStyle name="Output 2 2 7 2 5" xfId="31324"/>
    <cellStyle name="Output 2 2 7 2 6" xfId="57502"/>
    <cellStyle name="Output 2 2 7 2 7" xfId="57503"/>
    <cellStyle name="Output 2 2 7 2 8" xfId="57504"/>
    <cellStyle name="Output 2 2 7 3" xfId="1400"/>
    <cellStyle name="Output 2 2 7 3 2" xfId="1791"/>
    <cellStyle name="Output 2 2 7 3 2 2" xfId="2931"/>
    <cellStyle name="Output 2 2 7 3 2 2 2" xfId="6351"/>
    <cellStyle name="Output 2 2 7 3 2 2 2 2" xfId="13191"/>
    <cellStyle name="Output 2 2 7 3 2 2 3" xfId="9771"/>
    <cellStyle name="Output 2 2 7 3 2 3" xfId="4071"/>
    <cellStyle name="Output 2 2 7 3 2 3 2" xfId="7491"/>
    <cellStyle name="Output 2 2 7 3 2 3 2 2" xfId="14331"/>
    <cellStyle name="Output 2 2 7 3 2 3 3" xfId="10911"/>
    <cellStyle name="Output 2 2 7 3 2 4" xfId="5211"/>
    <cellStyle name="Output 2 2 7 3 2 4 2" xfId="12051"/>
    <cellStyle name="Output 2 2 7 3 2 5" xfId="8631"/>
    <cellStyle name="Output 2 2 7 3 3" xfId="2221"/>
    <cellStyle name="Output 2 2 7 3 3 2" xfId="5641"/>
    <cellStyle name="Output 2 2 7 3 3 2 2" xfId="12481"/>
    <cellStyle name="Output 2 2 7 3 3 3" xfId="9061"/>
    <cellStyle name="Output 2 2 7 3 4" xfId="3361"/>
    <cellStyle name="Output 2 2 7 3 4 2" xfId="6781"/>
    <cellStyle name="Output 2 2 7 3 4 2 2" xfId="13621"/>
    <cellStyle name="Output 2 2 7 3 4 3" xfId="10201"/>
    <cellStyle name="Output 2 2 7 3 5" xfId="4501"/>
    <cellStyle name="Output 2 2 7 3 5 2" xfId="11341"/>
    <cellStyle name="Output 2 2 7 3 6" xfId="7921"/>
    <cellStyle name="Output 2 2 7 3 7" xfId="16681"/>
    <cellStyle name="Output 2 2 7 3 8" xfId="25002"/>
    <cellStyle name="Output 2 2 7 3 9" xfId="32257"/>
    <cellStyle name="Output 2 2 7 4" xfId="17705"/>
    <cellStyle name="Output 2 2 7 4 2" xfId="26028"/>
    <cellStyle name="Output 2 2 7 4 2 2" xfId="57505"/>
    <cellStyle name="Output 2 2 7 4 2 3" xfId="57506"/>
    <cellStyle name="Output 2 2 7 4 3" xfId="33234"/>
    <cellStyle name="Output 2 2 7 4 4" xfId="57507"/>
    <cellStyle name="Output 2 2 7 5" xfId="18688"/>
    <cellStyle name="Output 2 2 7 5 2" xfId="27009"/>
    <cellStyle name="Output 2 2 7 5 2 2" xfId="57508"/>
    <cellStyle name="Output 2 2 7 5 2 3" xfId="57509"/>
    <cellStyle name="Output 2 2 7 5 3" xfId="34173"/>
    <cellStyle name="Output 2 2 7 5 4" xfId="57510"/>
    <cellStyle name="Output 2 2 7 6" xfId="19657"/>
    <cellStyle name="Output 2 2 7 6 2" xfId="27978"/>
    <cellStyle name="Output 2 2 7 6 2 2" xfId="57511"/>
    <cellStyle name="Output 2 2 7 6 2 3" xfId="57512"/>
    <cellStyle name="Output 2 2 7 6 3" xfId="35119"/>
    <cellStyle name="Output 2 2 7 6 4" xfId="57513"/>
    <cellStyle name="Output 2 2 7 7" xfId="20614"/>
    <cellStyle name="Output 2 2 7 7 2" xfId="28935"/>
    <cellStyle name="Output 2 2 7 7 2 2" xfId="57514"/>
    <cellStyle name="Output 2 2 7 7 2 3" xfId="57515"/>
    <cellStyle name="Output 2 2 7 7 3" xfId="36034"/>
    <cellStyle name="Output 2 2 7 7 4" xfId="57516"/>
    <cellStyle name="Output 2 2 7 8" xfId="21233"/>
    <cellStyle name="Output 2 2 7 8 2" xfId="29543"/>
    <cellStyle name="Output 2 2 7 8 2 2" xfId="57517"/>
    <cellStyle name="Output 2 2 7 8 2 3" xfId="57518"/>
    <cellStyle name="Output 2 2 7 8 3" xfId="36612"/>
    <cellStyle name="Output 2 2 7 8 4" xfId="57519"/>
    <cellStyle name="Output 2 2 7 9" xfId="22051"/>
    <cellStyle name="Output 2 2 7 9 2" xfId="30349"/>
    <cellStyle name="Output 2 2 7 9 3" xfId="37385"/>
    <cellStyle name="Output 2 2 8" xfId="505"/>
    <cellStyle name="Output 2 2 8 10" xfId="14572"/>
    <cellStyle name="Output 2 2 8 11" xfId="22930"/>
    <cellStyle name="Output 2 2 8 12" xfId="57520"/>
    <cellStyle name="Output 2 2 8 13" xfId="57521"/>
    <cellStyle name="Output 2 2 8 14" xfId="57522"/>
    <cellStyle name="Output 2 2 8 2" xfId="434"/>
    <cellStyle name="Output 2 2 8 2 2" xfId="1438"/>
    <cellStyle name="Output 2 2 8 2 2 2" xfId="1769"/>
    <cellStyle name="Output 2 2 8 2 2 2 2" xfId="2909"/>
    <cellStyle name="Output 2 2 8 2 2 2 2 2" xfId="6329"/>
    <cellStyle name="Output 2 2 8 2 2 2 2 2 2" xfId="13169"/>
    <cellStyle name="Output 2 2 8 2 2 2 2 3" xfId="9749"/>
    <cellStyle name="Output 2 2 8 2 2 2 3" xfId="4049"/>
    <cellStyle name="Output 2 2 8 2 2 2 3 2" xfId="7469"/>
    <cellStyle name="Output 2 2 8 2 2 2 3 2 2" xfId="14309"/>
    <cellStyle name="Output 2 2 8 2 2 2 3 3" xfId="10889"/>
    <cellStyle name="Output 2 2 8 2 2 2 4" xfId="5189"/>
    <cellStyle name="Output 2 2 8 2 2 2 4 2" xfId="12029"/>
    <cellStyle name="Output 2 2 8 2 2 2 5" xfId="8609"/>
    <cellStyle name="Output 2 2 8 2 2 3" xfId="2259"/>
    <cellStyle name="Output 2 2 8 2 2 3 2" xfId="5679"/>
    <cellStyle name="Output 2 2 8 2 2 3 2 2" xfId="12519"/>
    <cellStyle name="Output 2 2 8 2 2 3 3" xfId="9099"/>
    <cellStyle name="Output 2 2 8 2 2 4" xfId="3399"/>
    <cellStyle name="Output 2 2 8 2 2 4 2" xfId="6819"/>
    <cellStyle name="Output 2 2 8 2 2 4 2 2" xfId="13659"/>
    <cellStyle name="Output 2 2 8 2 2 4 3" xfId="10239"/>
    <cellStyle name="Output 2 2 8 2 2 5" xfId="4539"/>
    <cellStyle name="Output 2 2 8 2 2 5 2" xfId="11379"/>
    <cellStyle name="Output 2 2 8 2 2 6" xfId="7959"/>
    <cellStyle name="Output 2 2 8 2 3" xfId="15653"/>
    <cellStyle name="Output 2 2 8 2 4" xfId="23966"/>
    <cellStyle name="Output 2 2 8 2 5" xfId="31263"/>
    <cellStyle name="Output 2 2 8 2 6" xfId="57523"/>
    <cellStyle name="Output 2 2 8 2 7" xfId="57524"/>
    <cellStyle name="Output 2 2 8 2 8" xfId="57525"/>
    <cellStyle name="Output 2 2 8 3" xfId="1509"/>
    <cellStyle name="Output 2 2 8 3 2" xfId="1828"/>
    <cellStyle name="Output 2 2 8 3 2 2" xfId="2968"/>
    <cellStyle name="Output 2 2 8 3 2 2 2" xfId="6388"/>
    <cellStyle name="Output 2 2 8 3 2 2 2 2" xfId="13228"/>
    <cellStyle name="Output 2 2 8 3 2 2 3" xfId="9808"/>
    <cellStyle name="Output 2 2 8 3 2 3" xfId="4108"/>
    <cellStyle name="Output 2 2 8 3 2 3 2" xfId="7528"/>
    <cellStyle name="Output 2 2 8 3 2 3 2 2" xfId="14368"/>
    <cellStyle name="Output 2 2 8 3 2 3 3" xfId="10948"/>
    <cellStyle name="Output 2 2 8 3 2 4" xfId="5248"/>
    <cellStyle name="Output 2 2 8 3 2 4 2" xfId="12088"/>
    <cellStyle name="Output 2 2 8 3 2 5" xfId="8668"/>
    <cellStyle name="Output 2 2 8 3 3" xfId="2330"/>
    <cellStyle name="Output 2 2 8 3 3 2" xfId="5750"/>
    <cellStyle name="Output 2 2 8 3 3 2 2" xfId="12590"/>
    <cellStyle name="Output 2 2 8 3 3 3" xfId="9170"/>
    <cellStyle name="Output 2 2 8 3 4" xfId="3470"/>
    <cellStyle name="Output 2 2 8 3 4 2" xfId="6890"/>
    <cellStyle name="Output 2 2 8 3 4 2 2" xfId="13730"/>
    <cellStyle name="Output 2 2 8 3 4 3" xfId="10310"/>
    <cellStyle name="Output 2 2 8 3 5" xfId="4610"/>
    <cellStyle name="Output 2 2 8 3 5 2" xfId="11450"/>
    <cellStyle name="Output 2 2 8 3 6" xfId="8030"/>
    <cellStyle name="Output 2 2 8 3 7" xfId="16620"/>
    <cellStyle name="Output 2 2 8 3 8" xfId="24937"/>
    <cellStyle name="Output 2 2 8 3 9" xfId="32196"/>
    <cellStyle name="Output 2 2 8 4" xfId="17640"/>
    <cellStyle name="Output 2 2 8 4 2" xfId="25963"/>
    <cellStyle name="Output 2 2 8 4 2 2" xfId="57526"/>
    <cellStyle name="Output 2 2 8 4 2 3" xfId="57527"/>
    <cellStyle name="Output 2 2 8 4 3" xfId="33173"/>
    <cellStyle name="Output 2 2 8 4 4" xfId="57528"/>
    <cellStyle name="Output 2 2 8 5" xfId="18622"/>
    <cellStyle name="Output 2 2 8 5 2" xfId="26942"/>
    <cellStyle name="Output 2 2 8 5 2 2" xfId="57529"/>
    <cellStyle name="Output 2 2 8 5 2 3" xfId="57530"/>
    <cellStyle name="Output 2 2 8 5 3" xfId="34110"/>
    <cellStyle name="Output 2 2 8 5 4" xfId="57531"/>
    <cellStyle name="Output 2 2 8 6" xfId="19591"/>
    <cellStyle name="Output 2 2 8 6 2" xfId="27911"/>
    <cellStyle name="Output 2 2 8 6 2 2" xfId="57532"/>
    <cellStyle name="Output 2 2 8 6 2 3" xfId="57533"/>
    <cellStyle name="Output 2 2 8 6 3" xfId="35056"/>
    <cellStyle name="Output 2 2 8 6 4" xfId="57534"/>
    <cellStyle name="Output 2 2 8 7" xfId="20548"/>
    <cellStyle name="Output 2 2 8 7 2" xfId="28870"/>
    <cellStyle name="Output 2 2 8 7 2 2" xfId="57535"/>
    <cellStyle name="Output 2 2 8 7 2 3" xfId="57536"/>
    <cellStyle name="Output 2 2 8 7 3" xfId="35973"/>
    <cellStyle name="Output 2 2 8 7 4" xfId="57537"/>
    <cellStyle name="Output 2 2 8 8" xfId="21287"/>
    <cellStyle name="Output 2 2 8 8 2" xfId="29594"/>
    <cellStyle name="Output 2 2 8 8 2 2" xfId="57538"/>
    <cellStyle name="Output 2 2 8 8 2 3" xfId="57539"/>
    <cellStyle name="Output 2 2 8 8 3" xfId="36661"/>
    <cellStyle name="Output 2 2 8 8 4" xfId="57540"/>
    <cellStyle name="Output 2 2 8 9" xfId="21984"/>
    <cellStyle name="Output 2 2 8 9 2" xfId="30284"/>
    <cellStyle name="Output 2 2 8 9 3" xfId="37324"/>
    <cellStyle name="Output 2 2 9" xfId="1097"/>
    <cellStyle name="Output 2 2 9 10" xfId="14668"/>
    <cellStyle name="Output 2 2 9 11" xfId="23030"/>
    <cellStyle name="Output 2 2 9 2" xfId="1080"/>
    <cellStyle name="Output 2 2 9 2 2" xfId="2743"/>
    <cellStyle name="Output 2 2 9 2 2 2" xfId="6163"/>
    <cellStyle name="Output 2 2 9 2 2 2 2" xfId="13003"/>
    <cellStyle name="Output 2 2 9 2 2 3" xfId="9583"/>
    <cellStyle name="Output 2 2 9 2 3" xfId="3883"/>
    <cellStyle name="Output 2 2 9 2 3 2" xfId="7303"/>
    <cellStyle name="Output 2 2 9 2 3 2 2" xfId="14143"/>
    <cellStyle name="Output 2 2 9 2 3 3" xfId="10723"/>
    <cellStyle name="Output 2 2 9 2 4" xfId="5023"/>
    <cellStyle name="Output 2 2 9 2 4 2" xfId="11863"/>
    <cellStyle name="Output 2 2 9 2 5" xfId="8443"/>
    <cellStyle name="Output 2 2 9 2 6" xfId="15749"/>
    <cellStyle name="Output 2 2 9 2 7" xfId="24065"/>
    <cellStyle name="Output 2 2 9 2 8" xfId="31357"/>
    <cellStyle name="Output 2 2 9 3" xfId="1904"/>
    <cellStyle name="Output 2 2 9 3 2" xfId="5324"/>
    <cellStyle name="Output 2 2 9 3 2 2" xfId="12164"/>
    <cellStyle name="Output 2 2 9 3 2 3" xfId="57541"/>
    <cellStyle name="Output 2 2 9 3 3" xfId="8744"/>
    <cellStyle name="Output 2 2 9 3 4" xfId="16715"/>
    <cellStyle name="Output 2 2 9 3 5" xfId="25036"/>
    <cellStyle name="Output 2 2 9 3 6" xfId="32290"/>
    <cellStyle name="Output 2 2 9 4" xfId="3044"/>
    <cellStyle name="Output 2 2 9 4 2" xfId="6464"/>
    <cellStyle name="Output 2 2 9 4 2 2" xfId="13304"/>
    <cellStyle name="Output 2 2 9 4 2 3" xfId="57542"/>
    <cellStyle name="Output 2 2 9 4 3" xfId="9884"/>
    <cellStyle name="Output 2 2 9 4 4" xfId="17739"/>
    <cellStyle name="Output 2 2 9 4 5" xfId="26062"/>
    <cellStyle name="Output 2 2 9 4 6" xfId="33267"/>
    <cellStyle name="Output 2 2 9 5" xfId="4184"/>
    <cellStyle name="Output 2 2 9 5 2" xfId="11024"/>
    <cellStyle name="Output 2 2 9 5 2 2" xfId="57543"/>
    <cellStyle name="Output 2 2 9 5 2 3" xfId="57544"/>
    <cellStyle name="Output 2 2 9 5 3" xfId="18722"/>
    <cellStyle name="Output 2 2 9 5 4" xfId="27043"/>
    <cellStyle name="Output 2 2 9 5 5" xfId="34206"/>
    <cellStyle name="Output 2 2 9 6" xfId="7604"/>
    <cellStyle name="Output 2 2 9 6 2" xfId="19691"/>
    <cellStyle name="Output 2 2 9 6 2 2" xfId="57545"/>
    <cellStyle name="Output 2 2 9 6 2 3" xfId="57546"/>
    <cellStyle name="Output 2 2 9 6 3" xfId="28012"/>
    <cellStyle name="Output 2 2 9 6 4" xfId="35152"/>
    <cellStyle name="Output 2 2 9 7" xfId="20648"/>
    <cellStyle name="Output 2 2 9 7 2" xfId="28969"/>
    <cellStyle name="Output 2 2 9 7 2 2" xfId="57547"/>
    <cellStyle name="Output 2 2 9 7 2 3" xfId="57548"/>
    <cellStyle name="Output 2 2 9 7 3" xfId="36067"/>
    <cellStyle name="Output 2 2 9 7 4" xfId="57549"/>
    <cellStyle name="Output 2 2 9 8" xfId="21270"/>
    <cellStyle name="Output 2 2 9 8 2" xfId="29578"/>
    <cellStyle name="Output 2 2 9 8 2 2" xfId="57550"/>
    <cellStyle name="Output 2 2 9 8 2 3" xfId="57551"/>
    <cellStyle name="Output 2 2 9 8 3" xfId="36645"/>
    <cellStyle name="Output 2 2 9 8 4" xfId="57552"/>
    <cellStyle name="Output 2 2 9 9" xfId="22085"/>
    <cellStyle name="Output 2 2 9 9 2" xfId="30383"/>
    <cellStyle name="Output 2 2 9 9 3" xfId="37418"/>
    <cellStyle name="Output 2 20" xfId="15215"/>
    <cellStyle name="Output 2 20 10" xfId="57553"/>
    <cellStyle name="Output 2 20 2" xfId="16295"/>
    <cellStyle name="Output 2 20 2 2" xfId="24608"/>
    <cellStyle name="Output 2 20 2 2 2" xfId="57554"/>
    <cellStyle name="Output 2 20 2 2 3" xfId="57555"/>
    <cellStyle name="Output 2 20 2 3" xfId="31877"/>
    <cellStyle name="Output 2 20 2 4" xfId="57556"/>
    <cellStyle name="Output 2 20 3" xfId="17261"/>
    <cellStyle name="Output 2 20 3 2" xfId="25582"/>
    <cellStyle name="Output 2 20 3 2 2" xfId="57557"/>
    <cellStyle name="Output 2 20 3 2 3" xfId="57558"/>
    <cellStyle name="Output 2 20 3 3" xfId="32810"/>
    <cellStyle name="Output 2 20 3 4" xfId="57559"/>
    <cellStyle name="Output 2 20 4" xfId="18289"/>
    <cellStyle name="Output 2 20 4 2" xfId="26609"/>
    <cellStyle name="Output 2 20 4 2 2" xfId="57560"/>
    <cellStyle name="Output 2 20 4 2 3" xfId="57561"/>
    <cellStyle name="Output 2 20 4 3" xfId="33788"/>
    <cellStyle name="Output 2 20 4 4" xfId="57562"/>
    <cellStyle name="Output 2 20 5" xfId="19273"/>
    <cellStyle name="Output 2 20 5 2" xfId="27593"/>
    <cellStyle name="Output 2 20 5 2 2" xfId="57563"/>
    <cellStyle name="Output 2 20 5 2 3" xfId="57564"/>
    <cellStyle name="Output 2 20 5 3" xfId="34741"/>
    <cellStyle name="Output 2 20 5 4" xfId="57565"/>
    <cellStyle name="Output 2 20 6" xfId="20241"/>
    <cellStyle name="Output 2 20 6 2" xfId="28563"/>
    <cellStyle name="Output 2 20 6 2 2" xfId="57566"/>
    <cellStyle name="Output 2 20 6 2 3" xfId="57567"/>
    <cellStyle name="Output 2 20 6 3" xfId="35680"/>
    <cellStyle name="Output 2 20 6 4" xfId="57568"/>
    <cellStyle name="Output 2 20 7" xfId="21702"/>
    <cellStyle name="Output 2 20 7 2" xfId="30003"/>
    <cellStyle name="Output 2 20 7 2 2" xfId="57569"/>
    <cellStyle name="Output 2 20 7 2 3" xfId="57570"/>
    <cellStyle name="Output 2 20 7 3" xfId="37054"/>
    <cellStyle name="Output 2 20 7 4" xfId="57571"/>
    <cellStyle name="Output 2 20 8" xfId="22630"/>
    <cellStyle name="Output 2 20 8 2" xfId="30926"/>
    <cellStyle name="Output 2 20 8 3" xfId="37937"/>
    <cellStyle name="Output 2 20 9" xfId="23572"/>
    <cellStyle name="Output 2 21" xfId="15211"/>
    <cellStyle name="Output 2 21 10" xfId="57572"/>
    <cellStyle name="Output 2 21 2" xfId="16291"/>
    <cellStyle name="Output 2 21 2 2" xfId="24604"/>
    <cellStyle name="Output 2 21 2 2 2" xfId="57573"/>
    <cellStyle name="Output 2 21 2 2 3" xfId="57574"/>
    <cellStyle name="Output 2 21 2 3" xfId="31873"/>
    <cellStyle name="Output 2 21 2 4" xfId="57575"/>
    <cellStyle name="Output 2 21 3" xfId="17257"/>
    <cellStyle name="Output 2 21 3 2" xfId="25578"/>
    <cellStyle name="Output 2 21 3 2 2" xfId="57576"/>
    <cellStyle name="Output 2 21 3 2 3" xfId="57577"/>
    <cellStyle name="Output 2 21 3 3" xfId="32806"/>
    <cellStyle name="Output 2 21 3 4" xfId="57578"/>
    <cellStyle name="Output 2 21 4" xfId="18285"/>
    <cellStyle name="Output 2 21 4 2" xfId="26605"/>
    <cellStyle name="Output 2 21 4 2 2" xfId="57579"/>
    <cellStyle name="Output 2 21 4 2 3" xfId="57580"/>
    <cellStyle name="Output 2 21 4 3" xfId="33784"/>
    <cellStyle name="Output 2 21 4 4" xfId="57581"/>
    <cellStyle name="Output 2 21 5" xfId="19269"/>
    <cellStyle name="Output 2 21 5 2" xfId="27589"/>
    <cellStyle name="Output 2 21 5 2 2" xfId="57582"/>
    <cellStyle name="Output 2 21 5 2 3" xfId="57583"/>
    <cellStyle name="Output 2 21 5 3" xfId="34737"/>
    <cellStyle name="Output 2 21 5 4" xfId="57584"/>
    <cellStyle name="Output 2 21 6" xfId="20237"/>
    <cellStyle name="Output 2 21 6 2" xfId="28559"/>
    <cellStyle name="Output 2 21 6 2 2" xfId="57585"/>
    <cellStyle name="Output 2 21 6 2 3" xfId="57586"/>
    <cellStyle name="Output 2 21 6 3" xfId="35676"/>
    <cellStyle name="Output 2 21 6 4" xfId="57587"/>
    <cellStyle name="Output 2 21 7" xfId="21698"/>
    <cellStyle name="Output 2 21 7 2" xfId="29999"/>
    <cellStyle name="Output 2 21 7 2 2" xfId="57588"/>
    <cellStyle name="Output 2 21 7 2 3" xfId="57589"/>
    <cellStyle name="Output 2 21 7 3" xfId="37050"/>
    <cellStyle name="Output 2 21 7 4" xfId="57590"/>
    <cellStyle name="Output 2 21 8" xfId="22626"/>
    <cellStyle name="Output 2 21 8 2" xfId="30922"/>
    <cellStyle name="Output 2 21 8 3" xfId="37933"/>
    <cellStyle name="Output 2 21 9" xfId="23568"/>
    <cellStyle name="Output 2 22" xfId="15347"/>
    <cellStyle name="Output 2 22 10" xfId="57591"/>
    <cellStyle name="Output 2 22 2" xfId="16427"/>
    <cellStyle name="Output 2 22 2 2" xfId="24740"/>
    <cellStyle name="Output 2 22 2 2 2" xfId="57592"/>
    <cellStyle name="Output 2 22 2 2 3" xfId="57593"/>
    <cellStyle name="Output 2 22 2 3" xfId="32005"/>
    <cellStyle name="Output 2 22 2 4" xfId="57594"/>
    <cellStyle name="Output 2 22 3" xfId="17393"/>
    <cellStyle name="Output 2 22 3 2" xfId="25714"/>
    <cellStyle name="Output 2 22 3 2 2" xfId="57595"/>
    <cellStyle name="Output 2 22 3 2 3" xfId="57596"/>
    <cellStyle name="Output 2 22 3 3" xfId="32938"/>
    <cellStyle name="Output 2 22 3 4" xfId="57597"/>
    <cellStyle name="Output 2 22 4" xfId="18421"/>
    <cellStyle name="Output 2 22 4 2" xfId="26741"/>
    <cellStyle name="Output 2 22 4 2 2" xfId="57598"/>
    <cellStyle name="Output 2 22 4 2 3" xfId="57599"/>
    <cellStyle name="Output 2 22 4 3" xfId="33916"/>
    <cellStyle name="Output 2 22 4 4" xfId="57600"/>
    <cellStyle name="Output 2 22 5" xfId="19404"/>
    <cellStyle name="Output 2 22 5 2" xfId="27725"/>
    <cellStyle name="Output 2 22 5 2 2" xfId="57601"/>
    <cellStyle name="Output 2 22 5 2 3" xfId="57602"/>
    <cellStyle name="Output 2 22 5 3" xfId="34873"/>
    <cellStyle name="Output 2 22 5 4" xfId="57603"/>
    <cellStyle name="Output 2 22 6" xfId="20373"/>
    <cellStyle name="Output 2 22 6 2" xfId="28695"/>
    <cellStyle name="Output 2 22 6 2 2" xfId="57604"/>
    <cellStyle name="Output 2 22 6 2 3" xfId="57605"/>
    <cellStyle name="Output 2 22 6 3" xfId="35808"/>
    <cellStyle name="Output 2 22 6 4" xfId="57606"/>
    <cellStyle name="Output 2 22 7" xfId="21834"/>
    <cellStyle name="Output 2 22 7 2" xfId="30135"/>
    <cellStyle name="Output 2 22 7 2 2" xfId="57607"/>
    <cellStyle name="Output 2 22 7 2 3" xfId="57608"/>
    <cellStyle name="Output 2 22 7 3" xfId="37182"/>
    <cellStyle name="Output 2 22 7 4" xfId="57609"/>
    <cellStyle name="Output 2 22 8" xfId="22762"/>
    <cellStyle name="Output 2 22 8 2" xfId="31058"/>
    <cellStyle name="Output 2 22 8 3" xfId="38065"/>
    <cellStyle name="Output 2 22 9" xfId="23704"/>
    <cellStyle name="Output 2 23" xfId="15462"/>
    <cellStyle name="Output 2 23 10" xfId="57610"/>
    <cellStyle name="Output 2 23 2" xfId="16542"/>
    <cellStyle name="Output 2 23 2 2" xfId="24855"/>
    <cellStyle name="Output 2 23 2 2 2" xfId="57611"/>
    <cellStyle name="Output 2 23 2 2 3" xfId="57612"/>
    <cellStyle name="Output 2 23 2 3" xfId="32115"/>
    <cellStyle name="Output 2 23 2 4" xfId="57613"/>
    <cellStyle name="Output 2 23 3" xfId="17508"/>
    <cellStyle name="Output 2 23 3 2" xfId="25829"/>
    <cellStyle name="Output 2 23 3 2 2" xfId="57614"/>
    <cellStyle name="Output 2 23 3 2 3" xfId="57615"/>
    <cellStyle name="Output 2 23 3 3" xfId="33048"/>
    <cellStyle name="Output 2 23 3 4" xfId="57616"/>
    <cellStyle name="Output 2 23 4" xfId="18536"/>
    <cellStyle name="Output 2 23 4 2" xfId="26856"/>
    <cellStyle name="Output 2 23 4 2 2" xfId="57617"/>
    <cellStyle name="Output 2 23 4 2 3" xfId="57618"/>
    <cellStyle name="Output 2 23 4 3" xfId="34026"/>
    <cellStyle name="Output 2 23 4 4" xfId="57619"/>
    <cellStyle name="Output 2 23 5" xfId="19519"/>
    <cellStyle name="Output 2 23 5 2" xfId="27840"/>
    <cellStyle name="Output 2 23 5 2 2" xfId="57620"/>
    <cellStyle name="Output 2 23 5 2 3" xfId="57621"/>
    <cellStyle name="Output 2 23 5 3" xfId="34988"/>
    <cellStyle name="Output 2 23 5 4" xfId="57622"/>
    <cellStyle name="Output 2 23 6" xfId="20488"/>
    <cellStyle name="Output 2 23 6 2" xfId="28810"/>
    <cellStyle name="Output 2 23 6 2 2" xfId="57623"/>
    <cellStyle name="Output 2 23 6 2 3" xfId="57624"/>
    <cellStyle name="Output 2 23 6 3" xfId="35918"/>
    <cellStyle name="Output 2 23 6 4" xfId="57625"/>
    <cellStyle name="Output 2 23 7" xfId="21949"/>
    <cellStyle name="Output 2 23 7 2" xfId="30250"/>
    <cellStyle name="Output 2 23 7 2 2" xfId="57626"/>
    <cellStyle name="Output 2 23 7 2 3" xfId="57627"/>
    <cellStyle name="Output 2 23 7 3" xfId="37291"/>
    <cellStyle name="Output 2 23 7 4" xfId="57628"/>
    <cellStyle name="Output 2 23 8" xfId="22877"/>
    <cellStyle name="Output 2 23 8 2" xfId="31173"/>
    <cellStyle name="Output 2 23 8 3" xfId="38175"/>
    <cellStyle name="Output 2 23 9" xfId="23819"/>
    <cellStyle name="Output 2 24" xfId="15513"/>
    <cellStyle name="Output 2 24 2" xfId="23853"/>
    <cellStyle name="Output 2 24 2 2" xfId="57629"/>
    <cellStyle name="Output 2 24 2 3" xfId="57630"/>
    <cellStyle name="Output 2 24 3" xfId="31200"/>
    <cellStyle name="Output 2 24 4" xfId="57631"/>
    <cellStyle name="Output 2 25" xfId="17552"/>
    <cellStyle name="Output 2 25 2" xfId="25871"/>
    <cellStyle name="Output 2 25 2 2" xfId="57632"/>
    <cellStyle name="Output 2 25 2 3" xfId="57633"/>
    <cellStyle name="Output 2 25 3" xfId="33088"/>
    <cellStyle name="Output 2 25 4" xfId="57634"/>
    <cellStyle name="Output 2 26" xfId="15489"/>
    <cellStyle name="Output 2 26 2" xfId="23831"/>
    <cellStyle name="Output 2 26 2 2" xfId="57635"/>
    <cellStyle name="Output 2 26 2 3" xfId="57636"/>
    <cellStyle name="Output 2 26 3" xfId="31180"/>
    <cellStyle name="Output 2 26 4" xfId="57637"/>
    <cellStyle name="Output 2 27" xfId="21199"/>
    <cellStyle name="Output 2 27 2" xfId="29511"/>
    <cellStyle name="Output 2 27 2 2" xfId="57638"/>
    <cellStyle name="Output 2 27 2 3" xfId="57639"/>
    <cellStyle name="Output 2 27 3" xfId="36581"/>
    <cellStyle name="Output 2 27 4" xfId="57640"/>
    <cellStyle name="Output 2 28" xfId="14527"/>
    <cellStyle name="Output 2 28 2" xfId="57641"/>
    <cellStyle name="Output 2 28 3" xfId="57642"/>
    <cellStyle name="Output 2 29" xfId="57643"/>
    <cellStyle name="Output 2 3" xfId="73"/>
    <cellStyle name="Output 2 3 10" xfId="14434"/>
    <cellStyle name="Output 2 3 10 2" xfId="57644"/>
    <cellStyle name="Output 2 3 10 3" xfId="57645"/>
    <cellStyle name="Output 2 3 11" xfId="57646"/>
    <cellStyle name="Output 2 3 12" xfId="57647"/>
    <cellStyle name="Output 2 3 13" xfId="57648"/>
    <cellStyle name="Output 2 3 14" xfId="57649"/>
    <cellStyle name="Output 2 3 2" xfId="150"/>
    <cellStyle name="Output 2 3 2 2" xfId="276"/>
    <cellStyle name="Output 2 3 2 2 2" xfId="685"/>
    <cellStyle name="Output 2 3 2 2 2 2" xfId="1636"/>
    <cellStyle name="Output 2 3 2 2 2 2 2" xfId="771"/>
    <cellStyle name="Output 2 3 2 2 2 2 2 2" xfId="2745"/>
    <cellStyle name="Output 2 3 2 2 2 2 2 2 2" xfId="6165"/>
    <cellStyle name="Output 2 3 2 2 2 2 2 2 2 2" xfId="13005"/>
    <cellStyle name="Output 2 3 2 2 2 2 2 2 3" xfId="9585"/>
    <cellStyle name="Output 2 3 2 2 2 2 2 3" xfId="3885"/>
    <cellStyle name="Output 2 3 2 2 2 2 2 3 2" xfId="7305"/>
    <cellStyle name="Output 2 3 2 2 2 2 2 3 2 2" xfId="14145"/>
    <cellStyle name="Output 2 3 2 2 2 2 2 3 3" xfId="10725"/>
    <cellStyle name="Output 2 3 2 2 2 2 2 4" xfId="5025"/>
    <cellStyle name="Output 2 3 2 2 2 2 2 4 2" xfId="11865"/>
    <cellStyle name="Output 2 3 2 2 2 2 2 5" xfId="8445"/>
    <cellStyle name="Output 2 3 2 2 2 2 3" xfId="2470"/>
    <cellStyle name="Output 2 3 2 2 2 2 3 2" xfId="5890"/>
    <cellStyle name="Output 2 3 2 2 2 2 3 2 2" xfId="12730"/>
    <cellStyle name="Output 2 3 2 2 2 2 3 3" xfId="9310"/>
    <cellStyle name="Output 2 3 2 2 2 2 4" xfId="3610"/>
    <cellStyle name="Output 2 3 2 2 2 2 4 2" xfId="7030"/>
    <cellStyle name="Output 2 3 2 2 2 2 4 2 2" xfId="13870"/>
    <cellStyle name="Output 2 3 2 2 2 2 4 3" xfId="10450"/>
    <cellStyle name="Output 2 3 2 2 2 2 5" xfId="4750"/>
    <cellStyle name="Output 2 3 2 2 2 2 5 2" xfId="11590"/>
    <cellStyle name="Output 2 3 2 2 2 2 6" xfId="8170"/>
    <cellStyle name="Output 2 3 2 2 2 3" xfId="38529"/>
    <cellStyle name="Output 2 3 2 2 2 4" xfId="57650"/>
    <cellStyle name="Output 2 3 2 2 2 5" xfId="57651"/>
    <cellStyle name="Output 2 3 2 2 2 6" xfId="57652"/>
    <cellStyle name="Output 2 3 2 2 3" xfId="1282"/>
    <cellStyle name="Output 2 3 2 2 3 2" xfId="1754"/>
    <cellStyle name="Output 2 3 2 2 3 2 2" xfId="2894"/>
    <cellStyle name="Output 2 3 2 2 3 2 2 2" xfId="6314"/>
    <cellStyle name="Output 2 3 2 2 3 2 2 2 2" xfId="13154"/>
    <cellStyle name="Output 2 3 2 2 3 2 2 3" xfId="9734"/>
    <cellStyle name="Output 2 3 2 2 3 2 3" xfId="4034"/>
    <cellStyle name="Output 2 3 2 2 3 2 3 2" xfId="7454"/>
    <cellStyle name="Output 2 3 2 2 3 2 3 2 2" xfId="14294"/>
    <cellStyle name="Output 2 3 2 2 3 2 3 3" xfId="10874"/>
    <cellStyle name="Output 2 3 2 2 3 2 4" xfId="5174"/>
    <cellStyle name="Output 2 3 2 2 3 2 4 2" xfId="12014"/>
    <cellStyle name="Output 2 3 2 2 3 2 5" xfId="8594"/>
    <cellStyle name="Output 2 3 2 2 3 3" xfId="2102"/>
    <cellStyle name="Output 2 3 2 2 3 3 2" xfId="5522"/>
    <cellStyle name="Output 2 3 2 2 3 3 2 2" xfId="12362"/>
    <cellStyle name="Output 2 3 2 2 3 3 3" xfId="8942"/>
    <cellStyle name="Output 2 3 2 2 3 4" xfId="3242"/>
    <cellStyle name="Output 2 3 2 2 3 4 2" xfId="6662"/>
    <cellStyle name="Output 2 3 2 2 3 4 2 2" xfId="13502"/>
    <cellStyle name="Output 2 3 2 2 3 4 3" xfId="10082"/>
    <cellStyle name="Output 2 3 2 2 3 5" xfId="4382"/>
    <cellStyle name="Output 2 3 2 2 3 5 2" xfId="11222"/>
    <cellStyle name="Output 2 3 2 2 3 6" xfId="7802"/>
    <cellStyle name="Output 2 3 2 2 4" xfId="38292"/>
    <cellStyle name="Output 2 3 2 2 5" xfId="57653"/>
    <cellStyle name="Output 2 3 2 2 6" xfId="57654"/>
    <cellStyle name="Output 2 3 2 2 7" xfId="57655"/>
    <cellStyle name="Output 2 3 2 2 8" xfId="57656"/>
    <cellStyle name="Output 2 3 2 3" xfId="597"/>
    <cellStyle name="Output 2 3 2 3 2" xfId="1584"/>
    <cellStyle name="Output 2 3 2 3 2 2" xfId="1687"/>
    <cellStyle name="Output 2 3 2 3 2 2 2" xfId="2827"/>
    <cellStyle name="Output 2 3 2 3 2 2 2 2" xfId="6247"/>
    <cellStyle name="Output 2 3 2 3 2 2 2 2 2" xfId="13087"/>
    <cellStyle name="Output 2 3 2 3 2 2 2 3" xfId="9667"/>
    <cellStyle name="Output 2 3 2 3 2 2 3" xfId="3967"/>
    <cellStyle name="Output 2 3 2 3 2 2 3 2" xfId="7387"/>
    <cellStyle name="Output 2 3 2 3 2 2 3 2 2" xfId="14227"/>
    <cellStyle name="Output 2 3 2 3 2 2 3 3" xfId="10807"/>
    <cellStyle name="Output 2 3 2 3 2 2 4" xfId="5107"/>
    <cellStyle name="Output 2 3 2 3 2 2 4 2" xfId="11947"/>
    <cellStyle name="Output 2 3 2 3 2 2 5" xfId="8527"/>
    <cellStyle name="Output 2 3 2 3 2 3" xfId="2409"/>
    <cellStyle name="Output 2 3 2 3 2 3 2" xfId="5829"/>
    <cellStyle name="Output 2 3 2 3 2 3 2 2" xfId="12669"/>
    <cellStyle name="Output 2 3 2 3 2 3 3" xfId="9249"/>
    <cellStyle name="Output 2 3 2 3 2 4" xfId="3549"/>
    <cellStyle name="Output 2 3 2 3 2 4 2" xfId="6969"/>
    <cellStyle name="Output 2 3 2 3 2 4 2 2" xfId="13809"/>
    <cellStyle name="Output 2 3 2 3 2 4 3" xfId="10389"/>
    <cellStyle name="Output 2 3 2 3 2 5" xfId="4689"/>
    <cellStyle name="Output 2 3 2 3 2 5 2" xfId="11529"/>
    <cellStyle name="Output 2 3 2 3 2 6" xfId="8109"/>
    <cellStyle name="Output 2 3 2 3 3" xfId="38478"/>
    <cellStyle name="Output 2 3 2 3 4" xfId="57657"/>
    <cellStyle name="Output 2 3 2 3 5" xfId="57658"/>
    <cellStyle name="Output 2 3 2 3 6" xfId="57659"/>
    <cellStyle name="Output 2 3 2 4" xfId="1158"/>
    <cellStyle name="Output 2 3 2 4 2" xfId="1048"/>
    <cellStyle name="Output 2 3 2 4 2 2" xfId="2554"/>
    <cellStyle name="Output 2 3 2 4 2 2 2" xfId="5974"/>
    <cellStyle name="Output 2 3 2 4 2 2 2 2" xfId="12814"/>
    <cellStyle name="Output 2 3 2 4 2 2 3" xfId="9394"/>
    <cellStyle name="Output 2 3 2 4 2 3" xfId="3694"/>
    <cellStyle name="Output 2 3 2 4 2 3 2" xfId="7114"/>
    <cellStyle name="Output 2 3 2 4 2 3 2 2" xfId="13954"/>
    <cellStyle name="Output 2 3 2 4 2 3 3" xfId="10534"/>
    <cellStyle name="Output 2 3 2 4 2 4" xfId="4834"/>
    <cellStyle name="Output 2 3 2 4 2 4 2" xfId="11674"/>
    <cellStyle name="Output 2 3 2 4 2 5" xfId="8254"/>
    <cellStyle name="Output 2 3 2 4 3" xfId="1977"/>
    <cellStyle name="Output 2 3 2 4 3 2" xfId="5397"/>
    <cellStyle name="Output 2 3 2 4 3 2 2" xfId="12237"/>
    <cellStyle name="Output 2 3 2 4 3 3" xfId="8817"/>
    <cellStyle name="Output 2 3 2 4 4" xfId="3117"/>
    <cellStyle name="Output 2 3 2 4 4 2" xfId="6537"/>
    <cellStyle name="Output 2 3 2 4 4 2 2" xfId="13377"/>
    <cellStyle name="Output 2 3 2 4 4 3" xfId="9957"/>
    <cellStyle name="Output 2 3 2 4 5" xfId="4257"/>
    <cellStyle name="Output 2 3 2 4 5 2" xfId="11097"/>
    <cellStyle name="Output 2 3 2 4 6" xfId="7677"/>
    <cellStyle name="Output 2 3 2 5" xfId="15594"/>
    <cellStyle name="Output 2 3 2 6" xfId="23908"/>
    <cellStyle name="Output 2 3 2 7" xfId="38214"/>
    <cellStyle name="Output 2 3 2 8" xfId="57660"/>
    <cellStyle name="Output 2 3 3" xfId="316"/>
    <cellStyle name="Output 2 3 3 2" xfId="345"/>
    <cellStyle name="Output 2 3 3 2 2" xfId="1350"/>
    <cellStyle name="Output 2 3 3 2 2 2" xfId="942"/>
    <cellStyle name="Output 2 3 3 2 2 2 2" xfId="1884"/>
    <cellStyle name="Output 2 3 3 2 2 2 2 2" xfId="5304"/>
    <cellStyle name="Output 2 3 3 2 2 2 2 2 2" xfId="12144"/>
    <cellStyle name="Output 2 3 3 2 2 2 2 3" xfId="8724"/>
    <cellStyle name="Output 2 3 3 2 2 2 3" xfId="3024"/>
    <cellStyle name="Output 2 3 3 2 2 2 3 2" xfId="6444"/>
    <cellStyle name="Output 2 3 3 2 2 2 3 2 2" xfId="13284"/>
    <cellStyle name="Output 2 3 3 2 2 2 3 3" xfId="9864"/>
    <cellStyle name="Output 2 3 3 2 2 2 4" xfId="4164"/>
    <cellStyle name="Output 2 3 3 2 2 2 4 2" xfId="11004"/>
    <cellStyle name="Output 2 3 3 2 2 2 5" xfId="7584"/>
    <cellStyle name="Output 2 3 3 2 2 3" xfId="2171"/>
    <cellStyle name="Output 2 3 3 2 2 3 2" xfId="5591"/>
    <cellStyle name="Output 2 3 3 2 2 3 2 2" xfId="12431"/>
    <cellStyle name="Output 2 3 3 2 2 3 3" xfId="9011"/>
    <cellStyle name="Output 2 3 3 2 2 4" xfId="3311"/>
    <cellStyle name="Output 2 3 3 2 2 4 2" xfId="6731"/>
    <cellStyle name="Output 2 3 3 2 2 4 2 2" xfId="13571"/>
    <cellStyle name="Output 2 3 3 2 2 4 3" xfId="10151"/>
    <cellStyle name="Output 2 3 3 2 2 5" xfId="4451"/>
    <cellStyle name="Output 2 3 3 2 2 5 2" xfId="11291"/>
    <cellStyle name="Output 2 3 3 2 2 6" xfId="7871"/>
    <cellStyle name="Output 2 3 3 2 3" xfId="38334"/>
    <cellStyle name="Output 2 3 3 2 4" xfId="57661"/>
    <cellStyle name="Output 2 3 3 2 5" xfId="57662"/>
    <cellStyle name="Output 2 3 3 2 6" xfId="57663"/>
    <cellStyle name="Output 2 3 3 2 7" xfId="57664"/>
    <cellStyle name="Output 2 3 3 3" xfId="1321"/>
    <cellStyle name="Output 2 3 3 3 2" xfId="968"/>
    <cellStyle name="Output 2 3 3 3 2 2" xfId="2559"/>
    <cellStyle name="Output 2 3 3 3 2 2 2" xfId="5979"/>
    <cellStyle name="Output 2 3 3 3 2 2 2 2" xfId="12819"/>
    <cellStyle name="Output 2 3 3 3 2 2 3" xfId="9399"/>
    <cellStyle name="Output 2 3 3 3 2 3" xfId="3699"/>
    <cellStyle name="Output 2 3 3 3 2 3 2" xfId="7119"/>
    <cellStyle name="Output 2 3 3 3 2 3 2 2" xfId="13959"/>
    <cellStyle name="Output 2 3 3 3 2 3 3" xfId="10539"/>
    <cellStyle name="Output 2 3 3 3 2 4" xfId="4839"/>
    <cellStyle name="Output 2 3 3 3 2 4 2" xfId="11679"/>
    <cellStyle name="Output 2 3 3 3 2 5" xfId="8259"/>
    <cellStyle name="Output 2 3 3 3 3" xfId="2142"/>
    <cellStyle name="Output 2 3 3 3 3 2" xfId="5562"/>
    <cellStyle name="Output 2 3 3 3 3 2 2" xfId="12402"/>
    <cellStyle name="Output 2 3 3 3 3 3" xfId="8982"/>
    <cellStyle name="Output 2 3 3 3 4" xfId="3282"/>
    <cellStyle name="Output 2 3 3 3 4 2" xfId="6702"/>
    <cellStyle name="Output 2 3 3 3 4 2 2" xfId="13542"/>
    <cellStyle name="Output 2 3 3 3 4 3" xfId="10122"/>
    <cellStyle name="Output 2 3 3 3 5" xfId="4422"/>
    <cellStyle name="Output 2 3 3 3 5 2" xfId="11262"/>
    <cellStyle name="Output 2 3 3 3 6" xfId="7842"/>
    <cellStyle name="Output 2 3 3 4" xfId="16564"/>
    <cellStyle name="Output 2 3 3 5" xfId="24879"/>
    <cellStyle name="Output 2 3 3 6" xfId="32139"/>
    <cellStyle name="Output 2 3 3 7" xfId="57665"/>
    <cellStyle name="Output 2 3 3 8" xfId="57666"/>
    <cellStyle name="Output 2 3 4" xfId="215"/>
    <cellStyle name="Output 2 3 4 2" xfId="179"/>
    <cellStyle name="Output 2 3 4 2 2" xfId="1187"/>
    <cellStyle name="Output 2 3 4 2 2 2" xfId="1733"/>
    <cellStyle name="Output 2 3 4 2 2 2 2" xfId="2873"/>
    <cellStyle name="Output 2 3 4 2 2 2 2 2" xfId="6293"/>
    <cellStyle name="Output 2 3 4 2 2 2 2 2 2" xfId="13133"/>
    <cellStyle name="Output 2 3 4 2 2 2 2 3" xfId="9713"/>
    <cellStyle name="Output 2 3 4 2 2 2 3" xfId="4013"/>
    <cellStyle name="Output 2 3 4 2 2 2 3 2" xfId="7433"/>
    <cellStyle name="Output 2 3 4 2 2 2 3 2 2" xfId="14273"/>
    <cellStyle name="Output 2 3 4 2 2 2 3 3" xfId="10853"/>
    <cellStyle name="Output 2 3 4 2 2 2 4" xfId="5153"/>
    <cellStyle name="Output 2 3 4 2 2 2 4 2" xfId="11993"/>
    <cellStyle name="Output 2 3 4 2 2 2 5" xfId="8573"/>
    <cellStyle name="Output 2 3 4 2 2 3" xfId="2006"/>
    <cellStyle name="Output 2 3 4 2 2 3 2" xfId="5426"/>
    <cellStyle name="Output 2 3 4 2 2 3 2 2" xfId="12266"/>
    <cellStyle name="Output 2 3 4 2 2 3 3" xfId="8846"/>
    <cellStyle name="Output 2 3 4 2 2 4" xfId="3146"/>
    <cellStyle name="Output 2 3 4 2 2 4 2" xfId="6566"/>
    <cellStyle name="Output 2 3 4 2 2 4 2 2" xfId="13406"/>
    <cellStyle name="Output 2 3 4 2 2 4 3" xfId="9986"/>
    <cellStyle name="Output 2 3 4 2 2 5" xfId="4286"/>
    <cellStyle name="Output 2 3 4 2 2 5 2" xfId="11126"/>
    <cellStyle name="Output 2 3 4 2 2 6" xfId="7706"/>
    <cellStyle name="Output 2 3 4 2 3" xfId="38236"/>
    <cellStyle name="Output 2 3 4 2 4" xfId="57667"/>
    <cellStyle name="Output 2 3 4 2 5" xfId="57668"/>
    <cellStyle name="Output 2 3 4 2 6" xfId="57669"/>
    <cellStyle name="Output 2 3 4 2 7" xfId="57670"/>
    <cellStyle name="Output 2 3 4 3" xfId="1222"/>
    <cellStyle name="Output 2 3 4 3 2" xfId="1826"/>
    <cellStyle name="Output 2 3 4 3 2 2" xfId="2966"/>
    <cellStyle name="Output 2 3 4 3 2 2 2" xfId="6386"/>
    <cellStyle name="Output 2 3 4 3 2 2 2 2" xfId="13226"/>
    <cellStyle name="Output 2 3 4 3 2 2 3" xfId="9806"/>
    <cellStyle name="Output 2 3 4 3 2 3" xfId="4106"/>
    <cellStyle name="Output 2 3 4 3 2 3 2" xfId="7526"/>
    <cellStyle name="Output 2 3 4 3 2 3 2 2" xfId="14366"/>
    <cellStyle name="Output 2 3 4 3 2 3 3" xfId="10946"/>
    <cellStyle name="Output 2 3 4 3 2 4" xfId="5246"/>
    <cellStyle name="Output 2 3 4 3 2 4 2" xfId="12086"/>
    <cellStyle name="Output 2 3 4 3 2 5" xfId="8666"/>
    <cellStyle name="Output 2 3 4 3 3" xfId="2042"/>
    <cellStyle name="Output 2 3 4 3 3 2" xfId="5462"/>
    <cellStyle name="Output 2 3 4 3 3 2 2" xfId="12302"/>
    <cellStyle name="Output 2 3 4 3 3 3" xfId="8882"/>
    <cellStyle name="Output 2 3 4 3 4" xfId="3182"/>
    <cellStyle name="Output 2 3 4 3 4 2" xfId="6602"/>
    <cellStyle name="Output 2 3 4 3 4 2 2" xfId="13442"/>
    <cellStyle name="Output 2 3 4 3 4 3" xfId="10022"/>
    <cellStyle name="Output 2 3 4 3 5" xfId="4322"/>
    <cellStyle name="Output 2 3 4 3 5 2" xfId="11162"/>
    <cellStyle name="Output 2 3 4 3 6" xfId="7742"/>
    <cellStyle name="Output 2 3 4 4" xfId="17582"/>
    <cellStyle name="Output 2 3 4 5" xfId="25903"/>
    <cellStyle name="Output 2 3 4 6" xfId="33116"/>
    <cellStyle name="Output 2 3 4 7" xfId="57671"/>
    <cellStyle name="Output 2 3 4 8" xfId="57672"/>
    <cellStyle name="Output 2 3 5" xfId="478"/>
    <cellStyle name="Output 2 3 5 2" xfId="546"/>
    <cellStyle name="Output 2 3 5 2 2" xfId="1550"/>
    <cellStyle name="Output 2 3 5 2 2 2" xfId="835"/>
    <cellStyle name="Output 2 3 5 2 2 2 2" xfId="2776"/>
    <cellStyle name="Output 2 3 5 2 2 2 2 2" xfId="6196"/>
    <cellStyle name="Output 2 3 5 2 2 2 2 2 2" xfId="13036"/>
    <cellStyle name="Output 2 3 5 2 2 2 2 3" xfId="9616"/>
    <cellStyle name="Output 2 3 5 2 2 2 3" xfId="3916"/>
    <cellStyle name="Output 2 3 5 2 2 2 3 2" xfId="7336"/>
    <cellStyle name="Output 2 3 5 2 2 2 3 2 2" xfId="14176"/>
    <cellStyle name="Output 2 3 5 2 2 2 3 3" xfId="10756"/>
    <cellStyle name="Output 2 3 5 2 2 2 4" xfId="5056"/>
    <cellStyle name="Output 2 3 5 2 2 2 4 2" xfId="11896"/>
    <cellStyle name="Output 2 3 5 2 2 2 5" xfId="8476"/>
    <cellStyle name="Output 2 3 5 2 2 3" xfId="2371"/>
    <cellStyle name="Output 2 3 5 2 2 3 2" xfId="5791"/>
    <cellStyle name="Output 2 3 5 2 2 3 2 2" xfId="12631"/>
    <cellStyle name="Output 2 3 5 2 2 3 3" xfId="9211"/>
    <cellStyle name="Output 2 3 5 2 2 4" xfId="3511"/>
    <cellStyle name="Output 2 3 5 2 2 4 2" xfId="6931"/>
    <cellStyle name="Output 2 3 5 2 2 4 2 2" xfId="13771"/>
    <cellStyle name="Output 2 3 5 2 2 4 3" xfId="10351"/>
    <cellStyle name="Output 2 3 5 2 2 5" xfId="4651"/>
    <cellStyle name="Output 2 3 5 2 2 5 2" xfId="11491"/>
    <cellStyle name="Output 2 3 5 2 2 6" xfId="8071"/>
    <cellStyle name="Output 2 3 5 2 3" xfId="38461"/>
    <cellStyle name="Output 2 3 5 2 4" xfId="57673"/>
    <cellStyle name="Output 2 3 5 2 5" xfId="57674"/>
    <cellStyle name="Output 2 3 5 2 6" xfId="57675"/>
    <cellStyle name="Output 2 3 5 2 7" xfId="57676"/>
    <cellStyle name="Output 2 3 5 3" xfId="1482"/>
    <cellStyle name="Output 2 3 5 3 2" xfId="1672"/>
    <cellStyle name="Output 2 3 5 3 2 2" xfId="2812"/>
    <cellStyle name="Output 2 3 5 3 2 2 2" xfId="6232"/>
    <cellStyle name="Output 2 3 5 3 2 2 2 2" xfId="13072"/>
    <cellStyle name="Output 2 3 5 3 2 2 3" xfId="9652"/>
    <cellStyle name="Output 2 3 5 3 2 3" xfId="3952"/>
    <cellStyle name="Output 2 3 5 3 2 3 2" xfId="7372"/>
    <cellStyle name="Output 2 3 5 3 2 3 2 2" xfId="14212"/>
    <cellStyle name="Output 2 3 5 3 2 3 3" xfId="10792"/>
    <cellStyle name="Output 2 3 5 3 2 4" xfId="5092"/>
    <cellStyle name="Output 2 3 5 3 2 4 2" xfId="11932"/>
    <cellStyle name="Output 2 3 5 3 2 5" xfId="8512"/>
    <cellStyle name="Output 2 3 5 3 3" xfId="2303"/>
    <cellStyle name="Output 2 3 5 3 3 2" xfId="5723"/>
    <cellStyle name="Output 2 3 5 3 3 2 2" xfId="12563"/>
    <cellStyle name="Output 2 3 5 3 3 3" xfId="9143"/>
    <cellStyle name="Output 2 3 5 3 4" xfId="3443"/>
    <cellStyle name="Output 2 3 5 3 4 2" xfId="6863"/>
    <cellStyle name="Output 2 3 5 3 4 2 2" xfId="13703"/>
    <cellStyle name="Output 2 3 5 3 4 3" xfId="10283"/>
    <cellStyle name="Output 2 3 5 3 5" xfId="4583"/>
    <cellStyle name="Output 2 3 5 3 5 2" xfId="11423"/>
    <cellStyle name="Output 2 3 5 3 6" xfId="8003"/>
    <cellStyle name="Output 2 3 5 4" xfId="18563"/>
    <cellStyle name="Output 2 3 5 5" xfId="26881"/>
    <cellStyle name="Output 2 3 5 6" xfId="34050"/>
    <cellStyle name="Output 2 3 5 7" xfId="57677"/>
    <cellStyle name="Output 2 3 5 8" xfId="57678"/>
    <cellStyle name="Output 2 3 6" xfId="400"/>
    <cellStyle name="Output 2 3 6 2" xfId="475"/>
    <cellStyle name="Output 2 3 6 2 2" xfId="1479"/>
    <cellStyle name="Output 2 3 6 2 2 2" xfId="870"/>
    <cellStyle name="Output 2 3 6 2 2 2 2" xfId="2651"/>
    <cellStyle name="Output 2 3 6 2 2 2 2 2" xfId="6071"/>
    <cellStyle name="Output 2 3 6 2 2 2 2 2 2" xfId="12911"/>
    <cellStyle name="Output 2 3 6 2 2 2 2 3" xfId="9491"/>
    <cellStyle name="Output 2 3 6 2 2 2 3" xfId="3791"/>
    <cellStyle name="Output 2 3 6 2 2 2 3 2" xfId="7211"/>
    <cellStyle name="Output 2 3 6 2 2 2 3 2 2" xfId="14051"/>
    <cellStyle name="Output 2 3 6 2 2 2 3 3" xfId="10631"/>
    <cellStyle name="Output 2 3 6 2 2 2 4" xfId="4931"/>
    <cellStyle name="Output 2 3 6 2 2 2 4 2" xfId="11771"/>
    <cellStyle name="Output 2 3 6 2 2 2 5" xfId="8351"/>
    <cellStyle name="Output 2 3 6 2 2 3" xfId="2300"/>
    <cellStyle name="Output 2 3 6 2 2 3 2" xfId="5720"/>
    <cellStyle name="Output 2 3 6 2 2 3 2 2" xfId="12560"/>
    <cellStyle name="Output 2 3 6 2 2 3 3" xfId="9140"/>
    <cellStyle name="Output 2 3 6 2 2 4" xfId="3440"/>
    <cellStyle name="Output 2 3 6 2 2 4 2" xfId="6860"/>
    <cellStyle name="Output 2 3 6 2 2 4 2 2" xfId="13700"/>
    <cellStyle name="Output 2 3 6 2 2 4 3" xfId="10280"/>
    <cellStyle name="Output 2 3 6 2 2 5" xfId="4580"/>
    <cellStyle name="Output 2 3 6 2 2 5 2" xfId="11420"/>
    <cellStyle name="Output 2 3 6 2 2 6" xfId="8000"/>
    <cellStyle name="Output 2 3 6 2 3" xfId="38424"/>
    <cellStyle name="Output 2 3 6 2 4" xfId="57679"/>
    <cellStyle name="Output 2 3 6 2 5" xfId="57680"/>
    <cellStyle name="Output 2 3 6 2 6" xfId="57681"/>
    <cellStyle name="Output 2 3 6 2 7" xfId="57682"/>
    <cellStyle name="Output 2 3 6 3" xfId="1405"/>
    <cellStyle name="Output 2 3 6 3 2" xfId="907"/>
    <cellStyle name="Output 2 3 6 3 2 2" xfId="2727"/>
    <cellStyle name="Output 2 3 6 3 2 2 2" xfId="6147"/>
    <cellStyle name="Output 2 3 6 3 2 2 2 2" xfId="12987"/>
    <cellStyle name="Output 2 3 6 3 2 2 3" xfId="9567"/>
    <cellStyle name="Output 2 3 6 3 2 3" xfId="3867"/>
    <cellStyle name="Output 2 3 6 3 2 3 2" xfId="7287"/>
    <cellStyle name="Output 2 3 6 3 2 3 2 2" xfId="14127"/>
    <cellStyle name="Output 2 3 6 3 2 3 3" xfId="10707"/>
    <cellStyle name="Output 2 3 6 3 2 4" xfId="5007"/>
    <cellStyle name="Output 2 3 6 3 2 4 2" xfId="11847"/>
    <cellStyle name="Output 2 3 6 3 2 5" xfId="8427"/>
    <cellStyle name="Output 2 3 6 3 3" xfId="2226"/>
    <cellStyle name="Output 2 3 6 3 3 2" xfId="5646"/>
    <cellStyle name="Output 2 3 6 3 3 2 2" xfId="12486"/>
    <cellStyle name="Output 2 3 6 3 3 3" xfId="9066"/>
    <cellStyle name="Output 2 3 6 3 4" xfId="3366"/>
    <cellStyle name="Output 2 3 6 3 4 2" xfId="6786"/>
    <cellStyle name="Output 2 3 6 3 4 2 2" xfId="13626"/>
    <cellStyle name="Output 2 3 6 3 4 3" xfId="10206"/>
    <cellStyle name="Output 2 3 6 3 5" xfId="4506"/>
    <cellStyle name="Output 2 3 6 3 5 2" xfId="11346"/>
    <cellStyle name="Output 2 3 6 3 6" xfId="7926"/>
    <cellStyle name="Output 2 3 6 4" xfId="17536"/>
    <cellStyle name="Output 2 3 6 5" xfId="25856"/>
    <cellStyle name="Output 2 3 6 6" xfId="33073"/>
    <cellStyle name="Output 2 3 6 7" xfId="57683"/>
    <cellStyle name="Output 2 3 6 8" xfId="57684"/>
    <cellStyle name="Output 2 3 7" xfId="1107"/>
    <cellStyle name="Output 2 3 7 2" xfId="1673"/>
    <cellStyle name="Output 2 3 7 2 2" xfId="2813"/>
    <cellStyle name="Output 2 3 7 2 2 2" xfId="6233"/>
    <cellStyle name="Output 2 3 7 2 2 2 2" xfId="13073"/>
    <cellStyle name="Output 2 3 7 2 2 3" xfId="9653"/>
    <cellStyle name="Output 2 3 7 2 3" xfId="3953"/>
    <cellStyle name="Output 2 3 7 2 3 2" xfId="7373"/>
    <cellStyle name="Output 2 3 7 2 3 2 2" xfId="14213"/>
    <cellStyle name="Output 2 3 7 2 3 3" xfId="10793"/>
    <cellStyle name="Output 2 3 7 2 4" xfId="5093"/>
    <cellStyle name="Output 2 3 7 2 4 2" xfId="11933"/>
    <cellStyle name="Output 2 3 7 2 5" xfId="8513"/>
    <cellStyle name="Output 2 3 7 3" xfId="1916"/>
    <cellStyle name="Output 2 3 7 3 2" xfId="5336"/>
    <cellStyle name="Output 2 3 7 3 2 2" xfId="12176"/>
    <cellStyle name="Output 2 3 7 3 3" xfId="8756"/>
    <cellStyle name="Output 2 3 7 4" xfId="3056"/>
    <cellStyle name="Output 2 3 7 4 2" xfId="6476"/>
    <cellStyle name="Output 2 3 7 4 2 2" xfId="13316"/>
    <cellStyle name="Output 2 3 7 4 3" xfId="9896"/>
    <cellStyle name="Output 2 3 7 5" xfId="4196"/>
    <cellStyle name="Output 2 3 7 5 2" xfId="11036"/>
    <cellStyle name="Output 2 3 7 6" xfId="7616"/>
    <cellStyle name="Output 2 3 7 7" xfId="19188"/>
    <cellStyle name="Output 2 3 7 8" xfId="27508"/>
    <cellStyle name="Output 2 3 7 9" xfId="34656"/>
    <cellStyle name="Output 2 3 8" xfId="18889"/>
    <cellStyle name="Output 2 3 8 2" xfId="27209"/>
    <cellStyle name="Output 2 3 8 2 2" xfId="57685"/>
    <cellStyle name="Output 2 3 8 2 3" xfId="57686"/>
    <cellStyle name="Output 2 3 8 3" xfId="34364"/>
    <cellStyle name="Output 2 3 8 4" xfId="57687"/>
    <cellStyle name="Output 2 3 9" xfId="21161"/>
    <cellStyle name="Output 2 3 9 2" xfId="29473"/>
    <cellStyle name="Output 2 3 9 2 2" xfId="57688"/>
    <cellStyle name="Output 2 3 9 2 3" xfId="57689"/>
    <cellStyle name="Output 2 3 9 3" xfId="36545"/>
    <cellStyle name="Output 2 3 9 4" xfId="57690"/>
    <cellStyle name="Output 2 30" xfId="57691"/>
    <cellStyle name="Output 2 31" xfId="57692"/>
    <cellStyle name="Output 2 32" xfId="57693"/>
    <cellStyle name="Output 2 4" xfId="110"/>
    <cellStyle name="Output 2 4 10" xfId="14433"/>
    <cellStyle name="Output 2 4 10 2" xfId="57694"/>
    <cellStyle name="Output 2 4 10 3" xfId="57695"/>
    <cellStyle name="Output 2 4 11" xfId="57696"/>
    <cellStyle name="Output 2 4 12" xfId="57697"/>
    <cellStyle name="Output 2 4 13" xfId="57698"/>
    <cellStyle name="Output 2 4 14" xfId="57699"/>
    <cellStyle name="Output 2 4 2" xfId="169"/>
    <cellStyle name="Output 2 4 2 2" xfId="295"/>
    <cellStyle name="Output 2 4 2 2 2" xfId="704"/>
    <cellStyle name="Output 2 4 2 2 2 2" xfId="1655"/>
    <cellStyle name="Output 2 4 2 2 2 2 2" xfId="752"/>
    <cellStyle name="Output 2 4 2 2 2 2 2 2" xfId="2626"/>
    <cellStyle name="Output 2 4 2 2 2 2 2 2 2" xfId="6046"/>
    <cellStyle name="Output 2 4 2 2 2 2 2 2 2 2" xfId="12886"/>
    <cellStyle name="Output 2 4 2 2 2 2 2 2 3" xfId="9466"/>
    <cellStyle name="Output 2 4 2 2 2 2 2 3" xfId="3766"/>
    <cellStyle name="Output 2 4 2 2 2 2 2 3 2" xfId="7186"/>
    <cellStyle name="Output 2 4 2 2 2 2 2 3 2 2" xfId="14026"/>
    <cellStyle name="Output 2 4 2 2 2 2 2 3 3" xfId="10606"/>
    <cellStyle name="Output 2 4 2 2 2 2 2 4" xfId="4906"/>
    <cellStyle name="Output 2 4 2 2 2 2 2 4 2" xfId="11746"/>
    <cellStyle name="Output 2 4 2 2 2 2 2 5" xfId="8326"/>
    <cellStyle name="Output 2 4 2 2 2 2 3" xfId="2489"/>
    <cellStyle name="Output 2 4 2 2 2 2 3 2" xfId="5909"/>
    <cellStyle name="Output 2 4 2 2 2 2 3 2 2" xfId="12749"/>
    <cellStyle name="Output 2 4 2 2 2 2 3 3" xfId="9329"/>
    <cellStyle name="Output 2 4 2 2 2 2 4" xfId="3629"/>
    <cellStyle name="Output 2 4 2 2 2 2 4 2" xfId="7049"/>
    <cellStyle name="Output 2 4 2 2 2 2 4 2 2" xfId="13889"/>
    <cellStyle name="Output 2 4 2 2 2 2 4 3" xfId="10469"/>
    <cellStyle name="Output 2 4 2 2 2 2 5" xfId="4769"/>
    <cellStyle name="Output 2 4 2 2 2 2 5 2" xfId="11609"/>
    <cellStyle name="Output 2 4 2 2 2 2 6" xfId="8189"/>
    <cellStyle name="Output 2 4 2 2 2 3" xfId="38548"/>
    <cellStyle name="Output 2 4 2 2 2 4" xfId="57700"/>
    <cellStyle name="Output 2 4 2 2 2 5" xfId="57701"/>
    <cellStyle name="Output 2 4 2 2 2 6" xfId="57702"/>
    <cellStyle name="Output 2 4 2 2 3" xfId="1301"/>
    <cellStyle name="Output 2 4 2 2 3 2" xfId="977"/>
    <cellStyle name="Output 2 4 2 2 3 2 2" xfId="2585"/>
    <cellStyle name="Output 2 4 2 2 3 2 2 2" xfId="6005"/>
    <cellStyle name="Output 2 4 2 2 3 2 2 2 2" xfId="12845"/>
    <cellStyle name="Output 2 4 2 2 3 2 2 3" xfId="9425"/>
    <cellStyle name="Output 2 4 2 2 3 2 3" xfId="3725"/>
    <cellStyle name="Output 2 4 2 2 3 2 3 2" xfId="7145"/>
    <cellStyle name="Output 2 4 2 2 3 2 3 2 2" xfId="13985"/>
    <cellStyle name="Output 2 4 2 2 3 2 3 3" xfId="10565"/>
    <cellStyle name="Output 2 4 2 2 3 2 4" xfId="4865"/>
    <cellStyle name="Output 2 4 2 2 3 2 4 2" xfId="11705"/>
    <cellStyle name="Output 2 4 2 2 3 2 5" xfId="8285"/>
    <cellStyle name="Output 2 4 2 2 3 3" xfId="2121"/>
    <cellStyle name="Output 2 4 2 2 3 3 2" xfId="5541"/>
    <cellStyle name="Output 2 4 2 2 3 3 2 2" xfId="12381"/>
    <cellStyle name="Output 2 4 2 2 3 3 3" xfId="8961"/>
    <cellStyle name="Output 2 4 2 2 3 4" xfId="3261"/>
    <cellStyle name="Output 2 4 2 2 3 4 2" xfId="6681"/>
    <cellStyle name="Output 2 4 2 2 3 4 2 2" xfId="13521"/>
    <cellStyle name="Output 2 4 2 2 3 4 3" xfId="10101"/>
    <cellStyle name="Output 2 4 2 2 3 5" xfId="4401"/>
    <cellStyle name="Output 2 4 2 2 3 5 2" xfId="11241"/>
    <cellStyle name="Output 2 4 2 2 3 6" xfId="7821"/>
    <cellStyle name="Output 2 4 2 2 4" xfId="38311"/>
    <cellStyle name="Output 2 4 2 2 5" xfId="57703"/>
    <cellStyle name="Output 2 4 2 2 6" xfId="57704"/>
    <cellStyle name="Output 2 4 2 2 7" xfId="57705"/>
    <cellStyle name="Output 2 4 2 2 8" xfId="57706"/>
    <cellStyle name="Output 2 4 2 3" xfId="616"/>
    <cellStyle name="Output 2 4 2 3 2" xfId="1603"/>
    <cellStyle name="Output 2 4 2 3 2 2" xfId="804"/>
    <cellStyle name="Output 2 4 2 3 2 2 2" xfId="2795"/>
    <cellStyle name="Output 2 4 2 3 2 2 2 2" xfId="6215"/>
    <cellStyle name="Output 2 4 2 3 2 2 2 2 2" xfId="13055"/>
    <cellStyle name="Output 2 4 2 3 2 2 2 3" xfId="9635"/>
    <cellStyle name="Output 2 4 2 3 2 2 3" xfId="3935"/>
    <cellStyle name="Output 2 4 2 3 2 2 3 2" xfId="7355"/>
    <cellStyle name="Output 2 4 2 3 2 2 3 2 2" xfId="14195"/>
    <cellStyle name="Output 2 4 2 3 2 2 3 3" xfId="10775"/>
    <cellStyle name="Output 2 4 2 3 2 2 4" xfId="5075"/>
    <cellStyle name="Output 2 4 2 3 2 2 4 2" xfId="11915"/>
    <cellStyle name="Output 2 4 2 3 2 2 5" xfId="8495"/>
    <cellStyle name="Output 2 4 2 3 2 3" xfId="2428"/>
    <cellStyle name="Output 2 4 2 3 2 3 2" xfId="5848"/>
    <cellStyle name="Output 2 4 2 3 2 3 2 2" xfId="12688"/>
    <cellStyle name="Output 2 4 2 3 2 3 3" xfId="9268"/>
    <cellStyle name="Output 2 4 2 3 2 4" xfId="3568"/>
    <cellStyle name="Output 2 4 2 3 2 4 2" xfId="6988"/>
    <cellStyle name="Output 2 4 2 3 2 4 2 2" xfId="13828"/>
    <cellStyle name="Output 2 4 2 3 2 4 3" xfId="10408"/>
    <cellStyle name="Output 2 4 2 3 2 5" xfId="4708"/>
    <cellStyle name="Output 2 4 2 3 2 5 2" xfId="11548"/>
    <cellStyle name="Output 2 4 2 3 2 6" xfId="8128"/>
    <cellStyle name="Output 2 4 2 3 3" xfId="38497"/>
    <cellStyle name="Output 2 4 2 3 4" xfId="57707"/>
    <cellStyle name="Output 2 4 2 3 5" xfId="57708"/>
    <cellStyle name="Output 2 4 2 3 6" xfId="57709"/>
    <cellStyle name="Output 2 4 2 4" xfId="1177"/>
    <cellStyle name="Output 2 4 2 4 2" xfId="1852"/>
    <cellStyle name="Output 2 4 2 4 2 2" xfId="2992"/>
    <cellStyle name="Output 2 4 2 4 2 2 2" xfId="6412"/>
    <cellStyle name="Output 2 4 2 4 2 2 2 2" xfId="13252"/>
    <cellStyle name="Output 2 4 2 4 2 2 3" xfId="9832"/>
    <cellStyle name="Output 2 4 2 4 2 3" xfId="4132"/>
    <cellStyle name="Output 2 4 2 4 2 3 2" xfId="7552"/>
    <cellStyle name="Output 2 4 2 4 2 3 2 2" xfId="14392"/>
    <cellStyle name="Output 2 4 2 4 2 3 3" xfId="10972"/>
    <cellStyle name="Output 2 4 2 4 2 4" xfId="5272"/>
    <cellStyle name="Output 2 4 2 4 2 4 2" xfId="12112"/>
    <cellStyle name="Output 2 4 2 4 2 5" xfId="8692"/>
    <cellStyle name="Output 2 4 2 4 3" xfId="1996"/>
    <cellStyle name="Output 2 4 2 4 3 2" xfId="5416"/>
    <cellStyle name="Output 2 4 2 4 3 2 2" xfId="12256"/>
    <cellStyle name="Output 2 4 2 4 3 3" xfId="8836"/>
    <cellStyle name="Output 2 4 2 4 4" xfId="3136"/>
    <cellStyle name="Output 2 4 2 4 4 2" xfId="6556"/>
    <cellStyle name="Output 2 4 2 4 4 2 2" xfId="13396"/>
    <cellStyle name="Output 2 4 2 4 4 3" xfId="9976"/>
    <cellStyle name="Output 2 4 2 4 5" xfId="4276"/>
    <cellStyle name="Output 2 4 2 4 5 2" xfId="11116"/>
    <cellStyle name="Output 2 4 2 4 6" xfId="7696"/>
    <cellStyle name="Output 2 4 2 5" xfId="15595"/>
    <cellStyle name="Output 2 4 2 6" xfId="23909"/>
    <cellStyle name="Output 2 4 2 7" xfId="38230"/>
    <cellStyle name="Output 2 4 2 8" xfId="57710"/>
    <cellStyle name="Output 2 4 3" xfId="335"/>
    <cellStyle name="Output 2 4 3 2" xfId="454"/>
    <cellStyle name="Output 2 4 3 2 2" xfId="1458"/>
    <cellStyle name="Output 2 4 3 2 2 2" xfId="1804"/>
    <cellStyle name="Output 2 4 3 2 2 2 2" xfId="2944"/>
    <cellStyle name="Output 2 4 3 2 2 2 2 2" xfId="6364"/>
    <cellStyle name="Output 2 4 3 2 2 2 2 2 2" xfId="13204"/>
    <cellStyle name="Output 2 4 3 2 2 2 2 3" xfId="9784"/>
    <cellStyle name="Output 2 4 3 2 2 2 3" xfId="4084"/>
    <cellStyle name="Output 2 4 3 2 2 2 3 2" xfId="7504"/>
    <cellStyle name="Output 2 4 3 2 2 2 3 2 2" xfId="14344"/>
    <cellStyle name="Output 2 4 3 2 2 2 3 3" xfId="10924"/>
    <cellStyle name="Output 2 4 3 2 2 2 4" xfId="5224"/>
    <cellStyle name="Output 2 4 3 2 2 2 4 2" xfId="12064"/>
    <cellStyle name="Output 2 4 3 2 2 2 5" xfId="8644"/>
    <cellStyle name="Output 2 4 3 2 2 3" xfId="2279"/>
    <cellStyle name="Output 2 4 3 2 2 3 2" xfId="5699"/>
    <cellStyle name="Output 2 4 3 2 2 3 2 2" xfId="12539"/>
    <cellStyle name="Output 2 4 3 2 2 3 3" xfId="9119"/>
    <cellStyle name="Output 2 4 3 2 2 4" xfId="3419"/>
    <cellStyle name="Output 2 4 3 2 2 4 2" xfId="6839"/>
    <cellStyle name="Output 2 4 3 2 2 4 2 2" xfId="13679"/>
    <cellStyle name="Output 2 4 3 2 2 4 3" xfId="10259"/>
    <cellStyle name="Output 2 4 3 2 2 5" xfId="4559"/>
    <cellStyle name="Output 2 4 3 2 2 5 2" xfId="11399"/>
    <cellStyle name="Output 2 4 3 2 2 6" xfId="7979"/>
    <cellStyle name="Output 2 4 3 2 3" xfId="38415"/>
    <cellStyle name="Output 2 4 3 2 4" xfId="57711"/>
    <cellStyle name="Output 2 4 3 2 5" xfId="57712"/>
    <cellStyle name="Output 2 4 3 2 6" xfId="57713"/>
    <cellStyle name="Output 2 4 3 2 7" xfId="57714"/>
    <cellStyle name="Output 2 4 3 3" xfId="1340"/>
    <cellStyle name="Output 2 4 3 3 2" xfId="952"/>
    <cellStyle name="Output 2 4 3 3 2 2" xfId="2658"/>
    <cellStyle name="Output 2 4 3 3 2 2 2" xfId="6078"/>
    <cellStyle name="Output 2 4 3 3 2 2 2 2" xfId="12918"/>
    <cellStyle name="Output 2 4 3 3 2 2 3" xfId="9498"/>
    <cellStyle name="Output 2 4 3 3 2 3" xfId="3798"/>
    <cellStyle name="Output 2 4 3 3 2 3 2" xfId="7218"/>
    <cellStyle name="Output 2 4 3 3 2 3 2 2" xfId="14058"/>
    <cellStyle name="Output 2 4 3 3 2 3 3" xfId="10638"/>
    <cellStyle name="Output 2 4 3 3 2 4" xfId="4938"/>
    <cellStyle name="Output 2 4 3 3 2 4 2" xfId="11778"/>
    <cellStyle name="Output 2 4 3 3 2 5" xfId="8358"/>
    <cellStyle name="Output 2 4 3 3 3" xfId="2161"/>
    <cellStyle name="Output 2 4 3 3 3 2" xfId="5581"/>
    <cellStyle name="Output 2 4 3 3 3 2 2" xfId="12421"/>
    <cellStyle name="Output 2 4 3 3 3 3" xfId="9001"/>
    <cellStyle name="Output 2 4 3 3 4" xfId="3301"/>
    <cellStyle name="Output 2 4 3 3 4 2" xfId="6721"/>
    <cellStyle name="Output 2 4 3 3 4 2 2" xfId="13561"/>
    <cellStyle name="Output 2 4 3 3 4 3" xfId="10141"/>
    <cellStyle name="Output 2 4 3 3 5" xfId="4441"/>
    <cellStyle name="Output 2 4 3 3 5 2" xfId="11281"/>
    <cellStyle name="Output 2 4 3 3 6" xfId="7861"/>
    <cellStyle name="Output 2 4 3 4" xfId="16565"/>
    <cellStyle name="Output 2 4 3 5" xfId="24880"/>
    <cellStyle name="Output 2 4 3 6" xfId="32140"/>
    <cellStyle name="Output 2 4 3 7" xfId="57715"/>
    <cellStyle name="Output 2 4 3 8" xfId="57716"/>
    <cellStyle name="Output 2 4 4" xfId="242"/>
    <cellStyle name="Output 2 4 4 2" xfId="532"/>
    <cellStyle name="Output 2 4 4 2 2" xfId="1536"/>
    <cellStyle name="Output 2 4 4 2 2 2" xfId="1703"/>
    <cellStyle name="Output 2 4 4 2 2 2 2" xfId="2843"/>
    <cellStyle name="Output 2 4 4 2 2 2 2 2" xfId="6263"/>
    <cellStyle name="Output 2 4 4 2 2 2 2 2 2" xfId="13103"/>
    <cellStyle name="Output 2 4 4 2 2 2 2 3" xfId="9683"/>
    <cellStyle name="Output 2 4 4 2 2 2 3" xfId="3983"/>
    <cellStyle name="Output 2 4 4 2 2 2 3 2" xfId="7403"/>
    <cellStyle name="Output 2 4 4 2 2 2 3 2 2" xfId="14243"/>
    <cellStyle name="Output 2 4 4 2 2 2 3 3" xfId="10823"/>
    <cellStyle name="Output 2 4 4 2 2 2 4" xfId="5123"/>
    <cellStyle name="Output 2 4 4 2 2 2 4 2" xfId="11963"/>
    <cellStyle name="Output 2 4 4 2 2 2 5" xfId="8543"/>
    <cellStyle name="Output 2 4 4 2 2 3" xfId="2357"/>
    <cellStyle name="Output 2 4 4 2 2 3 2" xfId="5777"/>
    <cellStyle name="Output 2 4 4 2 2 3 2 2" xfId="12617"/>
    <cellStyle name="Output 2 4 4 2 2 3 3" xfId="9197"/>
    <cellStyle name="Output 2 4 4 2 2 4" xfId="3497"/>
    <cellStyle name="Output 2 4 4 2 2 4 2" xfId="6917"/>
    <cellStyle name="Output 2 4 4 2 2 4 2 2" xfId="13757"/>
    <cellStyle name="Output 2 4 4 2 2 4 3" xfId="10337"/>
    <cellStyle name="Output 2 4 4 2 2 5" xfId="4637"/>
    <cellStyle name="Output 2 4 4 2 2 5 2" xfId="11477"/>
    <cellStyle name="Output 2 4 4 2 2 6" xfId="8057"/>
    <cellStyle name="Output 2 4 4 2 3" xfId="38451"/>
    <cellStyle name="Output 2 4 4 2 4" xfId="57717"/>
    <cellStyle name="Output 2 4 4 2 5" xfId="57718"/>
    <cellStyle name="Output 2 4 4 2 6" xfId="57719"/>
    <cellStyle name="Output 2 4 4 2 7" xfId="57720"/>
    <cellStyle name="Output 2 4 4 3" xfId="1249"/>
    <cellStyle name="Output 2 4 4 3 2" xfId="1790"/>
    <cellStyle name="Output 2 4 4 3 2 2" xfId="2930"/>
    <cellStyle name="Output 2 4 4 3 2 2 2" xfId="6350"/>
    <cellStyle name="Output 2 4 4 3 2 2 2 2" xfId="13190"/>
    <cellStyle name="Output 2 4 4 3 2 2 3" xfId="9770"/>
    <cellStyle name="Output 2 4 4 3 2 3" xfId="4070"/>
    <cellStyle name="Output 2 4 4 3 2 3 2" xfId="7490"/>
    <cellStyle name="Output 2 4 4 3 2 3 2 2" xfId="14330"/>
    <cellStyle name="Output 2 4 4 3 2 3 3" xfId="10910"/>
    <cellStyle name="Output 2 4 4 3 2 4" xfId="5210"/>
    <cellStyle name="Output 2 4 4 3 2 4 2" xfId="12050"/>
    <cellStyle name="Output 2 4 4 3 2 5" xfId="8630"/>
    <cellStyle name="Output 2 4 4 3 3" xfId="2069"/>
    <cellStyle name="Output 2 4 4 3 3 2" xfId="5489"/>
    <cellStyle name="Output 2 4 4 3 3 2 2" xfId="12329"/>
    <cellStyle name="Output 2 4 4 3 3 3" xfId="8909"/>
    <cellStyle name="Output 2 4 4 3 4" xfId="3209"/>
    <cellStyle name="Output 2 4 4 3 4 2" xfId="6629"/>
    <cellStyle name="Output 2 4 4 3 4 2 2" xfId="13469"/>
    <cellStyle name="Output 2 4 4 3 4 3" xfId="10049"/>
    <cellStyle name="Output 2 4 4 3 5" xfId="4349"/>
    <cellStyle name="Output 2 4 4 3 5 2" xfId="11189"/>
    <cellStyle name="Output 2 4 4 3 6" xfId="7769"/>
    <cellStyle name="Output 2 4 4 4" xfId="17583"/>
    <cellStyle name="Output 2 4 4 5" xfId="25904"/>
    <cellStyle name="Output 2 4 4 6" xfId="33117"/>
    <cellStyle name="Output 2 4 4 7" xfId="57721"/>
    <cellStyle name="Output 2 4 4 8" xfId="57722"/>
    <cellStyle name="Output 2 4 5" xfId="500"/>
    <cellStyle name="Output 2 4 5 2" xfId="372"/>
    <cellStyle name="Output 2 4 5 2 2" xfId="1377"/>
    <cellStyle name="Output 2 4 5 2 2 2" xfId="1823"/>
    <cellStyle name="Output 2 4 5 2 2 2 2" xfId="2963"/>
    <cellStyle name="Output 2 4 5 2 2 2 2 2" xfId="6383"/>
    <cellStyle name="Output 2 4 5 2 2 2 2 2 2" xfId="13223"/>
    <cellStyle name="Output 2 4 5 2 2 2 2 3" xfId="9803"/>
    <cellStyle name="Output 2 4 5 2 2 2 3" xfId="4103"/>
    <cellStyle name="Output 2 4 5 2 2 2 3 2" xfId="7523"/>
    <cellStyle name="Output 2 4 5 2 2 2 3 2 2" xfId="14363"/>
    <cellStyle name="Output 2 4 5 2 2 2 3 3" xfId="10943"/>
    <cellStyle name="Output 2 4 5 2 2 2 4" xfId="5243"/>
    <cellStyle name="Output 2 4 5 2 2 2 4 2" xfId="12083"/>
    <cellStyle name="Output 2 4 5 2 2 2 5" xfId="8663"/>
    <cellStyle name="Output 2 4 5 2 2 3" xfId="2198"/>
    <cellStyle name="Output 2 4 5 2 2 3 2" xfId="5618"/>
    <cellStyle name="Output 2 4 5 2 2 3 2 2" xfId="12458"/>
    <cellStyle name="Output 2 4 5 2 2 3 3" xfId="9038"/>
    <cellStyle name="Output 2 4 5 2 2 4" xfId="3338"/>
    <cellStyle name="Output 2 4 5 2 2 4 2" xfId="6758"/>
    <cellStyle name="Output 2 4 5 2 2 4 2 2" xfId="13598"/>
    <cellStyle name="Output 2 4 5 2 2 4 3" xfId="10178"/>
    <cellStyle name="Output 2 4 5 2 2 5" xfId="4478"/>
    <cellStyle name="Output 2 4 5 2 2 5 2" xfId="11318"/>
    <cellStyle name="Output 2 4 5 2 2 6" xfId="7898"/>
    <cellStyle name="Output 2 4 5 2 3" xfId="38355"/>
    <cellStyle name="Output 2 4 5 2 4" xfId="57723"/>
    <cellStyle name="Output 2 4 5 2 5" xfId="57724"/>
    <cellStyle name="Output 2 4 5 2 6" xfId="57725"/>
    <cellStyle name="Output 2 4 5 2 7" xfId="57726"/>
    <cellStyle name="Output 2 4 5 3" xfId="1504"/>
    <cellStyle name="Output 2 4 5 3 2" xfId="858"/>
    <cellStyle name="Output 2 4 5 3 2 2" xfId="2537"/>
    <cellStyle name="Output 2 4 5 3 2 2 2" xfId="5957"/>
    <cellStyle name="Output 2 4 5 3 2 2 2 2" xfId="12797"/>
    <cellStyle name="Output 2 4 5 3 2 2 3" xfId="9377"/>
    <cellStyle name="Output 2 4 5 3 2 3" xfId="3677"/>
    <cellStyle name="Output 2 4 5 3 2 3 2" xfId="7097"/>
    <cellStyle name="Output 2 4 5 3 2 3 2 2" xfId="13937"/>
    <cellStyle name="Output 2 4 5 3 2 3 3" xfId="10517"/>
    <cellStyle name="Output 2 4 5 3 2 4" xfId="4817"/>
    <cellStyle name="Output 2 4 5 3 2 4 2" xfId="11657"/>
    <cellStyle name="Output 2 4 5 3 2 5" xfId="8237"/>
    <cellStyle name="Output 2 4 5 3 3" xfId="2325"/>
    <cellStyle name="Output 2 4 5 3 3 2" xfId="5745"/>
    <cellStyle name="Output 2 4 5 3 3 2 2" xfId="12585"/>
    <cellStyle name="Output 2 4 5 3 3 3" xfId="9165"/>
    <cellStyle name="Output 2 4 5 3 4" xfId="3465"/>
    <cellStyle name="Output 2 4 5 3 4 2" xfId="6885"/>
    <cellStyle name="Output 2 4 5 3 4 2 2" xfId="13725"/>
    <cellStyle name="Output 2 4 5 3 4 3" xfId="10305"/>
    <cellStyle name="Output 2 4 5 3 5" xfId="4605"/>
    <cellStyle name="Output 2 4 5 3 5 2" xfId="11445"/>
    <cellStyle name="Output 2 4 5 3 6" xfId="8025"/>
    <cellStyle name="Output 2 4 5 4" xfId="18564"/>
    <cellStyle name="Output 2 4 5 5" xfId="26882"/>
    <cellStyle name="Output 2 4 5 6" xfId="34051"/>
    <cellStyle name="Output 2 4 5 7" xfId="57727"/>
    <cellStyle name="Output 2 4 5 8" xfId="57728"/>
    <cellStyle name="Output 2 4 6" xfId="520"/>
    <cellStyle name="Output 2 4 6 2" xfId="386"/>
    <cellStyle name="Output 2 4 6 2 2" xfId="1391"/>
    <cellStyle name="Output 2 4 6 2 2 2" xfId="913"/>
    <cellStyle name="Output 2 4 6 2 2 2 2" xfId="2701"/>
    <cellStyle name="Output 2 4 6 2 2 2 2 2" xfId="6121"/>
    <cellStyle name="Output 2 4 6 2 2 2 2 2 2" xfId="12961"/>
    <cellStyle name="Output 2 4 6 2 2 2 2 3" xfId="9541"/>
    <cellStyle name="Output 2 4 6 2 2 2 3" xfId="3841"/>
    <cellStyle name="Output 2 4 6 2 2 2 3 2" xfId="7261"/>
    <cellStyle name="Output 2 4 6 2 2 2 3 2 2" xfId="14101"/>
    <cellStyle name="Output 2 4 6 2 2 2 3 3" xfId="10681"/>
    <cellStyle name="Output 2 4 6 2 2 2 4" xfId="4981"/>
    <cellStyle name="Output 2 4 6 2 2 2 4 2" xfId="11821"/>
    <cellStyle name="Output 2 4 6 2 2 2 5" xfId="8401"/>
    <cellStyle name="Output 2 4 6 2 2 3" xfId="2212"/>
    <cellStyle name="Output 2 4 6 2 2 3 2" xfId="5632"/>
    <cellStyle name="Output 2 4 6 2 2 3 2 2" xfId="12472"/>
    <cellStyle name="Output 2 4 6 2 2 3 3" xfId="9052"/>
    <cellStyle name="Output 2 4 6 2 2 4" xfId="3352"/>
    <cellStyle name="Output 2 4 6 2 2 4 2" xfId="6772"/>
    <cellStyle name="Output 2 4 6 2 2 4 2 2" xfId="13612"/>
    <cellStyle name="Output 2 4 6 2 2 4 3" xfId="10192"/>
    <cellStyle name="Output 2 4 6 2 2 5" xfId="4492"/>
    <cellStyle name="Output 2 4 6 2 2 5 2" xfId="11332"/>
    <cellStyle name="Output 2 4 6 2 2 6" xfId="7912"/>
    <cellStyle name="Output 2 4 6 2 3" xfId="38368"/>
    <cellStyle name="Output 2 4 6 2 4" xfId="57729"/>
    <cellStyle name="Output 2 4 6 2 5" xfId="57730"/>
    <cellStyle name="Output 2 4 6 2 6" xfId="57731"/>
    <cellStyle name="Output 2 4 6 2 7" xfId="57732"/>
    <cellStyle name="Output 2 4 6 3" xfId="1524"/>
    <cellStyle name="Output 2 4 6 3 2" xfId="847"/>
    <cellStyle name="Output 2 4 6 3 2 2" xfId="2748"/>
    <cellStyle name="Output 2 4 6 3 2 2 2" xfId="6168"/>
    <cellStyle name="Output 2 4 6 3 2 2 2 2" xfId="13008"/>
    <cellStyle name="Output 2 4 6 3 2 2 3" xfId="9588"/>
    <cellStyle name="Output 2 4 6 3 2 3" xfId="3888"/>
    <cellStyle name="Output 2 4 6 3 2 3 2" xfId="7308"/>
    <cellStyle name="Output 2 4 6 3 2 3 2 2" xfId="14148"/>
    <cellStyle name="Output 2 4 6 3 2 3 3" xfId="10728"/>
    <cellStyle name="Output 2 4 6 3 2 4" xfId="5028"/>
    <cellStyle name="Output 2 4 6 3 2 4 2" xfId="11868"/>
    <cellStyle name="Output 2 4 6 3 2 5" xfId="8448"/>
    <cellStyle name="Output 2 4 6 3 3" xfId="2345"/>
    <cellStyle name="Output 2 4 6 3 3 2" xfId="5765"/>
    <cellStyle name="Output 2 4 6 3 3 2 2" xfId="12605"/>
    <cellStyle name="Output 2 4 6 3 3 3" xfId="9185"/>
    <cellStyle name="Output 2 4 6 3 4" xfId="3485"/>
    <cellStyle name="Output 2 4 6 3 4 2" xfId="6905"/>
    <cellStyle name="Output 2 4 6 3 4 2 2" xfId="13745"/>
    <cellStyle name="Output 2 4 6 3 4 3" xfId="10325"/>
    <cellStyle name="Output 2 4 6 3 5" xfId="4625"/>
    <cellStyle name="Output 2 4 6 3 5 2" xfId="11465"/>
    <cellStyle name="Output 2 4 6 3 6" xfId="8045"/>
    <cellStyle name="Output 2 4 6 4" xfId="17539"/>
    <cellStyle name="Output 2 4 6 5" xfId="25857"/>
    <cellStyle name="Output 2 4 6 6" xfId="33074"/>
    <cellStyle name="Output 2 4 6 7" xfId="57733"/>
    <cellStyle name="Output 2 4 6 8" xfId="57734"/>
    <cellStyle name="Output 2 4 7" xfId="1126"/>
    <cellStyle name="Output 2 4 7 2" xfId="1064"/>
    <cellStyle name="Output 2 4 7 2 2" xfId="2552"/>
    <cellStyle name="Output 2 4 7 2 2 2" xfId="5972"/>
    <cellStyle name="Output 2 4 7 2 2 2 2" xfId="12812"/>
    <cellStyle name="Output 2 4 7 2 2 3" xfId="9392"/>
    <cellStyle name="Output 2 4 7 2 3" xfId="3692"/>
    <cellStyle name="Output 2 4 7 2 3 2" xfId="7112"/>
    <cellStyle name="Output 2 4 7 2 3 2 2" xfId="13952"/>
    <cellStyle name="Output 2 4 7 2 3 3" xfId="10532"/>
    <cellStyle name="Output 2 4 7 2 4" xfId="4832"/>
    <cellStyle name="Output 2 4 7 2 4 2" xfId="11672"/>
    <cellStyle name="Output 2 4 7 2 5" xfId="8252"/>
    <cellStyle name="Output 2 4 7 3" xfId="1940"/>
    <cellStyle name="Output 2 4 7 3 2" xfId="5360"/>
    <cellStyle name="Output 2 4 7 3 2 2" xfId="12200"/>
    <cellStyle name="Output 2 4 7 3 3" xfId="8780"/>
    <cellStyle name="Output 2 4 7 4" xfId="3080"/>
    <cellStyle name="Output 2 4 7 4 2" xfId="6500"/>
    <cellStyle name="Output 2 4 7 4 2 2" xfId="13340"/>
    <cellStyle name="Output 2 4 7 4 3" xfId="9920"/>
    <cellStyle name="Output 2 4 7 5" xfId="4220"/>
    <cellStyle name="Output 2 4 7 5 2" xfId="11060"/>
    <cellStyle name="Output 2 4 7 6" xfId="7640"/>
    <cellStyle name="Output 2 4 7 7" xfId="19251"/>
    <cellStyle name="Output 2 4 7 8" xfId="27571"/>
    <cellStyle name="Output 2 4 7 9" xfId="34719"/>
    <cellStyle name="Output 2 4 8" xfId="18639"/>
    <cellStyle name="Output 2 4 8 2" xfId="26959"/>
    <cellStyle name="Output 2 4 8 2 2" xfId="57735"/>
    <cellStyle name="Output 2 4 8 2 3" xfId="57736"/>
    <cellStyle name="Output 2 4 8 3" xfId="34127"/>
    <cellStyle name="Output 2 4 8 4" xfId="57737"/>
    <cellStyle name="Output 2 4 9" xfId="21224"/>
    <cellStyle name="Output 2 4 9 2" xfId="29535"/>
    <cellStyle name="Output 2 4 9 2 2" xfId="57738"/>
    <cellStyle name="Output 2 4 9 2 3" xfId="57739"/>
    <cellStyle name="Output 2 4 9 3" xfId="36604"/>
    <cellStyle name="Output 2 4 9 4" xfId="57740"/>
    <cellStyle name="Output 2 5" xfId="134"/>
    <cellStyle name="Output 2 5 10" xfId="57741"/>
    <cellStyle name="Output 2 5 11" xfId="57742"/>
    <cellStyle name="Output 2 5 12" xfId="57743"/>
    <cellStyle name="Output 2 5 2" xfId="260"/>
    <cellStyle name="Output 2 5 2 2" xfId="670"/>
    <cellStyle name="Output 2 5 2 2 2" xfId="1621"/>
    <cellStyle name="Output 2 5 2 2 2 2" xfId="786"/>
    <cellStyle name="Output 2 5 2 2 2 2 2" xfId="2378"/>
    <cellStyle name="Output 2 5 2 2 2 2 2 2" xfId="5798"/>
    <cellStyle name="Output 2 5 2 2 2 2 2 2 2" xfId="12638"/>
    <cellStyle name="Output 2 5 2 2 2 2 2 3" xfId="9218"/>
    <cellStyle name="Output 2 5 2 2 2 2 3" xfId="3518"/>
    <cellStyle name="Output 2 5 2 2 2 2 3 2" xfId="6938"/>
    <cellStyle name="Output 2 5 2 2 2 2 3 2 2" xfId="13778"/>
    <cellStyle name="Output 2 5 2 2 2 2 3 3" xfId="10358"/>
    <cellStyle name="Output 2 5 2 2 2 2 4" xfId="4658"/>
    <cellStyle name="Output 2 5 2 2 2 2 4 2" xfId="11498"/>
    <cellStyle name="Output 2 5 2 2 2 2 5" xfId="8078"/>
    <cellStyle name="Output 2 5 2 2 2 3" xfId="2455"/>
    <cellStyle name="Output 2 5 2 2 2 3 2" xfId="5875"/>
    <cellStyle name="Output 2 5 2 2 2 3 2 2" xfId="12715"/>
    <cellStyle name="Output 2 5 2 2 2 3 3" xfId="9295"/>
    <cellStyle name="Output 2 5 2 2 2 4" xfId="3595"/>
    <cellStyle name="Output 2 5 2 2 2 4 2" xfId="7015"/>
    <cellStyle name="Output 2 5 2 2 2 4 2 2" xfId="13855"/>
    <cellStyle name="Output 2 5 2 2 2 4 3" xfId="10435"/>
    <cellStyle name="Output 2 5 2 2 2 5" xfId="4735"/>
    <cellStyle name="Output 2 5 2 2 2 5 2" xfId="11575"/>
    <cellStyle name="Output 2 5 2 2 2 6" xfId="8155"/>
    <cellStyle name="Output 2 5 2 2 3" xfId="38514"/>
    <cellStyle name="Output 2 5 2 2 4" xfId="57744"/>
    <cellStyle name="Output 2 5 2 2 5" xfId="57745"/>
    <cellStyle name="Output 2 5 2 2 6" xfId="57746"/>
    <cellStyle name="Output 2 5 2 2 7" xfId="57747"/>
    <cellStyle name="Output 2 5 2 3" xfId="1267"/>
    <cellStyle name="Output 2 5 2 3 2" xfId="994"/>
    <cellStyle name="Output 2 5 2 3 2 2" xfId="2609"/>
    <cellStyle name="Output 2 5 2 3 2 2 2" xfId="6029"/>
    <cellStyle name="Output 2 5 2 3 2 2 2 2" xfId="12869"/>
    <cellStyle name="Output 2 5 2 3 2 2 3" xfId="9449"/>
    <cellStyle name="Output 2 5 2 3 2 3" xfId="3749"/>
    <cellStyle name="Output 2 5 2 3 2 3 2" xfId="7169"/>
    <cellStyle name="Output 2 5 2 3 2 3 2 2" xfId="14009"/>
    <cellStyle name="Output 2 5 2 3 2 3 3" xfId="10589"/>
    <cellStyle name="Output 2 5 2 3 2 4" xfId="4889"/>
    <cellStyle name="Output 2 5 2 3 2 4 2" xfId="11729"/>
    <cellStyle name="Output 2 5 2 3 2 5" xfId="8309"/>
    <cellStyle name="Output 2 5 2 3 3" xfId="2087"/>
    <cellStyle name="Output 2 5 2 3 3 2" xfId="5507"/>
    <cellStyle name="Output 2 5 2 3 3 2 2" xfId="12347"/>
    <cellStyle name="Output 2 5 2 3 3 3" xfId="8927"/>
    <cellStyle name="Output 2 5 2 3 4" xfId="3227"/>
    <cellStyle name="Output 2 5 2 3 4 2" xfId="6647"/>
    <cellStyle name="Output 2 5 2 3 4 2 2" xfId="13487"/>
    <cellStyle name="Output 2 5 2 3 4 3" xfId="10067"/>
    <cellStyle name="Output 2 5 2 3 5" xfId="4367"/>
    <cellStyle name="Output 2 5 2 3 5 2" xfId="11207"/>
    <cellStyle name="Output 2 5 2 3 6" xfId="7787"/>
    <cellStyle name="Output 2 5 2 4" xfId="15603"/>
    <cellStyle name="Output 2 5 2 5" xfId="23917"/>
    <cellStyle name="Output 2 5 2 6" xfId="38277"/>
    <cellStyle name="Output 2 5 2 7" xfId="57748"/>
    <cellStyle name="Output 2 5 3" xfId="582"/>
    <cellStyle name="Output 2 5 3 2" xfId="1569"/>
    <cellStyle name="Output 2 5 3 2 2" xfId="1706"/>
    <cellStyle name="Output 2 5 3 2 2 2" xfId="2846"/>
    <cellStyle name="Output 2 5 3 2 2 2 2" xfId="6266"/>
    <cellStyle name="Output 2 5 3 2 2 2 2 2" xfId="13106"/>
    <cellStyle name="Output 2 5 3 2 2 2 3" xfId="9686"/>
    <cellStyle name="Output 2 5 3 2 2 3" xfId="3986"/>
    <cellStyle name="Output 2 5 3 2 2 3 2" xfId="7406"/>
    <cellStyle name="Output 2 5 3 2 2 3 2 2" xfId="14246"/>
    <cellStyle name="Output 2 5 3 2 2 3 3" xfId="10826"/>
    <cellStyle name="Output 2 5 3 2 2 4" xfId="5126"/>
    <cellStyle name="Output 2 5 3 2 2 4 2" xfId="11966"/>
    <cellStyle name="Output 2 5 3 2 2 5" xfId="8546"/>
    <cellStyle name="Output 2 5 3 2 3" xfId="2394"/>
    <cellStyle name="Output 2 5 3 2 3 2" xfId="5814"/>
    <cellStyle name="Output 2 5 3 2 3 2 2" xfId="12654"/>
    <cellStyle name="Output 2 5 3 2 3 3" xfId="9234"/>
    <cellStyle name="Output 2 5 3 2 4" xfId="3534"/>
    <cellStyle name="Output 2 5 3 2 4 2" xfId="6954"/>
    <cellStyle name="Output 2 5 3 2 4 2 2" xfId="13794"/>
    <cellStyle name="Output 2 5 3 2 4 3" xfId="10374"/>
    <cellStyle name="Output 2 5 3 2 5" xfId="4674"/>
    <cellStyle name="Output 2 5 3 2 5 2" xfId="11514"/>
    <cellStyle name="Output 2 5 3 2 6" xfId="8094"/>
    <cellStyle name="Output 2 5 3 3" xfId="16572"/>
    <cellStyle name="Output 2 5 3 4" xfId="24888"/>
    <cellStyle name="Output 2 5 3 5" xfId="32148"/>
    <cellStyle name="Output 2 5 3 6" xfId="57749"/>
    <cellStyle name="Output 2 5 3 7" xfId="57750"/>
    <cellStyle name="Output 2 5 3 8" xfId="57751"/>
    <cellStyle name="Output 2 5 4" xfId="1143"/>
    <cellStyle name="Output 2 5 4 2" xfId="1780"/>
    <cellStyle name="Output 2 5 4 2 2" xfId="2920"/>
    <cellStyle name="Output 2 5 4 2 2 2" xfId="6340"/>
    <cellStyle name="Output 2 5 4 2 2 2 2" xfId="13180"/>
    <cellStyle name="Output 2 5 4 2 2 3" xfId="9760"/>
    <cellStyle name="Output 2 5 4 2 3" xfId="4060"/>
    <cellStyle name="Output 2 5 4 2 3 2" xfId="7480"/>
    <cellStyle name="Output 2 5 4 2 3 2 2" xfId="14320"/>
    <cellStyle name="Output 2 5 4 2 3 3" xfId="10900"/>
    <cellStyle name="Output 2 5 4 2 4" xfId="5200"/>
    <cellStyle name="Output 2 5 4 2 4 2" xfId="12040"/>
    <cellStyle name="Output 2 5 4 2 5" xfId="8620"/>
    <cellStyle name="Output 2 5 4 3" xfId="1962"/>
    <cellStyle name="Output 2 5 4 3 2" xfId="5382"/>
    <cellStyle name="Output 2 5 4 3 2 2" xfId="12222"/>
    <cellStyle name="Output 2 5 4 3 3" xfId="8802"/>
    <cellStyle name="Output 2 5 4 4" xfId="3102"/>
    <cellStyle name="Output 2 5 4 4 2" xfId="6522"/>
    <cellStyle name="Output 2 5 4 4 2 2" xfId="13362"/>
    <cellStyle name="Output 2 5 4 4 3" xfId="9942"/>
    <cellStyle name="Output 2 5 4 5" xfId="4242"/>
    <cellStyle name="Output 2 5 4 5 2" xfId="11082"/>
    <cellStyle name="Output 2 5 4 6" xfId="7662"/>
    <cellStyle name="Output 2 5 4 7" xfId="17590"/>
    <cellStyle name="Output 2 5 4 8" xfId="25912"/>
    <cellStyle name="Output 2 5 4 9" xfId="33125"/>
    <cellStyle name="Output 2 5 5" xfId="18571"/>
    <cellStyle name="Output 2 5 5 2" xfId="26890"/>
    <cellStyle name="Output 2 5 5 2 2" xfId="57752"/>
    <cellStyle name="Output 2 5 5 2 3" xfId="57753"/>
    <cellStyle name="Output 2 5 5 3" xfId="34059"/>
    <cellStyle name="Output 2 5 5 4" xfId="57754"/>
    <cellStyle name="Output 2 5 6" xfId="15521"/>
    <cellStyle name="Output 2 5 6 2" xfId="23857"/>
    <cellStyle name="Output 2 5 6 2 2" xfId="57755"/>
    <cellStyle name="Output 2 5 6 2 3" xfId="57756"/>
    <cellStyle name="Output 2 5 6 3" xfId="31204"/>
    <cellStyle name="Output 2 5 6 4" xfId="57757"/>
    <cellStyle name="Output 2 5 7" xfId="19365"/>
    <cellStyle name="Output 2 5 7 2" xfId="27686"/>
    <cellStyle name="Output 2 5 7 2 2" xfId="57758"/>
    <cellStyle name="Output 2 5 7 2 3" xfId="57759"/>
    <cellStyle name="Output 2 5 7 3" xfId="34834"/>
    <cellStyle name="Output 2 5 7 4" xfId="57760"/>
    <cellStyle name="Output 2 5 8" xfId="14425"/>
    <cellStyle name="Output 2 5 8 2" xfId="57761"/>
    <cellStyle name="Output 2 5 8 3" xfId="57762"/>
    <cellStyle name="Output 2 5 9" xfId="57763"/>
    <cellStyle name="Output 2 6" xfId="301"/>
    <cellStyle name="Output 2 6 10" xfId="22927"/>
    <cellStyle name="Output 2 6 11" xfId="57764"/>
    <cellStyle name="Output 2 6 12" xfId="57765"/>
    <cellStyle name="Output 2 6 13" xfId="57766"/>
    <cellStyle name="Output 2 6 14" xfId="57767"/>
    <cellStyle name="Output 2 6 2" xfId="344"/>
    <cellStyle name="Output 2 6 2 2" xfId="1349"/>
    <cellStyle name="Output 2 6 2 2 2" xfId="943"/>
    <cellStyle name="Output 2 6 2 2 2 2" xfId="2526"/>
    <cellStyle name="Output 2 6 2 2 2 2 2" xfId="5946"/>
    <cellStyle name="Output 2 6 2 2 2 2 2 2" xfId="12786"/>
    <cellStyle name="Output 2 6 2 2 2 2 3" xfId="9366"/>
    <cellStyle name="Output 2 6 2 2 2 3" xfId="3666"/>
    <cellStyle name="Output 2 6 2 2 2 3 2" xfId="7086"/>
    <cellStyle name="Output 2 6 2 2 2 3 2 2" xfId="13926"/>
    <cellStyle name="Output 2 6 2 2 2 3 3" xfId="10506"/>
    <cellStyle name="Output 2 6 2 2 2 4" xfId="4806"/>
    <cellStyle name="Output 2 6 2 2 2 4 2" xfId="11646"/>
    <cellStyle name="Output 2 6 2 2 2 5" xfId="8226"/>
    <cellStyle name="Output 2 6 2 2 3" xfId="2170"/>
    <cellStyle name="Output 2 6 2 2 3 2" xfId="5590"/>
    <cellStyle name="Output 2 6 2 2 3 2 2" xfId="12430"/>
    <cellStyle name="Output 2 6 2 2 3 3" xfId="9010"/>
    <cellStyle name="Output 2 6 2 2 4" xfId="3310"/>
    <cellStyle name="Output 2 6 2 2 4 2" xfId="6730"/>
    <cellStyle name="Output 2 6 2 2 4 2 2" xfId="13570"/>
    <cellStyle name="Output 2 6 2 2 4 3" xfId="10150"/>
    <cellStyle name="Output 2 6 2 2 5" xfId="4450"/>
    <cellStyle name="Output 2 6 2 2 5 2" xfId="11290"/>
    <cellStyle name="Output 2 6 2 2 6" xfId="7870"/>
    <cellStyle name="Output 2 6 2 3" xfId="15650"/>
    <cellStyle name="Output 2 6 2 4" xfId="23963"/>
    <cellStyle name="Output 2 6 2 5" xfId="31260"/>
    <cellStyle name="Output 2 6 2 6" xfId="57768"/>
    <cellStyle name="Output 2 6 2 7" xfId="57769"/>
    <cellStyle name="Output 2 6 2 8" xfId="57770"/>
    <cellStyle name="Output 2 6 3" xfId="1307"/>
    <cellStyle name="Output 2 6 3 2" xfId="1818"/>
    <cellStyle name="Output 2 6 3 2 2" xfId="2958"/>
    <cellStyle name="Output 2 6 3 2 2 2" xfId="6378"/>
    <cellStyle name="Output 2 6 3 2 2 2 2" xfId="13218"/>
    <cellStyle name="Output 2 6 3 2 2 3" xfId="9798"/>
    <cellStyle name="Output 2 6 3 2 3" xfId="4098"/>
    <cellStyle name="Output 2 6 3 2 3 2" xfId="7518"/>
    <cellStyle name="Output 2 6 3 2 3 2 2" xfId="14358"/>
    <cellStyle name="Output 2 6 3 2 3 3" xfId="10938"/>
    <cellStyle name="Output 2 6 3 2 4" xfId="5238"/>
    <cellStyle name="Output 2 6 3 2 4 2" xfId="12078"/>
    <cellStyle name="Output 2 6 3 2 5" xfId="8658"/>
    <cellStyle name="Output 2 6 3 3" xfId="2127"/>
    <cellStyle name="Output 2 6 3 3 2" xfId="5547"/>
    <cellStyle name="Output 2 6 3 3 2 2" xfId="12387"/>
    <cellStyle name="Output 2 6 3 3 3" xfId="8967"/>
    <cellStyle name="Output 2 6 3 4" xfId="3267"/>
    <cellStyle name="Output 2 6 3 4 2" xfId="6687"/>
    <cellStyle name="Output 2 6 3 4 2 2" xfId="13527"/>
    <cellStyle name="Output 2 6 3 4 3" xfId="10107"/>
    <cellStyle name="Output 2 6 3 5" xfId="4407"/>
    <cellStyle name="Output 2 6 3 5 2" xfId="11247"/>
    <cellStyle name="Output 2 6 3 6" xfId="7827"/>
    <cellStyle name="Output 2 6 3 7" xfId="16617"/>
    <cellStyle name="Output 2 6 3 8" xfId="24934"/>
    <cellStyle name="Output 2 6 3 9" xfId="32193"/>
    <cellStyle name="Output 2 6 4" xfId="17637"/>
    <cellStyle name="Output 2 6 4 2" xfId="25960"/>
    <cellStyle name="Output 2 6 4 2 2" xfId="57771"/>
    <cellStyle name="Output 2 6 4 2 3" xfId="57772"/>
    <cellStyle name="Output 2 6 4 3" xfId="33170"/>
    <cellStyle name="Output 2 6 4 4" xfId="57773"/>
    <cellStyle name="Output 2 6 5" xfId="18619"/>
    <cellStyle name="Output 2 6 5 2" xfId="26939"/>
    <cellStyle name="Output 2 6 5 2 2" xfId="57774"/>
    <cellStyle name="Output 2 6 5 2 3" xfId="57775"/>
    <cellStyle name="Output 2 6 5 3" xfId="34107"/>
    <cellStyle name="Output 2 6 5 4" xfId="57776"/>
    <cellStyle name="Output 2 6 6" xfId="19588"/>
    <cellStyle name="Output 2 6 6 2" xfId="27908"/>
    <cellStyle name="Output 2 6 6 2 2" xfId="57777"/>
    <cellStyle name="Output 2 6 6 2 3" xfId="57778"/>
    <cellStyle name="Output 2 6 6 3" xfId="35053"/>
    <cellStyle name="Output 2 6 6 4" xfId="57779"/>
    <cellStyle name="Output 2 6 7" xfId="20545"/>
    <cellStyle name="Output 2 6 7 2" xfId="28867"/>
    <cellStyle name="Output 2 6 7 2 2" xfId="57780"/>
    <cellStyle name="Output 2 6 7 2 3" xfId="57781"/>
    <cellStyle name="Output 2 6 7 3" xfId="35970"/>
    <cellStyle name="Output 2 6 7 4" xfId="57782"/>
    <cellStyle name="Output 2 6 8" xfId="21291"/>
    <cellStyle name="Output 2 6 8 2" xfId="29598"/>
    <cellStyle name="Output 2 6 8 2 2" xfId="57783"/>
    <cellStyle name="Output 2 6 8 2 3" xfId="57784"/>
    <cellStyle name="Output 2 6 8 3" xfId="36665"/>
    <cellStyle name="Output 2 6 8 4" xfId="57785"/>
    <cellStyle name="Output 2 6 9" xfId="21981"/>
    <cellStyle name="Output 2 6 9 2" xfId="30281"/>
    <cellStyle name="Output 2 6 9 3" xfId="37321"/>
    <cellStyle name="Output 2 7" xfId="194"/>
    <cellStyle name="Output 2 7 10" xfId="14551"/>
    <cellStyle name="Output 2 7 11" xfId="22907"/>
    <cellStyle name="Output 2 7 12" xfId="57786"/>
    <cellStyle name="Output 2 7 13" xfId="57787"/>
    <cellStyle name="Output 2 7 14" xfId="57788"/>
    <cellStyle name="Output 2 7 2" xfId="366"/>
    <cellStyle name="Output 2 7 2 2" xfId="1371"/>
    <cellStyle name="Output 2 7 2 2 2" xfId="922"/>
    <cellStyle name="Output 2 7 2 2 2 2" xfId="2607"/>
    <cellStyle name="Output 2 7 2 2 2 2 2" xfId="6027"/>
    <cellStyle name="Output 2 7 2 2 2 2 2 2" xfId="12867"/>
    <cellStyle name="Output 2 7 2 2 2 2 3" xfId="9447"/>
    <cellStyle name="Output 2 7 2 2 2 3" xfId="3747"/>
    <cellStyle name="Output 2 7 2 2 2 3 2" xfId="7167"/>
    <cellStyle name="Output 2 7 2 2 2 3 2 2" xfId="14007"/>
    <cellStyle name="Output 2 7 2 2 2 3 3" xfId="10587"/>
    <cellStyle name="Output 2 7 2 2 2 4" xfId="4887"/>
    <cellStyle name="Output 2 7 2 2 2 4 2" xfId="11727"/>
    <cellStyle name="Output 2 7 2 2 2 5" xfId="8307"/>
    <cellStyle name="Output 2 7 2 2 3" xfId="2192"/>
    <cellStyle name="Output 2 7 2 2 3 2" xfId="5612"/>
    <cellStyle name="Output 2 7 2 2 3 2 2" xfId="12452"/>
    <cellStyle name="Output 2 7 2 2 3 3" xfId="9032"/>
    <cellStyle name="Output 2 7 2 2 4" xfId="3332"/>
    <cellStyle name="Output 2 7 2 2 4 2" xfId="6752"/>
    <cellStyle name="Output 2 7 2 2 4 2 2" xfId="13592"/>
    <cellStyle name="Output 2 7 2 2 4 3" xfId="10172"/>
    <cellStyle name="Output 2 7 2 2 5" xfId="4472"/>
    <cellStyle name="Output 2 7 2 2 5 2" xfId="11312"/>
    <cellStyle name="Output 2 7 2 2 6" xfId="7892"/>
    <cellStyle name="Output 2 7 2 3" xfId="15630"/>
    <cellStyle name="Output 2 7 2 4" xfId="23943"/>
    <cellStyle name="Output 2 7 2 5" xfId="31240"/>
    <cellStyle name="Output 2 7 2 6" xfId="57789"/>
    <cellStyle name="Output 2 7 2 7" xfId="57790"/>
    <cellStyle name="Output 2 7 2 8" xfId="57791"/>
    <cellStyle name="Output 2 7 3" xfId="1202"/>
    <cellStyle name="Output 2 7 3 2" xfId="1774"/>
    <cellStyle name="Output 2 7 3 2 2" xfId="2914"/>
    <cellStyle name="Output 2 7 3 2 2 2" xfId="6334"/>
    <cellStyle name="Output 2 7 3 2 2 2 2" xfId="13174"/>
    <cellStyle name="Output 2 7 3 2 2 3" xfId="9754"/>
    <cellStyle name="Output 2 7 3 2 3" xfId="4054"/>
    <cellStyle name="Output 2 7 3 2 3 2" xfId="7474"/>
    <cellStyle name="Output 2 7 3 2 3 2 2" xfId="14314"/>
    <cellStyle name="Output 2 7 3 2 3 3" xfId="10894"/>
    <cellStyle name="Output 2 7 3 2 4" xfId="5194"/>
    <cellStyle name="Output 2 7 3 2 4 2" xfId="12034"/>
    <cellStyle name="Output 2 7 3 2 5" xfId="8614"/>
    <cellStyle name="Output 2 7 3 3" xfId="2021"/>
    <cellStyle name="Output 2 7 3 3 2" xfId="5441"/>
    <cellStyle name="Output 2 7 3 3 2 2" xfId="12281"/>
    <cellStyle name="Output 2 7 3 3 3" xfId="8861"/>
    <cellStyle name="Output 2 7 3 4" xfId="3161"/>
    <cellStyle name="Output 2 7 3 4 2" xfId="6581"/>
    <cellStyle name="Output 2 7 3 4 2 2" xfId="13421"/>
    <cellStyle name="Output 2 7 3 4 3" xfId="10001"/>
    <cellStyle name="Output 2 7 3 5" xfId="4301"/>
    <cellStyle name="Output 2 7 3 5 2" xfId="11141"/>
    <cellStyle name="Output 2 7 3 6" xfId="7721"/>
    <cellStyle name="Output 2 7 3 7" xfId="16597"/>
    <cellStyle name="Output 2 7 3 8" xfId="24914"/>
    <cellStyle name="Output 2 7 3 9" xfId="32173"/>
    <cellStyle name="Output 2 7 4" xfId="17617"/>
    <cellStyle name="Output 2 7 4 2" xfId="25940"/>
    <cellStyle name="Output 2 7 4 2 2" xfId="57792"/>
    <cellStyle name="Output 2 7 4 2 3" xfId="57793"/>
    <cellStyle name="Output 2 7 4 3" xfId="33150"/>
    <cellStyle name="Output 2 7 4 4" xfId="57794"/>
    <cellStyle name="Output 2 7 5" xfId="18599"/>
    <cellStyle name="Output 2 7 5 2" xfId="26918"/>
    <cellStyle name="Output 2 7 5 2 2" xfId="57795"/>
    <cellStyle name="Output 2 7 5 2 3" xfId="57796"/>
    <cellStyle name="Output 2 7 5 3" xfId="34086"/>
    <cellStyle name="Output 2 7 5 4" xfId="57797"/>
    <cellStyle name="Output 2 7 6" xfId="19567"/>
    <cellStyle name="Output 2 7 6 2" xfId="27888"/>
    <cellStyle name="Output 2 7 6 2 2" xfId="57798"/>
    <cellStyle name="Output 2 7 6 2 3" xfId="57799"/>
    <cellStyle name="Output 2 7 6 3" xfId="35033"/>
    <cellStyle name="Output 2 7 6 4" xfId="57800"/>
    <cellStyle name="Output 2 7 7" xfId="20525"/>
    <cellStyle name="Output 2 7 7 2" xfId="28847"/>
    <cellStyle name="Output 2 7 7 2 2" xfId="57801"/>
    <cellStyle name="Output 2 7 7 2 3" xfId="57802"/>
    <cellStyle name="Output 2 7 7 3" xfId="35950"/>
    <cellStyle name="Output 2 7 7 4" xfId="57803"/>
    <cellStyle name="Output 2 7 8" xfId="21289"/>
    <cellStyle name="Output 2 7 8 2" xfId="29596"/>
    <cellStyle name="Output 2 7 8 2 2" xfId="57804"/>
    <cellStyle name="Output 2 7 8 2 3" xfId="57805"/>
    <cellStyle name="Output 2 7 8 3" xfId="36663"/>
    <cellStyle name="Output 2 7 8 4" xfId="57806"/>
    <cellStyle name="Output 2 7 9" xfId="21335"/>
    <cellStyle name="Output 2 7 9 2" xfId="29639"/>
    <cellStyle name="Output 2 7 9 3" xfId="36705"/>
    <cellStyle name="Output 2 8" xfId="464"/>
    <cellStyle name="Output 2 8 10" xfId="14617"/>
    <cellStyle name="Output 2 8 11" xfId="22978"/>
    <cellStyle name="Output 2 8 12" xfId="57807"/>
    <cellStyle name="Output 2 8 13" xfId="57808"/>
    <cellStyle name="Output 2 8 14" xfId="57809"/>
    <cellStyle name="Output 2 8 2" xfId="176"/>
    <cellStyle name="Output 2 8 2 2" xfId="1184"/>
    <cellStyle name="Output 2 8 2 2 2" xfId="1678"/>
    <cellStyle name="Output 2 8 2 2 2 2" xfId="2818"/>
    <cellStyle name="Output 2 8 2 2 2 2 2" xfId="6238"/>
    <cellStyle name="Output 2 8 2 2 2 2 2 2" xfId="13078"/>
    <cellStyle name="Output 2 8 2 2 2 2 3" xfId="9658"/>
    <cellStyle name="Output 2 8 2 2 2 3" xfId="3958"/>
    <cellStyle name="Output 2 8 2 2 2 3 2" xfId="7378"/>
    <cellStyle name="Output 2 8 2 2 2 3 2 2" xfId="14218"/>
    <cellStyle name="Output 2 8 2 2 2 3 3" xfId="10798"/>
    <cellStyle name="Output 2 8 2 2 2 4" xfId="5098"/>
    <cellStyle name="Output 2 8 2 2 2 4 2" xfId="11938"/>
    <cellStyle name="Output 2 8 2 2 2 5" xfId="8518"/>
    <cellStyle name="Output 2 8 2 2 3" xfId="2003"/>
    <cellStyle name="Output 2 8 2 2 3 2" xfId="5423"/>
    <cellStyle name="Output 2 8 2 2 3 2 2" xfId="12263"/>
    <cellStyle name="Output 2 8 2 2 3 3" xfId="8843"/>
    <cellStyle name="Output 2 8 2 2 4" xfId="3143"/>
    <cellStyle name="Output 2 8 2 2 4 2" xfId="6563"/>
    <cellStyle name="Output 2 8 2 2 4 2 2" xfId="13403"/>
    <cellStyle name="Output 2 8 2 2 4 3" xfId="9983"/>
    <cellStyle name="Output 2 8 2 2 5" xfId="4283"/>
    <cellStyle name="Output 2 8 2 2 5 2" xfId="11123"/>
    <cellStyle name="Output 2 8 2 2 6" xfId="7703"/>
    <cellStyle name="Output 2 8 2 3" xfId="15697"/>
    <cellStyle name="Output 2 8 2 4" xfId="24013"/>
    <cellStyle name="Output 2 8 2 5" xfId="31307"/>
    <cellStyle name="Output 2 8 2 6" xfId="57810"/>
    <cellStyle name="Output 2 8 2 7" xfId="57811"/>
    <cellStyle name="Output 2 8 2 8" xfId="57812"/>
    <cellStyle name="Output 2 8 3" xfId="1468"/>
    <cellStyle name="Output 2 8 3 2" xfId="875"/>
    <cellStyle name="Output 2 8 3 2 2" xfId="2575"/>
    <cellStyle name="Output 2 8 3 2 2 2" xfId="5995"/>
    <cellStyle name="Output 2 8 3 2 2 2 2" xfId="12835"/>
    <cellStyle name="Output 2 8 3 2 2 3" xfId="9415"/>
    <cellStyle name="Output 2 8 3 2 3" xfId="3715"/>
    <cellStyle name="Output 2 8 3 2 3 2" xfId="7135"/>
    <cellStyle name="Output 2 8 3 2 3 2 2" xfId="13975"/>
    <cellStyle name="Output 2 8 3 2 3 3" xfId="10555"/>
    <cellStyle name="Output 2 8 3 2 4" xfId="4855"/>
    <cellStyle name="Output 2 8 3 2 4 2" xfId="11695"/>
    <cellStyle name="Output 2 8 3 2 5" xfId="8275"/>
    <cellStyle name="Output 2 8 3 3" xfId="2289"/>
    <cellStyle name="Output 2 8 3 3 2" xfId="5709"/>
    <cellStyle name="Output 2 8 3 3 2 2" xfId="12549"/>
    <cellStyle name="Output 2 8 3 3 3" xfId="9129"/>
    <cellStyle name="Output 2 8 3 4" xfId="3429"/>
    <cellStyle name="Output 2 8 3 4 2" xfId="6849"/>
    <cellStyle name="Output 2 8 3 4 2 2" xfId="13689"/>
    <cellStyle name="Output 2 8 3 4 3" xfId="10269"/>
    <cellStyle name="Output 2 8 3 5" xfId="4569"/>
    <cellStyle name="Output 2 8 3 5 2" xfId="11409"/>
    <cellStyle name="Output 2 8 3 6" xfId="7989"/>
    <cellStyle name="Output 2 8 3 7" xfId="16664"/>
    <cellStyle name="Output 2 8 3 8" xfId="24984"/>
    <cellStyle name="Output 2 8 3 9" xfId="32240"/>
    <cellStyle name="Output 2 8 4" xfId="17687"/>
    <cellStyle name="Output 2 8 4 2" xfId="26010"/>
    <cellStyle name="Output 2 8 4 2 2" xfId="57813"/>
    <cellStyle name="Output 2 8 4 2 3" xfId="57814"/>
    <cellStyle name="Output 2 8 4 3" xfId="33217"/>
    <cellStyle name="Output 2 8 4 4" xfId="57815"/>
    <cellStyle name="Output 2 8 5" xfId="18670"/>
    <cellStyle name="Output 2 8 5 2" xfId="26991"/>
    <cellStyle name="Output 2 8 5 2 2" xfId="57816"/>
    <cellStyle name="Output 2 8 5 2 3" xfId="57817"/>
    <cellStyle name="Output 2 8 5 3" xfId="34156"/>
    <cellStyle name="Output 2 8 5 4" xfId="57818"/>
    <cellStyle name="Output 2 8 6" xfId="19639"/>
    <cellStyle name="Output 2 8 6 2" xfId="27960"/>
    <cellStyle name="Output 2 8 6 2 2" xfId="57819"/>
    <cellStyle name="Output 2 8 6 2 3" xfId="57820"/>
    <cellStyle name="Output 2 8 6 3" xfId="35102"/>
    <cellStyle name="Output 2 8 6 4" xfId="57821"/>
    <cellStyle name="Output 2 8 7" xfId="20596"/>
    <cellStyle name="Output 2 8 7 2" xfId="28917"/>
    <cellStyle name="Output 2 8 7 2 2" xfId="57822"/>
    <cellStyle name="Output 2 8 7 2 3" xfId="57823"/>
    <cellStyle name="Output 2 8 7 3" xfId="36017"/>
    <cellStyle name="Output 2 8 7 4" xfId="57824"/>
    <cellStyle name="Output 2 8 8" xfId="21299"/>
    <cellStyle name="Output 2 8 8 2" xfId="29606"/>
    <cellStyle name="Output 2 8 8 2 2" xfId="57825"/>
    <cellStyle name="Output 2 8 8 2 3" xfId="57826"/>
    <cellStyle name="Output 2 8 8 3" xfId="36673"/>
    <cellStyle name="Output 2 8 8 4" xfId="57827"/>
    <cellStyle name="Output 2 8 9" xfId="22033"/>
    <cellStyle name="Output 2 8 9 2" xfId="30331"/>
    <cellStyle name="Output 2 8 9 3" xfId="37368"/>
    <cellStyle name="Output 2 9" xfId="480"/>
    <cellStyle name="Output 2 9 10" xfId="14682"/>
    <cellStyle name="Output 2 9 11" xfId="23044"/>
    <cellStyle name="Output 2 9 12" xfId="57828"/>
    <cellStyle name="Output 2 9 13" xfId="57829"/>
    <cellStyle name="Output 2 9 14" xfId="57830"/>
    <cellStyle name="Output 2 9 2" xfId="199"/>
    <cellStyle name="Output 2 9 2 2" xfId="1207"/>
    <cellStyle name="Output 2 9 2 2 2" xfId="1024"/>
    <cellStyle name="Output 2 9 2 2 2 2" xfId="2765"/>
    <cellStyle name="Output 2 9 2 2 2 2 2" xfId="6185"/>
    <cellStyle name="Output 2 9 2 2 2 2 2 2" xfId="13025"/>
    <cellStyle name="Output 2 9 2 2 2 2 3" xfId="9605"/>
    <cellStyle name="Output 2 9 2 2 2 3" xfId="3905"/>
    <cellStyle name="Output 2 9 2 2 2 3 2" xfId="7325"/>
    <cellStyle name="Output 2 9 2 2 2 3 2 2" xfId="14165"/>
    <cellStyle name="Output 2 9 2 2 2 3 3" xfId="10745"/>
    <cellStyle name="Output 2 9 2 2 2 4" xfId="5045"/>
    <cellStyle name="Output 2 9 2 2 2 4 2" xfId="11885"/>
    <cellStyle name="Output 2 9 2 2 2 5" xfId="8465"/>
    <cellStyle name="Output 2 9 2 2 3" xfId="2026"/>
    <cellStyle name="Output 2 9 2 2 3 2" xfId="5446"/>
    <cellStyle name="Output 2 9 2 2 3 2 2" xfId="12286"/>
    <cellStyle name="Output 2 9 2 2 3 3" xfId="8866"/>
    <cellStyle name="Output 2 9 2 2 4" xfId="3166"/>
    <cellStyle name="Output 2 9 2 2 4 2" xfId="6586"/>
    <cellStyle name="Output 2 9 2 2 4 2 2" xfId="13426"/>
    <cellStyle name="Output 2 9 2 2 4 3" xfId="10006"/>
    <cellStyle name="Output 2 9 2 2 5" xfId="4306"/>
    <cellStyle name="Output 2 9 2 2 5 2" xfId="11146"/>
    <cellStyle name="Output 2 9 2 2 6" xfId="7726"/>
    <cellStyle name="Output 2 9 2 3" xfId="15763"/>
    <cellStyle name="Output 2 9 2 4" xfId="24079"/>
    <cellStyle name="Output 2 9 2 5" xfId="31370"/>
    <cellStyle name="Output 2 9 2 6" xfId="57831"/>
    <cellStyle name="Output 2 9 2 7" xfId="57832"/>
    <cellStyle name="Output 2 9 2 8" xfId="57833"/>
    <cellStyle name="Output 2 9 3" xfId="1484"/>
    <cellStyle name="Output 2 9 3 2" xfId="1699"/>
    <cellStyle name="Output 2 9 3 2 2" xfId="2839"/>
    <cellStyle name="Output 2 9 3 2 2 2" xfId="6259"/>
    <cellStyle name="Output 2 9 3 2 2 2 2" xfId="13099"/>
    <cellStyle name="Output 2 9 3 2 2 3" xfId="9679"/>
    <cellStyle name="Output 2 9 3 2 3" xfId="3979"/>
    <cellStyle name="Output 2 9 3 2 3 2" xfId="7399"/>
    <cellStyle name="Output 2 9 3 2 3 2 2" xfId="14239"/>
    <cellStyle name="Output 2 9 3 2 3 3" xfId="10819"/>
    <cellStyle name="Output 2 9 3 2 4" xfId="5119"/>
    <cellStyle name="Output 2 9 3 2 4 2" xfId="11959"/>
    <cellStyle name="Output 2 9 3 2 5" xfId="8539"/>
    <cellStyle name="Output 2 9 3 3" xfId="2305"/>
    <cellStyle name="Output 2 9 3 3 2" xfId="5725"/>
    <cellStyle name="Output 2 9 3 3 2 2" xfId="12565"/>
    <cellStyle name="Output 2 9 3 3 3" xfId="9145"/>
    <cellStyle name="Output 2 9 3 4" xfId="3445"/>
    <cellStyle name="Output 2 9 3 4 2" xfId="6865"/>
    <cellStyle name="Output 2 9 3 4 2 2" xfId="13705"/>
    <cellStyle name="Output 2 9 3 4 3" xfId="10285"/>
    <cellStyle name="Output 2 9 3 5" xfId="4585"/>
    <cellStyle name="Output 2 9 3 5 2" xfId="11425"/>
    <cellStyle name="Output 2 9 3 6" xfId="8005"/>
    <cellStyle name="Output 2 9 3 7" xfId="16729"/>
    <cellStyle name="Output 2 9 3 8" xfId="25050"/>
    <cellStyle name="Output 2 9 3 9" xfId="32303"/>
    <cellStyle name="Output 2 9 4" xfId="17753"/>
    <cellStyle name="Output 2 9 4 2" xfId="26076"/>
    <cellStyle name="Output 2 9 4 2 2" xfId="57834"/>
    <cellStyle name="Output 2 9 4 2 3" xfId="57835"/>
    <cellStyle name="Output 2 9 4 3" xfId="33280"/>
    <cellStyle name="Output 2 9 4 4" xfId="57836"/>
    <cellStyle name="Output 2 9 5" xfId="18736"/>
    <cellStyle name="Output 2 9 5 2" xfId="27057"/>
    <cellStyle name="Output 2 9 5 2 2" xfId="57837"/>
    <cellStyle name="Output 2 9 5 2 3" xfId="57838"/>
    <cellStyle name="Output 2 9 5 3" xfId="34219"/>
    <cellStyle name="Output 2 9 5 4" xfId="57839"/>
    <cellStyle name="Output 2 9 6" xfId="19705"/>
    <cellStyle name="Output 2 9 6 2" xfId="28026"/>
    <cellStyle name="Output 2 9 6 2 2" xfId="57840"/>
    <cellStyle name="Output 2 9 6 2 3" xfId="57841"/>
    <cellStyle name="Output 2 9 6 3" xfId="35165"/>
    <cellStyle name="Output 2 9 6 4" xfId="57842"/>
    <cellStyle name="Output 2 9 7" xfId="20662"/>
    <cellStyle name="Output 2 9 7 2" xfId="28983"/>
    <cellStyle name="Output 2 9 7 2 2" xfId="57843"/>
    <cellStyle name="Output 2 9 7 2 3" xfId="57844"/>
    <cellStyle name="Output 2 9 7 3" xfId="36080"/>
    <cellStyle name="Output 2 9 7 4" xfId="57845"/>
    <cellStyle name="Output 2 9 8" xfId="21178"/>
    <cellStyle name="Output 2 9 8 2" xfId="29490"/>
    <cellStyle name="Output 2 9 8 2 2" xfId="57846"/>
    <cellStyle name="Output 2 9 8 2 3" xfId="57847"/>
    <cellStyle name="Output 2 9 8 3" xfId="36561"/>
    <cellStyle name="Output 2 9 8 4" xfId="57848"/>
    <cellStyle name="Output 2 9 9" xfId="22099"/>
    <cellStyle name="Output 2 9 9 2" xfId="30397"/>
    <cellStyle name="Output 2 9 9 3" xfId="37431"/>
    <cellStyle name="Output 3" xfId="65"/>
    <cellStyle name="Output 3 10" xfId="57849"/>
    <cellStyle name="Output 3 2" xfId="122"/>
    <cellStyle name="Output 3 2 2" xfId="254"/>
    <cellStyle name="Output 3 2 2 2" xfId="665"/>
    <cellStyle name="Output 3 2 2 2 2" xfId="1616"/>
    <cellStyle name="Output 3 2 2 2 2 2" xfId="791"/>
    <cellStyle name="Output 3 2 2 2 2 2 2" xfId="2531"/>
    <cellStyle name="Output 3 2 2 2 2 2 2 2" xfId="5951"/>
    <cellStyle name="Output 3 2 2 2 2 2 2 2 2" xfId="12791"/>
    <cellStyle name="Output 3 2 2 2 2 2 2 3" xfId="9371"/>
    <cellStyle name="Output 3 2 2 2 2 2 3" xfId="3671"/>
    <cellStyle name="Output 3 2 2 2 2 2 3 2" xfId="7091"/>
    <cellStyle name="Output 3 2 2 2 2 2 3 2 2" xfId="13931"/>
    <cellStyle name="Output 3 2 2 2 2 2 3 3" xfId="10511"/>
    <cellStyle name="Output 3 2 2 2 2 2 4" xfId="4811"/>
    <cellStyle name="Output 3 2 2 2 2 2 4 2" xfId="11651"/>
    <cellStyle name="Output 3 2 2 2 2 2 5" xfId="8231"/>
    <cellStyle name="Output 3 2 2 2 2 3" xfId="2450"/>
    <cellStyle name="Output 3 2 2 2 2 3 2" xfId="5870"/>
    <cellStyle name="Output 3 2 2 2 2 3 2 2" xfId="12710"/>
    <cellStyle name="Output 3 2 2 2 2 3 3" xfId="9290"/>
    <cellStyle name="Output 3 2 2 2 2 4" xfId="3590"/>
    <cellStyle name="Output 3 2 2 2 2 4 2" xfId="7010"/>
    <cellStyle name="Output 3 2 2 2 2 4 2 2" xfId="13850"/>
    <cellStyle name="Output 3 2 2 2 2 4 3" xfId="10430"/>
    <cellStyle name="Output 3 2 2 2 2 5" xfId="4730"/>
    <cellStyle name="Output 3 2 2 2 2 5 2" xfId="11570"/>
    <cellStyle name="Output 3 2 2 2 2 6" xfId="8150"/>
    <cellStyle name="Output 3 2 2 2 3" xfId="38509"/>
    <cellStyle name="Output 3 2 2 2 4" xfId="57850"/>
    <cellStyle name="Output 3 2 2 2 5" xfId="57851"/>
    <cellStyle name="Output 3 2 2 2 6" xfId="57852"/>
    <cellStyle name="Output 3 2 2 3" xfId="1261"/>
    <cellStyle name="Output 3 2 2 3 2" xfId="1854"/>
    <cellStyle name="Output 3 2 2 3 2 2" xfId="2994"/>
    <cellStyle name="Output 3 2 2 3 2 2 2" xfId="6414"/>
    <cellStyle name="Output 3 2 2 3 2 2 2 2" xfId="13254"/>
    <cellStyle name="Output 3 2 2 3 2 2 3" xfId="9834"/>
    <cellStyle name="Output 3 2 2 3 2 3" xfId="4134"/>
    <cellStyle name="Output 3 2 2 3 2 3 2" xfId="7554"/>
    <cellStyle name="Output 3 2 2 3 2 3 2 2" xfId="14394"/>
    <cellStyle name="Output 3 2 2 3 2 3 3" xfId="10974"/>
    <cellStyle name="Output 3 2 2 3 2 4" xfId="5274"/>
    <cellStyle name="Output 3 2 2 3 2 4 2" xfId="12114"/>
    <cellStyle name="Output 3 2 2 3 2 5" xfId="8694"/>
    <cellStyle name="Output 3 2 2 3 3" xfId="2081"/>
    <cellStyle name="Output 3 2 2 3 3 2" xfId="5501"/>
    <cellStyle name="Output 3 2 2 3 3 2 2" xfId="12341"/>
    <cellStyle name="Output 3 2 2 3 3 3" xfId="8921"/>
    <cellStyle name="Output 3 2 2 3 4" xfId="3221"/>
    <cellStyle name="Output 3 2 2 3 4 2" xfId="6641"/>
    <cellStyle name="Output 3 2 2 3 4 2 2" xfId="13481"/>
    <cellStyle name="Output 3 2 2 3 4 3" xfId="10061"/>
    <cellStyle name="Output 3 2 2 3 5" xfId="4361"/>
    <cellStyle name="Output 3 2 2 3 5 2" xfId="11201"/>
    <cellStyle name="Output 3 2 2 3 6" xfId="7781"/>
    <cellStyle name="Output 3 2 2 4" xfId="38275"/>
    <cellStyle name="Output 3 2 2 5" xfId="57853"/>
    <cellStyle name="Output 3 2 2 6" xfId="57854"/>
    <cellStyle name="Output 3 2 2 7" xfId="57855"/>
    <cellStyle name="Output 3 2 3" xfId="577"/>
    <cellStyle name="Output 3 2 3 2" xfId="1564"/>
    <cellStyle name="Output 3 2 3 2 2" xfId="829"/>
    <cellStyle name="Output 3 2 3 2 2 2" xfId="2700"/>
    <cellStyle name="Output 3 2 3 2 2 2 2" xfId="6120"/>
    <cellStyle name="Output 3 2 3 2 2 2 2 2" xfId="12960"/>
    <cellStyle name="Output 3 2 3 2 2 2 3" xfId="9540"/>
    <cellStyle name="Output 3 2 3 2 2 3" xfId="3840"/>
    <cellStyle name="Output 3 2 3 2 2 3 2" xfId="7260"/>
    <cellStyle name="Output 3 2 3 2 2 3 2 2" xfId="14100"/>
    <cellStyle name="Output 3 2 3 2 2 3 3" xfId="10680"/>
    <cellStyle name="Output 3 2 3 2 2 4" xfId="4980"/>
    <cellStyle name="Output 3 2 3 2 2 4 2" xfId="11820"/>
    <cellStyle name="Output 3 2 3 2 2 5" xfId="8400"/>
    <cellStyle name="Output 3 2 3 2 3" xfId="2389"/>
    <cellStyle name="Output 3 2 3 2 3 2" xfId="5809"/>
    <cellStyle name="Output 3 2 3 2 3 2 2" xfId="12649"/>
    <cellStyle name="Output 3 2 3 2 3 3" xfId="9229"/>
    <cellStyle name="Output 3 2 3 2 4" xfId="3529"/>
    <cellStyle name="Output 3 2 3 2 4 2" xfId="6949"/>
    <cellStyle name="Output 3 2 3 2 4 2 2" xfId="13789"/>
    <cellStyle name="Output 3 2 3 2 4 3" xfId="10369"/>
    <cellStyle name="Output 3 2 3 2 5" xfId="4669"/>
    <cellStyle name="Output 3 2 3 2 5 2" xfId="11509"/>
    <cellStyle name="Output 3 2 3 2 6" xfId="8089"/>
    <cellStyle name="Output 3 2 3 3" xfId="38468"/>
    <cellStyle name="Output 3 2 3 4" xfId="57856"/>
    <cellStyle name="Output 3 2 3 5" xfId="57857"/>
    <cellStyle name="Output 3 2 3 6" xfId="57858"/>
    <cellStyle name="Output 3 2 4" xfId="1138"/>
    <cellStyle name="Output 3 2 4 2" xfId="1822"/>
    <cellStyle name="Output 3 2 4 2 2" xfId="2962"/>
    <cellStyle name="Output 3 2 4 2 2 2" xfId="6382"/>
    <cellStyle name="Output 3 2 4 2 2 2 2" xfId="13222"/>
    <cellStyle name="Output 3 2 4 2 2 3" xfId="9802"/>
    <cellStyle name="Output 3 2 4 2 3" xfId="4102"/>
    <cellStyle name="Output 3 2 4 2 3 2" xfId="7522"/>
    <cellStyle name="Output 3 2 4 2 3 2 2" xfId="14362"/>
    <cellStyle name="Output 3 2 4 2 3 3" xfId="10942"/>
    <cellStyle name="Output 3 2 4 2 4" xfId="5242"/>
    <cellStyle name="Output 3 2 4 2 4 2" xfId="12082"/>
    <cellStyle name="Output 3 2 4 2 5" xfId="8662"/>
    <cellStyle name="Output 3 2 4 3" xfId="1952"/>
    <cellStyle name="Output 3 2 4 3 2" xfId="5372"/>
    <cellStyle name="Output 3 2 4 3 2 2" xfId="12212"/>
    <cellStyle name="Output 3 2 4 3 3" xfId="8792"/>
    <cellStyle name="Output 3 2 4 4" xfId="3092"/>
    <cellStyle name="Output 3 2 4 4 2" xfId="6512"/>
    <cellStyle name="Output 3 2 4 4 2 2" xfId="13352"/>
    <cellStyle name="Output 3 2 4 4 3" xfId="9932"/>
    <cellStyle name="Output 3 2 4 5" xfId="4232"/>
    <cellStyle name="Output 3 2 4 5 2" xfId="11072"/>
    <cellStyle name="Output 3 2 4 6" xfId="7652"/>
    <cellStyle name="Output 3 2 5" xfId="38204"/>
    <cellStyle name="Output 3 2 6" xfId="57859"/>
    <cellStyle name="Output 3 2 7" xfId="57860"/>
    <cellStyle name="Output 3 3" xfId="144"/>
    <cellStyle name="Output 3 3 2" xfId="270"/>
    <cellStyle name="Output 3 3 2 2" xfId="680"/>
    <cellStyle name="Output 3 3 2 2 2" xfId="1631"/>
    <cellStyle name="Output 3 3 2 2 2 2" xfId="776"/>
    <cellStyle name="Output 3 3 2 2 2 2 2" xfId="2577"/>
    <cellStyle name="Output 3 3 2 2 2 2 2 2" xfId="5997"/>
    <cellStyle name="Output 3 3 2 2 2 2 2 2 2" xfId="12837"/>
    <cellStyle name="Output 3 3 2 2 2 2 2 3" xfId="9417"/>
    <cellStyle name="Output 3 3 2 2 2 2 3" xfId="3717"/>
    <cellStyle name="Output 3 3 2 2 2 2 3 2" xfId="7137"/>
    <cellStyle name="Output 3 3 2 2 2 2 3 2 2" xfId="13977"/>
    <cellStyle name="Output 3 3 2 2 2 2 3 3" xfId="10557"/>
    <cellStyle name="Output 3 3 2 2 2 2 4" xfId="4857"/>
    <cellStyle name="Output 3 3 2 2 2 2 4 2" xfId="11697"/>
    <cellStyle name="Output 3 3 2 2 2 2 5" xfId="8277"/>
    <cellStyle name="Output 3 3 2 2 2 3" xfId="2465"/>
    <cellStyle name="Output 3 3 2 2 2 3 2" xfId="5885"/>
    <cellStyle name="Output 3 3 2 2 2 3 2 2" xfId="12725"/>
    <cellStyle name="Output 3 3 2 2 2 3 3" xfId="9305"/>
    <cellStyle name="Output 3 3 2 2 2 4" xfId="3605"/>
    <cellStyle name="Output 3 3 2 2 2 4 2" xfId="7025"/>
    <cellStyle name="Output 3 3 2 2 2 4 2 2" xfId="13865"/>
    <cellStyle name="Output 3 3 2 2 2 4 3" xfId="10445"/>
    <cellStyle name="Output 3 3 2 2 2 5" xfId="4745"/>
    <cellStyle name="Output 3 3 2 2 2 5 2" xfId="11585"/>
    <cellStyle name="Output 3 3 2 2 2 6" xfId="8165"/>
    <cellStyle name="Output 3 3 2 2 3" xfId="38524"/>
    <cellStyle name="Output 3 3 2 2 4" xfId="57861"/>
    <cellStyle name="Output 3 3 2 2 5" xfId="57862"/>
    <cellStyle name="Output 3 3 2 2 6" xfId="57863"/>
    <cellStyle name="Output 3 3 2 3" xfId="1277"/>
    <cellStyle name="Output 3 3 2 3 2" xfId="989"/>
    <cellStyle name="Output 3 3 2 3 2 2" xfId="2379"/>
    <cellStyle name="Output 3 3 2 3 2 2 2" xfId="5799"/>
    <cellStyle name="Output 3 3 2 3 2 2 2 2" xfId="12639"/>
    <cellStyle name="Output 3 3 2 3 2 2 3" xfId="9219"/>
    <cellStyle name="Output 3 3 2 3 2 3" xfId="3519"/>
    <cellStyle name="Output 3 3 2 3 2 3 2" xfId="6939"/>
    <cellStyle name="Output 3 3 2 3 2 3 2 2" xfId="13779"/>
    <cellStyle name="Output 3 3 2 3 2 3 3" xfId="10359"/>
    <cellStyle name="Output 3 3 2 3 2 4" xfId="4659"/>
    <cellStyle name="Output 3 3 2 3 2 4 2" xfId="11499"/>
    <cellStyle name="Output 3 3 2 3 2 5" xfId="8079"/>
    <cellStyle name="Output 3 3 2 3 3" xfId="2097"/>
    <cellStyle name="Output 3 3 2 3 3 2" xfId="5517"/>
    <cellStyle name="Output 3 3 2 3 3 2 2" xfId="12357"/>
    <cellStyle name="Output 3 3 2 3 3 3" xfId="8937"/>
    <cellStyle name="Output 3 3 2 3 4" xfId="3237"/>
    <cellStyle name="Output 3 3 2 3 4 2" xfId="6657"/>
    <cellStyle name="Output 3 3 2 3 4 2 2" xfId="13497"/>
    <cellStyle name="Output 3 3 2 3 4 3" xfId="10077"/>
    <cellStyle name="Output 3 3 2 3 5" xfId="4377"/>
    <cellStyle name="Output 3 3 2 3 5 2" xfId="11217"/>
    <cellStyle name="Output 3 3 2 3 6" xfId="7797"/>
    <cellStyle name="Output 3 3 2 4" xfId="38287"/>
    <cellStyle name="Output 3 3 2 5" xfId="57864"/>
    <cellStyle name="Output 3 3 2 6" xfId="57865"/>
    <cellStyle name="Output 3 3 2 7" xfId="57866"/>
    <cellStyle name="Output 3 3 3" xfId="592"/>
    <cellStyle name="Output 3 3 3 2" xfId="1579"/>
    <cellStyle name="Output 3 3 3 2 2" xfId="821"/>
    <cellStyle name="Output 3 3 3 2 2 2" xfId="2436"/>
    <cellStyle name="Output 3 3 3 2 2 2 2" xfId="5856"/>
    <cellStyle name="Output 3 3 3 2 2 2 2 2" xfId="12696"/>
    <cellStyle name="Output 3 3 3 2 2 2 3" xfId="9276"/>
    <cellStyle name="Output 3 3 3 2 2 3" xfId="3576"/>
    <cellStyle name="Output 3 3 3 2 2 3 2" xfId="6996"/>
    <cellStyle name="Output 3 3 3 2 2 3 2 2" xfId="13836"/>
    <cellStyle name="Output 3 3 3 2 2 3 3" xfId="10416"/>
    <cellStyle name="Output 3 3 3 2 2 4" xfId="4716"/>
    <cellStyle name="Output 3 3 3 2 2 4 2" xfId="11556"/>
    <cellStyle name="Output 3 3 3 2 2 5" xfId="8136"/>
    <cellStyle name="Output 3 3 3 2 3" xfId="2404"/>
    <cellStyle name="Output 3 3 3 2 3 2" xfId="5824"/>
    <cellStyle name="Output 3 3 3 2 3 2 2" xfId="12664"/>
    <cellStyle name="Output 3 3 3 2 3 3" xfId="9244"/>
    <cellStyle name="Output 3 3 3 2 4" xfId="3544"/>
    <cellStyle name="Output 3 3 3 2 4 2" xfId="6964"/>
    <cellStyle name="Output 3 3 3 2 4 2 2" xfId="13804"/>
    <cellStyle name="Output 3 3 3 2 4 3" xfId="10384"/>
    <cellStyle name="Output 3 3 3 2 5" xfId="4684"/>
    <cellStyle name="Output 3 3 3 2 5 2" xfId="11524"/>
    <cellStyle name="Output 3 3 3 2 6" xfId="8104"/>
    <cellStyle name="Output 3 3 3 3" xfId="38473"/>
    <cellStyle name="Output 3 3 3 4" xfId="57867"/>
    <cellStyle name="Output 3 3 3 5" xfId="57868"/>
    <cellStyle name="Output 3 3 3 6" xfId="57869"/>
    <cellStyle name="Output 3 3 4" xfId="1153"/>
    <cellStyle name="Output 3 3 4 2" xfId="1746"/>
    <cellStyle name="Output 3 3 4 2 2" xfId="2886"/>
    <cellStyle name="Output 3 3 4 2 2 2" xfId="6306"/>
    <cellStyle name="Output 3 3 4 2 2 2 2" xfId="13146"/>
    <cellStyle name="Output 3 3 4 2 2 3" xfId="9726"/>
    <cellStyle name="Output 3 3 4 2 3" xfId="4026"/>
    <cellStyle name="Output 3 3 4 2 3 2" xfId="7446"/>
    <cellStyle name="Output 3 3 4 2 3 2 2" xfId="14286"/>
    <cellStyle name="Output 3 3 4 2 3 3" xfId="10866"/>
    <cellStyle name="Output 3 3 4 2 4" xfId="5166"/>
    <cellStyle name="Output 3 3 4 2 4 2" xfId="12006"/>
    <cellStyle name="Output 3 3 4 2 5" xfId="8586"/>
    <cellStyle name="Output 3 3 4 3" xfId="1972"/>
    <cellStyle name="Output 3 3 4 3 2" xfId="5392"/>
    <cellStyle name="Output 3 3 4 3 2 2" xfId="12232"/>
    <cellStyle name="Output 3 3 4 3 3" xfId="8812"/>
    <cellStyle name="Output 3 3 4 4" xfId="3112"/>
    <cellStyle name="Output 3 3 4 4 2" xfId="6532"/>
    <cellStyle name="Output 3 3 4 4 2 2" xfId="13372"/>
    <cellStyle name="Output 3 3 4 4 3" xfId="9952"/>
    <cellStyle name="Output 3 3 4 5" xfId="4252"/>
    <cellStyle name="Output 3 3 4 5 2" xfId="11092"/>
    <cellStyle name="Output 3 3 4 6" xfId="7672"/>
    <cellStyle name="Output 3 3 5" xfId="38209"/>
    <cellStyle name="Output 3 3 6" xfId="57870"/>
    <cellStyle name="Output 3 3 7" xfId="57871"/>
    <cellStyle name="Output 3 4" xfId="310"/>
    <cellStyle name="Output 3 4 2" xfId="415"/>
    <cellStyle name="Output 3 4 2 2" xfId="1420"/>
    <cellStyle name="Output 3 4 2 2 2" xfId="900"/>
    <cellStyle name="Output 3 4 2 2 2 2" xfId="2649"/>
    <cellStyle name="Output 3 4 2 2 2 2 2" xfId="6069"/>
    <cellStyle name="Output 3 4 2 2 2 2 2 2" xfId="12909"/>
    <cellStyle name="Output 3 4 2 2 2 2 3" xfId="9489"/>
    <cellStyle name="Output 3 4 2 2 2 3" xfId="3789"/>
    <cellStyle name="Output 3 4 2 2 2 3 2" xfId="7209"/>
    <cellStyle name="Output 3 4 2 2 2 3 2 2" xfId="14049"/>
    <cellStyle name="Output 3 4 2 2 2 3 3" xfId="10629"/>
    <cellStyle name="Output 3 4 2 2 2 4" xfId="4929"/>
    <cellStyle name="Output 3 4 2 2 2 4 2" xfId="11769"/>
    <cellStyle name="Output 3 4 2 2 2 5" xfId="8349"/>
    <cellStyle name="Output 3 4 2 2 3" xfId="2241"/>
    <cellStyle name="Output 3 4 2 2 3 2" xfId="5661"/>
    <cellStyle name="Output 3 4 2 2 3 2 2" xfId="12501"/>
    <cellStyle name="Output 3 4 2 2 3 3" xfId="9081"/>
    <cellStyle name="Output 3 4 2 2 4" xfId="3381"/>
    <cellStyle name="Output 3 4 2 2 4 2" xfId="6801"/>
    <cellStyle name="Output 3 4 2 2 4 2 2" xfId="13641"/>
    <cellStyle name="Output 3 4 2 2 4 3" xfId="10221"/>
    <cellStyle name="Output 3 4 2 2 5" xfId="4521"/>
    <cellStyle name="Output 3 4 2 2 5 2" xfId="11361"/>
    <cellStyle name="Output 3 4 2 2 6" xfId="7941"/>
    <cellStyle name="Output 3 4 2 3" xfId="38389"/>
    <cellStyle name="Output 3 4 2 4" xfId="57872"/>
    <cellStyle name="Output 3 4 2 5" xfId="57873"/>
    <cellStyle name="Output 3 4 2 6" xfId="57874"/>
    <cellStyle name="Output 3 4 3" xfId="1316"/>
    <cellStyle name="Output 3 4 3 2" xfId="1773"/>
    <cellStyle name="Output 3 4 3 2 2" xfId="2913"/>
    <cellStyle name="Output 3 4 3 2 2 2" xfId="6333"/>
    <cellStyle name="Output 3 4 3 2 2 2 2" xfId="13173"/>
    <cellStyle name="Output 3 4 3 2 2 3" xfId="9753"/>
    <cellStyle name="Output 3 4 3 2 3" xfId="4053"/>
    <cellStyle name="Output 3 4 3 2 3 2" xfId="7473"/>
    <cellStyle name="Output 3 4 3 2 3 2 2" xfId="14313"/>
    <cellStyle name="Output 3 4 3 2 3 3" xfId="10893"/>
    <cellStyle name="Output 3 4 3 2 4" xfId="5193"/>
    <cellStyle name="Output 3 4 3 2 4 2" xfId="12033"/>
    <cellStyle name="Output 3 4 3 2 5" xfId="8613"/>
    <cellStyle name="Output 3 4 3 3" xfId="2136"/>
    <cellStyle name="Output 3 4 3 3 2" xfId="5556"/>
    <cellStyle name="Output 3 4 3 3 2 2" xfId="12396"/>
    <cellStyle name="Output 3 4 3 3 3" xfId="8976"/>
    <cellStyle name="Output 3 4 3 4" xfId="3276"/>
    <cellStyle name="Output 3 4 3 4 2" xfId="6696"/>
    <cellStyle name="Output 3 4 3 4 2 2" xfId="13536"/>
    <cellStyle name="Output 3 4 3 4 3" xfId="10116"/>
    <cellStyle name="Output 3 4 3 5" xfId="4416"/>
    <cellStyle name="Output 3 4 3 5 2" xfId="11256"/>
    <cellStyle name="Output 3 4 3 6" xfId="7836"/>
    <cellStyle name="Output 3 4 4" xfId="38318"/>
    <cellStyle name="Output 3 4 5" xfId="57875"/>
    <cellStyle name="Output 3 4 6" xfId="57876"/>
    <cellStyle name="Output 3 5" xfId="209"/>
    <cellStyle name="Output 3 5 2" xfId="365"/>
    <cellStyle name="Output 3 5 2 2" xfId="1370"/>
    <cellStyle name="Output 3 5 2 2 2" xfId="923"/>
    <cellStyle name="Output 3 5 2 2 2 2" xfId="2602"/>
    <cellStyle name="Output 3 5 2 2 2 2 2" xfId="6022"/>
    <cellStyle name="Output 3 5 2 2 2 2 2 2" xfId="12862"/>
    <cellStyle name="Output 3 5 2 2 2 2 3" xfId="9442"/>
    <cellStyle name="Output 3 5 2 2 2 3" xfId="3742"/>
    <cellStyle name="Output 3 5 2 2 2 3 2" xfId="7162"/>
    <cellStyle name="Output 3 5 2 2 2 3 2 2" xfId="14002"/>
    <cellStyle name="Output 3 5 2 2 2 3 3" xfId="10582"/>
    <cellStyle name="Output 3 5 2 2 2 4" xfId="4882"/>
    <cellStyle name="Output 3 5 2 2 2 4 2" xfId="11722"/>
    <cellStyle name="Output 3 5 2 2 2 5" xfId="8302"/>
    <cellStyle name="Output 3 5 2 2 3" xfId="2191"/>
    <cellStyle name="Output 3 5 2 2 3 2" xfId="5611"/>
    <cellStyle name="Output 3 5 2 2 3 2 2" xfId="12451"/>
    <cellStyle name="Output 3 5 2 2 3 3" xfId="9031"/>
    <cellStyle name="Output 3 5 2 2 4" xfId="3331"/>
    <cellStyle name="Output 3 5 2 2 4 2" xfId="6751"/>
    <cellStyle name="Output 3 5 2 2 4 2 2" xfId="13591"/>
    <cellStyle name="Output 3 5 2 2 4 3" xfId="10171"/>
    <cellStyle name="Output 3 5 2 2 5" xfId="4471"/>
    <cellStyle name="Output 3 5 2 2 5 2" xfId="11311"/>
    <cellStyle name="Output 3 5 2 2 6" xfId="7891"/>
    <cellStyle name="Output 3 5 2 3" xfId="38350"/>
    <cellStyle name="Output 3 5 2 4" xfId="57877"/>
    <cellStyle name="Output 3 5 2 5" xfId="57878"/>
    <cellStyle name="Output 3 5 2 6" xfId="57879"/>
    <cellStyle name="Output 3 5 3" xfId="1217"/>
    <cellStyle name="Output 3 5 3 2" xfId="1674"/>
    <cellStyle name="Output 3 5 3 2 2" xfId="2814"/>
    <cellStyle name="Output 3 5 3 2 2 2" xfId="6234"/>
    <cellStyle name="Output 3 5 3 2 2 2 2" xfId="13074"/>
    <cellStyle name="Output 3 5 3 2 2 3" xfId="9654"/>
    <cellStyle name="Output 3 5 3 2 3" xfId="3954"/>
    <cellStyle name="Output 3 5 3 2 3 2" xfId="7374"/>
    <cellStyle name="Output 3 5 3 2 3 2 2" xfId="14214"/>
    <cellStyle name="Output 3 5 3 2 3 3" xfId="10794"/>
    <cellStyle name="Output 3 5 3 2 4" xfId="5094"/>
    <cellStyle name="Output 3 5 3 2 4 2" xfId="11934"/>
    <cellStyle name="Output 3 5 3 2 5" xfId="8514"/>
    <cellStyle name="Output 3 5 3 3" xfId="2036"/>
    <cellStyle name="Output 3 5 3 3 2" xfId="5456"/>
    <cellStyle name="Output 3 5 3 3 2 2" xfId="12296"/>
    <cellStyle name="Output 3 5 3 3 3" xfId="8876"/>
    <cellStyle name="Output 3 5 3 4" xfId="3176"/>
    <cellStyle name="Output 3 5 3 4 2" xfId="6596"/>
    <cellStyle name="Output 3 5 3 4 2 2" xfId="13436"/>
    <cellStyle name="Output 3 5 3 4 3" xfId="10016"/>
    <cellStyle name="Output 3 5 3 5" xfId="4316"/>
    <cellStyle name="Output 3 5 3 5 2" xfId="11156"/>
    <cellStyle name="Output 3 5 3 6" xfId="7736"/>
    <cellStyle name="Output 3 5 4" xfId="38251"/>
    <cellStyle name="Output 3 5 5" xfId="57880"/>
    <cellStyle name="Output 3 5 6" xfId="57881"/>
    <cellStyle name="Output 3 6" xfId="443"/>
    <cellStyle name="Output 3 6 2" xfId="424"/>
    <cellStyle name="Output 3 6 2 2" xfId="1429"/>
    <cellStyle name="Output 3 6 2 2 2" xfId="1798"/>
    <cellStyle name="Output 3 6 2 2 2 2" xfId="2938"/>
    <cellStyle name="Output 3 6 2 2 2 2 2" xfId="6358"/>
    <cellStyle name="Output 3 6 2 2 2 2 2 2" xfId="13198"/>
    <cellStyle name="Output 3 6 2 2 2 2 3" xfId="9778"/>
    <cellStyle name="Output 3 6 2 2 2 3" xfId="4078"/>
    <cellStyle name="Output 3 6 2 2 2 3 2" xfId="7498"/>
    <cellStyle name="Output 3 6 2 2 2 3 2 2" xfId="14338"/>
    <cellStyle name="Output 3 6 2 2 2 3 3" xfId="10918"/>
    <cellStyle name="Output 3 6 2 2 2 4" xfId="5218"/>
    <cellStyle name="Output 3 6 2 2 2 4 2" xfId="12058"/>
    <cellStyle name="Output 3 6 2 2 2 5" xfId="8638"/>
    <cellStyle name="Output 3 6 2 2 3" xfId="2250"/>
    <cellStyle name="Output 3 6 2 2 3 2" xfId="5670"/>
    <cellStyle name="Output 3 6 2 2 3 2 2" xfId="12510"/>
    <cellStyle name="Output 3 6 2 2 3 3" xfId="9090"/>
    <cellStyle name="Output 3 6 2 2 4" xfId="3390"/>
    <cellStyle name="Output 3 6 2 2 4 2" xfId="6810"/>
    <cellStyle name="Output 3 6 2 2 4 2 2" xfId="13650"/>
    <cellStyle name="Output 3 6 2 2 4 3" xfId="10230"/>
    <cellStyle name="Output 3 6 2 2 5" xfId="4530"/>
    <cellStyle name="Output 3 6 2 2 5 2" xfId="11370"/>
    <cellStyle name="Output 3 6 2 2 6" xfId="7950"/>
    <cellStyle name="Output 3 6 2 3" xfId="38391"/>
    <cellStyle name="Output 3 6 2 4" xfId="57882"/>
    <cellStyle name="Output 3 6 2 5" xfId="57883"/>
    <cellStyle name="Output 3 6 2 6" xfId="57884"/>
    <cellStyle name="Output 3 6 3" xfId="1447"/>
    <cellStyle name="Output 3 6 3 2" xfId="886"/>
    <cellStyle name="Output 3 6 3 2 2" xfId="2565"/>
    <cellStyle name="Output 3 6 3 2 2 2" xfId="5985"/>
    <cellStyle name="Output 3 6 3 2 2 2 2" xfId="12825"/>
    <cellStyle name="Output 3 6 3 2 2 3" xfId="9405"/>
    <cellStyle name="Output 3 6 3 2 3" xfId="3705"/>
    <cellStyle name="Output 3 6 3 2 3 2" xfId="7125"/>
    <cellStyle name="Output 3 6 3 2 3 2 2" xfId="13965"/>
    <cellStyle name="Output 3 6 3 2 3 3" xfId="10545"/>
    <cellStyle name="Output 3 6 3 2 4" xfId="4845"/>
    <cellStyle name="Output 3 6 3 2 4 2" xfId="11685"/>
    <cellStyle name="Output 3 6 3 2 5" xfId="8265"/>
    <cellStyle name="Output 3 6 3 3" xfId="2268"/>
    <cellStyle name="Output 3 6 3 3 2" xfId="5688"/>
    <cellStyle name="Output 3 6 3 3 2 2" xfId="12528"/>
    <cellStyle name="Output 3 6 3 3 3" xfId="9108"/>
    <cellStyle name="Output 3 6 3 4" xfId="3408"/>
    <cellStyle name="Output 3 6 3 4 2" xfId="6828"/>
    <cellStyle name="Output 3 6 3 4 2 2" xfId="13668"/>
    <cellStyle name="Output 3 6 3 4 3" xfId="10248"/>
    <cellStyle name="Output 3 6 3 5" xfId="4548"/>
    <cellStyle name="Output 3 6 3 5 2" xfId="11388"/>
    <cellStyle name="Output 3 6 3 6" xfId="7968"/>
    <cellStyle name="Output 3 6 4" xfId="38406"/>
    <cellStyle name="Output 3 6 5" xfId="57885"/>
    <cellStyle name="Output 3 6 6" xfId="57886"/>
    <cellStyle name="Output 3 6 7" xfId="57887"/>
    <cellStyle name="Output 3 7" xfId="412"/>
    <cellStyle name="Output 3 7 2" xfId="398"/>
    <cellStyle name="Output 3 7 2 2" xfId="1403"/>
    <cellStyle name="Output 3 7 2 2 2" xfId="1821"/>
    <cellStyle name="Output 3 7 2 2 2 2" xfId="2961"/>
    <cellStyle name="Output 3 7 2 2 2 2 2" xfId="6381"/>
    <cellStyle name="Output 3 7 2 2 2 2 2 2" xfId="13221"/>
    <cellStyle name="Output 3 7 2 2 2 2 3" xfId="9801"/>
    <cellStyle name="Output 3 7 2 2 2 3" xfId="4101"/>
    <cellStyle name="Output 3 7 2 2 2 3 2" xfId="7521"/>
    <cellStyle name="Output 3 7 2 2 2 3 2 2" xfId="14361"/>
    <cellStyle name="Output 3 7 2 2 2 3 3" xfId="10941"/>
    <cellStyle name="Output 3 7 2 2 2 4" xfId="5241"/>
    <cellStyle name="Output 3 7 2 2 2 4 2" xfId="12081"/>
    <cellStyle name="Output 3 7 2 2 2 5" xfId="8661"/>
    <cellStyle name="Output 3 7 2 2 3" xfId="2224"/>
    <cellStyle name="Output 3 7 2 2 3 2" xfId="5644"/>
    <cellStyle name="Output 3 7 2 2 3 2 2" xfId="12484"/>
    <cellStyle name="Output 3 7 2 2 3 3" xfId="9064"/>
    <cellStyle name="Output 3 7 2 2 4" xfId="3364"/>
    <cellStyle name="Output 3 7 2 2 4 2" xfId="6784"/>
    <cellStyle name="Output 3 7 2 2 4 2 2" xfId="13624"/>
    <cellStyle name="Output 3 7 2 2 4 3" xfId="10204"/>
    <cellStyle name="Output 3 7 2 2 5" xfId="4504"/>
    <cellStyle name="Output 3 7 2 2 5 2" xfId="11344"/>
    <cellStyle name="Output 3 7 2 2 6" xfId="7924"/>
    <cellStyle name="Output 3 7 2 3" xfId="38377"/>
    <cellStyle name="Output 3 7 2 4" xfId="57888"/>
    <cellStyle name="Output 3 7 2 5" xfId="57889"/>
    <cellStyle name="Output 3 7 2 6" xfId="57890"/>
    <cellStyle name="Output 3 7 3" xfId="1417"/>
    <cellStyle name="Output 3 7 3 2" xfId="901"/>
    <cellStyle name="Output 3 7 3 2 2" xfId="2581"/>
    <cellStyle name="Output 3 7 3 2 2 2" xfId="6001"/>
    <cellStyle name="Output 3 7 3 2 2 2 2" xfId="12841"/>
    <cellStyle name="Output 3 7 3 2 2 3" xfId="9421"/>
    <cellStyle name="Output 3 7 3 2 3" xfId="3721"/>
    <cellStyle name="Output 3 7 3 2 3 2" xfId="7141"/>
    <cellStyle name="Output 3 7 3 2 3 2 2" xfId="13981"/>
    <cellStyle name="Output 3 7 3 2 3 3" xfId="10561"/>
    <cellStyle name="Output 3 7 3 2 4" xfId="4861"/>
    <cellStyle name="Output 3 7 3 2 4 2" xfId="11701"/>
    <cellStyle name="Output 3 7 3 2 5" xfId="8281"/>
    <cellStyle name="Output 3 7 3 3" xfId="2238"/>
    <cellStyle name="Output 3 7 3 3 2" xfId="5658"/>
    <cellStyle name="Output 3 7 3 3 2 2" xfId="12498"/>
    <cellStyle name="Output 3 7 3 3 3" xfId="9078"/>
    <cellStyle name="Output 3 7 3 4" xfId="3378"/>
    <cellStyle name="Output 3 7 3 4 2" xfId="6798"/>
    <cellStyle name="Output 3 7 3 4 2 2" xfId="13638"/>
    <cellStyle name="Output 3 7 3 4 3" xfId="10218"/>
    <cellStyle name="Output 3 7 3 5" xfId="4518"/>
    <cellStyle name="Output 3 7 3 5 2" xfId="11358"/>
    <cellStyle name="Output 3 7 3 6" xfId="7938"/>
    <cellStyle name="Output 3 7 4" xfId="38387"/>
    <cellStyle name="Output 3 7 5" xfId="57891"/>
    <cellStyle name="Output 3 7 6" xfId="57892"/>
    <cellStyle name="Output 3 7 7" xfId="57893"/>
    <cellStyle name="Output 3 8" xfId="1102"/>
    <cellStyle name="Output 3 8 2" xfId="746"/>
    <cellStyle name="Output 3 8 2 2" xfId="2617"/>
    <cellStyle name="Output 3 8 2 2 2" xfId="6037"/>
    <cellStyle name="Output 3 8 2 2 2 2" xfId="12877"/>
    <cellStyle name="Output 3 8 2 2 3" xfId="9457"/>
    <cellStyle name="Output 3 8 2 3" xfId="3757"/>
    <cellStyle name="Output 3 8 2 3 2" xfId="7177"/>
    <cellStyle name="Output 3 8 2 3 2 2" xfId="14017"/>
    <cellStyle name="Output 3 8 2 3 3" xfId="10597"/>
    <cellStyle name="Output 3 8 2 4" xfId="4897"/>
    <cellStyle name="Output 3 8 2 4 2" xfId="11737"/>
    <cellStyle name="Output 3 8 2 5" xfId="8317"/>
    <cellStyle name="Output 3 8 3" xfId="1909"/>
    <cellStyle name="Output 3 8 3 2" xfId="5329"/>
    <cellStyle name="Output 3 8 3 2 2" xfId="12169"/>
    <cellStyle name="Output 3 8 3 3" xfId="8749"/>
    <cellStyle name="Output 3 8 4" xfId="3049"/>
    <cellStyle name="Output 3 8 4 2" xfId="6469"/>
    <cellStyle name="Output 3 8 4 2 2" xfId="13309"/>
    <cellStyle name="Output 3 8 4 3" xfId="9889"/>
    <cellStyle name="Output 3 8 5" xfId="4189"/>
    <cellStyle name="Output 3 8 5 2" xfId="11029"/>
    <cellStyle name="Output 3 8 6" xfId="7609"/>
    <cellStyle name="Output 3 9" xfId="38188"/>
    <cellStyle name="Output 4" xfId="101"/>
    <cellStyle name="Output 4 2" xfId="160"/>
    <cellStyle name="Output 4 2 2" xfId="286"/>
    <cellStyle name="Output 4 2 2 2" xfId="695"/>
    <cellStyle name="Output 4 2 2 2 2" xfId="1646"/>
    <cellStyle name="Output 4 2 2 2 2 2" xfId="761"/>
    <cellStyle name="Output 4 2 2 2 2 2 2" xfId="2594"/>
    <cellStyle name="Output 4 2 2 2 2 2 2 2" xfId="6014"/>
    <cellStyle name="Output 4 2 2 2 2 2 2 2 2" xfId="12854"/>
    <cellStyle name="Output 4 2 2 2 2 2 2 3" xfId="9434"/>
    <cellStyle name="Output 4 2 2 2 2 2 3" xfId="3734"/>
    <cellStyle name="Output 4 2 2 2 2 2 3 2" xfId="7154"/>
    <cellStyle name="Output 4 2 2 2 2 2 3 2 2" xfId="13994"/>
    <cellStyle name="Output 4 2 2 2 2 2 3 3" xfId="10574"/>
    <cellStyle name="Output 4 2 2 2 2 2 4" xfId="4874"/>
    <cellStyle name="Output 4 2 2 2 2 2 4 2" xfId="11714"/>
    <cellStyle name="Output 4 2 2 2 2 2 5" xfId="8294"/>
    <cellStyle name="Output 4 2 2 2 2 3" xfId="2480"/>
    <cellStyle name="Output 4 2 2 2 2 3 2" xfId="5900"/>
    <cellStyle name="Output 4 2 2 2 2 3 2 2" xfId="12740"/>
    <cellStyle name="Output 4 2 2 2 2 3 3" xfId="9320"/>
    <cellStyle name="Output 4 2 2 2 2 4" xfId="3620"/>
    <cellStyle name="Output 4 2 2 2 2 4 2" xfId="7040"/>
    <cellStyle name="Output 4 2 2 2 2 4 2 2" xfId="13880"/>
    <cellStyle name="Output 4 2 2 2 2 4 3" xfId="10460"/>
    <cellStyle name="Output 4 2 2 2 2 5" xfId="4760"/>
    <cellStyle name="Output 4 2 2 2 2 5 2" xfId="11600"/>
    <cellStyle name="Output 4 2 2 2 2 6" xfId="8180"/>
    <cellStyle name="Output 4 2 2 2 3" xfId="38539"/>
    <cellStyle name="Output 4 2 2 2 4" xfId="57894"/>
    <cellStyle name="Output 4 2 2 2 5" xfId="57895"/>
    <cellStyle name="Output 4 2 2 2 6" xfId="57896"/>
    <cellStyle name="Output 4 2 2 3" xfId="1292"/>
    <cellStyle name="Output 4 2 2 3 2" xfId="982"/>
    <cellStyle name="Output 4 2 2 3 2 2" xfId="2629"/>
    <cellStyle name="Output 4 2 2 3 2 2 2" xfId="6049"/>
    <cellStyle name="Output 4 2 2 3 2 2 2 2" xfId="12889"/>
    <cellStyle name="Output 4 2 2 3 2 2 3" xfId="9469"/>
    <cellStyle name="Output 4 2 2 3 2 3" xfId="3769"/>
    <cellStyle name="Output 4 2 2 3 2 3 2" xfId="7189"/>
    <cellStyle name="Output 4 2 2 3 2 3 2 2" xfId="14029"/>
    <cellStyle name="Output 4 2 2 3 2 3 3" xfId="10609"/>
    <cellStyle name="Output 4 2 2 3 2 4" xfId="4909"/>
    <cellStyle name="Output 4 2 2 3 2 4 2" xfId="11749"/>
    <cellStyle name="Output 4 2 2 3 2 5" xfId="8329"/>
    <cellStyle name="Output 4 2 2 3 3" xfId="2112"/>
    <cellStyle name="Output 4 2 2 3 3 2" xfId="5532"/>
    <cellStyle name="Output 4 2 2 3 3 2 2" xfId="12372"/>
    <cellStyle name="Output 4 2 2 3 3 3" xfId="8952"/>
    <cellStyle name="Output 4 2 2 3 4" xfId="3252"/>
    <cellStyle name="Output 4 2 2 3 4 2" xfId="6672"/>
    <cellStyle name="Output 4 2 2 3 4 2 2" xfId="13512"/>
    <cellStyle name="Output 4 2 2 3 4 3" xfId="10092"/>
    <cellStyle name="Output 4 2 2 3 5" xfId="4392"/>
    <cellStyle name="Output 4 2 2 3 5 2" xfId="11232"/>
    <cellStyle name="Output 4 2 2 3 6" xfId="7812"/>
    <cellStyle name="Output 4 2 2 4" xfId="38302"/>
    <cellStyle name="Output 4 2 2 5" xfId="57897"/>
    <cellStyle name="Output 4 2 2 6" xfId="57898"/>
    <cellStyle name="Output 4 2 2 7" xfId="57899"/>
    <cellStyle name="Output 4 2 3" xfId="607"/>
    <cellStyle name="Output 4 2 3 2" xfId="1594"/>
    <cellStyle name="Output 4 2 3 2 2" xfId="1659"/>
    <cellStyle name="Output 4 2 3 2 2 2" xfId="2799"/>
    <cellStyle name="Output 4 2 3 2 2 2 2" xfId="6219"/>
    <cellStyle name="Output 4 2 3 2 2 2 2 2" xfId="13059"/>
    <cellStyle name="Output 4 2 3 2 2 2 3" xfId="9639"/>
    <cellStyle name="Output 4 2 3 2 2 3" xfId="3939"/>
    <cellStyle name="Output 4 2 3 2 2 3 2" xfId="7359"/>
    <cellStyle name="Output 4 2 3 2 2 3 2 2" xfId="14199"/>
    <cellStyle name="Output 4 2 3 2 2 3 3" xfId="10779"/>
    <cellStyle name="Output 4 2 3 2 2 4" xfId="5079"/>
    <cellStyle name="Output 4 2 3 2 2 4 2" xfId="11919"/>
    <cellStyle name="Output 4 2 3 2 2 5" xfId="8499"/>
    <cellStyle name="Output 4 2 3 2 3" xfId="2419"/>
    <cellStyle name="Output 4 2 3 2 3 2" xfId="5839"/>
    <cellStyle name="Output 4 2 3 2 3 2 2" xfId="12679"/>
    <cellStyle name="Output 4 2 3 2 3 3" xfId="9259"/>
    <cellStyle name="Output 4 2 3 2 4" xfId="3559"/>
    <cellStyle name="Output 4 2 3 2 4 2" xfId="6979"/>
    <cellStyle name="Output 4 2 3 2 4 2 2" xfId="13819"/>
    <cellStyle name="Output 4 2 3 2 4 3" xfId="10399"/>
    <cellStyle name="Output 4 2 3 2 5" xfId="4699"/>
    <cellStyle name="Output 4 2 3 2 5 2" xfId="11539"/>
    <cellStyle name="Output 4 2 3 2 6" xfId="8119"/>
    <cellStyle name="Output 4 2 3 3" xfId="38488"/>
    <cellStyle name="Output 4 2 3 4" xfId="57900"/>
    <cellStyle name="Output 4 2 3 5" xfId="57901"/>
    <cellStyle name="Output 4 2 3 6" xfId="57902"/>
    <cellStyle name="Output 4 2 4" xfId="1168"/>
    <cellStyle name="Output 4 2 4 2" xfId="1716"/>
    <cellStyle name="Output 4 2 4 2 2" xfId="2856"/>
    <cellStyle name="Output 4 2 4 2 2 2" xfId="6276"/>
    <cellStyle name="Output 4 2 4 2 2 2 2" xfId="13116"/>
    <cellStyle name="Output 4 2 4 2 2 3" xfId="9696"/>
    <cellStyle name="Output 4 2 4 2 3" xfId="3996"/>
    <cellStyle name="Output 4 2 4 2 3 2" xfId="7416"/>
    <cellStyle name="Output 4 2 4 2 3 2 2" xfId="14256"/>
    <cellStyle name="Output 4 2 4 2 3 3" xfId="10836"/>
    <cellStyle name="Output 4 2 4 2 4" xfId="5136"/>
    <cellStyle name="Output 4 2 4 2 4 2" xfId="11976"/>
    <cellStyle name="Output 4 2 4 2 5" xfId="8556"/>
    <cellStyle name="Output 4 2 4 3" xfId="1987"/>
    <cellStyle name="Output 4 2 4 3 2" xfId="5407"/>
    <cellStyle name="Output 4 2 4 3 2 2" xfId="12247"/>
    <cellStyle name="Output 4 2 4 3 3" xfId="8827"/>
    <cellStyle name="Output 4 2 4 4" xfId="3127"/>
    <cellStyle name="Output 4 2 4 4 2" xfId="6547"/>
    <cellStyle name="Output 4 2 4 4 2 2" xfId="13387"/>
    <cellStyle name="Output 4 2 4 4 3" xfId="9967"/>
    <cellStyle name="Output 4 2 4 5" xfId="4267"/>
    <cellStyle name="Output 4 2 4 5 2" xfId="11107"/>
    <cellStyle name="Output 4 2 4 6" xfId="7687"/>
    <cellStyle name="Output 4 2 5" xfId="38224"/>
    <cellStyle name="Output 4 2 6" xfId="57903"/>
    <cellStyle name="Output 4 2 7" xfId="57904"/>
    <cellStyle name="Output 4 3" xfId="326"/>
    <cellStyle name="Output 4 3 2" xfId="402"/>
    <cellStyle name="Output 4 3 2 2" xfId="1407"/>
    <cellStyle name="Output 4 3 2 2 2" xfId="1724"/>
    <cellStyle name="Output 4 3 2 2 2 2" xfId="2864"/>
    <cellStyle name="Output 4 3 2 2 2 2 2" xfId="6284"/>
    <cellStyle name="Output 4 3 2 2 2 2 2 2" xfId="13124"/>
    <cellStyle name="Output 4 3 2 2 2 2 3" xfId="9704"/>
    <cellStyle name="Output 4 3 2 2 2 3" xfId="4004"/>
    <cellStyle name="Output 4 3 2 2 2 3 2" xfId="7424"/>
    <cellStyle name="Output 4 3 2 2 2 3 2 2" xfId="14264"/>
    <cellStyle name="Output 4 3 2 2 2 3 3" xfId="10844"/>
    <cellStyle name="Output 4 3 2 2 2 4" xfId="5144"/>
    <cellStyle name="Output 4 3 2 2 2 4 2" xfId="11984"/>
    <cellStyle name="Output 4 3 2 2 2 5" xfId="8564"/>
    <cellStyle name="Output 4 3 2 2 3" xfId="2228"/>
    <cellStyle name="Output 4 3 2 2 3 2" xfId="5648"/>
    <cellStyle name="Output 4 3 2 2 3 2 2" xfId="12488"/>
    <cellStyle name="Output 4 3 2 2 3 3" xfId="9068"/>
    <cellStyle name="Output 4 3 2 2 4" xfId="3368"/>
    <cellStyle name="Output 4 3 2 2 4 2" xfId="6788"/>
    <cellStyle name="Output 4 3 2 2 4 2 2" xfId="13628"/>
    <cellStyle name="Output 4 3 2 2 4 3" xfId="10208"/>
    <cellStyle name="Output 4 3 2 2 5" xfId="4508"/>
    <cellStyle name="Output 4 3 2 2 5 2" xfId="11348"/>
    <cellStyle name="Output 4 3 2 2 6" xfId="7928"/>
    <cellStyle name="Output 4 3 2 3" xfId="38380"/>
    <cellStyle name="Output 4 3 2 4" xfId="57905"/>
    <cellStyle name="Output 4 3 2 5" xfId="57906"/>
    <cellStyle name="Output 4 3 2 6" xfId="57907"/>
    <cellStyle name="Output 4 3 3" xfId="1331"/>
    <cellStyle name="Output 4 3 3 2" xfId="961"/>
    <cellStyle name="Output 4 3 3 2 2" xfId="2688"/>
    <cellStyle name="Output 4 3 3 2 2 2" xfId="6108"/>
    <cellStyle name="Output 4 3 3 2 2 2 2" xfId="12948"/>
    <cellStyle name="Output 4 3 3 2 2 3" xfId="9528"/>
    <cellStyle name="Output 4 3 3 2 3" xfId="3828"/>
    <cellStyle name="Output 4 3 3 2 3 2" xfId="7248"/>
    <cellStyle name="Output 4 3 3 2 3 2 2" xfId="14088"/>
    <cellStyle name="Output 4 3 3 2 3 3" xfId="10668"/>
    <cellStyle name="Output 4 3 3 2 4" xfId="4968"/>
    <cellStyle name="Output 4 3 3 2 4 2" xfId="11808"/>
    <cellStyle name="Output 4 3 3 2 5" xfId="8388"/>
    <cellStyle name="Output 4 3 3 3" xfId="2152"/>
    <cellStyle name="Output 4 3 3 3 2" xfId="5572"/>
    <cellStyle name="Output 4 3 3 3 2 2" xfId="12412"/>
    <cellStyle name="Output 4 3 3 3 3" xfId="8992"/>
    <cellStyle name="Output 4 3 3 4" xfId="3292"/>
    <cellStyle name="Output 4 3 3 4 2" xfId="6712"/>
    <cellStyle name="Output 4 3 3 4 2 2" xfId="13552"/>
    <cellStyle name="Output 4 3 3 4 3" xfId="10132"/>
    <cellStyle name="Output 4 3 3 5" xfId="4432"/>
    <cellStyle name="Output 4 3 3 5 2" xfId="11272"/>
    <cellStyle name="Output 4 3 3 6" xfId="7852"/>
    <cellStyle name="Output 4 3 4" xfId="38323"/>
    <cellStyle name="Output 4 3 5" xfId="57908"/>
    <cellStyle name="Output 4 3 6" xfId="57909"/>
    <cellStyle name="Output 4 4" xfId="233"/>
    <cellStyle name="Output 4 4 2" xfId="341"/>
    <cellStyle name="Output 4 4 2 2" xfId="1346"/>
    <cellStyle name="Output 4 4 2 2 2" xfId="946"/>
    <cellStyle name="Output 4 4 2 2 2 2" xfId="2516"/>
    <cellStyle name="Output 4 4 2 2 2 2 2" xfId="5936"/>
    <cellStyle name="Output 4 4 2 2 2 2 2 2" xfId="12776"/>
    <cellStyle name="Output 4 4 2 2 2 2 3" xfId="9356"/>
    <cellStyle name="Output 4 4 2 2 2 3" xfId="3656"/>
    <cellStyle name="Output 4 4 2 2 2 3 2" xfId="7076"/>
    <cellStyle name="Output 4 4 2 2 2 3 2 2" xfId="13916"/>
    <cellStyle name="Output 4 4 2 2 2 3 3" xfId="10496"/>
    <cellStyle name="Output 4 4 2 2 2 4" xfId="4796"/>
    <cellStyle name="Output 4 4 2 2 2 4 2" xfId="11636"/>
    <cellStyle name="Output 4 4 2 2 2 5" xfId="8216"/>
    <cellStyle name="Output 4 4 2 2 3" xfId="2167"/>
    <cellStyle name="Output 4 4 2 2 3 2" xfId="5587"/>
    <cellStyle name="Output 4 4 2 2 3 2 2" xfId="12427"/>
    <cellStyle name="Output 4 4 2 2 3 3" xfId="9007"/>
    <cellStyle name="Output 4 4 2 2 4" xfId="3307"/>
    <cellStyle name="Output 4 4 2 2 4 2" xfId="6727"/>
    <cellStyle name="Output 4 4 2 2 4 2 2" xfId="13567"/>
    <cellStyle name="Output 4 4 2 2 4 3" xfId="10147"/>
    <cellStyle name="Output 4 4 2 2 5" xfId="4447"/>
    <cellStyle name="Output 4 4 2 2 5 2" xfId="11287"/>
    <cellStyle name="Output 4 4 2 2 6" xfId="7867"/>
    <cellStyle name="Output 4 4 2 3" xfId="38331"/>
    <cellStyle name="Output 4 4 2 4" xfId="57910"/>
    <cellStyle name="Output 4 4 2 5" xfId="57911"/>
    <cellStyle name="Output 4 4 2 6" xfId="57912"/>
    <cellStyle name="Output 4 4 3" xfId="1240"/>
    <cellStyle name="Output 4 4 3 2" xfId="1008"/>
    <cellStyle name="Output 4 4 3 2 2" xfId="2545"/>
    <cellStyle name="Output 4 4 3 2 2 2" xfId="5965"/>
    <cellStyle name="Output 4 4 3 2 2 2 2" xfId="12805"/>
    <cellStyle name="Output 4 4 3 2 2 3" xfId="9385"/>
    <cellStyle name="Output 4 4 3 2 3" xfId="3685"/>
    <cellStyle name="Output 4 4 3 2 3 2" xfId="7105"/>
    <cellStyle name="Output 4 4 3 2 3 2 2" xfId="13945"/>
    <cellStyle name="Output 4 4 3 2 3 3" xfId="10525"/>
    <cellStyle name="Output 4 4 3 2 4" xfId="4825"/>
    <cellStyle name="Output 4 4 3 2 4 2" xfId="11665"/>
    <cellStyle name="Output 4 4 3 2 5" xfId="8245"/>
    <cellStyle name="Output 4 4 3 3" xfId="2060"/>
    <cellStyle name="Output 4 4 3 3 2" xfId="5480"/>
    <cellStyle name="Output 4 4 3 3 2 2" xfId="12320"/>
    <cellStyle name="Output 4 4 3 3 3" xfId="8900"/>
    <cellStyle name="Output 4 4 3 4" xfId="3200"/>
    <cellStyle name="Output 4 4 3 4 2" xfId="6620"/>
    <cellStyle name="Output 4 4 3 4 2 2" xfId="13460"/>
    <cellStyle name="Output 4 4 3 4 3" xfId="10040"/>
    <cellStyle name="Output 4 4 3 5" xfId="4340"/>
    <cellStyle name="Output 4 4 3 5 2" xfId="11180"/>
    <cellStyle name="Output 4 4 3 6" xfId="7760"/>
    <cellStyle name="Output 4 4 4" xfId="38260"/>
    <cellStyle name="Output 4 4 5" xfId="57913"/>
    <cellStyle name="Output 4 4 6" xfId="57914"/>
    <cellStyle name="Output 4 5" xfId="491"/>
    <cellStyle name="Output 4 5 2" xfId="535"/>
    <cellStyle name="Output 4 5 2 2" xfId="1539"/>
    <cellStyle name="Output 4 5 2 2 2" xfId="1788"/>
    <cellStyle name="Output 4 5 2 2 2 2" xfId="2928"/>
    <cellStyle name="Output 4 5 2 2 2 2 2" xfId="6348"/>
    <cellStyle name="Output 4 5 2 2 2 2 2 2" xfId="13188"/>
    <cellStyle name="Output 4 5 2 2 2 2 3" xfId="9768"/>
    <cellStyle name="Output 4 5 2 2 2 3" xfId="4068"/>
    <cellStyle name="Output 4 5 2 2 2 3 2" xfId="7488"/>
    <cellStyle name="Output 4 5 2 2 2 3 2 2" xfId="14328"/>
    <cellStyle name="Output 4 5 2 2 2 3 3" xfId="10908"/>
    <cellStyle name="Output 4 5 2 2 2 4" xfId="5208"/>
    <cellStyle name="Output 4 5 2 2 2 4 2" xfId="12048"/>
    <cellStyle name="Output 4 5 2 2 2 5" xfId="8628"/>
    <cellStyle name="Output 4 5 2 2 3" xfId="2360"/>
    <cellStyle name="Output 4 5 2 2 3 2" xfId="5780"/>
    <cellStyle name="Output 4 5 2 2 3 2 2" xfId="12620"/>
    <cellStyle name="Output 4 5 2 2 3 3" xfId="9200"/>
    <cellStyle name="Output 4 5 2 2 4" xfId="3500"/>
    <cellStyle name="Output 4 5 2 2 4 2" xfId="6920"/>
    <cellStyle name="Output 4 5 2 2 4 2 2" xfId="13760"/>
    <cellStyle name="Output 4 5 2 2 4 3" xfId="10340"/>
    <cellStyle name="Output 4 5 2 2 5" xfId="4640"/>
    <cellStyle name="Output 4 5 2 2 5 2" xfId="11480"/>
    <cellStyle name="Output 4 5 2 2 6" xfId="8060"/>
    <cellStyle name="Output 4 5 2 3" xfId="38453"/>
    <cellStyle name="Output 4 5 2 4" xfId="57915"/>
    <cellStyle name="Output 4 5 2 5" xfId="57916"/>
    <cellStyle name="Output 4 5 2 6" xfId="57917"/>
    <cellStyle name="Output 4 5 3" xfId="1495"/>
    <cellStyle name="Output 4 5 3 2" xfId="1764"/>
    <cellStyle name="Output 4 5 3 2 2" xfId="2904"/>
    <cellStyle name="Output 4 5 3 2 2 2" xfId="6324"/>
    <cellStyle name="Output 4 5 3 2 2 2 2" xfId="13164"/>
    <cellStyle name="Output 4 5 3 2 2 3" xfId="9744"/>
    <cellStyle name="Output 4 5 3 2 3" xfId="4044"/>
    <cellStyle name="Output 4 5 3 2 3 2" xfId="7464"/>
    <cellStyle name="Output 4 5 3 2 3 2 2" xfId="14304"/>
    <cellStyle name="Output 4 5 3 2 3 3" xfId="10884"/>
    <cellStyle name="Output 4 5 3 2 4" xfId="5184"/>
    <cellStyle name="Output 4 5 3 2 4 2" xfId="12024"/>
    <cellStyle name="Output 4 5 3 2 5" xfId="8604"/>
    <cellStyle name="Output 4 5 3 3" xfId="2316"/>
    <cellStyle name="Output 4 5 3 3 2" xfId="5736"/>
    <cellStyle name="Output 4 5 3 3 2 2" xfId="12576"/>
    <cellStyle name="Output 4 5 3 3 3" xfId="9156"/>
    <cellStyle name="Output 4 5 3 4" xfId="3456"/>
    <cellStyle name="Output 4 5 3 4 2" xfId="6876"/>
    <cellStyle name="Output 4 5 3 4 2 2" xfId="13716"/>
    <cellStyle name="Output 4 5 3 4 3" xfId="10296"/>
    <cellStyle name="Output 4 5 3 5" xfId="4596"/>
    <cellStyle name="Output 4 5 3 5 2" xfId="11436"/>
    <cellStyle name="Output 4 5 3 6" xfId="8016"/>
    <cellStyle name="Output 4 5 4" xfId="38430"/>
    <cellStyle name="Output 4 5 5" xfId="57918"/>
    <cellStyle name="Output 4 5 6" xfId="57919"/>
    <cellStyle name="Output 4 5 7" xfId="57920"/>
    <cellStyle name="Output 4 6" xfId="511"/>
    <cellStyle name="Output 4 6 2" xfId="370"/>
    <cellStyle name="Output 4 6 2 2" xfId="1375"/>
    <cellStyle name="Output 4 6 2 2 2" xfId="921"/>
    <cellStyle name="Output 4 6 2 2 2 2" xfId="2721"/>
    <cellStyle name="Output 4 6 2 2 2 2 2" xfId="6141"/>
    <cellStyle name="Output 4 6 2 2 2 2 2 2" xfId="12981"/>
    <cellStyle name="Output 4 6 2 2 2 2 3" xfId="9561"/>
    <cellStyle name="Output 4 6 2 2 2 3" xfId="3861"/>
    <cellStyle name="Output 4 6 2 2 2 3 2" xfId="7281"/>
    <cellStyle name="Output 4 6 2 2 2 3 2 2" xfId="14121"/>
    <cellStyle name="Output 4 6 2 2 2 3 3" xfId="10701"/>
    <cellStyle name="Output 4 6 2 2 2 4" xfId="5001"/>
    <cellStyle name="Output 4 6 2 2 2 4 2" xfId="11841"/>
    <cellStyle name="Output 4 6 2 2 2 5" xfId="8421"/>
    <cellStyle name="Output 4 6 2 2 3" xfId="2196"/>
    <cellStyle name="Output 4 6 2 2 3 2" xfId="5616"/>
    <cellStyle name="Output 4 6 2 2 3 2 2" xfId="12456"/>
    <cellStyle name="Output 4 6 2 2 3 3" xfId="9036"/>
    <cellStyle name="Output 4 6 2 2 4" xfId="3336"/>
    <cellStyle name="Output 4 6 2 2 4 2" xfId="6756"/>
    <cellStyle name="Output 4 6 2 2 4 2 2" xfId="13596"/>
    <cellStyle name="Output 4 6 2 2 4 3" xfId="10176"/>
    <cellStyle name="Output 4 6 2 2 5" xfId="4476"/>
    <cellStyle name="Output 4 6 2 2 5 2" xfId="11316"/>
    <cellStyle name="Output 4 6 2 2 6" xfId="7896"/>
    <cellStyle name="Output 4 6 2 3" xfId="38353"/>
    <cellStyle name="Output 4 6 2 4" xfId="57921"/>
    <cellStyle name="Output 4 6 2 5" xfId="57922"/>
    <cellStyle name="Output 4 6 2 6" xfId="57923"/>
    <cellStyle name="Output 4 6 3" xfId="1515"/>
    <cellStyle name="Output 4 6 3 2" xfId="852"/>
    <cellStyle name="Output 4 6 3 2 2" xfId="2725"/>
    <cellStyle name="Output 4 6 3 2 2 2" xfId="6145"/>
    <cellStyle name="Output 4 6 3 2 2 2 2" xfId="12985"/>
    <cellStyle name="Output 4 6 3 2 2 3" xfId="9565"/>
    <cellStyle name="Output 4 6 3 2 3" xfId="3865"/>
    <cellStyle name="Output 4 6 3 2 3 2" xfId="7285"/>
    <cellStyle name="Output 4 6 3 2 3 2 2" xfId="14125"/>
    <cellStyle name="Output 4 6 3 2 3 3" xfId="10705"/>
    <cellStyle name="Output 4 6 3 2 4" xfId="5005"/>
    <cellStyle name="Output 4 6 3 2 4 2" xfId="11845"/>
    <cellStyle name="Output 4 6 3 2 5" xfId="8425"/>
    <cellStyle name="Output 4 6 3 3" xfId="2336"/>
    <cellStyle name="Output 4 6 3 3 2" xfId="5756"/>
    <cellStyle name="Output 4 6 3 3 2 2" xfId="12596"/>
    <cellStyle name="Output 4 6 3 3 3" xfId="9176"/>
    <cellStyle name="Output 4 6 3 4" xfId="3476"/>
    <cellStyle name="Output 4 6 3 4 2" xfId="6896"/>
    <cellStyle name="Output 4 6 3 4 2 2" xfId="13736"/>
    <cellStyle name="Output 4 6 3 4 3" xfId="10316"/>
    <cellStyle name="Output 4 6 3 5" xfId="4616"/>
    <cellStyle name="Output 4 6 3 5 2" xfId="11456"/>
    <cellStyle name="Output 4 6 3 6" xfId="8036"/>
    <cellStyle name="Output 4 6 4" xfId="38438"/>
    <cellStyle name="Output 4 6 5" xfId="57924"/>
    <cellStyle name="Output 4 6 6" xfId="57925"/>
    <cellStyle name="Output 4 6 7" xfId="57926"/>
    <cellStyle name="Output 4 7" xfId="1117"/>
    <cellStyle name="Output 4 7 2" xfId="1811"/>
    <cellStyle name="Output 4 7 2 2" xfId="2951"/>
    <cellStyle name="Output 4 7 2 2 2" xfId="6371"/>
    <cellStyle name="Output 4 7 2 2 2 2" xfId="13211"/>
    <cellStyle name="Output 4 7 2 2 3" xfId="9791"/>
    <cellStyle name="Output 4 7 2 3" xfId="4091"/>
    <cellStyle name="Output 4 7 2 3 2" xfId="7511"/>
    <cellStyle name="Output 4 7 2 3 2 2" xfId="14351"/>
    <cellStyle name="Output 4 7 2 3 3" xfId="10931"/>
    <cellStyle name="Output 4 7 2 4" xfId="5231"/>
    <cellStyle name="Output 4 7 2 4 2" xfId="12071"/>
    <cellStyle name="Output 4 7 2 5" xfId="8651"/>
    <cellStyle name="Output 4 7 3" xfId="1931"/>
    <cellStyle name="Output 4 7 3 2" xfId="5351"/>
    <cellStyle name="Output 4 7 3 2 2" xfId="12191"/>
    <cellStyle name="Output 4 7 3 3" xfId="8771"/>
    <cellStyle name="Output 4 7 4" xfId="3071"/>
    <cellStyle name="Output 4 7 4 2" xfId="6491"/>
    <cellStyle name="Output 4 7 4 2 2" xfId="13331"/>
    <cellStyle name="Output 4 7 4 3" xfId="9911"/>
    <cellStyle name="Output 4 7 5" xfId="4211"/>
    <cellStyle name="Output 4 7 5 2" xfId="11051"/>
    <cellStyle name="Output 4 7 6" xfId="7631"/>
    <cellStyle name="Output 4 8" xfId="38194"/>
    <cellStyle name="Output 4 9" xfId="57927"/>
    <cellStyle name="Output 5" xfId="109"/>
    <cellStyle name="Output 5 10" xfId="57928"/>
    <cellStyle name="Output 5 2" xfId="168"/>
    <cellStyle name="Output 5 2 2" xfId="294"/>
    <cellStyle name="Output 5 2 2 2" xfId="703"/>
    <cellStyle name="Output 5 2 2 2 2" xfId="1654"/>
    <cellStyle name="Output 5 2 2 2 2 2" xfId="753"/>
    <cellStyle name="Output 5 2 2 2 2 2 2" xfId="2614"/>
    <cellStyle name="Output 5 2 2 2 2 2 2 2" xfId="6034"/>
    <cellStyle name="Output 5 2 2 2 2 2 2 2 2" xfId="12874"/>
    <cellStyle name="Output 5 2 2 2 2 2 2 3" xfId="9454"/>
    <cellStyle name="Output 5 2 2 2 2 2 3" xfId="3754"/>
    <cellStyle name="Output 5 2 2 2 2 2 3 2" xfId="7174"/>
    <cellStyle name="Output 5 2 2 2 2 2 3 2 2" xfId="14014"/>
    <cellStyle name="Output 5 2 2 2 2 2 3 3" xfId="10594"/>
    <cellStyle name="Output 5 2 2 2 2 2 4" xfId="4894"/>
    <cellStyle name="Output 5 2 2 2 2 2 4 2" xfId="11734"/>
    <cellStyle name="Output 5 2 2 2 2 2 5" xfId="8314"/>
    <cellStyle name="Output 5 2 2 2 2 3" xfId="2488"/>
    <cellStyle name="Output 5 2 2 2 2 3 2" xfId="5908"/>
    <cellStyle name="Output 5 2 2 2 2 3 2 2" xfId="12748"/>
    <cellStyle name="Output 5 2 2 2 2 3 3" xfId="9328"/>
    <cellStyle name="Output 5 2 2 2 2 4" xfId="3628"/>
    <cellStyle name="Output 5 2 2 2 2 4 2" xfId="7048"/>
    <cellStyle name="Output 5 2 2 2 2 4 2 2" xfId="13888"/>
    <cellStyle name="Output 5 2 2 2 2 4 3" xfId="10468"/>
    <cellStyle name="Output 5 2 2 2 2 5" xfId="4768"/>
    <cellStyle name="Output 5 2 2 2 2 5 2" xfId="11608"/>
    <cellStyle name="Output 5 2 2 2 2 6" xfId="8188"/>
    <cellStyle name="Output 5 2 2 2 3" xfId="38547"/>
    <cellStyle name="Output 5 2 2 2 4" xfId="57929"/>
    <cellStyle name="Output 5 2 2 2 5" xfId="57930"/>
    <cellStyle name="Output 5 2 2 2 6" xfId="57931"/>
    <cellStyle name="Output 5 2 2 3" xfId="1300"/>
    <cellStyle name="Output 5 2 2 3 2" xfId="978"/>
    <cellStyle name="Output 5 2 2 3 2 2" xfId="2603"/>
    <cellStyle name="Output 5 2 2 3 2 2 2" xfId="6023"/>
    <cellStyle name="Output 5 2 2 3 2 2 2 2" xfId="12863"/>
    <cellStyle name="Output 5 2 2 3 2 2 3" xfId="9443"/>
    <cellStyle name="Output 5 2 2 3 2 3" xfId="3743"/>
    <cellStyle name="Output 5 2 2 3 2 3 2" xfId="7163"/>
    <cellStyle name="Output 5 2 2 3 2 3 2 2" xfId="14003"/>
    <cellStyle name="Output 5 2 2 3 2 3 3" xfId="10583"/>
    <cellStyle name="Output 5 2 2 3 2 4" xfId="4883"/>
    <cellStyle name="Output 5 2 2 3 2 4 2" xfId="11723"/>
    <cellStyle name="Output 5 2 2 3 2 5" xfId="8303"/>
    <cellStyle name="Output 5 2 2 3 3" xfId="2120"/>
    <cellStyle name="Output 5 2 2 3 3 2" xfId="5540"/>
    <cellStyle name="Output 5 2 2 3 3 2 2" xfId="12380"/>
    <cellStyle name="Output 5 2 2 3 3 3" xfId="8960"/>
    <cellStyle name="Output 5 2 2 3 4" xfId="3260"/>
    <cellStyle name="Output 5 2 2 3 4 2" xfId="6680"/>
    <cellStyle name="Output 5 2 2 3 4 2 2" xfId="13520"/>
    <cellStyle name="Output 5 2 2 3 4 3" xfId="10100"/>
    <cellStyle name="Output 5 2 2 3 5" xfId="4400"/>
    <cellStyle name="Output 5 2 2 3 5 2" xfId="11240"/>
    <cellStyle name="Output 5 2 2 3 6" xfId="7820"/>
    <cellStyle name="Output 5 2 2 4" xfId="38310"/>
    <cellStyle name="Output 5 2 2 5" xfId="57932"/>
    <cellStyle name="Output 5 2 2 6" xfId="57933"/>
    <cellStyle name="Output 5 2 2 7" xfId="57934"/>
    <cellStyle name="Output 5 2 3" xfId="615"/>
    <cellStyle name="Output 5 2 3 2" xfId="1602"/>
    <cellStyle name="Output 5 2 3 2 2" xfId="805"/>
    <cellStyle name="Output 5 2 3 2 2 2" xfId="2627"/>
    <cellStyle name="Output 5 2 3 2 2 2 2" xfId="6047"/>
    <cellStyle name="Output 5 2 3 2 2 2 2 2" xfId="12887"/>
    <cellStyle name="Output 5 2 3 2 2 2 3" xfId="9467"/>
    <cellStyle name="Output 5 2 3 2 2 3" xfId="3767"/>
    <cellStyle name="Output 5 2 3 2 2 3 2" xfId="7187"/>
    <cellStyle name="Output 5 2 3 2 2 3 2 2" xfId="14027"/>
    <cellStyle name="Output 5 2 3 2 2 3 3" xfId="10607"/>
    <cellStyle name="Output 5 2 3 2 2 4" xfId="4907"/>
    <cellStyle name="Output 5 2 3 2 2 4 2" xfId="11747"/>
    <cellStyle name="Output 5 2 3 2 2 5" xfId="8327"/>
    <cellStyle name="Output 5 2 3 2 3" xfId="2427"/>
    <cellStyle name="Output 5 2 3 2 3 2" xfId="5847"/>
    <cellStyle name="Output 5 2 3 2 3 2 2" xfId="12687"/>
    <cellStyle name="Output 5 2 3 2 3 3" xfId="9267"/>
    <cellStyle name="Output 5 2 3 2 4" xfId="3567"/>
    <cellStyle name="Output 5 2 3 2 4 2" xfId="6987"/>
    <cellStyle name="Output 5 2 3 2 4 2 2" xfId="13827"/>
    <cellStyle name="Output 5 2 3 2 4 3" xfId="10407"/>
    <cellStyle name="Output 5 2 3 2 5" xfId="4707"/>
    <cellStyle name="Output 5 2 3 2 5 2" xfId="11547"/>
    <cellStyle name="Output 5 2 3 2 6" xfId="8127"/>
    <cellStyle name="Output 5 2 3 3" xfId="38496"/>
    <cellStyle name="Output 5 2 3 4" xfId="57935"/>
    <cellStyle name="Output 5 2 3 5" xfId="57936"/>
    <cellStyle name="Output 5 2 3 6" xfId="57937"/>
    <cellStyle name="Output 5 2 4" xfId="1176"/>
    <cellStyle name="Output 5 2 4 2" xfId="1684"/>
    <cellStyle name="Output 5 2 4 2 2" xfId="2824"/>
    <cellStyle name="Output 5 2 4 2 2 2" xfId="6244"/>
    <cellStyle name="Output 5 2 4 2 2 2 2" xfId="13084"/>
    <cellStyle name="Output 5 2 4 2 2 3" xfId="9664"/>
    <cellStyle name="Output 5 2 4 2 3" xfId="3964"/>
    <cellStyle name="Output 5 2 4 2 3 2" xfId="7384"/>
    <cellStyle name="Output 5 2 4 2 3 2 2" xfId="14224"/>
    <cellStyle name="Output 5 2 4 2 3 3" xfId="10804"/>
    <cellStyle name="Output 5 2 4 2 4" xfId="5104"/>
    <cellStyle name="Output 5 2 4 2 4 2" xfId="11944"/>
    <cellStyle name="Output 5 2 4 2 5" xfId="8524"/>
    <cellStyle name="Output 5 2 4 3" xfId="1995"/>
    <cellStyle name="Output 5 2 4 3 2" xfId="5415"/>
    <cellStyle name="Output 5 2 4 3 2 2" xfId="12255"/>
    <cellStyle name="Output 5 2 4 3 3" xfId="8835"/>
    <cellStyle name="Output 5 2 4 4" xfId="3135"/>
    <cellStyle name="Output 5 2 4 4 2" xfId="6555"/>
    <cellStyle name="Output 5 2 4 4 2 2" xfId="13395"/>
    <cellStyle name="Output 5 2 4 4 3" xfId="9975"/>
    <cellStyle name="Output 5 2 4 5" xfId="4275"/>
    <cellStyle name="Output 5 2 4 5 2" xfId="11115"/>
    <cellStyle name="Output 5 2 4 6" xfId="7695"/>
    <cellStyle name="Output 5 2 5" xfId="38229"/>
    <cellStyle name="Output 5 2 6" xfId="57938"/>
    <cellStyle name="Output 5 2 7" xfId="57939"/>
    <cellStyle name="Output 5 2 8" xfId="57940"/>
    <cellStyle name="Output 5 3" xfId="334"/>
    <cellStyle name="Output 5 3 2" xfId="348"/>
    <cellStyle name="Output 5 3 2 2" xfId="1353"/>
    <cellStyle name="Output 5 3 2 2 2" xfId="939"/>
    <cellStyle name="Output 5 3 2 2 2 2" xfId="2699"/>
    <cellStyle name="Output 5 3 2 2 2 2 2" xfId="6119"/>
    <cellStyle name="Output 5 3 2 2 2 2 2 2" xfId="12959"/>
    <cellStyle name="Output 5 3 2 2 2 2 3" xfId="9539"/>
    <cellStyle name="Output 5 3 2 2 2 3" xfId="3839"/>
    <cellStyle name="Output 5 3 2 2 2 3 2" xfId="7259"/>
    <cellStyle name="Output 5 3 2 2 2 3 2 2" xfId="14099"/>
    <cellStyle name="Output 5 3 2 2 2 3 3" xfId="10679"/>
    <cellStyle name="Output 5 3 2 2 2 4" xfId="4979"/>
    <cellStyle name="Output 5 3 2 2 2 4 2" xfId="11819"/>
    <cellStyle name="Output 5 3 2 2 2 5" xfId="8399"/>
    <cellStyle name="Output 5 3 2 2 3" xfId="2174"/>
    <cellStyle name="Output 5 3 2 2 3 2" xfId="5594"/>
    <cellStyle name="Output 5 3 2 2 3 2 2" xfId="12434"/>
    <cellStyle name="Output 5 3 2 2 3 3" xfId="9014"/>
    <cellStyle name="Output 5 3 2 2 4" xfId="3314"/>
    <cellStyle name="Output 5 3 2 2 4 2" xfId="6734"/>
    <cellStyle name="Output 5 3 2 2 4 2 2" xfId="13574"/>
    <cellStyle name="Output 5 3 2 2 4 3" xfId="10154"/>
    <cellStyle name="Output 5 3 2 2 5" xfId="4454"/>
    <cellStyle name="Output 5 3 2 2 5 2" xfId="11294"/>
    <cellStyle name="Output 5 3 2 2 6" xfId="7874"/>
    <cellStyle name="Output 5 3 2 3" xfId="38337"/>
    <cellStyle name="Output 5 3 2 4" xfId="57941"/>
    <cellStyle name="Output 5 3 2 5" xfId="57942"/>
    <cellStyle name="Output 5 3 2 6" xfId="57943"/>
    <cellStyle name="Output 5 3 3" xfId="1339"/>
    <cellStyle name="Output 5 3 3 2" xfId="953"/>
    <cellStyle name="Output 5 3 3 2 2" xfId="2742"/>
    <cellStyle name="Output 5 3 3 2 2 2" xfId="6162"/>
    <cellStyle name="Output 5 3 3 2 2 2 2" xfId="13002"/>
    <cellStyle name="Output 5 3 3 2 2 3" xfId="9582"/>
    <cellStyle name="Output 5 3 3 2 3" xfId="3882"/>
    <cellStyle name="Output 5 3 3 2 3 2" xfId="7302"/>
    <cellStyle name="Output 5 3 3 2 3 2 2" xfId="14142"/>
    <cellStyle name="Output 5 3 3 2 3 3" xfId="10722"/>
    <cellStyle name="Output 5 3 3 2 4" xfId="5022"/>
    <cellStyle name="Output 5 3 3 2 4 2" xfId="11862"/>
    <cellStyle name="Output 5 3 3 2 5" xfId="8442"/>
    <cellStyle name="Output 5 3 3 3" xfId="2160"/>
    <cellStyle name="Output 5 3 3 3 2" xfId="5580"/>
    <cellStyle name="Output 5 3 3 3 2 2" xfId="12420"/>
    <cellStyle name="Output 5 3 3 3 3" xfId="9000"/>
    <cellStyle name="Output 5 3 3 4" xfId="3300"/>
    <cellStyle name="Output 5 3 3 4 2" xfId="6720"/>
    <cellStyle name="Output 5 3 3 4 2 2" xfId="13560"/>
    <cellStyle name="Output 5 3 3 4 3" xfId="10140"/>
    <cellStyle name="Output 5 3 3 5" xfId="4440"/>
    <cellStyle name="Output 5 3 3 5 2" xfId="11280"/>
    <cellStyle name="Output 5 3 3 6" xfId="7860"/>
    <cellStyle name="Output 5 3 4" xfId="38328"/>
    <cellStyle name="Output 5 3 5" xfId="57944"/>
    <cellStyle name="Output 5 3 6" xfId="57945"/>
    <cellStyle name="Output 5 3 7" xfId="57946"/>
    <cellStyle name="Output 5 4" xfId="241"/>
    <cellStyle name="Output 5 4 2" xfId="542"/>
    <cellStyle name="Output 5 4 2 2" xfId="1546"/>
    <cellStyle name="Output 5 4 2 2 2" xfId="837"/>
    <cellStyle name="Output 5 4 2 2 2 2" xfId="2697"/>
    <cellStyle name="Output 5 4 2 2 2 2 2" xfId="6117"/>
    <cellStyle name="Output 5 4 2 2 2 2 2 2" xfId="12957"/>
    <cellStyle name="Output 5 4 2 2 2 2 3" xfId="9537"/>
    <cellStyle name="Output 5 4 2 2 2 3" xfId="3837"/>
    <cellStyle name="Output 5 4 2 2 2 3 2" xfId="7257"/>
    <cellStyle name="Output 5 4 2 2 2 3 2 2" xfId="14097"/>
    <cellStyle name="Output 5 4 2 2 2 3 3" xfId="10677"/>
    <cellStyle name="Output 5 4 2 2 2 4" xfId="4977"/>
    <cellStyle name="Output 5 4 2 2 2 4 2" xfId="11817"/>
    <cellStyle name="Output 5 4 2 2 2 5" xfId="8397"/>
    <cellStyle name="Output 5 4 2 2 3" xfId="2367"/>
    <cellStyle name="Output 5 4 2 2 3 2" xfId="5787"/>
    <cellStyle name="Output 5 4 2 2 3 2 2" xfId="12627"/>
    <cellStyle name="Output 5 4 2 2 3 3" xfId="9207"/>
    <cellStyle name="Output 5 4 2 2 4" xfId="3507"/>
    <cellStyle name="Output 5 4 2 2 4 2" xfId="6927"/>
    <cellStyle name="Output 5 4 2 2 4 2 2" xfId="13767"/>
    <cellStyle name="Output 5 4 2 2 4 3" xfId="10347"/>
    <cellStyle name="Output 5 4 2 2 5" xfId="4647"/>
    <cellStyle name="Output 5 4 2 2 5 2" xfId="11487"/>
    <cellStyle name="Output 5 4 2 2 6" xfId="8067"/>
    <cellStyle name="Output 5 4 2 3" xfId="38457"/>
    <cellStyle name="Output 5 4 2 4" xfId="57947"/>
    <cellStyle name="Output 5 4 2 5" xfId="57948"/>
    <cellStyle name="Output 5 4 2 6" xfId="57949"/>
    <cellStyle name="Output 5 4 3" xfId="1248"/>
    <cellStyle name="Output 5 4 3 2" xfId="1794"/>
    <cellStyle name="Output 5 4 3 2 2" xfId="2934"/>
    <cellStyle name="Output 5 4 3 2 2 2" xfId="6354"/>
    <cellStyle name="Output 5 4 3 2 2 2 2" xfId="13194"/>
    <cellStyle name="Output 5 4 3 2 2 3" xfId="9774"/>
    <cellStyle name="Output 5 4 3 2 3" xfId="4074"/>
    <cellStyle name="Output 5 4 3 2 3 2" xfId="7494"/>
    <cellStyle name="Output 5 4 3 2 3 2 2" xfId="14334"/>
    <cellStyle name="Output 5 4 3 2 3 3" xfId="10914"/>
    <cellStyle name="Output 5 4 3 2 4" xfId="5214"/>
    <cellStyle name="Output 5 4 3 2 4 2" xfId="12054"/>
    <cellStyle name="Output 5 4 3 2 5" xfId="8634"/>
    <cellStyle name="Output 5 4 3 3" xfId="2068"/>
    <cellStyle name="Output 5 4 3 3 2" xfId="5488"/>
    <cellStyle name="Output 5 4 3 3 2 2" xfId="12328"/>
    <cellStyle name="Output 5 4 3 3 3" xfId="8908"/>
    <cellStyle name="Output 5 4 3 4" xfId="3208"/>
    <cellStyle name="Output 5 4 3 4 2" xfId="6628"/>
    <cellStyle name="Output 5 4 3 4 2 2" xfId="13468"/>
    <cellStyle name="Output 5 4 3 4 3" xfId="10048"/>
    <cellStyle name="Output 5 4 3 5" xfId="4348"/>
    <cellStyle name="Output 5 4 3 5 2" xfId="11188"/>
    <cellStyle name="Output 5 4 3 6" xfId="7768"/>
    <cellStyle name="Output 5 4 4" xfId="38265"/>
    <cellStyle name="Output 5 4 5" xfId="57950"/>
    <cellStyle name="Output 5 4 6" xfId="57951"/>
    <cellStyle name="Output 5 4 7" xfId="57952"/>
    <cellStyle name="Output 5 5" xfId="499"/>
    <cellStyle name="Output 5 5 2" xfId="360"/>
    <cellStyle name="Output 5 5 2 2" xfId="1365"/>
    <cellStyle name="Output 5 5 2 2 2" xfId="927"/>
    <cellStyle name="Output 5 5 2 2 2 2" xfId="2549"/>
    <cellStyle name="Output 5 5 2 2 2 2 2" xfId="5969"/>
    <cellStyle name="Output 5 5 2 2 2 2 2 2" xfId="12809"/>
    <cellStyle name="Output 5 5 2 2 2 2 3" xfId="9389"/>
    <cellStyle name="Output 5 5 2 2 2 3" xfId="3689"/>
    <cellStyle name="Output 5 5 2 2 2 3 2" xfId="7109"/>
    <cellStyle name="Output 5 5 2 2 2 3 2 2" xfId="13949"/>
    <cellStyle name="Output 5 5 2 2 2 3 3" xfId="10529"/>
    <cellStyle name="Output 5 5 2 2 2 4" xfId="4829"/>
    <cellStyle name="Output 5 5 2 2 2 4 2" xfId="11669"/>
    <cellStyle name="Output 5 5 2 2 2 5" xfId="8249"/>
    <cellStyle name="Output 5 5 2 2 3" xfId="2186"/>
    <cellStyle name="Output 5 5 2 2 3 2" xfId="5606"/>
    <cellStyle name="Output 5 5 2 2 3 2 2" xfId="12446"/>
    <cellStyle name="Output 5 5 2 2 3 3" xfId="9026"/>
    <cellStyle name="Output 5 5 2 2 4" xfId="3326"/>
    <cellStyle name="Output 5 5 2 2 4 2" xfId="6746"/>
    <cellStyle name="Output 5 5 2 2 4 2 2" xfId="13586"/>
    <cellStyle name="Output 5 5 2 2 4 3" xfId="10166"/>
    <cellStyle name="Output 5 5 2 2 5" xfId="4466"/>
    <cellStyle name="Output 5 5 2 2 5 2" xfId="11306"/>
    <cellStyle name="Output 5 5 2 2 6" xfId="7886"/>
    <cellStyle name="Output 5 5 2 3" xfId="38346"/>
    <cellStyle name="Output 5 5 2 4" xfId="57953"/>
    <cellStyle name="Output 5 5 2 5" xfId="57954"/>
    <cellStyle name="Output 5 5 2 6" xfId="57955"/>
    <cellStyle name="Output 5 5 3" xfId="1503"/>
    <cellStyle name="Output 5 5 3 2" xfId="1880"/>
    <cellStyle name="Output 5 5 3 2 2" xfId="3020"/>
    <cellStyle name="Output 5 5 3 2 2 2" xfId="6440"/>
    <cellStyle name="Output 5 5 3 2 2 2 2" xfId="13280"/>
    <cellStyle name="Output 5 5 3 2 2 3" xfId="9860"/>
    <cellStyle name="Output 5 5 3 2 3" xfId="4160"/>
    <cellStyle name="Output 5 5 3 2 3 2" xfId="7580"/>
    <cellStyle name="Output 5 5 3 2 3 2 2" xfId="14420"/>
    <cellStyle name="Output 5 5 3 2 3 3" xfId="11000"/>
    <cellStyle name="Output 5 5 3 2 4" xfId="5300"/>
    <cellStyle name="Output 5 5 3 2 4 2" xfId="12140"/>
    <cellStyle name="Output 5 5 3 2 5" xfId="8720"/>
    <cellStyle name="Output 5 5 3 3" xfId="2324"/>
    <cellStyle name="Output 5 5 3 3 2" xfId="5744"/>
    <cellStyle name="Output 5 5 3 3 2 2" xfId="12584"/>
    <cellStyle name="Output 5 5 3 3 3" xfId="9164"/>
    <cellStyle name="Output 5 5 3 4" xfId="3464"/>
    <cellStyle name="Output 5 5 3 4 2" xfId="6884"/>
    <cellStyle name="Output 5 5 3 4 2 2" xfId="13724"/>
    <cellStyle name="Output 5 5 3 4 3" xfId="10304"/>
    <cellStyle name="Output 5 5 3 5" xfId="4604"/>
    <cellStyle name="Output 5 5 3 5 2" xfId="11444"/>
    <cellStyle name="Output 5 5 3 6" xfId="8024"/>
    <cellStyle name="Output 5 5 4" xfId="38435"/>
    <cellStyle name="Output 5 5 5" xfId="57956"/>
    <cellStyle name="Output 5 5 6" xfId="57957"/>
    <cellStyle name="Output 5 5 7" xfId="57958"/>
    <cellStyle name="Output 5 6" xfId="519"/>
    <cellStyle name="Output 5 6 2" xfId="350"/>
    <cellStyle name="Output 5 6 2 2" xfId="1355"/>
    <cellStyle name="Output 5 6 2 2 2" xfId="937"/>
    <cellStyle name="Output 5 6 2 2 2 2" xfId="2778"/>
    <cellStyle name="Output 5 6 2 2 2 2 2" xfId="6198"/>
    <cellStyle name="Output 5 6 2 2 2 2 2 2" xfId="13038"/>
    <cellStyle name="Output 5 6 2 2 2 2 3" xfId="9618"/>
    <cellStyle name="Output 5 6 2 2 2 3" xfId="3918"/>
    <cellStyle name="Output 5 6 2 2 2 3 2" xfId="7338"/>
    <cellStyle name="Output 5 6 2 2 2 3 2 2" xfId="14178"/>
    <cellStyle name="Output 5 6 2 2 2 3 3" xfId="10758"/>
    <cellStyle name="Output 5 6 2 2 2 4" xfId="5058"/>
    <cellStyle name="Output 5 6 2 2 2 4 2" xfId="11898"/>
    <cellStyle name="Output 5 6 2 2 2 5" xfId="8478"/>
    <cellStyle name="Output 5 6 2 2 3" xfId="2176"/>
    <cellStyle name="Output 5 6 2 2 3 2" xfId="5596"/>
    <cellStyle name="Output 5 6 2 2 3 2 2" xfId="12436"/>
    <cellStyle name="Output 5 6 2 2 3 3" xfId="9016"/>
    <cellStyle name="Output 5 6 2 2 4" xfId="3316"/>
    <cellStyle name="Output 5 6 2 2 4 2" xfId="6736"/>
    <cellStyle name="Output 5 6 2 2 4 2 2" xfId="13576"/>
    <cellStyle name="Output 5 6 2 2 4 3" xfId="10156"/>
    <cellStyle name="Output 5 6 2 2 5" xfId="4456"/>
    <cellStyle name="Output 5 6 2 2 5 2" xfId="11296"/>
    <cellStyle name="Output 5 6 2 2 6" xfId="7876"/>
    <cellStyle name="Output 5 6 2 3" xfId="38339"/>
    <cellStyle name="Output 5 6 2 4" xfId="57959"/>
    <cellStyle name="Output 5 6 2 5" xfId="57960"/>
    <cellStyle name="Output 5 6 2 6" xfId="57961"/>
    <cellStyle name="Output 5 6 3" xfId="1523"/>
    <cellStyle name="Output 5 6 3 2" xfId="848"/>
    <cellStyle name="Output 5 6 3 2 2" xfId="2772"/>
    <cellStyle name="Output 5 6 3 2 2 2" xfId="6192"/>
    <cellStyle name="Output 5 6 3 2 2 2 2" xfId="13032"/>
    <cellStyle name="Output 5 6 3 2 2 3" xfId="9612"/>
    <cellStyle name="Output 5 6 3 2 3" xfId="3912"/>
    <cellStyle name="Output 5 6 3 2 3 2" xfId="7332"/>
    <cellStyle name="Output 5 6 3 2 3 2 2" xfId="14172"/>
    <cellStyle name="Output 5 6 3 2 3 3" xfId="10752"/>
    <cellStyle name="Output 5 6 3 2 4" xfId="5052"/>
    <cellStyle name="Output 5 6 3 2 4 2" xfId="11892"/>
    <cellStyle name="Output 5 6 3 2 5" xfId="8472"/>
    <cellStyle name="Output 5 6 3 3" xfId="2344"/>
    <cellStyle name="Output 5 6 3 3 2" xfId="5764"/>
    <cellStyle name="Output 5 6 3 3 2 2" xfId="12604"/>
    <cellStyle name="Output 5 6 3 3 3" xfId="9184"/>
    <cellStyle name="Output 5 6 3 4" xfId="3484"/>
    <cellStyle name="Output 5 6 3 4 2" xfId="6904"/>
    <cellStyle name="Output 5 6 3 4 2 2" xfId="13744"/>
    <cellStyle name="Output 5 6 3 4 3" xfId="10324"/>
    <cellStyle name="Output 5 6 3 5" xfId="4624"/>
    <cellStyle name="Output 5 6 3 5 2" xfId="11464"/>
    <cellStyle name="Output 5 6 3 6" xfId="8044"/>
    <cellStyle name="Output 5 6 4" xfId="38443"/>
    <cellStyle name="Output 5 6 5" xfId="57962"/>
    <cellStyle name="Output 5 6 6" xfId="57963"/>
    <cellStyle name="Output 5 6 7" xfId="57964"/>
    <cellStyle name="Output 5 7" xfId="1125"/>
    <cellStyle name="Output 5 7 2" xfId="1861"/>
    <cellStyle name="Output 5 7 2 2" xfId="3001"/>
    <cellStyle name="Output 5 7 2 2 2" xfId="6421"/>
    <cellStyle name="Output 5 7 2 2 2 2" xfId="13261"/>
    <cellStyle name="Output 5 7 2 2 3" xfId="9841"/>
    <cellStyle name="Output 5 7 2 3" xfId="4141"/>
    <cellStyle name="Output 5 7 2 3 2" xfId="7561"/>
    <cellStyle name="Output 5 7 2 3 2 2" xfId="14401"/>
    <cellStyle name="Output 5 7 2 3 3" xfId="10981"/>
    <cellStyle name="Output 5 7 2 4" xfId="5281"/>
    <cellStyle name="Output 5 7 2 4 2" xfId="12121"/>
    <cellStyle name="Output 5 7 2 5" xfId="8701"/>
    <cellStyle name="Output 5 7 3" xfId="1939"/>
    <cellStyle name="Output 5 7 3 2" xfId="5359"/>
    <cellStyle name="Output 5 7 3 2 2" xfId="12199"/>
    <cellStyle name="Output 5 7 3 3" xfId="8779"/>
    <cellStyle name="Output 5 7 4" xfId="3079"/>
    <cellStyle name="Output 5 7 4 2" xfId="6499"/>
    <cellStyle name="Output 5 7 4 2 2" xfId="13339"/>
    <cellStyle name="Output 5 7 4 3" xfId="9919"/>
    <cellStyle name="Output 5 7 5" xfId="4219"/>
    <cellStyle name="Output 5 7 5 2" xfId="11059"/>
    <cellStyle name="Output 5 7 6" xfId="7639"/>
    <cellStyle name="Output 5 8" xfId="38199"/>
    <cellStyle name="Output 5 9" xfId="57965"/>
    <cellStyle name="Output 6" xfId="57966"/>
    <cellStyle name="Output 6 2" xfId="57967"/>
    <cellStyle name="Output 6 3" xfId="57968"/>
    <cellStyle name="Output 7" xfId="57969"/>
    <cellStyle name="Output 8" xfId="57970"/>
    <cellStyle name="Output 9" xfId="57971"/>
    <cellStyle name="Output Amounts" xfId="57972"/>
    <cellStyle name="Output Column Headings" xfId="57973"/>
    <cellStyle name="Output Line Items" xfId="57974"/>
    <cellStyle name="Output Report Heading" xfId="57975"/>
    <cellStyle name="Output Report Title" xfId="57976"/>
    <cellStyle name="Percent" xfId="729" builtinId="5"/>
    <cellStyle name="Percent +/-" xfId="57977"/>
    <cellStyle name="Percent 10" xfId="57978"/>
    <cellStyle name="Percent 11" xfId="57979"/>
    <cellStyle name="Percent 2" xfId="59"/>
    <cellStyle name="Percent 2 2" xfId="127"/>
    <cellStyle name="Percent 2 2 2" xfId="57980"/>
    <cellStyle name="Percent 2 2 3" xfId="57981"/>
    <cellStyle name="Percent 2 3" xfId="633"/>
    <cellStyle name="Percent 2 3 2" xfId="57982"/>
    <cellStyle name="Percent 2 3 3" xfId="57983"/>
    <cellStyle name="Percent 2 3 4" xfId="57984"/>
    <cellStyle name="Percent 2 4" xfId="718"/>
    <cellStyle name="Percent 2 4 2" xfId="57985"/>
    <cellStyle name="Percent 2 5" xfId="732"/>
    <cellStyle name="Percent 2 5 2" xfId="57986"/>
    <cellStyle name="Percent 2 5 3" xfId="57987"/>
    <cellStyle name="Percent 2 6" xfId="57988"/>
    <cellStyle name="Percent 3" xfId="61"/>
    <cellStyle name="Percent 3 2" xfId="15085"/>
    <cellStyle name="Percent 3 2 2" xfId="57989"/>
    <cellStyle name="Percent 3 2 3" xfId="57990"/>
    <cellStyle name="Percent 3 3" xfId="57991"/>
    <cellStyle name="Percent 3 3 2" xfId="57992"/>
    <cellStyle name="Percent 3 4" xfId="57993"/>
    <cellStyle name="Percent 3 4 2" xfId="57994"/>
    <cellStyle name="Percent 3 4 3" xfId="57995"/>
    <cellStyle name="Percent 3 5" xfId="57996"/>
    <cellStyle name="Percent 3 6" xfId="57997"/>
    <cellStyle name="Percent 3 7" xfId="57998"/>
    <cellStyle name="Percent 4" xfId="128"/>
    <cellStyle name="Percent 4 2" xfId="57999"/>
    <cellStyle name="Percent 4 2 2" xfId="58000"/>
    <cellStyle name="Percent 4 2 2 2" xfId="58001"/>
    <cellStyle name="Percent 4 2 2 2 2" xfId="58002"/>
    <cellStyle name="Percent 4 2 2 2 3" xfId="58003"/>
    <cellStyle name="Percent 4 2 2 3" xfId="58004"/>
    <cellStyle name="Percent 4 2 2 4" xfId="58005"/>
    <cellStyle name="Percent 4 2 3" xfId="58006"/>
    <cellStyle name="Percent 4 2 3 2" xfId="58007"/>
    <cellStyle name="Percent 4 2 3 3" xfId="58008"/>
    <cellStyle name="Percent 4 2 4" xfId="58009"/>
    <cellStyle name="Percent 4 2 4 2" xfId="58010"/>
    <cellStyle name="Percent 4 2 4 3" xfId="58011"/>
    <cellStyle name="Percent 4 2 5" xfId="58012"/>
    <cellStyle name="Percent 4 2 6" xfId="58013"/>
    <cellStyle name="Percent 4 2 7" xfId="58014"/>
    <cellStyle name="Percent 4 3" xfId="58015"/>
    <cellStyle name="Percent 4 3 2" xfId="58016"/>
    <cellStyle name="Percent 4 3 2 2" xfId="58017"/>
    <cellStyle name="Percent 4 3 2 2 2" xfId="58018"/>
    <cellStyle name="Percent 4 3 2 2 3" xfId="58019"/>
    <cellStyle name="Percent 4 3 2 3" xfId="58020"/>
    <cellStyle name="Percent 4 3 2 4" xfId="58021"/>
    <cellStyle name="Percent 4 3 3" xfId="58022"/>
    <cellStyle name="Percent 4 3 3 2" xfId="58023"/>
    <cellStyle name="Percent 4 3 3 3" xfId="58024"/>
    <cellStyle name="Percent 4 3 4" xfId="58025"/>
    <cellStyle name="Percent 4 3 5" xfId="58026"/>
    <cellStyle name="Percent 4 3 6" xfId="58027"/>
    <cellStyle name="Percent 4 4" xfId="58028"/>
    <cellStyle name="Percent 4 4 2" xfId="58029"/>
    <cellStyle name="Percent 4 4 2 2" xfId="58030"/>
    <cellStyle name="Percent 4 4 2 3" xfId="58031"/>
    <cellStyle name="Percent 4 4 3" xfId="58032"/>
    <cellStyle name="Percent 4 4 4" xfId="58033"/>
    <cellStyle name="Percent 4 5" xfId="58034"/>
    <cellStyle name="Percent 4 5 2" xfId="58035"/>
    <cellStyle name="Percent 4 5 3" xfId="58036"/>
    <cellStyle name="Percent 4 6" xfId="58037"/>
    <cellStyle name="Percent 4 6 2" xfId="58038"/>
    <cellStyle name="Percent 4 6 3" xfId="58039"/>
    <cellStyle name="Percent 4 7" xfId="58040"/>
    <cellStyle name="Percent 5" xfId="129"/>
    <cellStyle name="Percent 5 2" xfId="58041"/>
    <cellStyle name="Percent 5 2 2" xfId="58042"/>
    <cellStyle name="Percent 5 2 2 2" xfId="58043"/>
    <cellStyle name="Percent 5 2 2 3" xfId="58044"/>
    <cellStyle name="Percent 5 2 3" xfId="58045"/>
    <cellStyle name="Percent 5 2 4" xfId="58046"/>
    <cellStyle name="Percent 5 2 5" xfId="58047"/>
    <cellStyle name="Percent 5 3" xfId="58048"/>
    <cellStyle name="Percent 5 3 2" xfId="58049"/>
    <cellStyle name="Percent 5 3 3" xfId="58050"/>
    <cellStyle name="Percent 5 3 4" xfId="58051"/>
    <cellStyle name="Percent 5 4" xfId="58052"/>
    <cellStyle name="Percent 5 5" xfId="58053"/>
    <cellStyle name="Percent 5 6" xfId="58054"/>
    <cellStyle name="Percent 6" xfId="130"/>
    <cellStyle name="Percent 6 2" xfId="58055"/>
    <cellStyle name="Percent 6 2 2" xfId="58056"/>
    <cellStyle name="Percent 6 3" xfId="58057"/>
    <cellStyle name="Percent 6 4" xfId="58058"/>
    <cellStyle name="Percent 7" xfId="710"/>
    <cellStyle name="Percent 7 2" xfId="58059"/>
    <cellStyle name="Percent 7 3" xfId="58060"/>
    <cellStyle name="Percent 7 4" xfId="58061"/>
    <cellStyle name="Percent 8" xfId="58062"/>
    <cellStyle name="Percent 9" xfId="58063"/>
    <cellStyle name="Percent 9 2" xfId="58064"/>
    <cellStyle name="Plain" xfId="58065"/>
    <cellStyle name="Plain 2" xfId="58066"/>
    <cellStyle name="Projected future" xfId="58067"/>
    <cellStyle name="Projected future 2" xfId="58068"/>
    <cellStyle name="SAPBEXHLevel3" xfId="58069"/>
    <cellStyle name="SAPBEXHLevel3 2" xfId="58070"/>
    <cellStyle name="SAPBEXHLevel3 2 2" xfId="58071"/>
    <cellStyle name="SAPBEXHLevel3 2 3" xfId="58072"/>
    <cellStyle name="SAPBEXHLevel3 3" xfId="58073"/>
    <cellStyle name="SAPBEXHLevel3 4" xfId="58074"/>
    <cellStyle name="SAPBEXstdData" xfId="58075"/>
    <cellStyle name="Scenario flex current" xfId="58076"/>
    <cellStyle name="Scenario flex current 2" xfId="58077"/>
    <cellStyle name="SectHeader" xfId="58078"/>
    <cellStyle name="SectHeaderLev2" xfId="58079"/>
    <cellStyle name="SectLev2SubTotal" xfId="58080"/>
    <cellStyle name="SectSubHeader" xfId="58081"/>
    <cellStyle name="SectSubHeaderTotal" xfId="58082"/>
    <cellStyle name="SectSubTotal" xfId="58083"/>
    <cellStyle name="Shaded" xfId="58084"/>
    <cellStyle name="Single Cell Column Heading" xfId="58085"/>
    <cellStyle name="Small" xfId="58086"/>
    <cellStyle name="Style 1" xfId="58087"/>
    <cellStyle name="SubNoteNum" xfId="58088"/>
    <cellStyle name="SubNoteSection" xfId="58089"/>
    <cellStyle name="SYSTEM" xfId="14504"/>
    <cellStyle name="SYSTEM 10" xfId="14787"/>
    <cellStyle name="SYSTEM 10 10" xfId="23152"/>
    <cellStyle name="SYSTEM 10 10 2" xfId="58090"/>
    <cellStyle name="SYSTEM 10 10 3" xfId="58091"/>
    <cellStyle name="SYSTEM 10 11" xfId="58092"/>
    <cellStyle name="SYSTEM 10 2" xfId="15868"/>
    <cellStyle name="SYSTEM 10 2 2" xfId="24187"/>
    <cellStyle name="SYSTEM 10 2 2 2" xfId="58093"/>
    <cellStyle name="SYSTEM 10 2 2 3" xfId="58094"/>
    <cellStyle name="SYSTEM 10 2 3" xfId="58095"/>
    <cellStyle name="SYSTEM 10 3" xfId="16834"/>
    <cellStyle name="SYSTEM 10 3 2" xfId="25159"/>
    <cellStyle name="SYSTEM 10 3 2 2" xfId="58096"/>
    <cellStyle name="SYSTEM 10 3 2 3" xfId="58097"/>
    <cellStyle name="SYSTEM 10 3 3" xfId="58098"/>
    <cellStyle name="SYSTEM 10 4" xfId="17861"/>
    <cellStyle name="SYSTEM 10 4 2" xfId="26185"/>
    <cellStyle name="SYSTEM 10 4 2 2" xfId="58099"/>
    <cellStyle name="SYSTEM 10 4 2 3" xfId="58100"/>
    <cellStyle name="SYSTEM 10 4 3" xfId="58101"/>
    <cellStyle name="SYSTEM 10 5" xfId="18845"/>
    <cellStyle name="SYSTEM 10 5 2" xfId="27166"/>
    <cellStyle name="SYSTEM 10 5 2 2" xfId="58102"/>
    <cellStyle name="SYSTEM 10 5 2 3" xfId="58103"/>
    <cellStyle name="SYSTEM 10 5 3" xfId="58104"/>
    <cellStyle name="SYSTEM 10 6" xfId="19813"/>
    <cellStyle name="SYSTEM 10 6 2" xfId="28135"/>
    <cellStyle name="SYSTEM 10 6 2 2" xfId="58105"/>
    <cellStyle name="SYSTEM 10 6 2 3" xfId="58106"/>
    <cellStyle name="SYSTEM 10 6 3" xfId="58107"/>
    <cellStyle name="SYSTEM 10 7" xfId="20771"/>
    <cellStyle name="SYSTEM 10 7 2" xfId="29092"/>
    <cellStyle name="SYSTEM 10 7 2 2" xfId="58108"/>
    <cellStyle name="SYSTEM 10 7 2 3" xfId="58109"/>
    <cellStyle name="SYSTEM 10 7 3" xfId="58110"/>
    <cellStyle name="SYSTEM 10 8" xfId="21368"/>
    <cellStyle name="SYSTEM 10 8 2" xfId="29671"/>
    <cellStyle name="SYSTEM 10 8 2 2" xfId="58111"/>
    <cellStyle name="SYSTEM 10 8 2 3" xfId="58112"/>
    <cellStyle name="SYSTEM 10 8 3" xfId="58113"/>
    <cellStyle name="SYSTEM 10 9" xfId="22207"/>
    <cellStyle name="SYSTEM 10 9 2" xfId="30505"/>
    <cellStyle name="SYSTEM 10 9 2 2" xfId="58114"/>
    <cellStyle name="SYSTEM 10 9 2 3" xfId="58115"/>
    <cellStyle name="SYSTEM 10 9 3" xfId="58116"/>
    <cellStyle name="SYSTEM 11" xfId="14869"/>
    <cellStyle name="SYSTEM 11 10" xfId="23232"/>
    <cellStyle name="SYSTEM 11 10 2" xfId="58117"/>
    <cellStyle name="SYSTEM 11 10 3" xfId="58118"/>
    <cellStyle name="SYSTEM 11 11" xfId="58119"/>
    <cellStyle name="SYSTEM 11 2" xfId="15950"/>
    <cellStyle name="SYSTEM 11 2 2" xfId="24267"/>
    <cellStyle name="SYSTEM 11 2 2 2" xfId="58120"/>
    <cellStyle name="SYSTEM 11 2 2 3" xfId="58121"/>
    <cellStyle name="SYSTEM 11 2 3" xfId="58122"/>
    <cellStyle name="SYSTEM 11 3" xfId="16916"/>
    <cellStyle name="SYSTEM 11 3 2" xfId="25239"/>
    <cellStyle name="SYSTEM 11 3 2 2" xfId="58123"/>
    <cellStyle name="SYSTEM 11 3 2 3" xfId="58124"/>
    <cellStyle name="SYSTEM 11 3 3" xfId="58125"/>
    <cellStyle name="SYSTEM 11 4" xfId="17943"/>
    <cellStyle name="SYSTEM 11 4 2" xfId="26265"/>
    <cellStyle name="SYSTEM 11 4 2 2" xfId="58126"/>
    <cellStyle name="SYSTEM 11 4 2 3" xfId="58127"/>
    <cellStyle name="SYSTEM 11 4 3" xfId="58128"/>
    <cellStyle name="SYSTEM 11 5" xfId="18927"/>
    <cellStyle name="SYSTEM 11 5 2" xfId="27247"/>
    <cellStyle name="SYSTEM 11 5 2 2" xfId="58129"/>
    <cellStyle name="SYSTEM 11 5 2 3" xfId="58130"/>
    <cellStyle name="SYSTEM 11 5 3" xfId="58131"/>
    <cellStyle name="SYSTEM 11 6" xfId="19895"/>
    <cellStyle name="SYSTEM 11 6 2" xfId="28217"/>
    <cellStyle name="SYSTEM 11 6 2 2" xfId="58132"/>
    <cellStyle name="SYSTEM 11 6 2 3" xfId="58133"/>
    <cellStyle name="SYSTEM 11 6 3" xfId="58134"/>
    <cellStyle name="SYSTEM 11 7" xfId="20853"/>
    <cellStyle name="SYSTEM 11 7 2" xfId="29172"/>
    <cellStyle name="SYSTEM 11 7 2 2" xfId="58135"/>
    <cellStyle name="SYSTEM 11 7 2 3" xfId="58136"/>
    <cellStyle name="SYSTEM 11 7 3" xfId="58137"/>
    <cellStyle name="SYSTEM 11 8" xfId="15534"/>
    <cellStyle name="SYSTEM 11 8 2" xfId="23870"/>
    <cellStyle name="SYSTEM 11 8 2 2" xfId="58138"/>
    <cellStyle name="SYSTEM 11 8 2 3" xfId="58139"/>
    <cellStyle name="SYSTEM 11 8 3" xfId="58140"/>
    <cellStyle name="SYSTEM 11 9" xfId="22288"/>
    <cellStyle name="SYSTEM 11 9 2" xfId="30586"/>
    <cellStyle name="SYSTEM 11 9 2 2" xfId="58141"/>
    <cellStyle name="SYSTEM 11 9 2 3" xfId="58142"/>
    <cellStyle name="SYSTEM 11 9 3" xfId="58143"/>
    <cellStyle name="SYSTEM 12" xfId="14886"/>
    <cellStyle name="SYSTEM 12 10" xfId="23249"/>
    <cellStyle name="SYSTEM 12 10 2" xfId="58144"/>
    <cellStyle name="SYSTEM 12 10 3" xfId="58145"/>
    <cellStyle name="SYSTEM 12 11" xfId="58146"/>
    <cellStyle name="SYSTEM 12 2" xfId="15967"/>
    <cellStyle name="SYSTEM 12 2 2" xfId="24284"/>
    <cellStyle name="SYSTEM 12 2 2 2" xfId="58147"/>
    <cellStyle name="SYSTEM 12 2 2 3" xfId="58148"/>
    <cellStyle name="SYSTEM 12 2 3" xfId="58149"/>
    <cellStyle name="SYSTEM 12 3" xfId="16933"/>
    <cellStyle name="SYSTEM 12 3 2" xfId="25256"/>
    <cellStyle name="SYSTEM 12 3 2 2" xfId="58150"/>
    <cellStyle name="SYSTEM 12 3 2 3" xfId="58151"/>
    <cellStyle name="SYSTEM 12 3 3" xfId="58152"/>
    <cellStyle name="SYSTEM 12 4" xfId="17960"/>
    <cellStyle name="SYSTEM 12 4 2" xfId="26282"/>
    <cellStyle name="SYSTEM 12 4 2 2" xfId="58153"/>
    <cellStyle name="SYSTEM 12 4 2 3" xfId="58154"/>
    <cellStyle name="SYSTEM 12 4 3" xfId="58155"/>
    <cellStyle name="SYSTEM 12 5" xfId="18944"/>
    <cellStyle name="SYSTEM 12 5 2" xfId="27264"/>
    <cellStyle name="SYSTEM 12 5 2 2" xfId="58156"/>
    <cellStyle name="SYSTEM 12 5 2 3" xfId="58157"/>
    <cellStyle name="SYSTEM 12 5 3" xfId="58158"/>
    <cellStyle name="SYSTEM 12 6" xfId="19912"/>
    <cellStyle name="SYSTEM 12 6 2" xfId="28234"/>
    <cellStyle name="SYSTEM 12 6 2 2" xfId="58159"/>
    <cellStyle name="SYSTEM 12 6 2 3" xfId="58160"/>
    <cellStyle name="SYSTEM 12 6 3" xfId="58161"/>
    <cellStyle name="SYSTEM 12 7" xfId="20870"/>
    <cellStyle name="SYSTEM 12 7 2" xfId="29189"/>
    <cellStyle name="SYSTEM 12 7 2 2" xfId="58162"/>
    <cellStyle name="SYSTEM 12 7 2 3" xfId="58163"/>
    <cellStyle name="SYSTEM 12 7 3" xfId="58164"/>
    <cellStyle name="SYSTEM 12 8" xfId="21377"/>
    <cellStyle name="SYSTEM 12 8 2" xfId="29680"/>
    <cellStyle name="SYSTEM 12 8 2 2" xfId="58165"/>
    <cellStyle name="SYSTEM 12 8 2 3" xfId="58166"/>
    <cellStyle name="SYSTEM 12 8 3" xfId="58167"/>
    <cellStyle name="SYSTEM 12 9" xfId="22305"/>
    <cellStyle name="SYSTEM 12 9 2" xfId="30603"/>
    <cellStyle name="SYSTEM 12 9 2 2" xfId="58168"/>
    <cellStyle name="SYSTEM 12 9 2 3" xfId="58169"/>
    <cellStyle name="SYSTEM 12 9 3" xfId="58170"/>
    <cellStyle name="SYSTEM 13" xfId="14825"/>
    <cellStyle name="SYSTEM 13 10" xfId="23189"/>
    <cellStyle name="SYSTEM 13 10 2" xfId="58171"/>
    <cellStyle name="SYSTEM 13 10 3" xfId="58172"/>
    <cellStyle name="SYSTEM 13 11" xfId="58173"/>
    <cellStyle name="SYSTEM 13 2" xfId="15906"/>
    <cellStyle name="SYSTEM 13 2 2" xfId="24224"/>
    <cellStyle name="SYSTEM 13 2 2 2" xfId="58174"/>
    <cellStyle name="SYSTEM 13 2 2 3" xfId="58175"/>
    <cellStyle name="SYSTEM 13 2 3" xfId="58176"/>
    <cellStyle name="SYSTEM 13 3" xfId="16872"/>
    <cellStyle name="SYSTEM 13 3 2" xfId="25196"/>
    <cellStyle name="SYSTEM 13 3 2 2" xfId="58177"/>
    <cellStyle name="SYSTEM 13 3 2 3" xfId="58178"/>
    <cellStyle name="SYSTEM 13 3 3" xfId="58179"/>
    <cellStyle name="SYSTEM 13 4" xfId="17899"/>
    <cellStyle name="SYSTEM 13 4 2" xfId="26222"/>
    <cellStyle name="SYSTEM 13 4 2 2" xfId="58180"/>
    <cellStyle name="SYSTEM 13 4 2 3" xfId="58181"/>
    <cellStyle name="SYSTEM 13 4 3" xfId="58182"/>
    <cellStyle name="SYSTEM 13 5" xfId="18883"/>
    <cellStyle name="SYSTEM 13 5 2" xfId="27203"/>
    <cellStyle name="SYSTEM 13 5 2 2" xfId="58183"/>
    <cellStyle name="SYSTEM 13 5 2 3" xfId="58184"/>
    <cellStyle name="SYSTEM 13 5 3" xfId="58185"/>
    <cellStyle name="SYSTEM 13 6" xfId="19851"/>
    <cellStyle name="SYSTEM 13 6 2" xfId="28173"/>
    <cellStyle name="SYSTEM 13 6 2 2" xfId="58186"/>
    <cellStyle name="SYSTEM 13 6 2 3" xfId="58187"/>
    <cellStyle name="SYSTEM 13 6 3" xfId="58188"/>
    <cellStyle name="SYSTEM 13 7" xfId="20809"/>
    <cellStyle name="SYSTEM 13 7 2" xfId="29129"/>
    <cellStyle name="SYSTEM 13 7 2 2" xfId="58189"/>
    <cellStyle name="SYSTEM 13 7 2 3" xfId="58190"/>
    <cellStyle name="SYSTEM 13 7 3" xfId="58191"/>
    <cellStyle name="SYSTEM 13 8" xfId="21091"/>
    <cellStyle name="SYSTEM 13 8 2" xfId="29408"/>
    <cellStyle name="SYSTEM 13 8 2 2" xfId="58192"/>
    <cellStyle name="SYSTEM 13 8 2 3" xfId="58193"/>
    <cellStyle name="SYSTEM 13 8 3" xfId="58194"/>
    <cellStyle name="SYSTEM 13 9" xfId="22244"/>
    <cellStyle name="SYSTEM 13 9 2" xfId="30543"/>
    <cellStyle name="SYSTEM 13 9 2 2" xfId="58195"/>
    <cellStyle name="SYSTEM 13 9 2 3" xfId="58196"/>
    <cellStyle name="SYSTEM 13 9 3" xfId="58197"/>
    <cellStyle name="SYSTEM 14" xfId="15013"/>
    <cellStyle name="SYSTEM 14 10" xfId="23373"/>
    <cellStyle name="SYSTEM 14 10 2" xfId="58198"/>
    <cellStyle name="SYSTEM 14 10 3" xfId="58199"/>
    <cellStyle name="SYSTEM 14 11" xfId="58200"/>
    <cellStyle name="SYSTEM 14 2" xfId="16093"/>
    <cellStyle name="SYSTEM 14 2 2" xfId="24408"/>
    <cellStyle name="SYSTEM 14 2 2 2" xfId="58201"/>
    <cellStyle name="SYSTEM 14 2 2 3" xfId="58202"/>
    <cellStyle name="SYSTEM 14 2 3" xfId="58203"/>
    <cellStyle name="SYSTEM 14 3" xfId="17060"/>
    <cellStyle name="SYSTEM 14 3 2" xfId="25381"/>
    <cellStyle name="SYSTEM 14 3 2 2" xfId="58204"/>
    <cellStyle name="SYSTEM 14 3 2 3" xfId="58205"/>
    <cellStyle name="SYSTEM 14 3 3" xfId="58206"/>
    <cellStyle name="SYSTEM 14 4" xfId="18087"/>
    <cellStyle name="SYSTEM 14 4 2" xfId="26407"/>
    <cellStyle name="SYSTEM 14 4 2 2" xfId="58207"/>
    <cellStyle name="SYSTEM 14 4 2 3" xfId="58208"/>
    <cellStyle name="SYSTEM 14 4 3" xfId="58209"/>
    <cellStyle name="SYSTEM 14 5" xfId="19071"/>
    <cellStyle name="SYSTEM 14 5 2" xfId="27391"/>
    <cellStyle name="SYSTEM 14 5 2 2" xfId="58210"/>
    <cellStyle name="SYSTEM 14 5 2 3" xfId="58211"/>
    <cellStyle name="SYSTEM 14 5 3" xfId="58212"/>
    <cellStyle name="SYSTEM 14 6" xfId="20039"/>
    <cellStyle name="SYSTEM 14 6 2" xfId="28361"/>
    <cellStyle name="SYSTEM 14 6 2 2" xfId="58213"/>
    <cellStyle name="SYSTEM 14 6 2 3" xfId="58214"/>
    <cellStyle name="SYSTEM 14 6 3" xfId="58215"/>
    <cellStyle name="SYSTEM 14 7" xfId="20996"/>
    <cellStyle name="SYSTEM 14 7 2" xfId="29313"/>
    <cellStyle name="SYSTEM 14 7 2 2" xfId="58216"/>
    <cellStyle name="SYSTEM 14 7 2 3" xfId="58217"/>
    <cellStyle name="SYSTEM 14 7 3" xfId="58218"/>
    <cellStyle name="SYSTEM 14 8" xfId="21503"/>
    <cellStyle name="SYSTEM 14 8 2" xfId="29804"/>
    <cellStyle name="SYSTEM 14 8 2 2" xfId="58219"/>
    <cellStyle name="SYSTEM 14 8 2 3" xfId="58220"/>
    <cellStyle name="SYSTEM 14 8 3" xfId="58221"/>
    <cellStyle name="SYSTEM 14 9" xfId="22431"/>
    <cellStyle name="SYSTEM 14 9 2" xfId="30727"/>
    <cellStyle name="SYSTEM 14 9 2 2" xfId="58222"/>
    <cellStyle name="SYSTEM 14 9 2 3" xfId="58223"/>
    <cellStyle name="SYSTEM 14 9 3" xfId="58224"/>
    <cellStyle name="SYSTEM 15" xfId="15075"/>
    <cellStyle name="SYSTEM 15 2" xfId="16155"/>
    <cellStyle name="SYSTEM 15 2 2" xfId="58225"/>
    <cellStyle name="SYSTEM 15 2 2 2" xfId="58226"/>
    <cellStyle name="SYSTEM 15 2 2 3" xfId="58227"/>
    <cellStyle name="SYSTEM 15 2 3" xfId="58228"/>
    <cellStyle name="SYSTEM 15 2 4" xfId="58229"/>
    <cellStyle name="SYSTEM 15 3" xfId="17122"/>
    <cellStyle name="SYSTEM 15 3 2" xfId="25443"/>
    <cellStyle name="SYSTEM 15 3 2 2" xfId="58230"/>
    <cellStyle name="SYSTEM 15 3 2 3" xfId="58231"/>
    <cellStyle name="SYSTEM 15 3 3" xfId="58232"/>
    <cellStyle name="SYSTEM 15 4" xfId="18149"/>
    <cellStyle name="SYSTEM 15 4 2" xfId="26469"/>
    <cellStyle name="SYSTEM 15 4 2 2" xfId="58233"/>
    <cellStyle name="SYSTEM 15 4 2 3" xfId="58234"/>
    <cellStyle name="SYSTEM 15 4 3" xfId="58235"/>
    <cellStyle name="SYSTEM 15 5" xfId="20101"/>
    <cellStyle name="SYSTEM 15 5 2" xfId="28423"/>
    <cellStyle name="SYSTEM 15 5 3" xfId="35548"/>
    <cellStyle name="SYSTEM 15 6" xfId="21058"/>
    <cellStyle name="SYSTEM 15 6 2" xfId="29375"/>
    <cellStyle name="SYSTEM 15 6 2 2" xfId="58236"/>
    <cellStyle name="SYSTEM 15 6 2 3" xfId="58237"/>
    <cellStyle name="SYSTEM 15 6 3" xfId="58238"/>
    <cellStyle name="SYSTEM 15 7" xfId="58239"/>
    <cellStyle name="SYSTEM 15 8" xfId="58240"/>
    <cellStyle name="SYSTEM 16" xfId="15133"/>
    <cellStyle name="SYSTEM 16 2" xfId="16213"/>
    <cellStyle name="SYSTEM 16 2 2" xfId="24526"/>
    <cellStyle name="SYSTEM 16 2 2 2" xfId="58241"/>
    <cellStyle name="SYSTEM 16 2 2 3" xfId="58242"/>
    <cellStyle name="SYSTEM 16 2 3" xfId="58243"/>
    <cellStyle name="SYSTEM 16 3" xfId="17179"/>
    <cellStyle name="SYSTEM 16 3 2" xfId="25500"/>
    <cellStyle name="SYSTEM 16 3 2 2" xfId="58244"/>
    <cellStyle name="SYSTEM 16 3 2 3" xfId="58245"/>
    <cellStyle name="SYSTEM 16 3 3" xfId="58246"/>
    <cellStyle name="SYSTEM 16 4" xfId="18207"/>
    <cellStyle name="SYSTEM 16 4 2" xfId="26527"/>
    <cellStyle name="SYSTEM 16 4 2 2" xfId="58247"/>
    <cellStyle name="SYSTEM 16 4 2 3" xfId="58248"/>
    <cellStyle name="SYSTEM 16 4 3" xfId="58249"/>
    <cellStyle name="SYSTEM 16 5" xfId="20159"/>
    <cellStyle name="SYSTEM 16 5 2" xfId="28481"/>
    <cellStyle name="SYSTEM 16 5 2 2" xfId="58250"/>
    <cellStyle name="SYSTEM 16 5 2 3" xfId="58251"/>
    <cellStyle name="SYSTEM 16 5 3" xfId="58252"/>
    <cellStyle name="SYSTEM 16 6" xfId="21620"/>
    <cellStyle name="SYSTEM 16 6 2" xfId="29921"/>
    <cellStyle name="SYSTEM 16 6 2 2" xfId="58253"/>
    <cellStyle name="SYSTEM 16 6 2 3" xfId="58254"/>
    <cellStyle name="SYSTEM 16 6 3" xfId="58255"/>
    <cellStyle name="SYSTEM 16 7" xfId="22548"/>
    <cellStyle name="SYSTEM 16 7 2" xfId="30844"/>
    <cellStyle name="SYSTEM 16 7 2 2" xfId="58256"/>
    <cellStyle name="SYSTEM 16 7 2 3" xfId="58257"/>
    <cellStyle name="SYSTEM 16 7 3" xfId="58258"/>
    <cellStyle name="SYSTEM 16 8" xfId="23490"/>
    <cellStyle name="SYSTEM 16 8 2" xfId="58259"/>
    <cellStyle name="SYSTEM 16 8 3" xfId="58260"/>
    <cellStyle name="SYSTEM 16 9" xfId="58261"/>
    <cellStyle name="SYSTEM 17" xfId="15154"/>
    <cellStyle name="SYSTEM 17 2" xfId="16234"/>
    <cellStyle name="SYSTEM 17 2 2" xfId="24547"/>
    <cellStyle name="SYSTEM 17 2 2 2" xfId="58262"/>
    <cellStyle name="SYSTEM 17 2 2 3" xfId="58263"/>
    <cellStyle name="SYSTEM 17 2 3" xfId="58264"/>
    <cellStyle name="SYSTEM 17 3" xfId="17200"/>
    <cellStyle name="SYSTEM 17 3 2" xfId="25521"/>
    <cellStyle name="SYSTEM 17 3 2 2" xfId="58265"/>
    <cellStyle name="SYSTEM 17 3 2 3" xfId="58266"/>
    <cellStyle name="SYSTEM 17 3 3" xfId="58267"/>
    <cellStyle name="SYSTEM 17 4" xfId="18228"/>
    <cellStyle name="SYSTEM 17 4 2" xfId="26548"/>
    <cellStyle name="SYSTEM 17 4 2 2" xfId="58268"/>
    <cellStyle name="SYSTEM 17 4 2 3" xfId="58269"/>
    <cellStyle name="SYSTEM 17 4 3" xfId="58270"/>
    <cellStyle name="SYSTEM 17 5" xfId="20180"/>
    <cellStyle name="SYSTEM 17 5 2" xfId="28502"/>
    <cellStyle name="SYSTEM 17 5 2 2" xfId="58271"/>
    <cellStyle name="SYSTEM 17 5 2 3" xfId="58272"/>
    <cellStyle name="SYSTEM 17 5 3" xfId="58273"/>
    <cellStyle name="SYSTEM 17 6" xfId="21641"/>
    <cellStyle name="SYSTEM 17 6 2" xfId="29942"/>
    <cellStyle name="SYSTEM 17 6 2 2" xfId="58274"/>
    <cellStyle name="SYSTEM 17 6 2 3" xfId="58275"/>
    <cellStyle name="SYSTEM 17 6 3" xfId="58276"/>
    <cellStyle name="SYSTEM 17 7" xfId="22569"/>
    <cellStyle name="SYSTEM 17 7 2" xfId="30865"/>
    <cellStyle name="SYSTEM 17 7 2 2" xfId="58277"/>
    <cellStyle name="SYSTEM 17 7 2 3" xfId="58278"/>
    <cellStyle name="SYSTEM 17 7 3" xfId="58279"/>
    <cellStyle name="SYSTEM 17 8" xfId="23511"/>
    <cellStyle name="SYSTEM 17 8 2" xfId="58280"/>
    <cellStyle name="SYSTEM 17 8 3" xfId="58281"/>
    <cellStyle name="SYSTEM 17 9" xfId="58282"/>
    <cellStyle name="SYSTEM 18" xfId="15130"/>
    <cellStyle name="SYSTEM 18 2" xfId="16210"/>
    <cellStyle name="SYSTEM 18 2 2" xfId="24523"/>
    <cellStyle name="SYSTEM 18 2 2 2" xfId="58283"/>
    <cellStyle name="SYSTEM 18 2 2 3" xfId="58284"/>
    <cellStyle name="SYSTEM 18 2 3" xfId="58285"/>
    <cellStyle name="SYSTEM 18 3" xfId="17176"/>
    <cellStyle name="SYSTEM 18 3 2" xfId="25497"/>
    <cellStyle name="SYSTEM 18 3 2 2" xfId="58286"/>
    <cellStyle name="SYSTEM 18 3 2 3" xfId="58287"/>
    <cellStyle name="SYSTEM 18 3 3" xfId="58288"/>
    <cellStyle name="SYSTEM 18 4" xfId="18204"/>
    <cellStyle name="SYSTEM 18 4 2" xfId="26524"/>
    <cellStyle name="SYSTEM 18 4 2 2" xfId="58289"/>
    <cellStyle name="SYSTEM 18 4 2 3" xfId="58290"/>
    <cellStyle name="SYSTEM 18 4 3" xfId="58291"/>
    <cellStyle name="SYSTEM 18 5" xfId="20156"/>
    <cellStyle name="SYSTEM 18 5 2" xfId="28478"/>
    <cellStyle name="SYSTEM 18 5 2 2" xfId="58292"/>
    <cellStyle name="SYSTEM 18 5 2 3" xfId="58293"/>
    <cellStyle name="SYSTEM 18 5 3" xfId="58294"/>
    <cellStyle name="SYSTEM 18 6" xfId="21617"/>
    <cellStyle name="SYSTEM 18 6 2" xfId="29918"/>
    <cellStyle name="SYSTEM 18 6 2 2" xfId="58295"/>
    <cellStyle name="SYSTEM 18 6 2 3" xfId="58296"/>
    <cellStyle name="SYSTEM 18 6 3" xfId="58297"/>
    <cellStyle name="SYSTEM 18 7" xfId="22545"/>
    <cellStyle name="SYSTEM 18 7 2" xfId="30841"/>
    <cellStyle name="SYSTEM 18 7 2 2" xfId="58298"/>
    <cellStyle name="SYSTEM 18 7 2 3" xfId="58299"/>
    <cellStyle name="SYSTEM 18 7 3" xfId="58300"/>
    <cellStyle name="SYSTEM 18 8" xfId="23487"/>
    <cellStyle name="SYSTEM 18 8 2" xfId="58301"/>
    <cellStyle name="SYSTEM 18 8 3" xfId="58302"/>
    <cellStyle name="SYSTEM 18 9" xfId="58303"/>
    <cellStyle name="SYSTEM 19" xfId="15193"/>
    <cellStyle name="SYSTEM 19 2" xfId="16273"/>
    <cellStyle name="SYSTEM 19 2 2" xfId="24586"/>
    <cellStyle name="SYSTEM 19 2 2 2" xfId="58304"/>
    <cellStyle name="SYSTEM 19 2 2 3" xfId="58305"/>
    <cellStyle name="SYSTEM 19 2 3" xfId="58306"/>
    <cellStyle name="SYSTEM 19 3" xfId="17239"/>
    <cellStyle name="SYSTEM 19 3 2" xfId="25560"/>
    <cellStyle name="SYSTEM 19 3 2 2" xfId="58307"/>
    <cellStyle name="SYSTEM 19 3 2 3" xfId="58308"/>
    <cellStyle name="SYSTEM 19 3 3" xfId="58309"/>
    <cellStyle name="SYSTEM 19 4" xfId="18267"/>
    <cellStyle name="SYSTEM 19 4 2" xfId="26587"/>
    <cellStyle name="SYSTEM 19 4 2 2" xfId="58310"/>
    <cellStyle name="SYSTEM 19 4 2 3" xfId="58311"/>
    <cellStyle name="SYSTEM 19 4 3" xfId="58312"/>
    <cellStyle name="SYSTEM 19 5" xfId="20219"/>
    <cellStyle name="SYSTEM 19 5 2" xfId="28541"/>
    <cellStyle name="SYSTEM 19 5 2 2" xfId="58313"/>
    <cellStyle name="SYSTEM 19 5 2 3" xfId="58314"/>
    <cellStyle name="SYSTEM 19 5 3" xfId="58315"/>
    <cellStyle name="SYSTEM 19 6" xfId="21680"/>
    <cellStyle name="SYSTEM 19 6 2" xfId="29981"/>
    <cellStyle name="SYSTEM 19 6 2 2" xfId="58316"/>
    <cellStyle name="SYSTEM 19 6 2 3" xfId="58317"/>
    <cellStyle name="SYSTEM 19 6 3" xfId="58318"/>
    <cellStyle name="SYSTEM 19 7" xfId="22608"/>
    <cellStyle name="SYSTEM 19 7 2" xfId="30904"/>
    <cellStyle name="SYSTEM 19 7 2 2" xfId="58319"/>
    <cellStyle name="SYSTEM 19 7 2 3" xfId="58320"/>
    <cellStyle name="SYSTEM 19 7 3" xfId="58321"/>
    <cellStyle name="SYSTEM 19 8" xfId="23550"/>
    <cellStyle name="SYSTEM 19 8 2" xfId="58322"/>
    <cellStyle name="SYSTEM 19 8 3" xfId="58323"/>
    <cellStyle name="SYSTEM 19 9" xfId="58324"/>
    <cellStyle name="SYSTEM 2" xfId="14505"/>
    <cellStyle name="SYSTEM 2 10" xfId="14885"/>
    <cellStyle name="SYSTEM 2 10 10" xfId="23248"/>
    <cellStyle name="SYSTEM 2 10 10 2" xfId="58325"/>
    <cellStyle name="SYSTEM 2 10 10 3" xfId="58326"/>
    <cellStyle name="SYSTEM 2 10 11" xfId="58327"/>
    <cellStyle name="SYSTEM 2 10 2" xfId="15966"/>
    <cellStyle name="SYSTEM 2 10 2 2" xfId="24283"/>
    <cellStyle name="SYSTEM 2 10 2 2 2" xfId="58328"/>
    <cellStyle name="SYSTEM 2 10 2 2 3" xfId="58329"/>
    <cellStyle name="SYSTEM 2 10 2 3" xfId="58330"/>
    <cellStyle name="SYSTEM 2 10 3" xfId="16932"/>
    <cellStyle name="SYSTEM 2 10 3 2" xfId="25255"/>
    <cellStyle name="SYSTEM 2 10 3 2 2" xfId="58331"/>
    <cellStyle name="SYSTEM 2 10 3 2 3" xfId="58332"/>
    <cellStyle name="SYSTEM 2 10 3 3" xfId="58333"/>
    <cellStyle name="SYSTEM 2 10 4" xfId="17959"/>
    <cellStyle name="SYSTEM 2 10 4 2" xfId="26281"/>
    <cellStyle name="SYSTEM 2 10 4 2 2" xfId="58334"/>
    <cellStyle name="SYSTEM 2 10 4 2 3" xfId="58335"/>
    <cellStyle name="SYSTEM 2 10 4 3" xfId="58336"/>
    <cellStyle name="SYSTEM 2 10 5" xfId="18943"/>
    <cellStyle name="SYSTEM 2 10 5 2" xfId="27263"/>
    <cellStyle name="SYSTEM 2 10 5 2 2" xfId="58337"/>
    <cellStyle name="SYSTEM 2 10 5 2 3" xfId="58338"/>
    <cellStyle name="SYSTEM 2 10 5 3" xfId="58339"/>
    <cellStyle name="SYSTEM 2 10 6" xfId="19911"/>
    <cellStyle name="SYSTEM 2 10 6 2" xfId="28233"/>
    <cellStyle name="SYSTEM 2 10 6 2 2" xfId="58340"/>
    <cellStyle name="SYSTEM 2 10 6 2 3" xfId="58341"/>
    <cellStyle name="SYSTEM 2 10 6 3" xfId="58342"/>
    <cellStyle name="SYSTEM 2 10 7" xfId="20869"/>
    <cellStyle name="SYSTEM 2 10 7 2" xfId="29188"/>
    <cellStyle name="SYSTEM 2 10 7 2 2" xfId="58343"/>
    <cellStyle name="SYSTEM 2 10 7 2 3" xfId="58344"/>
    <cellStyle name="SYSTEM 2 10 7 3" xfId="58345"/>
    <cellStyle name="SYSTEM 2 10 8" xfId="20494"/>
    <cellStyle name="SYSTEM 2 10 8 2" xfId="28816"/>
    <cellStyle name="SYSTEM 2 10 8 2 2" xfId="58346"/>
    <cellStyle name="SYSTEM 2 10 8 2 3" xfId="58347"/>
    <cellStyle name="SYSTEM 2 10 8 3" xfId="58348"/>
    <cellStyle name="SYSTEM 2 10 9" xfId="22304"/>
    <cellStyle name="SYSTEM 2 10 9 2" xfId="30602"/>
    <cellStyle name="SYSTEM 2 10 9 2 2" xfId="58349"/>
    <cellStyle name="SYSTEM 2 10 9 2 3" xfId="58350"/>
    <cellStyle name="SYSTEM 2 10 9 3" xfId="58351"/>
    <cellStyle name="SYSTEM 2 11" xfId="14901"/>
    <cellStyle name="SYSTEM 2 11 10" xfId="23264"/>
    <cellStyle name="SYSTEM 2 11 10 2" xfId="58352"/>
    <cellStyle name="SYSTEM 2 11 10 3" xfId="58353"/>
    <cellStyle name="SYSTEM 2 11 11" xfId="58354"/>
    <cellStyle name="SYSTEM 2 11 2" xfId="15982"/>
    <cellStyle name="SYSTEM 2 11 2 2" xfId="24299"/>
    <cellStyle name="SYSTEM 2 11 2 2 2" xfId="58355"/>
    <cellStyle name="SYSTEM 2 11 2 2 3" xfId="58356"/>
    <cellStyle name="SYSTEM 2 11 2 3" xfId="58357"/>
    <cellStyle name="SYSTEM 2 11 3" xfId="16948"/>
    <cellStyle name="SYSTEM 2 11 3 2" xfId="25271"/>
    <cellStyle name="SYSTEM 2 11 3 2 2" xfId="58358"/>
    <cellStyle name="SYSTEM 2 11 3 2 3" xfId="58359"/>
    <cellStyle name="SYSTEM 2 11 3 3" xfId="58360"/>
    <cellStyle name="SYSTEM 2 11 4" xfId="17975"/>
    <cellStyle name="SYSTEM 2 11 4 2" xfId="26297"/>
    <cellStyle name="SYSTEM 2 11 4 2 2" xfId="58361"/>
    <cellStyle name="SYSTEM 2 11 4 2 3" xfId="58362"/>
    <cellStyle name="SYSTEM 2 11 4 3" xfId="58363"/>
    <cellStyle name="SYSTEM 2 11 5" xfId="18959"/>
    <cellStyle name="SYSTEM 2 11 5 2" xfId="27279"/>
    <cellStyle name="SYSTEM 2 11 5 2 2" xfId="58364"/>
    <cellStyle name="SYSTEM 2 11 5 2 3" xfId="58365"/>
    <cellStyle name="SYSTEM 2 11 5 3" xfId="58366"/>
    <cellStyle name="SYSTEM 2 11 6" xfId="19927"/>
    <cellStyle name="SYSTEM 2 11 6 2" xfId="28249"/>
    <cellStyle name="SYSTEM 2 11 6 2 2" xfId="58367"/>
    <cellStyle name="SYSTEM 2 11 6 2 3" xfId="58368"/>
    <cellStyle name="SYSTEM 2 11 6 3" xfId="58369"/>
    <cellStyle name="SYSTEM 2 11 7" xfId="20885"/>
    <cellStyle name="SYSTEM 2 11 7 2" xfId="29204"/>
    <cellStyle name="SYSTEM 2 11 7 2 2" xfId="58370"/>
    <cellStyle name="SYSTEM 2 11 7 2 3" xfId="58371"/>
    <cellStyle name="SYSTEM 2 11 7 3" xfId="58372"/>
    <cellStyle name="SYSTEM 2 11 8" xfId="21392"/>
    <cellStyle name="SYSTEM 2 11 8 2" xfId="29695"/>
    <cellStyle name="SYSTEM 2 11 8 2 2" xfId="58373"/>
    <cellStyle name="SYSTEM 2 11 8 2 3" xfId="58374"/>
    <cellStyle name="SYSTEM 2 11 8 3" xfId="58375"/>
    <cellStyle name="SYSTEM 2 11 9" xfId="22320"/>
    <cellStyle name="SYSTEM 2 11 9 2" xfId="30618"/>
    <cellStyle name="SYSTEM 2 11 9 2 2" xfId="58376"/>
    <cellStyle name="SYSTEM 2 11 9 2 3" xfId="58377"/>
    <cellStyle name="SYSTEM 2 11 9 3" xfId="58378"/>
    <cellStyle name="SYSTEM 2 12" xfId="14960"/>
    <cellStyle name="SYSTEM 2 12 10" xfId="23322"/>
    <cellStyle name="SYSTEM 2 12 10 2" xfId="58379"/>
    <cellStyle name="SYSTEM 2 12 10 3" xfId="58380"/>
    <cellStyle name="SYSTEM 2 12 11" xfId="58381"/>
    <cellStyle name="SYSTEM 2 12 2" xfId="16041"/>
    <cellStyle name="SYSTEM 2 12 2 2" xfId="24357"/>
    <cellStyle name="SYSTEM 2 12 2 2 2" xfId="58382"/>
    <cellStyle name="SYSTEM 2 12 2 2 3" xfId="58383"/>
    <cellStyle name="SYSTEM 2 12 2 3" xfId="58384"/>
    <cellStyle name="SYSTEM 2 12 3" xfId="17007"/>
    <cellStyle name="SYSTEM 2 12 3 2" xfId="25329"/>
    <cellStyle name="SYSTEM 2 12 3 2 2" xfId="58385"/>
    <cellStyle name="SYSTEM 2 12 3 2 3" xfId="58386"/>
    <cellStyle name="SYSTEM 2 12 3 3" xfId="58387"/>
    <cellStyle name="SYSTEM 2 12 4" xfId="18034"/>
    <cellStyle name="SYSTEM 2 12 4 2" xfId="26355"/>
    <cellStyle name="SYSTEM 2 12 4 2 2" xfId="58388"/>
    <cellStyle name="SYSTEM 2 12 4 2 3" xfId="58389"/>
    <cellStyle name="SYSTEM 2 12 4 3" xfId="58390"/>
    <cellStyle name="SYSTEM 2 12 5" xfId="19018"/>
    <cellStyle name="SYSTEM 2 12 5 2" xfId="27338"/>
    <cellStyle name="SYSTEM 2 12 5 2 2" xfId="58391"/>
    <cellStyle name="SYSTEM 2 12 5 2 3" xfId="58392"/>
    <cellStyle name="SYSTEM 2 12 5 3" xfId="58393"/>
    <cellStyle name="SYSTEM 2 12 6" xfId="19986"/>
    <cellStyle name="SYSTEM 2 12 6 2" xfId="28308"/>
    <cellStyle name="SYSTEM 2 12 6 2 2" xfId="58394"/>
    <cellStyle name="SYSTEM 2 12 6 2 3" xfId="58395"/>
    <cellStyle name="SYSTEM 2 12 6 3" xfId="58396"/>
    <cellStyle name="SYSTEM 2 12 7" xfId="20944"/>
    <cellStyle name="SYSTEM 2 12 7 2" xfId="29262"/>
    <cellStyle name="SYSTEM 2 12 7 2 2" xfId="58397"/>
    <cellStyle name="SYSTEM 2 12 7 2 3" xfId="58398"/>
    <cellStyle name="SYSTEM 2 12 7 3" xfId="58399"/>
    <cellStyle name="SYSTEM 2 12 8" xfId="21451"/>
    <cellStyle name="SYSTEM 2 12 8 2" xfId="29753"/>
    <cellStyle name="SYSTEM 2 12 8 2 2" xfId="58400"/>
    <cellStyle name="SYSTEM 2 12 8 2 3" xfId="58401"/>
    <cellStyle name="SYSTEM 2 12 8 3" xfId="58402"/>
    <cellStyle name="SYSTEM 2 12 9" xfId="22379"/>
    <cellStyle name="SYSTEM 2 12 9 2" xfId="30676"/>
    <cellStyle name="SYSTEM 2 12 9 2 2" xfId="58403"/>
    <cellStyle name="SYSTEM 2 12 9 2 3" xfId="58404"/>
    <cellStyle name="SYSTEM 2 12 9 3" xfId="58405"/>
    <cellStyle name="SYSTEM 2 13" xfId="15036"/>
    <cellStyle name="SYSTEM 2 13 10" xfId="23396"/>
    <cellStyle name="SYSTEM 2 13 10 2" xfId="58406"/>
    <cellStyle name="SYSTEM 2 13 10 3" xfId="58407"/>
    <cellStyle name="SYSTEM 2 13 11" xfId="58408"/>
    <cellStyle name="SYSTEM 2 13 2" xfId="16116"/>
    <cellStyle name="SYSTEM 2 13 2 2" xfId="24431"/>
    <cellStyle name="SYSTEM 2 13 2 2 2" xfId="58409"/>
    <cellStyle name="SYSTEM 2 13 2 2 3" xfId="58410"/>
    <cellStyle name="SYSTEM 2 13 2 3" xfId="58411"/>
    <cellStyle name="SYSTEM 2 13 3" xfId="17083"/>
    <cellStyle name="SYSTEM 2 13 3 2" xfId="25404"/>
    <cellStyle name="SYSTEM 2 13 3 2 2" xfId="58412"/>
    <cellStyle name="SYSTEM 2 13 3 2 3" xfId="58413"/>
    <cellStyle name="SYSTEM 2 13 3 3" xfId="58414"/>
    <cellStyle name="SYSTEM 2 13 4" xfId="18110"/>
    <cellStyle name="SYSTEM 2 13 4 2" xfId="26430"/>
    <cellStyle name="SYSTEM 2 13 4 2 2" xfId="58415"/>
    <cellStyle name="SYSTEM 2 13 4 2 3" xfId="58416"/>
    <cellStyle name="SYSTEM 2 13 4 3" xfId="58417"/>
    <cellStyle name="SYSTEM 2 13 5" xfId="19094"/>
    <cellStyle name="SYSTEM 2 13 5 2" xfId="27414"/>
    <cellStyle name="SYSTEM 2 13 5 2 2" xfId="58418"/>
    <cellStyle name="SYSTEM 2 13 5 2 3" xfId="58419"/>
    <cellStyle name="SYSTEM 2 13 5 3" xfId="58420"/>
    <cellStyle name="SYSTEM 2 13 6" xfId="20062"/>
    <cellStyle name="SYSTEM 2 13 6 2" xfId="28384"/>
    <cellStyle name="SYSTEM 2 13 6 2 2" xfId="58421"/>
    <cellStyle name="SYSTEM 2 13 6 2 3" xfId="58422"/>
    <cellStyle name="SYSTEM 2 13 6 3" xfId="58423"/>
    <cellStyle name="SYSTEM 2 13 7" xfId="21019"/>
    <cellStyle name="SYSTEM 2 13 7 2" xfId="29336"/>
    <cellStyle name="SYSTEM 2 13 7 2 2" xfId="58424"/>
    <cellStyle name="SYSTEM 2 13 7 2 3" xfId="58425"/>
    <cellStyle name="SYSTEM 2 13 7 3" xfId="58426"/>
    <cellStyle name="SYSTEM 2 13 8" xfId="21526"/>
    <cellStyle name="SYSTEM 2 13 8 2" xfId="29827"/>
    <cellStyle name="SYSTEM 2 13 8 2 2" xfId="58427"/>
    <cellStyle name="SYSTEM 2 13 8 2 3" xfId="58428"/>
    <cellStyle name="SYSTEM 2 13 8 3" xfId="58429"/>
    <cellStyle name="SYSTEM 2 13 9" xfId="22454"/>
    <cellStyle name="SYSTEM 2 13 9 2" xfId="30750"/>
    <cellStyle name="SYSTEM 2 13 9 2 2" xfId="58430"/>
    <cellStyle name="SYSTEM 2 13 9 2 3" xfId="58431"/>
    <cellStyle name="SYSTEM 2 13 9 3" xfId="58432"/>
    <cellStyle name="SYSTEM 2 14" xfId="15084"/>
    <cellStyle name="SYSTEM 2 14 2" xfId="16164"/>
    <cellStyle name="SYSTEM 2 14 2 2" xfId="58433"/>
    <cellStyle name="SYSTEM 2 14 2 2 2" xfId="58434"/>
    <cellStyle name="SYSTEM 2 14 2 2 3" xfId="58435"/>
    <cellStyle name="SYSTEM 2 14 2 3" xfId="58436"/>
    <cellStyle name="SYSTEM 2 14 2 4" xfId="58437"/>
    <cellStyle name="SYSTEM 2 14 3" xfId="17131"/>
    <cellStyle name="SYSTEM 2 14 3 2" xfId="25452"/>
    <cellStyle name="SYSTEM 2 14 3 2 2" xfId="58438"/>
    <cellStyle name="SYSTEM 2 14 3 2 3" xfId="58439"/>
    <cellStyle name="SYSTEM 2 14 3 3" xfId="58440"/>
    <cellStyle name="SYSTEM 2 14 4" xfId="18158"/>
    <cellStyle name="SYSTEM 2 14 4 2" xfId="26478"/>
    <cellStyle name="SYSTEM 2 14 4 2 2" xfId="58441"/>
    <cellStyle name="SYSTEM 2 14 4 2 3" xfId="58442"/>
    <cellStyle name="SYSTEM 2 14 4 3" xfId="58443"/>
    <cellStyle name="SYSTEM 2 14 5" xfId="20110"/>
    <cellStyle name="SYSTEM 2 14 5 2" xfId="28432"/>
    <cellStyle name="SYSTEM 2 14 5 3" xfId="35557"/>
    <cellStyle name="SYSTEM 2 14 6" xfId="21066"/>
    <cellStyle name="SYSTEM 2 14 6 2" xfId="29383"/>
    <cellStyle name="SYSTEM 2 14 6 2 2" xfId="58444"/>
    <cellStyle name="SYSTEM 2 14 6 2 3" xfId="58445"/>
    <cellStyle name="SYSTEM 2 14 6 3" xfId="58446"/>
    <cellStyle name="SYSTEM 2 14 7" xfId="58447"/>
    <cellStyle name="SYSTEM 2 14 8" xfId="58448"/>
    <cellStyle name="SYSTEM 2 15" xfId="15150"/>
    <cellStyle name="SYSTEM 2 15 2" xfId="16230"/>
    <cellStyle name="SYSTEM 2 15 2 2" xfId="24543"/>
    <cellStyle name="SYSTEM 2 15 2 2 2" xfId="58449"/>
    <cellStyle name="SYSTEM 2 15 2 2 3" xfId="58450"/>
    <cellStyle name="SYSTEM 2 15 2 3" xfId="58451"/>
    <cellStyle name="SYSTEM 2 15 3" xfId="17196"/>
    <cellStyle name="SYSTEM 2 15 3 2" xfId="25517"/>
    <cellStyle name="SYSTEM 2 15 3 2 2" xfId="58452"/>
    <cellStyle name="SYSTEM 2 15 3 2 3" xfId="58453"/>
    <cellStyle name="SYSTEM 2 15 3 3" xfId="58454"/>
    <cellStyle name="SYSTEM 2 15 4" xfId="18224"/>
    <cellStyle name="SYSTEM 2 15 4 2" xfId="26544"/>
    <cellStyle name="SYSTEM 2 15 4 2 2" xfId="58455"/>
    <cellStyle name="SYSTEM 2 15 4 2 3" xfId="58456"/>
    <cellStyle name="SYSTEM 2 15 4 3" xfId="58457"/>
    <cellStyle name="SYSTEM 2 15 5" xfId="20176"/>
    <cellStyle name="SYSTEM 2 15 5 2" xfId="28498"/>
    <cellStyle name="SYSTEM 2 15 5 2 2" xfId="58458"/>
    <cellStyle name="SYSTEM 2 15 5 2 3" xfId="58459"/>
    <cellStyle name="SYSTEM 2 15 5 3" xfId="58460"/>
    <cellStyle name="SYSTEM 2 15 6" xfId="21637"/>
    <cellStyle name="SYSTEM 2 15 6 2" xfId="29938"/>
    <cellStyle name="SYSTEM 2 15 6 2 2" xfId="58461"/>
    <cellStyle name="SYSTEM 2 15 6 2 3" xfId="58462"/>
    <cellStyle name="SYSTEM 2 15 6 3" xfId="58463"/>
    <cellStyle name="SYSTEM 2 15 7" xfId="22565"/>
    <cellStyle name="SYSTEM 2 15 7 2" xfId="30861"/>
    <cellStyle name="SYSTEM 2 15 7 2 2" xfId="58464"/>
    <cellStyle name="SYSTEM 2 15 7 2 3" xfId="58465"/>
    <cellStyle name="SYSTEM 2 15 7 3" xfId="58466"/>
    <cellStyle name="SYSTEM 2 15 8" xfId="23507"/>
    <cellStyle name="SYSTEM 2 15 8 2" xfId="58467"/>
    <cellStyle name="SYSTEM 2 15 8 3" xfId="58468"/>
    <cellStyle name="SYSTEM 2 15 9" xfId="58469"/>
    <cellStyle name="SYSTEM 2 16" xfId="15170"/>
    <cellStyle name="SYSTEM 2 16 2" xfId="16250"/>
    <cellStyle name="SYSTEM 2 16 2 2" xfId="24563"/>
    <cellStyle name="SYSTEM 2 16 2 2 2" xfId="58470"/>
    <cellStyle name="SYSTEM 2 16 2 2 3" xfId="58471"/>
    <cellStyle name="SYSTEM 2 16 2 3" xfId="58472"/>
    <cellStyle name="SYSTEM 2 16 3" xfId="17216"/>
    <cellStyle name="SYSTEM 2 16 3 2" xfId="25537"/>
    <cellStyle name="SYSTEM 2 16 3 2 2" xfId="58473"/>
    <cellStyle name="SYSTEM 2 16 3 2 3" xfId="58474"/>
    <cellStyle name="SYSTEM 2 16 3 3" xfId="58475"/>
    <cellStyle name="SYSTEM 2 16 4" xfId="18244"/>
    <cellStyle name="SYSTEM 2 16 4 2" xfId="26564"/>
    <cellStyle name="SYSTEM 2 16 4 2 2" xfId="58476"/>
    <cellStyle name="SYSTEM 2 16 4 2 3" xfId="58477"/>
    <cellStyle name="SYSTEM 2 16 4 3" xfId="58478"/>
    <cellStyle name="SYSTEM 2 16 5" xfId="20196"/>
    <cellStyle name="SYSTEM 2 16 5 2" xfId="28518"/>
    <cellStyle name="SYSTEM 2 16 5 2 2" xfId="58479"/>
    <cellStyle name="SYSTEM 2 16 5 2 3" xfId="58480"/>
    <cellStyle name="SYSTEM 2 16 5 3" xfId="58481"/>
    <cellStyle name="SYSTEM 2 16 6" xfId="21657"/>
    <cellStyle name="SYSTEM 2 16 6 2" xfId="29958"/>
    <cellStyle name="SYSTEM 2 16 6 2 2" xfId="58482"/>
    <cellStyle name="SYSTEM 2 16 6 2 3" xfId="58483"/>
    <cellStyle name="SYSTEM 2 16 6 3" xfId="58484"/>
    <cellStyle name="SYSTEM 2 16 7" xfId="22585"/>
    <cellStyle name="SYSTEM 2 16 7 2" xfId="30881"/>
    <cellStyle name="SYSTEM 2 16 7 2 2" xfId="58485"/>
    <cellStyle name="SYSTEM 2 16 7 2 3" xfId="58486"/>
    <cellStyle name="SYSTEM 2 16 7 3" xfId="58487"/>
    <cellStyle name="SYSTEM 2 16 8" xfId="23527"/>
    <cellStyle name="SYSTEM 2 16 8 2" xfId="58488"/>
    <cellStyle name="SYSTEM 2 16 8 3" xfId="58489"/>
    <cellStyle name="SYSTEM 2 16 9" xfId="58490"/>
    <cellStyle name="SYSTEM 2 17" xfId="15192"/>
    <cellStyle name="SYSTEM 2 17 2" xfId="16272"/>
    <cellStyle name="SYSTEM 2 17 2 2" xfId="24585"/>
    <cellStyle name="SYSTEM 2 17 2 2 2" xfId="58491"/>
    <cellStyle name="SYSTEM 2 17 2 2 3" xfId="58492"/>
    <cellStyle name="SYSTEM 2 17 2 3" xfId="58493"/>
    <cellStyle name="SYSTEM 2 17 3" xfId="17238"/>
    <cellStyle name="SYSTEM 2 17 3 2" xfId="25559"/>
    <cellStyle name="SYSTEM 2 17 3 2 2" xfId="58494"/>
    <cellStyle name="SYSTEM 2 17 3 2 3" xfId="58495"/>
    <cellStyle name="SYSTEM 2 17 3 3" xfId="58496"/>
    <cellStyle name="SYSTEM 2 17 4" xfId="18266"/>
    <cellStyle name="SYSTEM 2 17 4 2" xfId="26586"/>
    <cellStyle name="SYSTEM 2 17 4 2 2" xfId="58497"/>
    <cellStyle name="SYSTEM 2 17 4 2 3" xfId="58498"/>
    <cellStyle name="SYSTEM 2 17 4 3" xfId="58499"/>
    <cellStyle name="SYSTEM 2 17 5" xfId="20218"/>
    <cellStyle name="SYSTEM 2 17 5 2" xfId="28540"/>
    <cellStyle name="SYSTEM 2 17 5 2 2" xfId="58500"/>
    <cellStyle name="SYSTEM 2 17 5 2 3" xfId="58501"/>
    <cellStyle name="SYSTEM 2 17 5 3" xfId="58502"/>
    <cellStyle name="SYSTEM 2 17 6" xfId="21679"/>
    <cellStyle name="SYSTEM 2 17 6 2" xfId="29980"/>
    <cellStyle name="SYSTEM 2 17 6 2 2" xfId="58503"/>
    <cellStyle name="SYSTEM 2 17 6 2 3" xfId="58504"/>
    <cellStyle name="SYSTEM 2 17 6 3" xfId="58505"/>
    <cellStyle name="SYSTEM 2 17 7" xfId="22607"/>
    <cellStyle name="SYSTEM 2 17 7 2" xfId="30903"/>
    <cellStyle name="SYSTEM 2 17 7 2 2" xfId="58506"/>
    <cellStyle name="SYSTEM 2 17 7 2 3" xfId="58507"/>
    <cellStyle name="SYSTEM 2 17 7 3" xfId="58508"/>
    <cellStyle name="SYSTEM 2 17 8" xfId="23549"/>
    <cellStyle name="SYSTEM 2 17 8 2" xfId="58509"/>
    <cellStyle name="SYSTEM 2 17 8 3" xfId="58510"/>
    <cellStyle name="SYSTEM 2 17 9" xfId="58511"/>
    <cellStyle name="SYSTEM 2 18" xfId="15208"/>
    <cellStyle name="SYSTEM 2 18 2" xfId="16288"/>
    <cellStyle name="SYSTEM 2 18 2 2" xfId="24601"/>
    <cellStyle name="SYSTEM 2 18 2 2 2" xfId="58512"/>
    <cellStyle name="SYSTEM 2 18 2 2 3" xfId="58513"/>
    <cellStyle name="SYSTEM 2 18 2 3" xfId="58514"/>
    <cellStyle name="SYSTEM 2 18 3" xfId="17254"/>
    <cellStyle name="SYSTEM 2 18 3 2" xfId="25575"/>
    <cellStyle name="SYSTEM 2 18 3 2 2" xfId="58515"/>
    <cellStyle name="SYSTEM 2 18 3 2 3" xfId="58516"/>
    <cellStyle name="SYSTEM 2 18 3 3" xfId="58517"/>
    <cellStyle name="SYSTEM 2 18 4" xfId="18282"/>
    <cellStyle name="SYSTEM 2 18 4 2" xfId="26602"/>
    <cellStyle name="SYSTEM 2 18 4 2 2" xfId="58518"/>
    <cellStyle name="SYSTEM 2 18 4 2 3" xfId="58519"/>
    <cellStyle name="SYSTEM 2 18 4 3" xfId="58520"/>
    <cellStyle name="SYSTEM 2 18 5" xfId="20234"/>
    <cellStyle name="SYSTEM 2 18 5 2" xfId="28556"/>
    <cellStyle name="SYSTEM 2 18 5 2 2" xfId="58521"/>
    <cellStyle name="SYSTEM 2 18 5 2 3" xfId="58522"/>
    <cellStyle name="SYSTEM 2 18 5 3" xfId="58523"/>
    <cellStyle name="SYSTEM 2 18 6" xfId="21695"/>
    <cellStyle name="SYSTEM 2 18 6 2" xfId="29996"/>
    <cellStyle name="SYSTEM 2 18 6 2 2" xfId="58524"/>
    <cellStyle name="SYSTEM 2 18 6 2 3" xfId="58525"/>
    <cellStyle name="SYSTEM 2 18 6 3" xfId="58526"/>
    <cellStyle name="SYSTEM 2 18 7" xfId="22623"/>
    <cellStyle name="SYSTEM 2 18 7 2" xfId="30919"/>
    <cellStyle name="SYSTEM 2 18 7 2 2" xfId="58527"/>
    <cellStyle name="SYSTEM 2 18 7 2 3" xfId="58528"/>
    <cellStyle name="SYSTEM 2 18 7 3" xfId="58529"/>
    <cellStyle name="SYSTEM 2 18 8" xfId="23565"/>
    <cellStyle name="SYSTEM 2 18 8 2" xfId="58530"/>
    <cellStyle name="SYSTEM 2 18 8 3" xfId="58531"/>
    <cellStyle name="SYSTEM 2 18 9" xfId="58532"/>
    <cellStyle name="SYSTEM 2 19" xfId="15289"/>
    <cellStyle name="SYSTEM 2 19 2" xfId="16369"/>
    <cellStyle name="SYSTEM 2 19 2 2" xfId="24682"/>
    <cellStyle name="SYSTEM 2 19 2 2 2" xfId="58533"/>
    <cellStyle name="SYSTEM 2 19 2 2 3" xfId="58534"/>
    <cellStyle name="SYSTEM 2 19 2 3" xfId="58535"/>
    <cellStyle name="SYSTEM 2 19 3" xfId="17335"/>
    <cellStyle name="SYSTEM 2 19 3 2" xfId="25656"/>
    <cellStyle name="SYSTEM 2 19 3 2 2" xfId="58536"/>
    <cellStyle name="SYSTEM 2 19 3 2 3" xfId="58537"/>
    <cellStyle name="SYSTEM 2 19 3 3" xfId="58538"/>
    <cellStyle name="SYSTEM 2 19 4" xfId="18363"/>
    <cellStyle name="SYSTEM 2 19 4 2" xfId="26683"/>
    <cellStyle name="SYSTEM 2 19 4 2 2" xfId="58539"/>
    <cellStyle name="SYSTEM 2 19 4 2 3" xfId="58540"/>
    <cellStyle name="SYSTEM 2 19 4 3" xfId="58541"/>
    <cellStyle name="SYSTEM 2 19 5" xfId="20315"/>
    <cellStyle name="SYSTEM 2 19 5 2" xfId="28637"/>
    <cellStyle name="SYSTEM 2 19 5 2 2" xfId="58542"/>
    <cellStyle name="SYSTEM 2 19 5 2 3" xfId="58543"/>
    <cellStyle name="SYSTEM 2 19 5 3" xfId="58544"/>
    <cellStyle name="SYSTEM 2 19 6" xfId="21776"/>
    <cellStyle name="SYSTEM 2 19 6 2" xfId="30077"/>
    <cellStyle name="SYSTEM 2 19 6 2 2" xfId="58545"/>
    <cellStyle name="SYSTEM 2 19 6 2 3" xfId="58546"/>
    <cellStyle name="SYSTEM 2 19 6 3" xfId="58547"/>
    <cellStyle name="SYSTEM 2 19 7" xfId="22704"/>
    <cellStyle name="SYSTEM 2 19 7 2" xfId="31000"/>
    <cellStyle name="SYSTEM 2 19 7 2 2" xfId="58548"/>
    <cellStyle name="SYSTEM 2 19 7 2 3" xfId="58549"/>
    <cellStyle name="SYSTEM 2 19 7 3" xfId="58550"/>
    <cellStyle name="SYSTEM 2 19 8" xfId="23646"/>
    <cellStyle name="SYSTEM 2 19 8 2" xfId="58551"/>
    <cellStyle name="SYSTEM 2 19 8 3" xfId="58552"/>
    <cellStyle name="SYSTEM 2 19 9" xfId="58553"/>
    <cellStyle name="SYSTEM 2 2" xfId="14549"/>
    <cellStyle name="SYSTEM 2 2 2" xfId="15628"/>
    <cellStyle name="SYSTEM 2 2 2 2" xfId="58554"/>
    <cellStyle name="SYSTEM 2 2 2 2 2" xfId="58555"/>
    <cellStyle name="SYSTEM 2 2 2 2 3" xfId="58556"/>
    <cellStyle name="SYSTEM 2 2 2 3" xfId="58557"/>
    <cellStyle name="SYSTEM 2 2 2 4" xfId="58558"/>
    <cellStyle name="SYSTEM 2 2 3" xfId="17615"/>
    <cellStyle name="SYSTEM 2 2 3 2" xfId="25938"/>
    <cellStyle name="SYSTEM 2 2 3 2 2" xfId="58559"/>
    <cellStyle name="SYSTEM 2 2 3 2 3" xfId="58560"/>
    <cellStyle name="SYSTEM 2 2 3 3" xfId="58561"/>
    <cellStyle name="SYSTEM 2 2 4" xfId="18597"/>
    <cellStyle name="SYSTEM 2 2 4 2" xfId="26916"/>
    <cellStyle name="SYSTEM 2 2 4 2 2" xfId="58562"/>
    <cellStyle name="SYSTEM 2 2 4 2 3" xfId="58563"/>
    <cellStyle name="SYSTEM 2 2 4 3" xfId="34085"/>
    <cellStyle name="SYSTEM 2 2 4 4" xfId="58564"/>
    <cellStyle name="SYSTEM 2 2 5" xfId="19565"/>
    <cellStyle name="SYSTEM 2 2 5 2" xfId="27886"/>
    <cellStyle name="SYSTEM 2 2 5 2 2" xfId="58565"/>
    <cellStyle name="SYSTEM 2 2 5 2 3" xfId="58566"/>
    <cellStyle name="SYSTEM 2 2 5 3" xfId="58567"/>
    <cellStyle name="SYSTEM 2 2 6" xfId="20523"/>
    <cellStyle name="SYSTEM 2 2 6 2" xfId="28845"/>
    <cellStyle name="SYSTEM 2 2 6 2 2" xfId="58568"/>
    <cellStyle name="SYSTEM 2 2 6 2 3" xfId="58569"/>
    <cellStyle name="SYSTEM 2 2 6 3" xfId="58570"/>
    <cellStyle name="SYSTEM 2 2 7" xfId="21300"/>
    <cellStyle name="SYSTEM 2 2 7 2" xfId="29607"/>
    <cellStyle name="SYSTEM 2 2 7 3" xfId="36674"/>
    <cellStyle name="SYSTEM 2 2 8" xfId="58571"/>
    <cellStyle name="SYSTEM 2 2 8 2" xfId="58572"/>
    <cellStyle name="SYSTEM 2 20" xfId="15308"/>
    <cellStyle name="SYSTEM 2 20 2" xfId="16388"/>
    <cellStyle name="SYSTEM 2 20 2 2" xfId="24701"/>
    <cellStyle name="SYSTEM 2 20 2 2 2" xfId="58573"/>
    <cellStyle name="SYSTEM 2 20 2 2 3" xfId="58574"/>
    <cellStyle name="SYSTEM 2 20 2 3" xfId="58575"/>
    <cellStyle name="SYSTEM 2 20 3" xfId="17354"/>
    <cellStyle name="SYSTEM 2 20 3 2" xfId="25675"/>
    <cellStyle name="SYSTEM 2 20 3 2 2" xfId="58576"/>
    <cellStyle name="SYSTEM 2 20 3 2 3" xfId="58577"/>
    <cellStyle name="SYSTEM 2 20 3 3" xfId="58578"/>
    <cellStyle name="SYSTEM 2 20 4" xfId="18382"/>
    <cellStyle name="SYSTEM 2 20 4 2" xfId="26702"/>
    <cellStyle name="SYSTEM 2 20 4 2 2" xfId="58579"/>
    <cellStyle name="SYSTEM 2 20 4 2 3" xfId="58580"/>
    <cellStyle name="SYSTEM 2 20 4 3" xfId="58581"/>
    <cellStyle name="SYSTEM 2 20 5" xfId="20334"/>
    <cellStyle name="SYSTEM 2 20 5 2" xfId="28656"/>
    <cellStyle name="SYSTEM 2 20 5 2 2" xfId="58582"/>
    <cellStyle name="SYSTEM 2 20 5 2 3" xfId="58583"/>
    <cellStyle name="SYSTEM 2 20 5 3" xfId="58584"/>
    <cellStyle name="SYSTEM 2 20 6" xfId="21795"/>
    <cellStyle name="SYSTEM 2 20 6 2" xfId="30096"/>
    <cellStyle name="SYSTEM 2 20 6 2 2" xfId="58585"/>
    <cellStyle name="SYSTEM 2 20 6 2 3" xfId="58586"/>
    <cellStyle name="SYSTEM 2 20 6 3" xfId="58587"/>
    <cellStyle name="SYSTEM 2 20 7" xfId="22723"/>
    <cellStyle name="SYSTEM 2 20 7 2" xfId="31019"/>
    <cellStyle name="SYSTEM 2 20 7 2 2" xfId="58588"/>
    <cellStyle name="SYSTEM 2 20 7 2 3" xfId="58589"/>
    <cellStyle name="SYSTEM 2 20 7 3" xfId="58590"/>
    <cellStyle name="SYSTEM 2 20 8" xfId="23665"/>
    <cellStyle name="SYSTEM 2 20 8 2" xfId="58591"/>
    <cellStyle name="SYSTEM 2 20 8 3" xfId="58592"/>
    <cellStyle name="SYSTEM 2 20 9" xfId="58593"/>
    <cellStyle name="SYSTEM 2 21" xfId="15396"/>
    <cellStyle name="SYSTEM 2 21 2" xfId="16476"/>
    <cellStyle name="SYSTEM 2 21 2 2" xfId="24789"/>
    <cellStyle name="SYSTEM 2 21 2 2 2" xfId="58594"/>
    <cellStyle name="SYSTEM 2 21 2 2 3" xfId="58595"/>
    <cellStyle name="SYSTEM 2 21 2 3" xfId="58596"/>
    <cellStyle name="SYSTEM 2 21 3" xfId="17442"/>
    <cellStyle name="SYSTEM 2 21 3 2" xfId="25763"/>
    <cellStyle name="SYSTEM 2 21 3 2 2" xfId="58597"/>
    <cellStyle name="SYSTEM 2 21 3 2 3" xfId="58598"/>
    <cellStyle name="SYSTEM 2 21 3 3" xfId="58599"/>
    <cellStyle name="SYSTEM 2 21 4" xfId="18470"/>
    <cellStyle name="SYSTEM 2 21 4 2" xfId="26790"/>
    <cellStyle name="SYSTEM 2 21 4 2 2" xfId="58600"/>
    <cellStyle name="SYSTEM 2 21 4 2 3" xfId="58601"/>
    <cellStyle name="SYSTEM 2 21 4 3" xfId="58602"/>
    <cellStyle name="SYSTEM 2 21 5" xfId="20422"/>
    <cellStyle name="SYSTEM 2 21 5 2" xfId="28744"/>
    <cellStyle name="SYSTEM 2 21 5 2 2" xfId="58603"/>
    <cellStyle name="SYSTEM 2 21 5 2 3" xfId="58604"/>
    <cellStyle name="SYSTEM 2 21 5 3" xfId="58605"/>
    <cellStyle name="SYSTEM 2 21 6" xfId="21883"/>
    <cellStyle name="SYSTEM 2 21 6 2" xfId="30184"/>
    <cellStyle name="SYSTEM 2 21 6 2 2" xfId="58606"/>
    <cellStyle name="SYSTEM 2 21 6 2 3" xfId="58607"/>
    <cellStyle name="SYSTEM 2 21 6 3" xfId="58608"/>
    <cellStyle name="SYSTEM 2 21 7" xfId="22811"/>
    <cellStyle name="SYSTEM 2 21 7 2" xfId="31107"/>
    <cellStyle name="SYSTEM 2 21 7 2 2" xfId="58609"/>
    <cellStyle name="SYSTEM 2 21 7 2 3" xfId="58610"/>
    <cellStyle name="SYSTEM 2 21 7 3" xfId="58611"/>
    <cellStyle name="SYSTEM 2 21 8" xfId="23753"/>
    <cellStyle name="SYSTEM 2 21 8 2" xfId="58612"/>
    <cellStyle name="SYSTEM 2 21 8 3" xfId="58613"/>
    <cellStyle name="SYSTEM 2 21 9" xfId="58614"/>
    <cellStyle name="SYSTEM 2 22" xfId="15412"/>
    <cellStyle name="SYSTEM 2 22 2" xfId="16492"/>
    <cellStyle name="SYSTEM 2 22 2 2" xfId="24805"/>
    <cellStyle name="SYSTEM 2 22 2 2 2" xfId="58615"/>
    <cellStyle name="SYSTEM 2 22 2 2 3" xfId="58616"/>
    <cellStyle name="SYSTEM 2 22 2 3" xfId="58617"/>
    <cellStyle name="SYSTEM 2 22 3" xfId="17458"/>
    <cellStyle name="SYSTEM 2 22 3 2" xfId="25779"/>
    <cellStyle name="SYSTEM 2 22 3 2 2" xfId="58618"/>
    <cellStyle name="SYSTEM 2 22 3 2 3" xfId="58619"/>
    <cellStyle name="SYSTEM 2 22 3 3" xfId="58620"/>
    <cellStyle name="SYSTEM 2 22 4" xfId="18486"/>
    <cellStyle name="SYSTEM 2 22 4 2" xfId="26806"/>
    <cellStyle name="SYSTEM 2 22 4 2 2" xfId="58621"/>
    <cellStyle name="SYSTEM 2 22 4 2 3" xfId="58622"/>
    <cellStyle name="SYSTEM 2 22 4 3" xfId="58623"/>
    <cellStyle name="SYSTEM 2 22 5" xfId="20438"/>
    <cellStyle name="SYSTEM 2 22 5 2" xfId="28760"/>
    <cellStyle name="SYSTEM 2 22 5 2 2" xfId="58624"/>
    <cellStyle name="SYSTEM 2 22 5 2 3" xfId="58625"/>
    <cellStyle name="SYSTEM 2 22 5 3" xfId="58626"/>
    <cellStyle name="SYSTEM 2 22 6" xfId="21899"/>
    <cellStyle name="SYSTEM 2 22 6 2" xfId="30200"/>
    <cellStyle name="SYSTEM 2 22 6 2 2" xfId="58627"/>
    <cellStyle name="SYSTEM 2 22 6 2 3" xfId="58628"/>
    <cellStyle name="SYSTEM 2 22 6 3" xfId="58629"/>
    <cellStyle name="SYSTEM 2 22 7" xfId="22827"/>
    <cellStyle name="SYSTEM 2 22 7 2" xfId="31123"/>
    <cellStyle name="SYSTEM 2 22 7 2 2" xfId="58630"/>
    <cellStyle name="SYSTEM 2 22 7 2 3" xfId="58631"/>
    <cellStyle name="SYSTEM 2 22 7 3" xfId="58632"/>
    <cellStyle name="SYSTEM 2 22 8" xfId="23769"/>
    <cellStyle name="SYSTEM 2 22 8 2" xfId="58633"/>
    <cellStyle name="SYSTEM 2 22 8 3" xfId="58634"/>
    <cellStyle name="SYSTEM 2 22 9" xfId="58635"/>
    <cellStyle name="SYSTEM 2 23" xfId="15458"/>
    <cellStyle name="SYSTEM 2 23 2" xfId="16538"/>
    <cellStyle name="SYSTEM 2 23 2 2" xfId="24851"/>
    <cellStyle name="SYSTEM 2 23 2 2 2" xfId="58636"/>
    <cellStyle name="SYSTEM 2 23 2 2 3" xfId="58637"/>
    <cellStyle name="SYSTEM 2 23 2 3" xfId="58638"/>
    <cellStyle name="SYSTEM 2 23 3" xfId="17504"/>
    <cellStyle name="SYSTEM 2 23 3 2" xfId="25825"/>
    <cellStyle name="SYSTEM 2 23 3 2 2" xfId="58639"/>
    <cellStyle name="SYSTEM 2 23 3 2 3" xfId="58640"/>
    <cellStyle name="SYSTEM 2 23 3 3" xfId="58641"/>
    <cellStyle name="SYSTEM 2 23 4" xfId="18532"/>
    <cellStyle name="SYSTEM 2 23 4 2" xfId="26852"/>
    <cellStyle name="SYSTEM 2 23 4 2 2" xfId="58642"/>
    <cellStyle name="SYSTEM 2 23 4 2 3" xfId="58643"/>
    <cellStyle name="SYSTEM 2 23 4 3" xfId="58644"/>
    <cellStyle name="SYSTEM 2 23 5" xfId="20484"/>
    <cellStyle name="SYSTEM 2 23 5 2" xfId="28806"/>
    <cellStyle name="SYSTEM 2 23 5 2 2" xfId="58645"/>
    <cellStyle name="SYSTEM 2 23 5 2 3" xfId="58646"/>
    <cellStyle name="SYSTEM 2 23 5 3" xfId="58647"/>
    <cellStyle name="SYSTEM 2 23 6" xfId="21945"/>
    <cellStyle name="SYSTEM 2 23 6 2" xfId="30246"/>
    <cellStyle name="SYSTEM 2 23 6 2 2" xfId="58648"/>
    <cellStyle name="SYSTEM 2 23 6 2 3" xfId="58649"/>
    <cellStyle name="SYSTEM 2 23 6 3" xfId="58650"/>
    <cellStyle name="SYSTEM 2 23 7" xfId="22873"/>
    <cellStyle name="SYSTEM 2 23 7 2" xfId="31169"/>
    <cellStyle name="SYSTEM 2 23 7 2 2" xfId="58651"/>
    <cellStyle name="SYSTEM 2 23 7 2 3" xfId="58652"/>
    <cellStyle name="SYSTEM 2 23 7 3" xfId="58653"/>
    <cellStyle name="SYSTEM 2 23 8" xfId="23815"/>
    <cellStyle name="SYSTEM 2 23 8 2" xfId="58654"/>
    <cellStyle name="SYSTEM 2 23 8 3" xfId="58655"/>
    <cellStyle name="SYSTEM 2 23 9" xfId="58656"/>
    <cellStyle name="SYSTEM 2 24" xfId="15488"/>
    <cellStyle name="SYSTEM 2 24 2" xfId="17534"/>
    <cellStyle name="SYSTEM 2 24 2 2" xfId="25854"/>
    <cellStyle name="SYSTEM 2 24 2 2 2" xfId="58657"/>
    <cellStyle name="SYSTEM 2 24 2 2 3" xfId="58658"/>
    <cellStyle name="SYSTEM 2 24 2 3" xfId="58659"/>
    <cellStyle name="SYSTEM 2 24 3" xfId="18558"/>
    <cellStyle name="SYSTEM 2 24 3 2" xfId="26875"/>
    <cellStyle name="SYSTEM 2 24 3 2 2" xfId="58660"/>
    <cellStyle name="SYSTEM 2 24 3 2 3" xfId="58661"/>
    <cellStyle name="SYSTEM 2 24 3 3" xfId="34044"/>
    <cellStyle name="SYSTEM 2 24 3 4" xfId="58662"/>
    <cellStyle name="SYSTEM 2 24 4" xfId="19545"/>
    <cellStyle name="SYSTEM 2 24 4 2" xfId="27866"/>
    <cellStyle name="SYSTEM 2 24 4 3" xfId="35014"/>
    <cellStyle name="SYSTEM 2 24 5" xfId="58663"/>
    <cellStyle name="SYSTEM 2 24 6" xfId="58664"/>
    <cellStyle name="SYSTEM 2 25" xfId="15510"/>
    <cellStyle name="SYSTEM 2 25 2" xfId="23850"/>
    <cellStyle name="SYSTEM 2 25 2 2" xfId="58665"/>
    <cellStyle name="SYSTEM 2 25 2 3" xfId="58666"/>
    <cellStyle name="SYSTEM 2 25 3" xfId="58667"/>
    <cellStyle name="SYSTEM 2 26" xfId="17556"/>
    <cellStyle name="SYSTEM 2 26 2" xfId="25875"/>
    <cellStyle name="SYSTEM 2 26 2 2" xfId="58668"/>
    <cellStyle name="SYSTEM 2 26 2 3" xfId="58669"/>
    <cellStyle name="SYSTEM 2 26 3" xfId="58670"/>
    <cellStyle name="SYSTEM 2 27" xfId="15542"/>
    <cellStyle name="SYSTEM 2 27 2" xfId="23876"/>
    <cellStyle name="SYSTEM 2 27 2 2" xfId="58671"/>
    <cellStyle name="SYSTEM 2 27 2 3" xfId="58672"/>
    <cellStyle name="SYSTEM 2 27 3" xfId="58673"/>
    <cellStyle name="SYSTEM 2 28" xfId="21954"/>
    <cellStyle name="SYSTEM 2 28 2" xfId="30255"/>
    <cellStyle name="SYSTEM 2 28 2 2" xfId="58674"/>
    <cellStyle name="SYSTEM 2 28 2 3" xfId="58675"/>
    <cellStyle name="SYSTEM 2 28 3" xfId="58676"/>
    <cellStyle name="SYSTEM 2 29" xfId="14497"/>
    <cellStyle name="SYSTEM 2 3" xfId="14610"/>
    <cellStyle name="SYSTEM 2 3 10" xfId="22971"/>
    <cellStyle name="SYSTEM 2 3 10 2" xfId="58677"/>
    <cellStyle name="SYSTEM 2 3 10 3" xfId="58678"/>
    <cellStyle name="SYSTEM 2 3 11" xfId="58679"/>
    <cellStyle name="SYSTEM 2 3 2" xfId="15690"/>
    <cellStyle name="SYSTEM 2 3 2 2" xfId="24006"/>
    <cellStyle name="SYSTEM 2 3 2 2 2" xfId="58680"/>
    <cellStyle name="SYSTEM 2 3 2 2 3" xfId="58681"/>
    <cellStyle name="SYSTEM 2 3 2 3" xfId="58682"/>
    <cellStyle name="SYSTEM 2 3 3" xfId="16657"/>
    <cellStyle name="SYSTEM 2 3 3 2" xfId="24977"/>
    <cellStyle name="SYSTEM 2 3 3 2 2" xfId="58683"/>
    <cellStyle name="SYSTEM 2 3 3 2 3" xfId="58684"/>
    <cellStyle name="SYSTEM 2 3 3 3" xfId="58685"/>
    <cellStyle name="SYSTEM 2 3 4" xfId="17679"/>
    <cellStyle name="SYSTEM 2 3 4 2" xfId="26003"/>
    <cellStyle name="SYSTEM 2 3 4 2 2" xfId="58686"/>
    <cellStyle name="SYSTEM 2 3 4 2 3" xfId="58687"/>
    <cellStyle name="SYSTEM 2 3 4 3" xfId="58688"/>
    <cellStyle name="SYSTEM 2 3 5" xfId="18662"/>
    <cellStyle name="SYSTEM 2 3 5 2" xfId="26983"/>
    <cellStyle name="SYSTEM 2 3 5 2 2" xfId="58689"/>
    <cellStyle name="SYSTEM 2 3 5 2 3" xfId="58690"/>
    <cellStyle name="SYSTEM 2 3 5 3" xfId="58691"/>
    <cellStyle name="SYSTEM 2 3 6" xfId="19631"/>
    <cellStyle name="SYSTEM 2 3 6 2" xfId="27952"/>
    <cellStyle name="SYSTEM 2 3 6 2 2" xfId="58692"/>
    <cellStyle name="SYSTEM 2 3 6 2 3" xfId="58693"/>
    <cellStyle name="SYSTEM 2 3 6 3" xfId="58694"/>
    <cellStyle name="SYSTEM 2 3 7" xfId="20588"/>
    <cellStyle name="SYSTEM 2 3 7 2" xfId="28910"/>
    <cellStyle name="SYSTEM 2 3 7 2 2" xfId="58695"/>
    <cellStyle name="SYSTEM 2 3 7 2 3" xfId="58696"/>
    <cellStyle name="SYSTEM 2 3 7 3" xfId="58697"/>
    <cellStyle name="SYSTEM 2 3 8" xfId="21169"/>
    <cellStyle name="SYSTEM 2 3 8 2" xfId="29481"/>
    <cellStyle name="SYSTEM 2 3 8 2 2" xfId="58698"/>
    <cellStyle name="SYSTEM 2 3 8 2 3" xfId="58699"/>
    <cellStyle name="SYSTEM 2 3 8 3" xfId="58700"/>
    <cellStyle name="SYSTEM 2 3 9" xfId="22025"/>
    <cellStyle name="SYSTEM 2 3 9 2" xfId="30324"/>
    <cellStyle name="SYSTEM 2 3 9 2 2" xfId="58701"/>
    <cellStyle name="SYSTEM 2 3 9 2 3" xfId="58702"/>
    <cellStyle name="SYSTEM 2 3 9 3" xfId="58703"/>
    <cellStyle name="SYSTEM 2 4" xfId="14630"/>
    <cellStyle name="SYSTEM 2 4 10" xfId="22992"/>
    <cellStyle name="SYSTEM 2 4 10 2" xfId="58704"/>
    <cellStyle name="SYSTEM 2 4 10 3" xfId="58705"/>
    <cellStyle name="SYSTEM 2 4 11" xfId="58706"/>
    <cellStyle name="SYSTEM 2 4 2" xfId="15711"/>
    <cellStyle name="SYSTEM 2 4 2 2" xfId="24027"/>
    <cellStyle name="SYSTEM 2 4 2 2 2" xfId="58707"/>
    <cellStyle name="SYSTEM 2 4 2 2 3" xfId="58708"/>
    <cellStyle name="SYSTEM 2 4 2 3" xfId="58709"/>
    <cellStyle name="SYSTEM 2 4 3" xfId="16678"/>
    <cellStyle name="SYSTEM 2 4 3 2" xfId="24998"/>
    <cellStyle name="SYSTEM 2 4 3 2 2" xfId="58710"/>
    <cellStyle name="SYSTEM 2 4 3 2 3" xfId="58711"/>
    <cellStyle name="SYSTEM 2 4 3 3" xfId="58712"/>
    <cellStyle name="SYSTEM 2 4 4" xfId="17701"/>
    <cellStyle name="SYSTEM 2 4 4 2" xfId="26024"/>
    <cellStyle name="SYSTEM 2 4 4 2 2" xfId="58713"/>
    <cellStyle name="SYSTEM 2 4 4 2 3" xfId="58714"/>
    <cellStyle name="SYSTEM 2 4 4 3" xfId="58715"/>
    <cellStyle name="SYSTEM 2 4 5" xfId="18684"/>
    <cellStyle name="SYSTEM 2 4 5 2" xfId="27005"/>
    <cellStyle name="SYSTEM 2 4 5 2 2" xfId="58716"/>
    <cellStyle name="SYSTEM 2 4 5 2 3" xfId="58717"/>
    <cellStyle name="SYSTEM 2 4 5 3" xfId="58718"/>
    <cellStyle name="SYSTEM 2 4 6" xfId="19653"/>
    <cellStyle name="SYSTEM 2 4 6 2" xfId="27974"/>
    <cellStyle name="SYSTEM 2 4 6 2 2" xfId="58719"/>
    <cellStyle name="SYSTEM 2 4 6 2 3" xfId="58720"/>
    <cellStyle name="SYSTEM 2 4 6 3" xfId="58721"/>
    <cellStyle name="SYSTEM 2 4 7" xfId="20610"/>
    <cellStyle name="SYSTEM 2 4 7 2" xfId="28931"/>
    <cellStyle name="SYSTEM 2 4 7 2 2" xfId="58722"/>
    <cellStyle name="SYSTEM 2 4 7 2 3" xfId="58723"/>
    <cellStyle name="SYSTEM 2 4 7 3" xfId="58724"/>
    <cellStyle name="SYSTEM 2 4 8" xfId="21103"/>
    <cellStyle name="SYSTEM 2 4 8 2" xfId="29420"/>
    <cellStyle name="SYSTEM 2 4 8 2 2" xfId="58725"/>
    <cellStyle name="SYSTEM 2 4 8 2 3" xfId="58726"/>
    <cellStyle name="SYSTEM 2 4 8 3" xfId="58727"/>
    <cellStyle name="SYSTEM 2 4 9" xfId="22047"/>
    <cellStyle name="SYSTEM 2 4 9 2" xfId="30345"/>
    <cellStyle name="SYSTEM 2 4 9 2 2" xfId="58728"/>
    <cellStyle name="SYSTEM 2 4 9 2 3" xfId="58729"/>
    <cellStyle name="SYSTEM 2 4 9 3" xfId="58730"/>
    <cellStyle name="SYSTEM 2 5" xfId="14649"/>
    <cellStyle name="SYSTEM 2 5 10" xfId="23011"/>
    <cellStyle name="SYSTEM 2 5 10 2" xfId="58731"/>
    <cellStyle name="SYSTEM 2 5 10 3" xfId="58732"/>
    <cellStyle name="SYSTEM 2 5 11" xfId="58733"/>
    <cellStyle name="SYSTEM 2 5 2" xfId="15730"/>
    <cellStyle name="SYSTEM 2 5 2 2" xfId="24046"/>
    <cellStyle name="SYSTEM 2 5 2 2 2" xfId="58734"/>
    <cellStyle name="SYSTEM 2 5 2 2 3" xfId="58735"/>
    <cellStyle name="SYSTEM 2 5 2 3" xfId="58736"/>
    <cellStyle name="SYSTEM 2 5 3" xfId="16696"/>
    <cellStyle name="SYSTEM 2 5 3 2" xfId="25017"/>
    <cellStyle name="SYSTEM 2 5 3 2 2" xfId="58737"/>
    <cellStyle name="SYSTEM 2 5 3 2 3" xfId="58738"/>
    <cellStyle name="SYSTEM 2 5 3 3" xfId="58739"/>
    <cellStyle name="SYSTEM 2 5 4" xfId="17720"/>
    <cellStyle name="SYSTEM 2 5 4 2" xfId="26043"/>
    <cellStyle name="SYSTEM 2 5 4 2 2" xfId="58740"/>
    <cellStyle name="SYSTEM 2 5 4 2 3" xfId="58741"/>
    <cellStyle name="SYSTEM 2 5 4 3" xfId="58742"/>
    <cellStyle name="SYSTEM 2 5 5" xfId="18703"/>
    <cellStyle name="SYSTEM 2 5 5 2" xfId="27024"/>
    <cellStyle name="SYSTEM 2 5 5 2 2" xfId="58743"/>
    <cellStyle name="SYSTEM 2 5 5 2 3" xfId="58744"/>
    <cellStyle name="SYSTEM 2 5 5 3" xfId="58745"/>
    <cellStyle name="SYSTEM 2 5 6" xfId="19672"/>
    <cellStyle name="SYSTEM 2 5 6 2" xfId="27993"/>
    <cellStyle name="SYSTEM 2 5 6 2 2" xfId="58746"/>
    <cellStyle name="SYSTEM 2 5 6 2 3" xfId="58747"/>
    <cellStyle name="SYSTEM 2 5 6 3" xfId="58748"/>
    <cellStyle name="SYSTEM 2 5 7" xfId="20629"/>
    <cellStyle name="SYSTEM 2 5 7 2" xfId="28950"/>
    <cellStyle name="SYSTEM 2 5 7 2 2" xfId="58749"/>
    <cellStyle name="SYSTEM 2 5 7 2 3" xfId="58750"/>
    <cellStyle name="SYSTEM 2 5 7 3" xfId="58751"/>
    <cellStyle name="SYSTEM 2 5 8" xfId="21133"/>
    <cellStyle name="SYSTEM 2 5 8 2" xfId="29447"/>
    <cellStyle name="SYSTEM 2 5 8 2 2" xfId="58752"/>
    <cellStyle name="SYSTEM 2 5 8 2 3" xfId="58753"/>
    <cellStyle name="SYSTEM 2 5 8 3" xfId="58754"/>
    <cellStyle name="SYSTEM 2 5 9" xfId="22066"/>
    <cellStyle name="SYSTEM 2 5 9 2" xfId="30364"/>
    <cellStyle name="SYSTEM 2 5 9 2 2" xfId="58755"/>
    <cellStyle name="SYSTEM 2 5 9 2 3" xfId="58756"/>
    <cellStyle name="SYSTEM 2 5 9 3" xfId="58757"/>
    <cellStyle name="SYSTEM 2 6" xfId="14695"/>
    <cellStyle name="SYSTEM 2 6 2" xfId="15776"/>
    <cellStyle name="SYSTEM 2 6 2 2" xfId="58758"/>
    <cellStyle name="SYSTEM 2 6 2 2 2" xfId="58759"/>
    <cellStyle name="SYSTEM 2 6 2 2 3" xfId="58760"/>
    <cellStyle name="SYSTEM 2 6 2 3" xfId="58761"/>
    <cellStyle name="SYSTEM 2 6 2 4" xfId="58762"/>
    <cellStyle name="SYSTEM 2 6 3" xfId="16742"/>
    <cellStyle name="SYSTEM 2 6 3 2" xfId="25064"/>
    <cellStyle name="SYSTEM 2 6 3 2 2" xfId="58763"/>
    <cellStyle name="SYSTEM 2 6 3 2 3" xfId="58764"/>
    <cellStyle name="SYSTEM 2 6 3 3" xfId="58765"/>
    <cellStyle name="SYSTEM 2 6 4" xfId="17766"/>
    <cellStyle name="SYSTEM 2 6 4 2" xfId="26090"/>
    <cellStyle name="SYSTEM 2 6 4 2 2" xfId="58766"/>
    <cellStyle name="SYSTEM 2 6 4 2 3" xfId="58767"/>
    <cellStyle name="SYSTEM 2 6 4 3" xfId="58768"/>
    <cellStyle name="SYSTEM 2 6 5" xfId="19719"/>
    <cellStyle name="SYSTEM 2 6 5 2" xfId="28040"/>
    <cellStyle name="SYSTEM 2 6 5 3" xfId="35179"/>
    <cellStyle name="SYSTEM 2 6 6" xfId="20676"/>
    <cellStyle name="SYSTEM 2 6 6 2" xfId="28997"/>
    <cellStyle name="SYSTEM 2 6 6 2 2" xfId="58769"/>
    <cellStyle name="SYSTEM 2 6 6 2 3" xfId="58770"/>
    <cellStyle name="SYSTEM 2 6 6 3" xfId="58771"/>
    <cellStyle name="SYSTEM 2 6 7" xfId="58772"/>
    <cellStyle name="SYSTEM 2 7" xfId="14700"/>
    <cellStyle name="SYSTEM 2 7 10" xfId="23062"/>
    <cellStyle name="SYSTEM 2 7 10 2" xfId="58773"/>
    <cellStyle name="SYSTEM 2 7 10 3" xfId="58774"/>
    <cellStyle name="SYSTEM 2 7 11" xfId="58775"/>
    <cellStyle name="SYSTEM 2 7 2" xfId="15781"/>
    <cellStyle name="SYSTEM 2 7 2 2" xfId="24097"/>
    <cellStyle name="SYSTEM 2 7 2 2 2" xfId="58776"/>
    <cellStyle name="SYSTEM 2 7 2 2 3" xfId="58777"/>
    <cellStyle name="SYSTEM 2 7 2 3" xfId="58778"/>
    <cellStyle name="SYSTEM 2 7 3" xfId="16747"/>
    <cellStyle name="SYSTEM 2 7 3 2" xfId="25069"/>
    <cellStyle name="SYSTEM 2 7 3 2 2" xfId="58779"/>
    <cellStyle name="SYSTEM 2 7 3 2 3" xfId="58780"/>
    <cellStyle name="SYSTEM 2 7 3 3" xfId="58781"/>
    <cellStyle name="SYSTEM 2 7 4" xfId="17771"/>
    <cellStyle name="SYSTEM 2 7 4 2" xfId="26095"/>
    <cellStyle name="SYSTEM 2 7 4 2 2" xfId="58782"/>
    <cellStyle name="SYSTEM 2 7 4 2 3" xfId="58783"/>
    <cellStyle name="SYSTEM 2 7 4 3" xfId="58784"/>
    <cellStyle name="SYSTEM 2 7 5" xfId="18755"/>
    <cellStyle name="SYSTEM 2 7 5 2" xfId="27076"/>
    <cellStyle name="SYSTEM 2 7 5 2 2" xfId="58785"/>
    <cellStyle name="SYSTEM 2 7 5 2 3" xfId="58786"/>
    <cellStyle name="SYSTEM 2 7 5 3" xfId="58787"/>
    <cellStyle name="SYSTEM 2 7 6" xfId="19724"/>
    <cellStyle name="SYSTEM 2 7 6 2" xfId="28045"/>
    <cellStyle name="SYSTEM 2 7 6 2 2" xfId="58788"/>
    <cellStyle name="SYSTEM 2 7 6 2 3" xfId="58789"/>
    <cellStyle name="SYSTEM 2 7 6 3" xfId="58790"/>
    <cellStyle name="SYSTEM 2 7 7" xfId="20681"/>
    <cellStyle name="SYSTEM 2 7 7 2" xfId="29002"/>
    <cellStyle name="SYSTEM 2 7 7 2 2" xfId="58791"/>
    <cellStyle name="SYSTEM 2 7 7 2 3" xfId="58792"/>
    <cellStyle name="SYSTEM 2 7 7 3" xfId="58793"/>
    <cellStyle name="SYSTEM 2 7 8" xfId="20501"/>
    <cellStyle name="SYSTEM 2 7 8 2" xfId="28823"/>
    <cellStyle name="SYSTEM 2 7 8 2 2" xfId="58794"/>
    <cellStyle name="SYSTEM 2 7 8 2 3" xfId="58795"/>
    <cellStyle name="SYSTEM 2 7 8 3" xfId="58796"/>
    <cellStyle name="SYSTEM 2 7 9" xfId="22117"/>
    <cellStyle name="SYSTEM 2 7 9 2" xfId="30415"/>
    <cellStyle name="SYSTEM 2 7 9 2 2" xfId="58797"/>
    <cellStyle name="SYSTEM 2 7 9 2 3" xfId="58798"/>
    <cellStyle name="SYSTEM 2 7 9 3" xfId="58799"/>
    <cellStyle name="SYSTEM 2 8" xfId="14782"/>
    <cellStyle name="SYSTEM 2 8 10" xfId="23146"/>
    <cellStyle name="SYSTEM 2 8 10 2" xfId="58800"/>
    <cellStyle name="SYSTEM 2 8 10 3" xfId="58801"/>
    <cellStyle name="SYSTEM 2 8 11" xfId="58802"/>
    <cellStyle name="SYSTEM 2 8 2" xfId="15863"/>
    <cellStyle name="SYSTEM 2 8 2 2" xfId="24181"/>
    <cellStyle name="SYSTEM 2 8 2 2 2" xfId="58803"/>
    <cellStyle name="SYSTEM 2 8 2 2 3" xfId="58804"/>
    <cellStyle name="SYSTEM 2 8 2 3" xfId="58805"/>
    <cellStyle name="SYSTEM 2 8 3" xfId="16829"/>
    <cellStyle name="SYSTEM 2 8 3 2" xfId="25153"/>
    <cellStyle name="SYSTEM 2 8 3 2 2" xfId="58806"/>
    <cellStyle name="SYSTEM 2 8 3 2 3" xfId="58807"/>
    <cellStyle name="SYSTEM 2 8 3 3" xfId="58808"/>
    <cellStyle name="SYSTEM 2 8 4" xfId="17855"/>
    <cellStyle name="SYSTEM 2 8 4 2" xfId="26179"/>
    <cellStyle name="SYSTEM 2 8 4 2 2" xfId="58809"/>
    <cellStyle name="SYSTEM 2 8 4 2 3" xfId="58810"/>
    <cellStyle name="SYSTEM 2 8 4 3" xfId="58811"/>
    <cellStyle name="SYSTEM 2 8 5" xfId="18839"/>
    <cellStyle name="SYSTEM 2 8 5 2" xfId="27160"/>
    <cellStyle name="SYSTEM 2 8 5 2 2" xfId="58812"/>
    <cellStyle name="SYSTEM 2 8 5 2 3" xfId="58813"/>
    <cellStyle name="SYSTEM 2 8 5 3" xfId="58814"/>
    <cellStyle name="SYSTEM 2 8 6" xfId="19807"/>
    <cellStyle name="SYSTEM 2 8 6 2" xfId="28129"/>
    <cellStyle name="SYSTEM 2 8 6 2 2" xfId="58815"/>
    <cellStyle name="SYSTEM 2 8 6 2 3" xfId="58816"/>
    <cellStyle name="SYSTEM 2 8 6 3" xfId="58817"/>
    <cellStyle name="SYSTEM 2 8 7" xfId="20765"/>
    <cellStyle name="SYSTEM 2 8 7 2" xfId="29086"/>
    <cellStyle name="SYSTEM 2 8 7 2 2" xfId="58818"/>
    <cellStyle name="SYSTEM 2 8 7 2 3" xfId="58819"/>
    <cellStyle name="SYSTEM 2 8 7 3" xfId="58820"/>
    <cellStyle name="SYSTEM 2 8 8" xfId="21074"/>
    <cellStyle name="SYSTEM 2 8 8 2" xfId="29391"/>
    <cellStyle name="SYSTEM 2 8 8 2 2" xfId="58821"/>
    <cellStyle name="SYSTEM 2 8 8 2 3" xfId="58822"/>
    <cellStyle name="SYSTEM 2 8 8 3" xfId="58823"/>
    <cellStyle name="SYSTEM 2 8 9" xfId="22201"/>
    <cellStyle name="SYSTEM 2 8 9 2" xfId="30499"/>
    <cellStyle name="SYSTEM 2 8 9 2 2" xfId="58824"/>
    <cellStyle name="SYSTEM 2 8 9 2 3" xfId="58825"/>
    <cellStyle name="SYSTEM 2 8 9 3" xfId="58826"/>
    <cellStyle name="SYSTEM 2 9" xfId="14828"/>
    <cellStyle name="SYSTEM 2 9 10" xfId="23192"/>
    <cellStyle name="SYSTEM 2 9 10 2" xfId="58827"/>
    <cellStyle name="SYSTEM 2 9 10 3" xfId="58828"/>
    <cellStyle name="SYSTEM 2 9 11" xfId="58829"/>
    <cellStyle name="SYSTEM 2 9 2" xfId="15909"/>
    <cellStyle name="SYSTEM 2 9 2 2" xfId="24227"/>
    <cellStyle name="SYSTEM 2 9 2 2 2" xfId="58830"/>
    <cellStyle name="SYSTEM 2 9 2 2 3" xfId="58831"/>
    <cellStyle name="SYSTEM 2 9 2 3" xfId="58832"/>
    <cellStyle name="SYSTEM 2 9 3" xfId="16875"/>
    <cellStyle name="SYSTEM 2 9 3 2" xfId="25199"/>
    <cellStyle name="SYSTEM 2 9 3 2 2" xfId="58833"/>
    <cellStyle name="SYSTEM 2 9 3 2 3" xfId="58834"/>
    <cellStyle name="SYSTEM 2 9 3 3" xfId="58835"/>
    <cellStyle name="SYSTEM 2 9 4" xfId="17902"/>
    <cellStyle name="SYSTEM 2 9 4 2" xfId="26225"/>
    <cellStyle name="SYSTEM 2 9 4 2 2" xfId="58836"/>
    <cellStyle name="SYSTEM 2 9 4 2 3" xfId="58837"/>
    <cellStyle name="SYSTEM 2 9 4 3" xfId="58838"/>
    <cellStyle name="SYSTEM 2 9 5" xfId="18886"/>
    <cellStyle name="SYSTEM 2 9 5 2" xfId="27206"/>
    <cellStyle name="SYSTEM 2 9 5 2 2" xfId="58839"/>
    <cellStyle name="SYSTEM 2 9 5 2 3" xfId="58840"/>
    <cellStyle name="SYSTEM 2 9 5 3" xfId="58841"/>
    <cellStyle name="SYSTEM 2 9 6" xfId="19854"/>
    <cellStyle name="SYSTEM 2 9 6 2" xfId="28176"/>
    <cellStyle name="SYSTEM 2 9 6 2 2" xfId="58842"/>
    <cellStyle name="SYSTEM 2 9 6 2 3" xfId="58843"/>
    <cellStyle name="SYSTEM 2 9 6 3" xfId="58844"/>
    <cellStyle name="SYSTEM 2 9 7" xfId="20812"/>
    <cellStyle name="SYSTEM 2 9 7 2" xfId="29132"/>
    <cellStyle name="SYSTEM 2 9 7 2 2" xfId="58845"/>
    <cellStyle name="SYSTEM 2 9 7 2 3" xfId="58846"/>
    <cellStyle name="SYSTEM 2 9 7 3" xfId="58847"/>
    <cellStyle name="SYSTEM 2 9 8" xfId="21097"/>
    <cellStyle name="SYSTEM 2 9 8 2" xfId="29414"/>
    <cellStyle name="SYSTEM 2 9 8 2 2" xfId="58848"/>
    <cellStyle name="SYSTEM 2 9 8 2 3" xfId="58849"/>
    <cellStyle name="SYSTEM 2 9 8 3" xfId="58850"/>
    <cellStyle name="SYSTEM 2 9 9" xfId="22247"/>
    <cellStyle name="SYSTEM 2 9 9 2" xfId="30546"/>
    <cellStyle name="SYSTEM 2 9 9 2 2" xfId="58851"/>
    <cellStyle name="SYSTEM 2 9 9 2 3" xfId="58852"/>
    <cellStyle name="SYSTEM 2 9 9 3" xfId="58853"/>
    <cellStyle name="SYSTEM 20" xfId="15227"/>
    <cellStyle name="SYSTEM 20 2" xfId="16307"/>
    <cellStyle name="SYSTEM 20 2 2" xfId="24620"/>
    <cellStyle name="SYSTEM 20 2 2 2" xfId="58854"/>
    <cellStyle name="SYSTEM 20 2 2 3" xfId="58855"/>
    <cellStyle name="SYSTEM 20 2 3" xfId="58856"/>
    <cellStyle name="SYSTEM 20 3" xfId="17273"/>
    <cellStyle name="SYSTEM 20 3 2" xfId="25594"/>
    <cellStyle name="SYSTEM 20 3 2 2" xfId="58857"/>
    <cellStyle name="SYSTEM 20 3 2 3" xfId="58858"/>
    <cellStyle name="SYSTEM 20 3 3" xfId="58859"/>
    <cellStyle name="SYSTEM 20 4" xfId="18301"/>
    <cellStyle name="SYSTEM 20 4 2" xfId="26621"/>
    <cellStyle name="SYSTEM 20 4 2 2" xfId="58860"/>
    <cellStyle name="SYSTEM 20 4 2 3" xfId="58861"/>
    <cellStyle name="SYSTEM 20 4 3" xfId="58862"/>
    <cellStyle name="SYSTEM 20 5" xfId="20253"/>
    <cellStyle name="SYSTEM 20 5 2" xfId="28575"/>
    <cellStyle name="SYSTEM 20 5 2 2" xfId="58863"/>
    <cellStyle name="SYSTEM 20 5 2 3" xfId="58864"/>
    <cellStyle name="SYSTEM 20 5 3" xfId="58865"/>
    <cellStyle name="SYSTEM 20 6" xfId="21714"/>
    <cellStyle name="SYSTEM 20 6 2" xfId="30015"/>
    <cellStyle name="SYSTEM 20 6 2 2" xfId="58866"/>
    <cellStyle name="SYSTEM 20 6 2 3" xfId="58867"/>
    <cellStyle name="SYSTEM 20 6 3" xfId="58868"/>
    <cellStyle name="SYSTEM 20 7" xfId="22642"/>
    <cellStyle name="SYSTEM 20 7 2" xfId="30938"/>
    <cellStyle name="SYSTEM 20 7 2 2" xfId="58869"/>
    <cellStyle name="SYSTEM 20 7 2 3" xfId="58870"/>
    <cellStyle name="SYSTEM 20 7 3" xfId="58871"/>
    <cellStyle name="SYSTEM 20 8" xfId="23584"/>
    <cellStyle name="SYSTEM 20 8 2" xfId="58872"/>
    <cellStyle name="SYSTEM 20 8 3" xfId="58873"/>
    <cellStyle name="SYSTEM 20 9" xfId="58874"/>
    <cellStyle name="SYSTEM 21" xfId="15222"/>
    <cellStyle name="SYSTEM 21 2" xfId="16302"/>
    <cellStyle name="SYSTEM 21 2 2" xfId="24615"/>
    <cellStyle name="SYSTEM 21 2 2 2" xfId="58875"/>
    <cellStyle name="SYSTEM 21 2 2 3" xfId="58876"/>
    <cellStyle name="SYSTEM 21 2 3" xfId="58877"/>
    <cellStyle name="SYSTEM 21 3" xfId="17268"/>
    <cellStyle name="SYSTEM 21 3 2" xfId="25589"/>
    <cellStyle name="SYSTEM 21 3 2 2" xfId="58878"/>
    <cellStyle name="SYSTEM 21 3 2 3" xfId="58879"/>
    <cellStyle name="SYSTEM 21 3 3" xfId="58880"/>
    <cellStyle name="SYSTEM 21 4" xfId="18296"/>
    <cellStyle name="SYSTEM 21 4 2" xfId="26616"/>
    <cellStyle name="SYSTEM 21 4 2 2" xfId="58881"/>
    <cellStyle name="SYSTEM 21 4 2 3" xfId="58882"/>
    <cellStyle name="SYSTEM 21 4 3" xfId="58883"/>
    <cellStyle name="SYSTEM 21 5" xfId="20248"/>
    <cellStyle name="SYSTEM 21 5 2" xfId="28570"/>
    <cellStyle name="SYSTEM 21 5 2 2" xfId="58884"/>
    <cellStyle name="SYSTEM 21 5 2 3" xfId="58885"/>
    <cellStyle name="SYSTEM 21 5 3" xfId="58886"/>
    <cellStyle name="SYSTEM 21 6" xfId="21709"/>
    <cellStyle name="SYSTEM 21 6 2" xfId="30010"/>
    <cellStyle name="SYSTEM 21 6 2 2" xfId="58887"/>
    <cellStyle name="SYSTEM 21 6 2 3" xfId="58888"/>
    <cellStyle name="SYSTEM 21 6 3" xfId="58889"/>
    <cellStyle name="SYSTEM 21 7" xfId="22637"/>
    <cellStyle name="SYSTEM 21 7 2" xfId="30933"/>
    <cellStyle name="SYSTEM 21 7 2 2" xfId="58890"/>
    <cellStyle name="SYSTEM 21 7 2 3" xfId="58891"/>
    <cellStyle name="SYSTEM 21 7 3" xfId="58892"/>
    <cellStyle name="SYSTEM 21 8" xfId="23579"/>
    <cellStyle name="SYSTEM 21 8 2" xfId="58893"/>
    <cellStyle name="SYSTEM 21 8 3" xfId="58894"/>
    <cellStyle name="SYSTEM 21 9" xfId="58895"/>
    <cellStyle name="SYSTEM 22" xfId="15349"/>
    <cellStyle name="SYSTEM 22 2" xfId="16429"/>
    <cellStyle name="SYSTEM 22 2 2" xfId="24742"/>
    <cellStyle name="SYSTEM 22 2 2 2" xfId="58896"/>
    <cellStyle name="SYSTEM 22 2 2 3" xfId="58897"/>
    <cellStyle name="SYSTEM 22 2 3" xfId="58898"/>
    <cellStyle name="SYSTEM 22 3" xfId="17395"/>
    <cellStyle name="SYSTEM 22 3 2" xfId="25716"/>
    <cellStyle name="SYSTEM 22 3 2 2" xfId="58899"/>
    <cellStyle name="SYSTEM 22 3 2 3" xfId="58900"/>
    <cellStyle name="SYSTEM 22 3 3" xfId="58901"/>
    <cellStyle name="SYSTEM 22 4" xfId="18423"/>
    <cellStyle name="SYSTEM 22 4 2" xfId="26743"/>
    <cellStyle name="SYSTEM 22 4 2 2" xfId="58902"/>
    <cellStyle name="SYSTEM 22 4 2 3" xfId="58903"/>
    <cellStyle name="SYSTEM 22 4 3" xfId="58904"/>
    <cellStyle name="SYSTEM 22 5" xfId="20375"/>
    <cellStyle name="SYSTEM 22 5 2" xfId="28697"/>
    <cellStyle name="SYSTEM 22 5 2 2" xfId="58905"/>
    <cellStyle name="SYSTEM 22 5 2 3" xfId="58906"/>
    <cellStyle name="SYSTEM 22 5 3" xfId="58907"/>
    <cellStyle name="SYSTEM 22 6" xfId="21836"/>
    <cellStyle name="SYSTEM 22 6 2" xfId="30137"/>
    <cellStyle name="SYSTEM 22 6 2 2" xfId="58908"/>
    <cellStyle name="SYSTEM 22 6 2 3" xfId="58909"/>
    <cellStyle name="SYSTEM 22 6 3" xfId="58910"/>
    <cellStyle name="SYSTEM 22 7" xfId="22764"/>
    <cellStyle name="SYSTEM 22 7 2" xfId="31060"/>
    <cellStyle name="SYSTEM 22 7 2 2" xfId="58911"/>
    <cellStyle name="SYSTEM 22 7 2 3" xfId="58912"/>
    <cellStyle name="SYSTEM 22 7 3" xfId="58913"/>
    <cellStyle name="SYSTEM 22 8" xfId="23706"/>
    <cellStyle name="SYSTEM 22 8 2" xfId="58914"/>
    <cellStyle name="SYSTEM 22 8 3" xfId="58915"/>
    <cellStyle name="SYSTEM 22 9" xfId="58916"/>
    <cellStyle name="SYSTEM 23" xfId="15397"/>
    <cellStyle name="SYSTEM 23 2" xfId="16477"/>
    <cellStyle name="SYSTEM 23 2 2" xfId="24790"/>
    <cellStyle name="SYSTEM 23 2 2 2" xfId="58917"/>
    <cellStyle name="SYSTEM 23 2 2 3" xfId="58918"/>
    <cellStyle name="SYSTEM 23 2 3" xfId="58919"/>
    <cellStyle name="SYSTEM 23 3" xfId="17443"/>
    <cellStyle name="SYSTEM 23 3 2" xfId="25764"/>
    <cellStyle name="SYSTEM 23 3 2 2" xfId="58920"/>
    <cellStyle name="SYSTEM 23 3 2 3" xfId="58921"/>
    <cellStyle name="SYSTEM 23 3 3" xfId="58922"/>
    <cellStyle name="SYSTEM 23 4" xfId="18471"/>
    <cellStyle name="SYSTEM 23 4 2" xfId="26791"/>
    <cellStyle name="SYSTEM 23 4 2 2" xfId="58923"/>
    <cellStyle name="SYSTEM 23 4 2 3" xfId="58924"/>
    <cellStyle name="SYSTEM 23 4 3" xfId="58925"/>
    <cellStyle name="SYSTEM 23 5" xfId="20423"/>
    <cellStyle name="SYSTEM 23 5 2" xfId="28745"/>
    <cellStyle name="SYSTEM 23 5 2 2" xfId="58926"/>
    <cellStyle name="SYSTEM 23 5 2 3" xfId="58927"/>
    <cellStyle name="SYSTEM 23 5 3" xfId="58928"/>
    <cellStyle name="SYSTEM 23 6" xfId="21884"/>
    <cellStyle name="SYSTEM 23 6 2" xfId="30185"/>
    <cellStyle name="SYSTEM 23 6 2 2" xfId="58929"/>
    <cellStyle name="SYSTEM 23 6 2 3" xfId="58930"/>
    <cellStyle name="SYSTEM 23 6 3" xfId="58931"/>
    <cellStyle name="SYSTEM 23 7" xfId="22812"/>
    <cellStyle name="SYSTEM 23 7 2" xfId="31108"/>
    <cellStyle name="SYSTEM 23 7 2 2" xfId="58932"/>
    <cellStyle name="SYSTEM 23 7 2 3" xfId="58933"/>
    <cellStyle name="SYSTEM 23 7 3" xfId="58934"/>
    <cellStyle name="SYSTEM 23 8" xfId="23754"/>
    <cellStyle name="SYSTEM 23 8 2" xfId="58935"/>
    <cellStyle name="SYSTEM 23 8 3" xfId="58936"/>
    <cellStyle name="SYSTEM 23 9" xfId="58937"/>
    <cellStyle name="SYSTEM 24" xfId="15473"/>
    <cellStyle name="SYSTEM 24 2" xfId="17519"/>
    <cellStyle name="SYSTEM 24 2 2" xfId="25839"/>
    <cellStyle name="SYSTEM 24 2 2 2" xfId="58938"/>
    <cellStyle name="SYSTEM 24 2 2 3" xfId="58939"/>
    <cellStyle name="SYSTEM 24 2 3" xfId="58940"/>
    <cellStyle name="SYSTEM 24 3" xfId="18546"/>
    <cellStyle name="SYSTEM 24 3 2" xfId="26863"/>
    <cellStyle name="SYSTEM 24 3 2 2" xfId="58941"/>
    <cellStyle name="SYSTEM 24 3 2 3" xfId="58942"/>
    <cellStyle name="SYSTEM 24 3 3" xfId="34033"/>
    <cellStyle name="SYSTEM 24 3 4" xfId="58943"/>
    <cellStyle name="SYSTEM 24 4" xfId="19530"/>
    <cellStyle name="SYSTEM 24 4 2" xfId="27851"/>
    <cellStyle name="SYSTEM 24 4 3" xfId="34999"/>
    <cellStyle name="SYSTEM 24 5" xfId="58944"/>
    <cellStyle name="SYSTEM 24 6" xfId="58945"/>
    <cellStyle name="SYSTEM 25" xfId="15511"/>
    <cellStyle name="SYSTEM 25 2" xfId="23851"/>
    <cellStyle name="SYSTEM 25 2 2" xfId="58946"/>
    <cellStyle name="SYSTEM 25 2 3" xfId="58947"/>
    <cellStyle name="SYSTEM 25 3" xfId="58948"/>
    <cellStyle name="SYSTEM 26" xfId="17555"/>
    <cellStyle name="SYSTEM 26 2" xfId="25874"/>
    <cellStyle name="SYSTEM 26 2 2" xfId="58949"/>
    <cellStyle name="SYSTEM 26 2 3" xfId="58950"/>
    <cellStyle name="SYSTEM 26 3" xfId="58951"/>
    <cellStyle name="SYSTEM 27" xfId="17565"/>
    <cellStyle name="SYSTEM 27 2" xfId="25884"/>
    <cellStyle name="SYSTEM 27 2 2" xfId="58952"/>
    <cellStyle name="SYSTEM 27 2 3" xfId="58953"/>
    <cellStyle name="SYSTEM 27 3" xfId="58954"/>
    <cellStyle name="SYSTEM 28" xfId="18555"/>
    <cellStyle name="SYSTEM 28 2" xfId="26872"/>
    <cellStyle name="SYSTEM 28 2 2" xfId="58955"/>
    <cellStyle name="SYSTEM 28 2 3" xfId="58956"/>
    <cellStyle name="SYSTEM 28 3" xfId="58957"/>
    <cellStyle name="SYSTEM 29" xfId="14526"/>
    <cellStyle name="SYSTEM 3" xfId="14538"/>
    <cellStyle name="SYSTEM 3 2" xfId="15614"/>
    <cellStyle name="SYSTEM 3 2 2" xfId="58958"/>
    <cellStyle name="SYSTEM 3 2 2 2" xfId="58959"/>
    <cellStyle name="SYSTEM 3 2 2 3" xfId="58960"/>
    <cellStyle name="SYSTEM 3 2 3" xfId="58961"/>
    <cellStyle name="SYSTEM 3 2 4" xfId="58962"/>
    <cellStyle name="SYSTEM 3 3" xfId="17601"/>
    <cellStyle name="SYSTEM 3 3 2" xfId="25923"/>
    <cellStyle name="SYSTEM 3 3 2 2" xfId="58963"/>
    <cellStyle name="SYSTEM 3 3 2 3" xfId="58964"/>
    <cellStyle name="SYSTEM 3 3 3" xfId="58965"/>
    <cellStyle name="SYSTEM 3 4" xfId="18582"/>
    <cellStyle name="SYSTEM 3 4 2" xfId="26901"/>
    <cellStyle name="SYSTEM 3 4 2 2" xfId="58966"/>
    <cellStyle name="SYSTEM 3 4 2 3" xfId="58967"/>
    <cellStyle name="SYSTEM 3 4 3" xfId="34070"/>
    <cellStyle name="SYSTEM 3 4 4" xfId="58968"/>
    <cellStyle name="SYSTEM 3 5" xfId="19550"/>
    <cellStyle name="SYSTEM 3 5 2" xfId="27871"/>
    <cellStyle name="SYSTEM 3 5 2 2" xfId="58969"/>
    <cellStyle name="SYSTEM 3 5 2 3" xfId="58970"/>
    <cellStyle name="SYSTEM 3 5 3" xfId="58971"/>
    <cellStyle name="SYSTEM 3 6" xfId="20508"/>
    <cellStyle name="SYSTEM 3 6 2" xfId="28830"/>
    <cellStyle name="SYSTEM 3 6 2 2" xfId="58972"/>
    <cellStyle name="SYSTEM 3 6 2 3" xfId="58973"/>
    <cellStyle name="SYSTEM 3 6 3" xfId="58974"/>
    <cellStyle name="SYSTEM 3 7" xfId="15566"/>
    <cellStyle name="SYSTEM 3 7 2" xfId="23891"/>
    <cellStyle name="SYSTEM 3 7 3" xfId="31235"/>
    <cellStyle name="SYSTEM 3 8" xfId="58975"/>
    <cellStyle name="SYSTEM 3 8 2" xfId="58976"/>
    <cellStyle name="SYSTEM 4" xfId="14594"/>
    <cellStyle name="SYSTEM 4 10" xfId="22954"/>
    <cellStyle name="SYSTEM 4 10 2" xfId="58977"/>
    <cellStyle name="SYSTEM 4 10 3" xfId="58978"/>
    <cellStyle name="SYSTEM 4 11" xfId="58979"/>
    <cellStyle name="SYSTEM 4 2" xfId="15674"/>
    <cellStyle name="SYSTEM 4 2 2" xfId="23989"/>
    <cellStyle name="SYSTEM 4 2 2 2" xfId="58980"/>
    <cellStyle name="SYSTEM 4 2 2 3" xfId="58981"/>
    <cellStyle name="SYSTEM 4 2 3" xfId="58982"/>
    <cellStyle name="SYSTEM 4 3" xfId="16641"/>
    <cellStyle name="SYSTEM 4 3 2" xfId="24960"/>
    <cellStyle name="SYSTEM 4 3 2 2" xfId="58983"/>
    <cellStyle name="SYSTEM 4 3 2 3" xfId="58984"/>
    <cellStyle name="SYSTEM 4 3 3" xfId="58985"/>
    <cellStyle name="SYSTEM 4 4" xfId="17662"/>
    <cellStyle name="SYSTEM 4 4 2" xfId="25986"/>
    <cellStyle name="SYSTEM 4 4 2 2" xfId="58986"/>
    <cellStyle name="SYSTEM 4 4 2 3" xfId="58987"/>
    <cellStyle name="SYSTEM 4 4 3" xfId="58988"/>
    <cellStyle name="SYSTEM 4 5" xfId="18645"/>
    <cellStyle name="SYSTEM 4 5 2" xfId="26966"/>
    <cellStyle name="SYSTEM 4 5 2 2" xfId="58989"/>
    <cellStyle name="SYSTEM 4 5 2 3" xfId="58990"/>
    <cellStyle name="SYSTEM 4 5 3" xfId="58991"/>
    <cellStyle name="SYSTEM 4 6" xfId="19614"/>
    <cellStyle name="SYSTEM 4 6 2" xfId="27935"/>
    <cellStyle name="SYSTEM 4 6 2 2" xfId="58992"/>
    <cellStyle name="SYSTEM 4 6 2 3" xfId="58993"/>
    <cellStyle name="SYSTEM 4 6 3" xfId="58994"/>
    <cellStyle name="SYSTEM 4 7" xfId="20571"/>
    <cellStyle name="SYSTEM 4 7 2" xfId="28893"/>
    <cellStyle name="SYSTEM 4 7 2 2" xfId="58995"/>
    <cellStyle name="SYSTEM 4 7 2 3" xfId="58996"/>
    <cellStyle name="SYSTEM 4 7 3" xfId="58997"/>
    <cellStyle name="SYSTEM 4 8" xfId="21342"/>
    <cellStyle name="SYSTEM 4 8 2" xfId="29646"/>
    <cellStyle name="SYSTEM 4 8 2 2" xfId="58998"/>
    <cellStyle name="SYSTEM 4 8 2 3" xfId="58999"/>
    <cellStyle name="SYSTEM 4 8 3" xfId="59000"/>
    <cellStyle name="SYSTEM 4 9" xfId="22008"/>
    <cellStyle name="SYSTEM 4 9 2" xfId="30307"/>
    <cellStyle name="SYSTEM 4 9 2 2" xfId="59001"/>
    <cellStyle name="SYSTEM 4 9 2 3" xfId="59002"/>
    <cellStyle name="SYSTEM 4 9 3" xfId="59003"/>
    <cellStyle name="SYSTEM 5" xfId="14550"/>
    <cellStyle name="SYSTEM 5 10" xfId="22906"/>
    <cellStyle name="SYSTEM 5 10 2" xfId="59004"/>
    <cellStyle name="SYSTEM 5 10 3" xfId="59005"/>
    <cellStyle name="SYSTEM 5 11" xfId="59006"/>
    <cellStyle name="SYSTEM 5 2" xfId="15629"/>
    <cellStyle name="SYSTEM 5 2 2" xfId="23942"/>
    <cellStyle name="SYSTEM 5 2 2 2" xfId="59007"/>
    <cellStyle name="SYSTEM 5 2 2 3" xfId="59008"/>
    <cellStyle name="SYSTEM 5 2 3" xfId="59009"/>
    <cellStyle name="SYSTEM 5 3" xfId="16596"/>
    <cellStyle name="SYSTEM 5 3 2" xfId="24913"/>
    <cellStyle name="SYSTEM 5 3 2 2" xfId="59010"/>
    <cellStyle name="SYSTEM 5 3 2 3" xfId="59011"/>
    <cellStyle name="SYSTEM 5 3 3" xfId="59012"/>
    <cellStyle name="SYSTEM 5 4" xfId="17616"/>
    <cellStyle name="SYSTEM 5 4 2" xfId="25939"/>
    <cellStyle name="SYSTEM 5 4 2 2" xfId="59013"/>
    <cellStyle name="SYSTEM 5 4 2 3" xfId="59014"/>
    <cellStyle name="SYSTEM 5 4 3" xfId="59015"/>
    <cellStyle name="SYSTEM 5 5" xfId="18598"/>
    <cellStyle name="SYSTEM 5 5 2" xfId="26917"/>
    <cellStyle name="SYSTEM 5 5 2 2" xfId="59016"/>
    <cellStyle name="SYSTEM 5 5 2 3" xfId="59017"/>
    <cellStyle name="SYSTEM 5 5 3" xfId="59018"/>
    <cellStyle name="SYSTEM 5 6" xfId="19566"/>
    <cellStyle name="SYSTEM 5 6 2" xfId="27887"/>
    <cellStyle name="SYSTEM 5 6 2 2" xfId="59019"/>
    <cellStyle name="SYSTEM 5 6 2 3" xfId="59020"/>
    <cellStyle name="SYSTEM 5 6 3" xfId="59021"/>
    <cellStyle name="SYSTEM 5 7" xfId="20524"/>
    <cellStyle name="SYSTEM 5 7 2" xfId="28846"/>
    <cellStyle name="SYSTEM 5 7 2 2" xfId="59022"/>
    <cellStyle name="SYSTEM 5 7 2 3" xfId="59023"/>
    <cellStyle name="SYSTEM 5 7 3" xfId="59024"/>
    <cellStyle name="SYSTEM 5 8" xfId="21262"/>
    <cellStyle name="SYSTEM 5 8 2" xfId="29570"/>
    <cellStyle name="SYSTEM 5 8 2 2" xfId="59025"/>
    <cellStyle name="SYSTEM 5 8 2 3" xfId="59026"/>
    <cellStyle name="SYSTEM 5 8 3" xfId="59027"/>
    <cellStyle name="SYSTEM 5 9" xfId="21324"/>
    <cellStyle name="SYSTEM 5 9 2" xfId="29629"/>
    <cellStyle name="SYSTEM 5 9 2 2" xfId="59028"/>
    <cellStyle name="SYSTEM 5 9 2 3" xfId="59029"/>
    <cellStyle name="SYSTEM 5 9 3" xfId="59030"/>
    <cellStyle name="SYSTEM 6" xfId="14590"/>
    <cellStyle name="SYSTEM 6 10" xfId="22949"/>
    <cellStyle name="SYSTEM 6 10 2" xfId="59031"/>
    <cellStyle name="SYSTEM 6 10 3" xfId="59032"/>
    <cellStyle name="SYSTEM 6 11" xfId="59033"/>
    <cellStyle name="SYSTEM 6 2" xfId="15670"/>
    <cellStyle name="SYSTEM 6 2 2" xfId="23984"/>
    <cellStyle name="SYSTEM 6 2 2 2" xfId="59034"/>
    <cellStyle name="SYSTEM 6 2 2 3" xfId="59035"/>
    <cellStyle name="SYSTEM 6 2 3" xfId="59036"/>
    <cellStyle name="SYSTEM 6 3" xfId="16637"/>
    <cellStyle name="SYSTEM 6 3 2" xfId="24955"/>
    <cellStyle name="SYSTEM 6 3 2 2" xfId="59037"/>
    <cellStyle name="SYSTEM 6 3 2 3" xfId="59038"/>
    <cellStyle name="SYSTEM 6 3 3" xfId="59039"/>
    <cellStyle name="SYSTEM 6 4" xfId="17658"/>
    <cellStyle name="SYSTEM 6 4 2" xfId="25981"/>
    <cellStyle name="SYSTEM 6 4 2 2" xfId="59040"/>
    <cellStyle name="SYSTEM 6 4 2 3" xfId="59041"/>
    <cellStyle name="SYSTEM 6 4 3" xfId="59042"/>
    <cellStyle name="SYSTEM 6 5" xfId="18641"/>
    <cellStyle name="SYSTEM 6 5 2" xfId="26961"/>
    <cellStyle name="SYSTEM 6 5 2 2" xfId="59043"/>
    <cellStyle name="SYSTEM 6 5 2 3" xfId="59044"/>
    <cellStyle name="SYSTEM 6 5 3" xfId="59045"/>
    <cellStyle name="SYSTEM 6 6" xfId="19610"/>
    <cellStyle name="SYSTEM 6 6 2" xfId="27930"/>
    <cellStyle name="SYSTEM 6 6 2 2" xfId="59046"/>
    <cellStyle name="SYSTEM 6 6 2 3" xfId="59047"/>
    <cellStyle name="SYSTEM 6 6 3" xfId="59048"/>
    <cellStyle name="SYSTEM 6 7" xfId="20567"/>
    <cellStyle name="SYSTEM 6 7 2" xfId="28888"/>
    <cellStyle name="SYSTEM 6 7 2 2" xfId="59049"/>
    <cellStyle name="SYSTEM 6 7 2 3" xfId="59050"/>
    <cellStyle name="SYSTEM 6 7 3" xfId="59051"/>
    <cellStyle name="SYSTEM 6 8" xfId="21073"/>
    <cellStyle name="SYSTEM 6 8 2" xfId="29390"/>
    <cellStyle name="SYSTEM 6 8 2 2" xfId="59052"/>
    <cellStyle name="SYSTEM 6 8 2 3" xfId="59053"/>
    <cellStyle name="SYSTEM 6 8 3" xfId="59054"/>
    <cellStyle name="SYSTEM 6 9" xfId="22003"/>
    <cellStyle name="SYSTEM 6 9 2" xfId="30302"/>
    <cellStyle name="SYSTEM 6 9 2 2" xfId="59055"/>
    <cellStyle name="SYSTEM 6 9 2 3" xfId="59056"/>
    <cellStyle name="SYSTEM 6 9 3" xfId="59057"/>
    <cellStyle name="SYSTEM 7" xfId="14672"/>
    <cellStyle name="SYSTEM 7 10" xfId="23034"/>
    <cellStyle name="SYSTEM 7 10 2" xfId="59058"/>
    <cellStyle name="SYSTEM 7 10 3" xfId="59059"/>
    <cellStyle name="SYSTEM 7 11" xfId="59060"/>
    <cellStyle name="SYSTEM 7 2" xfId="15753"/>
    <cellStyle name="SYSTEM 7 2 2" xfId="24069"/>
    <cellStyle name="SYSTEM 7 2 2 2" xfId="59061"/>
    <cellStyle name="SYSTEM 7 2 2 3" xfId="59062"/>
    <cellStyle name="SYSTEM 7 2 3" xfId="59063"/>
    <cellStyle name="SYSTEM 7 3" xfId="16719"/>
    <cellStyle name="SYSTEM 7 3 2" xfId="25040"/>
    <cellStyle name="SYSTEM 7 3 2 2" xfId="59064"/>
    <cellStyle name="SYSTEM 7 3 2 3" xfId="59065"/>
    <cellStyle name="SYSTEM 7 3 3" xfId="59066"/>
    <cellStyle name="SYSTEM 7 4" xfId="17743"/>
    <cellStyle name="SYSTEM 7 4 2" xfId="26066"/>
    <cellStyle name="SYSTEM 7 4 2 2" xfId="59067"/>
    <cellStyle name="SYSTEM 7 4 2 3" xfId="59068"/>
    <cellStyle name="SYSTEM 7 4 3" xfId="59069"/>
    <cellStyle name="SYSTEM 7 5" xfId="18726"/>
    <cellStyle name="SYSTEM 7 5 2" xfId="27047"/>
    <cellStyle name="SYSTEM 7 5 2 2" xfId="59070"/>
    <cellStyle name="SYSTEM 7 5 2 3" xfId="59071"/>
    <cellStyle name="SYSTEM 7 5 3" xfId="59072"/>
    <cellStyle name="SYSTEM 7 6" xfId="19695"/>
    <cellStyle name="SYSTEM 7 6 2" xfId="28016"/>
    <cellStyle name="SYSTEM 7 6 2 2" xfId="59073"/>
    <cellStyle name="SYSTEM 7 6 2 3" xfId="59074"/>
    <cellStyle name="SYSTEM 7 6 3" xfId="59075"/>
    <cellStyle name="SYSTEM 7 7" xfId="20652"/>
    <cellStyle name="SYSTEM 7 7 2" xfId="28973"/>
    <cellStyle name="SYSTEM 7 7 2 2" xfId="59076"/>
    <cellStyle name="SYSTEM 7 7 2 3" xfId="59077"/>
    <cellStyle name="SYSTEM 7 7 3" xfId="59078"/>
    <cellStyle name="SYSTEM 7 8" xfId="21196"/>
    <cellStyle name="SYSTEM 7 8 2" xfId="29508"/>
    <cellStyle name="SYSTEM 7 8 2 2" xfId="59079"/>
    <cellStyle name="SYSTEM 7 8 2 3" xfId="59080"/>
    <cellStyle name="SYSTEM 7 8 3" xfId="59081"/>
    <cellStyle name="SYSTEM 7 9" xfId="22089"/>
    <cellStyle name="SYSTEM 7 9 2" xfId="30387"/>
    <cellStyle name="SYSTEM 7 9 2 2" xfId="59082"/>
    <cellStyle name="SYSTEM 7 9 2 3" xfId="59083"/>
    <cellStyle name="SYSTEM 7 9 3" xfId="59084"/>
    <cellStyle name="SYSTEM 8" xfId="14699"/>
    <cellStyle name="SYSTEM 8 10" xfId="23061"/>
    <cellStyle name="SYSTEM 8 10 2" xfId="59085"/>
    <cellStyle name="SYSTEM 8 10 3" xfId="59086"/>
    <cellStyle name="SYSTEM 8 11" xfId="59087"/>
    <cellStyle name="SYSTEM 8 2" xfId="15780"/>
    <cellStyle name="SYSTEM 8 2 2" xfId="24096"/>
    <cellStyle name="SYSTEM 8 2 2 2" xfId="59088"/>
    <cellStyle name="SYSTEM 8 2 2 3" xfId="59089"/>
    <cellStyle name="SYSTEM 8 2 3" xfId="59090"/>
    <cellStyle name="SYSTEM 8 3" xfId="16746"/>
    <cellStyle name="SYSTEM 8 3 2" xfId="25068"/>
    <cellStyle name="SYSTEM 8 3 2 2" xfId="59091"/>
    <cellStyle name="SYSTEM 8 3 2 3" xfId="59092"/>
    <cellStyle name="SYSTEM 8 3 3" xfId="59093"/>
    <cellStyle name="SYSTEM 8 4" xfId="17770"/>
    <cellStyle name="SYSTEM 8 4 2" xfId="26094"/>
    <cellStyle name="SYSTEM 8 4 2 2" xfId="59094"/>
    <cellStyle name="SYSTEM 8 4 2 3" xfId="59095"/>
    <cellStyle name="SYSTEM 8 4 3" xfId="59096"/>
    <cellStyle name="SYSTEM 8 5" xfId="18754"/>
    <cellStyle name="SYSTEM 8 5 2" xfId="27075"/>
    <cellStyle name="SYSTEM 8 5 2 2" xfId="59097"/>
    <cellStyle name="SYSTEM 8 5 2 3" xfId="59098"/>
    <cellStyle name="SYSTEM 8 5 3" xfId="59099"/>
    <cellStyle name="SYSTEM 8 6" xfId="19723"/>
    <cellStyle name="SYSTEM 8 6 2" xfId="28044"/>
    <cellStyle name="SYSTEM 8 6 2 2" xfId="59100"/>
    <cellStyle name="SYSTEM 8 6 2 3" xfId="59101"/>
    <cellStyle name="SYSTEM 8 6 3" xfId="59102"/>
    <cellStyle name="SYSTEM 8 7" xfId="20680"/>
    <cellStyle name="SYSTEM 8 7 2" xfId="29001"/>
    <cellStyle name="SYSTEM 8 7 2 2" xfId="59103"/>
    <cellStyle name="SYSTEM 8 7 2 3" xfId="59104"/>
    <cellStyle name="SYSTEM 8 7 3" xfId="59105"/>
    <cellStyle name="SYSTEM 8 8" xfId="21203"/>
    <cellStyle name="SYSTEM 8 8 2" xfId="29515"/>
    <cellStyle name="SYSTEM 8 8 2 2" xfId="59106"/>
    <cellStyle name="SYSTEM 8 8 2 3" xfId="59107"/>
    <cellStyle name="SYSTEM 8 8 3" xfId="59108"/>
    <cellStyle name="SYSTEM 8 9" xfId="22116"/>
    <cellStyle name="SYSTEM 8 9 2" xfId="30414"/>
    <cellStyle name="SYSTEM 8 9 2 2" xfId="59109"/>
    <cellStyle name="SYSTEM 8 9 2 3" xfId="59110"/>
    <cellStyle name="SYSTEM 8 9 3" xfId="59111"/>
    <cellStyle name="SYSTEM 9" xfId="14709"/>
    <cellStyle name="SYSTEM 9 10" xfId="23071"/>
    <cellStyle name="SYSTEM 9 10 2" xfId="59112"/>
    <cellStyle name="SYSTEM 9 10 3" xfId="59113"/>
    <cellStyle name="SYSTEM 9 11" xfId="59114"/>
    <cellStyle name="SYSTEM 9 2" xfId="15790"/>
    <cellStyle name="SYSTEM 9 2 2" xfId="24106"/>
    <cellStyle name="SYSTEM 9 2 2 2" xfId="59115"/>
    <cellStyle name="SYSTEM 9 2 2 3" xfId="59116"/>
    <cellStyle name="SYSTEM 9 2 3" xfId="59117"/>
    <cellStyle name="SYSTEM 9 3" xfId="16756"/>
    <cellStyle name="SYSTEM 9 3 2" xfId="25078"/>
    <cellStyle name="SYSTEM 9 3 2 2" xfId="59118"/>
    <cellStyle name="SYSTEM 9 3 2 3" xfId="59119"/>
    <cellStyle name="SYSTEM 9 3 3" xfId="59120"/>
    <cellStyle name="SYSTEM 9 4" xfId="17780"/>
    <cellStyle name="SYSTEM 9 4 2" xfId="26104"/>
    <cellStyle name="SYSTEM 9 4 2 2" xfId="59121"/>
    <cellStyle name="SYSTEM 9 4 2 3" xfId="59122"/>
    <cellStyle name="SYSTEM 9 4 3" xfId="59123"/>
    <cellStyle name="SYSTEM 9 5" xfId="18764"/>
    <cellStyle name="SYSTEM 9 5 2" xfId="27085"/>
    <cellStyle name="SYSTEM 9 5 2 2" xfId="59124"/>
    <cellStyle name="SYSTEM 9 5 2 3" xfId="59125"/>
    <cellStyle name="SYSTEM 9 5 3" xfId="59126"/>
    <cellStyle name="SYSTEM 9 6" xfId="19733"/>
    <cellStyle name="SYSTEM 9 6 2" xfId="28054"/>
    <cellStyle name="SYSTEM 9 6 2 2" xfId="59127"/>
    <cellStyle name="SYSTEM 9 6 2 3" xfId="59128"/>
    <cellStyle name="SYSTEM 9 6 3" xfId="59129"/>
    <cellStyle name="SYSTEM 9 7" xfId="20690"/>
    <cellStyle name="SYSTEM 9 7 2" xfId="29011"/>
    <cellStyle name="SYSTEM 9 7 2 2" xfId="59130"/>
    <cellStyle name="SYSTEM 9 7 2 3" xfId="59131"/>
    <cellStyle name="SYSTEM 9 7 3" xfId="59132"/>
    <cellStyle name="SYSTEM 9 8" xfId="21237"/>
    <cellStyle name="SYSTEM 9 8 2" xfId="29547"/>
    <cellStyle name="SYSTEM 9 8 2 2" xfId="59133"/>
    <cellStyle name="SYSTEM 9 8 2 3" xfId="59134"/>
    <cellStyle name="SYSTEM 9 8 3" xfId="59135"/>
    <cellStyle name="SYSTEM 9 9" xfId="22126"/>
    <cellStyle name="SYSTEM 9 9 2" xfId="30424"/>
    <cellStyle name="SYSTEM 9 9 2 2" xfId="59136"/>
    <cellStyle name="SYSTEM 9 9 2 3" xfId="59137"/>
    <cellStyle name="SYSTEM 9 9 3" xfId="59138"/>
    <cellStyle name="Table Footnote" xfId="59139"/>
    <cellStyle name="Table Header" xfId="59140"/>
    <cellStyle name="Table Header 2" xfId="59141"/>
    <cellStyle name="Table Header 2 3" xfId="59142"/>
    <cellStyle name="Table Header 2_201211070_Key data updated 11 January 2013" xfId="59143"/>
    <cellStyle name="Table Header Small" xfId="59144"/>
    <cellStyle name="Table Header_20120608_DB ready reckonerV10_V2a TN edits 31 V2" xfId="59145"/>
    <cellStyle name="Table Heading 1" xfId="59146"/>
    <cellStyle name="Table Heading 1 2 3" xfId="59147"/>
    <cellStyle name="Table Heading 1_Baseline%20Wallpaper%20from%2014-12-10%20ALIGNMENT(1)" xfId="59148"/>
    <cellStyle name="Table Heading 2" xfId="59149"/>
    <cellStyle name="Table Normal" xfId="59150"/>
    <cellStyle name="Table Normal 2" xfId="59151"/>
    <cellStyle name="Table Of Which" xfId="59152"/>
    <cellStyle name="Table Row Billions" xfId="59153"/>
    <cellStyle name="Table Row Billions Check" xfId="59154"/>
    <cellStyle name="Table Row Billions_~6692659" xfId="59155"/>
    <cellStyle name="Table Row Millions" xfId="59156"/>
    <cellStyle name="Table Row Millions 2 3" xfId="59157"/>
    <cellStyle name="Table Row Millions Check" xfId="59158"/>
    <cellStyle name="Table Row Millions Check 6" xfId="59159"/>
    <cellStyle name="Table Row Millions_~6692659" xfId="59160"/>
    <cellStyle name="Table Row Of Which" xfId="59161"/>
    <cellStyle name="Table Row Of Which Not For Publication" xfId="59162"/>
    <cellStyle name="Table Row Of Which Small" xfId="59163"/>
    <cellStyle name="Table Row Percentage" xfId="59164"/>
    <cellStyle name="Table Row Thousands" xfId="59165"/>
    <cellStyle name="Table Row Thousands Check" xfId="59166"/>
    <cellStyle name="Table Row Thousands Not For Publication" xfId="59167"/>
    <cellStyle name="Table Row Thousands Small" xfId="59168"/>
    <cellStyle name="Table Row Units" xfId="59169"/>
    <cellStyle name="Table Row Units Check" xfId="59170"/>
    <cellStyle name="Table Row Units Not For Publication" xfId="59171"/>
    <cellStyle name="Table Total Billions" xfId="59172"/>
    <cellStyle name="Table Total Millions" xfId="59173"/>
    <cellStyle name="Table Total Millions 2 3" xfId="59174"/>
    <cellStyle name="Table Total Millions_~4373238" xfId="59175"/>
    <cellStyle name="Table Units" xfId="59176"/>
    <cellStyle name="Table Units 2 3" xfId="59177"/>
    <cellStyle name="Table Units_Baseline%20Wallpaper%20from%2014-12-10%20ALIGNMENT(1)" xfId="59178"/>
    <cellStyle name="Text Level 1" xfId="59179"/>
    <cellStyle name="Text Level 2" xfId="59180"/>
    <cellStyle name="Text Level 3" xfId="59181"/>
    <cellStyle name="Text Level 4" xfId="59182"/>
    <cellStyle name="TextEntry" xfId="59183"/>
    <cellStyle name="Thousands" xfId="59184"/>
    <cellStyle name="TIME Detail" xfId="14506"/>
    <cellStyle name="TIME Period Start" xfId="14507"/>
    <cellStyle name="Title 1" xfId="59185"/>
    <cellStyle name="Title 2" xfId="43"/>
    <cellStyle name="Title 2 2" xfId="59186"/>
    <cellStyle name="Title 2 2 2" xfId="59187"/>
    <cellStyle name="Title 2 2 3" xfId="59188"/>
    <cellStyle name="Title 2 2 4" xfId="59189"/>
    <cellStyle name="Title 2 2_PCT_initial_plan_form_template_10.12.20" xfId="59190"/>
    <cellStyle name="Title 2 3" xfId="59191"/>
    <cellStyle name="Title 2 4" xfId="59192"/>
    <cellStyle name="Title 2 5" xfId="59193"/>
    <cellStyle name="Title 2 6" xfId="59194"/>
    <cellStyle name="Title 2_Capital Dispo allocations V2" xfId="59195"/>
    <cellStyle name="Title 3" xfId="642"/>
    <cellStyle name="Title 3 2" xfId="59196"/>
    <cellStyle name="Title 4" xfId="59197"/>
    <cellStyle name="Title 5" xfId="59198"/>
    <cellStyle name="Title 6" xfId="59199"/>
    <cellStyle name="Top_Centred" xfId="59200"/>
    <cellStyle name="Topline" xfId="59201"/>
    <cellStyle name="Topline 2" xfId="59202"/>
    <cellStyle name="Topline 2 2" xfId="59203"/>
    <cellStyle name="Topline 3" xfId="59204"/>
    <cellStyle name="Total 2" xfId="44"/>
    <cellStyle name="Total 2 10" xfId="1093"/>
    <cellStyle name="Total 2 10 10" xfId="14727"/>
    <cellStyle name="Total 2 10 11" xfId="23090"/>
    <cellStyle name="Total 2 10 2" xfId="1083"/>
    <cellStyle name="Total 2 10 2 2" xfId="1899"/>
    <cellStyle name="Total 2 10 2 2 2" xfId="5319"/>
    <cellStyle name="Total 2 10 2 2 2 2" xfId="12159"/>
    <cellStyle name="Total 2 10 2 2 3" xfId="8739"/>
    <cellStyle name="Total 2 10 2 3" xfId="3039"/>
    <cellStyle name="Total 2 10 2 3 2" xfId="6459"/>
    <cellStyle name="Total 2 10 2 3 2 2" xfId="13299"/>
    <cellStyle name="Total 2 10 2 3 3" xfId="9879"/>
    <cellStyle name="Total 2 10 2 4" xfId="4179"/>
    <cellStyle name="Total 2 10 2 4 2" xfId="11019"/>
    <cellStyle name="Total 2 10 2 5" xfId="7599"/>
    <cellStyle name="Total 2 10 2 6" xfId="15808"/>
    <cellStyle name="Total 2 10 2 7" xfId="24125"/>
    <cellStyle name="Total 2 10 2 8" xfId="31413"/>
    <cellStyle name="Total 2 10 3" xfId="1898"/>
    <cellStyle name="Total 2 10 3 2" xfId="5318"/>
    <cellStyle name="Total 2 10 3 2 2" xfId="12158"/>
    <cellStyle name="Total 2 10 3 2 3" xfId="59205"/>
    <cellStyle name="Total 2 10 3 3" xfId="8738"/>
    <cellStyle name="Total 2 10 3 4" xfId="16774"/>
    <cellStyle name="Total 2 10 3 5" xfId="25097"/>
    <cellStyle name="Total 2 10 3 6" xfId="32346"/>
    <cellStyle name="Total 2 10 4" xfId="3038"/>
    <cellStyle name="Total 2 10 4 2" xfId="6458"/>
    <cellStyle name="Total 2 10 4 2 2" xfId="13298"/>
    <cellStyle name="Total 2 10 4 2 3" xfId="59206"/>
    <cellStyle name="Total 2 10 4 3" xfId="9878"/>
    <cellStyle name="Total 2 10 4 4" xfId="17799"/>
    <cellStyle name="Total 2 10 4 5" xfId="26123"/>
    <cellStyle name="Total 2 10 4 6" xfId="33323"/>
    <cellStyle name="Total 2 10 5" xfId="4178"/>
    <cellStyle name="Total 2 10 5 2" xfId="11018"/>
    <cellStyle name="Total 2 10 5 2 2" xfId="59207"/>
    <cellStyle name="Total 2 10 5 2 3" xfId="59208"/>
    <cellStyle name="Total 2 10 5 3" xfId="18783"/>
    <cellStyle name="Total 2 10 5 4" xfId="27104"/>
    <cellStyle name="Total 2 10 5 5" xfId="34263"/>
    <cellStyle name="Total 2 10 6" xfId="7598"/>
    <cellStyle name="Total 2 10 6 2" xfId="19751"/>
    <cellStyle name="Total 2 10 6 2 2" xfId="59209"/>
    <cellStyle name="Total 2 10 6 2 3" xfId="59210"/>
    <cellStyle name="Total 2 10 6 3" xfId="28073"/>
    <cellStyle name="Total 2 10 6 4" xfId="35209"/>
    <cellStyle name="Total 2 10 7" xfId="20709"/>
    <cellStyle name="Total 2 10 7 2" xfId="29030"/>
    <cellStyle name="Total 2 10 7 2 2" xfId="59211"/>
    <cellStyle name="Total 2 10 7 2 3" xfId="59212"/>
    <cellStyle name="Total 2 10 7 3" xfId="36123"/>
    <cellStyle name="Total 2 10 7 4" xfId="59213"/>
    <cellStyle name="Total 2 10 8" xfId="21079"/>
    <cellStyle name="Total 2 10 8 2" xfId="29396"/>
    <cellStyle name="Total 2 10 8 2 2" xfId="59214"/>
    <cellStyle name="Total 2 10 8 2 3" xfId="59215"/>
    <cellStyle name="Total 2 10 8 3" xfId="36472"/>
    <cellStyle name="Total 2 10 8 4" xfId="59216"/>
    <cellStyle name="Total 2 10 9" xfId="22145"/>
    <cellStyle name="Total 2 10 9 2" xfId="30443"/>
    <cellStyle name="Total 2 10 9 3" xfId="37474"/>
    <cellStyle name="Total 2 11" xfId="14718"/>
    <cellStyle name="Total 2 11 10" xfId="23080"/>
    <cellStyle name="Total 2 11 11" xfId="59217"/>
    <cellStyle name="Total 2 11 2" xfId="15799"/>
    <cellStyle name="Total 2 11 2 2" xfId="24115"/>
    <cellStyle name="Total 2 11 2 2 2" xfId="59218"/>
    <cellStyle name="Total 2 11 2 2 3" xfId="59219"/>
    <cellStyle name="Total 2 11 2 3" xfId="31403"/>
    <cellStyle name="Total 2 11 2 4" xfId="59220"/>
    <cellStyle name="Total 2 11 3" xfId="16765"/>
    <cellStyle name="Total 2 11 3 2" xfId="25087"/>
    <cellStyle name="Total 2 11 3 2 2" xfId="59221"/>
    <cellStyle name="Total 2 11 3 2 3" xfId="59222"/>
    <cellStyle name="Total 2 11 3 3" xfId="32336"/>
    <cellStyle name="Total 2 11 3 4" xfId="59223"/>
    <cellStyle name="Total 2 11 4" xfId="17789"/>
    <cellStyle name="Total 2 11 4 2" xfId="26113"/>
    <cellStyle name="Total 2 11 4 2 2" xfId="59224"/>
    <cellStyle name="Total 2 11 4 2 3" xfId="59225"/>
    <cellStyle name="Total 2 11 4 3" xfId="33313"/>
    <cellStyle name="Total 2 11 4 4" xfId="59226"/>
    <cellStyle name="Total 2 11 5" xfId="18773"/>
    <cellStyle name="Total 2 11 5 2" xfId="27094"/>
    <cellStyle name="Total 2 11 5 2 2" xfId="59227"/>
    <cellStyle name="Total 2 11 5 2 3" xfId="59228"/>
    <cellStyle name="Total 2 11 5 3" xfId="34253"/>
    <cellStyle name="Total 2 11 5 4" xfId="59229"/>
    <cellStyle name="Total 2 11 6" xfId="19742"/>
    <cellStyle name="Total 2 11 6 2" xfId="28063"/>
    <cellStyle name="Total 2 11 6 2 2" xfId="59230"/>
    <cellStyle name="Total 2 11 6 2 3" xfId="59231"/>
    <cellStyle name="Total 2 11 6 3" xfId="35199"/>
    <cellStyle name="Total 2 11 6 4" xfId="59232"/>
    <cellStyle name="Total 2 11 7" xfId="20699"/>
    <cellStyle name="Total 2 11 7 2" xfId="29020"/>
    <cellStyle name="Total 2 11 7 2 2" xfId="59233"/>
    <cellStyle name="Total 2 11 7 2 3" xfId="59234"/>
    <cellStyle name="Total 2 11 7 3" xfId="36113"/>
    <cellStyle name="Total 2 11 7 4" xfId="59235"/>
    <cellStyle name="Total 2 11 8" xfId="21228"/>
    <cellStyle name="Total 2 11 8 2" xfId="29539"/>
    <cellStyle name="Total 2 11 8 2 2" xfId="59236"/>
    <cellStyle name="Total 2 11 8 2 3" xfId="59237"/>
    <cellStyle name="Total 2 11 8 3" xfId="36608"/>
    <cellStyle name="Total 2 11 8 4" xfId="59238"/>
    <cellStyle name="Total 2 11 9" xfId="22135"/>
    <cellStyle name="Total 2 11 9 2" xfId="30433"/>
    <cellStyle name="Total 2 11 9 3" xfId="37464"/>
    <cellStyle name="Total 2 12" xfId="14853"/>
    <cellStyle name="Total 2 12 10" xfId="23216"/>
    <cellStyle name="Total 2 12 11" xfId="59239"/>
    <cellStyle name="Total 2 12 2" xfId="15934"/>
    <cellStyle name="Total 2 12 2 2" xfId="24251"/>
    <cellStyle name="Total 2 12 2 2 2" xfId="59240"/>
    <cellStyle name="Total 2 12 2 2 3" xfId="59241"/>
    <cellStyle name="Total 2 12 2 3" xfId="31535"/>
    <cellStyle name="Total 2 12 2 4" xfId="59242"/>
    <cellStyle name="Total 2 12 3" xfId="16900"/>
    <cellStyle name="Total 2 12 3 2" xfId="25223"/>
    <cellStyle name="Total 2 12 3 2 2" xfId="59243"/>
    <cellStyle name="Total 2 12 3 2 3" xfId="59244"/>
    <cellStyle name="Total 2 12 3 3" xfId="32468"/>
    <cellStyle name="Total 2 12 3 4" xfId="59245"/>
    <cellStyle name="Total 2 12 4" xfId="17927"/>
    <cellStyle name="Total 2 12 4 2" xfId="26249"/>
    <cellStyle name="Total 2 12 4 2 2" xfId="59246"/>
    <cellStyle name="Total 2 12 4 2 3" xfId="59247"/>
    <cellStyle name="Total 2 12 4 3" xfId="33445"/>
    <cellStyle name="Total 2 12 4 4" xfId="59248"/>
    <cellStyle name="Total 2 12 5" xfId="18911"/>
    <cellStyle name="Total 2 12 5 2" xfId="27231"/>
    <cellStyle name="Total 2 12 5 2 2" xfId="59249"/>
    <cellStyle name="Total 2 12 5 2 3" xfId="59250"/>
    <cellStyle name="Total 2 12 5 3" xfId="34386"/>
    <cellStyle name="Total 2 12 5 4" xfId="59251"/>
    <cellStyle name="Total 2 12 6" xfId="19879"/>
    <cellStyle name="Total 2 12 6 2" xfId="28201"/>
    <cellStyle name="Total 2 12 6 2 2" xfId="59252"/>
    <cellStyle name="Total 2 12 6 2 3" xfId="59253"/>
    <cellStyle name="Total 2 12 6 3" xfId="35333"/>
    <cellStyle name="Total 2 12 6 4" xfId="59254"/>
    <cellStyle name="Total 2 12 7" xfId="20837"/>
    <cellStyle name="Total 2 12 7 2" xfId="29156"/>
    <cellStyle name="Total 2 12 7 2 2" xfId="59255"/>
    <cellStyle name="Total 2 12 7 2 3" xfId="59256"/>
    <cellStyle name="Total 2 12 7 3" xfId="36243"/>
    <cellStyle name="Total 2 12 7 4" xfId="59257"/>
    <cellStyle name="Total 2 12 8" xfId="21092"/>
    <cellStyle name="Total 2 12 8 2" xfId="29409"/>
    <cellStyle name="Total 2 12 8 2 2" xfId="59258"/>
    <cellStyle name="Total 2 12 8 2 3" xfId="59259"/>
    <cellStyle name="Total 2 12 8 3" xfId="36484"/>
    <cellStyle name="Total 2 12 8 4" xfId="59260"/>
    <cellStyle name="Total 2 12 9" xfId="22272"/>
    <cellStyle name="Total 2 12 9 2" xfId="30570"/>
    <cellStyle name="Total 2 12 9 3" xfId="37596"/>
    <cellStyle name="Total 2 13" xfId="14715"/>
    <cellStyle name="Total 2 13 10" xfId="23077"/>
    <cellStyle name="Total 2 13 11" xfId="59261"/>
    <cellStyle name="Total 2 13 2" xfId="15796"/>
    <cellStyle name="Total 2 13 2 2" xfId="24112"/>
    <cellStyle name="Total 2 13 2 2 2" xfId="59262"/>
    <cellStyle name="Total 2 13 2 2 3" xfId="59263"/>
    <cellStyle name="Total 2 13 2 3" xfId="31400"/>
    <cellStyle name="Total 2 13 2 4" xfId="59264"/>
    <cellStyle name="Total 2 13 3" xfId="16762"/>
    <cellStyle name="Total 2 13 3 2" xfId="25084"/>
    <cellStyle name="Total 2 13 3 2 2" xfId="59265"/>
    <cellStyle name="Total 2 13 3 2 3" xfId="59266"/>
    <cellStyle name="Total 2 13 3 3" xfId="32333"/>
    <cellStyle name="Total 2 13 3 4" xfId="59267"/>
    <cellStyle name="Total 2 13 4" xfId="17786"/>
    <cellStyle name="Total 2 13 4 2" xfId="26110"/>
    <cellStyle name="Total 2 13 4 2 2" xfId="59268"/>
    <cellStyle name="Total 2 13 4 2 3" xfId="59269"/>
    <cellStyle name="Total 2 13 4 3" xfId="33310"/>
    <cellStyle name="Total 2 13 4 4" xfId="59270"/>
    <cellStyle name="Total 2 13 5" xfId="18770"/>
    <cellStyle name="Total 2 13 5 2" xfId="27091"/>
    <cellStyle name="Total 2 13 5 2 2" xfId="59271"/>
    <cellStyle name="Total 2 13 5 2 3" xfId="59272"/>
    <cellStyle name="Total 2 13 5 3" xfId="34250"/>
    <cellStyle name="Total 2 13 5 4" xfId="59273"/>
    <cellStyle name="Total 2 13 6" xfId="19739"/>
    <cellStyle name="Total 2 13 6 2" xfId="28060"/>
    <cellStyle name="Total 2 13 6 2 2" xfId="59274"/>
    <cellStyle name="Total 2 13 6 2 3" xfId="59275"/>
    <cellStyle name="Total 2 13 6 3" xfId="35196"/>
    <cellStyle name="Total 2 13 6 4" xfId="59276"/>
    <cellStyle name="Total 2 13 7" xfId="20696"/>
    <cellStyle name="Total 2 13 7 2" xfId="29017"/>
    <cellStyle name="Total 2 13 7 2 2" xfId="59277"/>
    <cellStyle name="Total 2 13 7 2 3" xfId="59278"/>
    <cellStyle name="Total 2 13 7 3" xfId="36110"/>
    <cellStyle name="Total 2 13 7 4" xfId="59279"/>
    <cellStyle name="Total 2 13 8" xfId="21316"/>
    <cellStyle name="Total 2 13 8 2" xfId="29622"/>
    <cellStyle name="Total 2 13 8 2 2" xfId="59280"/>
    <cellStyle name="Total 2 13 8 2 3" xfId="59281"/>
    <cellStyle name="Total 2 13 8 3" xfId="36689"/>
    <cellStyle name="Total 2 13 8 4" xfId="59282"/>
    <cellStyle name="Total 2 13 9" xfId="22132"/>
    <cellStyle name="Total 2 13 9 2" xfId="30430"/>
    <cellStyle name="Total 2 13 9 3" xfId="37461"/>
    <cellStyle name="Total 2 14" xfId="14924"/>
    <cellStyle name="Total 2 14 10" xfId="23287"/>
    <cellStyle name="Total 2 14 11" xfId="59283"/>
    <cellStyle name="Total 2 14 2" xfId="16005"/>
    <cellStyle name="Total 2 14 2 2" xfId="24322"/>
    <cellStyle name="Total 2 14 2 2 2" xfId="59284"/>
    <cellStyle name="Total 2 14 2 2 3" xfId="59285"/>
    <cellStyle name="Total 2 14 2 3" xfId="31602"/>
    <cellStyle name="Total 2 14 2 4" xfId="59286"/>
    <cellStyle name="Total 2 14 3" xfId="16971"/>
    <cellStyle name="Total 2 14 3 2" xfId="25294"/>
    <cellStyle name="Total 2 14 3 2 2" xfId="59287"/>
    <cellStyle name="Total 2 14 3 2 3" xfId="59288"/>
    <cellStyle name="Total 2 14 3 3" xfId="32535"/>
    <cellStyle name="Total 2 14 3 4" xfId="59289"/>
    <cellStyle name="Total 2 14 4" xfId="17998"/>
    <cellStyle name="Total 2 14 4 2" xfId="26320"/>
    <cellStyle name="Total 2 14 4 2 2" xfId="59290"/>
    <cellStyle name="Total 2 14 4 2 3" xfId="59291"/>
    <cellStyle name="Total 2 14 4 3" xfId="33512"/>
    <cellStyle name="Total 2 14 4 4" xfId="59292"/>
    <cellStyle name="Total 2 14 5" xfId="18982"/>
    <cellStyle name="Total 2 14 5 2" xfId="27302"/>
    <cellStyle name="Total 2 14 5 2 2" xfId="59293"/>
    <cellStyle name="Total 2 14 5 2 3" xfId="59294"/>
    <cellStyle name="Total 2 14 5 3" xfId="34453"/>
    <cellStyle name="Total 2 14 5 4" xfId="59295"/>
    <cellStyle name="Total 2 14 6" xfId="19950"/>
    <cellStyle name="Total 2 14 6 2" xfId="28272"/>
    <cellStyle name="Total 2 14 6 2 2" xfId="59296"/>
    <cellStyle name="Total 2 14 6 2 3" xfId="59297"/>
    <cellStyle name="Total 2 14 6 3" xfId="35400"/>
    <cellStyle name="Total 2 14 6 4" xfId="59298"/>
    <cellStyle name="Total 2 14 7" xfId="20908"/>
    <cellStyle name="Total 2 14 7 2" xfId="29227"/>
    <cellStyle name="Total 2 14 7 2 2" xfId="59299"/>
    <cellStyle name="Total 2 14 7 2 3" xfId="59300"/>
    <cellStyle name="Total 2 14 7 3" xfId="36310"/>
    <cellStyle name="Total 2 14 7 4" xfId="59301"/>
    <cellStyle name="Total 2 14 8" xfId="21415"/>
    <cellStyle name="Total 2 14 8 2" xfId="29718"/>
    <cellStyle name="Total 2 14 8 2 2" xfId="59302"/>
    <cellStyle name="Total 2 14 8 2 3" xfId="59303"/>
    <cellStyle name="Total 2 14 8 3" xfId="36780"/>
    <cellStyle name="Total 2 14 8 4" xfId="59304"/>
    <cellStyle name="Total 2 14 9" xfId="22343"/>
    <cellStyle name="Total 2 14 9 2" xfId="30641"/>
    <cellStyle name="Total 2 14 9 3" xfId="37663"/>
    <cellStyle name="Total 2 15" xfId="15015"/>
    <cellStyle name="Total 2 15 10" xfId="23375"/>
    <cellStyle name="Total 2 15 11" xfId="59305"/>
    <cellStyle name="Total 2 15 2" xfId="16095"/>
    <cellStyle name="Total 2 15 2 2" xfId="24410"/>
    <cellStyle name="Total 2 15 2 2 2" xfId="59306"/>
    <cellStyle name="Total 2 15 2 2 3" xfId="59307"/>
    <cellStyle name="Total 2 15 2 3" xfId="31688"/>
    <cellStyle name="Total 2 15 2 4" xfId="59308"/>
    <cellStyle name="Total 2 15 3" xfId="17062"/>
    <cellStyle name="Total 2 15 3 2" xfId="25383"/>
    <cellStyle name="Total 2 15 3 2 2" xfId="59309"/>
    <cellStyle name="Total 2 15 3 2 3" xfId="59310"/>
    <cellStyle name="Total 2 15 3 3" xfId="32622"/>
    <cellStyle name="Total 2 15 3 4" xfId="59311"/>
    <cellStyle name="Total 2 15 4" xfId="18089"/>
    <cellStyle name="Total 2 15 4 2" xfId="26409"/>
    <cellStyle name="Total 2 15 4 2 2" xfId="59312"/>
    <cellStyle name="Total 2 15 4 2 3" xfId="59313"/>
    <cellStyle name="Total 2 15 4 3" xfId="33599"/>
    <cellStyle name="Total 2 15 4 4" xfId="59314"/>
    <cellStyle name="Total 2 15 5" xfId="19073"/>
    <cellStyle name="Total 2 15 5 2" xfId="27393"/>
    <cellStyle name="Total 2 15 5 2 2" xfId="59315"/>
    <cellStyle name="Total 2 15 5 2 3" xfId="59316"/>
    <cellStyle name="Total 2 15 5 3" xfId="34542"/>
    <cellStyle name="Total 2 15 5 4" xfId="59317"/>
    <cellStyle name="Total 2 15 6" xfId="20041"/>
    <cellStyle name="Total 2 15 6 2" xfId="28363"/>
    <cellStyle name="Total 2 15 6 2 2" xfId="59318"/>
    <cellStyle name="Total 2 15 6 2 3" xfId="59319"/>
    <cellStyle name="Total 2 15 6 3" xfId="35489"/>
    <cellStyle name="Total 2 15 6 4" xfId="59320"/>
    <cellStyle name="Total 2 15 7" xfId="20998"/>
    <cellStyle name="Total 2 15 7 2" xfId="29315"/>
    <cellStyle name="Total 2 15 7 2 2" xfId="59321"/>
    <cellStyle name="Total 2 15 7 2 3" xfId="59322"/>
    <cellStyle name="Total 2 15 7 3" xfId="36396"/>
    <cellStyle name="Total 2 15 7 4" xfId="59323"/>
    <cellStyle name="Total 2 15 8" xfId="21505"/>
    <cellStyle name="Total 2 15 8 2" xfId="29806"/>
    <cellStyle name="Total 2 15 8 2 2" xfId="59324"/>
    <cellStyle name="Total 2 15 8 2 3" xfId="59325"/>
    <cellStyle name="Total 2 15 8 3" xfId="36866"/>
    <cellStyle name="Total 2 15 8 4" xfId="59326"/>
    <cellStyle name="Total 2 15 9" xfId="22433"/>
    <cellStyle name="Total 2 15 9 2" xfId="30729"/>
    <cellStyle name="Total 2 15 9 3" xfId="37749"/>
    <cellStyle name="Total 2 16" xfId="15043"/>
    <cellStyle name="Total 2 16 10" xfId="23403"/>
    <cellStyle name="Total 2 16 11" xfId="59327"/>
    <cellStyle name="Total 2 16 2" xfId="16123"/>
    <cellStyle name="Total 2 16 2 2" xfId="24438"/>
    <cellStyle name="Total 2 16 2 2 2" xfId="59328"/>
    <cellStyle name="Total 2 16 2 2 3" xfId="59329"/>
    <cellStyle name="Total 2 16 2 3" xfId="31715"/>
    <cellStyle name="Total 2 16 2 4" xfId="59330"/>
    <cellStyle name="Total 2 16 3" xfId="17090"/>
    <cellStyle name="Total 2 16 3 2" xfId="25411"/>
    <cellStyle name="Total 2 16 3 2 2" xfId="59331"/>
    <cellStyle name="Total 2 16 3 2 3" xfId="59332"/>
    <cellStyle name="Total 2 16 3 3" xfId="32649"/>
    <cellStyle name="Total 2 16 3 4" xfId="59333"/>
    <cellStyle name="Total 2 16 4" xfId="18117"/>
    <cellStyle name="Total 2 16 4 2" xfId="26437"/>
    <cellStyle name="Total 2 16 4 2 2" xfId="59334"/>
    <cellStyle name="Total 2 16 4 2 3" xfId="59335"/>
    <cellStyle name="Total 2 16 4 3" xfId="33626"/>
    <cellStyle name="Total 2 16 4 4" xfId="59336"/>
    <cellStyle name="Total 2 16 5" xfId="19101"/>
    <cellStyle name="Total 2 16 5 2" xfId="27421"/>
    <cellStyle name="Total 2 16 5 2 2" xfId="59337"/>
    <cellStyle name="Total 2 16 5 2 3" xfId="59338"/>
    <cellStyle name="Total 2 16 5 3" xfId="34569"/>
    <cellStyle name="Total 2 16 5 4" xfId="59339"/>
    <cellStyle name="Total 2 16 6" xfId="20069"/>
    <cellStyle name="Total 2 16 6 2" xfId="28391"/>
    <cellStyle name="Total 2 16 6 2 2" xfId="59340"/>
    <cellStyle name="Total 2 16 6 2 3" xfId="59341"/>
    <cellStyle name="Total 2 16 6 3" xfId="35516"/>
    <cellStyle name="Total 2 16 6 4" xfId="59342"/>
    <cellStyle name="Total 2 16 7" xfId="21026"/>
    <cellStyle name="Total 2 16 7 2" xfId="29343"/>
    <cellStyle name="Total 2 16 7 2 2" xfId="59343"/>
    <cellStyle name="Total 2 16 7 2 3" xfId="59344"/>
    <cellStyle name="Total 2 16 7 3" xfId="36423"/>
    <cellStyle name="Total 2 16 7 4" xfId="59345"/>
    <cellStyle name="Total 2 16 8" xfId="21533"/>
    <cellStyle name="Total 2 16 8 2" xfId="29834"/>
    <cellStyle name="Total 2 16 8 2 2" xfId="59346"/>
    <cellStyle name="Total 2 16 8 2 3" xfId="59347"/>
    <cellStyle name="Total 2 16 8 3" xfId="36893"/>
    <cellStyle name="Total 2 16 8 4" xfId="59348"/>
    <cellStyle name="Total 2 16 9" xfId="22461"/>
    <cellStyle name="Total 2 16 9 2" xfId="30757"/>
    <cellStyle name="Total 2 16 9 3" xfId="37776"/>
    <cellStyle name="Total 2 17" xfId="15124"/>
    <cellStyle name="Total 2 17 10" xfId="59349"/>
    <cellStyle name="Total 2 17 2" xfId="16204"/>
    <cellStyle name="Total 2 17 2 2" xfId="24517"/>
    <cellStyle name="Total 2 17 2 2 2" xfId="59350"/>
    <cellStyle name="Total 2 17 2 2 3" xfId="59351"/>
    <cellStyle name="Total 2 17 2 3" xfId="31794"/>
    <cellStyle name="Total 2 17 2 4" xfId="59352"/>
    <cellStyle name="Total 2 17 3" xfId="17170"/>
    <cellStyle name="Total 2 17 3 2" xfId="25491"/>
    <cellStyle name="Total 2 17 3 2 2" xfId="59353"/>
    <cellStyle name="Total 2 17 3 2 3" xfId="59354"/>
    <cellStyle name="Total 2 17 3 3" xfId="32727"/>
    <cellStyle name="Total 2 17 3 4" xfId="59355"/>
    <cellStyle name="Total 2 17 4" xfId="18198"/>
    <cellStyle name="Total 2 17 4 2" xfId="26518"/>
    <cellStyle name="Total 2 17 4 2 2" xfId="59356"/>
    <cellStyle name="Total 2 17 4 2 3" xfId="59357"/>
    <cellStyle name="Total 2 17 4 3" xfId="33705"/>
    <cellStyle name="Total 2 17 4 4" xfId="59358"/>
    <cellStyle name="Total 2 17 5" xfId="19182"/>
    <cellStyle name="Total 2 17 5 2" xfId="27502"/>
    <cellStyle name="Total 2 17 5 2 2" xfId="59359"/>
    <cellStyle name="Total 2 17 5 2 3" xfId="59360"/>
    <cellStyle name="Total 2 17 5 3" xfId="34650"/>
    <cellStyle name="Total 2 17 5 4" xfId="59361"/>
    <cellStyle name="Total 2 17 6" xfId="20150"/>
    <cellStyle name="Total 2 17 6 2" xfId="28472"/>
    <cellStyle name="Total 2 17 6 2 2" xfId="59362"/>
    <cellStyle name="Total 2 17 6 2 3" xfId="59363"/>
    <cellStyle name="Total 2 17 6 3" xfId="35597"/>
    <cellStyle name="Total 2 17 6 4" xfId="59364"/>
    <cellStyle name="Total 2 17 7" xfId="21611"/>
    <cellStyle name="Total 2 17 7 2" xfId="29912"/>
    <cellStyle name="Total 2 17 7 2 2" xfId="59365"/>
    <cellStyle name="Total 2 17 7 2 3" xfId="59366"/>
    <cellStyle name="Total 2 17 7 3" xfId="36971"/>
    <cellStyle name="Total 2 17 7 4" xfId="59367"/>
    <cellStyle name="Total 2 17 8" xfId="22539"/>
    <cellStyle name="Total 2 17 8 2" xfId="30835"/>
    <cellStyle name="Total 2 17 8 3" xfId="37854"/>
    <cellStyle name="Total 2 17 9" xfId="23481"/>
    <cellStyle name="Total 2 18" xfId="15173"/>
    <cellStyle name="Total 2 18 10" xfId="59368"/>
    <cellStyle name="Total 2 18 2" xfId="16253"/>
    <cellStyle name="Total 2 18 2 2" xfId="24566"/>
    <cellStyle name="Total 2 18 2 2 2" xfId="59369"/>
    <cellStyle name="Total 2 18 2 2 3" xfId="59370"/>
    <cellStyle name="Total 2 18 2 3" xfId="31838"/>
    <cellStyle name="Total 2 18 2 4" xfId="59371"/>
    <cellStyle name="Total 2 18 3" xfId="17219"/>
    <cellStyle name="Total 2 18 3 2" xfId="25540"/>
    <cellStyle name="Total 2 18 3 2 2" xfId="59372"/>
    <cellStyle name="Total 2 18 3 2 3" xfId="59373"/>
    <cellStyle name="Total 2 18 3 3" xfId="32771"/>
    <cellStyle name="Total 2 18 3 4" xfId="59374"/>
    <cellStyle name="Total 2 18 4" xfId="18247"/>
    <cellStyle name="Total 2 18 4 2" xfId="26567"/>
    <cellStyle name="Total 2 18 4 2 2" xfId="59375"/>
    <cellStyle name="Total 2 18 4 2 3" xfId="59376"/>
    <cellStyle name="Total 2 18 4 3" xfId="33749"/>
    <cellStyle name="Total 2 18 4 4" xfId="59377"/>
    <cellStyle name="Total 2 18 5" xfId="19231"/>
    <cellStyle name="Total 2 18 5 2" xfId="27551"/>
    <cellStyle name="Total 2 18 5 2 2" xfId="59378"/>
    <cellStyle name="Total 2 18 5 2 3" xfId="59379"/>
    <cellStyle name="Total 2 18 5 3" xfId="34699"/>
    <cellStyle name="Total 2 18 5 4" xfId="59380"/>
    <cellStyle name="Total 2 18 6" xfId="20199"/>
    <cellStyle name="Total 2 18 6 2" xfId="28521"/>
    <cellStyle name="Total 2 18 6 2 2" xfId="59381"/>
    <cellStyle name="Total 2 18 6 2 3" xfId="59382"/>
    <cellStyle name="Total 2 18 6 3" xfId="35641"/>
    <cellStyle name="Total 2 18 6 4" xfId="59383"/>
    <cellStyle name="Total 2 18 7" xfId="21660"/>
    <cellStyle name="Total 2 18 7 2" xfId="29961"/>
    <cellStyle name="Total 2 18 7 2 2" xfId="59384"/>
    <cellStyle name="Total 2 18 7 2 3" xfId="59385"/>
    <cellStyle name="Total 2 18 7 3" xfId="37015"/>
    <cellStyle name="Total 2 18 7 4" xfId="59386"/>
    <cellStyle name="Total 2 18 8" xfId="22588"/>
    <cellStyle name="Total 2 18 8 2" xfId="30884"/>
    <cellStyle name="Total 2 18 8 3" xfId="37898"/>
    <cellStyle name="Total 2 18 9" xfId="23530"/>
    <cellStyle name="Total 2 19" xfId="15108"/>
    <cellStyle name="Total 2 19 10" xfId="59387"/>
    <cellStyle name="Total 2 19 2" xfId="16188"/>
    <cellStyle name="Total 2 19 2 2" xfId="24501"/>
    <cellStyle name="Total 2 19 2 2 2" xfId="59388"/>
    <cellStyle name="Total 2 19 2 2 3" xfId="59389"/>
    <cellStyle name="Total 2 19 2 3" xfId="31778"/>
    <cellStyle name="Total 2 19 2 4" xfId="59390"/>
    <cellStyle name="Total 2 19 3" xfId="17154"/>
    <cellStyle name="Total 2 19 3 2" xfId="25475"/>
    <cellStyle name="Total 2 19 3 2 2" xfId="59391"/>
    <cellStyle name="Total 2 19 3 2 3" xfId="59392"/>
    <cellStyle name="Total 2 19 3 3" xfId="32711"/>
    <cellStyle name="Total 2 19 3 4" xfId="59393"/>
    <cellStyle name="Total 2 19 4" xfId="18182"/>
    <cellStyle name="Total 2 19 4 2" xfId="26502"/>
    <cellStyle name="Total 2 19 4 2 2" xfId="59394"/>
    <cellStyle name="Total 2 19 4 2 3" xfId="59395"/>
    <cellStyle name="Total 2 19 4 3" xfId="33689"/>
    <cellStyle name="Total 2 19 4 4" xfId="59396"/>
    <cellStyle name="Total 2 19 5" xfId="19166"/>
    <cellStyle name="Total 2 19 5 2" xfId="27486"/>
    <cellStyle name="Total 2 19 5 2 2" xfId="59397"/>
    <cellStyle name="Total 2 19 5 2 3" xfId="59398"/>
    <cellStyle name="Total 2 19 5 3" xfId="34634"/>
    <cellStyle name="Total 2 19 5 4" xfId="59399"/>
    <cellStyle name="Total 2 19 6" xfId="20134"/>
    <cellStyle name="Total 2 19 6 2" xfId="28456"/>
    <cellStyle name="Total 2 19 6 2 2" xfId="59400"/>
    <cellStyle name="Total 2 19 6 2 3" xfId="59401"/>
    <cellStyle name="Total 2 19 6 3" xfId="35581"/>
    <cellStyle name="Total 2 19 6 4" xfId="59402"/>
    <cellStyle name="Total 2 19 7" xfId="21595"/>
    <cellStyle name="Total 2 19 7 2" xfId="29896"/>
    <cellStyle name="Total 2 19 7 2 2" xfId="59403"/>
    <cellStyle name="Total 2 19 7 2 3" xfId="59404"/>
    <cellStyle name="Total 2 19 7 3" xfId="36955"/>
    <cellStyle name="Total 2 19 7 4" xfId="59405"/>
    <cellStyle name="Total 2 19 8" xfId="22523"/>
    <cellStyle name="Total 2 19 8 2" xfId="30819"/>
    <cellStyle name="Total 2 19 8 3" xfId="37838"/>
    <cellStyle name="Total 2 19 9" xfId="23465"/>
    <cellStyle name="Total 2 2" xfId="57"/>
    <cellStyle name="Total 2 2 10" xfId="14667"/>
    <cellStyle name="Total 2 2 10 10" xfId="23029"/>
    <cellStyle name="Total 2 2 10 2" xfId="15748"/>
    <cellStyle name="Total 2 2 10 2 2" xfId="24064"/>
    <cellStyle name="Total 2 2 10 2 2 2" xfId="59406"/>
    <cellStyle name="Total 2 2 10 2 2 3" xfId="59407"/>
    <cellStyle name="Total 2 2 10 2 3" xfId="31356"/>
    <cellStyle name="Total 2 2 10 2 4" xfId="59408"/>
    <cellStyle name="Total 2 2 10 3" xfId="16714"/>
    <cellStyle name="Total 2 2 10 3 2" xfId="25035"/>
    <cellStyle name="Total 2 2 10 3 2 2" xfId="59409"/>
    <cellStyle name="Total 2 2 10 3 2 3" xfId="59410"/>
    <cellStyle name="Total 2 2 10 3 3" xfId="32289"/>
    <cellStyle name="Total 2 2 10 3 4" xfId="59411"/>
    <cellStyle name="Total 2 2 10 4" xfId="17738"/>
    <cellStyle name="Total 2 2 10 4 2" xfId="26061"/>
    <cellStyle name="Total 2 2 10 4 2 2" xfId="59412"/>
    <cellStyle name="Total 2 2 10 4 2 3" xfId="59413"/>
    <cellStyle name="Total 2 2 10 4 3" xfId="33266"/>
    <cellStyle name="Total 2 2 10 4 4" xfId="59414"/>
    <cellStyle name="Total 2 2 10 5" xfId="18721"/>
    <cellStyle name="Total 2 2 10 5 2" xfId="27042"/>
    <cellStyle name="Total 2 2 10 5 2 2" xfId="59415"/>
    <cellStyle name="Total 2 2 10 5 2 3" xfId="59416"/>
    <cellStyle name="Total 2 2 10 5 3" xfId="34205"/>
    <cellStyle name="Total 2 2 10 5 4" xfId="59417"/>
    <cellStyle name="Total 2 2 10 6" xfId="19690"/>
    <cellStyle name="Total 2 2 10 6 2" xfId="28011"/>
    <cellStyle name="Total 2 2 10 6 2 2" xfId="59418"/>
    <cellStyle name="Total 2 2 10 6 2 3" xfId="59419"/>
    <cellStyle name="Total 2 2 10 6 3" xfId="35151"/>
    <cellStyle name="Total 2 2 10 6 4" xfId="59420"/>
    <cellStyle name="Total 2 2 10 7" xfId="20647"/>
    <cellStyle name="Total 2 2 10 7 2" xfId="28968"/>
    <cellStyle name="Total 2 2 10 7 2 2" xfId="59421"/>
    <cellStyle name="Total 2 2 10 7 2 3" xfId="59422"/>
    <cellStyle name="Total 2 2 10 7 3" xfId="36066"/>
    <cellStyle name="Total 2 2 10 7 4" xfId="59423"/>
    <cellStyle name="Total 2 2 10 8" xfId="21268"/>
    <cellStyle name="Total 2 2 10 8 2" xfId="29576"/>
    <cellStyle name="Total 2 2 10 8 2 2" xfId="59424"/>
    <cellStyle name="Total 2 2 10 8 2 3" xfId="59425"/>
    <cellStyle name="Total 2 2 10 8 3" xfId="36643"/>
    <cellStyle name="Total 2 2 10 8 4" xfId="59426"/>
    <cellStyle name="Total 2 2 10 9" xfId="22084"/>
    <cellStyle name="Total 2 2 10 9 2" xfId="30382"/>
    <cellStyle name="Total 2 2 10 9 3" xfId="37417"/>
    <cellStyle name="Total 2 2 11" xfId="14754"/>
    <cellStyle name="Total 2 2 11 10" xfId="23118"/>
    <cellStyle name="Total 2 2 11 11" xfId="59427"/>
    <cellStyle name="Total 2 2 11 2" xfId="15835"/>
    <cellStyle name="Total 2 2 11 2 2" xfId="24153"/>
    <cellStyle name="Total 2 2 11 2 2 2" xfId="59428"/>
    <cellStyle name="Total 2 2 11 2 2 3" xfId="59429"/>
    <cellStyle name="Total 2 2 11 2 3" xfId="31441"/>
    <cellStyle name="Total 2 2 11 2 4" xfId="59430"/>
    <cellStyle name="Total 2 2 11 3" xfId="16801"/>
    <cellStyle name="Total 2 2 11 3 2" xfId="25125"/>
    <cellStyle name="Total 2 2 11 3 2 2" xfId="59431"/>
    <cellStyle name="Total 2 2 11 3 2 3" xfId="59432"/>
    <cellStyle name="Total 2 2 11 3 3" xfId="32374"/>
    <cellStyle name="Total 2 2 11 3 4" xfId="59433"/>
    <cellStyle name="Total 2 2 11 4" xfId="17827"/>
    <cellStyle name="Total 2 2 11 4 2" xfId="26151"/>
    <cellStyle name="Total 2 2 11 4 2 2" xfId="59434"/>
    <cellStyle name="Total 2 2 11 4 2 3" xfId="59435"/>
    <cellStyle name="Total 2 2 11 4 3" xfId="33351"/>
    <cellStyle name="Total 2 2 11 4 4" xfId="59436"/>
    <cellStyle name="Total 2 2 11 5" xfId="18811"/>
    <cellStyle name="Total 2 2 11 5 2" xfId="27132"/>
    <cellStyle name="Total 2 2 11 5 2 2" xfId="59437"/>
    <cellStyle name="Total 2 2 11 5 2 3" xfId="59438"/>
    <cellStyle name="Total 2 2 11 5 3" xfId="34291"/>
    <cellStyle name="Total 2 2 11 5 4" xfId="59439"/>
    <cellStyle name="Total 2 2 11 6" xfId="19779"/>
    <cellStyle name="Total 2 2 11 6 2" xfId="28101"/>
    <cellStyle name="Total 2 2 11 6 2 2" xfId="59440"/>
    <cellStyle name="Total 2 2 11 6 2 3" xfId="59441"/>
    <cellStyle name="Total 2 2 11 6 3" xfId="35237"/>
    <cellStyle name="Total 2 2 11 6 4" xfId="59442"/>
    <cellStyle name="Total 2 2 11 7" xfId="20737"/>
    <cellStyle name="Total 2 2 11 7 2" xfId="29058"/>
    <cellStyle name="Total 2 2 11 7 2 2" xfId="59443"/>
    <cellStyle name="Total 2 2 11 7 2 3" xfId="59444"/>
    <cellStyle name="Total 2 2 11 7 3" xfId="36150"/>
    <cellStyle name="Total 2 2 11 7 4" xfId="59445"/>
    <cellStyle name="Total 2 2 11 8" xfId="21077"/>
    <cellStyle name="Total 2 2 11 8 2" xfId="29394"/>
    <cellStyle name="Total 2 2 11 8 2 2" xfId="59446"/>
    <cellStyle name="Total 2 2 11 8 2 3" xfId="59447"/>
    <cellStyle name="Total 2 2 11 8 3" xfId="36470"/>
    <cellStyle name="Total 2 2 11 8 4" xfId="59448"/>
    <cellStyle name="Total 2 2 11 9" xfId="22173"/>
    <cellStyle name="Total 2 2 11 9 2" xfId="30471"/>
    <cellStyle name="Total 2 2 11 9 3" xfId="37502"/>
    <cellStyle name="Total 2 2 12" xfId="14797"/>
    <cellStyle name="Total 2 2 12 10" xfId="23161"/>
    <cellStyle name="Total 2 2 12 11" xfId="59449"/>
    <cellStyle name="Total 2 2 12 2" xfId="15878"/>
    <cellStyle name="Total 2 2 12 2 2" xfId="24196"/>
    <cellStyle name="Total 2 2 12 2 2 2" xfId="59450"/>
    <cellStyle name="Total 2 2 12 2 2 3" xfId="59451"/>
    <cellStyle name="Total 2 2 12 2 3" xfId="31482"/>
    <cellStyle name="Total 2 2 12 2 4" xfId="59452"/>
    <cellStyle name="Total 2 2 12 3" xfId="16844"/>
    <cellStyle name="Total 2 2 12 3 2" xfId="25168"/>
    <cellStyle name="Total 2 2 12 3 2 2" xfId="59453"/>
    <cellStyle name="Total 2 2 12 3 2 3" xfId="59454"/>
    <cellStyle name="Total 2 2 12 3 3" xfId="32415"/>
    <cellStyle name="Total 2 2 12 3 4" xfId="59455"/>
    <cellStyle name="Total 2 2 12 4" xfId="17871"/>
    <cellStyle name="Total 2 2 12 4 2" xfId="26194"/>
    <cellStyle name="Total 2 2 12 4 2 2" xfId="59456"/>
    <cellStyle name="Total 2 2 12 4 2 3" xfId="59457"/>
    <cellStyle name="Total 2 2 12 4 3" xfId="33392"/>
    <cellStyle name="Total 2 2 12 4 4" xfId="59458"/>
    <cellStyle name="Total 2 2 12 5" xfId="18855"/>
    <cellStyle name="Total 2 2 12 5 2" xfId="27175"/>
    <cellStyle name="Total 2 2 12 5 2 2" xfId="59459"/>
    <cellStyle name="Total 2 2 12 5 2 3" xfId="59460"/>
    <cellStyle name="Total 2 2 12 5 3" xfId="34332"/>
    <cellStyle name="Total 2 2 12 5 4" xfId="59461"/>
    <cellStyle name="Total 2 2 12 6" xfId="19823"/>
    <cellStyle name="Total 2 2 12 6 2" xfId="28145"/>
    <cellStyle name="Total 2 2 12 6 2 2" xfId="59462"/>
    <cellStyle name="Total 2 2 12 6 2 3" xfId="59463"/>
    <cellStyle name="Total 2 2 12 6 3" xfId="35279"/>
    <cellStyle name="Total 2 2 12 6 4" xfId="59464"/>
    <cellStyle name="Total 2 2 12 7" xfId="20781"/>
    <cellStyle name="Total 2 2 12 7 2" xfId="29101"/>
    <cellStyle name="Total 2 2 12 7 2 2" xfId="59465"/>
    <cellStyle name="Total 2 2 12 7 2 3" xfId="59466"/>
    <cellStyle name="Total 2 2 12 7 3" xfId="36191"/>
    <cellStyle name="Total 2 2 12 7 4" xfId="59467"/>
    <cellStyle name="Total 2 2 12 8" xfId="20502"/>
    <cellStyle name="Total 2 2 12 8 2" xfId="28824"/>
    <cellStyle name="Total 2 2 12 8 2 2" xfId="59468"/>
    <cellStyle name="Total 2 2 12 8 2 3" xfId="59469"/>
    <cellStyle name="Total 2 2 12 8 3" xfId="35930"/>
    <cellStyle name="Total 2 2 12 8 4" xfId="59470"/>
    <cellStyle name="Total 2 2 12 9" xfId="22217"/>
    <cellStyle name="Total 2 2 12 9 2" xfId="30515"/>
    <cellStyle name="Total 2 2 12 9 3" xfId="37543"/>
    <cellStyle name="Total 2 2 13" xfId="14813"/>
    <cellStyle name="Total 2 2 13 10" xfId="23177"/>
    <cellStyle name="Total 2 2 13 11" xfId="59471"/>
    <cellStyle name="Total 2 2 13 2" xfId="15894"/>
    <cellStyle name="Total 2 2 13 2 2" xfId="24212"/>
    <cellStyle name="Total 2 2 13 2 2 2" xfId="59472"/>
    <cellStyle name="Total 2 2 13 2 2 3" xfId="59473"/>
    <cellStyle name="Total 2 2 13 2 3" xfId="31498"/>
    <cellStyle name="Total 2 2 13 2 4" xfId="59474"/>
    <cellStyle name="Total 2 2 13 3" xfId="16860"/>
    <cellStyle name="Total 2 2 13 3 2" xfId="25184"/>
    <cellStyle name="Total 2 2 13 3 2 2" xfId="59475"/>
    <cellStyle name="Total 2 2 13 3 2 3" xfId="59476"/>
    <cellStyle name="Total 2 2 13 3 3" xfId="32431"/>
    <cellStyle name="Total 2 2 13 3 4" xfId="59477"/>
    <cellStyle name="Total 2 2 13 4" xfId="17887"/>
    <cellStyle name="Total 2 2 13 4 2" xfId="26210"/>
    <cellStyle name="Total 2 2 13 4 2 2" xfId="59478"/>
    <cellStyle name="Total 2 2 13 4 2 3" xfId="59479"/>
    <cellStyle name="Total 2 2 13 4 3" xfId="33408"/>
    <cellStyle name="Total 2 2 13 4 4" xfId="59480"/>
    <cellStyle name="Total 2 2 13 5" xfId="18871"/>
    <cellStyle name="Total 2 2 13 5 2" xfId="27191"/>
    <cellStyle name="Total 2 2 13 5 2 2" xfId="59481"/>
    <cellStyle name="Total 2 2 13 5 2 3" xfId="59482"/>
    <cellStyle name="Total 2 2 13 5 3" xfId="34348"/>
    <cellStyle name="Total 2 2 13 5 4" xfId="59483"/>
    <cellStyle name="Total 2 2 13 6" xfId="19839"/>
    <cellStyle name="Total 2 2 13 6 2" xfId="28161"/>
    <cellStyle name="Total 2 2 13 6 2 2" xfId="59484"/>
    <cellStyle name="Total 2 2 13 6 2 3" xfId="59485"/>
    <cellStyle name="Total 2 2 13 6 3" xfId="35295"/>
    <cellStyle name="Total 2 2 13 6 4" xfId="59486"/>
    <cellStyle name="Total 2 2 13 7" xfId="20797"/>
    <cellStyle name="Total 2 2 13 7 2" xfId="29117"/>
    <cellStyle name="Total 2 2 13 7 2 2" xfId="59487"/>
    <cellStyle name="Total 2 2 13 7 2 3" xfId="59488"/>
    <cellStyle name="Total 2 2 13 7 3" xfId="36206"/>
    <cellStyle name="Total 2 2 13 7 4" xfId="59489"/>
    <cellStyle name="Total 2 2 13 8" xfId="21303"/>
    <cellStyle name="Total 2 2 13 8 2" xfId="29610"/>
    <cellStyle name="Total 2 2 13 8 2 2" xfId="59490"/>
    <cellStyle name="Total 2 2 13 8 2 3" xfId="59491"/>
    <cellStyle name="Total 2 2 13 8 3" xfId="36677"/>
    <cellStyle name="Total 2 2 13 8 4" xfId="59492"/>
    <cellStyle name="Total 2 2 13 9" xfId="22232"/>
    <cellStyle name="Total 2 2 13 9 2" xfId="30531"/>
    <cellStyle name="Total 2 2 13 9 3" xfId="37559"/>
    <cellStyle name="Total 2 2 14" xfId="14838"/>
    <cellStyle name="Total 2 2 14 10" xfId="23201"/>
    <cellStyle name="Total 2 2 14 11" xfId="59493"/>
    <cellStyle name="Total 2 2 14 2" xfId="15919"/>
    <cellStyle name="Total 2 2 14 2 2" xfId="24236"/>
    <cellStyle name="Total 2 2 14 2 2 2" xfId="59494"/>
    <cellStyle name="Total 2 2 14 2 2 3" xfId="59495"/>
    <cellStyle name="Total 2 2 14 2 3" xfId="31520"/>
    <cellStyle name="Total 2 2 14 2 4" xfId="59496"/>
    <cellStyle name="Total 2 2 14 3" xfId="16885"/>
    <cellStyle name="Total 2 2 14 3 2" xfId="25208"/>
    <cellStyle name="Total 2 2 14 3 2 2" xfId="59497"/>
    <cellStyle name="Total 2 2 14 3 2 3" xfId="59498"/>
    <cellStyle name="Total 2 2 14 3 3" xfId="32453"/>
    <cellStyle name="Total 2 2 14 3 4" xfId="59499"/>
    <cellStyle name="Total 2 2 14 4" xfId="17912"/>
    <cellStyle name="Total 2 2 14 4 2" xfId="26234"/>
    <cellStyle name="Total 2 2 14 4 2 2" xfId="59500"/>
    <cellStyle name="Total 2 2 14 4 2 3" xfId="59501"/>
    <cellStyle name="Total 2 2 14 4 3" xfId="33430"/>
    <cellStyle name="Total 2 2 14 4 4" xfId="59502"/>
    <cellStyle name="Total 2 2 14 5" xfId="18896"/>
    <cellStyle name="Total 2 2 14 5 2" xfId="27216"/>
    <cellStyle name="Total 2 2 14 5 2 2" xfId="59503"/>
    <cellStyle name="Total 2 2 14 5 2 3" xfId="59504"/>
    <cellStyle name="Total 2 2 14 5 3" xfId="34371"/>
    <cellStyle name="Total 2 2 14 5 4" xfId="59505"/>
    <cellStyle name="Total 2 2 14 6" xfId="19864"/>
    <cellStyle name="Total 2 2 14 6 2" xfId="28186"/>
    <cellStyle name="Total 2 2 14 6 2 2" xfId="59506"/>
    <cellStyle name="Total 2 2 14 6 2 3" xfId="59507"/>
    <cellStyle name="Total 2 2 14 6 3" xfId="35318"/>
    <cellStyle name="Total 2 2 14 6 4" xfId="59508"/>
    <cellStyle name="Total 2 2 14 7" xfId="20822"/>
    <cellStyle name="Total 2 2 14 7 2" xfId="29141"/>
    <cellStyle name="Total 2 2 14 7 2 2" xfId="59509"/>
    <cellStyle name="Total 2 2 14 7 2 3" xfId="59510"/>
    <cellStyle name="Total 2 2 14 7 3" xfId="36228"/>
    <cellStyle name="Total 2 2 14 7 4" xfId="59511"/>
    <cellStyle name="Total 2 2 14 8" xfId="21312"/>
    <cellStyle name="Total 2 2 14 8 2" xfId="29618"/>
    <cellStyle name="Total 2 2 14 8 2 2" xfId="59512"/>
    <cellStyle name="Total 2 2 14 8 2 3" xfId="59513"/>
    <cellStyle name="Total 2 2 14 8 3" xfId="36685"/>
    <cellStyle name="Total 2 2 14 8 4" xfId="59514"/>
    <cellStyle name="Total 2 2 14 9" xfId="22257"/>
    <cellStyle name="Total 2 2 14 9 2" xfId="30555"/>
    <cellStyle name="Total 2 2 14 9 3" xfId="37581"/>
    <cellStyle name="Total 2 2 15" xfId="14875"/>
    <cellStyle name="Total 2 2 15 10" xfId="23238"/>
    <cellStyle name="Total 2 2 15 11" xfId="59515"/>
    <cellStyle name="Total 2 2 15 2" xfId="15956"/>
    <cellStyle name="Total 2 2 15 2 2" xfId="24273"/>
    <cellStyle name="Total 2 2 15 2 2 2" xfId="59516"/>
    <cellStyle name="Total 2 2 15 2 2 3" xfId="59517"/>
    <cellStyle name="Total 2 2 15 2 3" xfId="31556"/>
    <cellStyle name="Total 2 2 15 2 4" xfId="59518"/>
    <cellStyle name="Total 2 2 15 3" xfId="16922"/>
    <cellStyle name="Total 2 2 15 3 2" xfId="25245"/>
    <cellStyle name="Total 2 2 15 3 2 2" xfId="59519"/>
    <cellStyle name="Total 2 2 15 3 2 3" xfId="59520"/>
    <cellStyle name="Total 2 2 15 3 3" xfId="32489"/>
    <cellStyle name="Total 2 2 15 3 4" xfId="59521"/>
    <cellStyle name="Total 2 2 15 4" xfId="17949"/>
    <cellStyle name="Total 2 2 15 4 2" xfId="26271"/>
    <cellStyle name="Total 2 2 15 4 2 2" xfId="59522"/>
    <cellStyle name="Total 2 2 15 4 2 3" xfId="59523"/>
    <cellStyle name="Total 2 2 15 4 3" xfId="33466"/>
    <cellStyle name="Total 2 2 15 4 4" xfId="59524"/>
    <cellStyle name="Total 2 2 15 5" xfId="18933"/>
    <cellStyle name="Total 2 2 15 5 2" xfId="27253"/>
    <cellStyle name="Total 2 2 15 5 2 2" xfId="59525"/>
    <cellStyle name="Total 2 2 15 5 2 3" xfId="59526"/>
    <cellStyle name="Total 2 2 15 5 3" xfId="34407"/>
    <cellStyle name="Total 2 2 15 5 4" xfId="59527"/>
    <cellStyle name="Total 2 2 15 6" xfId="19901"/>
    <cellStyle name="Total 2 2 15 6 2" xfId="28223"/>
    <cellStyle name="Total 2 2 15 6 2 2" xfId="59528"/>
    <cellStyle name="Total 2 2 15 6 2 3" xfId="59529"/>
    <cellStyle name="Total 2 2 15 6 3" xfId="35354"/>
    <cellStyle name="Total 2 2 15 6 4" xfId="59530"/>
    <cellStyle name="Total 2 2 15 7" xfId="20859"/>
    <cellStyle name="Total 2 2 15 7 2" xfId="29178"/>
    <cellStyle name="Total 2 2 15 7 2 2" xfId="59531"/>
    <cellStyle name="Total 2 2 15 7 2 3" xfId="59532"/>
    <cellStyle name="Total 2 2 15 7 3" xfId="36264"/>
    <cellStyle name="Total 2 2 15 7 4" xfId="59533"/>
    <cellStyle name="Total 2 2 15 8" xfId="15494"/>
    <cellStyle name="Total 2 2 15 8 2" xfId="23834"/>
    <cellStyle name="Total 2 2 15 8 2 2" xfId="59534"/>
    <cellStyle name="Total 2 2 15 8 2 3" xfId="59535"/>
    <cellStyle name="Total 2 2 15 8 3" xfId="31183"/>
    <cellStyle name="Total 2 2 15 8 4" xfId="59536"/>
    <cellStyle name="Total 2 2 15 9" xfId="22294"/>
    <cellStyle name="Total 2 2 15 9 2" xfId="30592"/>
    <cellStyle name="Total 2 2 15 9 3" xfId="37617"/>
    <cellStyle name="Total 2 2 16" xfId="14891"/>
    <cellStyle name="Total 2 2 16 10" xfId="23254"/>
    <cellStyle name="Total 2 2 16 11" xfId="59537"/>
    <cellStyle name="Total 2 2 16 2" xfId="15972"/>
    <cellStyle name="Total 2 2 16 2 2" xfId="24289"/>
    <cellStyle name="Total 2 2 16 2 2 2" xfId="59538"/>
    <cellStyle name="Total 2 2 16 2 2 3" xfId="59539"/>
    <cellStyle name="Total 2 2 16 2 3" xfId="31570"/>
    <cellStyle name="Total 2 2 16 2 4" xfId="59540"/>
    <cellStyle name="Total 2 2 16 3" xfId="16938"/>
    <cellStyle name="Total 2 2 16 3 2" xfId="25261"/>
    <cellStyle name="Total 2 2 16 3 2 2" xfId="59541"/>
    <cellStyle name="Total 2 2 16 3 2 3" xfId="59542"/>
    <cellStyle name="Total 2 2 16 3 3" xfId="32503"/>
    <cellStyle name="Total 2 2 16 3 4" xfId="59543"/>
    <cellStyle name="Total 2 2 16 4" xfId="17965"/>
    <cellStyle name="Total 2 2 16 4 2" xfId="26287"/>
    <cellStyle name="Total 2 2 16 4 2 2" xfId="59544"/>
    <cellStyle name="Total 2 2 16 4 2 3" xfId="59545"/>
    <cellStyle name="Total 2 2 16 4 3" xfId="33480"/>
    <cellStyle name="Total 2 2 16 4 4" xfId="59546"/>
    <cellStyle name="Total 2 2 16 5" xfId="18949"/>
    <cellStyle name="Total 2 2 16 5 2" xfId="27269"/>
    <cellStyle name="Total 2 2 16 5 2 2" xfId="59547"/>
    <cellStyle name="Total 2 2 16 5 2 3" xfId="59548"/>
    <cellStyle name="Total 2 2 16 5 3" xfId="34421"/>
    <cellStyle name="Total 2 2 16 5 4" xfId="59549"/>
    <cellStyle name="Total 2 2 16 6" xfId="19917"/>
    <cellStyle name="Total 2 2 16 6 2" xfId="28239"/>
    <cellStyle name="Total 2 2 16 6 2 2" xfId="59550"/>
    <cellStyle name="Total 2 2 16 6 2 3" xfId="59551"/>
    <cellStyle name="Total 2 2 16 6 3" xfId="35368"/>
    <cellStyle name="Total 2 2 16 6 4" xfId="59552"/>
    <cellStyle name="Total 2 2 16 7" xfId="20875"/>
    <cellStyle name="Total 2 2 16 7 2" xfId="29194"/>
    <cellStyle name="Total 2 2 16 7 2 2" xfId="59553"/>
    <cellStyle name="Total 2 2 16 7 2 3" xfId="59554"/>
    <cellStyle name="Total 2 2 16 7 3" xfId="36278"/>
    <cellStyle name="Total 2 2 16 7 4" xfId="59555"/>
    <cellStyle name="Total 2 2 16 8" xfId="21382"/>
    <cellStyle name="Total 2 2 16 8 2" xfId="29685"/>
    <cellStyle name="Total 2 2 16 8 2 2" xfId="59556"/>
    <cellStyle name="Total 2 2 16 8 2 3" xfId="59557"/>
    <cellStyle name="Total 2 2 16 8 3" xfId="36748"/>
    <cellStyle name="Total 2 2 16 8 4" xfId="59558"/>
    <cellStyle name="Total 2 2 16 9" xfId="22310"/>
    <cellStyle name="Total 2 2 16 9 2" xfId="30608"/>
    <cellStyle name="Total 2 2 16 9 3" xfId="37631"/>
    <cellStyle name="Total 2 2 17" xfId="14936"/>
    <cellStyle name="Total 2 2 17 10" xfId="23299"/>
    <cellStyle name="Total 2 2 17 11" xfId="59559"/>
    <cellStyle name="Total 2 2 17 2" xfId="16017"/>
    <cellStyle name="Total 2 2 17 2 2" xfId="24334"/>
    <cellStyle name="Total 2 2 17 2 2 2" xfId="59560"/>
    <cellStyle name="Total 2 2 17 2 2 3" xfId="59561"/>
    <cellStyle name="Total 2 2 17 2 3" xfId="31614"/>
    <cellStyle name="Total 2 2 17 2 4" xfId="59562"/>
    <cellStyle name="Total 2 2 17 3" xfId="16983"/>
    <cellStyle name="Total 2 2 17 3 2" xfId="25306"/>
    <cellStyle name="Total 2 2 17 3 2 2" xfId="59563"/>
    <cellStyle name="Total 2 2 17 3 2 3" xfId="59564"/>
    <cellStyle name="Total 2 2 17 3 3" xfId="32547"/>
    <cellStyle name="Total 2 2 17 3 4" xfId="59565"/>
    <cellStyle name="Total 2 2 17 4" xfId="18010"/>
    <cellStyle name="Total 2 2 17 4 2" xfId="26332"/>
    <cellStyle name="Total 2 2 17 4 2 2" xfId="59566"/>
    <cellStyle name="Total 2 2 17 4 2 3" xfId="59567"/>
    <cellStyle name="Total 2 2 17 4 3" xfId="33524"/>
    <cellStyle name="Total 2 2 17 4 4" xfId="59568"/>
    <cellStyle name="Total 2 2 17 5" xfId="18994"/>
    <cellStyle name="Total 2 2 17 5 2" xfId="27314"/>
    <cellStyle name="Total 2 2 17 5 2 2" xfId="59569"/>
    <cellStyle name="Total 2 2 17 5 2 3" xfId="59570"/>
    <cellStyle name="Total 2 2 17 5 3" xfId="34465"/>
    <cellStyle name="Total 2 2 17 5 4" xfId="59571"/>
    <cellStyle name="Total 2 2 17 6" xfId="19962"/>
    <cellStyle name="Total 2 2 17 6 2" xfId="28284"/>
    <cellStyle name="Total 2 2 17 6 2 2" xfId="59572"/>
    <cellStyle name="Total 2 2 17 6 2 3" xfId="59573"/>
    <cellStyle name="Total 2 2 17 6 3" xfId="35412"/>
    <cellStyle name="Total 2 2 17 6 4" xfId="59574"/>
    <cellStyle name="Total 2 2 17 7" xfId="20920"/>
    <cellStyle name="Total 2 2 17 7 2" xfId="29239"/>
    <cellStyle name="Total 2 2 17 7 2 2" xfId="59575"/>
    <cellStyle name="Total 2 2 17 7 2 3" xfId="59576"/>
    <cellStyle name="Total 2 2 17 7 3" xfId="36322"/>
    <cellStyle name="Total 2 2 17 7 4" xfId="59577"/>
    <cellStyle name="Total 2 2 17 8" xfId="21427"/>
    <cellStyle name="Total 2 2 17 8 2" xfId="29730"/>
    <cellStyle name="Total 2 2 17 8 2 2" xfId="59578"/>
    <cellStyle name="Total 2 2 17 8 2 3" xfId="59579"/>
    <cellStyle name="Total 2 2 17 8 3" xfId="36792"/>
    <cellStyle name="Total 2 2 17 8 4" xfId="59580"/>
    <cellStyle name="Total 2 2 17 9" xfId="22355"/>
    <cellStyle name="Total 2 2 17 9 2" xfId="30653"/>
    <cellStyle name="Total 2 2 17 9 3" xfId="37675"/>
    <cellStyle name="Total 2 2 18" xfId="14907"/>
    <cellStyle name="Total 2 2 18 10" xfId="23270"/>
    <cellStyle name="Total 2 2 18 11" xfId="59581"/>
    <cellStyle name="Total 2 2 18 2" xfId="15988"/>
    <cellStyle name="Total 2 2 18 2 2" xfId="24305"/>
    <cellStyle name="Total 2 2 18 2 2 2" xfId="59582"/>
    <cellStyle name="Total 2 2 18 2 2 3" xfId="59583"/>
    <cellStyle name="Total 2 2 18 2 3" xfId="31585"/>
    <cellStyle name="Total 2 2 18 2 4" xfId="59584"/>
    <cellStyle name="Total 2 2 18 3" xfId="16954"/>
    <cellStyle name="Total 2 2 18 3 2" xfId="25277"/>
    <cellStyle name="Total 2 2 18 3 2 2" xfId="59585"/>
    <cellStyle name="Total 2 2 18 3 2 3" xfId="59586"/>
    <cellStyle name="Total 2 2 18 3 3" xfId="32518"/>
    <cellStyle name="Total 2 2 18 3 4" xfId="59587"/>
    <cellStyle name="Total 2 2 18 4" xfId="17981"/>
    <cellStyle name="Total 2 2 18 4 2" xfId="26303"/>
    <cellStyle name="Total 2 2 18 4 2 2" xfId="59588"/>
    <cellStyle name="Total 2 2 18 4 2 3" xfId="59589"/>
    <cellStyle name="Total 2 2 18 4 3" xfId="33495"/>
    <cellStyle name="Total 2 2 18 4 4" xfId="59590"/>
    <cellStyle name="Total 2 2 18 5" xfId="18965"/>
    <cellStyle name="Total 2 2 18 5 2" xfId="27285"/>
    <cellStyle name="Total 2 2 18 5 2 2" xfId="59591"/>
    <cellStyle name="Total 2 2 18 5 2 3" xfId="59592"/>
    <cellStyle name="Total 2 2 18 5 3" xfId="34436"/>
    <cellStyle name="Total 2 2 18 5 4" xfId="59593"/>
    <cellStyle name="Total 2 2 18 6" xfId="19933"/>
    <cellStyle name="Total 2 2 18 6 2" xfId="28255"/>
    <cellStyle name="Total 2 2 18 6 2 2" xfId="59594"/>
    <cellStyle name="Total 2 2 18 6 2 3" xfId="59595"/>
    <cellStyle name="Total 2 2 18 6 3" xfId="35383"/>
    <cellStyle name="Total 2 2 18 6 4" xfId="59596"/>
    <cellStyle name="Total 2 2 18 7" xfId="20891"/>
    <cellStyle name="Total 2 2 18 7 2" xfId="29210"/>
    <cellStyle name="Total 2 2 18 7 2 2" xfId="59597"/>
    <cellStyle name="Total 2 2 18 7 2 3" xfId="59598"/>
    <cellStyle name="Total 2 2 18 7 3" xfId="36293"/>
    <cellStyle name="Total 2 2 18 7 4" xfId="59599"/>
    <cellStyle name="Total 2 2 18 8" xfId="21398"/>
    <cellStyle name="Total 2 2 18 8 2" xfId="29701"/>
    <cellStyle name="Total 2 2 18 8 2 2" xfId="59600"/>
    <cellStyle name="Total 2 2 18 8 2 3" xfId="59601"/>
    <cellStyle name="Total 2 2 18 8 3" xfId="36763"/>
    <cellStyle name="Total 2 2 18 8 4" xfId="59602"/>
    <cellStyle name="Total 2 2 18 9" xfId="22326"/>
    <cellStyle name="Total 2 2 18 9 2" xfId="30624"/>
    <cellStyle name="Total 2 2 18 9 3" xfId="37646"/>
    <cellStyle name="Total 2 2 19" xfId="14966"/>
    <cellStyle name="Total 2 2 19 10" xfId="23327"/>
    <cellStyle name="Total 2 2 19 11" xfId="59603"/>
    <cellStyle name="Total 2 2 19 2" xfId="16047"/>
    <cellStyle name="Total 2 2 19 2 2" xfId="24362"/>
    <cellStyle name="Total 2 2 19 2 2 2" xfId="59604"/>
    <cellStyle name="Total 2 2 19 2 2 3" xfId="59605"/>
    <cellStyle name="Total 2 2 19 2 3" xfId="31641"/>
    <cellStyle name="Total 2 2 19 2 4" xfId="59606"/>
    <cellStyle name="Total 2 2 19 3" xfId="17013"/>
    <cellStyle name="Total 2 2 19 3 2" xfId="25334"/>
    <cellStyle name="Total 2 2 19 3 2 2" xfId="59607"/>
    <cellStyle name="Total 2 2 19 3 2 3" xfId="59608"/>
    <cellStyle name="Total 2 2 19 3 3" xfId="32574"/>
    <cellStyle name="Total 2 2 19 3 4" xfId="59609"/>
    <cellStyle name="Total 2 2 19 4" xfId="18040"/>
    <cellStyle name="Total 2 2 19 4 2" xfId="26360"/>
    <cellStyle name="Total 2 2 19 4 2 2" xfId="59610"/>
    <cellStyle name="Total 2 2 19 4 2 3" xfId="59611"/>
    <cellStyle name="Total 2 2 19 4 3" xfId="33551"/>
    <cellStyle name="Total 2 2 19 4 4" xfId="59612"/>
    <cellStyle name="Total 2 2 19 5" xfId="19024"/>
    <cellStyle name="Total 2 2 19 5 2" xfId="27344"/>
    <cellStyle name="Total 2 2 19 5 2 2" xfId="59613"/>
    <cellStyle name="Total 2 2 19 5 2 3" xfId="59614"/>
    <cellStyle name="Total 2 2 19 5 3" xfId="34494"/>
    <cellStyle name="Total 2 2 19 5 4" xfId="59615"/>
    <cellStyle name="Total 2 2 19 6" xfId="19992"/>
    <cellStyle name="Total 2 2 19 6 2" xfId="28314"/>
    <cellStyle name="Total 2 2 19 6 2 2" xfId="59616"/>
    <cellStyle name="Total 2 2 19 6 2 3" xfId="59617"/>
    <cellStyle name="Total 2 2 19 6 3" xfId="35441"/>
    <cellStyle name="Total 2 2 19 6 4" xfId="59618"/>
    <cellStyle name="Total 2 2 19 7" xfId="20950"/>
    <cellStyle name="Total 2 2 19 7 2" xfId="29267"/>
    <cellStyle name="Total 2 2 19 7 2 2" xfId="59619"/>
    <cellStyle name="Total 2 2 19 7 2 3" xfId="59620"/>
    <cellStyle name="Total 2 2 19 7 3" xfId="36349"/>
    <cellStyle name="Total 2 2 19 7 4" xfId="59621"/>
    <cellStyle name="Total 2 2 19 8" xfId="21457"/>
    <cellStyle name="Total 2 2 19 8 2" xfId="29758"/>
    <cellStyle name="Total 2 2 19 8 2 2" xfId="59622"/>
    <cellStyle name="Total 2 2 19 8 2 3" xfId="59623"/>
    <cellStyle name="Total 2 2 19 8 3" xfId="36819"/>
    <cellStyle name="Total 2 2 19 8 4" xfId="59624"/>
    <cellStyle name="Total 2 2 19 9" xfId="22385"/>
    <cellStyle name="Total 2 2 19 9 2" xfId="30681"/>
    <cellStyle name="Total 2 2 19 9 3" xfId="37702"/>
    <cellStyle name="Total 2 2 2" xfId="81"/>
    <cellStyle name="Total 2 2 2 10" xfId="14432"/>
    <cellStyle name="Total 2 2 2 10 2" xfId="59625"/>
    <cellStyle name="Total 2 2 2 10 3" xfId="59626"/>
    <cellStyle name="Total 2 2 2 11" xfId="59627"/>
    <cellStyle name="Total 2 2 2 12" xfId="59628"/>
    <cellStyle name="Total 2 2 2 13" xfId="59629"/>
    <cellStyle name="Total 2 2 2 14" xfId="59630"/>
    <cellStyle name="Total 2 2 2 15" xfId="59631"/>
    <cellStyle name="Total 2 2 2 2" xfId="155"/>
    <cellStyle name="Total 2 2 2 2 2" xfId="281"/>
    <cellStyle name="Total 2 2 2 2 2 2" xfId="690"/>
    <cellStyle name="Total 2 2 2 2 2 2 2" xfId="1641"/>
    <cellStyle name="Total 2 2 2 2 2 2 2 2" xfId="766"/>
    <cellStyle name="Total 2 2 2 2 2 2 2 2 2" xfId="2694"/>
    <cellStyle name="Total 2 2 2 2 2 2 2 2 2 2" xfId="6114"/>
    <cellStyle name="Total 2 2 2 2 2 2 2 2 2 2 2" xfId="12954"/>
    <cellStyle name="Total 2 2 2 2 2 2 2 2 2 3" xfId="9534"/>
    <cellStyle name="Total 2 2 2 2 2 2 2 2 3" xfId="3834"/>
    <cellStyle name="Total 2 2 2 2 2 2 2 2 3 2" xfId="7254"/>
    <cellStyle name="Total 2 2 2 2 2 2 2 2 3 2 2" xfId="14094"/>
    <cellStyle name="Total 2 2 2 2 2 2 2 2 3 3" xfId="10674"/>
    <cellStyle name="Total 2 2 2 2 2 2 2 2 4" xfId="4974"/>
    <cellStyle name="Total 2 2 2 2 2 2 2 2 4 2" xfId="11814"/>
    <cellStyle name="Total 2 2 2 2 2 2 2 2 5" xfId="8394"/>
    <cellStyle name="Total 2 2 2 2 2 2 2 3" xfId="2475"/>
    <cellStyle name="Total 2 2 2 2 2 2 2 3 2" xfId="5895"/>
    <cellStyle name="Total 2 2 2 2 2 2 2 3 2 2" xfId="12735"/>
    <cellStyle name="Total 2 2 2 2 2 2 2 3 3" xfId="9315"/>
    <cellStyle name="Total 2 2 2 2 2 2 2 4" xfId="3615"/>
    <cellStyle name="Total 2 2 2 2 2 2 2 4 2" xfId="7035"/>
    <cellStyle name="Total 2 2 2 2 2 2 2 4 2 2" xfId="13875"/>
    <cellStyle name="Total 2 2 2 2 2 2 2 4 3" xfId="10455"/>
    <cellStyle name="Total 2 2 2 2 2 2 2 5" xfId="4755"/>
    <cellStyle name="Total 2 2 2 2 2 2 2 5 2" xfId="11595"/>
    <cellStyle name="Total 2 2 2 2 2 2 2 6" xfId="8175"/>
    <cellStyle name="Total 2 2 2 2 2 2 3" xfId="38534"/>
    <cellStyle name="Total 2 2 2 2 2 2 4" xfId="59632"/>
    <cellStyle name="Total 2 2 2 2 2 2 5" xfId="59633"/>
    <cellStyle name="Total 2 2 2 2 2 2 6" xfId="59634"/>
    <cellStyle name="Total 2 2 2 2 2 3" xfId="1287"/>
    <cellStyle name="Total 2 2 2 2 2 3 2" xfId="1850"/>
    <cellStyle name="Total 2 2 2 2 2 3 2 2" xfId="2990"/>
    <cellStyle name="Total 2 2 2 2 2 3 2 2 2" xfId="6410"/>
    <cellStyle name="Total 2 2 2 2 2 3 2 2 2 2" xfId="13250"/>
    <cellStyle name="Total 2 2 2 2 2 3 2 2 3" xfId="9830"/>
    <cellStyle name="Total 2 2 2 2 2 3 2 3" xfId="4130"/>
    <cellStyle name="Total 2 2 2 2 2 3 2 3 2" xfId="7550"/>
    <cellStyle name="Total 2 2 2 2 2 3 2 3 2 2" xfId="14390"/>
    <cellStyle name="Total 2 2 2 2 2 3 2 3 3" xfId="10970"/>
    <cellStyle name="Total 2 2 2 2 2 3 2 4" xfId="5270"/>
    <cellStyle name="Total 2 2 2 2 2 3 2 4 2" xfId="12110"/>
    <cellStyle name="Total 2 2 2 2 2 3 2 5" xfId="8690"/>
    <cellStyle name="Total 2 2 2 2 2 3 3" xfId="2107"/>
    <cellStyle name="Total 2 2 2 2 2 3 3 2" xfId="5527"/>
    <cellStyle name="Total 2 2 2 2 2 3 3 2 2" xfId="12367"/>
    <cellStyle name="Total 2 2 2 2 2 3 3 3" xfId="8947"/>
    <cellStyle name="Total 2 2 2 2 2 3 4" xfId="3247"/>
    <cellStyle name="Total 2 2 2 2 2 3 4 2" xfId="6667"/>
    <cellStyle name="Total 2 2 2 2 2 3 4 2 2" xfId="13507"/>
    <cellStyle name="Total 2 2 2 2 2 3 4 3" xfId="10087"/>
    <cellStyle name="Total 2 2 2 2 2 3 5" xfId="4387"/>
    <cellStyle name="Total 2 2 2 2 2 3 5 2" xfId="11227"/>
    <cellStyle name="Total 2 2 2 2 2 3 6" xfId="7807"/>
    <cellStyle name="Total 2 2 2 2 2 4" xfId="38297"/>
    <cellStyle name="Total 2 2 2 2 2 5" xfId="59635"/>
    <cellStyle name="Total 2 2 2 2 2 6" xfId="59636"/>
    <cellStyle name="Total 2 2 2 2 2 7" xfId="59637"/>
    <cellStyle name="Total 2 2 2 2 2 8" xfId="59638"/>
    <cellStyle name="Total 2 2 2 2 3" xfId="602"/>
    <cellStyle name="Total 2 2 2 2 3 2" xfId="1589"/>
    <cellStyle name="Total 2 2 2 2 3 2 2" xfId="817"/>
    <cellStyle name="Total 2 2 2 2 3 2 2 2" xfId="2550"/>
    <cellStyle name="Total 2 2 2 2 3 2 2 2 2" xfId="5970"/>
    <cellStyle name="Total 2 2 2 2 3 2 2 2 2 2" xfId="12810"/>
    <cellStyle name="Total 2 2 2 2 3 2 2 2 3" xfId="9390"/>
    <cellStyle name="Total 2 2 2 2 3 2 2 3" xfId="3690"/>
    <cellStyle name="Total 2 2 2 2 3 2 2 3 2" xfId="7110"/>
    <cellStyle name="Total 2 2 2 2 3 2 2 3 2 2" xfId="13950"/>
    <cellStyle name="Total 2 2 2 2 3 2 2 3 3" xfId="10530"/>
    <cellStyle name="Total 2 2 2 2 3 2 2 4" xfId="4830"/>
    <cellStyle name="Total 2 2 2 2 3 2 2 4 2" xfId="11670"/>
    <cellStyle name="Total 2 2 2 2 3 2 2 5" xfId="8250"/>
    <cellStyle name="Total 2 2 2 2 3 2 3" xfId="2414"/>
    <cellStyle name="Total 2 2 2 2 3 2 3 2" xfId="5834"/>
    <cellStyle name="Total 2 2 2 2 3 2 3 2 2" xfId="12674"/>
    <cellStyle name="Total 2 2 2 2 3 2 3 3" xfId="9254"/>
    <cellStyle name="Total 2 2 2 2 3 2 4" xfId="3554"/>
    <cellStyle name="Total 2 2 2 2 3 2 4 2" xfId="6974"/>
    <cellStyle name="Total 2 2 2 2 3 2 4 2 2" xfId="13814"/>
    <cellStyle name="Total 2 2 2 2 3 2 4 3" xfId="10394"/>
    <cellStyle name="Total 2 2 2 2 3 2 5" xfId="4694"/>
    <cellStyle name="Total 2 2 2 2 3 2 5 2" xfId="11534"/>
    <cellStyle name="Total 2 2 2 2 3 2 6" xfId="8114"/>
    <cellStyle name="Total 2 2 2 2 3 3" xfId="38483"/>
    <cellStyle name="Total 2 2 2 2 3 4" xfId="59639"/>
    <cellStyle name="Total 2 2 2 2 3 5" xfId="59640"/>
    <cellStyle name="Total 2 2 2 2 3 6" xfId="59641"/>
    <cellStyle name="Total 2 2 2 2 4" xfId="1163"/>
    <cellStyle name="Total 2 2 2 2 4 2" xfId="1046"/>
    <cellStyle name="Total 2 2 2 2 4 2 2" xfId="2505"/>
    <cellStyle name="Total 2 2 2 2 4 2 2 2" xfId="5925"/>
    <cellStyle name="Total 2 2 2 2 4 2 2 2 2" xfId="12765"/>
    <cellStyle name="Total 2 2 2 2 4 2 2 3" xfId="9345"/>
    <cellStyle name="Total 2 2 2 2 4 2 3" xfId="3645"/>
    <cellStyle name="Total 2 2 2 2 4 2 3 2" xfId="7065"/>
    <cellStyle name="Total 2 2 2 2 4 2 3 2 2" xfId="13905"/>
    <cellStyle name="Total 2 2 2 2 4 2 3 3" xfId="10485"/>
    <cellStyle name="Total 2 2 2 2 4 2 4" xfId="4785"/>
    <cellStyle name="Total 2 2 2 2 4 2 4 2" xfId="11625"/>
    <cellStyle name="Total 2 2 2 2 4 2 5" xfId="8205"/>
    <cellStyle name="Total 2 2 2 2 4 3" xfId="1982"/>
    <cellStyle name="Total 2 2 2 2 4 3 2" xfId="5402"/>
    <cellStyle name="Total 2 2 2 2 4 3 2 2" xfId="12242"/>
    <cellStyle name="Total 2 2 2 2 4 3 3" xfId="8822"/>
    <cellStyle name="Total 2 2 2 2 4 4" xfId="3122"/>
    <cellStyle name="Total 2 2 2 2 4 4 2" xfId="6542"/>
    <cellStyle name="Total 2 2 2 2 4 4 2 2" xfId="13382"/>
    <cellStyle name="Total 2 2 2 2 4 4 3" xfId="9962"/>
    <cellStyle name="Total 2 2 2 2 4 5" xfId="4262"/>
    <cellStyle name="Total 2 2 2 2 4 5 2" xfId="11102"/>
    <cellStyle name="Total 2 2 2 2 4 6" xfId="7682"/>
    <cellStyle name="Total 2 2 2 2 5" xfId="15596"/>
    <cellStyle name="Total 2 2 2 2 6" xfId="23910"/>
    <cellStyle name="Total 2 2 2 2 7" xfId="38219"/>
    <cellStyle name="Total 2 2 2 2 8" xfId="59642"/>
    <cellStyle name="Total 2 2 2 3" xfId="321"/>
    <cellStyle name="Total 2 2 2 3 2" xfId="362"/>
    <cellStyle name="Total 2 2 2 3 2 2" xfId="1367"/>
    <cellStyle name="Total 2 2 2 3 2 2 2" xfId="925"/>
    <cellStyle name="Total 2 2 2 3 2 2 2 2" xfId="2677"/>
    <cellStyle name="Total 2 2 2 3 2 2 2 2 2" xfId="6097"/>
    <cellStyle name="Total 2 2 2 3 2 2 2 2 2 2" xfId="12937"/>
    <cellStyle name="Total 2 2 2 3 2 2 2 2 3" xfId="9517"/>
    <cellStyle name="Total 2 2 2 3 2 2 2 3" xfId="3817"/>
    <cellStyle name="Total 2 2 2 3 2 2 2 3 2" xfId="7237"/>
    <cellStyle name="Total 2 2 2 3 2 2 2 3 2 2" xfId="14077"/>
    <cellStyle name="Total 2 2 2 3 2 2 2 3 3" xfId="10657"/>
    <cellStyle name="Total 2 2 2 3 2 2 2 4" xfId="4957"/>
    <cellStyle name="Total 2 2 2 3 2 2 2 4 2" xfId="11797"/>
    <cellStyle name="Total 2 2 2 3 2 2 2 5" xfId="8377"/>
    <cellStyle name="Total 2 2 2 3 2 2 3" xfId="2188"/>
    <cellStyle name="Total 2 2 2 3 2 2 3 2" xfId="5608"/>
    <cellStyle name="Total 2 2 2 3 2 2 3 2 2" xfId="12448"/>
    <cellStyle name="Total 2 2 2 3 2 2 3 3" xfId="9028"/>
    <cellStyle name="Total 2 2 2 3 2 2 4" xfId="3328"/>
    <cellStyle name="Total 2 2 2 3 2 2 4 2" xfId="6748"/>
    <cellStyle name="Total 2 2 2 3 2 2 4 2 2" xfId="13588"/>
    <cellStyle name="Total 2 2 2 3 2 2 4 3" xfId="10168"/>
    <cellStyle name="Total 2 2 2 3 2 2 5" xfId="4468"/>
    <cellStyle name="Total 2 2 2 3 2 2 5 2" xfId="11308"/>
    <cellStyle name="Total 2 2 2 3 2 2 6" xfId="7888"/>
    <cellStyle name="Total 2 2 2 3 2 3" xfId="38347"/>
    <cellStyle name="Total 2 2 2 3 2 4" xfId="59643"/>
    <cellStyle name="Total 2 2 2 3 2 5" xfId="59644"/>
    <cellStyle name="Total 2 2 2 3 2 6" xfId="59645"/>
    <cellStyle name="Total 2 2 2 3 2 7" xfId="59646"/>
    <cellStyle name="Total 2 2 2 3 3" xfId="1326"/>
    <cellStyle name="Total 2 2 2 3 3 2" xfId="965"/>
    <cellStyle name="Total 2 2 2 3 3 2 2" xfId="2713"/>
    <cellStyle name="Total 2 2 2 3 3 2 2 2" xfId="6133"/>
    <cellStyle name="Total 2 2 2 3 3 2 2 2 2" xfId="12973"/>
    <cellStyle name="Total 2 2 2 3 3 2 2 3" xfId="9553"/>
    <cellStyle name="Total 2 2 2 3 3 2 3" xfId="3853"/>
    <cellStyle name="Total 2 2 2 3 3 2 3 2" xfId="7273"/>
    <cellStyle name="Total 2 2 2 3 3 2 3 2 2" xfId="14113"/>
    <cellStyle name="Total 2 2 2 3 3 2 3 3" xfId="10693"/>
    <cellStyle name="Total 2 2 2 3 3 2 4" xfId="4993"/>
    <cellStyle name="Total 2 2 2 3 3 2 4 2" xfId="11833"/>
    <cellStyle name="Total 2 2 2 3 3 2 5" xfId="8413"/>
    <cellStyle name="Total 2 2 2 3 3 3" xfId="2147"/>
    <cellStyle name="Total 2 2 2 3 3 3 2" xfId="5567"/>
    <cellStyle name="Total 2 2 2 3 3 3 2 2" xfId="12407"/>
    <cellStyle name="Total 2 2 2 3 3 3 3" xfId="8987"/>
    <cellStyle name="Total 2 2 2 3 3 4" xfId="3287"/>
    <cellStyle name="Total 2 2 2 3 3 4 2" xfId="6707"/>
    <cellStyle name="Total 2 2 2 3 3 4 2 2" xfId="13547"/>
    <cellStyle name="Total 2 2 2 3 3 4 3" xfId="10127"/>
    <cellStyle name="Total 2 2 2 3 3 5" xfId="4427"/>
    <cellStyle name="Total 2 2 2 3 3 5 2" xfId="11267"/>
    <cellStyle name="Total 2 2 2 3 3 6" xfId="7847"/>
    <cellStyle name="Total 2 2 2 3 4" xfId="16566"/>
    <cellStyle name="Total 2 2 2 3 5" xfId="24881"/>
    <cellStyle name="Total 2 2 2 3 6" xfId="32141"/>
    <cellStyle name="Total 2 2 2 3 7" xfId="59647"/>
    <cellStyle name="Total 2 2 2 3 8" xfId="59648"/>
    <cellStyle name="Total 2 2 2 4" xfId="222"/>
    <cellStyle name="Total 2 2 2 4 2" xfId="407"/>
    <cellStyle name="Total 2 2 2 4 2 2" xfId="1412"/>
    <cellStyle name="Total 2 2 2 4 2 2 2" xfId="1711"/>
    <cellStyle name="Total 2 2 2 4 2 2 2 2" xfId="2851"/>
    <cellStyle name="Total 2 2 2 4 2 2 2 2 2" xfId="6271"/>
    <cellStyle name="Total 2 2 2 4 2 2 2 2 2 2" xfId="13111"/>
    <cellStyle name="Total 2 2 2 4 2 2 2 2 3" xfId="9691"/>
    <cellStyle name="Total 2 2 2 4 2 2 2 3" xfId="3991"/>
    <cellStyle name="Total 2 2 2 4 2 2 2 3 2" xfId="7411"/>
    <cellStyle name="Total 2 2 2 4 2 2 2 3 2 2" xfId="14251"/>
    <cellStyle name="Total 2 2 2 4 2 2 2 3 3" xfId="10831"/>
    <cellStyle name="Total 2 2 2 4 2 2 2 4" xfId="5131"/>
    <cellStyle name="Total 2 2 2 4 2 2 2 4 2" xfId="11971"/>
    <cellStyle name="Total 2 2 2 4 2 2 2 5" xfId="8551"/>
    <cellStyle name="Total 2 2 2 4 2 2 3" xfId="2233"/>
    <cellStyle name="Total 2 2 2 4 2 2 3 2" xfId="5653"/>
    <cellStyle name="Total 2 2 2 4 2 2 3 2 2" xfId="12493"/>
    <cellStyle name="Total 2 2 2 4 2 2 3 3" xfId="9073"/>
    <cellStyle name="Total 2 2 2 4 2 2 4" xfId="3373"/>
    <cellStyle name="Total 2 2 2 4 2 2 4 2" xfId="6793"/>
    <cellStyle name="Total 2 2 2 4 2 2 4 2 2" xfId="13633"/>
    <cellStyle name="Total 2 2 2 4 2 2 4 3" xfId="10213"/>
    <cellStyle name="Total 2 2 2 4 2 2 5" xfId="4513"/>
    <cellStyle name="Total 2 2 2 4 2 2 5 2" xfId="11353"/>
    <cellStyle name="Total 2 2 2 4 2 2 6" xfId="7933"/>
    <cellStyle name="Total 2 2 2 4 2 3" xfId="38384"/>
    <cellStyle name="Total 2 2 2 4 2 4" xfId="59649"/>
    <cellStyle name="Total 2 2 2 4 2 5" xfId="59650"/>
    <cellStyle name="Total 2 2 2 4 2 6" xfId="59651"/>
    <cellStyle name="Total 2 2 2 4 2 7" xfId="59652"/>
    <cellStyle name="Total 2 2 2 4 3" xfId="1229"/>
    <cellStyle name="Total 2 2 2 4 3 2" xfId="1013"/>
    <cellStyle name="Total 2 2 2 4 3 2 2" xfId="2619"/>
    <cellStyle name="Total 2 2 2 4 3 2 2 2" xfId="6039"/>
    <cellStyle name="Total 2 2 2 4 3 2 2 2 2" xfId="12879"/>
    <cellStyle name="Total 2 2 2 4 3 2 2 3" xfId="9459"/>
    <cellStyle name="Total 2 2 2 4 3 2 3" xfId="3759"/>
    <cellStyle name="Total 2 2 2 4 3 2 3 2" xfId="7179"/>
    <cellStyle name="Total 2 2 2 4 3 2 3 2 2" xfId="14019"/>
    <cellStyle name="Total 2 2 2 4 3 2 3 3" xfId="10599"/>
    <cellStyle name="Total 2 2 2 4 3 2 4" xfId="4899"/>
    <cellStyle name="Total 2 2 2 4 3 2 4 2" xfId="11739"/>
    <cellStyle name="Total 2 2 2 4 3 2 5" xfId="8319"/>
    <cellStyle name="Total 2 2 2 4 3 3" xfId="2049"/>
    <cellStyle name="Total 2 2 2 4 3 3 2" xfId="5469"/>
    <cellStyle name="Total 2 2 2 4 3 3 2 2" xfId="12309"/>
    <cellStyle name="Total 2 2 2 4 3 3 3" xfId="8889"/>
    <cellStyle name="Total 2 2 2 4 3 4" xfId="3189"/>
    <cellStyle name="Total 2 2 2 4 3 4 2" xfId="6609"/>
    <cellStyle name="Total 2 2 2 4 3 4 2 2" xfId="13449"/>
    <cellStyle name="Total 2 2 2 4 3 4 3" xfId="10029"/>
    <cellStyle name="Total 2 2 2 4 3 5" xfId="4329"/>
    <cellStyle name="Total 2 2 2 4 3 5 2" xfId="11169"/>
    <cellStyle name="Total 2 2 2 4 3 6" xfId="7749"/>
    <cellStyle name="Total 2 2 2 4 4" xfId="17584"/>
    <cellStyle name="Total 2 2 2 4 5" xfId="25905"/>
    <cellStyle name="Total 2 2 2 4 6" xfId="33118"/>
    <cellStyle name="Total 2 2 2 4 7" xfId="59653"/>
    <cellStyle name="Total 2 2 2 4 8" xfId="59654"/>
    <cellStyle name="Total 2 2 2 5" xfId="484"/>
    <cellStyle name="Total 2 2 2 5 2" xfId="351"/>
    <cellStyle name="Total 2 2 2 5 2 2" xfId="1356"/>
    <cellStyle name="Total 2 2 2 5 2 2 2" xfId="936"/>
    <cellStyle name="Total 2 2 2 5 2 2 2 2" xfId="2667"/>
    <cellStyle name="Total 2 2 2 5 2 2 2 2 2" xfId="6087"/>
    <cellStyle name="Total 2 2 2 5 2 2 2 2 2 2" xfId="12927"/>
    <cellStyle name="Total 2 2 2 5 2 2 2 2 3" xfId="9507"/>
    <cellStyle name="Total 2 2 2 5 2 2 2 3" xfId="3807"/>
    <cellStyle name="Total 2 2 2 5 2 2 2 3 2" xfId="7227"/>
    <cellStyle name="Total 2 2 2 5 2 2 2 3 2 2" xfId="14067"/>
    <cellStyle name="Total 2 2 2 5 2 2 2 3 3" xfId="10647"/>
    <cellStyle name="Total 2 2 2 5 2 2 2 4" xfId="4947"/>
    <cellStyle name="Total 2 2 2 5 2 2 2 4 2" xfId="11787"/>
    <cellStyle name="Total 2 2 2 5 2 2 2 5" xfId="8367"/>
    <cellStyle name="Total 2 2 2 5 2 2 3" xfId="2177"/>
    <cellStyle name="Total 2 2 2 5 2 2 3 2" xfId="5597"/>
    <cellStyle name="Total 2 2 2 5 2 2 3 2 2" xfId="12437"/>
    <cellStyle name="Total 2 2 2 5 2 2 3 3" xfId="9017"/>
    <cellStyle name="Total 2 2 2 5 2 2 4" xfId="3317"/>
    <cellStyle name="Total 2 2 2 5 2 2 4 2" xfId="6737"/>
    <cellStyle name="Total 2 2 2 5 2 2 4 2 2" xfId="13577"/>
    <cellStyle name="Total 2 2 2 5 2 2 4 3" xfId="10157"/>
    <cellStyle name="Total 2 2 2 5 2 2 5" xfId="4457"/>
    <cellStyle name="Total 2 2 2 5 2 2 5 2" xfId="11297"/>
    <cellStyle name="Total 2 2 2 5 2 2 6" xfId="7877"/>
    <cellStyle name="Total 2 2 2 5 2 3" xfId="38340"/>
    <cellStyle name="Total 2 2 2 5 2 4" xfId="59655"/>
    <cellStyle name="Total 2 2 2 5 2 5" xfId="59656"/>
    <cellStyle name="Total 2 2 2 5 2 6" xfId="59657"/>
    <cellStyle name="Total 2 2 2 5 2 7" xfId="59658"/>
    <cellStyle name="Total 2 2 2 5 3" xfId="1488"/>
    <cellStyle name="Total 2 2 2 5 3 2" xfId="1784"/>
    <cellStyle name="Total 2 2 2 5 3 2 2" xfId="2924"/>
    <cellStyle name="Total 2 2 2 5 3 2 2 2" xfId="6344"/>
    <cellStyle name="Total 2 2 2 5 3 2 2 2 2" xfId="13184"/>
    <cellStyle name="Total 2 2 2 5 3 2 2 3" xfId="9764"/>
    <cellStyle name="Total 2 2 2 5 3 2 3" xfId="4064"/>
    <cellStyle name="Total 2 2 2 5 3 2 3 2" xfId="7484"/>
    <cellStyle name="Total 2 2 2 5 3 2 3 2 2" xfId="14324"/>
    <cellStyle name="Total 2 2 2 5 3 2 3 3" xfId="10904"/>
    <cellStyle name="Total 2 2 2 5 3 2 4" xfId="5204"/>
    <cellStyle name="Total 2 2 2 5 3 2 4 2" xfId="12044"/>
    <cellStyle name="Total 2 2 2 5 3 2 5" xfId="8624"/>
    <cellStyle name="Total 2 2 2 5 3 3" xfId="2309"/>
    <cellStyle name="Total 2 2 2 5 3 3 2" xfId="5729"/>
    <cellStyle name="Total 2 2 2 5 3 3 2 2" xfId="12569"/>
    <cellStyle name="Total 2 2 2 5 3 3 3" xfId="9149"/>
    <cellStyle name="Total 2 2 2 5 3 4" xfId="3449"/>
    <cellStyle name="Total 2 2 2 5 3 4 2" xfId="6869"/>
    <cellStyle name="Total 2 2 2 5 3 4 2 2" xfId="13709"/>
    <cellStyle name="Total 2 2 2 5 3 4 3" xfId="10289"/>
    <cellStyle name="Total 2 2 2 5 3 5" xfId="4589"/>
    <cellStyle name="Total 2 2 2 5 3 5 2" xfId="11429"/>
    <cellStyle name="Total 2 2 2 5 3 6" xfId="8009"/>
    <cellStyle name="Total 2 2 2 5 4" xfId="18565"/>
    <cellStyle name="Total 2 2 2 5 5" xfId="26883"/>
    <cellStyle name="Total 2 2 2 5 6" xfId="34052"/>
    <cellStyle name="Total 2 2 2 5 7" xfId="59659"/>
    <cellStyle name="Total 2 2 2 5 8" xfId="59660"/>
    <cellStyle name="Total 2 2 2 6" xfId="405"/>
    <cellStyle name="Total 2 2 2 6 2" xfId="533"/>
    <cellStyle name="Total 2 2 2 6 2 2" xfId="1537"/>
    <cellStyle name="Total 2 2 2 6 2 2 2" xfId="841"/>
    <cellStyle name="Total 2 2 2 6 2 2 2 2" xfId="2493"/>
    <cellStyle name="Total 2 2 2 6 2 2 2 2 2" xfId="5913"/>
    <cellStyle name="Total 2 2 2 6 2 2 2 2 2 2" xfId="12753"/>
    <cellStyle name="Total 2 2 2 6 2 2 2 2 3" xfId="9333"/>
    <cellStyle name="Total 2 2 2 6 2 2 2 3" xfId="3633"/>
    <cellStyle name="Total 2 2 2 6 2 2 2 3 2" xfId="7053"/>
    <cellStyle name="Total 2 2 2 6 2 2 2 3 2 2" xfId="13893"/>
    <cellStyle name="Total 2 2 2 6 2 2 2 3 3" xfId="10473"/>
    <cellStyle name="Total 2 2 2 6 2 2 2 4" xfId="4773"/>
    <cellStyle name="Total 2 2 2 6 2 2 2 4 2" xfId="11613"/>
    <cellStyle name="Total 2 2 2 6 2 2 2 5" xfId="8193"/>
    <cellStyle name="Total 2 2 2 6 2 2 3" xfId="2358"/>
    <cellStyle name="Total 2 2 2 6 2 2 3 2" xfId="5778"/>
    <cellStyle name="Total 2 2 2 6 2 2 3 2 2" xfId="12618"/>
    <cellStyle name="Total 2 2 2 6 2 2 3 3" xfId="9198"/>
    <cellStyle name="Total 2 2 2 6 2 2 4" xfId="3498"/>
    <cellStyle name="Total 2 2 2 6 2 2 4 2" xfId="6918"/>
    <cellStyle name="Total 2 2 2 6 2 2 4 2 2" xfId="13758"/>
    <cellStyle name="Total 2 2 2 6 2 2 4 3" xfId="10338"/>
    <cellStyle name="Total 2 2 2 6 2 2 5" xfId="4638"/>
    <cellStyle name="Total 2 2 2 6 2 2 5 2" xfId="11478"/>
    <cellStyle name="Total 2 2 2 6 2 2 6" xfId="8058"/>
    <cellStyle name="Total 2 2 2 6 2 3" xfId="38452"/>
    <cellStyle name="Total 2 2 2 6 2 4" xfId="59661"/>
    <cellStyle name="Total 2 2 2 6 2 5" xfId="59662"/>
    <cellStyle name="Total 2 2 2 6 2 6" xfId="59663"/>
    <cellStyle name="Total 2 2 2 6 2 7" xfId="59664"/>
    <cellStyle name="Total 2 2 2 6 3" xfId="1410"/>
    <cellStyle name="Total 2 2 2 6 3 2" xfId="904"/>
    <cellStyle name="Total 2 2 2 6 3 2 2" xfId="1883"/>
    <cellStyle name="Total 2 2 2 6 3 2 2 2" xfId="5303"/>
    <cellStyle name="Total 2 2 2 6 3 2 2 2 2" xfId="12143"/>
    <cellStyle name="Total 2 2 2 6 3 2 2 3" xfId="8723"/>
    <cellStyle name="Total 2 2 2 6 3 2 3" xfId="3023"/>
    <cellStyle name="Total 2 2 2 6 3 2 3 2" xfId="6443"/>
    <cellStyle name="Total 2 2 2 6 3 2 3 2 2" xfId="13283"/>
    <cellStyle name="Total 2 2 2 6 3 2 3 3" xfId="9863"/>
    <cellStyle name="Total 2 2 2 6 3 2 4" xfId="4163"/>
    <cellStyle name="Total 2 2 2 6 3 2 4 2" xfId="11003"/>
    <cellStyle name="Total 2 2 2 6 3 2 5" xfId="7583"/>
    <cellStyle name="Total 2 2 2 6 3 3" xfId="2231"/>
    <cellStyle name="Total 2 2 2 6 3 3 2" xfId="5651"/>
    <cellStyle name="Total 2 2 2 6 3 3 2 2" xfId="12491"/>
    <cellStyle name="Total 2 2 2 6 3 3 3" xfId="9071"/>
    <cellStyle name="Total 2 2 2 6 3 4" xfId="3371"/>
    <cellStyle name="Total 2 2 2 6 3 4 2" xfId="6791"/>
    <cellStyle name="Total 2 2 2 6 3 4 2 2" xfId="13631"/>
    <cellStyle name="Total 2 2 2 6 3 4 3" xfId="10211"/>
    <cellStyle name="Total 2 2 2 6 3 5" xfId="4511"/>
    <cellStyle name="Total 2 2 2 6 3 5 2" xfId="11351"/>
    <cellStyle name="Total 2 2 2 6 3 6" xfId="7931"/>
    <cellStyle name="Total 2 2 2 6 4" xfId="15522"/>
    <cellStyle name="Total 2 2 2 6 5" xfId="23858"/>
    <cellStyle name="Total 2 2 2 6 6" xfId="31205"/>
    <cellStyle name="Total 2 2 2 6 7" xfId="59665"/>
    <cellStyle name="Total 2 2 2 6 8" xfId="59666"/>
    <cellStyle name="Total 2 2 2 7" xfId="1112"/>
    <cellStyle name="Total 2 2 2 7 2" xfId="1825"/>
    <cellStyle name="Total 2 2 2 7 2 2" xfId="2965"/>
    <cellStyle name="Total 2 2 2 7 2 2 2" xfId="6385"/>
    <cellStyle name="Total 2 2 2 7 2 2 2 2" xfId="13225"/>
    <cellStyle name="Total 2 2 2 7 2 2 3" xfId="9805"/>
    <cellStyle name="Total 2 2 2 7 2 3" xfId="4105"/>
    <cellStyle name="Total 2 2 2 7 2 3 2" xfId="7525"/>
    <cellStyle name="Total 2 2 2 7 2 3 2 2" xfId="14365"/>
    <cellStyle name="Total 2 2 2 7 2 3 3" xfId="10945"/>
    <cellStyle name="Total 2 2 2 7 2 4" xfId="5245"/>
    <cellStyle name="Total 2 2 2 7 2 4 2" xfId="12085"/>
    <cellStyle name="Total 2 2 2 7 2 5" xfId="8665"/>
    <cellStyle name="Total 2 2 2 7 3" xfId="1921"/>
    <cellStyle name="Total 2 2 2 7 3 2" xfId="5341"/>
    <cellStyle name="Total 2 2 2 7 3 2 2" xfId="12181"/>
    <cellStyle name="Total 2 2 2 7 3 3" xfId="8761"/>
    <cellStyle name="Total 2 2 2 7 4" xfId="3061"/>
    <cellStyle name="Total 2 2 2 7 4 2" xfId="6481"/>
    <cellStyle name="Total 2 2 2 7 4 2 2" xfId="13321"/>
    <cellStyle name="Total 2 2 2 7 4 3" xfId="9901"/>
    <cellStyle name="Total 2 2 2 7 5" xfId="4201"/>
    <cellStyle name="Total 2 2 2 7 5 2" xfId="11041"/>
    <cellStyle name="Total 2 2 2 7 6" xfId="7621"/>
    <cellStyle name="Total 2 2 2 7 7" xfId="15501"/>
    <cellStyle name="Total 2 2 2 7 8" xfId="23841"/>
    <cellStyle name="Total 2 2 2 7 9" xfId="31190"/>
    <cellStyle name="Total 2 2 2 8" xfId="18615"/>
    <cellStyle name="Total 2 2 2 8 2" xfId="26934"/>
    <cellStyle name="Total 2 2 2 8 2 2" xfId="59667"/>
    <cellStyle name="Total 2 2 2 8 2 3" xfId="59668"/>
    <cellStyle name="Total 2 2 2 8 3" xfId="34102"/>
    <cellStyle name="Total 2 2 2 8 4" xfId="59669"/>
    <cellStyle name="Total 2 2 2 9" xfId="15563"/>
    <cellStyle name="Total 2 2 2 9 2" xfId="23889"/>
    <cellStyle name="Total 2 2 2 9 2 2" xfId="59670"/>
    <cellStyle name="Total 2 2 2 9 2 3" xfId="59671"/>
    <cellStyle name="Total 2 2 2 9 3" xfId="31233"/>
    <cellStyle name="Total 2 2 2 9 4" xfId="59672"/>
    <cellStyle name="Total 2 2 20" xfId="15010"/>
    <cellStyle name="Total 2 2 20 10" xfId="23371"/>
    <cellStyle name="Total 2 2 20 11" xfId="59673"/>
    <cellStyle name="Total 2 2 20 2" xfId="16091"/>
    <cellStyle name="Total 2 2 20 2 2" xfId="24406"/>
    <cellStyle name="Total 2 2 20 2 2 2" xfId="59674"/>
    <cellStyle name="Total 2 2 20 2 2 3" xfId="59675"/>
    <cellStyle name="Total 2 2 20 2 3" xfId="31685"/>
    <cellStyle name="Total 2 2 20 2 4" xfId="59676"/>
    <cellStyle name="Total 2 2 20 3" xfId="17057"/>
    <cellStyle name="Total 2 2 20 3 2" xfId="25378"/>
    <cellStyle name="Total 2 2 20 3 2 2" xfId="59677"/>
    <cellStyle name="Total 2 2 20 3 2 3" xfId="59678"/>
    <cellStyle name="Total 2 2 20 3 3" xfId="32618"/>
    <cellStyle name="Total 2 2 20 3 4" xfId="59679"/>
    <cellStyle name="Total 2 2 20 4" xfId="18084"/>
    <cellStyle name="Total 2 2 20 4 2" xfId="26404"/>
    <cellStyle name="Total 2 2 20 4 2 2" xfId="59680"/>
    <cellStyle name="Total 2 2 20 4 2 3" xfId="59681"/>
    <cellStyle name="Total 2 2 20 4 3" xfId="33595"/>
    <cellStyle name="Total 2 2 20 4 4" xfId="59682"/>
    <cellStyle name="Total 2 2 20 5" xfId="19068"/>
    <cellStyle name="Total 2 2 20 5 2" xfId="27388"/>
    <cellStyle name="Total 2 2 20 5 2 2" xfId="59683"/>
    <cellStyle name="Total 2 2 20 5 2 3" xfId="59684"/>
    <cellStyle name="Total 2 2 20 5 3" xfId="34538"/>
    <cellStyle name="Total 2 2 20 5 4" xfId="59685"/>
    <cellStyle name="Total 2 2 20 6" xfId="20036"/>
    <cellStyle name="Total 2 2 20 6 2" xfId="28358"/>
    <cellStyle name="Total 2 2 20 6 2 2" xfId="59686"/>
    <cellStyle name="Total 2 2 20 6 2 3" xfId="59687"/>
    <cellStyle name="Total 2 2 20 6 3" xfId="35485"/>
    <cellStyle name="Total 2 2 20 6 4" xfId="59688"/>
    <cellStyle name="Total 2 2 20 7" xfId="20994"/>
    <cellStyle name="Total 2 2 20 7 2" xfId="29311"/>
    <cellStyle name="Total 2 2 20 7 2 2" xfId="59689"/>
    <cellStyle name="Total 2 2 20 7 2 3" xfId="59690"/>
    <cellStyle name="Total 2 2 20 7 3" xfId="36393"/>
    <cellStyle name="Total 2 2 20 7 4" xfId="59691"/>
    <cellStyle name="Total 2 2 20 8" xfId="21501"/>
    <cellStyle name="Total 2 2 20 8 2" xfId="29802"/>
    <cellStyle name="Total 2 2 20 8 2 2" xfId="59692"/>
    <cellStyle name="Total 2 2 20 8 2 3" xfId="59693"/>
    <cellStyle name="Total 2 2 20 8 3" xfId="36863"/>
    <cellStyle name="Total 2 2 20 8 4" xfId="59694"/>
    <cellStyle name="Total 2 2 20 9" xfId="22429"/>
    <cellStyle name="Total 2 2 20 9 2" xfId="30725"/>
    <cellStyle name="Total 2 2 20 9 3" xfId="37746"/>
    <cellStyle name="Total 2 2 21" xfId="15080"/>
    <cellStyle name="Total 2 2 21 10" xfId="23439"/>
    <cellStyle name="Total 2 2 21 11" xfId="59695"/>
    <cellStyle name="Total 2 2 21 2" xfId="16160"/>
    <cellStyle name="Total 2 2 21 2 2" xfId="24474"/>
    <cellStyle name="Total 2 2 21 2 2 2" xfId="59696"/>
    <cellStyle name="Total 2 2 21 2 2 3" xfId="59697"/>
    <cellStyle name="Total 2 2 21 2 3" xfId="31751"/>
    <cellStyle name="Total 2 2 21 2 4" xfId="59698"/>
    <cellStyle name="Total 2 2 21 3" xfId="17127"/>
    <cellStyle name="Total 2 2 21 3 2" xfId="25448"/>
    <cellStyle name="Total 2 2 21 3 2 2" xfId="59699"/>
    <cellStyle name="Total 2 2 21 3 2 3" xfId="59700"/>
    <cellStyle name="Total 2 2 21 3 3" xfId="32685"/>
    <cellStyle name="Total 2 2 21 3 4" xfId="59701"/>
    <cellStyle name="Total 2 2 21 4" xfId="18154"/>
    <cellStyle name="Total 2 2 21 4 2" xfId="26474"/>
    <cellStyle name="Total 2 2 21 4 2 2" xfId="59702"/>
    <cellStyle name="Total 2 2 21 4 2 3" xfId="59703"/>
    <cellStyle name="Total 2 2 21 4 3" xfId="33662"/>
    <cellStyle name="Total 2 2 21 4 4" xfId="59704"/>
    <cellStyle name="Total 2 2 21 5" xfId="19138"/>
    <cellStyle name="Total 2 2 21 5 2" xfId="27458"/>
    <cellStyle name="Total 2 2 21 5 2 2" xfId="59705"/>
    <cellStyle name="Total 2 2 21 5 2 3" xfId="59706"/>
    <cellStyle name="Total 2 2 21 5 3" xfId="34606"/>
    <cellStyle name="Total 2 2 21 5 4" xfId="59707"/>
    <cellStyle name="Total 2 2 21 6" xfId="20106"/>
    <cellStyle name="Total 2 2 21 6 2" xfId="28428"/>
    <cellStyle name="Total 2 2 21 6 2 2" xfId="59708"/>
    <cellStyle name="Total 2 2 21 6 2 3" xfId="59709"/>
    <cellStyle name="Total 2 2 21 6 3" xfId="35553"/>
    <cellStyle name="Total 2 2 21 6 4" xfId="59710"/>
    <cellStyle name="Total 2 2 21 7" xfId="21062"/>
    <cellStyle name="Total 2 2 21 7 2" xfId="29379"/>
    <cellStyle name="Total 2 2 21 7 2 2" xfId="59711"/>
    <cellStyle name="Total 2 2 21 7 2 3" xfId="59712"/>
    <cellStyle name="Total 2 2 21 7 3" xfId="36458"/>
    <cellStyle name="Total 2 2 21 7 4" xfId="59713"/>
    <cellStyle name="Total 2 2 21 8" xfId="21569"/>
    <cellStyle name="Total 2 2 21 8 2" xfId="29870"/>
    <cellStyle name="Total 2 2 21 8 2 2" xfId="59714"/>
    <cellStyle name="Total 2 2 21 8 2 3" xfId="59715"/>
    <cellStyle name="Total 2 2 21 8 3" xfId="36929"/>
    <cellStyle name="Total 2 2 21 8 4" xfId="59716"/>
    <cellStyle name="Total 2 2 21 9" xfId="22497"/>
    <cellStyle name="Total 2 2 21 9 2" xfId="30793"/>
    <cellStyle name="Total 2 2 21 9 3" xfId="37812"/>
    <cellStyle name="Total 2 2 22" xfId="15140"/>
    <cellStyle name="Total 2 2 22 10" xfId="59717"/>
    <cellStyle name="Total 2 2 22 2" xfId="16220"/>
    <cellStyle name="Total 2 2 22 2 2" xfId="24533"/>
    <cellStyle name="Total 2 2 22 2 2 2" xfId="59718"/>
    <cellStyle name="Total 2 2 22 2 2 3" xfId="59719"/>
    <cellStyle name="Total 2 2 22 2 3" xfId="31808"/>
    <cellStyle name="Total 2 2 22 2 4" xfId="59720"/>
    <cellStyle name="Total 2 2 22 3" xfId="17186"/>
    <cellStyle name="Total 2 2 22 3 2" xfId="25507"/>
    <cellStyle name="Total 2 2 22 3 2 2" xfId="59721"/>
    <cellStyle name="Total 2 2 22 3 2 3" xfId="59722"/>
    <cellStyle name="Total 2 2 22 3 3" xfId="32741"/>
    <cellStyle name="Total 2 2 22 3 4" xfId="59723"/>
    <cellStyle name="Total 2 2 22 4" xfId="18214"/>
    <cellStyle name="Total 2 2 22 4 2" xfId="26534"/>
    <cellStyle name="Total 2 2 22 4 2 2" xfId="59724"/>
    <cellStyle name="Total 2 2 22 4 2 3" xfId="59725"/>
    <cellStyle name="Total 2 2 22 4 3" xfId="33719"/>
    <cellStyle name="Total 2 2 22 4 4" xfId="59726"/>
    <cellStyle name="Total 2 2 22 5" xfId="19198"/>
    <cellStyle name="Total 2 2 22 5 2" xfId="27518"/>
    <cellStyle name="Total 2 2 22 5 2 2" xfId="59727"/>
    <cellStyle name="Total 2 2 22 5 2 3" xfId="59728"/>
    <cellStyle name="Total 2 2 22 5 3" xfId="34666"/>
    <cellStyle name="Total 2 2 22 5 4" xfId="59729"/>
    <cellStyle name="Total 2 2 22 6" xfId="20166"/>
    <cellStyle name="Total 2 2 22 6 2" xfId="28488"/>
    <cellStyle name="Total 2 2 22 6 2 2" xfId="59730"/>
    <cellStyle name="Total 2 2 22 6 2 3" xfId="59731"/>
    <cellStyle name="Total 2 2 22 6 3" xfId="35611"/>
    <cellStyle name="Total 2 2 22 6 4" xfId="59732"/>
    <cellStyle name="Total 2 2 22 7" xfId="21627"/>
    <cellStyle name="Total 2 2 22 7 2" xfId="29928"/>
    <cellStyle name="Total 2 2 22 7 2 2" xfId="59733"/>
    <cellStyle name="Total 2 2 22 7 2 3" xfId="59734"/>
    <cellStyle name="Total 2 2 22 7 3" xfId="36985"/>
    <cellStyle name="Total 2 2 22 7 4" xfId="59735"/>
    <cellStyle name="Total 2 2 22 8" xfId="22555"/>
    <cellStyle name="Total 2 2 22 8 2" xfId="30851"/>
    <cellStyle name="Total 2 2 22 8 3" xfId="37868"/>
    <cellStyle name="Total 2 2 22 9" xfId="23497"/>
    <cellStyle name="Total 2 2 23" xfId="15160"/>
    <cellStyle name="Total 2 2 23 10" xfId="59736"/>
    <cellStyle name="Total 2 2 23 2" xfId="16240"/>
    <cellStyle name="Total 2 2 23 2 2" xfId="24553"/>
    <cellStyle name="Total 2 2 23 2 2 2" xfId="59737"/>
    <cellStyle name="Total 2 2 23 2 2 3" xfId="59738"/>
    <cellStyle name="Total 2 2 23 2 3" xfId="31826"/>
    <cellStyle name="Total 2 2 23 2 4" xfId="59739"/>
    <cellStyle name="Total 2 2 23 3" xfId="17206"/>
    <cellStyle name="Total 2 2 23 3 2" xfId="25527"/>
    <cellStyle name="Total 2 2 23 3 2 2" xfId="59740"/>
    <cellStyle name="Total 2 2 23 3 2 3" xfId="59741"/>
    <cellStyle name="Total 2 2 23 3 3" xfId="32759"/>
    <cellStyle name="Total 2 2 23 3 4" xfId="59742"/>
    <cellStyle name="Total 2 2 23 4" xfId="18234"/>
    <cellStyle name="Total 2 2 23 4 2" xfId="26554"/>
    <cellStyle name="Total 2 2 23 4 2 2" xfId="59743"/>
    <cellStyle name="Total 2 2 23 4 2 3" xfId="59744"/>
    <cellStyle name="Total 2 2 23 4 3" xfId="33737"/>
    <cellStyle name="Total 2 2 23 4 4" xfId="59745"/>
    <cellStyle name="Total 2 2 23 5" xfId="19218"/>
    <cellStyle name="Total 2 2 23 5 2" xfId="27538"/>
    <cellStyle name="Total 2 2 23 5 2 2" xfId="59746"/>
    <cellStyle name="Total 2 2 23 5 2 3" xfId="59747"/>
    <cellStyle name="Total 2 2 23 5 3" xfId="34686"/>
    <cellStyle name="Total 2 2 23 5 4" xfId="59748"/>
    <cellStyle name="Total 2 2 23 6" xfId="20186"/>
    <cellStyle name="Total 2 2 23 6 2" xfId="28508"/>
    <cellStyle name="Total 2 2 23 6 2 2" xfId="59749"/>
    <cellStyle name="Total 2 2 23 6 2 3" xfId="59750"/>
    <cellStyle name="Total 2 2 23 6 3" xfId="35629"/>
    <cellStyle name="Total 2 2 23 6 4" xfId="59751"/>
    <cellStyle name="Total 2 2 23 7" xfId="21647"/>
    <cellStyle name="Total 2 2 23 7 2" xfId="29948"/>
    <cellStyle name="Total 2 2 23 7 2 2" xfId="59752"/>
    <cellStyle name="Total 2 2 23 7 2 3" xfId="59753"/>
    <cellStyle name="Total 2 2 23 7 3" xfId="37003"/>
    <cellStyle name="Total 2 2 23 7 4" xfId="59754"/>
    <cellStyle name="Total 2 2 23 8" xfId="22575"/>
    <cellStyle name="Total 2 2 23 8 2" xfId="30871"/>
    <cellStyle name="Total 2 2 23 8 3" xfId="37886"/>
    <cellStyle name="Total 2 2 23 9" xfId="23517"/>
    <cellStyle name="Total 2 2 24" xfId="15182"/>
    <cellStyle name="Total 2 2 24 10" xfId="59755"/>
    <cellStyle name="Total 2 2 24 2" xfId="16262"/>
    <cellStyle name="Total 2 2 24 2 2" xfId="24575"/>
    <cellStyle name="Total 2 2 24 2 2 2" xfId="59756"/>
    <cellStyle name="Total 2 2 24 2 2 3" xfId="59757"/>
    <cellStyle name="Total 2 2 24 2 3" xfId="31847"/>
    <cellStyle name="Total 2 2 24 2 4" xfId="59758"/>
    <cellStyle name="Total 2 2 24 3" xfId="17228"/>
    <cellStyle name="Total 2 2 24 3 2" xfId="25549"/>
    <cellStyle name="Total 2 2 24 3 2 2" xfId="59759"/>
    <cellStyle name="Total 2 2 24 3 2 3" xfId="59760"/>
    <cellStyle name="Total 2 2 24 3 3" xfId="32780"/>
    <cellStyle name="Total 2 2 24 3 4" xfId="59761"/>
    <cellStyle name="Total 2 2 24 4" xfId="18256"/>
    <cellStyle name="Total 2 2 24 4 2" xfId="26576"/>
    <cellStyle name="Total 2 2 24 4 2 2" xfId="59762"/>
    <cellStyle name="Total 2 2 24 4 2 3" xfId="59763"/>
    <cellStyle name="Total 2 2 24 4 3" xfId="33758"/>
    <cellStyle name="Total 2 2 24 4 4" xfId="59764"/>
    <cellStyle name="Total 2 2 24 5" xfId="19240"/>
    <cellStyle name="Total 2 2 24 5 2" xfId="27560"/>
    <cellStyle name="Total 2 2 24 5 2 2" xfId="59765"/>
    <cellStyle name="Total 2 2 24 5 2 3" xfId="59766"/>
    <cellStyle name="Total 2 2 24 5 3" xfId="34708"/>
    <cellStyle name="Total 2 2 24 5 4" xfId="59767"/>
    <cellStyle name="Total 2 2 24 6" xfId="20208"/>
    <cellStyle name="Total 2 2 24 6 2" xfId="28530"/>
    <cellStyle name="Total 2 2 24 6 2 2" xfId="59768"/>
    <cellStyle name="Total 2 2 24 6 2 3" xfId="59769"/>
    <cellStyle name="Total 2 2 24 6 3" xfId="35650"/>
    <cellStyle name="Total 2 2 24 6 4" xfId="59770"/>
    <cellStyle name="Total 2 2 24 7" xfId="21669"/>
    <cellStyle name="Total 2 2 24 7 2" xfId="29970"/>
    <cellStyle name="Total 2 2 24 7 2 2" xfId="59771"/>
    <cellStyle name="Total 2 2 24 7 2 3" xfId="59772"/>
    <cellStyle name="Total 2 2 24 7 3" xfId="37024"/>
    <cellStyle name="Total 2 2 24 7 4" xfId="59773"/>
    <cellStyle name="Total 2 2 24 8" xfId="22597"/>
    <cellStyle name="Total 2 2 24 8 2" xfId="30893"/>
    <cellStyle name="Total 2 2 24 8 3" xfId="37907"/>
    <cellStyle name="Total 2 2 24 9" xfId="23539"/>
    <cellStyle name="Total 2 2 25" xfId="15151"/>
    <cellStyle name="Total 2 2 25 10" xfId="59774"/>
    <cellStyle name="Total 2 2 25 2" xfId="16231"/>
    <cellStyle name="Total 2 2 25 2 2" xfId="24544"/>
    <cellStyle name="Total 2 2 25 2 2 2" xfId="59775"/>
    <cellStyle name="Total 2 2 25 2 2 3" xfId="59776"/>
    <cellStyle name="Total 2 2 25 2 3" xfId="31818"/>
    <cellStyle name="Total 2 2 25 2 4" xfId="59777"/>
    <cellStyle name="Total 2 2 25 3" xfId="17197"/>
    <cellStyle name="Total 2 2 25 3 2" xfId="25518"/>
    <cellStyle name="Total 2 2 25 3 2 2" xfId="59778"/>
    <cellStyle name="Total 2 2 25 3 2 3" xfId="59779"/>
    <cellStyle name="Total 2 2 25 3 3" xfId="32751"/>
    <cellStyle name="Total 2 2 25 3 4" xfId="59780"/>
    <cellStyle name="Total 2 2 25 4" xfId="18225"/>
    <cellStyle name="Total 2 2 25 4 2" xfId="26545"/>
    <cellStyle name="Total 2 2 25 4 2 2" xfId="59781"/>
    <cellStyle name="Total 2 2 25 4 2 3" xfId="59782"/>
    <cellStyle name="Total 2 2 25 4 3" xfId="33729"/>
    <cellStyle name="Total 2 2 25 4 4" xfId="59783"/>
    <cellStyle name="Total 2 2 25 5" xfId="19209"/>
    <cellStyle name="Total 2 2 25 5 2" xfId="27529"/>
    <cellStyle name="Total 2 2 25 5 2 2" xfId="59784"/>
    <cellStyle name="Total 2 2 25 5 2 3" xfId="59785"/>
    <cellStyle name="Total 2 2 25 5 3" xfId="34677"/>
    <cellStyle name="Total 2 2 25 5 4" xfId="59786"/>
    <cellStyle name="Total 2 2 25 6" xfId="20177"/>
    <cellStyle name="Total 2 2 25 6 2" xfId="28499"/>
    <cellStyle name="Total 2 2 25 6 2 2" xfId="59787"/>
    <cellStyle name="Total 2 2 25 6 2 3" xfId="59788"/>
    <cellStyle name="Total 2 2 25 6 3" xfId="35621"/>
    <cellStyle name="Total 2 2 25 6 4" xfId="59789"/>
    <cellStyle name="Total 2 2 25 7" xfId="21638"/>
    <cellStyle name="Total 2 2 25 7 2" xfId="29939"/>
    <cellStyle name="Total 2 2 25 7 2 2" xfId="59790"/>
    <cellStyle name="Total 2 2 25 7 2 3" xfId="59791"/>
    <cellStyle name="Total 2 2 25 7 3" xfId="36995"/>
    <cellStyle name="Total 2 2 25 7 4" xfId="59792"/>
    <cellStyle name="Total 2 2 25 8" xfId="22566"/>
    <cellStyle name="Total 2 2 25 8 2" xfId="30862"/>
    <cellStyle name="Total 2 2 25 8 3" xfId="37878"/>
    <cellStyle name="Total 2 2 25 9" xfId="23508"/>
    <cellStyle name="Total 2 2 26" xfId="15198"/>
    <cellStyle name="Total 2 2 26 10" xfId="59793"/>
    <cellStyle name="Total 2 2 26 2" xfId="16278"/>
    <cellStyle name="Total 2 2 26 2 2" xfId="24591"/>
    <cellStyle name="Total 2 2 26 2 2 2" xfId="59794"/>
    <cellStyle name="Total 2 2 26 2 2 3" xfId="59795"/>
    <cellStyle name="Total 2 2 26 2 3" xfId="31861"/>
    <cellStyle name="Total 2 2 26 2 4" xfId="59796"/>
    <cellStyle name="Total 2 2 26 3" xfId="17244"/>
    <cellStyle name="Total 2 2 26 3 2" xfId="25565"/>
    <cellStyle name="Total 2 2 26 3 2 2" xfId="59797"/>
    <cellStyle name="Total 2 2 26 3 2 3" xfId="59798"/>
    <cellStyle name="Total 2 2 26 3 3" xfId="32794"/>
    <cellStyle name="Total 2 2 26 3 4" xfId="59799"/>
    <cellStyle name="Total 2 2 26 4" xfId="18272"/>
    <cellStyle name="Total 2 2 26 4 2" xfId="26592"/>
    <cellStyle name="Total 2 2 26 4 2 2" xfId="59800"/>
    <cellStyle name="Total 2 2 26 4 2 3" xfId="59801"/>
    <cellStyle name="Total 2 2 26 4 3" xfId="33772"/>
    <cellStyle name="Total 2 2 26 4 4" xfId="59802"/>
    <cellStyle name="Total 2 2 26 5" xfId="19256"/>
    <cellStyle name="Total 2 2 26 5 2" xfId="27576"/>
    <cellStyle name="Total 2 2 26 5 2 2" xfId="59803"/>
    <cellStyle name="Total 2 2 26 5 2 3" xfId="59804"/>
    <cellStyle name="Total 2 2 26 5 3" xfId="34724"/>
    <cellStyle name="Total 2 2 26 5 4" xfId="59805"/>
    <cellStyle name="Total 2 2 26 6" xfId="20224"/>
    <cellStyle name="Total 2 2 26 6 2" xfId="28546"/>
    <cellStyle name="Total 2 2 26 6 2 2" xfId="59806"/>
    <cellStyle name="Total 2 2 26 6 2 3" xfId="59807"/>
    <cellStyle name="Total 2 2 26 6 3" xfId="35664"/>
    <cellStyle name="Total 2 2 26 6 4" xfId="59808"/>
    <cellStyle name="Total 2 2 26 7" xfId="21685"/>
    <cellStyle name="Total 2 2 26 7 2" xfId="29986"/>
    <cellStyle name="Total 2 2 26 7 2 2" xfId="59809"/>
    <cellStyle name="Total 2 2 26 7 2 3" xfId="59810"/>
    <cellStyle name="Total 2 2 26 7 3" xfId="37038"/>
    <cellStyle name="Total 2 2 26 7 4" xfId="59811"/>
    <cellStyle name="Total 2 2 26 8" xfId="22613"/>
    <cellStyle name="Total 2 2 26 8 2" xfId="30909"/>
    <cellStyle name="Total 2 2 26 8 3" xfId="37921"/>
    <cellStyle name="Total 2 2 26 9" xfId="23555"/>
    <cellStyle name="Total 2 2 27" xfId="15263"/>
    <cellStyle name="Total 2 2 27 10" xfId="59812"/>
    <cellStyle name="Total 2 2 27 2" xfId="16343"/>
    <cellStyle name="Total 2 2 27 2 2" xfId="24656"/>
    <cellStyle name="Total 2 2 27 2 2 2" xfId="59813"/>
    <cellStyle name="Total 2 2 27 2 2 3" xfId="59814"/>
    <cellStyle name="Total 2 2 27 2 3" xfId="31923"/>
    <cellStyle name="Total 2 2 27 2 4" xfId="59815"/>
    <cellStyle name="Total 2 2 27 3" xfId="17309"/>
    <cellStyle name="Total 2 2 27 3 2" xfId="25630"/>
    <cellStyle name="Total 2 2 27 3 2 2" xfId="59816"/>
    <cellStyle name="Total 2 2 27 3 2 3" xfId="59817"/>
    <cellStyle name="Total 2 2 27 3 3" xfId="32856"/>
    <cellStyle name="Total 2 2 27 3 4" xfId="59818"/>
    <cellStyle name="Total 2 2 27 4" xfId="18337"/>
    <cellStyle name="Total 2 2 27 4 2" xfId="26657"/>
    <cellStyle name="Total 2 2 27 4 2 2" xfId="59819"/>
    <cellStyle name="Total 2 2 27 4 2 3" xfId="59820"/>
    <cellStyle name="Total 2 2 27 4 3" xfId="33834"/>
    <cellStyle name="Total 2 2 27 4 4" xfId="59821"/>
    <cellStyle name="Total 2 2 27 5" xfId="19321"/>
    <cellStyle name="Total 2 2 27 5 2" xfId="27641"/>
    <cellStyle name="Total 2 2 27 5 2 2" xfId="59822"/>
    <cellStyle name="Total 2 2 27 5 2 3" xfId="59823"/>
    <cellStyle name="Total 2 2 27 5 3" xfId="34789"/>
    <cellStyle name="Total 2 2 27 5 4" xfId="59824"/>
    <cellStyle name="Total 2 2 27 6" xfId="20289"/>
    <cellStyle name="Total 2 2 27 6 2" xfId="28611"/>
    <cellStyle name="Total 2 2 27 6 2 2" xfId="59825"/>
    <cellStyle name="Total 2 2 27 6 2 3" xfId="59826"/>
    <cellStyle name="Total 2 2 27 6 3" xfId="35726"/>
    <cellStyle name="Total 2 2 27 6 4" xfId="59827"/>
    <cellStyle name="Total 2 2 27 7" xfId="21750"/>
    <cellStyle name="Total 2 2 27 7 2" xfId="30051"/>
    <cellStyle name="Total 2 2 27 7 2 2" xfId="59828"/>
    <cellStyle name="Total 2 2 27 7 2 3" xfId="59829"/>
    <cellStyle name="Total 2 2 27 7 3" xfId="37100"/>
    <cellStyle name="Total 2 2 27 7 4" xfId="59830"/>
    <cellStyle name="Total 2 2 27 8" xfId="22678"/>
    <cellStyle name="Total 2 2 27 8 2" xfId="30974"/>
    <cellStyle name="Total 2 2 27 8 3" xfId="37983"/>
    <cellStyle name="Total 2 2 27 9" xfId="23620"/>
    <cellStyle name="Total 2 2 28" xfId="15258"/>
    <cellStyle name="Total 2 2 28 10" xfId="59831"/>
    <cellStyle name="Total 2 2 28 2" xfId="16338"/>
    <cellStyle name="Total 2 2 28 2 2" xfId="24651"/>
    <cellStyle name="Total 2 2 28 2 2 2" xfId="59832"/>
    <cellStyle name="Total 2 2 28 2 2 3" xfId="59833"/>
    <cellStyle name="Total 2 2 28 2 3" xfId="31918"/>
    <cellStyle name="Total 2 2 28 2 4" xfId="59834"/>
    <cellStyle name="Total 2 2 28 3" xfId="17304"/>
    <cellStyle name="Total 2 2 28 3 2" xfId="25625"/>
    <cellStyle name="Total 2 2 28 3 2 2" xfId="59835"/>
    <cellStyle name="Total 2 2 28 3 2 3" xfId="59836"/>
    <cellStyle name="Total 2 2 28 3 3" xfId="32851"/>
    <cellStyle name="Total 2 2 28 3 4" xfId="59837"/>
    <cellStyle name="Total 2 2 28 4" xfId="18332"/>
    <cellStyle name="Total 2 2 28 4 2" xfId="26652"/>
    <cellStyle name="Total 2 2 28 4 2 2" xfId="59838"/>
    <cellStyle name="Total 2 2 28 4 2 3" xfId="59839"/>
    <cellStyle name="Total 2 2 28 4 3" xfId="33829"/>
    <cellStyle name="Total 2 2 28 4 4" xfId="59840"/>
    <cellStyle name="Total 2 2 28 5" xfId="19316"/>
    <cellStyle name="Total 2 2 28 5 2" xfId="27636"/>
    <cellStyle name="Total 2 2 28 5 2 2" xfId="59841"/>
    <cellStyle name="Total 2 2 28 5 2 3" xfId="59842"/>
    <cellStyle name="Total 2 2 28 5 3" xfId="34784"/>
    <cellStyle name="Total 2 2 28 5 4" xfId="59843"/>
    <cellStyle name="Total 2 2 28 6" xfId="20284"/>
    <cellStyle name="Total 2 2 28 6 2" xfId="28606"/>
    <cellStyle name="Total 2 2 28 6 2 2" xfId="59844"/>
    <cellStyle name="Total 2 2 28 6 2 3" xfId="59845"/>
    <cellStyle name="Total 2 2 28 6 3" xfId="35721"/>
    <cellStyle name="Total 2 2 28 6 4" xfId="59846"/>
    <cellStyle name="Total 2 2 28 7" xfId="21745"/>
    <cellStyle name="Total 2 2 28 7 2" xfId="30046"/>
    <cellStyle name="Total 2 2 28 7 2 2" xfId="59847"/>
    <cellStyle name="Total 2 2 28 7 2 3" xfId="59848"/>
    <cellStyle name="Total 2 2 28 7 3" xfId="37095"/>
    <cellStyle name="Total 2 2 28 7 4" xfId="59849"/>
    <cellStyle name="Total 2 2 28 8" xfId="22673"/>
    <cellStyle name="Total 2 2 28 8 2" xfId="30969"/>
    <cellStyle name="Total 2 2 28 8 3" xfId="37978"/>
    <cellStyle name="Total 2 2 28 9" xfId="23615"/>
    <cellStyle name="Total 2 2 29" xfId="15298"/>
    <cellStyle name="Total 2 2 29 10" xfId="59850"/>
    <cellStyle name="Total 2 2 29 2" xfId="16378"/>
    <cellStyle name="Total 2 2 29 2 2" xfId="24691"/>
    <cellStyle name="Total 2 2 29 2 2 2" xfId="59851"/>
    <cellStyle name="Total 2 2 29 2 2 3" xfId="59852"/>
    <cellStyle name="Total 2 2 29 2 3" xfId="31957"/>
    <cellStyle name="Total 2 2 29 2 4" xfId="59853"/>
    <cellStyle name="Total 2 2 29 3" xfId="17344"/>
    <cellStyle name="Total 2 2 29 3 2" xfId="25665"/>
    <cellStyle name="Total 2 2 29 3 2 2" xfId="59854"/>
    <cellStyle name="Total 2 2 29 3 2 3" xfId="59855"/>
    <cellStyle name="Total 2 2 29 3 3" xfId="32890"/>
    <cellStyle name="Total 2 2 29 3 4" xfId="59856"/>
    <cellStyle name="Total 2 2 29 4" xfId="18372"/>
    <cellStyle name="Total 2 2 29 4 2" xfId="26692"/>
    <cellStyle name="Total 2 2 29 4 2 2" xfId="59857"/>
    <cellStyle name="Total 2 2 29 4 2 3" xfId="59858"/>
    <cellStyle name="Total 2 2 29 4 3" xfId="33868"/>
    <cellStyle name="Total 2 2 29 4 4" xfId="59859"/>
    <cellStyle name="Total 2 2 29 5" xfId="19355"/>
    <cellStyle name="Total 2 2 29 5 2" xfId="27676"/>
    <cellStyle name="Total 2 2 29 5 2 2" xfId="59860"/>
    <cellStyle name="Total 2 2 29 5 2 3" xfId="59861"/>
    <cellStyle name="Total 2 2 29 5 3" xfId="34824"/>
    <cellStyle name="Total 2 2 29 5 4" xfId="59862"/>
    <cellStyle name="Total 2 2 29 6" xfId="20324"/>
    <cellStyle name="Total 2 2 29 6 2" xfId="28646"/>
    <cellStyle name="Total 2 2 29 6 2 2" xfId="59863"/>
    <cellStyle name="Total 2 2 29 6 2 3" xfId="59864"/>
    <cellStyle name="Total 2 2 29 6 3" xfId="35760"/>
    <cellStyle name="Total 2 2 29 6 4" xfId="59865"/>
    <cellStyle name="Total 2 2 29 7" xfId="21785"/>
    <cellStyle name="Total 2 2 29 7 2" xfId="30086"/>
    <cellStyle name="Total 2 2 29 7 2 2" xfId="59866"/>
    <cellStyle name="Total 2 2 29 7 2 3" xfId="59867"/>
    <cellStyle name="Total 2 2 29 7 3" xfId="37134"/>
    <cellStyle name="Total 2 2 29 7 4" xfId="59868"/>
    <cellStyle name="Total 2 2 29 8" xfId="22713"/>
    <cellStyle name="Total 2 2 29 8 2" xfId="31009"/>
    <cellStyle name="Total 2 2 29 8 3" xfId="38017"/>
    <cellStyle name="Total 2 2 29 9" xfId="23655"/>
    <cellStyle name="Total 2 2 3" xfId="117"/>
    <cellStyle name="Total 2 2 3 10" xfId="14431"/>
    <cellStyle name="Total 2 2 3 10 2" xfId="59869"/>
    <cellStyle name="Total 2 2 3 10 3" xfId="59870"/>
    <cellStyle name="Total 2 2 3 11" xfId="59871"/>
    <cellStyle name="Total 2 2 3 12" xfId="59872"/>
    <cellStyle name="Total 2 2 3 13" xfId="59873"/>
    <cellStyle name="Total 2 2 3 14" xfId="59874"/>
    <cellStyle name="Total 2 2 3 15" xfId="59875"/>
    <cellStyle name="Total 2 2 3 2" xfId="249"/>
    <cellStyle name="Total 2 2 3 2 2" xfId="660"/>
    <cellStyle name="Total 2 2 3 2 2 2" xfId="1611"/>
    <cellStyle name="Total 2 2 3 2 2 2 2" xfId="796"/>
    <cellStyle name="Total 2 2 3 2 2 2 2 2" xfId="2715"/>
    <cellStyle name="Total 2 2 3 2 2 2 2 2 2" xfId="6135"/>
    <cellStyle name="Total 2 2 3 2 2 2 2 2 2 2" xfId="12975"/>
    <cellStyle name="Total 2 2 3 2 2 2 2 2 3" xfId="9555"/>
    <cellStyle name="Total 2 2 3 2 2 2 2 3" xfId="3855"/>
    <cellStyle name="Total 2 2 3 2 2 2 2 3 2" xfId="7275"/>
    <cellStyle name="Total 2 2 3 2 2 2 2 3 2 2" xfId="14115"/>
    <cellStyle name="Total 2 2 3 2 2 2 2 3 3" xfId="10695"/>
    <cellStyle name="Total 2 2 3 2 2 2 2 4" xfId="4995"/>
    <cellStyle name="Total 2 2 3 2 2 2 2 4 2" xfId="11835"/>
    <cellStyle name="Total 2 2 3 2 2 2 2 5" xfId="8415"/>
    <cellStyle name="Total 2 2 3 2 2 2 3" xfId="2445"/>
    <cellStyle name="Total 2 2 3 2 2 2 3 2" xfId="5865"/>
    <cellStyle name="Total 2 2 3 2 2 2 3 2 2" xfId="12705"/>
    <cellStyle name="Total 2 2 3 2 2 2 3 3" xfId="9285"/>
    <cellStyle name="Total 2 2 3 2 2 2 4" xfId="3585"/>
    <cellStyle name="Total 2 2 3 2 2 2 4 2" xfId="7005"/>
    <cellStyle name="Total 2 2 3 2 2 2 4 2 2" xfId="13845"/>
    <cellStyle name="Total 2 2 3 2 2 2 4 3" xfId="10425"/>
    <cellStyle name="Total 2 2 3 2 2 2 5" xfId="4725"/>
    <cellStyle name="Total 2 2 3 2 2 2 5 2" xfId="11565"/>
    <cellStyle name="Total 2 2 3 2 2 2 6" xfId="8145"/>
    <cellStyle name="Total 2 2 3 2 2 3" xfId="38504"/>
    <cellStyle name="Total 2 2 3 2 2 4" xfId="59876"/>
    <cellStyle name="Total 2 2 3 2 2 5" xfId="59877"/>
    <cellStyle name="Total 2 2 3 2 2 6" xfId="59878"/>
    <cellStyle name="Total 2 2 3 2 2 7" xfId="59879"/>
    <cellStyle name="Total 2 2 3 2 3" xfId="1256"/>
    <cellStyle name="Total 2 2 3 2 3 2" xfId="1758"/>
    <cellStyle name="Total 2 2 3 2 3 2 2" xfId="2898"/>
    <cellStyle name="Total 2 2 3 2 3 2 2 2" xfId="6318"/>
    <cellStyle name="Total 2 2 3 2 3 2 2 2 2" xfId="13158"/>
    <cellStyle name="Total 2 2 3 2 3 2 2 3" xfId="9738"/>
    <cellStyle name="Total 2 2 3 2 3 2 3" xfId="4038"/>
    <cellStyle name="Total 2 2 3 2 3 2 3 2" xfId="7458"/>
    <cellStyle name="Total 2 2 3 2 3 2 3 2 2" xfId="14298"/>
    <cellStyle name="Total 2 2 3 2 3 2 3 3" xfId="10878"/>
    <cellStyle name="Total 2 2 3 2 3 2 4" xfId="5178"/>
    <cellStyle name="Total 2 2 3 2 3 2 4 2" xfId="12018"/>
    <cellStyle name="Total 2 2 3 2 3 2 5" xfId="8598"/>
    <cellStyle name="Total 2 2 3 2 3 3" xfId="2076"/>
    <cellStyle name="Total 2 2 3 2 3 3 2" xfId="5496"/>
    <cellStyle name="Total 2 2 3 2 3 3 2 2" xfId="12336"/>
    <cellStyle name="Total 2 2 3 2 3 3 3" xfId="8916"/>
    <cellStyle name="Total 2 2 3 2 3 4" xfId="3216"/>
    <cellStyle name="Total 2 2 3 2 3 4 2" xfId="6636"/>
    <cellStyle name="Total 2 2 3 2 3 4 2 2" xfId="13476"/>
    <cellStyle name="Total 2 2 3 2 3 4 3" xfId="10056"/>
    <cellStyle name="Total 2 2 3 2 3 5" xfId="4356"/>
    <cellStyle name="Total 2 2 3 2 3 5 2" xfId="11196"/>
    <cellStyle name="Total 2 2 3 2 3 6" xfId="7776"/>
    <cellStyle name="Total 2 2 3 2 4" xfId="15597"/>
    <cellStyle name="Total 2 2 3 2 5" xfId="23911"/>
    <cellStyle name="Total 2 2 3 2 6" xfId="38270"/>
    <cellStyle name="Total 2 2 3 2 7" xfId="59880"/>
    <cellStyle name="Total 2 2 3 3" xfId="572"/>
    <cellStyle name="Total 2 2 3 3 2" xfId="1559"/>
    <cellStyle name="Total 2 2 3 3 2 2" xfId="1675"/>
    <cellStyle name="Total 2 2 3 3 2 2 2" xfId="2815"/>
    <cellStyle name="Total 2 2 3 3 2 2 2 2" xfId="6235"/>
    <cellStyle name="Total 2 2 3 3 2 2 2 2 2" xfId="13075"/>
    <cellStyle name="Total 2 2 3 3 2 2 2 3" xfId="9655"/>
    <cellStyle name="Total 2 2 3 3 2 2 3" xfId="3955"/>
    <cellStyle name="Total 2 2 3 3 2 2 3 2" xfId="7375"/>
    <cellStyle name="Total 2 2 3 3 2 2 3 2 2" xfId="14215"/>
    <cellStyle name="Total 2 2 3 3 2 2 3 3" xfId="10795"/>
    <cellStyle name="Total 2 2 3 3 2 2 4" xfId="5095"/>
    <cellStyle name="Total 2 2 3 3 2 2 4 2" xfId="11935"/>
    <cellStyle name="Total 2 2 3 3 2 2 5" xfId="8515"/>
    <cellStyle name="Total 2 2 3 3 2 3" xfId="2384"/>
    <cellStyle name="Total 2 2 3 3 2 3 2" xfId="5804"/>
    <cellStyle name="Total 2 2 3 3 2 3 2 2" xfId="12644"/>
    <cellStyle name="Total 2 2 3 3 2 3 3" xfId="9224"/>
    <cellStyle name="Total 2 2 3 3 2 4" xfId="3524"/>
    <cellStyle name="Total 2 2 3 3 2 4 2" xfId="6944"/>
    <cellStyle name="Total 2 2 3 3 2 4 2 2" xfId="13784"/>
    <cellStyle name="Total 2 2 3 3 2 4 3" xfId="10364"/>
    <cellStyle name="Total 2 2 3 3 2 5" xfId="4664"/>
    <cellStyle name="Total 2 2 3 3 2 5 2" xfId="11504"/>
    <cellStyle name="Total 2 2 3 3 2 6" xfId="8084"/>
    <cellStyle name="Total 2 2 3 3 3" xfId="16567"/>
    <cellStyle name="Total 2 2 3 3 4" xfId="24882"/>
    <cellStyle name="Total 2 2 3 3 5" xfId="32142"/>
    <cellStyle name="Total 2 2 3 3 6" xfId="59881"/>
    <cellStyle name="Total 2 2 3 3 7" xfId="59882"/>
    <cellStyle name="Total 2 2 3 3 8" xfId="59883"/>
    <cellStyle name="Total 2 2 3 4" xfId="1133"/>
    <cellStyle name="Total 2 2 3 4 2" xfId="1670"/>
    <cellStyle name="Total 2 2 3 4 2 2" xfId="2810"/>
    <cellStyle name="Total 2 2 3 4 2 2 2" xfId="6230"/>
    <cellStyle name="Total 2 2 3 4 2 2 2 2" xfId="13070"/>
    <cellStyle name="Total 2 2 3 4 2 2 3" xfId="9650"/>
    <cellStyle name="Total 2 2 3 4 2 3" xfId="3950"/>
    <cellStyle name="Total 2 2 3 4 2 3 2" xfId="7370"/>
    <cellStyle name="Total 2 2 3 4 2 3 2 2" xfId="14210"/>
    <cellStyle name="Total 2 2 3 4 2 3 3" xfId="10790"/>
    <cellStyle name="Total 2 2 3 4 2 4" xfId="5090"/>
    <cellStyle name="Total 2 2 3 4 2 4 2" xfId="11930"/>
    <cellStyle name="Total 2 2 3 4 2 5" xfId="8510"/>
    <cellStyle name="Total 2 2 3 4 3" xfId="1947"/>
    <cellStyle name="Total 2 2 3 4 3 2" xfId="5367"/>
    <cellStyle name="Total 2 2 3 4 3 2 2" xfId="12207"/>
    <cellStyle name="Total 2 2 3 4 3 3" xfId="8787"/>
    <cellStyle name="Total 2 2 3 4 4" xfId="3087"/>
    <cellStyle name="Total 2 2 3 4 4 2" xfId="6507"/>
    <cellStyle name="Total 2 2 3 4 4 2 2" xfId="13347"/>
    <cellStyle name="Total 2 2 3 4 4 3" xfId="9927"/>
    <cellStyle name="Total 2 2 3 4 5" xfId="4227"/>
    <cellStyle name="Total 2 2 3 4 5 2" xfId="11067"/>
    <cellStyle name="Total 2 2 3 4 6" xfId="7647"/>
    <cellStyle name="Total 2 2 3 4 7" xfId="17585"/>
    <cellStyle name="Total 2 2 3 4 8" xfId="25906"/>
    <cellStyle name="Total 2 2 3 4 9" xfId="33119"/>
    <cellStyle name="Total 2 2 3 5" xfId="18566"/>
    <cellStyle name="Total 2 2 3 5 2" xfId="26884"/>
    <cellStyle name="Total 2 2 3 5 2 2" xfId="59884"/>
    <cellStyle name="Total 2 2 3 5 2 3" xfId="59885"/>
    <cellStyle name="Total 2 2 3 5 3" xfId="34053"/>
    <cellStyle name="Total 2 2 3 5 4" xfId="59886"/>
    <cellStyle name="Total 2 2 3 6" xfId="15525"/>
    <cellStyle name="Total 2 2 3 6 2" xfId="23861"/>
    <cellStyle name="Total 2 2 3 6 2 2" xfId="59887"/>
    <cellStyle name="Total 2 2 3 6 2 3" xfId="59888"/>
    <cellStyle name="Total 2 2 3 6 3" xfId="31208"/>
    <cellStyle name="Total 2 2 3 6 4" xfId="59889"/>
    <cellStyle name="Total 2 2 3 7" xfId="19142"/>
    <cellStyle name="Total 2 2 3 7 2" xfId="27462"/>
    <cellStyle name="Total 2 2 3 7 2 2" xfId="59890"/>
    <cellStyle name="Total 2 2 3 7 2 3" xfId="59891"/>
    <cellStyle name="Total 2 2 3 7 3" xfId="34610"/>
    <cellStyle name="Total 2 2 3 7 4" xfId="59892"/>
    <cellStyle name="Total 2 2 3 8" xfId="19012"/>
    <cellStyle name="Total 2 2 3 8 2" xfId="27332"/>
    <cellStyle name="Total 2 2 3 8 2 2" xfId="59893"/>
    <cellStyle name="Total 2 2 3 8 2 3" xfId="59894"/>
    <cellStyle name="Total 2 2 3 8 3" xfId="34483"/>
    <cellStyle name="Total 2 2 3 8 4" xfId="59895"/>
    <cellStyle name="Total 2 2 3 9" xfId="21952"/>
    <cellStyle name="Total 2 2 3 9 2" xfId="30253"/>
    <cellStyle name="Total 2 2 3 9 2 2" xfId="59896"/>
    <cellStyle name="Total 2 2 3 9 2 3" xfId="59897"/>
    <cellStyle name="Total 2 2 3 9 3" xfId="37294"/>
    <cellStyle name="Total 2 2 3 9 4" xfId="59898"/>
    <cellStyle name="Total 2 2 30" xfId="15225"/>
    <cellStyle name="Total 2 2 30 10" xfId="59899"/>
    <cellStyle name="Total 2 2 30 2" xfId="16305"/>
    <cellStyle name="Total 2 2 30 2 2" xfId="24618"/>
    <cellStyle name="Total 2 2 30 2 2 2" xfId="59900"/>
    <cellStyle name="Total 2 2 30 2 2 3" xfId="59901"/>
    <cellStyle name="Total 2 2 30 2 3" xfId="31886"/>
    <cellStyle name="Total 2 2 30 2 4" xfId="59902"/>
    <cellStyle name="Total 2 2 30 3" xfId="17271"/>
    <cellStyle name="Total 2 2 30 3 2" xfId="25592"/>
    <cellStyle name="Total 2 2 30 3 2 2" xfId="59903"/>
    <cellStyle name="Total 2 2 30 3 2 3" xfId="59904"/>
    <cellStyle name="Total 2 2 30 3 3" xfId="32819"/>
    <cellStyle name="Total 2 2 30 3 4" xfId="59905"/>
    <cellStyle name="Total 2 2 30 4" xfId="18299"/>
    <cellStyle name="Total 2 2 30 4 2" xfId="26619"/>
    <cellStyle name="Total 2 2 30 4 2 2" xfId="59906"/>
    <cellStyle name="Total 2 2 30 4 2 3" xfId="59907"/>
    <cellStyle name="Total 2 2 30 4 3" xfId="33797"/>
    <cellStyle name="Total 2 2 30 4 4" xfId="59908"/>
    <cellStyle name="Total 2 2 30 5" xfId="19283"/>
    <cellStyle name="Total 2 2 30 5 2" xfId="27603"/>
    <cellStyle name="Total 2 2 30 5 2 2" xfId="59909"/>
    <cellStyle name="Total 2 2 30 5 2 3" xfId="59910"/>
    <cellStyle name="Total 2 2 30 5 3" xfId="34751"/>
    <cellStyle name="Total 2 2 30 5 4" xfId="59911"/>
    <cellStyle name="Total 2 2 30 6" xfId="20251"/>
    <cellStyle name="Total 2 2 30 6 2" xfId="28573"/>
    <cellStyle name="Total 2 2 30 6 2 2" xfId="59912"/>
    <cellStyle name="Total 2 2 30 6 2 3" xfId="59913"/>
    <cellStyle name="Total 2 2 30 6 3" xfId="35689"/>
    <cellStyle name="Total 2 2 30 6 4" xfId="59914"/>
    <cellStyle name="Total 2 2 30 7" xfId="21712"/>
    <cellStyle name="Total 2 2 30 7 2" xfId="30013"/>
    <cellStyle name="Total 2 2 30 7 2 2" xfId="59915"/>
    <cellStyle name="Total 2 2 30 7 2 3" xfId="59916"/>
    <cellStyle name="Total 2 2 30 7 3" xfId="37063"/>
    <cellStyle name="Total 2 2 30 7 4" xfId="59917"/>
    <cellStyle name="Total 2 2 30 8" xfId="22640"/>
    <cellStyle name="Total 2 2 30 8 2" xfId="30936"/>
    <cellStyle name="Total 2 2 30 8 3" xfId="37946"/>
    <cellStyle name="Total 2 2 30 9" xfId="23582"/>
    <cellStyle name="Total 2 2 31" xfId="15313"/>
    <cellStyle name="Total 2 2 31 10" xfId="59918"/>
    <cellStyle name="Total 2 2 31 2" xfId="16393"/>
    <cellStyle name="Total 2 2 31 2 2" xfId="24706"/>
    <cellStyle name="Total 2 2 31 2 2 2" xfId="59919"/>
    <cellStyle name="Total 2 2 31 2 2 3" xfId="59920"/>
    <cellStyle name="Total 2 2 31 2 3" xfId="31971"/>
    <cellStyle name="Total 2 2 31 2 4" xfId="59921"/>
    <cellStyle name="Total 2 2 31 3" xfId="17359"/>
    <cellStyle name="Total 2 2 31 3 2" xfId="25680"/>
    <cellStyle name="Total 2 2 31 3 2 2" xfId="59922"/>
    <cellStyle name="Total 2 2 31 3 2 3" xfId="59923"/>
    <cellStyle name="Total 2 2 31 3 3" xfId="32904"/>
    <cellStyle name="Total 2 2 31 3 4" xfId="59924"/>
    <cellStyle name="Total 2 2 31 4" xfId="18387"/>
    <cellStyle name="Total 2 2 31 4 2" xfId="26707"/>
    <cellStyle name="Total 2 2 31 4 2 2" xfId="59925"/>
    <cellStyle name="Total 2 2 31 4 2 3" xfId="59926"/>
    <cellStyle name="Total 2 2 31 4 3" xfId="33882"/>
    <cellStyle name="Total 2 2 31 4 4" xfId="59927"/>
    <cellStyle name="Total 2 2 31 5" xfId="19370"/>
    <cellStyle name="Total 2 2 31 5 2" xfId="27691"/>
    <cellStyle name="Total 2 2 31 5 2 2" xfId="59928"/>
    <cellStyle name="Total 2 2 31 5 2 3" xfId="59929"/>
    <cellStyle name="Total 2 2 31 5 3" xfId="34839"/>
    <cellStyle name="Total 2 2 31 5 4" xfId="59930"/>
    <cellStyle name="Total 2 2 31 6" xfId="20339"/>
    <cellStyle name="Total 2 2 31 6 2" xfId="28661"/>
    <cellStyle name="Total 2 2 31 6 2 2" xfId="59931"/>
    <cellStyle name="Total 2 2 31 6 2 3" xfId="59932"/>
    <cellStyle name="Total 2 2 31 6 3" xfId="35774"/>
    <cellStyle name="Total 2 2 31 6 4" xfId="59933"/>
    <cellStyle name="Total 2 2 31 7" xfId="21800"/>
    <cellStyle name="Total 2 2 31 7 2" xfId="30101"/>
    <cellStyle name="Total 2 2 31 7 2 2" xfId="59934"/>
    <cellStyle name="Total 2 2 31 7 2 3" xfId="59935"/>
    <cellStyle name="Total 2 2 31 7 3" xfId="37148"/>
    <cellStyle name="Total 2 2 31 7 4" xfId="59936"/>
    <cellStyle name="Total 2 2 31 8" xfId="22728"/>
    <cellStyle name="Total 2 2 31 8 2" xfId="31024"/>
    <cellStyle name="Total 2 2 31 8 3" xfId="38031"/>
    <cellStyle name="Total 2 2 31 9" xfId="23670"/>
    <cellStyle name="Total 2 2 32" xfId="15331"/>
    <cellStyle name="Total 2 2 32 10" xfId="59937"/>
    <cellStyle name="Total 2 2 32 2" xfId="16411"/>
    <cellStyle name="Total 2 2 32 2 2" xfId="24724"/>
    <cellStyle name="Total 2 2 32 2 2 2" xfId="59938"/>
    <cellStyle name="Total 2 2 32 2 2 3" xfId="59939"/>
    <cellStyle name="Total 2 2 32 2 3" xfId="31989"/>
    <cellStyle name="Total 2 2 32 2 4" xfId="59940"/>
    <cellStyle name="Total 2 2 32 3" xfId="17377"/>
    <cellStyle name="Total 2 2 32 3 2" xfId="25698"/>
    <cellStyle name="Total 2 2 32 3 2 2" xfId="59941"/>
    <cellStyle name="Total 2 2 32 3 2 3" xfId="59942"/>
    <cellStyle name="Total 2 2 32 3 3" xfId="32922"/>
    <cellStyle name="Total 2 2 32 3 4" xfId="59943"/>
    <cellStyle name="Total 2 2 32 4" xfId="18405"/>
    <cellStyle name="Total 2 2 32 4 2" xfId="26725"/>
    <cellStyle name="Total 2 2 32 4 2 2" xfId="59944"/>
    <cellStyle name="Total 2 2 32 4 2 3" xfId="59945"/>
    <cellStyle name="Total 2 2 32 4 3" xfId="33900"/>
    <cellStyle name="Total 2 2 32 4 4" xfId="59946"/>
    <cellStyle name="Total 2 2 32 5" xfId="19388"/>
    <cellStyle name="Total 2 2 32 5 2" xfId="27709"/>
    <cellStyle name="Total 2 2 32 5 2 2" xfId="59947"/>
    <cellStyle name="Total 2 2 32 5 2 3" xfId="59948"/>
    <cellStyle name="Total 2 2 32 5 3" xfId="34857"/>
    <cellStyle name="Total 2 2 32 5 4" xfId="59949"/>
    <cellStyle name="Total 2 2 32 6" xfId="20357"/>
    <cellStyle name="Total 2 2 32 6 2" xfId="28679"/>
    <cellStyle name="Total 2 2 32 6 2 2" xfId="59950"/>
    <cellStyle name="Total 2 2 32 6 2 3" xfId="59951"/>
    <cellStyle name="Total 2 2 32 6 3" xfId="35792"/>
    <cellStyle name="Total 2 2 32 6 4" xfId="59952"/>
    <cellStyle name="Total 2 2 32 7" xfId="21818"/>
    <cellStyle name="Total 2 2 32 7 2" xfId="30119"/>
    <cellStyle name="Total 2 2 32 7 2 2" xfId="59953"/>
    <cellStyle name="Total 2 2 32 7 2 3" xfId="59954"/>
    <cellStyle name="Total 2 2 32 7 3" xfId="37166"/>
    <cellStyle name="Total 2 2 32 7 4" xfId="59955"/>
    <cellStyle name="Total 2 2 32 8" xfId="22746"/>
    <cellStyle name="Total 2 2 32 8 2" xfId="31042"/>
    <cellStyle name="Total 2 2 32 8 3" xfId="38049"/>
    <cellStyle name="Total 2 2 32 9" xfId="23688"/>
    <cellStyle name="Total 2 2 33" xfId="15386"/>
    <cellStyle name="Total 2 2 33 10" xfId="59956"/>
    <cellStyle name="Total 2 2 33 2" xfId="16466"/>
    <cellStyle name="Total 2 2 33 2 2" xfId="24779"/>
    <cellStyle name="Total 2 2 33 2 2 2" xfId="59957"/>
    <cellStyle name="Total 2 2 33 2 2 3" xfId="59958"/>
    <cellStyle name="Total 2 2 33 2 3" xfId="32043"/>
    <cellStyle name="Total 2 2 33 2 4" xfId="59959"/>
    <cellStyle name="Total 2 2 33 3" xfId="17432"/>
    <cellStyle name="Total 2 2 33 3 2" xfId="25753"/>
    <cellStyle name="Total 2 2 33 3 2 2" xfId="59960"/>
    <cellStyle name="Total 2 2 33 3 2 3" xfId="59961"/>
    <cellStyle name="Total 2 2 33 3 3" xfId="32976"/>
    <cellStyle name="Total 2 2 33 3 4" xfId="59962"/>
    <cellStyle name="Total 2 2 33 4" xfId="18460"/>
    <cellStyle name="Total 2 2 33 4 2" xfId="26780"/>
    <cellStyle name="Total 2 2 33 4 2 2" xfId="59963"/>
    <cellStyle name="Total 2 2 33 4 2 3" xfId="59964"/>
    <cellStyle name="Total 2 2 33 4 3" xfId="33954"/>
    <cellStyle name="Total 2 2 33 4 4" xfId="59965"/>
    <cellStyle name="Total 2 2 33 5" xfId="19443"/>
    <cellStyle name="Total 2 2 33 5 2" xfId="27764"/>
    <cellStyle name="Total 2 2 33 5 2 2" xfId="59966"/>
    <cellStyle name="Total 2 2 33 5 2 3" xfId="59967"/>
    <cellStyle name="Total 2 2 33 5 3" xfId="34912"/>
    <cellStyle name="Total 2 2 33 5 4" xfId="59968"/>
    <cellStyle name="Total 2 2 33 6" xfId="20412"/>
    <cellStyle name="Total 2 2 33 6 2" xfId="28734"/>
    <cellStyle name="Total 2 2 33 6 2 2" xfId="59969"/>
    <cellStyle name="Total 2 2 33 6 2 3" xfId="59970"/>
    <cellStyle name="Total 2 2 33 6 3" xfId="35846"/>
    <cellStyle name="Total 2 2 33 6 4" xfId="59971"/>
    <cellStyle name="Total 2 2 33 7" xfId="21873"/>
    <cellStyle name="Total 2 2 33 7 2" xfId="30174"/>
    <cellStyle name="Total 2 2 33 7 2 2" xfId="59972"/>
    <cellStyle name="Total 2 2 33 7 2 3" xfId="59973"/>
    <cellStyle name="Total 2 2 33 7 3" xfId="37219"/>
    <cellStyle name="Total 2 2 33 7 4" xfId="59974"/>
    <cellStyle name="Total 2 2 33 8" xfId="22801"/>
    <cellStyle name="Total 2 2 33 8 2" xfId="31097"/>
    <cellStyle name="Total 2 2 33 8 3" xfId="38103"/>
    <cellStyle name="Total 2 2 33 9" xfId="23743"/>
    <cellStyle name="Total 2 2 34" xfId="15402"/>
    <cellStyle name="Total 2 2 34 10" xfId="59975"/>
    <cellStyle name="Total 2 2 34 2" xfId="16482"/>
    <cellStyle name="Total 2 2 34 2 2" xfId="24795"/>
    <cellStyle name="Total 2 2 34 2 2 2" xfId="59976"/>
    <cellStyle name="Total 2 2 34 2 2 3" xfId="59977"/>
    <cellStyle name="Total 2 2 34 2 3" xfId="32057"/>
    <cellStyle name="Total 2 2 34 2 4" xfId="59978"/>
    <cellStyle name="Total 2 2 34 3" xfId="17448"/>
    <cellStyle name="Total 2 2 34 3 2" xfId="25769"/>
    <cellStyle name="Total 2 2 34 3 2 2" xfId="59979"/>
    <cellStyle name="Total 2 2 34 3 2 3" xfId="59980"/>
    <cellStyle name="Total 2 2 34 3 3" xfId="32990"/>
    <cellStyle name="Total 2 2 34 3 4" xfId="59981"/>
    <cellStyle name="Total 2 2 34 4" xfId="18476"/>
    <cellStyle name="Total 2 2 34 4 2" xfId="26796"/>
    <cellStyle name="Total 2 2 34 4 2 2" xfId="59982"/>
    <cellStyle name="Total 2 2 34 4 2 3" xfId="59983"/>
    <cellStyle name="Total 2 2 34 4 3" xfId="33968"/>
    <cellStyle name="Total 2 2 34 4 4" xfId="59984"/>
    <cellStyle name="Total 2 2 34 5" xfId="19459"/>
    <cellStyle name="Total 2 2 34 5 2" xfId="27780"/>
    <cellStyle name="Total 2 2 34 5 2 2" xfId="59985"/>
    <cellStyle name="Total 2 2 34 5 2 3" xfId="59986"/>
    <cellStyle name="Total 2 2 34 5 3" xfId="34928"/>
    <cellStyle name="Total 2 2 34 5 4" xfId="59987"/>
    <cellStyle name="Total 2 2 34 6" xfId="20428"/>
    <cellStyle name="Total 2 2 34 6 2" xfId="28750"/>
    <cellStyle name="Total 2 2 34 6 2 2" xfId="59988"/>
    <cellStyle name="Total 2 2 34 6 2 3" xfId="59989"/>
    <cellStyle name="Total 2 2 34 6 3" xfId="35860"/>
    <cellStyle name="Total 2 2 34 6 4" xfId="59990"/>
    <cellStyle name="Total 2 2 34 7" xfId="21889"/>
    <cellStyle name="Total 2 2 34 7 2" xfId="30190"/>
    <cellStyle name="Total 2 2 34 7 2 2" xfId="59991"/>
    <cellStyle name="Total 2 2 34 7 2 3" xfId="59992"/>
    <cellStyle name="Total 2 2 34 7 3" xfId="37233"/>
    <cellStyle name="Total 2 2 34 7 4" xfId="59993"/>
    <cellStyle name="Total 2 2 34 8" xfId="22817"/>
    <cellStyle name="Total 2 2 34 8 2" xfId="31113"/>
    <cellStyle name="Total 2 2 34 8 3" xfId="38117"/>
    <cellStyle name="Total 2 2 34 9" xfId="23759"/>
    <cellStyle name="Total 2 2 35" xfId="15418"/>
    <cellStyle name="Total 2 2 35 10" xfId="59994"/>
    <cellStyle name="Total 2 2 35 2" xfId="16498"/>
    <cellStyle name="Total 2 2 35 2 2" xfId="24811"/>
    <cellStyle name="Total 2 2 35 2 2 2" xfId="59995"/>
    <cellStyle name="Total 2 2 35 2 2 3" xfId="59996"/>
    <cellStyle name="Total 2 2 35 2 3" xfId="32072"/>
    <cellStyle name="Total 2 2 35 2 4" xfId="59997"/>
    <cellStyle name="Total 2 2 35 3" xfId="17464"/>
    <cellStyle name="Total 2 2 35 3 2" xfId="25785"/>
    <cellStyle name="Total 2 2 35 3 2 2" xfId="59998"/>
    <cellStyle name="Total 2 2 35 3 2 3" xfId="59999"/>
    <cellStyle name="Total 2 2 35 3 3" xfId="33005"/>
    <cellStyle name="Total 2 2 35 3 4" xfId="60000"/>
    <cellStyle name="Total 2 2 35 4" xfId="18492"/>
    <cellStyle name="Total 2 2 35 4 2" xfId="26812"/>
    <cellStyle name="Total 2 2 35 4 2 2" xfId="60001"/>
    <cellStyle name="Total 2 2 35 4 2 3" xfId="60002"/>
    <cellStyle name="Total 2 2 35 4 3" xfId="33983"/>
    <cellStyle name="Total 2 2 35 4 4" xfId="60003"/>
    <cellStyle name="Total 2 2 35 5" xfId="19475"/>
    <cellStyle name="Total 2 2 35 5 2" xfId="27796"/>
    <cellStyle name="Total 2 2 35 5 2 2" xfId="60004"/>
    <cellStyle name="Total 2 2 35 5 2 3" xfId="60005"/>
    <cellStyle name="Total 2 2 35 5 3" xfId="34944"/>
    <cellStyle name="Total 2 2 35 5 4" xfId="60006"/>
    <cellStyle name="Total 2 2 35 6" xfId="20444"/>
    <cellStyle name="Total 2 2 35 6 2" xfId="28766"/>
    <cellStyle name="Total 2 2 35 6 2 2" xfId="60007"/>
    <cellStyle name="Total 2 2 35 6 2 3" xfId="60008"/>
    <cellStyle name="Total 2 2 35 6 3" xfId="35875"/>
    <cellStyle name="Total 2 2 35 6 4" xfId="60009"/>
    <cellStyle name="Total 2 2 35 7" xfId="21905"/>
    <cellStyle name="Total 2 2 35 7 2" xfId="30206"/>
    <cellStyle name="Total 2 2 35 7 2 2" xfId="60010"/>
    <cellStyle name="Total 2 2 35 7 2 3" xfId="60011"/>
    <cellStyle name="Total 2 2 35 7 3" xfId="37248"/>
    <cellStyle name="Total 2 2 35 7 4" xfId="60012"/>
    <cellStyle name="Total 2 2 35 8" xfId="22833"/>
    <cellStyle name="Total 2 2 35 8 2" xfId="31129"/>
    <cellStyle name="Total 2 2 35 8 3" xfId="38132"/>
    <cellStyle name="Total 2 2 35 9" xfId="23775"/>
    <cellStyle name="Total 2 2 36" xfId="15432"/>
    <cellStyle name="Total 2 2 36 10" xfId="60013"/>
    <cellStyle name="Total 2 2 36 2" xfId="16512"/>
    <cellStyle name="Total 2 2 36 2 2" xfId="24825"/>
    <cellStyle name="Total 2 2 36 2 2 2" xfId="60014"/>
    <cellStyle name="Total 2 2 36 2 2 3" xfId="60015"/>
    <cellStyle name="Total 2 2 36 2 3" xfId="32086"/>
    <cellStyle name="Total 2 2 36 2 4" xfId="60016"/>
    <cellStyle name="Total 2 2 36 3" xfId="17478"/>
    <cellStyle name="Total 2 2 36 3 2" xfId="25799"/>
    <cellStyle name="Total 2 2 36 3 2 2" xfId="60017"/>
    <cellStyle name="Total 2 2 36 3 2 3" xfId="60018"/>
    <cellStyle name="Total 2 2 36 3 3" xfId="33019"/>
    <cellStyle name="Total 2 2 36 3 4" xfId="60019"/>
    <cellStyle name="Total 2 2 36 4" xfId="18506"/>
    <cellStyle name="Total 2 2 36 4 2" xfId="26826"/>
    <cellStyle name="Total 2 2 36 4 2 2" xfId="60020"/>
    <cellStyle name="Total 2 2 36 4 2 3" xfId="60021"/>
    <cellStyle name="Total 2 2 36 4 3" xfId="33997"/>
    <cellStyle name="Total 2 2 36 4 4" xfId="60022"/>
    <cellStyle name="Total 2 2 36 5" xfId="19489"/>
    <cellStyle name="Total 2 2 36 5 2" xfId="27810"/>
    <cellStyle name="Total 2 2 36 5 2 2" xfId="60023"/>
    <cellStyle name="Total 2 2 36 5 2 3" xfId="60024"/>
    <cellStyle name="Total 2 2 36 5 3" xfId="34958"/>
    <cellStyle name="Total 2 2 36 5 4" xfId="60025"/>
    <cellStyle name="Total 2 2 36 6" xfId="20458"/>
    <cellStyle name="Total 2 2 36 6 2" xfId="28780"/>
    <cellStyle name="Total 2 2 36 6 2 2" xfId="60026"/>
    <cellStyle name="Total 2 2 36 6 2 3" xfId="60027"/>
    <cellStyle name="Total 2 2 36 6 3" xfId="35889"/>
    <cellStyle name="Total 2 2 36 6 4" xfId="60028"/>
    <cellStyle name="Total 2 2 36 7" xfId="21919"/>
    <cellStyle name="Total 2 2 36 7 2" xfId="30220"/>
    <cellStyle name="Total 2 2 36 7 2 2" xfId="60029"/>
    <cellStyle name="Total 2 2 36 7 2 3" xfId="60030"/>
    <cellStyle name="Total 2 2 36 7 3" xfId="37262"/>
    <cellStyle name="Total 2 2 36 7 4" xfId="60031"/>
    <cellStyle name="Total 2 2 36 8" xfId="22847"/>
    <cellStyle name="Total 2 2 36 8 2" xfId="31143"/>
    <cellStyle name="Total 2 2 36 8 3" xfId="38146"/>
    <cellStyle name="Total 2 2 36 9" xfId="23789"/>
    <cellStyle name="Total 2 2 37" xfId="15446"/>
    <cellStyle name="Total 2 2 37 10" xfId="60032"/>
    <cellStyle name="Total 2 2 37 2" xfId="16526"/>
    <cellStyle name="Total 2 2 37 2 2" xfId="24839"/>
    <cellStyle name="Total 2 2 37 2 2 2" xfId="60033"/>
    <cellStyle name="Total 2 2 37 2 2 3" xfId="60034"/>
    <cellStyle name="Total 2 2 37 2 3" xfId="32100"/>
    <cellStyle name="Total 2 2 37 2 4" xfId="60035"/>
    <cellStyle name="Total 2 2 37 3" xfId="17492"/>
    <cellStyle name="Total 2 2 37 3 2" xfId="25813"/>
    <cellStyle name="Total 2 2 37 3 2 2" xfId="60036"/>
    <cellStyle name="Total 2 2 37 3 2 3" xfId="60037"/>
    <cellStyle name="Total 2 2 37 3 3" xfId="33033"/>
    <cellStyle name="Total 2 2 37 3 4" xfId="60038"/>
    <cellStyle name="Total 2 2 37 4" xfId="18520"/>
    <cellStyle name="Total 2 2 37 4 2" xfId="26840"/>
    <cellStyle name="Total 2 2 37 4 2 2" xfId="60039"/>
    <cellStyle name="Total 2 2 37 4 2 3" xfId="60040"/>
    <cellStyle name="Total 2 2 37 4 3" xfId="34011"/>
    <cellStyle name="Total 2 2 37 4 4" xfId="60041"/>
    <cellStyle name="Total 2 2 37 5" xfId="19503"/>
    <cellStyle name="Total 2 2 37 5 2" xfId="27824"/>
    <cellStyle name="Total 2 2 37 5 2 2" xfId="60042"/>
    <cellStyle name="Total 2 2 37 5 2 3" xfId="60043"/>
    <cellStyle name="Total 2 2 37 5 3" xfId="34972"/>
    <cellStyle name="Total 2 2 37 5 4" xfId="60044"/>
    <cellStyle name="Total 2 2 37 6" xfId="20472"/>
    <cellStyle name="Total 2 2 37 6 2" xfId="28794"/>
    <cellStyle name="Total 2 2 37 6 2 2" xfId="60045"/>
    <cellStyle name="Total 2 2 37 6 2 3" xfId="60046"/>
    <cellStyle name="Total 2 2 37 6 3" xfId="35903"/>
    <cellStyle name="Total 2 2 37 6 4" xfId="60047"/>
    <cellStyle name="Total 2 2 37 7" xfId="21933"/>
    <cellStyle name="Total 2 2 37 7 2" xfId="30234"/>
    <cellStyle name="Total 2 2 37 7 2 2" xfId="60048"/>
    <cellStyle name="Total 2 2 37 7 2 3" xfId="60049"/>
    <cellStyle name="Total 2 2 37 7 3" xfId="37276"/>
    <cellStyle name="Total 2 2 37 7 4" xfId="60050"/>
    <cellStyle name="Total 2 2 37 8" xfId="22861"/>
    <cellStyle name="Total 2 2 37 8 2" xfId="31157"/>
    <cellStyle name="Total 2 2 37 8 3" xfId="38160"/>
    <cellStyle name="Total 2 2 37 9" xfId="23803"/>
    <cellStyle name="Total 2 2 38" xfId="15371"/>
    <cellStyle name="Total 2 2 38 10" xfId="60051"/>
    <cellStyle name="Total 2 2 38 2" xfId="16451"/>
    <cellStyle name="Total 2 2 38 2 2" xfId="24764"/>
    <cellStyle name="Total 2 2 38 2 2 2" xfId="60052"/>
    <cellStyle name="Total 2 2 38 2 2 3" xfId="60053"/>
    <cellStyle name="Total 2 2 38 2 3" xfId="32028"/>
    <cellStyle name="Total 2 2 38 2 4" xfId="60054"/>
    <cellStyle name="Total 2 2 38 3" xfId="17417"/>
    <cellStyle name="Total 2 2 38 3 2" xfId="25738"/>
    <cellStyle name="Total 2 2 38 3 2 2" xfId="60055"/>
    <cellStyle name="Total 2 2 38 3 2 3" xfId="60056"/>
    <cellStyle name="Total 2 2 38 3 3" xfId="32961"/>
    <cellStyle name="Total 2 2 38 3 4" xfId="60057"/>
    <cellStyle name="Total 2 2 38 4" xfId="18445"/>
    <cellStyle name="Total 2 2 38 4 2" xfId="26765"/>
    <cellStyle name="Total 2 2 38 4 2 2" xfId="60058"/>
    <cellStyle name="Total 2 2 38 4 2 3" xfId="60059"/>
    <cellStyle name="Total 2 2 38 4 3" xfId="33939"/>
    <cellStyle name="Total 2 2 38 4 4" xfId="60060"/>
    <cellStyle name="Total 2 2 38 5" xfId="19428"/>
    <cellStyle name="Total 2 2 38 5 2" xfId="27749"/>
    <cellStyle name="Total 2 2 38 5 2 2" xfId="60061"/>
    <cellStyle name="Total 2 2 38 5 2 3" xfId="60062"/>
    <cellStyle name="Total 2 2 38 5 3" xfId="34897"/>
    <cellStyle name="Total 2 2 38 5 4" xfId="60063"/>
    <cellStyle name="Total 2 2 38 6" xfId="20397"/>
    <cellStyle name="Total 2 2 38 6 2" xfId="28719"/>
    <cellStyle name="Total 2 2 38 6 2 2" xfId="60064"/>
    <cellStyle name="Total 2 2 38 6 2 3" xfId="60065"/>
    <cellStyle name="Total 2 2 38 6 3" xfId="35831"/>
    <cellStyle name="Total 2 2 38 6 4" xfId="60066"/>
    <cellStyle name="Total 2 2 38 7" xfId="21858"/>
    <cellStyle name="Total 2 2 38 7 2" xfId="30159"/>
    <cellStyle name="Total 2 2 38 7 2 2" xfId="60067"/>
    <cellStyle name="Total 2 2 38 7 2 3" xfId="60068"/>
    <cellStyle name="Total 2 2 38 7 3" xfId="37204"/>
    <cellStyle name="Total 2 2 38 7 4" xfId="60069"/>
    <cellStyle name="Total 2 2 38 8" xfId="22786"/>
    <cellStyle name="Total 2 2 38 8 2" xfId="31082"/>
    <cellStyle name="Total 2 2 38 8 3" xfId="38088"/>
    <cellStyle name="Total 2 2 38 9" xfId="23728"/>
    <cellStyle name="Total 2 2 39" xfId="15478"/>
    <cellStyle name="Total 2 2 39 10" xfId="60070"/>
    <cellStyle name="Total 2 2 39 2" xfId="16552"/>
    <cellStyle name="Total 2 2 39 2 2" xfId="24865"/>
    <cellStyle name="Total 2 2 39 2 2 2" xfId="60071"/>
    <cellStyle name="Total 2 2 39 2 2 3" xfId="60072"/>
    <cellStyle name="Total 2 2 39 2 3" xfId="32125"/>
    <cellStyle name="Total 2 2 39 2 4" xfId="60073"/>
    <cellStyle name="Total 2 2 39 3" xfId="17524"/>
    <cellStyle name="Total 2 2 39 3 2" xfId="25844"/>
    <cellStyle name="Total 2 2 39 3 2 2" xfId="60074"/>
    <cellStyle name="Total 2 2 39 3 2 3" xfId="60075"/>
    <cellStyle name="Total 2 2 39 3 3" xfId="33062"/>
    <cellStyle name="Total 2 2 39 3 4" xfId="60076"/>
    <cellStyle name="Total 2 2 39 4" xfId="18551"/>
    <cellStyle name="Total 2 2 39 4 2" xfId="26868"/>
    <cellStyle name="Total 2 2 39 4 2 2" xfId="60077"/>
    <cellStyle name="Total 2 2 39 4 2 3" xfId="60078"/>
    <cellStyle name="Total 2 2 39 4 3" xfId="34038"/>
    <cellStyle name="Total 2 2 39 4 4" xfId="60079"/>
    <cellStyle name="Total 2 2 39 5" xfId="19535"/>
    <cellStyle name="Total 2 2 39 5 2" xfId="27856"/>
    <cellStyle name="Total 2 2 39 5 2 2" xfId="60080"/>
    <cellStyle name="Total 2 2 39 5 2 3" xfId="60081"/>
    <cellStyle name="Total 2 2 39 5 3" xfId="35004"/>
    <cellStyle name="Total 2 2 39 5 4" xfId="60082"/>
    <cellStyle name="Total 2 2 39 6" xfId="20499"/>
    <cellStyle name="Total 2 2 39 6 2" xfId="28821"/>
    <cellStyle name="Total 2 2 39 6 2 2" xfId="60083"/>
    <cellStyle name="Total 2 2 39 6 2 3" xfId="60084"/>
    <cellStyle name="Total 2 2 39 6 3" xfId="35928"/>
    <cellStyle name="Total 2 2 39 6 4" xfId="60085"/>
    <cellStyle name="Total 2 2 39 7" xfId="21959"/>
    <cellStyle name="Total 2 2 39 7 2" xfId="30260"/>
    <cellStyle name="Total 2 2 39 7 2 2" xfId="60086"/>
    <cellStyle name="Total 2 2 39 7 2 3" xfId="60087"/>
    <cellStyle name="Total 2 2 39 7 3" xfId="37300"/>
    <cellStyle name="Total 2 2 39 7 4" xfId="60088"/>
    <cellStyle name="Total 2 2 39 8" xfId="22883"/>
    <cellStyle name="Total 2 2 39 8 2" xfId="31179"/>
    <cellStyle name="Total 2 2 39 8 3" xfId="38181"/>
    <cellStyle name="Total 2 2 39 9" xfId="23828"/>
    <cellStyle name="Total 2 2 4" xfId="140"/>
    <cellStyle name="Total 2 2 4 10" xfId="60089"/>
    <cellStyle name="Total 2 2 4 11" xfId="60090"/>
    <cellStyle name="Total 2 2 4 2" xfId="266"/>
    <cellStyle name="Total 2 2 4 2 2" xfId="676"/>
    <cellStyle name="Total 2 2 4 2 2 2" xfId="1627"/>
    <cellStyle name="Total 2 2 4 2 2 2 2" xfId="780"/>
    <cellStyle name="Total 2 2 4 2 2 2 2 2" xfId="2633"/>
    <cellStyle name="Total 2 2 4 2 2 2 2 2 2" xfId="6053"/>
    <cellStyle name="Total 2 2 4 2 2 2 2 2 2 2" xfId="12893"/>
    <cellStyle name="Total 2 2 4 2 2 2 2 2 3" xfId="9473"/>
    <cellStyle name="Total 2 2 4 2 2 2 2 3" xfId="3773"/>
    <cellStyle name="Total 2 2 4 2 2 2 2 3 2" xfId="7193"/>
    <cellStyle name="Total 2 2 4 2 2 2 2 3 2 2" xfId="14033"/>
    <cellStyle name="Total 2 2 4 2 2 2 2 3 3" xfId="10613"/>
    <cellStyle name="Total 2 2 4 2 2 2 2 4" xfId="4913"/>
    <cellStyle name="Total 2 2 4 2 2 2 2 4 2" xfId="11753"/>
    <cellStyle name="Total 2 2 4 2 2 2 2 5" xfId="8333"/>
    <cellStyle name="Total 2 2 4 2 2 2 3" xfId="2461"/>
    <cellStyle name="Total 2 2 4 2 2 2 3 2" xfId="5881"/>
    <cellStyle name="Total 2 2 4 2 2 2 3 2 2" xfId="12721"/>
    <cellStyle name="Total 2 2 4 2 2 2 3 3" xfId="9301"/>
    <cellStyle name="Total 2 2 4 2 2 2 4" xfId="3601"/>
    <cellStyle name="Total 2 2 4 2 2 2 4 2" xfId="7021"/>
    <cellStyle name="Total 2 2 4 2 2 2 4 2 2" xfId="13861"/>
    <cellStyle name="Total 2 2 4 2 2 2 4 3" xfId="10441"/>
    <cellStyle name="Total 2 2 4 2 2 2 5" xfId="4741"/>
    <cellStyle name="Total 2 2 4 2 2 2 5 2" xfId="11581"/>
    <cellStyle name="Total 2 2 4 2 2 2 6" xfId="8161"/>
    <cellStyle name="Total 2 2 4 2 2 3" xfId="38520"/>
    <cellStyle name="Total 2 2 4 2 2 4" xfId="60091"/>
    <cellStyle name="Total 2 2 4 2 2 5" xfId="60092"/>
    <cellStyle name="Total 2 2 4 2 2 6" xfId="60093"/>
    <cellStyle name="Total 2 2 4 2 2 7" xfId="60094"/>
    <cellStyle name="Total 2 2 4 2 3" xfId="1273"/>
    <cellStyle name="Total 2 2 4 2 3 2" xfId="991"/>
    <cellStyle name="Total 2 2 4 2 3 2 2" xfId="2605"/>
    <cellStyle name="Total 2 2 4 2 3 2 2 2" xfId="6025"/>
    <cellStyle name="Total 2 2 4 2 3 2 2 2 2" xfId="12865"/>
    <cellStyle name="Total 2 2 4 2 3 2 2 3" xfId="9445"/>
    <cellStyle name="Total 2 2 4 2 3 2 3" xfId="3745"/>
    <cellStyle name="Total 2 2 4 2 3 2 3 2" xfId="7165"/>
    <cellStyle name="Total 2 2 4 2 3 2 3 2 2" xfId="14005"/>
    <cellStyle name="Total 2 2 4 2 3 2 3 3" xfId="10585"/>
    <cellStyle name="Total 2 2 4 2 3 2 4" xfId="4885"/>
    <cellStyle name="Total 2 2 4 2 3 2 4 2" xfId="11725"/>
    <cellStyle name="Total 2 2 4 2 3 2 5" xfId="8305"/>
    <cellStyle name="Total 2 2 4 2 3 3" xfId="2093"/>
    <cellStyle name="Total 2 2 4 2 3 3 2" xfId="5513"/>
    <cellStyle name="Total 2 2 4 2 3 3 2 2" xfId="12353"/>
    <cellStyle name="Total 2 2 4 2 3 3 3" xfId="8933"/>
    <cellStyle name="Total 2 2 4 2 3 4" xfId="3233"/>
    <cellStyle name="Total 2 2 4 2 3 4 2" xfId="6653"/>
    <cellStyle name="Total 2 2 4 2 3 4 2 2" xfId="13493"/>
    <cellStyle name="Total 2 2 4 2 3 4 3" xfId="10073"/>
    <cellStyle name="Total 2 2 4 2 3 5" xfId="4373"/>
    <cellStyle name="Total 2 2 4 2 3 5 2" xfId="11213"/>
    <cellStyle name="Total 2 2 4 2 3 6" xfId="7793"/>
    <cellStyle name="Total 2 2 4 2 4" xfId="15618"/>
    <cellStyle name="Total 2 2 4 2 5" xfId="23932"/>
    <cellStyle name="Total 2 2 4 2 6" xfId="38283"/>
    <cellStyle name="Total 2 2 4 2 7" xfId="60095"/>
    <cellStyle name="Total 2 2 4 3" xfId="588"/>
    <cellStyle name="Total 2 2 4 3 2" xfId="1575"/>
    <cellStyle name="Total 2 2 4 3 2 2" xfId="823"/>
    <cellStyle name="Total 2 2 4 3 2 2 2" xfId="2690"/>
    <cellStyle name="Total 2 2 4 3 2 2 2 2" xfId="6110"/>
    <cellStyle name="Total 2 2 4 3 2 2 2 2 2" xfId="12950"/>
    <cellStyle name="Total 2 2 4 3 2 2 2 3" xfId="9530"/>
    <cellStyle name="Total 2 2 4 3 2 2 3" xfId="3830"/>
    <cellStyle name="Total 2 2 4 3 2 2 3 2" xfId="7250"/>
    <cellStyle name="Total 2 2 4 3 2 2 3 2 2" xfId="14090"/>
    <cellStyle name="Total 2 2 4 3 2 2 3 3" xfId="10670"/>
    <cellStyle name="Total 2 2 4 3 2 2 4" xfId="4970"/>
    <cellStyle name="Total 2 2 4 3 2 2 4 2" xfId="11810"/>
    <cellStyle name="Total 2 2 4 3 2 2 5" xfId="8390"/>
    <cellStyle name="Total 2 2 4 3 2 3" xfId="2400"/>
    <cellStyle name="Total 2 2 4 3 2 3 2" xfId="5820"/>
    <cellStyle name="Total 2 2 4 3 2 3 2 2" xfId="12660"/>
    <cellStyle name="Total 2 2 4 3 2 3 3" xfId="9240"/>
    <cellStyle name="Total 2 2 4 3 2 4" xfId="3540"/>
    <cellStyle name="Total 2 2 4 3 2 4 2" xfId="6960"/>
    <cellStyle name="Total 2 2 4 3 2 4 2 2" xfId="13800"/>
    <cellStyle name="Total 2 2 4 3 2 4 3" xfId="10380"/>
    <cellStyle name="Total 2 2 4 3 2 5" xfId="4680"/>
    <cellStyle name="Total 2 2 4 3 2 5 2" xfId="11520"/>
    <cellStyle name="Total 2 2 4 3 2 6" xfId="8100"/>
    <cellStyle name="Total 2 2 4 3 3" xfId="16586"/>
    <cellStyle name="Total 2 2 4 3 4" xfId="24903"/>
    <cellStyle name="Total 2 2 4 3 5" xfId="32163"/>
    <cellStyle name="Total 2 2 4 3 6" xfId="60096"/>
    <cellStyle name="Total 2 2 4 3 7" xfId="60097"/>
    <cellStyle name="Total 2 2 4 3 8" xfId="60098"/>
    <cellStyle name="Total 2 2 4 4" xfId="1149"/>
    <cellStyle name="Total 2 2 4 4 2" xfId="1053"/>
    <cellStyle name="Total 2 2 4 4 2 2" xfId="2510"/>
    <cellStyle name="Total 2 2 4 4 2 2 2" xfId="5930"/>
    <cellStyle name="Total 2 2 4 4 2 2 2 2" xfId="12770"/>
    <cellStyle name="Total 2 2 4 4 2 2 3" xfId="9350"/>
    <cellStyle name="Total 2 2 4 4 2 3" xfId="3650"/>
    <cellStyle name="Total 2 2 4 4 2 3 2" xfId="7070"/>
    <cellStyle name="Total 2 2 4 4 2 3 2 2" xfId="13910"/>
    <cellStyle name="Total 2 2 4 4 2 3 3" xfId="10490"/>
    <cellStyle name="Total 2 2 4 4 2 4" xfId="4790"/>
    <cellStyle name="Total 2 2 4 4 2 4 2" xfId="11630"/>
    <cellStyle name="Total 2 2 4 4 2 5" xfId="8210"/>
    <cellStyle name="Total 2 2 4 4 3" xfId="1968"/>
    <cellStyle name="Total 2 2 4 4 3 2" xfId="5388"/>
    <cellStyle name="Total 2 2 4 4 3 2 2" xfId="12228"/>
    <cellStyle name="Total 2 2 4 4 3 3" xfId="8808"/>
    <cellStyle name="Total 2 2 4 4 4" xfId="3108"/>
    <cellStyle name="Total 2 2 4 4 4 2" xfId="6528"/>
    <cellStyle name="Total 2 2 4 4 4 2 2" xfId="13368"/>
    <cellStyle name="Total 2 2 4 4 4 3" xfId="9948"/>
    <cellStyle name="Total 2 2 4 4 5" xfId="4248"/>
    <cellStyle name="Total 2 2 4 4 5 2" xfId="11088"/>
    <cellStyle name="Total 2 2 4 4 6" xfId="7668"/>
    <cellStyle name="Total 2 2 4 4 7" xfId="17605"/>
    <cellStyle name="Total 2 2 4 4 8" xfId="25928"/>
    <cellStyle name="Total 2 2 4 4 9" xfId="33140"/>
    <cellStyle name="Total 2 2 4 5" xfId="18587"/>
    <cellStyle name="Total 2 2 4 5 2" xfId="26906"/>
    <cellStyle name="Total 2 2 4 5 2 2" xfId="60099"/>
    <cellStyle name="Total 2 2 4 5 2 3" xfId="60100"/>
    <cellStyle name="Total 2 2 4 5 3" xfId="34075"/>
    <cellStyle name="Total 2 2 4 5 4" xfId="60101"/>
    <cellStyle name="Total 2 2 4 6" xfId="19555"/>
    <cellStyle name="Total 2 2 4 6 2" xfId="27876"/>
    <cellStyle name="Total 2 2 4 6 2 2" xfId="60102"/>
    <cellStyle name="Total 2 2 4 6 2 3" xfId="60103"/>
    <cellStyle name="Total 2 2 4 6 3" xfId="35023"/>
    <cellStyle name="Total 2 2 4 6 4" xfId="60104"/>
    <cellStyle name="Total 2 2 4 7" xfId="20513"/>
    <cellStyle name="Total 2 2 4 7 2" xfId="28835"/>
    <cellStyle name="Total 2 2 4 7 2 2" xfId="60105"/>
    <cellStyle name="Total 2 2 4 7 2 3" xfId="60106"/>
    <cellStyle name="Total 2 2 4 7 3" xfId="35940"/>
    <cellStyle name="Total 2 2 4 7 4" xfId="60107"/>
    <cellStyle name="Total 2 2 4 8" xfId="22896"/>
    <cellStyle name="Total 2 2 4 8 2" xfId="60108"/>
    <cellStyle name="Total 2 2 4 8 3" xfId="60109"/>
    <cellStyle name="Total 2 2 4 9" xfId="60110"/>
    <cellStyle name="Total 2 2 40" xfId="15508"/>
    <cellStyle name="Total 2 2 40 2" xfId="23848"/>
    <cellStyle name="Total 2 2 40 2 2" xfId="60111"/>
    <cellStyle name="Total 2 2 40 2 3" xfId="60112"/>
    <cellStyle name="Total 2 2 40 3" xfId="31197"/>
    <cellStyle name="Total 2 2 40 4" xfId="60113"/>
    <cellStyle name="Total 2 2 41" xfId="17560"/>
    <cellStyle name="Total 2 2 41 2" xfId="25879"/>
    <cellStyle name="Total 2 2 41 2 2" xfId="60114"/>
    <cellStyle name="Total 2 2 41 2 3" xfId="60115"/>
    <cellStyle name="Total 2 2 41 3" xfId="33094"/>
    <cellStyle name="Total 2 2 41 4" xfId="60116"/>
    <cellStyle name="Total 2 2 42" xfId="20500"/>
    <cellStyle name="Total 2 2 42 2" xfId="28822"/>
    <cellStyle name="Total 2 2 42 2 2" xfId="60117"/>
    <cellStyle name="Total 2 2 42 2 3" xfId="60118"/>
    <cellStyle name="Total 2 2 42 3" xfId="35929"/>
    <cellStyle name="Total 2 2 42 4" xfId="60119"/>
    <cellStyle name="Total 2 2 43" xfId="21962"/>
    <cellStyle name="Total 2 2 43 2" xfId="30263"/>
    <cellStyle name="Total 2 2 43 2 2" xfId="60120"/>
    <cellStyle name="Total 2 2 43 2 3" xfId="60121"/>
    <cellStyle name="Total 2 2 43 3" xfId="37303"/>
    <cellStyle name="Total 2 2 43 4" xfId="60122"/>
    <cellStyle name="Total 2 2 44" xfId="14493"/>
    <cellStyle name="Total 2 2 45" xfId="60123"/>
    <cellStyle name="Total 2 2 46" xfId="60124"/>
    <cellStyle name="Total 2 2 47" xfId="60125"/>
    <cellStyle name="Total 2 2 5" xfId="306"/>
    <cellStyle name="Total 2 2 5 10" xfId="14600"/>
    <cellStyle name="Total 2 2 5 11" xfId="22961"/>
    <cellStyle name="Total 2 2 5 12" xfId="60126"/>
    <cellStyle name="Total 2 2 5 13" xfId="60127"/>
    <cellStyle name="Total 2 2 5 14" xfId="60128"/>
    <cellStyle name="Total 2 2 5 2" xfId="218"/>
    <cellStyle name="Total 2 2 5 2 2" xfId="1225"/>
    <cellStyle name="Total 2 2 5 2 2 2" xfId="1015"/>
    <cellStyle name="Total 2 2 5 2 2 2 2" xfId="2558"/>
    <cellStyle name="Total 2 2 5 2 2 2 2 2" xfId="5978"/>
    <cellStyle name="Total 2 2 5 2 2 2 2 2 2" xfId="12818"/>
    <cellStyle name="Total 2 2 5 2 2 2 2 3" xfId="9398"/>
    <cellStyle name="Total 2 2 5 2 2 2 3" xfId="3698"/>
    <cellStyle name="Total 2 2 5 2 2 2 3 2" xfId="7118"/>
    <cellStyle name="Total 2 2 5 2 2 2 3 2 2" xfId="13958"/>
    <cellStyle name="Total 2 2 5 2 2 2 3 3" xfId="10538"/>
    <cellStyle name="Total 2 2 5 2 2 2 4" xfId="4838"/>
    <cellStyle name="Total 2 2 5 2 2 2 4 2" xfId="11678"/>
    <cellStyle name="Total 2 2 5 2 2 2 5" xfId="8258"/>
    <cellStyle name="Total 2 2 5 2 2 3" xfId="2045"/>
    <cellStyle name="Total 2 2 5 2 2 3 2" xfId="5465"/>
    <cellStyle name="Total 2 2 5 2 2 3 2 2" xfId="12305"/>
    <cellStyle name="Total 2 2 5 2 2 3 3" xfId="8885"/>
    <cellStyle name="Total 2 2 5 2 2 4" xfId="3185"/>
    <cellStyle name="Total 2 2 5 2 2 4 2" xfId="6605"/>
    <cellStyle name="Total 2 2 5 2 2 4 2 2" xfId="13445"/>
    <cellStyle name="Total 2 2 5 2 2 4 3" xfId="10025"/>
    <cellStyle name="Total 2 2 5 2 2 5" xfId="4325"/>
    <cellStyle name="Total 2 2 5 2 2 5 2" xfId="11165"/>
    <cellStyle name="Total 2 2 5 2 2 6" xfId="7745"/>
    <cellStyle name="Total 2 2 5 2 3" xfId="15680"/>
    <cellStyle name="Total 2 2 5 2 4" xfId="23996"/>
    <cellStyle name="Total 2 2 5 2 5" xfId="31291"/>
    <cellStyle name="Total 2 2 5 2 6" xfId="60129"/>
    <cellStyle name="Total 2 2 5 2 7" xfId="60130"/>
    <cellStyle name="Total 2 2 5 2 8" xfId="60131"/>
    <cellStyle name="Total 2 2 5 3" xfId="1312"/>
    <cellStyle name="Total 2 2 5 3 2" xfId="1835"/>
    <cellStyle name="Total 2 2 5 3 2 2" xfId="2975"/>
    <cellStyle name="Total 2 2 5 3 2 2 2" xfId="6395"/>
    <cellStyle name="Total 2 2 5 3 2 2 2 2" xfId="13235"/>
    <cellStyle name="Total 2 2 5 3 2 2 3" xfId="9815"/>
    <cellStyle name="Total 2 2 5 3 2 3" xfId="4115"/>
    <cellStyle name="Total 2 2 5 3 2 3 2" xfId="7535"/>
    <cellStyle name="Total 2 2 5 3 2 3 2 2" xfId="14375"/>
    <cellStyle name="Total 2 2 5 3 2 3 3" xfId="10955"/>
    <cellStyle name="Total 2 2 5 3 2 4" xfId="5255"/>
    <cellStyle name="Total 2 2 5 3 2 4 2" xfId="12095"/>
    <cellStyle name="Total 2 2 5 3 2 5" xfId="8675"/>
    <cellStyle name="Total 2 2 5 3 3" xfId="2132"/>
    <cellStyle name="Total 2 2 5 3 3 2" xfId="5552"/>
    <cellStyle name="Total 2 2 5 3 3 2 2" xfId="12392"/>
    <cellStyle name="Total 2 2 5 3 3 3" xfId="8972"/>
    <cellStyle name="Total 2 2 5 3 4" xfId="3272"/>
    <cellStyle name="Total 2 2 5 3 4 2" xfId="6692"/>
    <cellStyle name="Total 2 2 5 3 4 2 2" xfId="13532"/>
    <cellStyle name="Total 2 2 5 3 4 3" xfId="10112"/>
    <cellStyle name="Total 2 2 5 3 5" xfId="4412"/>
    <cellStyle name="Total 2 2 5 3 5 2" xfId="11252"/>
    <cellStyle name="Total 2 2 5 3 6" xfId="7832"/>
    <cellStyle name="Total 2 2 5 3 7" xfId="16647"/>
    <cellStyle name="Total 2 2 5 3 8" xfId="24967"/>
    <cellStyle name="Total 2 2 5 3 9" xfId="32224"/>
    <cellStyle name="Total 2 2 5 4" xfId="17669"/>
    <cellStyle name="Total 2 2 5 4 2" xfId="25993"/>
    <cellStyle name="Total 2 2 5 4 2 2" xfId="60132"/>
    <cellStyle name="Total 2 2 5 4 2 3" xfId="60133"/>
    <cellStyle name="Total 2 2 5 4 3" xfId="33201"/>
    <cellStyle name="Total 2 2 5 4 4" xfId="60134"/>
    <cellStyle name="Total 2 2 5 5" xfId="18652"/>
    <cellStyle name="Total 2 2 5 5 2" xfId="26973"/>
    <cellStyle name="Total 2 2 5 5 2 2" xfId="60135"/>
    <cellStyle name="Total 2 2 5 5 2 3" xfId="60136"/>
    <cellStyle name="Total 2 2 5 5 3" xfId="34139"/>
    <cellStyle name="Total 2 2 5 5 4" xfId="60137"/>
    <cellStyle name="Total 2 2 5 6" xfId="19621"/>
    <cellStyle name="Total 2 2 5 6 2" xfId="27942"/>
    <cellStyle name="Total 2 2 5 6 2 2" xfId="60138"/>
    <cellStyle name="Total 2 2 5 6 2 3" xfId="60139"/>
    <cellStyle name="Total 2 2 5 6 3" xfId="35085"/>
    <cellStyle name="Total 2 2 5 6 4" xfId="60140"/>
    <cellStyle name="Total 2 2 5 7" xfId="20578"/>
    <cellStyle name="Total 2 2 5 7 2" xfId="28900"/>
    <cellStyle name="Total 2 2 5 7 2 2" xfId="60141"/>
    <cellStyle name="Total 2 2 5 7 2 3" xfId="60142"/>
    <cellStyle name="Total 2 2 5 7 3" xfId="36001"/>
    <cellStyle name="Total 2 2 5 7 4" xfId="60143"/>
    <cellStyle name="Total 2 2 5 8" xfId="21206"/>
    <cellStyle name="Total 2 2 5 8 2" xfId="29518"/>
    <cellStyle name="Total 2 2 5 8 2 2" xfId="60144"/>
    <cellStyle name="Total 2 2 5 8 2 3" xfId="60145"/>
    <cellStyle name="Total 2 2 5 8 3" xfId="36587"/>
    <cellStyle name="Total 2 2 5 8 4" xfId="60146"/>
    <cellStyle name="Total 2 2 5 9" xfId="22015"/>
    <cellStyle name="Total 2 2 5 9 2" xfId="30314"/>
    <cellStyle name="Total 2 2 5 9 3" xfId="37352"/>
    <cellStyle name="Total 2 2 6" xfId="204"/>
    <cellStyle name="Total 2 2 6 10" xfId="22979"/>
    <cellStyle name="Total 2 2 6 11" xfId="60147"/>
    <cellStyle name="Total 2 2 6 12" xfId="60148"/>
    <cellStyle name="Total 2 2 6 13" xfId="60149"/>
    <cellStyle name="Total 2 2 6 14" xfId="60150"/>
    <cellStyle name="Total 2 2 6 2" xfId="226"/>
    <cellStyle name="Total 2 2 6 2 2" xfId="1233"/>
    <cellStyle name="Total 2 2 6 2 2 2" xfId="1011"/>
    <cellStyle name="Total 2 2 6 2 2 2 2" xfId="2590"/>
    <cellStyle name="Total 2 2 6 2 2 2 2 2" xfId="6010"/>
    <cellStyle name="Total 2 2 6 2 2 2 2 2 2" xfId="12850"/>
    <cellStyle name="Total 2 2 6 2 2 2 2 3" xfId="9430"/>
    <cellStyle name="Total 2 2 6 2 2 2 3" xfId="3730"/>
    <cellStyle name="Total 2 2 6 2 2 2 3 2" xfId="7150"/>
    <cellStyle name="Total 2 2 6 2 2 2 3 2 2" xfId="13990"/>
    <cellStyle name="Total 2 2 6 2 2 2 3 3" xfId="10570"/>
    <cellStyle name="Total 2 2 6 2 2 2 4" xfId="4870"/>
    <cellStyle name="Total 2 2 6 2 2 2 4 2" xfId="11710"/>
    <cellStyle name="Total 2 2 6 2 2 2 5" xfId="8290"/>
    <cellStyle name="Total 2 2 6 2 2 3" xfId="2053"/>
    <cellStyle name="Total 2 2 6 2 2 3 2" xfId="5473"/>
    <cellStyle name="Total 2 2 6 2 2 3 2 2" xfId="12313"/>
    <cellStyle name="Total 2 2 6 2 2 3 3" xfId="8893"/>
    <cellStyle name="Total 2 2 6 2 2 4" xfId="3193"/>
    <cellStyle name="Total 2 2 6 2 2 4 2" xfId="6613"/>
    <cellStyle name="Total 2 2 6 2 2 4 2 2" xfId="13453"/>
    <cellStyle name="Total 2 2 6 2 2 4 3" xfId="10033"/>
    <cellStyle name="Total 2 2 6 2 2 5" xfId="4333"/>
    <cellStyle name="Total 2 2 6 2 2 5 2" xfId="11173"/>
    <cellStyle name="Total 2 2 6 2 2 6" xfId="7753"/>
    <cellStyle name="Total 2 2 6 2 3" xfId="15698"/>
    <cellStyle name="Total 2 2 6 2 4" xfId="24014"/>
    <cellStyle name="Total 2 2 6 2 5" xfId="31308"/>
    <cellStyle name="Total 2 2 6 2 6" xfId="60151"/>
    <cellStyle name="Total 2 2 6 2 7" xfId="60152"/>
    <cellStyle name="Total 2 2 6 2 8" xfId="60153"/>
    <cellStyle name="Total 2 2 6 3" xfId="1212"/>
    <cellStyle name="Total 2 2 6 3 2" xfId="1736"/>
    <cellStyle name="Total 2 2 6 3 2 2" xfId="2876"/>
    <cellStyle name="Total 2 2 6 3 2 2 2" xfId="6296"/>
    <cellStyle name="Total 2 2 6 3 2 2 2 2" xfId="13136"/>
    <cellStyle name="Total 2 2 6 3 2 2 3" xfId="9716"/>
    <cellStyle name="Total 2 2 6 3 2 3" xfId="4016"/>
    <cellStyle name="Total 2 2 6 3 2 3 2" xfId="7436"/>
    <cellStyle name="Total 2 2 6 3 2 3 2 2" xfId="14276"/>
    <cellStyle name="Total 2 2 6 3 2 3 3" xfId="10856"/>
    <cellStyle name="Total 2 2 6 3 2 4" xfId="5156"/>
    <cellStyle name="Total 2 2 6 3 2 4 2" xfId="11996"/>
    <cellStyle name="Total 2 2 6 3 2 5" xfId="8576"/>
    <cellStyle name="Total 2 2 6 3 3" xfId="2031"/>
    <cellStyle name="Total 2 2 6 3 3 2" xfId="5451"/>
    <cellStyle name="Total 2 2 6 3 3 2 2" xfId="12291"/>
    <cellStyle name="Total 2 2 6 3 3 3" xfId="8871"/>
    <cellStyle name="Total 2 2 6 3 4" xfId="3171"/>
    <cellStyle name="Total 2 2 6 3 4 2" xfId="6591"/>
    <cellStyle name="Total 2 2 6 3 4 2 2" xfId="13431"/>
    <cellStyle name="Total 2 2 6 3 4 3" xfId="10011"/>
    <cellStyle name="Total 2 2 6 3 5" xfId="4311"/>
    <cellStyle name="Total 2 2 6 3 5 2" xfId="11151"/>
    <cellStyle name="Total 2 2 6 3 6" xfId="7731"/>
    <cellStyle name="Total 2 2 6 3 7" xfId="16665"/>
    <cellStyle name="Total 2 2 6 3 8" xfId="24985"/>
    <cellStyle name="Total 2 2 6 3 9" xfId="32241"/>
    <cellStyle name="Total 2 2 6 4" xfId="17688"/>
    <cellStyle name="Total 2 2 6 4 2" xfId="26011"/>
    <cellStyle name="Total 2 2 6 4 2 2" xfId="60154"/>
    <cellStyle name="Total 2 2 6 4 2 3" xfId="60155"/>
    <cellStyle name="Total 2 2 6 4 3" xfId="33218"/>
    <cellStyle name="Total 2 2 6 4 4" xfId="60156"/>
    <cellStyle name="Total 2 2 6 5" xfId="18671"/>
    <cellStyle name="Total 2 2 6 5 2" xfId="26992"/>
    <cellStyle name="Total 2 2 6 5 2 2" xfId="60157"/>
    <cellStyle name="Total 2 2 6 5 2 3" xfId="60158"/>
    <cellStyle name="Total 2 2 6 5 3" xfId="34157"/>
    <cellStyle name="Total 2 2 6 5 4" xfId="60159"/>
    <cellStyle name="Total 2 2 6 6" xfId="19640"/>
    <cellStyle name="Total 2 2 6 6 2" xfId="27961"/>
    <cellStyle name="Total 2 2 6 6 2 2" xfId="60160"/>
    <cellStyle name="Total 2 2 6 6 2 3" xfId="60161"/>
    <cellStyle name="Total 2 2 6 6 3" xfId="35103"/>
    <cellStyle name="Total 2 2 6 6 4" xfId="60162"/>
    <cellStyle name="Total 2 2 6 7" xfId="20597"/>
    <cellStyle name="Total 2 2 6 7 2" xfId="28918"/>
    <cellStyle name="Total 2 2 6 7 2 2" xfId="60163"/>
    <cellStyle name="Total 2 2 6 7 2 3" xfId="60164"/>
    <cellStyle name="Total 2 2 6 7 3" xfId="36018"/>
    <cellStyle name="Total 2 2 6 7 4" xfId="60165"/>
    <cellStyle name="Total 2 2 6 8" xfId="21240"/>
    <cellStyle name="Total 2 2 6 8 2" xfId="29550"/>
    <cellStyle name="Total 2 2 6 8 2 2" xfId="60166"/>
    <cellStyle name="Total 2 2 6 8 2 3" xfId="60167"/>
    <cellStyle name="Total 2 2 6 8 3" xfId="36618"/>
    <cellStyle name="Total 2 2 6 8 4" xfId="60168"/>
    <cellStyle name="Total 2 2 6 9" xfId="22034"/>
    <cellStyle name="Total 2 2 6 9 2" xfId="30332"/>
    <cellStyle name="Total 2 2 6 9 3" xfId="37369"/>
    <cellStyle name="Total 2 2 7" xfId="420"/>
    <cellStyle name="Total 2 2 7 10" xfId="14596"/>
    <cellStyle name="Total 2 2 7 11" xfId="22956"/>
    <cellStyle name="Total 2 2 7 12" xfId="60169"/>
    <cellStyle name="Total 2 2 7 13" xfId="60170"/>
    <cellStyle name="Total 2 2 7 14" xfId="60171"/>
    <cellStyle name="Total 2 2 7 2" xfId="524"/>
    <cellStyle name="Total 2 2 7 2 2" xfId="1528"/>
    <cellStyle name="Total 2 2 7 2 2 2" xfId="1741"/>
    <cellStyle name="Total 2 2 7 2 2 2 2" xfId="2881"/>
    <cellStyle name="Total 2 2 7 2 2 2 2 2" xfId="6301"/>
    <cellStyle name="Total 2 2 7 2 2 2 2 2 2" xfId="13141"/>
    <cellStyle name="Total 2 2 7 2 2 2 2 3" xfId="9721"/>
    <cellStyle name="Total 2 2 7 2 2 2 3" xfId="4021"/>
    <cellStyle name="Total 2 2 7 2 2 2 3 2" xfId="7441"/>
    <cellStyle name="Total 2 2 7 2 2 2 3 2 2" xfId="14281"/>
    <cellStyle name="Total 2 2 7 2 2 2 3 3" xfId="10861"/>
    <cellStyle name="Total 2 2 7 2 2 2 4" xfId="5161"/>
    <cellStyle name="Total 2 2 7 2 2 2 4 2" xfId="12001"/>
    <cellStyle name="Total 2 2 7 2 2 2 5" xfId="8581"/>
    <cellStyle name="Total 2 2 7 2 2 3" xfId="2349"/>
    <cellStyle name="Total 2 2 7 2 2 3 2" xfId="5769"/>
    <cellStyle name="Total 2 2 7 2 2 3 2 2" xfId="12609"/>
    <cellStyle name="Total 2 2 7 2 2 3 3" xfId="9189"/>
    <cellStyle name="Total 2 2 7 2 2 4" xfId="3489"/>
    <cellStyle name="Total 2 2 7 2 2 4 2" xfId="6909"/>
    <cellStyle name="Total 2 2 7 2 2 4 2 2" xfId="13749"/>
    <cellStyle name="Total 2 2 7 2 2 4 3" xfId="10329"/>
    <cellStyle name="Total 2 2 7 2 2 5" xfId="4629"/>
    <cellStyle name="Total 2 2 7 2 2 5 2" xfId="11469"/>
    <cellStyle name="Total 2 2 7 2 2 6" xfId="8049"/>
    <cellStyle name="Total 2 2 7 2 3" xfId="15676"/>
    <cellStyle name="Total 2 2 7 2 4" xfId="23991"/>
    <cellStyle name="Total 2 2 7 2 5" xfId="31286"/>
    <cellStyle name="Total 2 2 7 2 6" xfId="60172"/>
    <cellStyle name="Total 2 2 7 2 7" xfId="60173"/>
    <cellStyle name="Total 2 2 7 2 8" xfId="60174"/>
    <cellStyle name="Total 2 2 7 3" xfId="1425"/>
    <cellStyle name="Total 2 2 7 3 2" xfId="1827"/>
    <cellStyle name="Total 2 2 7 3 2 2" xfId="2967"/>
    <cellStyle name="Total 2 2 7 3 2 2 2" xfId="6387"/>
    <cellStyle name="Total 2 2 7 3 2 2 2 2" xfId="13227"/>
    <cellStyle name="Total 2 2 7 3 2 2 3" xfId="9807"/>
    <cellStyle name="Total 2 2 7 3 2 3" xfId="4107"/>
    <cellStyle name="Total 2 2 7 3 2 3 2" xfId="7527"/>
    <cellStyle name="Total 2 2 7 3 2 3 2 2" xfId="14367"/>
    <cellStyle name="Total 2 2 7 3 2 3 3" xfId="10947"/>
    <cellStyle name="Total 2 2 7 3 2 4" xfId="5247"/>
    <cellStyle name="Total 2 2 7 3 2 4 2" xfId="12087"/>
    <cellStyle name="Total 2 2 7 3 2 5" xfId="8667"/>
    <cellStyle name="Total 2 2 7 3 3" xfId="2246"/>
    <cellStyle name="Total 2 2 7 3 3 2" xfId="5666"/>
    <cellStyle name="Total 2 2 7 3 3 2 2" xfId="12506"/>
    <cellStyle name="Total 2 2 7 3 3 3" xfId="9086"/>
    <cellStyle name="Total 2 2 7 3 4" xfId="3386"/>
    <cellStyle name="Total 2 2 7 3 4 2" xfId="6806"/>
    <cellStyle name="Total 2 2 7 3 4 2 2" xfId="13646"/>
    <cellStyle name="Total 2 2 7 3 4 3" xfId="10226"/>
    <cellStyle name="Total 2 2 7 3 5" xfId="4526"/>
    <cellStyle name="Total 2 2 7 3 5 2" xfId="11366"/>
    <cellStyle name="Total 2 2 7 3 6" xfId="7946"/>
    <cellStyle name="Total 2 2 7 3 7" xfId="16643"/>
    <cellStyle name="Total 2 2 7 3 8" xfId="24962"/>
    <cellStyle name="Total 2 2 7 3 9" xfId="32219"/>
    <cellStyle name="Total 2 2 7 4" xfId="17664"/>
    <cellStyle name="Total 2 2 7 4 2" xfId="25988"/>
    <cellStyle name="Total 2 2 7 4 2 2" xfId="60175"/>
    <cellStyle name="Total 2 2 7 4 2 3" xfId="60176"/>
    <cellStyle name="Total 2 2 7 4 3" xfId="33196"/>
    <cellStyle name="Total 2 2 7 4 4" xfId="60177"/>
    <cellStyle name="Total 2 2 7 5" xfId="18647"/>
    <cellStyle name="Total 2 2 7 5 2" xfId="26968"/>
    <cellStyle name="Total 2 2 7 5 2 2" xfId="60178"/>
    <cellStyle name="Total 2 2 7 5 2 3" xfId="60179"/>
    <cellStyle name="Total 2 2 7 5 3" xfId="34134"/>
    <cellStyle name="Total 2 2 7 5 4" xfId="60180"/>
    <cellStyle name="Total 2 2 7 6" xfId="19616"/>
    <cellStyle name="Total 2 2 7 6 2" xfId="27937"/>
    <cellStyle name="Total 2 2 7 6 2 2" xfId="60181"/>
    <cellStyle name="Total 2 2 7 6 2 3" xfId="60182"/>
    <cellStyle name="Total 2 2 7 6 3" xfId="35080"/>
    <cellStyle name="Total 2 2 7 6 4" xfId="60183"/>
    <cellStyle name="Total 2 2 7 7" xfId="20573"/>
    <cellStyle name="Total 2 2 7 7 2" xfId="28895"/>
    <cellStyle name="Total 2 2 7 7 2 2" xfId="60184"/>
    <cellStyle name="Total 2 2 7 7 2 3" xfId="60185"/>
    <cellStyle name="Total 2 2 7 7 3" xfId="35996"/>
    <cellStyle name="Total 2 2 7 7 4" xfId="60186"/>
    <cellStyle name="Total 2 2 7 8" xfId="21317"/>
    <cellStyle name="Total 2 2 7 8 2" xfId="29623"/>
    <cellStyle name="Total 2 2 7 8 2 2" xfId="60187"/>
    <cellStyle name="Total 2 2 7 8 2 3" xfId="60188"/>
    <cellStyle name="Total 2 2 7 8 3" xfId="36690"/>
    <cellStyle name="Total 2 2 7 8 4" xfId="60189"/>
    <cellStyle name="Total 2 2 7 9" xfId="22010"/>
    <cellStyle name="Total 2 2 7 9 2" xfId="30309"/>
    <cellStyle name="Total 2 2 7 9 3" xfId="37347"/>
    <cellStyle name="Total 2 2 8" xfId="506"/>
    <cellStyle name="Total 2 2 8 10" xfId="14635"/>
    <cellStyle name="Total 2 2 8 11" xfId="22997"/>
    <cellStyle name="Total 2 2 8 12" xfId="60190"/>
    <cellStyle name="Total 2 2 8 13" xfId="60191"/>
    <cellStyle name="Total 2 2 8 14" xfId="60192"/>
    <cellStyle name="Total 2 2 8 2" xfId="455"/>
    <cellStyle name="Total 2 2 8 2 2" xfId="1459"/>
    <cellStyle name="Total 2 2 8 2 2 2" xfId="1814"/>
    <cellStyle name="Total 2 2 8 2 2 2 2" xfId="2954"/>
    <cellStyle name="Total 2 2 8 2 2 2 2 2" xfId="6374"/>
    <cellStyle name="Total 2 2 8 2 2 2 2 2 2" xfId="13214"/>
    <cellStyle name="Total 2 2 8 2 2 2 2 3" xfId="9794"/>
    <cellStyle name="Total 2 2 8 2 2 2 3" xfId="4094"/>
    <cellStyle name="Total 2 2 8 2 2 2 3 2" xfId="7514"/>
    <cellStyle name="Total 2 2 8 2 2 2 3 2 2" xfId="14354"/>
    <cellStyle name="Total 2 2 8 2 2 2 3 3" xfId="10934"/>
    <cellStyle name="Total 2 2 8 2 2 2 4" xfId="5234"/>
    <cellStyle name="Total 2 2 8 2 2 2 4 2" xfId="12074"/>
    <cellStyle name="Total 2 2 8 2 2 2 5" xfId="8654"/>
    <cellStyle name="Total 2 2 8 2 2 3" xfId="2280"/>
    <cellStyle name="Total 2 2 8 2 2 3 2" xfId="5700"/>
    <cellStyle name="Total 2 2 8 2 2 3 2 2" xfId="12540"/>
    <cellStyle name="Total 2 2 8 2 2 3 3" xfId="9120"/>
    <cellStyle name="Total 2 2 8 2 2 4" xfId="3420"/>
    <cellStyle name="Total 2 2 8 2 2 4 2" xfId="6840"/>
    <cellStyle name="Total 2 2 8 2 2 4 2 2" xfId="13680"/>
    <cellStyle name="Total 2 2 8 2 2 4 3" xfId="10260"/>
    <cellStyle name="Total 2 2 8 2 2 5" xfId="4560"/>
    <cellStyle name="Total 2 2 8 2 2 5 2" xfId="11400"/>
    <cellStyle name="Total 2 2 8 2 2 6" xfId="7980"/>
    <cellStyle name="Total 2 2 8 2 3" xfId="15716"/>
    <cellStyle name="Total 2 2 8 2 4" xfId="24032"/>
    <cellStyle name="Total 2 2 8 2 5" xfId="31325"/>
    <cellStyle name="Total 2 2 8 2 6" xfId="60193"/>
    <cellStyle name="Total 2 2 8 2 7" xfId="60194"/>
    <cellStyle name="Total 2 2 8 2 8" xfId="60195"/>
    <cellStyle name="Total 2 2 8 3" xfId="1510"/>
    <cellStyle name="Total 2 2 8 3 2" xfId="1807"/>
    <cellStyle name="Total 2 2 8 3 2 2" xfId="2947"/>
    <cellStyle name="Total 2 2 8 3 2 2 2" xfId="6367"/>
    <cellStyle name="Total 2 2 8 3 2 2 2 2" xfId="13207"/>
    <cellStyle name="Total 2 2 8 3 2 2 3" xfId="9787"/>
    <cellStyle name="Total 2 2 8 3 2 3" xfId="4087"/>
    <cellStyle name="Total 2 2 8 3 2 3 2" xfId="7507"/>
    <cellStyle name="Total 2 2 8 3 2 3 2 2" xfId="14347"/>
    <cellStyle name="Total 2 2 8 3 2 3 3" xfId="10927"/>
    <cellStyle name="Total 2 2 8 3 2 4" xfId="5227"/>
    <cellStyle name="Total 2 2 8 3 2 4 2" xfId="12067"/>
    <cellStyle name="Total 2 2 8 3 2 5" xfId="8647"/>
    <cellStyle name="Total 2 2 8 3 3" xfId="2331"/>
    <cellStyle name="Total 2 2 8 3 3 2" xfId="5751"/>
    <cellStyle name="Total 2 2 8 3 3 2 2" xfId="12591"/>
    <cellStyle name="Total 2 2 8 3 3 3" xfId="9171"/>
    <cellStyle name="Total 2 2 8 3 4" xfId="3471"/>
    <cellStyle name="Total 2 2 8 3 4 2" xfId="6891"/>
    <cellStyle name="Total 2 2 8 3 4 2 2" xfId="13731"/>
    <cellStyle name="Total 2 2 8 3 4 3" xfId="10311"/>
    <cellStyle name="Total 2 2 8 3 5" xfId="4611"/>
    <cellStyle name="Total 2 2 8 3 5 2" xfId="11451"/>
    <cellStyle name="Total 2 2 8 3 6" xfId="8031"/>
    <cellStyle name="Total 2 2 8 3 7" xfId="16682"/>
    <cellStyle name="Total 2 2 8 3 8" xfId="25003"/>
    <cellStyle name="Total 2 2 8 3 9" xfId="32258"/>
    <cellStyle name="Total 2 2 8 4" xfId="17706"/>
    <cellStyle name="Total 2 2 8 4 2" xfId="26029"/>
    <cellStyle name="Total 2 2 8 4 2 2" xfId="60196"/>
    <cellStyle name="Total 2 2 8 4 2 3" xfId="60197"/>
    <cellStyle name="Total 2 2 8 4 3" xfId="33235"/>
    <cellStyle name="Total 2 2 8 4 4" xfId="60198"/>
    <cellStyle name="Total 2 2 8 5" xfId="18689"/>
    <cellStyle name="Total 2 2 8 5 2" xfId="27010"/>
    <cellStyle name="Total 2 2 8 5 2 2" xfId="60199"/>
    <cellStyle name="Total 2 2 8 5 2 3" xfId="60200"/>
    <cellStyle name="Total 2 2 8 5 3" xfId="34174"/>
    <cellStyle name="Total 2 2 8 5 4" xfId="60201"/>
    <cellStyle name="Total 2 2 8 6" xfId="19658"/>
    <cellStyle name="Total 2 2 8 6 2" xfId="27979"/>
    <cellStyle name="Total 2 2 8 6 2 2" xfId="60202"/>
    <cellStyle name="Total 2 2 8 6 2 3" xfId="60203"/>
    <cellStyle name="Total 2 2 8 6 3" xfId="35120"/>
    <cellStyle name="Total 2 2 8 6 4" xfId="60204"/>
    <cellStyle name="Total 2 2 8 7" xfId="20615"/>
    <cellStyle name="Total 2 2 8 7 2" xfId="28936"/>
    <cellStyle name="Total 2 2 8 7 2 2" xfId="60205"/>
    <cellStyle name="Total 2 2 8 7 2 3" xfId="60206"/>
    <cellStyle name="Total 2 2 8 7 3" xfId="36035"/>
    <cellStyle name="Total 2 2 8 7 4" xfId="60207"/>
    <cellStyle name="Total 2 2 8 8" xfId="15539"/>
    <cellStyle name="Total 2 2 8 8 2" xfId="23874"/>
    <cellStyle name="Total 2 2 8 8 2 2" xfId="60208"/>
    <cellStyle name="Total 2 2 8 8 2 3" xfId="60209"/>
    <cellStyle name="Total 2 2 8 8 3" xfId="31219"/>
    <cellStyle name="Total 2 2 8 8 4" xfId="60210"/>
    <cellStyle name="Total 2 2 8 9" xfId="22052"/>
    <cellStyle name="Total 2 2 8 9 2" xfId="30350"/>
    <cellStyle name="Total 2 2 8 9 3" xfId="37386"/>
    <cellStyle name="Total 2 2 9" xfId="1098"/>
    <cellStyle name="Total 2 2 9 10" xfId="14639"/>
    <cellStyle name="Total 2 2 9 11" xfId="23001"/>
    <cellStyle name="Total 2 2 9 2" xfId="1079"/>
    <cellStyle name="Total 2 2 9 2 2" xfId="2631"/>
    <cellStyle name="Total 2 2 9 2 2 2" xfId="6051"/>
    <cellStyle name="Total 2 2 9 2 2 2 2" xfId="12891"/>
    <cellStyle name="Total 2 2 9 2 2 3" xfId="9471"/>
    <cellStyle name="Total 2 2 9 2 3" xfId="3771"/>
    <cellStyle name="Total 2 2 9 2 3 2" xfId="7191"/>
    <cellStyle name="Total 2 2 9 2 3 2 2" xfId="14031"/>
    <cellStyle name="Total 2 2 9 2 3 3" xfId="10611"/>
    <cellStyle name="Total 2 2 9 2 4" xfId="4911"/>
    <cellStyle name="Total 2 2 9 2 4 2" xfId="11751"/>
    <cellStyle name="Total 2 2 9 2 5" xfId="8331"/>
    <cellStyle name="Total 2 2 9 2 6" xfId="15720"/>
    <cellStyle name="Total 2 2 9 2 7" xfId="24036"/>
    <cellStyle name="Total 2 2 9 2 8" xfId="31329"/>
    <cellStyle name="Total 2 2 9 3" xfId="1905"/>
    <cellStyle name="Total 2 2 9 3 2" xfId="5325"/>
    <cellStyle name="Total 2 2 9 3 2 2" xfId="12165"/>
    <cellStyle name="Total 2 2 9 3 2 3" xfId="60211"/>
    <cellStyle name="Total 2 2 9 3 3" xfId="8745"/>
    <cellStyle name="Total 2 2 9 3 4" xfId="16686"/>
    <cellStyle name="Total 2 2 9 3 5" xfId="25007"/>
    <cellStyle name="Total 2 2 9 3 6" xfId="32262"/>
    <cellStyle name="Total 2 2 9 4" xfId="3045"/>
    <cellStyle name="Total 2 2 9 4 2" xfId="6465"/>
    <cellStyle name="Total 2 2 9 4 2 2" xfId="13305"/>
    <cellStyle name="Total 2 2 9 4 2 3" xfId="60212"/>
    <cellStyle name="Total 2 2 9 4 3" xfId="9885"/>
    <cellStyle name="Total 2 2 9 4 4" xfId="17710"/>
    <cellStyle name="Total 2 2 9 4 5" xfId="26033"/>
    <cellStyle name="Total 2 2 9 4 6" xfId="33239"/>
    <cellStyle name="Total 2 2 9 5" xfId="4185"/>
    <cellStyle name="Total 2 2 9 5 2" xfId="11025"/>
    <cellStyle name="Total 2 2 9 5 2 2" xfId="60213"/>
    <cellStyle name="Total 2 2 9 5 2 3" xfId="60214"/>
    <cellStyle name="Total 2 2 9 5 3" xfId="18693"/>
    <cellStyle name="Total 2 2 9 5 4" xfId="27014"/>
    <cellStyle name="Total 2 2 9 5 5" xfId="34178"/>
    <cellStyle name="Total 2 2 9 6" xfId="7605"/>
    <cellStyle name="Total 2 2 9 6 2" xfId="19662"/>
    <cellStyle name="Total 2 2 9 6 2 2" xfId="60215"/>
    <cellStyle name="Total 2 2 9 6 2 3" xfId="60216"/>
    <cellStyle name="Total 2 2 9 6 3" xfId="27983"/>
    <cellStyle name="Total 2 2 9 6 4" xfId="35124"/>
    <cellStyle name="Total 2 2 9 7" xfId="20619"/>
    <cellStyle name="Total 2 2 9 7 2" xfId="28940"/>
    <cellStyle name="Total 2 2 9 7 2 2" xfId="60217"/>
    <cellStyle name="Total 2 2 9 7 2 3" xfId="60218"/>
    <cellStyle name="Total 2 2 9 7 3" xfId="36039"/>
    <cellStyle name="Total 2 2 9 7 4" xfId="60219"/>
    <cellStyle name="Total 2 2 9 8" xfId="21332"/>
    <cellStyle name="Total 2 2 9 8 2" xfId="29637"/>
    <cellStyle name="Total 2 2 9 8 2 2" xfId="60220"/>
    <cellStyle name="Total 2 2 9 8 2 3" xfId="60221"/>
    <cellStyle name="Total 2 2 9 8 3" xfId="36703"/>
    <cellStyle name="Total 2 2 9 8 4" xfId="60222"/>
    <cellStyle name="Total 2 2 9 9" xfId="22056"/>
    <cellStyle name="Total 2 2 9 9 2" xfId="30354"/>
    <cellStyle name="Total 2 2 9 9 3" xfId="37390"/>
    <cellStyle name="Total 2 20" xfId="15216"/>
    <cellStyle name="Total 2 20 10" xfId="60223"/>
    <cellStyle name="Total 2 20 2" xfId="16296"/>
    <cellStyle name="Total 2 20 2 2" xfId="24609"/>
    <cellStyle name="Total 2 20 2 2 2" xfId="60224"/>
    <cellStyle name="Total 2 20 2 2 3" xfId="60225"/>
    <cellStyle name="Total 2 20 2 3" xfId="31878"/>
    <cellStyle name="Total 2 20 2 4" xfId="60226"/>
    <cellStyle name="Total 2 20 3" xfId="17262"/>
    <cellStyle name="Total 2 20 3 2" xfId="25583"/>
    <cellStyle name="Total 2 20 3 2 2" xfId="60227"/>
    <cellStyle name="Total 2 20 3 2 3" xfId="60228"/>
    <cellStyle name="Total 2 20 3 3" xfId="32811"/>
    <cellStyle name="Total 2 20 3 4" xfId="60229"/>
    <cellStyle name="Total 2 20 4" xfId="18290"/>
    <cellStyle name="Total 2 20 4 2" xfId="26610"/>
    <cellStyle name="Total 2 20 4 2 2" xfId="60230"/>
    <cellStyle name="Total 2 20 4 2 3" xfId="60231"/>
    <cellStyle name="Total 2 20 4 3" xfId="33789"/>
    <cellStyle name="Total 2 20 4 4" xfId="60232"/>
    <cellStyle name="Total 2 20 5" xfId="19274"/>
    <cellStyle name="Total 2 20 5 2" xfId="27594"/>
    <cellStyle name="Total 2 20 5 2 2" xfId="60233"/>
    <cellStyle name="Total 2 20 5 2 3" xfId="60234"/>
    <cellStyle name="Total 2 20 5 3" xfId="34742"/>
    <cellStyle name="Total 2 20 5 4" xfId="60235"/>
    <cellStyle name="Total 2 20 6" xfId="20242"/>
    <cellStyle name="Total 2 20 6 2" xfId="28564"/>
    <cellStyle name="Total 2 20 6 2 2" xfId="60236"/>
    <cellStyle name="Total 2 20 6 2 3" xfId="60237"/>
    <cellStyle name="Total 2 20 6 3" xfId="35681"/>
    <cellStyle name="Total 2 20 6 4" xfId="60238"/>
    <cellStyle name="Total 2 20 7" xfId="21703"/>
    <cellStyle name="Total 2 20 7 2" xfId="30004"/>
    <cellStyle name="Total 2 20 7 2 2" xfId="60239"/>
    <cellStyle name="Total 2 20 7 2 3" xfId="60240"/>
    <cellStyle name="Total 2 20 7 3" xfId="37055"/>
    <cellStyle name="Total 2 20 7 4" xfId="60241"/>
    <cellStyle name="Total 2 20 8" xfId="22631"/>
    <cellStyle name="Total 2 20 8 2" xfId="30927"/>
    <cellStyle name="Total 2 20 8 3" xfId="37938"/>
    <cellStyle name="Total 2 20 9" xfId="23573"/>
    <cellStyle name="Total 2 21" xfId="15210"/>
    <cellStyle name="Total 2 21 10" xfId="60242"/>
    <cellStyle name="Total 2 21 2" xfId="16290"/>
    <cellStyle name="Total 2 21 2 2" xfId="24603"/>
    <cellStyle name="Total 2 21 2 2 2" xfId="60243"/>
    <cellStyle name="Total 2 21 2 2 3" xfId="60244"/>
    <cellStyle name="Total 2 21 2 3" xfId="31872"/>
    <cellStyle name="Total 2 21 2 4" xfId="60245"/>
    <cellStyle name="Total 2 21 3" xfId="17256"/>
    <cellStyle name="Total 2 21 3 2" xfId="25577"/>
    <cellStyle name="Total 2 21 3 2 2" xfId="60246"/>
    <cellStyle name="Total 2 21 3 2 3" xfId="60247"/>
    <cellStyle name="Total 2 21 3 3" xfId="32805"/>
    <cellStyle name="Total 2 21 3 4" xfId="60248"/>
    <cellStyle name="Total 2 21 4" xfId="18284"/>
    <cellStyle name="Total 2 21 4 2" xfId="26604"/>
    <cellStyle name="Total 2 21 4 2 2" xfId="60249"/>
    <cellStyle name="Total 2 21 4 2 3" xfId="60250"/>
    <cellStyle name="Total 2 21 4 3" xfId="33783"/>
    <cellStyle name="Total 2 21 4 4" xfId="60251"/>
    <cellStyle name="Total 2 21 5" xfId="19268"/>
    <cellStyle name="Total 2 21 5 2" xfId="27588"/>
    <cellStyle name="Total 2 21 5 2 2" xfId="60252"/>
    <cellStyle name="Total 2 21 5 2 3" xfId="60253"/>
    <cellStyle name="Total 2 21 5 3" xfId="34736"/>
    <cellStyle name="Total 2 21 5 4" xfId="60254"/>
    <cellStyle name="Total 2 21 6" xfId="20236"/>
    <cellStyle name="Total 2 21 6 2" xfId="28558"/>
    <cellStyle name="Total 2 21 6 2 2" xfId="60255"/>
    <cellStyle name="Total 2 21 6 2 3" xfId="60256"/>
    <cellStyle name="Total 2 21 6 3" xfId="35675"/>
    <cellStyle name="Total 2 21 6 4" xfId="60257"/>
    <cellStyle name="Total 2 21 7" xfId="21697"/>
    <cellStyle name="Total 2 21 7 2" xfId="29998"/>
    <cellStyle name="Total 2 21 7 2 2" xfId="60258"/>
    <cellStyle name="Total 2 21 7 2 3" xfId="60259"/>
    <cellStyle name="Total 2 21 7 3" xfId="37049"/>
    <cellStyle name="Total 2 21 7 4" xfId="60260"/>
    <cellStyle name="Total 2 21 8" xfId="22625"/>
    <cellStyle name="Total 2 21 8 2" xfId="30921"/>
    <cellStyle name="Total 2 21 8 3" xfId="37932"/>
    <cellStyle name="Total 2 21 9" xfId="23567"/>
    <cellStyle name="Total 2 22" xfId="15344"/>
    <cellStyle name="Total 2 22 10" xfId="60261"/>
    <cellStyle name="Total 2 22 2" xfId="16424"/>
    <cellStyle name="Total 2 22 2 2" xfId="24737"/>
    <cellStyle name="Total 2 22 2 2 2" xfId="60262"/>
    <cellStyle name="Total 2 22 2 2 3" xfId="60263"/>
    <cellStyle name="Total 2 22 2 3" xfId="32002"/>
    <cellStyle name="Total 2 22 2 4" xfId="60264"/>
    <cellStyle name="Total 2 22 3" xfId="17390"/>
    <cellStyle name="Total 2 22 3 2" xfId="25711"/>
    <cellStyle name="Total 2 22 3 2 2" xfId="60265"/>
    <cellStyle name="Total 2 22 3 2 3" xfId="60266"/>
    <cellStyle name="Total 2 22 3 3" xfId="32935"/>
    <cellStyle name="Total 2 22 3 4" xfId="60267"/>
    <cellStyle name="Total 2 22 4" xfId="18418"/>
    <cellStyle name="Total 2 22 4 2" xfId="26738"/>
    <cellStyle name="Total 2 22 4 2 2" xfId="60268"/>
    <cellStyle name="Total 2 22 4 2 3" xfId="60269"/>
    <cellStyle name="Total 2 22 4 3" xfId="33913"/>
    <cellStyle name="Total 2 22 4 4" xfId="60270"/>
    <cellStyle name="Total 2 22 5" xfId="19401"/>
    <cellStyle name="Total 2 22 5 2" xfId="27722"/>
    <cellStyle name="Total 2 22 5 2 2" xfId="60271"/>
    <cellStyle name="Total 2 22 5 2 3" xfId="60272"/>
    <cellStyle name="Total 2 22 5 3" xfId="34870"/>
    <cellStyle name="Total 2 22 5 4" xfId="60273"/>
    <cellStyle name="Total 2 22 6" xfId="20370"/>
    <cellStyle name="Total 2 22 6 2" xfId="28692"/>
    <cellStyle name="Total 2 22 6 2 2" xfId="60274"/>
    <cellStyle name="Total 2 22 6 2 3" xfId="60275"/>
    <cellStyle name="Total 2 22 6 3" xfId="35805"/>
    <cellStyle name="Total 2 22 6 4" xfId="60276"/>
    <cellStyle name="Total 2 22 7" xfId="21831"/>
    <cellStyle name="Total 2 22 7 2" xfId="30132"/>
    <cellStyle name="Total 2 22 7 2 2" xfId="60277"/>
    <cellStyle name="Total 2 22 7 2 3" xfId="60278"/>
    <cellStyle name="Total 2 22 7 3" xfId="37179"/>
    <cellStyle name="Total 2 22 7 4" xfId="60279"/>
    <cellStyle name="Total 2 22 8" xfId="22759"/>
    <cellStyle name="Total 2 22 8 2" xfId="31055"/>
    <cellStyle name="Total 2 22 8 3" xfId="38062"/>
    <cellStyle name="Total 2 22 9" xfId="23701"/>
    <cellStyle name="Total 2 23" xfId="15463"/>
    <cellStyle name="Total 2 23 10" xfId="60280"/>
    <cellStyle name="Total 2 23 2" xfId="16543"/>
    <cellStyle name="Total 2 23 2 2" xfId="24856"/>
    <cellStyle name="Total 2 23 2 2 2" xfId="60281"/>
    <cellStyle name="Total 2 23 2 2 3" xfId="60282"/>
    <cellStyle name="Total 2 23 2 3" xfId="32116"/>
    <cellStyle name="Total 2 23 2 4" xfId="60283"/>
    <cellStyle name="Total 2 23 3" xfId="17509"/>
    <cellStyle name="Total 2 23 3 2" xfId="25830"/>
    <cellStyle name="Total 2 23 3 2 2" xfId="60284"/>
    <cellStyle name="Total 2 23 3 2 3" xfId="60285"/>
    <cellStyle name="Total 2 23 3 3" xfId="33049"/>
    <cellStyle name="Total 2 23 3 4" xfId="60286"/>
    <cellStyle name="Total 2 23 4" xfId="18537"/>
    <cellStyle name="Total 2 23 4 2" xfId="26857"/>
    <cellStyle name="Total 2 23 4 2 2" xfId="60287"/>
    <cellStyle name="Total 2 23 4 2 3" xfId="60288"/>
    <cellStyle name="Total 2 23 4 3" xfId="34027"/>
    <cellStyle name="Total 2 23 4 4" xfId="60289"/>
    <cellStyle name="Total 2 23 5" xfId="19520"/>
    <cellStyle name="Total 2 23 5 2" xfId="27841"/>
    <cellStyle name="Total 2 23 5 2 2" xfId="60290"/>
    <cellStyle name="Total 2 23 5 2 3" xfId="60291"/>
    <cellStyle name="Total 2 23 5 3" xfId="34989"/>
    <cellStyle name="Total 2 23 5 4" xfId="60292"/>
    <cellStyle name="Total 2 23 6" xfId="20489"/>
    <cellStyle name="Total 2 23 6 2" xfId="28811"/>
    <cellStyle name="Total 2 23 6 2 2" xfId="60293"/>
    <cellStyle name="Total 2 23 6 2 3" xfId="60294"/>
    <cellStyle name="Total 2 23 6 3" xfId="35919"/>
    <cellStyle name="Total 2 23 6 4" xfId="60295"/>
    <cellStyle name="Total 2 23 7" xfId="21950"/>
    <cellStyle name="Total 2 23 7 2" xfId="30251"/>
    <cellStyle name="Total 2 23 7 2 2" xfId="60296"/>
    <cellStyle name="Total 2 23 7 2 3" xfId="60297"/>
    <cellStyle name="Total 2 23 7 3" xfId="37292"/>
    <cellStyle name="Total 2 23 7 4" xfId="60298"/>
    <cellStyle name="Total 2 23 8" xfId="22878"/>
    <cellStyle name="Total 2 23 8 2" xfId="31174"/>
    <cellStyle name="Total 2 23 8 3" xfId="38176"/>
    <cellStyle name="Total 2 23 9" xfId="23820"/>
    <cellStyle name="Total 2 24" xfId="15509"/>
    <cellStyle name="Total 2 24 2" xfId="23849"/>
    <cellStyle name="Total 2 24 2 2" xfId="60299"/>
    <cellStyle name="Total 2 24 2 3" xfId="60300"/>
    <cellStyle name="Total 2 24 3" xfId="31198"/>
    <cellStyle name="Total 2 24 4" xfId="60301"/>
    <cellStyle name="Total 2 25" xfId="17559"/>
    <cellStyle name="Total 2 25 2" xfId="25878"/>
    <cellStyle name="Total 2 25 2 2" xfId="60302"/>
    <cellStyle name="Total 2 25 2 3" xfId="60303"/>
    <cellStyle name="Total 2 25 3" xfId="33093"/>
    <cellStyle name="Total 2 25 4" xfId="60304"/>
    <cellStyle name="Total 2 26" xfId="15533"/>
    <cellStyle name="Total 2 26 2" xfId="23869"/>
    <cellStyle name="Total 2 26 2 2" xfId="60305"/>
    <cellStyle name="Total 2 26 2 3" xfId="60306"/>
    <cellStyle name="Total 2 26 3" xfId="31215"/>
    <cellStyle name="Total 2 26 4" xfId="60307"/>
    <cellStyle name="Total 2 27" xfId="21230"/>
    <cellStyle name="Total 2 27 2" xfId="29541"/>
    <cellStyle name="Total 2 27 2 2" xfId="60308"/>
    <cellStyle name="Total 2 27 2 3" xfId="60309"/>
    <cellStyle name="Total 2 27 3" xfId="36610"/>
    <cellStyle name="Total 2 27 4" xfId="60310"/>
    <cellStyle name="Total 2 28" xfId="14496"/>
    <cellStyle name="Total 2 29" xfId="60311"/>
    <cellStyle name="Total 2 3" xfId="74"/>
    <cellStyle name="Total 2 3 10" xfId="14430"/>
    <cellStyle name="Total 2 3 10 2" xfId="60312"/>
    <cellStyle name="Total 2 3 10 3" xfId="60313"/>
    <cellStyle name="Total 2 3 11" xfId="60314"/>
    <cellStyle name="Total 2 3 12" xfId="60315"/>
    <cellStyle name="Total 2 3 13" xfId="60316"/>
    <cellStyle name="Total 2 3 14" xfId="60317"/>
    <cellStyle name="Total 2 3 15" xfId="60318"/>
    <cellStyle name="Total 2 3 2" xfId="151"/>
    <cellStyle name="Total 2 3 2 2" xfId="277"/>
    <cellStyle name="Total 2 3 2 2 2" xfId="686"/>
    <cellStyle name="Total 2 3 2 2 2 2" xfId="1637"/>
    <cellStyle name="Total 2 3 2 2 2 2 2" xfId="770"/>
    <cellStyle name="Total 2 3 2 2 2 2 2 2" xfId="2717"/>
    <cellStyle name="Total 2 3 2 2 2 2 2 2 2" xfId="6137"/>
    <cellStyle name="Total 2 3 2 2 2 2 2 2 2 2" xfId="12977"/>
    <cellStyle name="Total 2 3 2 2 2 2 2 2 3" xfId="9557"/>
    <cellStyle name="Total 2 3 2 2 2 2 2 3" xfId="3857"/>
    <cellStyle name="Total 2 3 2 2 2 2 2 3 2" xfId="7277"/>
    <cellStyle name="Total 2 3 2 2 2 2 2 3 2 2" xfId="14117"/>
    <cellStyle name="Total 2 3 2 2 2 2 2 3 3" xfId="10697"/>
    <cellStyle name="Total 2 3 2 2 2 2 2 4" xfId="4997"/>
    <cellStyle name="Total 2 3 2 2 2 2 2 4 2" xfId="11837"/>
    <cellStyle name="Total 2 3 2 2 2 2 2 5" xfId="8417"/>
    <cellStyle name="Total 2 3 2 2 2 2 3" xfId="2471"/>
    <cellStyle name="Total 2 3 2 2 2 2 3 2" xfId="5891"/>
    <cellStyle name="Total 2 3 2 2 2 2 3 2 2" xfId="12731"/>
    <cellStyle name="Total 2 3 2 2 2 2 3 3" xfId="9311"/>
    <cellStyle name="Total 2 3 2 2 2 2 4" xfId="3611"/>
    <cellStyle name="Total 2 3 2 2 2 2 4 2" xfId="7031"/>
    <cellStyle name="Total 2 3 2 2 2 2 4 2 2" xfId="13871"/>
    <cellStyle name="Total 2 3 2 2 2 2 4 3" xfId="10451"/>
    <cellStyle name="Total 2 3 2 2 2 2 5" xfId="4751"/>
    <cellStyle name="Total 2 3 2 2 2 2 5 2" xfId="11591"/>
    <cellStyle name="Total 2 3 2 2 2 2 6" xfId="8171"/>
    <cellStyle name="Total 2 3 2 2 2 3" xfId="38530"/>
    <cellStyle name="Total 2 3 2 2 2 4" xfId="60319"/>
    <cellStyle name="Total 2 3 2 2 2 5" xfId="60320"/>
    <cellStyle name="Total 2 3 2 2 2 6" xfId="60321"/>
    <cellStyle name="Total 2 3 2 2 3" xfId="1283"/>
    <cellStyle name="Total 2 3 2 2 3 2" xfId="1842"/>
    <cellStyle name="Total 2 3 2 2 3 2 2" xfId="2982"/>
    <cellStyle name="Total 2 3 2 2 3 2 2 2" xfId="6402"/>
    <cellStyle name="Total 2 3 2 2 3 2 2 2 2" xfId="13242"/>
    <cellStyle name="Total 2 3 2 2 3 2 2 3" xfId="9822"/>
    <cellStyle name="Total 2 3 2 2 3 2 3" xfId="4122"/>
    <cellStyle name="Total 2 3 2 2 3 2 3 2" xfId="7542"/>
    <cellStyle name="Total 2 3 2 2 3 2 3 2 2" xfId="14382"/>
    <cellStyle name="Total 2 3 2 2 3 2 3 3" xfId="10962"/>
    <cellStyle name="Total 2 3 2 2 3 2 4" xfId="5262"/>
    <cellStyle name="Total 2 3 2 2 3 2 4 2" xfId="12102"/>
    <cellStyle name="Total 2 3 2 2 3 2 5" xfId="8682"/>
    <cellStyle name="Total 2 3 2 2 3 3" xfId="2103"/>
    <cellStyle name="Total 2 3 2 2 3 3 2" xfId="5523"/>
    <cellStyle name="Total 2 3 2 2 3 3 2 2" xfId="12363"/>
    <cellStyle name="Total 2 3 2 2 3 3 3" xfId="8943"/>
    <cellStyle name="Total 2 3 2 2 3 4" xfId="3243"/>
    <cellStyle name="Total 2 3 2 2 3 4 2" xfId="6663"/>
    <cellStyle name="Total 2 3 2 2 3 4 2 2" xfId="13503"/>
    <cellStyle name="Total 2 3 2 2 3 4 3" xfId="10083"/>
    <cellStyle name="Total 2 3 2 2 3 5" xfId="4383"/>
    <cellStyle name="Total 2 3 2 2 3 5 2" xfId="11223"/>
    <cellStyle name="Total 2 3 2 2 3 6" xfId="7803"/>
    <cellStyle name="Total 2 3 2 2 4" xfId="38293"/>
    <cellStyle name="Total 2 3 2 2 5" xfId="60322"/>
    <cellStyle name="Total 2 3 2 2 6" xfId="60323"/>
    <cellStyle name="Total 2 3 2 2 7" xfId="60324"/>
    <cellStyle name="Total 2 3 2 2 8" xfId="60325"/>
    <cellStyle name="Total 2 3 2 3" xfId="598"/>
    <cellStyle name="Total 2 3 2 3 2" xfId="1585"/>
    <cellStyle name="Total 2 3 2 3 2 2" xfId="1855"/>
    <cellStyle name="Total 2 3 2 3 2 2 2" xfId="2995"/>
    <cellStyle name="Total 2 3 2 3 2 2 2 2" xfId="6415"/>
    <cellStyle name="Total 2 3 2 3 2 2 2 2 2" xfId="13255"/>
    <cellStyle name="Total 2 3 2 3 2 2 2 3" xfId="9835"/>
    <cellStyle name="Total 2 3 2 3 2 2 3" xfId="4135"/>
    <cellStyle name="Total 2 3 2 3 2 2 3 2" xfId="7555"/>
    <cellStyle name="Total 2 3 2 3 2 2 3 2 2" xfId="14395"/>
    <cellStyle name="Total 2 3 2 3 2 2 3 3" xfId="10975"/>
    <cellStyle name="Total 2 3 2 3 2 2 4" xfId="5275"/>
    <cellStyle name="Total 2 3 2 3 2 2 4 2" xfId="12115"/>
    <cellStyle name="Total 2 3 2 3 2 2 5" xfId="8695"/>
    <cellStyle name="Total 2 3 2 3 2 3" xfId="2410"/>
    <cellStyle name="Total 2 3 2 3 2 3 2" xfId="5830"/>
    <cellStyle name="Total 2 3 2 3 2 3 2 2" xfId="12670"/>
    <cellStyle name="Total 2 3 2 3 2 3 3" xfId="9250"/>
    <cellStyle name="Total 2 3 2 3 2 4" xfId="3550"/>
    <cellStyle name="Total 2 3 2 3 2 4 2" xfId="6970"/>
    <cellStyle name="Total 2 3 2 3 2 4 2 2" xfId="13810"/>
    <cellStyle name="Total 2 3 2 3 2 4 3" xfId="10390"/>
    <cellStyle name="Total 2 3 2 3 2 5" xfId="4690"/>
    <cellStyle name="Total 2 3 2 3 2 5 2" xfId="11530"/>
    <cellStyle name="Total 2 3 2 3 2 6" xfId="8110"/>
    <cellStyle name="Total 2 3 2 3 3" xfId="38479"/>
    <cellStyle name="Total 2 3 2 3 4" xfId="60326"/>
    <cellStyle name="Total 2 3 2 3 5" xfId="60327"/>
    <cellStyle name="Total 2 3 2 3 6" xfId="60328"/>
    <cellStyle name="Total 2 3 2 4" xfId="1159"/>
    <cellStyle name="Total 2 3 2 4 2" xfId="1664"/>
    <cellStyle name="Total 2 3 2 4 2 2" xfId="2804"/>
    <cellStyle name="Total 2 3 2 4 2 2 2" xfId="6224"/>
    <cellStyle name="Total 2 3 2 4 2 2 2 2" xfId="13064"/>
    <cellStyle name="Total 2 3 2 4 2 2 3" xfId="9644"/>
    <cellStyle name="Total 2 3 2 4 2 3" xfId="3944"/>
    <cellStyle name="Total 2 3 2 4 2 3 2" xfId="7364"/>
    <cellStyle name="Total 2 3 2 4 2 3 2 2" xfId="14204"/>
    <cellStyle name="Total 2 3 2 4 2 3 3" xfId="10784"/>
    <cellStyle name="Total 2 3 2 4 2 4" xfId="5084"/>
    <cellStyle name="Total 2 3 2 4 2 4 2" xfId="11924"/>
    <cellStyle name="Total 2 3 2 4 2 5" xfId="8504"/>
    <cellStyle name="Total 2 3 2 4 3" xfId="1978"/>
    <cellStyle name="Total 2 3 2 4 3 2" xfId="5398"/>
    <cellStyle name="Total 2 3 2 4 3 2 2" xfId="12238"/>
    <cellStyle name="Total 2 3 2 4 3 3" xfId="8818"/>
    <cellStyle name="Total 2 3 2 4 4" xfId="3118"/>
    <cellStyle name="Total 2 3 2 4 4 2" xfId="6538"/>
    <cellStyle name="Total 2 3 2 4 4 2 2" xfId="13378"/>
    <cellStyle name="Total 2 3 2 4 4 3" xfId="9958"/>
    <cellStyle name="Total 2 3 2 4 5" xfId="4258"/>
    <cellStyle name="Total 2 3 2 4 5 2" xfId="11098"/>
    <cellStyle name="Total 2 3 2 4 6" xfId="7678"/>
    <cellStyle name="Total 2 3 2 5" xfId="15598"/>
    <cellStyle name="Total 2 3 2 6" xfId="23912"/>
    <cellStyle name="Total 2 3 2 7" xfId="38215"/>
    <cellStyle name="Total 2 3 2 8" xfId="60329"/>
    <cellStyle name="Total 2 3 3" xfId="317"/>
    <cellStyle name="Total 2 3 3 2" xfId="373"/>
    <cellStyle name="Total 2 3 3 2 2" xfId="1378"/>
    <cellStyle name="Total 2 3 3 2 2 2" xfId="1708"/>
    <cellStyle name="Total 2 3 3 2 2 2 2" xfId="2848"/>
    <cellStyle name="Total 2 3 3 2 2 2 2 2" xfId="6268"/>
    <cellStyle name="Total 2 3 3 2 2 2 2 2 2" xfId="13108"/>
    <cellStyle name="Total 2 3 3 2 2 2 2 3" xfId="9688"/>
    <cellStyle name="Total 2 3 3 2 2 2 3" xfId="3988"/>
    <cellStyle name="Total 2 3 3 2 2 2 3 2" xfId="7408"/>
    <cellStyle name="Total 2 3 3 2 2 2 3 2 2" xfId="14248"/>
    <cellStyle name="Total 2 3 3 2 2 2 3 3" xfId="10828"/>
    <cellStyle name="Total 2 3 3 2 2 2 4" xfId="5128"/>
    <cellStyle name="Total 2 3 3 2 2 2 4 2" xfId="11968"/>
    <cellStyle name="Total 2 3 3 2 2 2 5" xfId="8548"/>
    <cellStyle name="Total 2 3 3 2 2 3" xfId="2199"/>
    <cellStyle name="Total 2 3 3 2 2 3 2" xfId="5619"/>
    <cellStyle name="Total 2 3 3 2 2 3 2 2" xfId="12459"/>
    <cellStyle name="Total 2 3 3 2 2 3 3" xfId="9039"/>
    <cellStyle name="Total 2 3 3 2 2 4" xfId="3339"/>
    <cellStyle name="Total 2 3 3 2 2 4 2" xfId="6759"/>
    <cellStyle name="Total 2 3 3 2 2 4 2 2" xfId="13599"/>
    <cellStyle name="Total 2 3 3 2 2 4 3" xfId="10179"/>
    <cellStyle name="Total 2 3 3 2 2 5" xfId="4479"/>
    <cellStyle name="Total 2 3 3 2 2 5 2" xfId="11319"/>
    <cellStyle name="Total 2 3 3 2 2 6" xfId="7899"/>
    <cellStyle name="Total 2 3 3 2 3" xfId="38356"/>
    <cellStyle name="Total 2 3 3 2 4" xfId="60330"/>
    <cellStyle name="Total 2 3 3 2 5" xfId="60331"/>
    <cellStyle name="Total 2 3 3 2 6" xfId="60332"/>
    <cellStyle name="Total 2 3 3 2 7" xfId="60333"/>
    <cellStyle name="Total 2 3 3 3" xfId="1322"/>
    <cellStyle name="Total 2 3 3 3 2" xfId="1744"/>
    <cellStyle name="Total 2 3 3 3 2 2" xfId="2884"/>
    <cellStyle name="Total 2 3 3 3 2 2 2" xfId="6304"/>
    <cellStyle name="Total 2 3 3 3 2 2 2 2" xfId="13144"/>
    <cellStyle name="Total 2 3 3 3 2 2 3" xfId="9724"/>
    <cellStyle name="Total 2 3 3 3 2 3" xfId="4024"/>
    <cellStyle name="Total 2 3 3 3 2 3 2" xfId="7444"/>
    <cellStyle name="Total 2 3 3 3 2 3 2 2" xfId="14284"/>
    <cellStyle name="Total 2 3 3 3 2 3 3" xfId="10864"/>
    <cellStyle name="Total 2 3 3 3 2 4" xfId="5164"/>
    <cellStyle name="Total 2 3 3 3 2 4 2" xfId="12004"/>
    <cellStyle name="Total 2 3 3 3 2 5" xfId="8584"/>
    <cellStyle name="Total 2 3 3 3 3" xfId="2143"/>
    <cellStyle name="Total 2 3 3 3 3 2" xfId="5563"/>
    <cellStyle name="Total 2 3 3 3 3 2 2" xfId="12403"/>
    <cellStyle name="Total 2 3 3 3 3 3" xfId="8983"/>
    <cellStyle name="Total 2 3 3 3 4" xfId="3283"/>
    <cellStyle name="Total 2 3 3 3 4 2" xfId="6703"/>
    <cellStyle name="Total 2 3 3 3 4 2 2" xfId="13543"/>
    <cellStyle name="Total 2 3 3 3 4 3" xfId="10123"/>
    <cellStyle name="Total 2 3 3 3 5" xfId="4423"/>
    <cellStyle name="Total 2 3 3 3 5 2" xfId="11263"/>
    <cellStyle name="Total 2 3 3 3 6" xfId="7843"/>
    <cellStyle name="Total 2 3 3 4" xfId="16568"/>
    <cellStyle name="Total 2 3 3 5" xfId="24883"/>
    <cellStyle name="Total 2 3 3 6" xfId="32143"/>
    <cellStyle name="Total 2 3 3 7" xfId="60334"/>
    <cellStyle name="Total 2 3 3 8" xfId="60335"/>
    <cellStyle name="Total 2 3 4" xfId="216"/>
    <cellStyle name="Total 2 3 4 2" xfId="382"/>
    <cellStyle name="Total 2 3 4 2 2" xfId="1387"/>
    <cellStyle name="Total 2 3 4 2 2 2" xfId="915"/>
    <cellStyle name="Total 2 3 4 2 2 2 2" xfId="2628"/>
    <cellStyle name="Total 2 3 4 2 2 2 2 2" xfId="6048"/>
    <cellStyle name="Total 2 3 4 2 2 2 2 2 2" xfId="12888"/>
    <cellStyle name="Total 2 3 4 2 2 2 2 3" xfId="9468"/>
    <cellStyle name="Total 2 3 4 2 2 2 3" xfId="3768"/>
    <cellStyle name="Total 2 3 4 2 2 2 3 2" xfId="7188"/>
    <cellStyle name="Total 2 3 4 2 2 2 3 2 2" xfId="14028"/>
    <cellStyle name="Total 2 3 4 2 2 2 3 3" xfId="10608"/>
    <cellStyle name="Total 2 3 4 2 2 2 4" xfId="4908"/>
    <cellStyle name="Total 2 3 4 2 2 2 4 2" xfId="11748"/>
    <cellStyle name="Total 2 3 4 2 2 2 5" xfId="8328"/>
    <cellStyle name="Total 2 3 4 2 2 3" xfId="2208"/>
    <cellStyle name="Total 2 3 4 2 2 3 2" xfId="5628"/>
    <cellStyle name="Total 2 3 4 2 2 3 2 2" xfId="12468"/>
    <cellStyle name="Total 2 3 4 2 2 3 3" xfId="9048"/>
    <cellStyle name="Total 2 3 4 2 2 4" xfId="3348"/>
    <cellStyle name="Total 2 3 4 2 2 4 2" xfId="6768"/>
    <cellStyle name="Total 2 3 4 2 2 4 2 2" xfId="13608"/>
    <cellStyle name="Total 2 3 4 2 2 4 3" xfId="10188"/>
    <cellStyle name="Total 2 3 4 2 2 5" xfId="4488"/>
    <cellStyle name="Total 2 3 4 2 2 5 2" xfId="11328"/>
    <cellStyle name="Total 2 3 4 2 2 6" xfId="7908"/>
    <cellStyle name="Total 2 3 4 2 3" xfId="38365"/>
    <cellStyle name="Total 2 3 4 2 4" xfId="60336"/>
    <cellStyle name="Total 2 3 4 2 5" xfId="60337"/>
    <cellStyle name="Total 2 3 4 2 6" xfId="60338"/>
    <cellStyle name="Total 2 3 4 2 7" xfId="60339"/>
    <cellStyle name="Total 2 3 4 3" xfId="1223"/>
    <cellStyle name="Total 2 3 4 3 2" xfId="1777"/>
    <cellStyle name="Total 2 3 4 3 2 2" xfId="2917"/>
    <cellStyle name="Total 2 3 4 3 2 2 2" xfId="6337"/>
    <cellStyle name="Total 2 3 4 3 2 2 2 2" xfId="13177"/>
    <cellStyle name="Total 2 3 4 3 2 2 3" xfId="9757"/>
    <cellStyle name="Total 2 3 4 3 2 3" xfId="4057"/>
    <cellStyle name="Total 2 3 4 3 2 3 2" xfId="7477"/>
    <cellStyle name="Total 2 3 4 3 2 3 2 2" xfId="14317"/>
    <cellStyle name="Total 2 3 4 3 2 3 3" xfId="10897"/>
    <cellStyle name="Total 2 3 4 3 2 4" xfId="5197"/>
    <cellStyle name="Total 2 3 4 3 2 4 2" xfId="12037"/>
    <cellStyle name="Total 2 3 4 3 2 5" xfId="8617"/>
    <cellStyle name="Total 2 3 4 3 3" xfId="2043"/>
    <cellStyle name="Total 2 3 4 3 3 2" xfId="5463"/>
    <cellStyle name="Total 2 3 4 3 3 2 2" xfId="12303"/>
    <cellStyle name="Total 2 3 4 3 3 3" xfId="8883"/>
    <cellStyle name="Total 2 3 4 3 4" xfId="3183"/>
    <cellStyle name="Total 2 3 4 3 4 2" xfId="6603"/>
    <cellStyle name="Total 2 3 4 3 4 2 2" xfId="13443"/>
    <cellStyle name="Total 2 3 4 3 4 3" xfId="10023"/>
    <cellStyle name="Total 2 3 4 3 5" xfId="4323"/>
    <cellStyle name="Total 2 3 4 3 5 2" xfId="11163"/>
    <cellStyle name="Total 2 3 4 3 6" xfId="7743"/>
    <cellStyle name="Total 2 3 4 4" xfId="17586"/>
    <cellStyle name="Total 2 3 4 5" xfId="25907"/>
    <cellStyle name="Total 2 3 4 6" xfId="33120"/>
    <cellStyle name="Total 2 3 4 7" xfId="60340"/>
    <cellStyle name="Total 2 3 4 8" xfId="60341"/>
    <cellStyle name="Total 2 3 5" xfId="479"/>
    <cellStyle name="Total 2 3 5 2" xfId="414"/>
    <cellStyle name="Total 2 3 5 2 2" xfId="1419"/>
    <cellStyle name="Total 2 3 5 2 2 2" xfId="1877"/>
    <cellStyle name="Total 2 3 5 2 2 2 2" xfId="3017"/>
    <cellStyle name="Total 2 3 5 2 2 2 2 2" xfId="6437"/>
    <cellStyle name="Total 2 3 5 2 2 2 2 2 2" xfId="13277"/>
    <cellStyle name="Total 2 3 5 2 2 2 2 3" xfId="9857"/>
    <cellStyle name="Total 2 3 5 2 2 2 3" xfId="4157"/>
    <cellStyle name="Total 2 3 5 2 2 2 3 2" xfId="7577"/>
    <cellStyle name="Total 2 3 5 2 2 2 3 2 2" xfId="14417"/>
    <cellStyle name="Total 2 3 5 2 2 2 3 3" xfId="10997"/>
    <cellStyle name="Total 2 3 5 2 2 2 4" xfId="5297"/>
    <cellStyle name="Total 2 3 5 2 2 2 4 2" xfId="12137"/>
    <cellStyle name="Total 2 3 5 2 2 2 5" xfId="8717"/>
    <cellStyle name="Total 2 3 5 2 2 3" xfId="2240"/>
    <cellStyle name="Total 2 3 5 2 2 3 2" xfId="5660"/>
    <cellStyle name="Total 2 3 5 2 2 3 2 2" xfId="12500"/>
    <cellStyle name="Total 2 3 5 2 2 3 3" xfId="9080"/>
    <cellStyle name="Total 2 3 5 2 2 4" xfId="3380"/>
    <cellStyle name="Total 2 3 5 2 2 4 2" xfId="6800"/>
    <cellStyle name="Total 2 3 5 2 2 4 2 2" xfId="13640"/>
    <cellStyle name="Total 2 3 5 2 2 4 3" xfId="10220"/>
    <cellStyle name="Total 2 3 5 2 2 5" xfId="4520"/>
    <cellStyle name="Total 2 3 5 2 2 5 2" xfId="11360"/>
    <cellStyle name="Total 2 3 5 2 2 6" xfId="7940"/>
    <cellStyle name="Total 2 3 5 2 3" xfId="38388"/>
    <cellStyle name="Total 2 3 5 2 4" xfId="60342"/>
    <cellStyle name="Total 2 3 5 2 5" xfId="60343"/>
    <cellStyle name="Total 2 3 5 2 6" xfId="60344"/>
    <cellStyle name="Total 2 3 5 2 7" xfId="60345"/>
    <cellStyle name="Total 2 3 5 3" xfId="1483"/>
    <cellStyle name="Total 2 3 5 3 2" xfId="1831"/>
    <cellStyle name="Total 2 3 5 3 2 2" xfId="2971"/>
    <cellStyle name="Total 2 3 5 3 2 2 2" xfId="6391"/>
    <cellStyle name="Total 2 3 5 3 2 2 2 2" xfId="13231"/>
    <cellStyle name="Total 2 3 5 3 2 2 3" xfId="9811"/>
    <cellStyle name="Total 2 3 5 3 2 3" xfId="4111"/>
    <cellStyle name="Total 2 3 5 3 2 3 2" xfId="7531"/>
    <cellStyle name="Total 2 3 5 3 2 3 2 2" xfId="14371"/>
    <cellStyle name="Total 2 3 5 3 2 3 3" xfId="10951"/>
    <cellStyle name="Total 2 3 5 3 2 4" xfId="5251"/>
    <cellStyle name="Total 2 3 5 3 2 4 2" xfId="12091"/>
    <cellStyle name="Total 2 3 5 3 2 5" xfId="8671"/>
    <cellStyle name="Total 2 3 5 3 3" xfId="2304"/>
    <cellStyle name="Total 2 3 5 3 3 2" xfId="5724"/>
    <cellStyle name="Total 2 3 5 3 3 2 2" xfId="12564"/>
    <cellStyle name="Total 2 3 5 3 3 3" xfId="9144"/>
    <cellStyle name="Total 2 3 5 3 4" xfId="3444"/>
    <cellStyle name="Total 2 3 5 3 4 2" xfId="6864"/>
    <cellStyle name="Total 2 3 5 3 4 2 2" xfId="13704"/>
    <cellStyle name="Total 2 3 5 3 4 3" xfId="10284"/>
    <cellStyle name="Total 2 3 5 3 5" xfId="4584"/>
    <cellStyle name="Total 2 3 5 3 5 2" xfId="11424"/>
    <cellStyle name="Total 2 3 5 3 6" xfId="8004"/>
    <cellStyle name="Total 2 3 5 4" xfId="18567"/>
    <cellStyle name="Total 2 3 5 5" xfId="26885"/>
    <cellStyle name="Total 2 3 5 6" xfId="34054"/>
    <cellStyle name="Total 2 3 5 7" xfId="60346"/>
    <cellStyle name="Total 2 3 5 8" xfId="60347"/>
    <cellStyle name="Total 2 3 6" xfId="467"/>
    <cellStyle name="Total 2 3 6 2" xfId="352"/>
    <cellStyle name="Total 2 3 6 2 2" xfId="1357"/>
    <cellStyle name="Total 2 3 6 2 2 2" xfId="935"/>
    <cellStyle name="Total 2 3 6 2 2 2 2" xfId="2501"/>
    <cellStyle name="Total 2 3 6 2 2 2 2 2" xfId="5921"/>
    <cellStyle name="Total 2 3 6 2 2 2 2 2 2" xfId="12761"/>
    <cellStyle name="Total 2 3 6 2 2 2 2 3" xfId="9341"/>
    <cellStyle name="Total 2 3 6 2 2 2 3" xfId="3641"/>
    <cellStyle name="Total 2 3 6 2 2 2 3 2" xfId="7061"/>
    <cellStyle name="Total 2 3 6 2 2 2 3 2 2" xfId="13901"/>
    <cellStyle name="Total 2 3 6 2 2 2 3 3" xfId="10481"/>
    <cellStyle name="Total 2 3 6 2 2 2 4" xfId="4781"/>
    <cellStyle name="Total 2 3 6 2 2 2 4 2" xfId="11621"/>
    <cellStyle name="Total 2 3 6 2 2 2 5" xfId="8201"/>
    <cellStyle name="Total 2 3 6 2 2 3" xfId="2178"/>
    <cellStyle name="Total 2 3 6 2 2 3 2" xfId="5598"/>
    <cellStyle name="Total 2 3 6 2 2 3 2 2" xfId="12438"/>
    <cellStyle name="Total 2 3 6 2 2 3 3" xfId="9018"/>
    <cellStyle name="Total 2 3 6 2 2 4" xfId="3318"/>
    <cellStyle name="Total 2 3 6 2 2 4 2" xfId="6738"/>
    <cellStyle name="Total 2 3 6 2 2 4 2 2" xfId="13578"/>
    <cellStyle name="Total 2 3 6 2 2 4 3" xfId="10158"/>
    <cellStyle name="Total 2 3 6 2 2 5" xfId="4458"/>
    <cellStyle name="Total 2 3 6 2 2 5 2" xfId="11298"/>
    <cellStyle name="Total 2 3 6 2 2 6" xfId="7878"/>
    <cellStyle name="Total 2 3 6 2 3" xfId="38341"/>
    <cellStyle name="Total 2 3 6 2 4" xfId="60348"/>
    <cellStyle name="Total 2 3 6 2 5" xfId="60349"/>
    <cellStyle name="Total 2 3 6 2 6" xfId="60350"/>
    <cellStyle name="Total 2 3 6 2 7" xfId="60351"/>
    <cellStyle name="Total 2 3 6 3" xfId="1471"/>
    <cellStyle name="Total 2 3 6 3 2" xfId="1696"/>
    <cellStyle name="Total 2 3 6 3 2 2" xfId="2836"/>
    <cellStyle name="Total 2 3 6 3 2 2 2" xfId="6256"/>
    <cellStyle name="Total 2 3 6 3 2 2 2 2" xfId="13096"/>
    <cellStyle name="Total 2 3 6 3 2 2 3" xfId="9676"/>
    <cellStyle name="Total 2 3 6 3 2 3" xfId="3976"/>
    <cellStyle name="Total 2 3 6 3 2 3 2" xfId="7396"/>
    <cellStyle name="Total 2 3 6 3 2 3 2 2" xfId="14236"/>
    <cellStyle name="Total 2 3 6 3 2 3 3" xfId="10816"/>
    <cellStyle name="Total 2 3 6 3 2 4" xfId="5116"/>
    <cellStyle name="Total 2 3 6 3 2 4 2" xfId="11956"/>
    <cellStyle name="Total 2 3 6 3 2 5" xfId="8536"/>
    <cellStyle name="Total 2 3 6 3 3" xfId="2292"/>
    <cellStyle name="Total 2 3 6 3 3 2" xfId="5712"/>
    <cellStyle name="Total 2 3 6 3 3 2 2" xfId="12552"/>
    <cellStyle name="Total 2 3 6 3 3 3" xfId="9132"/>
    <cellStyle name="Total 2 3 6 3 4" xfId="3432"/>
    <cellStyle name="Total 2 3 6 3 4 2" xfId="6852"/>
    <cellStyle name="Total 2 3 6 3 4 2 2" xfId="13692"/>
    <cellStyle name="Total 2 3 6 3 4 3" xfId="10272"/>
    <cellStyle name="Total 2 3 6 3 5" xfId="4572"/>
    <cellStyle name="Total 2 3 6 3 5 2" xfId="11412"/>
    <cellStyle name="Total 2 3 6 3 6" xfId="7992"/>
    <cellStyle name="Total 2 3 6 4" xfId="17542"/>
    <cellStyle name="Total 2 3 6 5" xfId="25860"/>
    <cellStyle name="Total 2 3 6 6" xfId="33077"/>
    <cellStyle name="Total 2 3 6 7" xfId="60352"/>
    <cellStyle name="Total 2 3 6 8" xfId="60353"/>
    <cellStyle name="Total 2 3 7" xfId="1108"/>
    <cellStyle name="Total 2 3 7 2" xfId="1832"/>
    <cellStyle name="Total 2 3 7 2 2" xfId="2972"/>
    <cellStyle name="Total 2 3 7 2 2 2" xfId="6392"/>
    <cellStyle name="Total 2 3 7 2 2 2 2" xfId="13232"/>
    <cellStyle name="Total 2 3 7 2 2 3" xfId="9812"/>
    <cellStyle name="Total 2 3 7 2 3" xfId="4112"/>
    <cellStyle name="Total 2 3 7 2 3 2" xfId="7532"/>
    <cellStyle name="Total 2 3 7 2 3 2 2" xfId="14372"/>
    <cellStyle name="Total 2 3 7 2 3 3" xfId="10952"/>
    <cellStyle name="Total 2 3 7 2 4" xfId="5252"/>
    <cellStyle name="Total 2 3 7 2 4 2" xfId="12092"/>
    <cellStyle name="Total 2 3 7 2 5" xfId="8672"/>
    <cellStyle name="Total 2 3 7 3" xfId="1917"/>
    <cellStyle name="Total 2 3 7 3 2" xfId="5337"/>
    <cellStyle name="Total 2 3 7 3 2 2" xfId="12177"/>
    <cellStyle name="Total 2 3 7 3 3" xfId="8757"/>
    <cellStyle name="Total 2 3 7 4" xfId="3057"/>
    <cellStyle name="Total 2 3 7 4 2" xfId="6477"/>
    <cellStyle name="Total 2 3 7 4 2 2" xfId="13317"/>
    <cellStyle name="Total 2 3 7 4 3" xfId="9897"/>
    <cellStyle name="Total 2 3 7 5" xfId="4197"/>
    <cellStyle name="Total 2 3 7 5 2" xfId="11037"/>
    <cellStyle name="Total 2 3 7 6" xfId="7617"/>
    <cellStyle name="Total 2 3 7 7" xfId="19208"/>
    <cellStyle name="Total 2 3 7 8" xfId="27528"/>
    <cellStyle name="Total 2 3 7 9" xfId="34676"/>
    <cellStyle name="Total 2 3 8" xfId="18667"/>
    <cellStyle name="Total 2 3 8 2" xfId="26988"/>
    <cellStyle name="Total 2 3 8 2 2" xfId="60354"/>
    <cellStyle name="Total 2 3 8 2 3" xfId="60355"/>
    <cellStyle name="Total 2 3 8 3" xfId="34153"/>
    <cellStyle name="Total 2 3 8 4" xfId="60356"/>
    <cellStyle name="Total 2 3 9" xfId="18541"/>
    <cellStyle name="Total 2 3 9 2" xfId="26858"/>
    <cellStyle name="Total 2 3 9 2 2" xfId="60357"/>
    <cellStyle name="Total 2 3 9 2 3" xfId="60358"/>
    <cellStyle name="Total 2 3 9 3" xfId="34028"/>
    <cellStyle name="Total 2 3 9 4" xfId="60359"/>
    <cellStyle name="Total 2 30" xfId="60360"/>
    <cellStyle name="Total 2 31" xfId="60361"/>
    <cellStyle name="Total 2 4" xfId="112"/>
    <cellStyle name="Total 2 4 10" xfId="14429"/>
    <cellStyle name="Total 2 4 10 2" xfId="60362"/>
    <cellStyle name="Total 2 4 10 3" xfId="60363"/>
    <cellStyle name="Total 2 4 11" xfId="60364"/>
    <cellStyle name="Total 2 4 12" xfId="60365"/>
    <cellStyle name="Total 2 4 13" xfId="60366"/>
    <cellStyle name="Total 2 4 14" xfId="60367"/>
    <cellStyle name="Total 2 4 15" xfId="60368"/>
    <cellStyle name="Total 2 4 2" xfId="171"/>
    <cellStyle name="Total 2 4 2 2" xfId="297"/>
    <cellStyle name="Total 2 4 2 2 2" xfId="706"/>
    <cellStyle name="Total 2 4 2 2 2 2" xfId="1657"/>
    <cellStyle name="Total 2 4 2 2 2 2 2" xfId="750"/>
    <cellStyle name="Total 2 4 2 2 2 2 2 2" xfId="2497"/>
    <cellStyle name="Total 2 4 2 2 2 2 2 2 2" xfId="5917"/>
    <cellStyle name="Total 2 4 2 2 2 2 2 2 2 2" xfId="12757"/>
    <cellStyle name="Total 2 4 2 2 2 2 2 2 3" xfId="9337"/>
    <cellStyle name="Total 2 4 2 2 2 2 2 3" xfId="3637"/>
    <cellStyle name="Total 2 4 2 2 2 2 2 3 2" xfId="7057"/>
    <cellStyle name="Total 2 4 2 2 2 2 2 3 2 2" xfId="13897"/>
    <cellStyle name="Total 2 4 2 2 2 2 2 3 3" xfId="10477"/>
    <cellStyle name="Total 2 4 2 2 2 2 2 4" xfId="4777"/>
    <cellStyle name="Total 2 4 2 2 2 2 2 4 2" xfId="11617"/>
    <cellStyle name="Total 2 4 2 2 2 2 2 5" xfId="8197"/>
    <cellStyle name="Total 2 4 2 2 2 2 3" xfId="2491"/>
    <cellStyle name="Total 2 4 2 2 2 2 3 2" xfId="5911"/>
    <cellStyle name="Total 2 4 2 2 2 2 3 2 2" xfId="12751"/>
    <cellStyle name="Total 2 4 2 2 2 2 3 3" xfId="9331"/>
    <cellStyle name="Total 2 4 2 2 2 2 4" xfId="3631"/>
    <cellStyle name="Total 2 4 2 2 2 2 4 2" xfId="7051"/>
    <cellStyle name="Total 2 4 2 2 2 2 4 2 2" xfId="13891"/>
    <cellStyle name="Total 2 4 2 2 2 2 4 3" xfId="10471"/>
    <cellStyle name="Total 2 4 2 2 2 2 5" xfId="4771"/>
    <cellStyle name="Total 2 4 2 2 2 2 5 2" xfId="11611"/>
    <cellStyle name="Total 2 4 2 2 2 2 6" xfId="8191"/>
    <cellStyle name="Total 2 4 2 2 2 3" xfId="38550"/>
    <cellStyle name="Total 2 4 2 2 2 4" xfId="60369"/>
    <cellStyle name="Total 2 4 2 2 2 5" xfId="60370"/>
    <cellStyle name="Total 2 4 2 2 2 6" xfId="60371"/>
    <cellStyle name="Total 2 4 2 2 3" xfId="1303"/>
    <cellStyle name="Total 2 4 2 2 3 2" xfId="1795"/>
    <cellStyle name="Total 2 4 2 2 3 2 2" xfId="2935"/>
    <cellStyle name="Total 2 4 2 2 3 2 2 2" xfId="6355"/>
    <cellStyle name="Total 2 4 2 2 3 2 2 2 2" xfId="13195"/>
    <cellStyle name="Total 2 4 2 2 3 2 2 3" xfId="9775"/>
    <cellStyle name="Total 2 4 2 2 3 2 3" xfId="4075"/>
    <cellStyle name="Total 2 4 2 2 3 2 3 2" xfId="7495"/>
    <cellStyle name="Total 2 4 2 2 3 2 3 2 2" xfId="14335"/>
    <cellStyle name="Total 2 4 2 2 3 2 3 3" xfId="10915"/>
    <cellStyle name="Total 2 4 2 2 3 2 4" xfId="5215"/>
    <cellStyle name="Total 2 4 2 2 3 2 4 2" xfId="12055"/>
    <cellStyle name="Total 2 4 2 2 3 2 5" xfId="8635"/>
    <cellStyle name="Total 2 4 2 2 3 3" xfId="2123"/>
    <cellStyle name="Total 2 4 2 2 3 3 2" xfId="5543"/>
    <cellStyle name="Total 2 4 2 2 3 3 2 2" xfId="12383"/>
    <cellStyle name="Total 2 4 2 2 3 3 3" xfId="8963"/>
    <cellStyle name="Total 2 4 2 2 3 4" xfId="3263"/>
    <cellStyle name="Total 2 4 2 2 3 4 2" xfId="6683"/>
    <cellStyle name="Total 2 4 2 2 3 4 2 2" xfId="13523"/>
    <cellStyle name="Total 2 4 2 2 3 4 3" xfId="10103"/>
    <cellStyle name="Total 2 4 2 2 3 5" xfId="4403"/>
    <cellStyle name="Total 2 4 2 2 3 5 2" xfId="11243"/>
    <cellStyle name="Total 2 4 2 2 3 6" xfId="7823"/>
    <cellStyle name="Total 2 4 2 2 4" xfId="38313"/>
    <cellStyle name="Total 2 4 2 2 5" xfId="60372"/>
    <cellStyle name="Total 2 4 2 2 6" xfId="60373"/>
    <cellStyle name="Total 2 4 2 2 7" xfId="60374"/>
    <cellStyle name="Total 2 4 2 2 8" xfId="60375"/>
    <cellStyle name="Total 2 4 2 3" xfId="618"/>
    <cellStyle name="Total 2 4 2 3 2" xfId="1605"/>
    <cellStyle name="Total 2 4 2 3 2 2" xfId="802"/>
    <cellStyle name="Total 2 4 2 3 2 2 2" xfId="1887"/>
    <cellStyle name="Total 2 4 2 3 2 2 2 2" xfId="5307"/>
    <cellStyle name="Total 2 4 2 3 2 2 2 2 2" xfId="12147"/>
    <cellStyle name="Total 2 4 2 3 2 2 2 3" xfId="8727"/>
    <cellStyle name="Total 2 4 2 3 2 2 3" xfId="3027"/>
    <cellStyle name="Total 2 4 2 3 2 2 3 2" xfId="6447"/>
    <cellStyle name="Total 2 4 2 3 2 2 3 2 2" xfId="13287"/>
    <cellStyle name="Total 2 4 2 3 2 2 3 3" xfId="9867"/>
    <cellStyle name="Total 2 4 2 3 2 2 4" xfId="4167"/>
    <cellStyle name="Total 2 4 2 3 2 2 4 2" xfId="11007"/>
    <cellStyle name="Total 2 4 2 3 2 2 5" xfId="7587"/>
    <cellStyle name="Total 2 4 2 3 2 3" xfId="2430"/>
    <cellStyle name="Total 2 4 2 3 2 3 2" xfId="5850"/>
    <cellStyle name="Total 2 4 2 3 2 3 2 2" xfId="12690"/>
    <cellStyle name="Total 2 4 2 3 2 3 3" xfId="9270"/>
    <cellStyle name="Total 2 4 2 3 2 4" xfId="3570"/>
    <cellStyle name="Total 2 4 2 3 2 4 2" xfId="6990"/>
    <cellStyle name="Total 2 4 2 3 2 4 2 2" xfId="13830"/>
    <cellStyle name="Total 2 4 2 3 2 4 3" xfId="10410"/>
    <cellStyle name="Total 2 4 2 3 2 5" xfId="4710"/>
    <cellStyle name="Total 2 4 2 3 2 5 2" xfId="11550"/>
    <cellStyle name="Total 2 4 2 3 2 6" xfId="8130"/>
    <cellStyle name="Total 2 4 2 3 3" xfId="38499"/>
    <cellStyle name="Total 2 4 2 3 4" xfId="60376"/>
    <cellStyle name="Total 2 4 2 3 5" xfId="60377"/>
    <cellStyle name="Total 2 4 2 3 6" xfId="60378"/>
    <cellStyle name="Total 2 4 2 4" xfId="1179"/>
    <cellStyle name="Total 2 4 2 4 2" xfId="1740"/>
    <cellStyle name="Total 2 4 2 4 2 2" xfId="2880"/>
    <cellStyle name="Total 2 4 2 4 2 2 2" xfId="6300"/>
    <cellStyle name="Total 2 4 2 4 2 2 2 2" xfId="13140"/>
    <cellStyle name="Total 2 4 2 4 2 2 3" xfId="9720"/>
    <cellStyle name="Total 2 4 2 4 2 3" xfId="4020"/>
    <cellStyle name="Total 2 4 2 4 2 3 2" xfId="7440"/>
    <cellStyle name="Total 2 4 2 4 2 3 2 2" xfId="14280"/>
    <cellStyle name="Total 2 4 2 4 2 3 3" xfId="10860"/>
    <cellStyle name="Total 2 4 2 4 2 4" xfId="5160"/>
    <cellStyle name="Total 2 4 2 4 2 4 2" xfId="12000"/>
    <cellStyle name="Total 2 4 2 4 2 5" xfId="8580"/>
    <cellStyle name="Total 2 4 2 4 3" xfId="1998"/>
    <cellStyle name="Total 2 4 2 4 3 2" xfId="5418"/>
    <cellStyle name="Total 2 4 2 4 3 2 2" xfId="12258"/>
    <cellStyle name="Total 2 4 2 4 3 3" xfId="8838"/>
    <cellStyle name="Total 2 4 2 4 4" xfId="3138"/>
    <cellStyle name="Total 2 4 2 4 4 2" xfId="6558"/>
    <cellStyle name="Total 2 4 2 4 4 2 2" xfId="13398"/>
    <cellStyle name="Total 2 4 2 4 4 3" xfId="9978"/>
    <cellStyle name="Total 2 4 2 4 5" xfId="4278"/>
    <cellStyle name="Total 2 4 2 4 5 2" xfId="11118"/>
    <cellStyle name="Total 2 4 2 4 6" xfId="7698"/>
    <cellStyle name="Total 2 4 2 5" xfId="15599"/>
    <cellStyle name="Total 2 4 2 6" xfId="23913"/>
    <cellStyle name="Total 2 4 2 7" xfId="38232"/>
    <cellStyle name="Total 2 4 2 8" xfId="60379"/>
    <cellStyle name="Total 2 4 3" xfId="337"/>
    <cellStyle name="Total 2 4 3 2" xfId="450"/>
    <cellStyle name="Total 2 4 3 2 2" xfId="1454"/>
    <cellStyle name="Total 2 4 3 2 2 2" xfId="883"/>
    <cellStyle name="Total 2 4 3 2 2 2 2" xfId="1911"/>
    <cellStyle name="Total 2 4 3 2 2 2 2 2" xfId="5331"/>
    <cellStyle name="Total 2 4 3 2 2 2 2 2 2" xfId="12171"/>
    <cellStyle name="Total 2 4 3 2 2 2 2 3" xfId="8751"/>
    <cellStyle name="Total 2 4 3 2 2 2 3" xfId="3051"/>
    <cellStyle name="Total 2 4 3 2 2 2 3 2" xfId="6471"/>
    <cellStyle name="Total 2 4 3 2 2 2 3 2 2" xfId="13311"/>
    <cellStyle name="Total 2 4 3 2 2 2 3 3" xfId="9891"/>
    <cellStyle name="Total 2 4 3 2 2 2 4" xfId="4191"/>
    <cellStyle name="Total 2 4 3 2 2 2 4 2" xfId="11031"/>
    <cellStyle name="Total 2 4 3 2 2 2 5" xfId="7611"/>
    <cellStyle name="Total 2 4 3 2 2 3" xfId="2275"/>
    <cellStyle name="Total 2 4 3 2 2 3 2" xfId="5695"/>
    <cellStyle name="Total 2 4 3 2 2 3 2 2" xfId="12535"/>
    <cellStyle name="Total 2 4 3 2 2 3 3" xfId="9115"/>
    <cellStyle name="Total 2 4 3 2 2 4" xfId="3415"/>
    <cellStyle name="Total 2 4 3 2 2 4 2" xfId="6835"/>
    <cellStyle name="Total 2 4 3 2 2 4 2 2" xfId="13675"/>
    <cellStyle name="Total 2 4 3 2 2 4 3" xfId="10255"/>
    <cellStyle name="Total 2 4 3 2 2 5" xfId="4555"/>
    <cellStyle name="Total 2 4 3 2 2 5 2" xfId="11395"/>
    <cellStyle name="Total 2 4 3 2 2 6" xfId="7975"/>
    <cellStyle name="Total 2 4 3 2 3" xfId="38411"/>
    <cellStyle name="Total 2 4 3 2 4" xfId="60380"/>
    <cellStyle name="Total 2 4 3 2 5" xfId="60381"/>
    <cellStyle name="Total 2 4 3 2 6" xfId="60382"/>
    <cellStyle name="Total 2 4 3 2 7" xfId="60383"/>
    <cellStyle name="Total 2 4 3 3" xfId="1342"/>
    <cellStyle name="Total 2 4 3 3 2" xfId="950"/>
    <cellStyle name="Total 2 4 3 3 2 2" xfId="2435"/>
    <cellStyle name="Total 2 4 3 3 2 2 2" xfId="5855"/>
    <cellStyle name="Total 2 4 3 3 2 2 2 2" xfId="12695"/>
    <cellStyle name="Total 2 4 3 3 2 2 3" xfId="9275"/>
    <cellStyle name="Total 2 4 3 3 2 3" xfId="3575"/>
    <cellStyle name="Total 2 4 3 3 2 3 2" xfId="6995"/>
    <cellStyle name="Total 2 4 3 3 2 3 2 2" xfId="13835"/>
    <cellStyle name="Total 2 4 3 3 2 3 3" xfId="10415"/>
    <cellStyle name="Total 2 4 3 3 2 4" xfId="4715"/>
    <cellStyle name="Total 2 4 3 3 2 4 2" xfId="11555"/>
    <cellStyle name="Total 2 4 3 3 2 5" xfId="8135"/>
    <cellStyle name="Total 2 4 3 3 3" xfId="2163"/>
    <cellStyle name="Total 2 4 3 3 3 2" xfId="5583"/>
    <cellStyle name="Total 2 4 3 3 3 2 2" xfId="12423"/>
    <cellStyle name="Total 2 4 3 3 3 3" xfId="9003"/>
    <cellStyle name="Total 2 4 3 3 4" xfId="3303"/>
    <cellStyle name="Total 2 4 3 3 4 2" xfId="6723"/>
    <cellStyle name="Total 2 4 3 3 4 2 2" xfId="13563"/>
    <cellStyle name="Total 2 4 3 3 4 3" xfId="10143"/>
    <cellStyle name="Total 2 4 3 3 5" xfId="4443"/>
    <cellStyle name="Total 2 4 3 3 5 2" xfId="11283"/>
    <cellStyle name="Total 2 4 3 3 6" xfId="7863"/>
    <cellStyle name="Total 2 4 3 4" xfId="16569"/>
    <cellStyle name="Total 2 4 3 5" xfId="24884"/>
    <cellStyle name="Total 2 4 3 6" xfId="32144"/>
    <cellStyle name="Total 2 4 3 7" xfId="60384"/>
    <cellStyle name="Total 2 4 3 8" xfId="60385"/>
    <cellStyle name="Total 2 4 4" xfId="244"/>
    <cellStyle name="Total 2 4 4 2" xfId="440"/>
    <cellStyle name="Total 2 4 4 2 2" xfId="1444"/>
    <cellStyle name="Total 2 4 4 2 2 2" xfId="1739"/>
    <cellStyle name="Total 2 4 4 2 2 2 2" xfId="2879"/>
    <cellStyle name="Total 2 4 4 2 2 2 2 2" xfId="6299"/>
    <cellStyle name="Total 2 4 4 2 2 2 2 2 2" xfId="13139"/>
    <cellStyle name="Total 2 4 4 2 2 2 2 3" xfId="9719"/>
    <cellStyle name="Total 2 4 4 2 2 2 3" xfId="4019"/>
    <cellStyle name="Total 2 4 4 2 2 2 3 2" xfId="7439"/>
    <cellStyle name="Total 2 4 4 2 2 2 3 2 2" xfId="14279"/>
    <cellStyle name="Total 2 4 4 2 2 2 3 3" xfId="10859"/>
    <cellStyle name="Total 2 4 4 2 2 2 4" xfId="5159"/>
    <cellStyle name="Total 2 4 4 2 2 2 4 2" xfId="11999"/>
    <cellStyle name="Total 2 4 4 2 2 2 5" xfId="8579"/>
    <cellStyle name="Total 2 4 4 2 2 3" xfId="2265"/>
    <cellStyle name="Total 2 4 4 2 2 3 2" xfId="5685"/>
    <cellStyle name="Total 2 4 4 2 2 3 2 2" xfId="12525"/>
    <cellStyle name="Total 2 4 4 2 2 3 3" xfId="9105"/>
    <cellStyle name="Total 2 4 4 2 2 4" xfId="3405"/>
    <cellStyle name="Total 2 4 4 2 2 4 2" xfId="6825"/>
    <cellStyle name="Total 2 4 4 2 2 4 2 2" xfId="13665"/>
    <cellStyle name="Total 2 4 4 2 2 4 3" xfId="10245"/>
    <cellStyle name="Total 2 4 4 2 2 5" xfId="4545"/>
    <cellStyle name="Total 2 4 4 2 2 5 2" xfId="11385"/>
    <cellStyle name="Total 2 4 4 2 2 6" xfId="7965"/>
    <cellStyle name="Total 2 4 4 2 3" xfId="38403"/>
    <cellStyle name="Total 2 4 4 2 4" xfId="60386"/>
    <cellStyle name="Total 2 4 4 2 5" xfId="60387"/>
    <cellStyle name="Total 2 4 4 2 6" xfId="60388"/>
    <cellStyle name="Total 2 4 4 2 7" xfId="60389"/>
    <cellStyle name="Total 2 4 4 3" xfId="1251"/>
    <cellStyle name="Total 2 4 4 3 2" xfId="1002"/>
    <cellStyle name="Total 2 4 4 3 2 2" xfId="2620"/>
    <cellStyle name="Total 2 4 4 3 2 2 2" xfId="6040"/>
    <cellStyle name="Total 2 4 4 3 2 2 2 2" xfId="12880"/>
    <cellStyle name="Total 2 4 4 3 2 2 3" xfId="9460"/>
    <cellStyle name="Total 2 4 4 3 2 3" xfId="3760"/>
    <cellStyle name="Total 2 4 4 3 2 3 2" xfId="7180"/>
    <cellStyle name="Total 2 4 4 3 2 3 2 2" xfId="14020"/>
    <cellStyle name="Total 2 4 4 3 2 3 3" xfId="10600"/>
    <cellStyle name="Total 2 4 4 3 2 4" xfId="4900"/>
    <cellStyle name="Total 2 4 4 3 2 4 2" xfId="11740"/>
    <cellStyle name="Total 2 4 4 3 2 5" xfId="8320"/>
    <cellStyle name="Total 2 4 4 3 3" xfId="2071"/>
    <cellStyle name="Total 2 4 4 3 3 2" xfId="5491"/>
    <cellStyle name="Total 2 4 4 3 3 2 2" xfId="12331"/>
    <cellStyle name="Total 2 4 4 3 3 3" xfId="8911"/>
    <cellStyle name="Total 2 4 4 3 4" xfId="3211"/>
    <cellStyle name="Total 2 4 4 3 4 2" xfId="6631"/>
    <cellStyle name="Total 2 4 4 3 4 2 2" xfId="13471"/>
    <cellStyle name="Total 2 4 4 3 4 3" xfId="10051"/>
    <cellStyle name="Total 2 4 4 3 5" xfId="4351"/>
    <cellStyle name="Total 2 4 4 3 5 2" xfId="11191"/>
    <cellStyle name="Total 2 4 4 3 6" xfId="7771"/>
    <cellStyle name="Total 2 4 4 4" xfId="17587"/>
    <cellStyle name="Total 2 4 4 5" xfId="25908"/>
    <cellStyle name="Total 2 4 4 6" xfId="33121"/>
    <cellStyle name="Total 2 4 4 7" xfId="60390"/>
    <cellStyle name="Total 2 4 4 8" xfId="60391"/>
    <cellStyle name="Total 2 4 5" xfId="502"/>
    <cellStyle name="Total 2 4 5 2" xfId="406"/>
    <cellStyle name="Total 2 4 5 2 2" xfId="1411"/>
    <cellStyle name="Total 2 4 5 2 2 2" xfId="1761"/>
    <cellStyle name="Total 2 4 5 2 2 2 2" xfId="2901"/>
    <cellStyle name="Total 2 4 5 2 2 2 2 2" xfId="6321"/>
    <cellStyle name="Total 2 4 5 2 2 2 2 2 2" xfId="13161"/>
    <cellStyle name="Total 2 4 5 2 2 2 2 3" xfId="9741"/>
    <cellStyle name="Total 2 4 5 2 2 2 3" xfId="4041"/>
    <cellStyle name="Total 2 4 5 2 2 2 3 2" xfId="7461"/>
    <cellStyle name="Total 2 4 5 2 2 2 3 2 2" xfId="14301"/>
    <cellStyle name="Total 2 4 5 2 2 2 3 3" xfId="10881"/>
    <cellStyle name="Total 2 4 5 2 2 2 4" xfId="5181"/>
    <cellStyle name="Total 2 4 5 2 2 2 4 2" xfId="12021"/>
    <cellStyle name="Total 2 4 5 2 2 2 5" xfId="8601"/>
    <cellStyle name="Total 2 4 5 2 2 3" xfId="2232"/>
    <cellStyle name="Total 2 4 5 2 2 3 2" xfId="5652"/>
    <cellStyle name="Total 2 4 5 2 2 3 2 2" xfId="12492"/>
    <cellStyle name="Total 2 4 5 2 2 3 3" xfId="9072"/>
    <cellStyle name="Total 2 4 5 2 2 4" xfId="3372"/>
    <cellStyle name="Total 2 4 5 2 2 4 2" xfId="6792"/>
    <cellStyle name="Total 2 4 5 2 2 4 2 2" xfId="13632"/>
    <cellStyle name="Total 2 4 5 2 2 4 3" xfId="10212"/>
    <cellStyle name="Total 2 4 5 2 2 5" xfId="4512"/>
    <cellStyle name="Total 2 4 5 2 2 5 2" xfId="11352"/>
    <cellStyle name="Total 2 4 5 2 2 6" xfId="7932"/>
    <cellStyle name="Total 2 4 5 2 3" xfId="38383"/>
    <cellStyle name="Total 2 4 5 2 4" xfId="60392"/>
    <cellStyle name="Total 2 4 5 2 5" xfId="60393"/>
    <cellStyle name="Total 2 4 5 2 6" xfId="60394"/>
    <cellStyle name="Total 2 4 5 2 7" xfId="60395"/>
    <cellStyle name="Total 2 4 5 3" xfId="1506"/>
    <cellStyle name="Total 2 4 5 3 2" xfId="856"/>
    <cellStyle name="Total 2 4 5 3 2 2" xfId="2719"/>
    <cellStyle name="Total 2 4 5 3 2 2 2" xfId="6139"/>
    <cellStyle name="Total 2 4 5 3 2 2 2 2" xfId="12979"/>
    <cellStyle name="Total 2 4 5 3 2 2 3" xfId="9559"/>
    <cellStyle name="Total 2 4 5 3 2 3" xfId="3859"/>
    <cellStyle name="Total 2 4 5 3 2 3 2" xfId="7279"/>
    <cellStyle name="Total 2 4 5 3 2 3 2 2" xfId="14119"/>
    <cellStyle name="Total 2 4 5 3 2 3 3" xfId="10699"/>
    <cellStyle name="Total 2 4 5 3 2 4" xfId="4999"/>
    <cellStyle name="Total 2 4 5 3 2 4 2" xfId="11839"/>
    <cellStyle name="Total 2 4 5 3 2 5" xfId="8419"/>
    <cellStyle name="Total 2 4 5 3 3" xfId="2327"/>
    <cellStyle name="Total 2 4 5 3 3 2" xfId="5747"/>
    <cellStyle name="Total 2 4 5 3 3 2 2" xfId="12587"/>
    <cellStyle name="Total 2 4 5 3 3 3" xfId="9167"/>
    <cellStyle name="Total 2 4 5 3 4" xfId="3467"/>
    <cellStyle name="Total 2 4 5 3 4 2" xfId="6887"/>
    <cellStyle name="Total 2 4 5 3 4 2 2" xfId="13727"/>
    <cellStyle name="Total 2 4 5 3 4 3" xfId="10307"/>
    <cellStyle name="Total 2 4 5 3 5" xfId="4607"/>
    <cellStyle name="Total 2 4 5 3 5 2" xfId="11447"/>
    <cellStyle name="Total 2 4 5 3 6" xfId="8027"/>
    <cellStyle name="Total 2 4 5 4" xfId="18568"/>
    <cellStyle name="Total 2 4 5 5" xfId="26886"/>
    <cellStyle name="Total 2 4 5 6" xfId="34055"/>
    <cellStyle name="Total 2 4 5 7" xfId="60396"/>
    <cellStyle name="Total 2 4 5 8" xfId="60397"/>
    <cellStyle name="Total 2 4 6" xfId="522"/>
    <cellStyle name="Total 2 4 6 2" xfId="470"/>
    <cellStyle name="Total 2 4 6 2 2" xfId="1474"/>
    <cellStyle name="Total 2 4 6 2 2 2" xfId="1679"/>
    <cellStyle name="Total 2 4 6 2 2 2 2" xfId="2819"/>
    <cellStyle name="Total 2 4 6 2 2 2 2 2" xfId="6239"/>
    <cellStyle name="Total 2 4 6 2 2 2 2 2 2" xfId="13079"/>
    <cellStyle name="Total 2 4 6 2 2 2 2 3" xfId="9659"/>
    <cellStyle name="Total 2 4 6 2 2 2 3" xfId="3959"/>
    <cellStyle name="Total 2 4 6 2 2 2 3 2" xfId="7379"/>
    <cellStyle name="Total 2 4 6 2 2 2 3 2 2" xfId="14219"/>
    <cellStyle name="Total 2 4 6 2 2 2 3 3" xfId="10799"/>
    <cellStyle name="Total 2 4 6 2 2 2 4" xfId="5099"/>
    <cellStyle name="Total 2 4 6 2 2 2 4 2" xfId="11939"/>
    <cellStyle name="Total 2 4 6 2 2 2 5" xfId="8519"/>
    <cellStyle name="Total 2 4 6 2 2 3" xfId="2295"/>
    <cellStyle name="Total 2 4 6 2 2 3 2" xfId="5715"/>
    <cellStyle name="Total 2 4 6 2 2 3 2 2" xfId="12555"/>
    <cellStyle name="Total 2 4 6 2 2 3 3" xfId="9135"/>
    <cellStyle name="Total 2 4 6 2 2 4" xfId="3435"/>
    <cellStyle name="Total 2 4 6 2 2 4 2" xfId="6855"/>
    <cellStyle name="Total 2 4 6 2 2 4 2 2" xfId="13695"/>
    <cellStyle name="Total 2 4 6 2 2 4 3" xfId="10275"/>
    <cellStyle name="Total 2 4 6 2 2 5" xfId="4575"/>
    <cellStyle name="Total 2 4 6 2 2 5 2" xfId="11415"/>
    <cellStyle name="Total 2 4 6 2 2 6" xfId="7995"/>
    <cellStyle name="Total 2 4 6 2 3" xfId="38421"/>
    <cellStyle name="Total 2 4 6 2 4" xfId="60398"/>
    <cellStyle name="Total 2 4 6 2 5" xfId="60399"/>
    <cellStyle name="Total 2 4 6 2 6" xfId="60400"/>
    <cellStyle name="Total 2 4 6 2 7" xfId="60401"/>
    <cellStyle name="Total 2 4 6 3" xfId="1526"/>
    <cellStyle name="Total 2 4 6 3 2" xfId="1853"/>
    <cellStyle name="Total 2 4 6 3 2 2" xfId="2993"/>
    <cellStyle name="Total 2 4 6 3 2 2 2" xfId="6413"/>
    <cellStyle name="Total 2 4 6 3 2 2 2 2" xfId="13253"/>
    <cellStyle name="Total 2 4 6 3 2 2 3" xfId="9833"/>
    <cellStyle name="Total 2 4 6 3 2 3" xfId="4133"/>
    <cellStyle name="Total 2 4 6 3 2 3 2" xfId="7553"/>
    <cellStyle name="Total 2 4 6 3 2 3 2 2" xfId="14393"/>
    <cellStyle name="Total 2 4 6 3 2 3 3" xfId="10973"/>
    <cellStyle name="Total 2 4 6 3 2 4" xfId="5273"/>
    <cellStyle name="Total 2 4 6 3 2 4 2" xfId="12113"/>
    <cellStyle name="Total 2 4 6 3 2 5" xfId="8693"/>
    <cellStyle name="Total 2 4 6 3 3" xfId="2347"/>
    <cellStyle name="Total 2 4 6 3 3 2" xfId="5767"/>
    <cellStyle name="Total 2 4 6 3 3 2 2" xfId="12607"/>
    <cellStyle name="Total 2 4 6 3 3 3" xfId="9187"/>
    <cellStyle name="Total 2 4 6 3 4" xfId="3487"/>
    <cellStyle name="Total 2 4 6 3 4 2" xfId="6907"/>
    <cellStyle name="Total 2 4 6 3 4 2 2" xfId="13747"/>
    <cellStyle name="Total 2 4 6 3 4 3" xfId="10327"/>
    <cellStyle name="Total 2 4 6 3 5" xfId="4627"/>
    <cellStyle name="Total 2 4 6 3 5 2" xfId="11467"/>
    <cellStyle name="Total 2 4 6 3 6" xfId="8047"/>
    <cellStyle name="Total 2 4 6 4" xfId="17543"/>
    <cellStyle name="Total 2 4 6 5" xfId="25861"/>
    <cellStyle name="Total 2 4 6 6" xfId="33078"/>
    <cellStyle name="Total 2 4 6 7" xfId="60402"/>
    <cellStyle name="Total 2 4 6 8" xfId="60403"/>
    <cellStyle name="Total 2 4 7" xfId="1128"/>
    <cellStyle name="Total 2 4 7 2" xfId="1881"/>
    <cellStyle name="Total 2 4 7 2 2" xfId="3021"/>
    <cellStyle name="Total 2 4 7 2 2 2" xfId="6441"/>
    <cellStyle name="Total 2 4 7 2 2 2 2" xfId="13281"/>
    <cellStyle name="Total 2 4 7 2 2 3" xfId="9861"/>
    <cellStyle name="Total 2 4 7 2 3" xfId="4161"/>
    <cellStyle name="Total 2 4 7 2 3 2" xfId="7581"/>
    <cellStyle name="Total 2 4 7 2 3 2 2" xfId="14421"/>
    <cellStyle name="Total 2 4 7 2 3 3" xfId="11001"/>
    <cellStyle name="Total 2 4 7 2 4" xfId="5301"/>
    <cellStyle name="Total 2 4 7 2 4 2" xfId="12141"/>
    <cellStyle name="Total 2 4 7 2 5" xfId="8721"/>
    <cellStyle name="Total 2 4 7 3" xfId="1942"/>
    <cellStyle name="Total 2 4 7 3 2" xfId="5362"/>
    <cellStyle name="Total 2 4 7 3 2 2" xfId="12202"/>
    <cellStyle name="Total 2 4 7 3 3" xfId="8782"/>
    <cellStyle name="Total 2 4 7 4" xfId="3082"/>
    <cellStyle name="Total 2 4 7 4 2" xfId="6502"/>
    <cellStyle name="Total 2 4 7 4 2 2" xfId="13342"/>
    <cellStyle name="Total 2 4 7 4 3" xfId="9922"/>
    <cellStyle name="Total 2 4 7 5" xfId="4222"/>
    <cellStyle name="Total 2 4 7 5 2" xfId="11062"/>
    <cellStyle name="Total 2 4 7 6" xfId="7642"/>
    <cellStyle name="Total 2 4 7 7" xfId="19228"/>
    <cellStyle name="Total 2 4 7 8" xfId="27548"/>
    <cellStyle name="Total 2 4 7 9" xfId="34696"/>
    <cellStyle name="Total 2 4 8" xfId="15544"/>
    <cellStyle name="Total 2 4 8 2" xfId="23877"/>
    <cellStyle name="Total 2 4 8 2 2" xfId="60404"/>
    <cellStyle name="Total 2 4 8 2 3" xfId="60405"/>
    <cellStyle name="Total 2 4 8 3" xfId="31221"/>
    <cellStyle name="Total 2 4 8 4" xfId="60406"/>
    <cellStyle name="Total 2 4 9" xfId="21334"/>
    <cellStyle name="Total 2 4 9 2" xfId="29638"/>
    <cellStyle name="Total 2 4 9 2 2" xfId="60407"/>
    <cellStyle name="Total 2 4 9 2 3" xfId="60408"/>
    <cellStyle name="Total 2 4 9 3" xfId="36704"/>
    <cellStyle name="Total 2 4 9 4" xfId="60409"/>
    <cellStyle name="Total 2 5" xfId="135"/>
    <cellStyle name="Total 2 5 10" xfId="60410"/>
    <cellStyle name="Total 2 5 11" xfId="60411"/>
    <cellStyle name="Total 2 5 2" xfId="261"/>
    <cellStyle name="Total 2 5 2 2" xfId="671"/>
    <cellStyle name="Total 2 5 2 2 2" xfId="1622"/>
    <cellStyle name="Total 2 5 2 2 2 2" xfId="785"/>
    <cellStyle name="Total 2 5 2 2 2 2 2" xfId="2726"/>
    <cellStyle name="Total 2 5 2 2 2 2 2 2" xfId="6146"/>
    <cellStyle name="Total 2 5 2 2 2 2 2 2 2" xfId="12986"/>
    <cellStyle name="Total 2 5 2 2 2 2 2 3" xfId="9566"/>
    <cellStyle name="Total 2 5 2 2 2 2 3" xfId="3866"/>
    <cellStyle name="Total 2 5 2 2 2 2 3 2" xfId="7286"/>
    <cellStyle name="Total 2 5 2 2 2 2 3 2 2" xfId="14126"/>
    <cellStyle name="Total 2 5 2 2 2 2 3 3" xfId="10706"/>
    <cellStyle name="Total 2 5 2 2 2 2 4" xfId="5006"/>
    <cellStyle name="Total 2 5 2 2 2 2 4 2" xfId="11846"/>
    <cellStyle name="Total 2 5 2 2 2 2 5" xfId="8426"/>
    <cellStyle name="Total 2 5 2 2 2 3" xfId="2456"/>
    <cellStyle name="Total 2 5 2 2 2 3 2" xfId="5876"/>
    <cellStyle name="Total 2 5 2 2 2 3 2 2" xfId="12716"/>
    <cellStyle name="Total 2 5 2 2 2 3 3" xfId="9296"/>
    <cellStyle name="Total 2 5 2 2 2 4" xfId="3596"/>
    <cellStyle name="Total 2 5 2 2 2 4 2" xfId="7016"/>
    <cellStyle name="Total 2 5 2 2 2 4 2 2" xfId="13856"/>
    <cellStyle name="Total 2 5 2 2 2 4 3" xfId="10436"/>
    <cellStyle name="Total 2 5 2 2 2 5" xfId="4736"/>
    <cellStyle name="Total 2 5 2 2 2 5 2" xfId="11576"/>
    <cellStyle name="Total 2 5 2 2 2 6" xfId="8156"/>
    <cellStyle name="Total 2 5 2 2 3" xfId="38515"/>
    <cellStyle name="Total 2 5 2 2 4" xfId="60412"/>
    <cellStyle name="Total 2 5 2 2 5" xfId="60413"/>
    <cellStyle name="Total 2 5 2 2 6" xfId="60414"/>
    <cellStyle name="Total 2 5 2 2 7" xfId="60415"/>
    <cellStyle name="Total 2 5 2 3" xfId="1268"/>
    <cellStyle name="Total 2 5 2 3 2" xfId="993"/>
    <cellStyle name="Total 2 5 2 3 2 2" xfId="2530"/>
    <cellStyle name="Total 2 5 2 3 2 2 2" xfId="5950"/>
    <cellStyle name="Total 2 5 2 3 2 2 2 2" xfId="12790"/>
    <cellStyle name="Total 2 5 2 3 2 2 3" xfId="9370"/>
    <cellStyle name="Total 2 5 2 3 2 3" xfId="3670"/>
    <cellStyle name="Total 2 5 2 3 2 3 2" xfId="7090"/>
    <cellStyle name="Total 2 5 2 3 2 3 2 2" xfId="13930"/>
    <cellStyle name="Total 2 5 2 3 2 3 3" xfId="10510"/>
    <cellStyle name="Total 2 5 2 3 2 4" xfId="4810"/>
    <cellStyle name="Total 2 5 2 3 2 4 2" xfId="11650"/>
    <cellStyle name="Total 2 5 2 3 2 5" xfId="8230"/>
    <cellStyle name="Total 2 5 2 3 3" xfId="2088"/>
    <cellStyle name="Total 2 5 2 3 3 2" xfId="5508"/>
    <cellStyle name="Total 2 5 2 3 3 2 2" xfId="12348"/>
    <cellStyle name="Total 2 5 2 3 3 3" xfId="8928"/>
    <cellStyle name="Total 2 5 2 3 4" xfId="3228"/>
    <cellStyle name="Total 2 5 2 3 4 2" xfId="6648"/>
    <cellStyle name="Total 2 5 2 3 4 2 2" xfId="13488"/>
    <cellStyle name="Total 2 5 2 3 4 3" xfId="10068"/>
    <cellStyle name="Total 2 5 2 3 5" xfId="4368"/>
    <cellStyle name="Total 2 5 2 3 5 2" xfId="11208"/>
    <cellStyle name="Total 2 5 2 3 6" xfId="7788"/>
    <cellStyle name="Total 2 5 2 4" xfId="15604"/>
    <cellStyle name="Total 2 5 2 5" xfId="23918"/>
    <cellStyle name="Total 2 5 2 6" xfId="38278"/>
    <cellStyle name="Total 2 5 2 7" xfId="60416"/>
    <cellStyle name="Total 2 5 3" xfId="583"/>
    <cellStyle name="Total 2 5 3 2" xfId="1570"/>
    <cellStyle name="Total 2 5 3 2 2" xfId="826"/>
    <cellStyle name="Total 2 5 3 2 2 2" xfId="2668"/>
    <cellStyle name="Total 2 5 3 2 2 2 2" xfId="6088"/>
    <cellStyle name="Total 2 5 3 2 2 2 2 2" xfId="12928"/>
    <cellStyle name="Total 2 5 3 2 2 2 3" xfId="9508"/>
    <cellStyle name="Total 2 5 3 2 2 3" xfId="3808"/>
    <cellStyle name="Total 2 5 3 2 2 3 2" xfId="7228"/>
    <cellStyle name="Total 2 5 3 2 2 3 2 2" xfId="14068"/>
    <cellStyle name="Total 2 5 3 2 2 3 3" xfId="10648"/>
    <cellStyle name="Total 2 5 3 2 2 4" xfId="4948"/>
    <cellStyle name="Total 2 5 3 2 2 4 2" xfId="11788"/>
    <cellStyle name="Total 2 5 3 2 2 5" xfId="8368"/>
    <cellStyle name="Total 2 5 3 2 3" xfId="2395"/>
    <cellStyle name="Total 2 5 3 2 3 2" xfId="5815"/>
    <cellStyle name="Total 2 5 3 2 3 2 2" xfId="12655"/>
    <cellStyle name="Total 2 5 3 2 3 3" xfId="9235"/>
    <cellStyle name="Total 2 5 3 2 4" xfId="3535"/>
    <cellStyle name="Total 2 5 3 2 4 2" xfId="6955"/>
    <cellStyle name="Total 2 5 3 2 4 2 2" xfId="13795"/>
    <cellStyle name="Total 2 5 3 2 4 3" xfId="10375"/>
    <cellStyle name="Total 2 5 3 2 5" xfId="4675"/>
    <cellStyle name="Total 2 5 3 2 5 2" xfId="11515"/>
    <cellStyle name="Total 2 5 3 2 6" xfId="8095"/>
    <cellStyle name="Total 2 5 3 3" xfId="16573"/>
    <cellStyle name="Total 2 5 3 4" xfId="24889"/>
    <cellStyle name="Total 2 5 3 5" xfId="32149"/>
    <cellStyle name="Total 2 5 3 6" xfId="60417"/>
    <cellStyle name="Total 2 5 3 7" xfId="60418"/>
    <cellStyle name="Total 2 5 3 8" xfId="60419"/>
    <cellStyle name="Total 2 5 4" xfId="1144"/>
    <cellStyle name="Total 2 5 4 2" xfId="1056"/>
    <cellStyle name="Total 2 5 4 2 2" xfId="2652"/>
    <cellStyle name="Total 2 5 4 2 2 2" xfId="6072"/>
    <cellStyle name="Total 2 5 4 2 2 2 2" xfId="12912"/>
    <cellStyle name="Total 2 5 4 2 2 3" xfId="9492"/>
    <cellStyle name="Total 2 5 4 2 3" xfId="3792"/>
    <cellStyle name="Total 2 5 4 2 3 2" xfId="7212"/>
    <cellStyle name="Total 2 5 4 2 3 2 2" xfId="14052"/>
    <cellStyle name="Total 2 5 4 2 3 3" xfId="10632"/>
    <cellStyle name="Total 2 5 4 2 4" xfId="4932"/>
    <cellStyle name="Total 2 5 4 2 4 2" xfId="11772"/>
    <cellStyle name="Total 2 5 4 2 5" xfId="8352"/>
    <cellStyle name="Total 2 5 4 3" xfId="1963"/>
    <cellStyle name="Total 2 5 4 3 2" xfId="5383"/>
    <cellStyle name="Total 2 5 4 3 2 2" xfId="12223"/>
    <cellStyle name="Total 2 5 4 3 3" xfId="8803"/>
    <cellStyle name="Total 2 5 4 4" xfId="3103"/>
    <cellStyle name="Total 2 5 4 4 2" xfId="6523"/>
    <cellStyle name="Total 2 5 4 4 2 2" xfId="13363"/>
    <cellStyle name="Total 2 5 4 4 3" xfId="9943"/>
    <cellStyle name="Total 2 5 4 5" xfId="4243"/>
    <cellStyle name="Total 2 5 4 5 2" xfId="11083"/>
    <cellStyle name="Total 2 5 4 6" xfId="7663"/>
    <cellStyle name="Total 2 5 4 7" xfId="17591"/>
    <cellStyle name="Total 2 5 4 8" xfId="25913"/>
    <cellStyle name="Total 2 5 4 9" xfId="33126"/>
    <cellStyle name="Total 2 5 5" xfId="18572"/>
    <cellStyle name="Total 2 5 5 2" xfId="26891"/>
    <cellStyle name="Total 2 5 5 2 2" xfId="60420"/>
    <cellStyle name="Total 2 5 5 2 3" xfId="60421"/>
    <cellStyle name="Total 2 5 5 3" xfId="34060"/>
    <cellStyle name="Total 2 5 5 4" xfId="60422"/>
    <cellStyle name="Total 2 5 6" xfId="15527"/>
    <cellStyle name="Total 2 5 6 2" xfId="23863"/>
    <cellStyle name="Total 2 5 6 2 2" xfId="60423"/>
    <cellStyle name="Total 2 5 6 2 3" xfId="60424"/>
    <cellStyle name="Total 2 5 6 3" xfId="31209"/>
    <cellStyle name="Total 2 5 6 4" xfId="60425"/>
    <cellStyle name="Total 2 5 7" xfId="19453"/>
    <cellStyle name="Total 2 5 7 2" xfId="27774"/>
    <cellStyle name="Total 2 5 7 2 2" xfId="60426"/>
    <cellStyle name="Total 2 5 7 2 3" xfId="60427"/>
    <cellStyle name="Total 2 5 7 3" xfId="34922"/>
    <cellStyle name="Total 2 5 7 4" xfId="60428"/>
    <cellStyle name="Total 2 5 8" xfId="14424"/>
    <cellStyle name="Total 2 5 8 2" xfId="60429"/>
    <cellStyle name="Total 2 5 8 3" xfId="60430"/>
    <cellStyle name="Total 2 5 9" xfId="60431"/>
    <cellStyle name="Total 2 6" xfId="302"/>
    <cellStyle name="Total 2 6 10" xfId="22928"/>
    <cellStyle name="Total 2 6 11" xfId="60432"/>
    <cellStyle name="Total 2 6 12" xfId="60433"/>
    <cellStyle name="Total 2 6 13" xfId="60434"/>
    <cellStyle name="Total 2 6 14" xfId="60435"/>
    <cellStyle name="Total 2 6 2" xfId="433"/>
    <cellStyle name="Total 2 6 2 2" xfId="1437"/>
    <cellStyle name="Total 2 6 2 2 2" xfId="1755"/>
    <cellStyle name="Total 2 6 2 2 2 2" xfId="2895"/>
    <cellStyle name="Total 2 6 2 2 2 2 2" xfId="6315"/>
    <cellStyle name="Total 2 6 2 2 2 2 2 2" xfId="13155"/>
    <cellStyle name="Total 2 6 2 2 2 2 3" xfId="9735"/>
    <cellStyle name="Total 2 6 2 2 2 3" xfId="4035"/>
    <cellStyle name="Total 2 6 2 2 2 3 2" xfId="7455"/>
    <cellStyle name="Total 2 6 2 2 2 3 2 2" xfId="14295"/>
    <cellStyle name="Total 2 6 2 2 2 3 3" xfId="10875"/>
    <cellStyle name="Total 2 6 2 2 2 4" xfId="5175"/>
    <cellStyle name="Total 2 6 2 2 2 4 2" xfId="12015"/>
    <cellStyle name="Total 2 6 2 2 2 5" xfId="8595"/>
    <cellStyle name="Total 2 6 2 2 3" xfId="2258"/>
    <cellStyle name="Total 2 6 2 2 3 2" xfId="5678"/>
    <cellStyle name="Total 2 6 2 2 3 2 2" xfId="12518"/>
    <cellStyle name="Total 2 6 2 2 3 3" xfId="9098"/>
    <cellStyle name="Total 2 6 2 2 4" xfId="3398"/>
    <cellStyle name="Total 2 6 2 2 4 2" xfId="6818"/>
    <cellStyle name="Total 2 6 2 2 4 2 2" xfId="13658"/>
    <cellStyle name="Total 2 6 2 2 4 3" xfId="10238"/>
    <cellStyle name="Total 2 6 2 2 5" xfId="4538"/>
    <cellStyle name="Total 2 6 2 2 5 2" xfId="11378"/>
    <cellStyle name="Total 2 6 2 2 6" xfId="7958"/>
    <cellStyle name="Total 2 6 2 3" xfId="15651"/>
    <cellStyle name="Total 2 6 2 4" xfId="23964"/>
    <cellStyle name="Total 2 6 2 5" xfId="31261"/>
    <cellStyle name="Total 2 6 2 6" xfId="60436"/>
    <cellStyle name="Total 2 6 2 7" xfId="60437"/>
    <cellStyle name="Total 2 6 2 8" xfId="60438"/>
    <cellStyle name="Total 2 6 3" xfId="1308"/>
    <cellStyle name="Total 2 6 3 2" xfId="1722"/>
    <cellStyle name="Total 2 6 3 2 2" xfId="2862"/>
    <cellStyle name="Total 2 6 3 2 2 2" xfId="6282"/>
    <cellStyle name="Total 2 6 3 2 2 2 2" xfId="13122"/>
    <cellStyle name="Total 2 6 3 2 2 3" xfId="9702"/>
    <cellStyle name="Total 2 6 3 2 3" xfId="4002"/>
    <cellStyle name="Total 2 6 3 2 3 2" xfId="7422"/>
    <cellStyle name="Total 2 6 3 2 3 2 2" xfId="14262"/>
    <cellStyle name="Total 2 6 3 2 3 3" xfId="10842"/>
    <cellStyle name="Total 2 6 3 2 4" xfId="5142"/>
    <cellStyle name="Total 2 6 3 2 4 2" xfId="11982"/>
    <cellStyle name="Total 2 6 3 2 5" xfId="8562"/>
    <cellStyle name="Total 2 6 3 3" xfId="2128"/>
    <cellStyle name="Total 2 6 3 3 2" xfId="5548"/>
    <cellStyle name="Total 2 6 3 3 2 2" xfId="12388"/>
    <cellStyle name="Total 2 6 3 3 3" xfId="8968"/>
    <cellStyle name="Total 2 6 3 4" xfId="3268"/>
    <cellStyle name="Total 2 6 3 4 2" xfId="6688"/>
    <cellStyle name="Total 2 6 3 4 2 2" xfId="13528"/>
    <cellStyle name="Total 2 6 3 4 3" xfId="10108"/>
    <cellStyle name="Total 2 6 3 5" xfId="4408"/>
    <cellStyle name="Total 2 6 3 5 2" xfId="11248"/>
    <cellStyle name="Total 2 6 3 6" xfId="7828"/>
    <cellStyle name="Total 2 6 3 7" xfId="16618"/>
    <cellStyle name="Total 2 6 3 8" xfId="24935"/>
    <cellStyle name="Total 2 6 3 9" xfId="32194"/>
    <cellStyle name="Total 2 6 4" xfId="17638"/>
    <cellStyle name="Total 2 6 4 2" xfId="25961"/>
    <cellStyle name="Total 2 6 4 2 2" xfId="60439"/>
    <cellStyle name="Total 2 6 4 2 3" xfId="60440"/>
    <cellStyle name="Total 2 6 4 3" xfId="33171"/>
    <cellStyle name="Total 2 6 4 4" xfId="60441"/>
    <cellStyle name="Total 2 6 5" xfId="18620"/>
    <cellStyle name="Total 2 6 5 2" xfId="26940"/>
    <cellStyle name="Total 2 6 5 2 2" xfId="60442"/>
    <cellStyle name="Total 2 6 5 2 3" xfId="60443"/>
    <cellStyle name="Total 2 6 5 3" xfId="34108"/>
    <cellStyle name="Total 2 6 5 4" xfId="60444"/>
    <cellStyle name="Total 2 6 6" xfId="19589"/>
    <cellStyle name="Total 2 6 6 2" xfId="27909"/>
    <cellStyle name="Total 2 6 6 2 2" xfId="60445"/>
    <cellStyle name="Total 2 6 6 2 3" xfId="60446"/>
    <cellStyle name="Total 2 6 6 3" xfId="35054"/>
    <cellStyle name="Total 2 6 6 4" xfId="60447"/>
    <cellStyle name="Total 2 6 7" xfId="20546"/>
    <cellStyle name="Total 2 6 7 2" xfId="28868"/>
    <cellStyle name="Total 2 6 7 2 2" xfId="60448"/>
    <cellStyle name="Total 2 6 7 2 3" xfId="60449"/>
    <cellStyle name="Total 2 6 7 3" xfId="35971"/>
    <cellStyle name="Total 2 6 7 4" xfId="60450"/>
    <cellStyle name="Total 2 6 8" xfId="21284"/>
    <cellStyle name="Total 2 6 8 2" xfId="29591"/>
    <cellStyle name="Total 2 6 8 2 2" xfId="60451"/>
    <cellStyle name="Total 2 6 8 2 3" xfId="60452"/>
    <cellStyle name="Total 2 6 8 3" xfId="36658"/>
    <cellStyle name="Total 2 6 8 4" xfId="60453"/>
    <cellStyle name="Total 2 6 9" xfId="21982"/>
    <cellStyle name="Total 2 6 9 2" xfId="30282"/>
    <cellStyle name="Total 2 6 9 3" xfId="37322"/>
    <cellStyle name="Total 2 7" xfId="195"/>
    <cellStyle name="Total 2 7 10" xfId="14552"/>
    <cellStyle name="Total 2 7 11" xfId="22908"/>
    <cellStyle name="Total 2 7 12" xfId="60454"/>
    <cellStyle name="Total 2 7 13" xfId="60455"/>
    <cellStyle name="Total 2 7 14" xfId="60456"/>
    <cellStyle name="Total 2 7 2" xfId="528"/>
    <cellStyle name="Total 2 7 2 2" xfId="1532"/>
    <cellStyle name="Total 2 7 2 2 2" xfId="843"/>
    <cellStyle name="Total 2 7 2 2 2 2" xfId="2764"/>
    <cellStyle name="Total 2 7 2 2 2 2 2" xfId="6184"/>
    <cellStyle name="Total 2 7 2 2 2 2 2 2" xfId="13024"/>
    <cellStyle name="Total 2 7 2 2 2 2 3" xfId="9604"/>
    <cellStyle name="Total 2 7 2 2 2 3" xfId="3904"/>
    <cellStyle name="Total 2 7 2 2 2 3 2" xfId="7324"/>
    <cellStyle name="Total 2 7 2 2 2 3 2 2" xfId="14164"/>
    <cellStyle name="Total 2 7 2 2 2 3 3" xfId="10744"/>
    <cellStyle name="Total 2 7 2 2 2 4" xfId="5044"/>
    <cellStyle name="Total 2 7 2 2 2 4 2" xfId="11884"/>
    <cellStyle name="Total 2 7 2 2 2 5" xfId="8464"/>
    <cellStyle name="Total 2 7 2 2 3" xfId="2353"/>
    <cellStyle name="Total 2 7 2 2 3 2" xfId="5773"/>
    <cellStyle name="Total 2 7 2 2 3 2 2" xfId="12613"/>
    <cellStyle name="Total 2 7 2 2 3 3" xfId="9193"/>
    <cellStyle name="Total 2 7 2 2 4" xfId="3493"/>
    <cellStyle name="Total 2 7 2 2 4 2" xfId="6913"/>
    <cellStyle name="Total 2 7 2 2 4 2 2" xfId="13753"/>
    <cellStyle name="Total 2 7 2 2 4 3" xfId="10333"/>
    <cellStyle name="Total 2 7 2 2 5" xfId="4633"/>
    <cellStyle name="Total 2 7 2 2 5 2" xfId="11473"/>
    <cellStyle name="Total 2 7 2 2 6" xfId="8053"/>
    <cellStyle name="Total 2 7 2 3" xfId="15631"/>
    <cellStyle name="Total 2 7 2 4" xfId="23944"/>
    <cellStyle name="Total 2 7 2 5" xfId="31241"/>
    <cellStyle name="Total 2 7 2 6" xfId="60457"/>
    <cellStyle name="Total 2 7 2 7" xfId="60458"/>
    <cellStyle name="Total 2 7 2 8" xfId="60459"/>
    <cellStyle name="Total 2 7 3" xfId="1203"/>
    <cellStyle name="Total 2 7 3 2" xfId="1026"/>
    <cellStyle name="Total 2 7 3 2 2" xfId="2566"/>
    <cellStyle name="Total 2 7 3 2 2 2" xfId="5986"/>
    <cellStyle name="Total 2 7 3 2 2 2 2" xfId="12826"/>
    <cellStyle name="Total 2 7 3 2 2 3" xfId="9406"/>
    <cellStyle name="Total 2 7 3 2 3" xfId="3706"/>
    <cellStyle name="Total 2 7 3 2 3 2" xfId="7126"/>
    <cellStyle name="Total 2 7 3 2 3 2 2" xfId="13966"/>
    <cellStyle name="Total 2 7 3 2 3 3" xfId="10546"/>
    <cellStyle name="Total 2 7 3 2 4" xfId="4846"/>
    <cellStyle name="Total 2 7 3 2 4 2" xfId="11686"/>
    <cellStyle name="Total 2 7 3 2 5" xfId="8266"/>
    <cellStyle name="Total 2 7 3 3" xfId="2022"/>
    <cellStyle name="Total 2 7 3 3 2" xfId="5442"/>
    <cellStyle name="Total 2 7 3 3 2 2" xfId="12282"/>
    <cellStyle name="Total 2 7 3 3 3" xfId="8862"/>
    <cellStyle name="Total 2 7 3 4" xfId="3162"/>
    <cellStyle name="Total 2 7 3 4 2" xfId="6582"/>
    <cellStyle name="Total 2 7 3 4 2 2" xfId="13422"/>
    <cellStyle name="Total 2 7 3 4 3" xfId="10002"/>
    <cellStyle name="Total 2 7 3 5" xfId="4302"/>
    <cellStyle name="Total 2 7 3 5 2" xfId="11142"/>
    <cellStyle name="Total 2 7 3 6" xfId="7722"/>
    <cellStyle name="Total 2 7 3 7" xfId="16598"/>
    <cellStyle name="Total 2 7 3 8" xfId="24915"/>
    <cellStyle name="Total 2 7 3 9" xfId="32174"/>
    <cellStyle name="Total 2 7 4" xfId="17618"/>
    <cellStyle name="Total 2 7 4 2" xfId="25941"/>
    <cellStyle name="Total 2 7 4 2 2" xfId="60460"/>
    <cellStyle name="Total 2 7 4 2 3" xfId="60461"/>
    <cellStyle name="Total 2 7 4 3" xfId="33151"/>
    <cellStyle name="Total 2 7 4 4" xfId="60462"/>
    <cellStyle name="Total 2 7 5" xfId="18600"/>
    <cellStyle name="Total 2 7 5 2" xfId="26919"/>
    <cellStyle name="Total 2 7 5 2 2" xfId="60463"/>
    <cellStyle name="Total 2 7 5 2 3" xfId="60464"/>
    <cellStyle name="Total 2 7 5 3" xfId="34087"/>
    <cellStyle name="Total 2 7 5 4" xfId="60465"/>
    <cellStyle name="Total 2 7 6" xfId="19568"/>
    <cellStyle name="Total 2 7 6 2" xfId="27889"/>
    <cellStyle name="Total 2 7 6 2 2" xfId="60466"/>
    <cellStyle name="Total 2 7 6 2 3" xfId="60467"/>
    <cellStyle name="Total 2 7 6 3" xfId="35034"/>
    <cellStyle name="Total 2 7 6 4" xfId="60468"/>
    <cellStyle name="Total 2 7 7" xfId="20526"/>
    <cellStyle name="Total 2 7 7 2" xfId="28848"/>
    <cellStyle name="Total 2 7 7 2 2" xfId="60469"/>
    <cellStyle name="Total 2 7 7 2 3" xfId="60470"/>
    <cellStyle name="Total 2 7 7 3" xfId="35951"/>
    <cellStyle name="Total 2 7 7 4" xfId="60471"/>
    <cellStyle name="Total 2 7 8" xfId="21242"/>
    <cellStyle name="Total 2 7 8 2" xfId="29552"/>
    <cellStyle name="Total 2 7 8 2 2" xfId="60472"/>
    <cellStyle name="Total 2 7 8 2 3" xfId="60473"/>
    <cellStyle name="Total 2 7 8 3" xfId="36620"/>
    <cellStyle name="Total 2 7 8 4" xfId="60474"/>
    <cellStyle name="Total 2 7 9" xfId="21346"/>
    <cellStyle name="Total 2 7 9 2" xfId="29649"/>
    <cellStyle name="Total 2 7 9 3" xfId="36714"/>
    <cellStyle name="Total 2 8" xfId="411"/>
    <cellStyle name="Total 2 8 10" xfId="14571"/>
    <cellStyle name="Total 2 8 11" xfId="22929"/>
    <cellStyle name="Total 2 8 12" xfId="60475"/>
    <cellStyle name="Total 2 8 13" xfId="60476"/>
    <cellStyle name="Total 2 8 14" xfId="60477"/>
    <cellStyle name="Total 2 8 2" xfId="408"/>
    <cellStyle name="Total 2 8 2 2" xfId="1413"/>
    <cellStyle name="Total 2 8 2 2 2" xfId="903"/>
    <cellStyle name="Total 2 8 2 2 2 2" xfId="2722"/>
    <cellStyle name="Total 2 8 2 2 2 2 2" xfId="6142"/>
    <cellStyle name="Total 2 8 2 2 2 2 2 2" xfId="12982"/>
    <cellStyle name="Total 2 8 2 2 2 2 3" xfId="9562"/>
    <cellStyle name="Total 2 8 2 2 2 3" xfId="3862"/>
    <cellStyle name="Total 2 8 2 2 2 3 2" xfId="7282"/>
    <cellStyle name="Total 2 8 2 2 2 3 2 2" xfId="14122"/>
    <cellStyle name="Total 2 8 2 2 2 3 3" xfId="10702"/>
    <cellStyle name="Total 2 8 2 2 2 4" xfId="5002"/>
    <cellStyle name="Total 2 8 2 2 2 4 2" xfId="11842"/>
    <cellStyle name="Total 2 8 2 2 2 5" xfId="8422"/>
    <cellStyle name="Total 2 8 2 2 3" xfId="2234"/>
    <cellStyle name="Total 2 8 2 2 3 2" xfId="5654"/>
    <cellStyle name="Total 2 8 2 2 3 2 2" xfId="12494"/>
    <cellStyle name="Total 2 8 2 2 3 3" xfId="9074"/>
    <cellStyle name="Total 2 8 2 2 4" xfId="3374"/>
    <cellStyle name="Total 2 8 2 2 4 2" xfId="6794"/>
    <cellStyle name="Total 2 8 2 2 4 2 2" xfId="13634"/>
    <cellStyle name="Total 2 8 2 2 4 3" xfId="10214"/>
    <cellStyle name="Total 2 8 2 2 5" xfId="4514"/>
    <cellStyle name="Total 2 8 2 2 5 2" xfId="11354"/>
    <cellStyle name="Total 2 8 2 2 6" xfId="7934"/>
    <cellStyle name="Total 2 8 2 3" xfId="15652"/>
    <cellStyle name="Total 2 8 2 4" xfId="23965"/>
    <cellStyle name="Total 2 8 2 5" xfId="31262"/>
    <cellStyle name="Total 2 8 2 6" xfId="60478"/>
    <cellStyle name="Total 2 8 2 7" xfId="60479"/>
    <cellStyle name="Total 2 8 2 8" xfId="60480"/>
    <cellStyle name="Total 2 8 3" xfId="1416"/>
    <cellStyle name="Total 2 8 3 2" xfId="1857"/>
    <cellStyle name="Total 2 8 3 2 2" xfId="2997"/>
    <cellStyle name="Total 2 8 3 2 2 2" xfId="6417"/>
    <cellStyle name="Total 2 8 3 2 2 2 2" xfId="13257"/>
    <cellStyle name="Total 2 8 3 2 2 3" xfId="9837"/>
    <cellStyle name="Total 2 8 3 2 3" xfId="4137"/>
    <cellStyle name="Total 2 8 3 2 3 2" xfId="7557"/>
    <cellStyle name="Total 2 8 3 2 3 2 2" xfId="14397"/>
    <cellStyle name="Total 2 8 3 2 3 3" xfId="10977"/>
    <cellStyle name="Total 2 8 3 2 4" xfId="5277"/>
    <cellStyle name="Total 2 8 3 2 4 2" xfId="12117"/>
    <cellStyle name="Total 2 8 3 2 5" xfId="8697"/>
    <cellStyle name="Total 2 8 3 3" xfId="2237"/>
    <cellStyle name="Total 2 8 3 3 2" xfId="5657"/>
    <cellStyle name="Total 2 8 3 3 2 2" xfId="12497"/>
    <cellStyle name="Total 2 8 3 3 3" xfId="9077"/>
    <cellStyle name="Total 2 8 3 4" xfId="3377"/>
    <cellStyle name="Total 2 8 3 4 2" xfId="6797"/>
    <cellStyle name="Total 2 8 3 4 2 2" xfId="13637"/>
    <cellStyle name="Total 2 8 3 4 3" xfId="10217"/>
    <cellStyle name="Total 2 8 3 5" xfId="4517"/>
    <cellStyle name="Total 2 8 3 5 2" xfId="11357"/>
    <cellStyle name="Total 2 8 3 6" xfId="7937"/>
    <cellStyle name="Total 2 8 3 7" xfId="16619"/>
    <cellStyle name="Total 2 8 3 8" xfId="24936"/>
    <cellStyle name="Total 2 8 3 9" xfId="32195"/>
    <cellStyle name="Total 2 8 4" xfId="17639"/>
    <cellStyle name="Total 2 8 4 2" xfId="25962"/>
    <cellStyle name="Total 2 8 4 2 2" xfId="60481"/>
    <cellStyle name="Total 2 8 4 2 3" xfId="60482"/>
    <cellStyle name="Total 2 8 4 3" xfId="33172"/>
    <cellStyle name="Total 2 8 4 4" xfId="60483"/>
    <cellStyle name="Total 2 8 5" xfId="18621"/>
    <cellStyle name="Total 2 8 5 2" xfId="26941"/>
    <cellStyle name="Total 2 8 5 2 2" xfId="60484"/>
    <cellStyle name="Total 2 8 5 2 3" xfId="60485"/>
    <cellStyle name="Total 2 8 5 3" xfId="34109"/>
    <cellStyle name="Total 2 8 5 4" xfId="60486"/>
    <cellStyle name="Total 2 8 6" xfId="19590"/>
    <cellStyle name="Total 2 8 6 2" xfId="27910"/>
    <cellStyle name="Total 2 8 6 2 2" xfId="60487"/>
    <cellStyle name="Total 2 8 6 2 3" xfId="60488"/>
    <cellStyle name="Total 2 8 6 3" xfId="35055"/>
    <cellStyle name="Total 2 8 6 4" xfId="60489"/>
    <cellStyle name="Total 2 8 7" xfId="20547"/>
    <cellStyle name="Total 2 8 7 2" xfId="28869"/>
    <cellStyle name="Total 2 8 7 2 2" xfId="60490"/>
    <cellStyle name="Total 2 8 7 2 3" xfId="60491"/>
    <cellStyle name="Total 2 8 7 3" xfId="35972"/>
    <cellStyle name="Total 2 8 7 4" xfId="60492"/>
    <cellStyle name="Total 2 8 8" xfId="21276"/>
    <cellStyle name="Total 2 8 8 2" xfId="29584"/>
    <cellStyle name="Total 2 8 8 2 2" xfId="60493"/>
    <cellStyle name="Total 2 8 8 2 3" xfId="60494"/>
    <cellStyle name="Total 2 8 8 3" xfId="36651"/>
    <cellStyle name="Total 2 8 8 4" xfId="60495"/>
    <cellStyle name="Total 2 8 9" xfId="21983"/>
    <cellStyle name="Total 2 8 9 2" xfId="30283"/>
    <cellStyle name="Total 2 8 9 3" xfId="37323"/>
    <cellStyle name="Total 2 9" xfId="457"/>
    <cellStyle name="Total 2 9 10" xfId="14681"/>
    <cellStyle name="Total 2 9 11" xfId="23043"/>
    <cellStyle name="Total 2 9 12" xfId="60496"/>
    <cellStyle name="Total 2 9 13" xfId="60497"/>
    <cellStyle name="Total 2 9 14" xfId="60498"/>
    <cellStyle name="Total 2 9 2" xfId="541"/>
    <cellStyle name="Total 2 9 2 2" xfId="1545"/>
    <cellStyle name="Total 2 9 2 2 2" xfId="838"/>
    <cellStyle name="Total 2 9 2 2 2 2" xfId="2788"/>
    <cellStyle name="Total 2 9 2 2 2 2 2" xfId="6208"/>
    <cellStyle name="Total 2 9 2 2 2 2 2 2" xfId="13048"/>
    <cellStyle name="Total 2 9 2 2 2 2 3" xfId="9628"/>
    <cellStyle name="Total 2 9 2 2 2 3" xfId="3928"/>
    <cellStyle name="Total 2 9 2 2 2 3 2" xfId="7348"/>
    <cellStyle name="Total 2 9 2 2 2 3 2 2" xfId="14188"/>
    <cellStyle name="Total 2 9 2 2 2 3 3" xfId="10768"/>
    <cellStyle name="Total 2 9 2 2 2 4" xfId="5068"/>
    <cellStyle name="Total 2 9 2 2 2 4 2" xfId="11908"/>
    <cellStyle name="Total 2 9 2 2 2 5" xfId="8488"/>
    <cellStyle name="Total 2 9 2 2 3" xfId="2366"/>
    <cellStyle name="Total 2 9 2 2 3 2" xfId="5786"/>
    <cellStyle name="Total 2 9 2 2 3 2 2" xfId="12626"/>
    <cellStyle name="Total 2 9 2 2 3 3" xfId="9206"/>
    <cellStyle name="Total 2 9 2 2 4" xfId="3506"/>
    <cellStyle name="Total 2 9 2 2 4 2" xfId="6926"/>
    <cellStyle name="Total 2 9 2 2 4 2 2" xfId="13766"/>
    <cellStyle name="Total 2 9 2 2 4 3" xfId="10346"/>
    <cellStyle name="Total 2 9 2 2 5" xfId="4646"/>
    <cellStyle name="Total 2 9 2 2 5 2" xfId="11486"/>
    <cellStyle name="Total 2 9 2 2 6" xfId="8066"/>
    <cellStyle name="Total 2 9 2 3" xfId="15762"/>
    <cellStyle name="Total 2 9 2 4" xfId="24078"/>
    <cellStyle name="Total 2 9 2 5" xfId="31369"/>
    <cellStyle name="Total 2 9 2 6" xfId="60499"/>
    <cellStyle name="Total 2 9 2 7" xfId="60500"/>
    <cellStyle name="Total 2 9 2 8" xfId="60501"/>
    <cellStyle name="Total 2 9 3" xfId="1461"/>
    <cellStyle name="Total 2 9 3 2" xfId="878"/>
    <cellStyle name="Total 2 9 3 2 2" xfId="2546"/>
    <cellStyle name="Total 2 9 3 2 2 2" xfId="5966"/>
    <cellStyle name="Total 2 9 3 2 2 2 2" xfId="12806"/>
    <cellStyle name="Total 2 9 3 2 2 3" xfId="9386"/>
    <cellStyle name="Total 2 9 3 2 3" xfId="3686"/>
    <cellStyle name="Total 2 9 3 2 3 2" xfId="7106"/>
    <cellStyle name="Total 2 9 3 2 3 2 2" xfId="13946"/>
    <cellStyle name="Total 2 9 3 2 3 3" xfId="10526"/>
    <cellStyle name="Total 2 9 3 2 4" xfId="4826"/>
    <cellStyle name="Total 2 9 3 2 4 2" xfId="11666"/>
    <cellStyle name="Total 2 9 3 2 5" xfId="8246"/>
    <cellStyle name="Total 2 9 3 3" xfId="2282"/>
    <cellStyle name="Total 2 9 3 3 2" xfId="5702"/>
    <cellStyle name="Total 2 9 3 3 2 2" xfId="12542"/>
    <cellStyle name="Total 2 9 3 3 3" xfId="9122"/>
    <cellStyle name="Total 2 9 3 4" xfId="3422"/>
    <cellStyle name="Total 2 9 3 4 2" xfId="6842"/>
    <cellStyle name="Total 2 9 3 4 2 2" xfId="13682"/>
    <cellStyle name="Total 2 9 3 4 3" xfId="10262"/>
    <cellStyle name="Total 2 9 3 5" xfId="4562"/>
    <cellStyle name="Total 2 9 3 5 2" xfId="11402"/>
    <cellStyle name="Total 2 9 3 6" xfId="7982"/>
    <cellStyle name="Total 2 9 3 7" xfId="16728"/>
    <cellStyle name="Total 2 9 3 8" xfId="25049"/>
    <cellStyle name="Total 2 9 3 9" xfId="32302"/>
    <cellStyle name="Total 2 9 4" xfId="17752"/>
    <cellStyle name="Total 2 9 4 2" xfId="26075"/>
    <cellStyle name="Total 2 9 4 2 2" xfId="60502"/>
    <cellStyle name="Total 2 9 4 2 3" xfId="60503"/>
    <cellStyle name="Total 2 9 4 3" xfId="33279"/>
    <cellStyle name="Total 2 9 4 4" xfId="60504"/>
    <cellStyle name="Total 2 9 5" xfId="18735"/>
    <cellStyle name="Total 2 9 5 2" xfId="27056"/>
    <cellStyle name="Total 2 9 5 2 2" xfId="60505"/>
    <cellStyle name="Total 2 9 5 2 3" xfId="60506"/>
    <cellStyle name="Total 2 9 5 3" xfId="34218"/>
    <cellStyle name="Total 2 9 5 4" xfId="60507"/>
    <cellStyle name="Total 2 9 6" xfId="19704"/>
    <cellStyle name="Total 2 9 6 2" xfId="28025"/>
    <cellStyle name="Total 2 9 6 2 2" xfId="60508"/>
    <cellStyle name="Total 2 9 6 2 3" xfId="60509"/>
    <cellStyle name="Total 2 9 6 3" xfId="35164"/>
    <cellStyle name="Total 2 9 6 4" xfId="60510"/>
    <cellStyle name="Total 2 9 7" xfId="20661"/>
    <cellStyle name="Total 2 9 7 2" xfId="28982"/>
    <cellStyle name="Total 2 9 7 2 2" xfId="60511"/>
    <cellStyle name="Total 2 9 7 2 3" xfId="60512"/>
    <cellStyle name="Total 2 9 7 3" xfId="36079"/>
    <cellStyle name="Total 2 9 7 4" xfId="60513"/>
    <cellStyle name="Total 2 9 8" xfId="21211"/>
    <cellStyle name="Total 2 9 8 2" xfId="29522"/>
    <cellStyle name="Total 2 9 8 2 2" xfId="60514"/>
    <cellStyle name="Total 2 9 8 2 3" xfId="60515"/>
    <cellStyle name="Total 2 9 8 3" xfId="36591"/>
    <cellStyle name="Total 2 9 8 4" xfId="60516"/>
    <cellStyle name="Total 2 9 9" xfId="22098"/>
    <cellStyle name="Total 2 9 9 2" xfId="30396"/>
    <cellStyle name="Total 2 9 9 3" xfId="37430"/>
    <cellStyle name="Total 3" xfId="66"/>
    <cellStyle name="Total 3 10" xfId="60517"/>
    <cellStyle name="Total 3 2" xfId="123"/>
    <cellStyle name="Total 3 2 2" xfId="255"/>
    <cellStyle name="Total 3 2 2 2" xfId="666"/>
    <cellStyle name="Total 3 2 2 2 2" xfId="1617"/>
    <cellStyle name="Total 3 2 2 2 2 2" xfId="790"/>
    <cellStyle name="Total 3 2 2 2 2 2 2" xfId="2648"/>
    <cellStyle name="Total 3 2 2 2 2 2 2 2" xfId="6068"/>
    <cellStyle name="Total 3 2 2 2 2 2 2 2 2" xfId="12908"/>
    <cellStyle name="Total 3 2 2 2 2 2 2 3" xfId="9488"/>
    <cellStyle name="Total 3 2 2 2 2 2 3" xfId="3788"/>
    <cellStyle name="Total 3 2 2 2 2 2 3 2" xfId="7208"/>
    <cellStyle name="Total 3 2 2 2 2 2 3 2 2" xfId="14048"/>
    <cellStyle name="Total 3 2 2 2 2 2 3 3" xfId="10628"/>
    <cellStyle name="Total 3 2 2 2 2 2 4" xfId="4928"/>
    <cellStyle name="Total 3 2 2 2 2 2 4 2" xfId="11768"/>
    <cellStyle name="Total 3 2 2 2 2 2 5" xfId="8348"/>
    <cellStyle name="Total 3 2 2 2 2 3" xfId="2451"/>
    <cellStyle name="Total 3 2 2 2 2 3 2" xfId="5871"/>
    <cellStyle name="Total 3 2 2 2 2 3 2 2" xfId="12711"/>
    <cellStyle name="Total 3 2 2 2 2 3 3" xfId="9291"/>
    <cellStyle name="Total 3 2 2 2 2 4" xfId="3591"/>
    <cellStyle name="Total 3 2 2 2 2 4 2" xfId="7011"/>
    <cellStyle name="Total 3 2 2 2 2 4 2 2" xfId="13851"/>
    <cellStyle name="Total 3 2 2 2 2 4 3" xfId="10431"/>
    <cellStyle name="Total 3 2 2 2 2 5" xfId="4731"/>
    <cellStyle name="Total 3 2 2 2 2 5 2" xfId="11571"/>
    <cellStyle name="Total 3 2 2 2 2 6" xfId="8151"/>
    <cellStyle name="Total 3 2 2 2 3" xfId="38510"/>
    <cellStyle name="Total 3 2 2 2 4" xfId="60518"/>
    <cellStyle name="Total 3 2 2 2 5" xfId="60519"/>
    <cellStyle name="Total 3 2 2 2 6" xfId="60520"/>
    <cellStyle name="Total 3 2 2 3" xfId="1262"/>
    <cellStyle name="Total 3 2 2 3 2" xfId="997"/>
    <cellStyle name="Total 3 2 2 3 2 2" xfId="2509"/>
    <cellStyle name="Total 3 2 2 3 2 2 2" xfId="5929"/>
    <cellStyle name="Total 3 2 2 3 2 2 2 2" xfId="12769"/>
    <cellStyle name="Total 3 2 2 3 2 2 3" xfId="9349"/>
    <cellStyle name="Total 3 2 2 3 2 3" xfId="3649"/>
    <cellStyle name="Total 3 2 2 3 2 3 2" xfId="7069"/>
    <cellStyle name="Total 3 2 2 3 2 3 2 2" xfId="13909"/>
    <cellStyle name="Total 3 2 2 3 2 3 3" xfId="10489"/>
    <cellStyle name="Total 3 2 2 3 2 4" xfId="4789"/>
    <cellStyle name="Total 3 2 2 3 2 4 2" xfId="11629"/>
    <cellStyle name="Total 3 2 2 3 2 5" xfId="8209"/>
    <cellStyle name="Total 3 2 2 3 3" xfId="2082"/>
    <cellStyle name="Total 3 2 2 3 3 2" xfId="5502"/>
    <cellStyle name="Total 3 2 2 3 3 2 2" xfId="12342"/>
    <cellStyle name="Total 3 2 2 3 3 3" xfId="8922"/>
    <cellStyle name="Total 3 2 2 3 4" xfId="3222"/>
    <cellStyle name="Total 3 2 2 3 4 2" xfId="6642"/>
    <cellStyle name="Total 3 2 2 3 4 2 2" xfId="13482"/>
    <cellStyle name="Total 3 2 2 3 4 3" xfId="10062"/>
    <cellStyle name="Total 3 2 2 3 5" xfId="4362"/>
    <cellStyle name="Total 3 2 2 3 5 2" xfId="11202"/>
    <cellStyle name="Total 3 2 2 3 6" xfId="7782"/>
    <cellStyle name="Total 3 2 2 4" xfId="38276"/>
    <cellStyle name="Total 3 2 2 5" xfId="60521"/>
    <cellStyle name="Total 3 2 2 6" xfId="60522"/>
    <cellStyle name="Total 3 2 2 7" xfId="60523"/>
    <cellStyle name="Total 3 2 3" xfId="578"/>
    <cellStyle name="Total 3 2 3 2" xfId="1565"/>
    <cellStyle name="Total 3 2 3 2 2" xfId="828"/>
    <cellStyle name="Total 3 2 3 2 2 2" xfId="2641"/>
    <cellStyle name="Total 3 2 3 2 2 2 2" xfId="6061"/>
    <cellStyle name="Total 3 2 3 2 2 2 2 2" xfId="12901"/>
    <cellStyle name="Total 3 2 3 2 2 2 3" xfId="9481"/>
    <cellStyle name="Total 3 2 3 2 2 3" xfId="3781"/>
    <cellStyle name="Total 3 2 3 2 2 3 2" xfId="7201"/>
    <cellStyle name="Total 3 2 3 2 2 3 2 2" xfId="14041"/>
    <cellStyle name="Total 3 2 3 2 2 3 3" xfId="10621"/>
    <cellStyle name="Total 3 2 3 2 2 4" xfId="4921"/>
    <cellStyle name="Total 3 2 3 2 2 4 2" xfId="11761"/>
    <cellStyle name="Total 3 2 3 2 2 5" xfId="8341"/>
    <cellStyle name="Total 3 2 3 2 3" xfId="2390"/>
    <cellStyle name="Total 3 2 3 2 3 2" xfId="5810"/>
    <cellStyle name="Total 3 2 3 2 3 2 2" xfId="12650"/>
    <cellStyle name="Total 3 2 3 2 3 3" xfId="9230"/>
    <cellStyle name="Total 3 2 3 2 4" xfId="3530"/>
    <cellStyle name="Total 3 2 3 2 4 2" xfId="6950"/>
    <cellStyle name="Total 3 2 3 2 4 2 2" xfId="13790"/>
    <cellStyle name="Total 3 2 3 2 4 3" xfId="10370"/>
    <cellStyle name="Total 3 2 3 2 5" xfId="4670"/>
    <cellStyle name="Total 3 2 3 2 5 2" xfId="11510"/>
    <cellStyle name="Total 3 2 3 2 6" xfId="8090"/>
    <cellStyle name="Total 3 2 3 3" xfId="38469"/>
    <cellStyle name="Total 3 2 3 4" xfId="60524"/>
    <cellStyle name="Total 3 2 3 5" xfId="60525"/>
    <cellStyle name="Total 3 2 3 6" xfId="60526"/>
    <cellStyle name="Total 3 2 4" xfId="1139"/>
    <cellStyle name="Total 3 2 4 2" xfId="1779"/>
    <cellStyle name="Total 3 2 4 2 2" xfId="2919"/>
    <cellStyle name="Total 3 2 4 2 2 2" xfId="6339"/>
    <cellStyle name="Total 3 2 4 2 2 2 2" xfId="13179"/>
    <cellStyle name="Total 3 2 4 2 2 3" xfId="9759"/>
    <cellStyle name="Total 3 2 4 2 3" xfId="4059"/>
    <cellStyle name="Total 3 2 4 2 3 2" xfId="7479"/>
    <cellStyle name="Total 3 2 4 2 3 2 2" xfId="14319"/>
    <cellStyle name="Total 3 2 4 2 3 3" xfId="10899"/>
    <cellStyle name="Total 3 2 4 2 4" xfId="5199"/>
    <cellStyle name="Total 3 2 4 2 4 2" xfId="12039"/>
    <cellStyle name="Total 3 2 4 2 5" xfId="8619"/>
    <cellStyle name="Total 3 2 4 3" xfId="1953"/>
    <cellStyle name="Total 3 2 4 3 2" xfId="5373"/>
    <cellStyle name="Total 3 2 4 3 2 2" xfId="12213"/>
    <cellStyle name="Total 3 2 4 3 3" xfId="8793"/>
    <cellStyle name="Total 3 2 4 4" xfId="3093"/>
    <cellStyle name="Total 3 2 4 4 2" xfId="6513"/>
    <cellStyle name="Total 3 2 4 4 2 2" xfId="13353"/>
    <cellStyle name="Total 3 2 4 4 3" xfId="9933"/>
    <cellStyle name="Total 3 2 4 5" xfId="4233"/>
    <cellStyle name="Total 3 2 4 5 2" xfId="11073"/>
    <cellStyle name="Total 3 2 4 6" xfId="7653"/>
    <cellStyle name="Total 3 2 5" xfId="38205"/>
    <cellStyle name="Total 3 2 6" xfId="60527"/>
    <cellStyle name="Total 3 2 7" xfId="60528"/>
    <cellStyle name="Total 3 3" xfId="145"/>
    <cellStyle name="Total 3 3 2" xfId="271"/>
    <cellStyle name="Total 3 3 2 2" xfId="681"/>
    <cellStyle name="Total 3 3 2 2 2" xfId="1632"/>
    <cellStyle name="Total 3 3 2 2 2 2" xfId="775"/>
    <cellStyle name="Total 3 3 2 2 2 2 2" xfId="2785"/>
    <cellStyle name="Total 3 3 2 2 2 2 2 2" xfId="6205"/>
    <cellStyle name="Total 3 3 2 2 2 2 2 2 2" xfId="13045"/>
    <cellStyle name="Total 3 3 2 2 2 2 2 3" xfId="9625"/>
    <cellStyle name="Total 3 3 2 2 2 2 3" xfId="3925"/>
    <cellStyle name="Total 3 3 2 2 2 2 3 2" xfId="7345"/>
    <cellStyle name="Total 3 3 2 2 2 2 3 2 2" xfId="14185"/>
    <cellStyle name="Total 3 3 2 2 2 2 3 3" xfId="10765"/>
    <cellStyle name="Total 3 3 2 2 2 2 4" xfId="5065"/>
    <cellStyle name="Total 3 3 2 2 2 2 4 2" xfId="11905"/>
    <cellStyle name="Total 3 3 2 2 2 2 5" xfId="8485"/>
    <cellStyle name="Total 3 3 2 2 2 3" xfId="2466"/>
    <cellStyle name="Total 3 3 2 2 2 3 2" xfId="5886"/>
    <cellStyle name="Total 3 3 2 2 2 3 2 2" xfId="12726"/>
    <cellStyle name="Total 3 3 2 2 2 3 3" xfId="9306"/>
    <cellStyle name="Total 3 3 2 2 2 4" xfId="3606"/>
    <cellStyle name="Total 3 3 2 2 2 4 2" xfId="7026"/>
    <cellStyle name="Total 3 3 2 2 2 4 2 2" xfId="13866"/>
    <cellStyle name="Total 3 3 2 2 2 4 3" xfId="10446"/>
    <cellStyle name="Total 3 3 2 2 2 5" xfId="4746"/>
    <cellStyle name="Total 3 3 2 2 2 5 2" xfId="11586"/>
    <cellStyle name="Total 3 3 2 2 2 6" xfId="8166"/>
    <cellStyle name="Total 3 3 2 2 3" xfId="38525"/>
    <cellStyle name="Total 3 3 2 2 4" xfId="60529"/>
    <cellStyle name="Total 3 3 2 2 5" xfId="60530"/>
    <cellStyle name="Total 3 3 2 2 6" xfId="60531"/>
    <cellStyle name="Total 3 3 2 3" xfId="1278"/>
    <cellStyle name="Total 3 3 2 3 2" xfId="1714"/>
    <cellStyle name="Total 3 3 2 3 2 2" xfId="2854"/>
    <cellStyle name="Total 3 3 2 3 2 2 2" xfId="6274"/>
    <cellStyle name="Total 3 3 2 3 2 2 2 2" xfId="13114"/>
    <cellStyle name="Total 3 3 2 3 2 2 3" xfId="9694"/>
    <cellStyle name="Total 3 3 2 3 2 3" xfId="3994"/>
    <cellStyle name="Total 3 3 2 3 2 3 2" xfId="7414"/>
    <cellStyle name="Total 3 3 2 3 2 3 2 2" xfId="14254"/>
    <cellStyle name="Total 3 3 2 3 2 3 3" xfId="10834"/>
    <cellStyle name="Total 3 3 2 3 2 4" xfId="5134"/>
    <cellStyle name="Total 3 3 2 3 2 4 2" xfId="11974"/>
    <cellStyle name="Total 3 3 2 3 2 5" xfId="8554"/>
    <cellStyle name="Total 3 3 2 3 3" xfId="2098"/>
    <cellStyle name="Total 3 3 2 3 3 2" xfId="5518"/>
    <cellStyle name="Total 3 3 2 3 3 2 2" xfId="12358"/>
    <cellStyle name="Total 3 3 2 3 3 3" xfId="8938"/>
    <cellStyle name="Total 3 3 2 3 4" xfId="3238"/>
    <cellStyle name="Total 3 3 2 3 4 2" xfId="6658"/>
    <cellStyle name="Total 3 3 2 3 4 2 2" xfId="13498"/>
    <cellStyle name="Total 3 3 2 3 4 3" xfId="10078"/>
    <cellStyle name="Total 3 3 2 3 5" xfId="4378"/>
    <cellStyle name="Total 3 3 2 3 5 2" xfId="11218"/>
    <cellStyle name="Total 3 3 2 3 6" xfId="7798"/>
    <cellStyle name="Total 3 3 2 4" xfId="38288"/>
    <cellStyle name="Total 3 3 2 5" xfId="60532"/>
    <cellStyle name="Total 3 3 2 6" xfId="60533"/>
    <cellStyle name="Total 3 3 2 7" xfId="60534"/>
    <cellStyle name="Total 3 3 3" xfId="593"/>
    <cellStyle name="Total 3 3 3 2" xfId="1580"/>
    <cellStyle name="Total 3 3 3 2 2" xfId="1759"/>
    <cellStyle name="Total 3 3 3 2 2 2" xfId="2899"/>
    <cellStyle name="Total 3 3 3 2 2 2 2" xfId="6319"/>
    <cellStyle name="Total 3 3 3 2 2 2 2 2" xfId="13159"/>
    <cellStyle name="Total 3 3 3 2 2 2 3" xfId="9739"/>
    <cellStyle name="Total 3 3 3 2 2 3" xfId="4039"/>
    <cellStyle name="Total 3 3 3 2 2 3 2" xfId="7459"/>
    <cellStyle name="Total 3 3 3 2 2 3 2 2" xfId="14299"/>
    <cellStyle name="Total 3 3 3 2 2 3 3" xfId="10879"/>
    <cellStyle name="Total 3 3 3 2 2 4" xfId="5179"/>
    <cellStyle name="Total 3 3 3 2 2 4 2" xfId="12019"/>
    <cellStyle name="Total 3 3 3 2 2 5" xfId="8599"/>
    <cellStyle name="Total 3 3 3 2 3" xfId="2405"/>
    <cellStyle name="Total 3 3 3 2 3 2" xfId="5825"/>
    <cellStyle name="Total 3 3 3 2 3 2 2" xfId="12665"/>
    <cellStyle name="Total 3 3 3 2 3 3" xfId="9245"/>
    <cellStyle name="Total 3 3 3 2 4" xfId="3545"/>
    <cellStyle name="Total 3 3 3 2 4 2" xfId="6965"/>
    <cellStyle name="Total 3 3 3 2 4 2 2" xfId="13805"/>
    <cellStyle name="Total 3 3 3 2 4 3" xfId="10385"/>
    <cellStyle name="Total 3 3 3 2 5" xfId="4685"/>
    <cellStyle name="Total 3 3 3 2 5 2" xfId="11525"/>
    <cellStyle name="Total 3 3 3 2 6" xfId="8105"/>
    <cellStyle name="Total 3 3 3 3" xfId="38474"/>
    <cellStyle name="Total 3 3 3 4" xfId="60535"/>
    <cellStyle name="Total 3 3 3 5" xfId="60536"/>
    <cellStyle name="Total 3 3 3 6" xfId="60537"/>
    <cellStyle name="Total 3 3 4" xfId="1154"/>
    <cellStyle name="Total 3 3 4 2" xfId="1878"/>
    <cellStyle name="Total 3 3 4 2 2" xfId="3018"/>
    <cellStyle name="Total 3 3 4 2 2 2" xfId="6438"/>
    <cellStyle name="Total 3 3 4 2 2 2 2" xfId="13278"/>
    <cellStyle name="Total 3 3 4 2 2 3" xfId="9858"/>
    <cellStyle name="Total 3 3 4 2 3" xfId="4158"/>
    <cellStyle name="Total 3 3 4 2 3 2" xfId="7578"/>
    <cellStyle name="Total 3 3 4 2 3 2 2" xfId="14418"/>
    <cellStyle name="Total 3 3 4 2 3 3" xfId="10998"/>
    <cellStyle name="Total 3 3 4 2 4" xfId="5298"/>
    <cellStyle name="Total 3 3 4 2 4 2" xfId="12138"/>
    <cellStyle name="Total 3 3 4 2 5" xfId="8718"/>
    <cellStyle name="Total 3 3 4 3" xfId="1973"/>
    <cellStyle name="Total 3 3 4 3 2" xfId="5393"/>
    <cellStyle name="Total 3 3 4 3 2 2" xfId="12233"/>
    <cellStyle name="Total 3 3 4 3 3" xfId="8813"/>
    <cellStyle name="Total 3 3 4 4" xfId="3113"/>
    <cellStyle name="Total 3 3 4 4 2" xfId="6533"/>
    <cellStyle name="Total 3 3 4 4 2 2" xfId="13373"/>
    <cellStyle name="Total 3 3 4 4 3" xfId="9953"/>
    <cellStyle name="Total 3 3 4 5" xfId="4253"/>
    <cellStyle name="Total 3 3 4 5 2" xfId="11093"/>
    <cellStyle name="Total 3 3 4 6" xfId="7673"/>
    <cellStyle name="Total 3 3 5" xfId="38210"/>
    <cellStyle name="Total 3 3 6" xfId="60538"/>
    <cellStyle name="Total 3 3 7" xfId="60539"/>
    <cellStyle name="Total 3 4" xfId="311"/>
    <cellStyle name="Total 3 4 2" xfId="438"/>
    <cellStyle name="Total 3 4 2 2" xfId="1442"/>
    <cellStyle name="Total 3 4 2 2 2" xfId="1851"/>
    <cellStyle name="Total 3 4 2 2 2 2" xfId="2991"/>
    <cellStyle name="Total 3 4 2 2 2 2 2" xfId="6411"/>
    <cellStyle name="Total 3 4 2 2 2 2 2 2" xfId="13251"/>
    <cellStyle name="Total 3 4 2 2 2 2 3" xfId="9831"/>
    <cellStyle name="Total 3 4 2 2 2 3" xfId="4131"/>
    <cellStyle name="Total 3 4 2 2 2 3 2" xfId="7551"/>
    <cellStyle name="Total 3 4 2 2 2 3 2 2" xfId="14391"/>
    <cellStyle name="Total 3 4 2 2 2 3 3" xfId="10971"/>
    <cellStyle name="Total 3 4 2 2 2 4" xfId="5271"/>
    <cellStyle name="Total 3 4 2 2 2 4 2" xfId="12111"/>
    <cellStyle name="Total 3 4 2 2 2 5" xfId="8691"/>
    <cellStyle name="Total 3 4 2 2 3" xfId="2263"/>
    <cellStyle name="Total 3 4 2 2 3 2" xfId="5683"/>
    <cellStyle name="Total 3 4 2 2 3 2 2" xfId="12523"/>
    <cellStyle name="Total 3 4 2 2 3 3" xfId="9103"/>
    <cellStyle name="Total 3 4 2 2 4" xfId="3403"/>
    <cellStyle name="Total 3 4 2 2 4 2" xfId="6823"/>
    <cellStyle name="Total 3 4 2 2 4 2 2" xfId="13663"/>
    <cellStyle name="Total 3 4 2 2 4 3" xfId="10243"/>
    <cellStyle name="Total 3 4 2 2 5" xfId="4543"/>
    <cellStyle name="Total 3 4 2 2 5 2" xfId="11383"/>
    <cellStyle name="Total 3 4 2 2 6" xfId="7963"/>
    <cellStyle name="Total 3 4 2 3" xfId="38401"/>
    <cellStyle name="Total 3 4 2 4" xfId="60540"/>
    <cellStyle name="Total 3 4 2 5" xfId="60541"/>
    <cellStyle name="Total 3 4 2 6" xfId="60542"/>
    <cellStyle name="Total 3 4 3" xfId="1317"/>
    <cellStyle name="Total 3 4 3 2" xfId="970"/>
    <cellStyle name="Total 3 4 3 2 2" xfId="2781"/>
    <cellStyle name="Total 3 4 3 2 2 2" xfId="6201"/>
    <cellStyle name="Total 3 4 3 2 2 2 2" xfId="13041"/>
    <cellStyle name="Total 3 4 3 2 2 3" xfId="9621"/>
    <cellStyle name="Total 3 4 3 2 3" xfId="3921"/>
    <cellStyle name="Total 3 4 3 2 3 2" xfId="7341"/>
    <cellStyle name="Total 3 4 3 2 3 2 2" xfId="14181"/>
    <cellStyle name="Total 3 4 3 2 3 3" xfId="10761"/>
    <cellStyle name="Total 3 4 3 2 4" xfId="5061"/>
    <cellStyle name="Total 3 4 3 2 4 2" xfId="11901"/>
    <cellStyle name="Total 3 4 3 2 5" xfId="8481"/>
    <cellStyle name="Total 3 4 3 3" xfId="2137"/>
    <cellStyle name="Total 3 4 3 3 2" xfId="5557"/>
    <cellStyle name="Total 3 4 3 3 2 2" xfId="12397"/>
    <cellStyle name="Total 3 4 3 3 3" xfId="8977"/>
    <cellStyle name="Total 3 4 3 4" xfId="3277"/>
    <cellStyle name="Total 3 4 3 4 2" xfId="6697"/>
    <cellStyle name="Total 3 4 3 4 2 2" xfId="13537"/>
    <cellStyle name="Total 3 4 3 4 3" xfId="10117"/>
    <cellStyle name="Total 3 4 3 5" xfId="4417"/>
    <cellStyle name="Total 3 4 3 5 2" xfId="11257"/>
    <cellStyle name="Total 3 4 3 6" xfId="7837"/>
    <cellStyle name="Total 3 4 4" xfId="38319"/>
    <cellStyle name="Total 3 4 5" xfId="60543"/>
    <cellStyle name="Total 3 4 6" xfId="60544"/>
    <cellStyle name="Total 3 5" xfId="210"/>
    <cellStyle name="Total 3 5 2" xfId="189"/>
    <cellStyle name="Total 3 5 2 2" xfId="1197"/>
    <cellStyle name="Total 3 5 2 2 2" xfId="1808"/>
    <cellStyle name="Total 3 5 2 2 2 2" xfId="2948"/>
    <cellStyle name="Total 3 5 2 2 2 2 2" xfId="6368"/>
    <cellStyle name="Total 3 5 2 2 2 2 2 2" xfId="13208"/>
    <cellStyle name="Total 3 5 2 2 2 2 3" xfId="9788"/>
    <cellStyle name="Total 3 5 2 2 2 3" xfId="4088"/>
    <cellStyle name="Total 3 5 2 2 2 3 2" xfId="7508"/>
    <cellStyle name="Total 3 5 2 2 2 3 2 2" xfId="14348"/>
    <cellStyle name="Total 3 5 2 2 2 3 3" xfId="10928"/>
    <cellStyle name="Total 3 5 2 2 2 4" xfId="5228"/>
    <cellStyle name="Total 3 5 2 2 2 4 2" xfId="12068"/>
    <cellStyle name="Total 3 5 2 2 2 5" xfId="8648"/>
    <cellStyle name="Total 3 5 2 2 3" xfId="2016"/>
    <cellStyle name="Total 3 5 2 2 3 2" xfId="5436"/>
    <cellStyle name="Total 3 5 2 2 3 2 2" xfId="12276"/>
    <cellStyle name="Total 3 5 2 2 3 3" xfId="8856"/>
    <cellStyle name="Total 3 5 2 2 4" xfId="3156"/>
    <cellStyle name="Total 3 5 2 2 4 2" xfId="6576"/>
    <cellStyle name="Total 3 5 2 2 4 2 2" xfId="13416"/>
    <cellStyle name="Total 3 5 2 2 4 3" xfId="9996"/>
    <cellStyle name="Total 3 5 2 2 5" xfId="4296"/>
    <cellStyle name="Total 3 5 2 2 5 2" xfId="11136"/>
    <cellStyle name="Total 3 5 2 2 6" xfId="7716"/>
    <cellStyle name="Total 3 5 2 3" xfId="38243"/>
    <cellStyle name="Total 3 5 2 4" xfId="60545"/>
    <cellStyle name="Total 3 5 2 5" xfId="60546"/>
    <cellStyle name="Total 3 5 2 6" xfId="60547"/>
    <cellStyle name="Total 3 5 3" xfId="1218"/>
    <cellStyle name="Total 3 5 3 2" xfId="1833"/>
    <cellStyle name="Total 3 5 3 2 2" xfId="2973"/>
    <cellStyle name="Total 3 5 3 2 2 2" xfId="6393"/>
    <cellStyle name="Total 3 5 3 2 2 2 2" xfId="13233"/>
    <cellStyle name="Total 3 5 3 2 2 3" xfId="9813"/>
    <cellStyle name="Total 3 5 3 2 3" xfId="4113"/>
    <cellStyle name="Total 3 5 3 2 3 2" xfId="7533"/>
    <cellStyle name="Total 3 5 3 2 3 2 2" xfId="14373"/>
    <cellStyle name="Total 3 5 3 2 3 3" xfId="10953"/>
    <cellStyle name="Total 3 5 3 2 4" xfId="5253"/>
    <cellStyle name="Total 3 5 3 2 4 2" xfId="12093"/>
    <cellStyle name="Total 3 5 3 2 5" xfId="8673"/>
    <cellStyle name="Total 3 5 3 3" xfId="2037"/>
    <cellStyle name="Total 3 5 3 3 2" xfId="5457"/>
    <cellStyle name="Total 3 5 3 3 2 2" xfId="12297"/>
    <cellStyle name="Total 3 5 3 3 3" xfId="8877"/>
    <cellStyle name="Total 3 5 3 4" xfId="3177"/>
    <cellStyle name="Total 3 5 3 4 2" xfId="6597"/>
    <cellStyle name="Total 3 5 3 4 2 2" xfId="13437"/>
    <cellStyle name="Total 3 5 3 4 3" xfId="10017"/>
    <cellStyle name="Total 3 5 3 5" xfId="4317"/>
    <cellStyle name="Total 3 5 3 5 2" xfId="11157"/>
    <cellStyle name="Total 3 5 3 6" xfId="7737"/>
    <cellStyle name="Total 3 5 4" xfId="38252"/>
    <cellStyle name="Total 3 5 5" xfId="60548"/>
    <cellStyle name="Total 3 5 6" xfId="60549"/>
    <cellStyle name="Total 3 6" xfId="436"/>
    <cellStyle name="Total 3 6 2" xfId="526"/>
    <cellStyle name="Total 3 6 2 2" xfId="1530"/>
    <cellStyle name="Total 3 6 2 2 2" xfId="845"/>
    <cellStyle name="Total 3 6 2 2 2 2" xfId="2536"/>
    <cellStyle name="Total 3 6 2 2 2 2 2" xfId="5956"/>
    <cellStyle name="Total 3 6 2 2 2 2 2 2" xfId="12796"/>
    <cellStyle name="Total 3 6 2 2 2 2 3" xfId="9376"/>
    <cellStyle name="Total 3 6 2 2 2 3" xfId="3676"/>
    <cellStyle name="Total 3 6 2 2 2 3 2" xfId="7096"/>
    <cellStyle name="Total 3 6 2 2 2 3 2 2" xfId="13936"/>
    <cellStyle name="Total 3 6 2 2 2 3 3" xfId="10516"/>
    <cellStyle name="Total 3 6 2 2 2 4" xfId="4816"/>
    <cellStyle name="Total 3 6 2 2 2 4 2" xfId="11656"/>
    <cellStyle name="Total 3 6 2 2 2 5" xfId="8236"/>
    <cellStyle name="Total 3 6 2 2 3" xfId="2351"/>
    <cellStyle name="Total 3 6 2 2 3 2" xfId="5771"/>
    <cellStyle name="Total 3 6 2 2 3 2 2" xfId="12611"/>
    <cellStyle name="Total 3 6 2 2 3 3" xfId="9191"/>
    <cellStyle name="Total 3 6 2 2 4" xfId="3491"/>
    <cellStyle name="Total 3 6 2 2 4 2" xfId="6911"/>
    <cellStyle name="Total 3 6 2 2 4 2 2" xfId="13751"/>
    <cellStyle name="Total 3 6 2 2 4 3" xfId="10331"/>
    <cellStyle name="Total 3 6 2 2 5" xfId="4631"/>
    <cellStyle name="Total 3 6 2 2 5 2" xfId="11471"/>
    <cellStyle name="Total 3 6 2 2 6" xfId="8051"/>
    <cellStyle name="Total 3 6 2 3" xfId="38446"/>
    <cellStyle name="Total 3 6 2 4" xfId="60550"/>
    <cellStyle name="Total 3 6 2 5" xfId="60551"/>
    <cellStyle name="Total 3 6 2 6" xfId="60552"/>
    <cellStyle name="Total 3 6 3" xfId="1440"/>
    <cellStyle name="Total 3 6 3 2" xfId="889"/>
    <cellStyle name="Total 3 6 3 2 2" xfId="2138"/>
    <cellStyle name="Total 3 6 3 2 2 2" xfId="5558"/>
    <cellStyle name="Total 3 6 3 2 2 2 2" xfId="12398"/>
    <cellStyle name="Total 3 6 3 2 2 3" xfId="8978"/>
    <cellStyle name="Total 3 6 3 2 3" xfId="3278"/>
    <cellStyle name="Total 3 6 3 2 3 2" xfId="6698"/>
    <cellStyle name="Total 3 6 3 2 3 2 2" xfId="13538"/>
    <cellStyle name="Total 3 6 3 2 3 3" xfId="10118"/>
    <cellStyle name="Total 3 6 3 2 4" xfId="4418"/>
    <cellStyle name="Total 3 6 3 2 4 2" xfId="11258"/>
    <cellStyle name="Total 3 6 3 2 5" xfId="7838"/>
    <cellStyle name="Total 3 6 3 3" xfId="2261"/>
    <cellStyle name="Total 3 6 3 3 2" xfId="5681"/>
    <cellStyle name="Total 3 6 3 3 2 2" xfId="12521"/>
    <cellStyle name="Total 3 6 3 3 3" xfId="9101"/>
    <cellStyle name="Total 3 6 3 4" xfId="3401"/>
    <cellStyle name="Total 3 6 3 4 2" xfId="6821"/>
    <cellStyle name="Total 3 6 3 4 2 2" xfId="13661"/>
    <cellStyle name="Total 3 6 3 4 3" xfId="10241"/>
    <cellStyle name="Total 3 6 3 5" xfId="4541"/>
    <cellStyle name="Total 3 6 3 5 2" xfId="11381"/>
    <cellStyle name="Total 3 6 3 6" xfId="7961"/>
    <cellStyle name="Total 3 6 4" xfId="38399"/>
    <cellStyle name="Total 3 6 5" xfId="60553"/>
    <cellStyle name="Total 3 6 6" xfId="60554"/>
    <cellStyle name="Total 3 6 7" xfId="60555"/>
    <cellStyle name="Total 3 7" xfId="409"/>
    <cellStyle name="Total 3 7 2" xfId="530"/>
    <cellStyle name="Total 3 7 2 2" xfId="1534"/>
    <cellStyle name="Total 3 7 2 2 2" xfId="1661"/>
    <cellStyle name="Total 3 7 2 2 2 2" xfId="2801"/>
    <cellStyle name="Total 3 7 2 2 2 2 2" xfId="6221"/>
    <cellStyle name="Total 3 7 2 2 2 2 2 2" xfId="13061"/>
    <cellStyle name="Total 3 7 2 2 2 2 3" xfId="9641"/>
    <cellStyle name="Total 3 7 2 2 2 3" xfId="3941"/>
    <cellStyle name="Total 3 7 2 2 2 3 2" xfId="7361"/>
    <cellStyle name="Total 3 7 2 2 2 3 2 2" xfId="14201"/>
    <cellStyle name="Total 3 7 2 2 2 3 3" xfId="10781"/>
    <cellStyle name="Total 3 7 2 2 2 4" xfId="5081"/>
    <cellStyle name="Total 3 7 2 2 2 4 2" xfId="11921"/>
    <cellStyle name="Total 3 7 2 2 2 5" xfId="8501"/>
    <cellStyle name="Total 3 7 2 2 3" xfId="2355"/>
    <cellStyle name="Total 3 7 2 2 3 2" xfId="5775"/>
    <cellStyle name="Total 3 7 2 2 3 2 2" xfId="12615"/>
    <cellStyle name="Total 3 7 2 2 3 3" xfId="9195"/>
    <cellStyle name="Total 3 7 2 2 4" xfId="3495"/>
    <cellStyle name="Total 3 7 2 2 4 2" xfId="6915"/>
    <cellStyle name="Total 3 7 2 2 4 2 2" xfId="13755"/>
    <cellStyle name="Total 3 7 2 2 4 3" xfId="10335"/>
    <cellStyle name="Total 3 7 2 2 5" xfId="4635"/>
    <cellStyle name="Total 3 7 2 2 5 2" xfId="11475"/>
    <cellStyle name="Total 3 7 2 2 6" xfId="8055"/>
    <cellStyle name="Total 3 7 2 3" xfId="38449"/>
    <cellStyle name="Total 3 7 2 4" xfId="60556"/>
    <cellStyle name="Total 3 7 2 5" xfId="60557"/>
    <cellStyle name="Total 3 7 2 6" xfId="60558"/>
    <cellStyle name="Total 3 7 3" xfId="1414"/>
    <cellStyle name="Total 3 7 3 2" xfId="902"/>
    <cellStyle name="Total 3 7 3 2 2" xfId="2687"/>
    <cellStyle name="Total 3 7 3 2 2 2" xfId="6107"/>
    <cellStyle name="Total 3 7 3 2 2 2 2" xfId="12947"/>
    <cellStyle name="Total 3 7 3 2 2 3" xfId="9527"/>
    <cellStyle name="Total 3 7 3 2 3" xfId="3827"/>
    <cellStyle name="Total 3 7 3 2 3 2" xfId="7247"/>
    <cellStyle name="Total 3 7 3 2 3 2 2" xfId="14087"/>
    <cellStyle name="Total 3 7 3 2 3 3" xfId="10667"/>
    <cellStyle name="Total 3 7 3 2 4" xfId="4967"/>
    <cellStyle name="Total 3 7 3 2 4 2" xfId="11807"/>
    <cellStyle name="Total 3 7 3 2 5" xfId="8387"/>
    <cellStyle name="Total 3 7 3 3" xfId="2235"/>
    <cellStyle name="Total 3 7 3 3 2" xfId="5655"/>
    <cellStyle name="Total 3 7 3 3 2 2" xfId="12495"/>
    <cellStyle name="Total 3 7 3 3 3" xfId="9075"/>
    <cellStyle name="Total 3 7 3 4" xfId="3375"/>
    <cellStyle name="Total 3 7 3 4 2" xfId="6795"/>
    <cellStyle name="Total 3 7 3 4 2 2" xfId="13635"/>
    <cellStyle name="Total 3 7 3 4 3" xfId="10215"/>
    <cellStyle name="Total 3 7 3 5" xfId="4515"/>
    <cellStyle name="Total 3 7 3 5 2" xfId="11355"/>
    <cellStyle name="Total 3 7 3 6" xfId="7935"/>
    <cellStyle name="Total 3 7 4" xfId="38385"/>
    <cellStyle name="Total 3 7 5" xfId="60559"/>
    <cellStyle name="Total 3 7 6" xfId="60560"/>
    <cellStyle name="Total 3 7 7" xfId="60561"/>
    <cellStyle name="Total 3 8" xfId="1103"/>
    <cellStyle name="Total 3 8 2" xfId="1075"/>
    <cellStyle name="Total 3 8 2 2" xfId="2655"/>
    <cellStyle name="Total 3 8 2 2 2" xfId="6075"/>
    <cellStyle name="Total 3 8 2 2 2 2" xfId="12915"/>
    <cellStyle name="Total 3 8 2 2 3" xfId="9495"/>
    <cellStyle name="Total 3 8 2 3" xfId="3795"/>
    <cellStyle name="Total 3 8 2 3 2" xfId="7215"/>
    <cellStyle name="Total 3 8 2 3 2 2" xfId="14055"/>
    <cellStyle name="Total 3 8 2 3 3" xfId="10635"/>
    <cellStyle name="Total 3 8 2 4" xfId="4935"/>
    <cellStyle name="Total 3 8 2 4 2" xfId="11775"/>
    <cellStyle name="Total 3 8 2 5" xfId="8355"/>
    <cellStyle name="Total 3 8 3" xfId="1910"/>
    <cellStyle name="Total 3 8 3 2" xfId="5330"/>
    <cellStyle name="Total 3 8 3 2 2" xfId="12170"/>
    <cellStyle name="Total 3 8 3 3" xfId="8750"/>
    <cellStyle name="Total 3 8 4" xfId="3050"/>
    <cellStyle name="Total 3 8 4 2" xfId="6470"/>
    <cellStyle name="Total 3 8 4 2 2" xfId="13310"/>
    <cellStyle name="Total 3 8 4 3" xfId="9890"/>
    <cellStyle name="Total 3 8 5" xfId="4190"/>
    <cellStyle name="Total 3 8 5 2" xfId="11030"/>
    <cellStyle name="Total 3 8 6" xfId="7610"/>
    <cellStyle name="Total 3 9" xfId="38189"/>
    <cellStyle name="Total 4" xfId="102"/>
    <cellStyle name="Total 4 2" xfId="161"/>
    <cellStyle name="Total 4 2 2" xfId="287"/>
    <cellStyle name="Total 4 2 2 2" xfId="696"/>
    <cellStyle name="Total 4 2 2 2 2" xfId="1647"/>
    <cellStyle name="Total 4 2 2 2 2 2" xfId="760"/>
    <cellStyle name="Total 4 2 2 2 2 2 2" xfId="2645"/>
    <cellStyle name="Total 4 2 2 2 2 2 2 2" xfId="6065"/>
    <cellStyle name="Total 4 2 2 2 2 2 2 2 2" xfId="12905"/>
    <cellStyle name="Total 4 2 2 2 2 2 2 3" xfId="9485"/>
    <cellStyle name="Total 4 2 2 2 2 2 3" xfId="3785"/>
    <cellStyle name="Total 4 2 2 2 2 2 3 2" xfId="7205"/>
    <cellStyle name="Total 4 2 2 2 2 2 3 2 2" xfId="14045"/>
    <cellStyle name="Total 4 2 2 2 2 2 3 3" xfId="10625"/>
    <cellStyle name="Total 4 2 2 2 2 2 4" xfId="4925"/>
    <cellStyle name="Total 4 2 2 2 2 2 4 2" xfId="11765"/>
    <cellStyle name="Total 4 2 2 2 2 2 5" xfId="8345"/>
    <cellStyle name="Total 4 2 2 2 2 3" xfId="2481"/>
    <cellStyle name="Total 4 2 2 2 2 3 2" xfId="5901"/>
    <cellStyle name="Total 4 2 2 2 2 3 2 2" xfId="12741"/>
    <cellStyle name="Total 4 2 2 2 2 3 3" xfId="9321"/>
    <cellStyle name="Total 4 2 2 2 2 4" xfId="3621"/>
    <cellStyle name="Total 4 2 2 2 2 4 2" xfId="7041"/>
    <cellStyle name="Total 4 2 2 2 2 4 2 2" xfId="13881"/>
    <cellStyle name="Total 4 2 2 2 2 4 3" xfId="10461"/>
    <cellStyle name="Total 4 2 2 2 2 5" xfId="4761"/>
    <cellStyle name="Total 4 2 2 2 2 5 2" xfId="11601"/>
    <cellStyle name="Total 4 2 2 2 2 6" xfId="8181"/>
    <cellStyle name="Total 4 2 2 2 3" xfId="38540"/>
    <cellStyle name="Total 4 2 2 2 4" xfId="60562"/>
    <cellStyle name="Total 4 2 2 2 5" xfId="60563"/>
    <cellStyle name="Total 4 2 2 2 6" xfId="60564"/>
    <cellStyle name="Total 4 2 2 3" xfId="1293"/>
    <cellStyle name="Total 4 2 2 3 2" xfId="981"/>
    <cellStyle name="Total 4 2 2 3 2 2" xfId="1957"/>
    <cellStyle name="Total 4 2 2 3 2 2 2" xfId="5377"/>
    <cellStyle name="Total 4 2 2 3 2 2 2 2" xfId="12217"/>
    <cellStyle name="Total 4 2 2 3 2 2 3" xfId="8797"/>
    <cellStyle name="Total 4 2 2 3 2 3" xfId="3097"/>
    <cellStyle name="Total 4 2 2 3 2 3 2" xfId="6517"/>
    <cellStyle name="Total 4 2 2 3 2 3 2 2" xfId="13357"/>
    <cellStyle name="Total 4 2 2 3 2 3 3" xfId="9937"/>
    <cellStyle name="Total 4 2 2 3 2 4" xfId="4237"/>
    <cellStyle name="Total 4 2 2 3 2 4 2" xfId="11077"/>
    <cellStyle name="Total 4 2 2 3 2 5" xfId="7657"/>
    <cellStyle name="Total 4 2 2 3 3" xfId="2113"/>
    <cellStyle name="Total 4 2 2 3 3 2" xfId="5533"/>
    <cellStyle name="Total 4 2 2 3 3 2 2" xfId="12373"/>
    <cellStyle name="Total 4 2 2 3 3 3" xfId="8953"/>
    <cellStyle name="Total 4 2 2 3 4" xfId="3253"/>
    <cellStyle name="Total 4 2 2 3 4 2" xfId="6673"/>
    <cellStyle name="Total 4 2 2 3 4 2 2" xfId="13513"/>
    <cellStyle name="Total 4 2 2 3 4 3" xfId="10093"/>
    <cellStyle name="Total 4 2 2 3 5" xfId="4393"/>
    <cellStyle name="Total 4 2 2 3 5 2" xfId="11233"/>
    <cellStyle name="Total 4 2 2 3 6" xfId="7813"/>
    <cellStyle name="Total 4 2 2 4" xfId="38303"/>
    <cellStyle name="Total 4 2 2 5" xfId="60565"/>
    <cellStyle name="Total 4 2 2 6" xfId="60566"/>
    <cellStyle name="Total 4 2 2 7" xfId="60567"/>
    <cellStyle name="Total 4 2 3" xfId="608"/>
    <cellStyle name="Total 4 2 3 2" xfId="1595"/>
    <cellStyle name="Total 4 2 3 2 2" xfId="812"/>
    <cellStyle name="Total 4 2 3 2 2 2" xfId="2496"/>
    <cellStyle name="Total 4 2 3 2 2 2 2" xfId="5916"/>
    <cellStyle name="Total 4 2 3 2 2 2 2 2" xfId="12756"/>
    <cellStyle name="Total 4 2 3 2 2 2 3" xfId="9336"/>
    <cellStyle name="Total 4 2 3 2 2 3" xfId="3636"/>
    <cellStyle name="Total 4 2 3 2 2 3 2" xfId="7056"/>
    <cellStyle name="Total 4 2 3 2 2 3 2 2" xfId="13896"/>
    <cellStyle name="Total 4 2 3 2 2 3 3" xfId="10476"/>
    <cellStyle name="Total 4 2 3 2 2 4" xfId="4776"/>
    <cellStyle name="Total 4 2 3 2 2 4 2" xfId="11616"/>
    <cellStyle name="Total 4 2 3 2 2 5" xfId="8196"/>
    <cellStyle name="Total 4 2 3 2 3" xfId="2420"/>
    <cellStyle name="Total 4 2 3 2 3 2" xfId="5840"/>
    <cellStyle name="Total 4 2 3 2 3 2 2" xfId="12680"/>
    <cellStyle name="Total 4 2 3 2 3 3" xfId="9260"/>
    <cellStyle name="Total 4 2 3 2 4" xfId="3560"/>
    <cellStyle name="Total 4 2 3 2 4 2" xfId="6980"/>
    <cellStyle name="Total 4 2 3 2 4 2 2" xfId="13820"/>
    <cellStyle name="Total 4 2 3 2 4 3" xfId="10400"/>
    <cellStyle name="Total 4 2 3 2 5" xfId="4700"/>
    <cellStyle name="Total 4 2 3 2 5 2" xfId="11540"/>
    <cellStyle name="Total 4 2 3 2 6" xfId="8120"/>
    <cellStyle name="Total 4 2 3 3" xfId="38489"/>
    <cellStyle name="Total 4 2 3 4" xfId="60568"/>
    <cellStyle name="Total 4 2 3 5" xfId="60569"/>
    <cellStyle name="Total 4 2 3 6" xfId="60570"/>
    <cellStyle name="Total 4 2 4" xfId="1169"/>
    <cellStyle name="Total 4 2 4 2" xfId="1841"/>
    <cellStyle name="Total 4 2 4 2 2" xfId="2981"/>
    <cellStyle name="Total 4 2 4 2 2 2" xfId="6401"/>
    <cellStyle name="Total 4 2 4 2 2 2 2" xfId="13241"/>
    <cellStyle name="Total 4 2 4 2 2 3" xfId="9821"/>
    <cellStyle name="Total 4 2 4 2 3" xfId="4121"/>
    <cellStyle name="Total 4 2 4 2 3 2" xfId="7541"/>
    <cellStyle name="Total 4 2 4 2 3 2 2" xfId="14381"/>
    <cellStyle name="Total 4 2 4 2 3 3" xfId="10961"/>
    <cellStyle name="Total 4 2 4 2 4" xfId="5261"/>
    <cellStyle name="Total 4 2 4 2 4 2" xfId="12101"/>
    <cellStyle name="Total 4 2 4 2 5" xfId="8681"/>
    <cellStyle name="Total 4 2 4 3" xfId="1988"/>
    <cellStyle name="Total 4 2 4 3 2" xfId="5408"/>
    <cellStyle name="Total 4 2 4 3 2 2" xfId="12248"/>
    <cellStyle name="Total 4 2 4 3 3" xfId="8828"/>
    <cellStyle name="Total 4 2 4 4" xfId="3128"/>
    <cellStyle name="Total 4 2 4 4 2" xfId="6548"/>
    <cellStyle name="Total 4 2 4 4 2 2" xfId="13388"/>
    <cellStyle name="Total 4 2 4 4 3" xfId="9968"/>
    <cellStyle name="Total 4 2 4 5" xfId="4268"/>
    <cellStyle name="Total 4 2 4 5 2" xfId="11108"/>
    <cellStyle name="Total 4 2 4 6" xfId="7688"/>
    <cellStyle name="Total 4 2 5" xfId="38225"/>
    <cellStyle name="Total 4 2 6" xfId="60571"/>
    <cellStyle name="Total 4 2 7" xfId="60572"/>
    <cellStyle name="Total 4 3" xfId="327"/>
    <cellStyle name="Total 4 3 2" xfId="390"/>
    <cellStyle name="Total 4 3 2 2" xfId="1395"/>
    <cellStyle name="Total 4 3 2 2 2" xfId="911"/>
    <cellStyle name="Total 4 3 2 2 2 2" xfId="2780"/>
    <cellStyle name="Total 4 3 2 2 2 2 2" xfId="6200"/>
    <cellStyle name="Total 4 3 2 2 2 2 2 2" xfId="13040"/>
    <cellStyle name="Total 4 3 2 2 2 2 3" xfId="9620"/>
    <cellStyle name="Total 4 3 2 2 2 3" xfId="3920"/>
    <cellStyle name="Total 4 3 2 2 2 3 2" xfId="7340"/>
    <cellStyle name="Total 4 3 2 2 2 3 2 2" xfId="14180"/>
    <cellStyle name="Total 4 3 2 2 2 3 3" xfId="10760"/>
    <cellStyle name="Total 4 3 2 2 2 4" xfId="5060"/>
    <cellStyle name="Total 4 3 2 2 2 4 2" xfId="11900"/>
    <cellStyle name="Total 4 3 2 2 2 5" xfId="8480"/>
    <cellStyle name="Total 4 3 2 2 3" xfId="2216"/>
    <cellStyle name="Total 4 3 2 2 3 2" xfId="5636"/>
    <cellStyle name="Total 4 3 2 2 3 2 2" xfId="12476"/>
    <cellStyle name="Total 4 3 2 2 3 3" xfId="9056"/>
    <cellStyle name="Total 4 3 2 2 4" xfId="3356"/>
    <cellStyle name="Total 4 3 2 2 4 2" xfId="6776"/>
    <cellStyle name="Total 4 3 2 2 4 2 2" xfId="13616"/>
    <cellStyle name="Total 4 3 2 2 4 3" xfId="10196"/>
    <cellStyle name="Total 4 3 2 2 5" xfId="4496"/>
    <cellStyle name="Total 4 3 2 2 5 2" xfId="11336"/>
    <cellStyle name="Total 4 3 2 2 6" xfId="7916"/>
    <cellStyle name="Total 4 3 2 3" xfId="38372"/>
    <cellStyle name="Total 4 3 2 4" xfId="60573"/>
    <cellStyle name="Total 4 3 2 5" xfId="60574"/>
    <cellStyle name="Total 4 3 2 6" xfId="60575"/>
    <cellStyle name="Total 4 3 3" xfId="1332"/>
    <cellStyle name="Total 4 3 3 2" xfId="960"/>
    <cellStyle name="Total 4 3 3 2 2" xfId="2557"/>
    <cellStyle name="Total 4 3 3 2 2 2" xfId="5977"/>
    <cellStyle name="Total 4 3 3 2 2 2 2" xfId="12817"/>
    <cellStyle name="Total 4 3 3 2 2 3" xfId="9397"/>
    <cellStyle name="Total 4 3 3 2 3" xfId="3697"/>
    <cellStyle name="Total 4 3 3 2 3 2" xfId="7117"/>
    <cellStyle name="Total 4 3 3 2 3 2 2" xfId="13957"/>
    <cellStyle name="Total 4 3 3 2 3 3" xfId="10537"/>
    <cellStyle name="Total 4 3 3 2 4" xfId="4837"/>
    <cellStyle name="Total 4 3 3 2 4 2" xfId="11677"/>
    <cellStyle name="Total 4 3 3 2 5" xfId="8257"/>
    <cellStyle name="Total 4 3 3 3" xfId="2153"/>
    <cellStyle name="Total 4 3 3 3 2" xfId="5573"/>
    <cellStyle name="Total 4 3 3 3 2 2" xfId="12413"/>
    <cellStyle name="Total 4 3 3 3 3" xfId="8993"/>
    <cellStyle name="Total 4 3 3 4" xfId="3293"/>
    <cellStyle name="Total 4 3 3 4 2" xfId="6713"/>
    <cellStyle name="Total 4 3 3 4 2 2" xfId="13553"/>
    <cellStyle name="Total 4 3 3 4 3" xfId="10133"/>
    <cellStyle name="Total 4 3 3 5" xfId="4433"/>
    <cellStyle name="Total 4 3 3 5 2" xfId="11273"/>
    <cellStyle name="Total 4 3 3 6" xfId="7853"/>
    <cellStyle name="Total 4 3 4" xfId="38324"/>
    <cellStyle name="Total 4 3 5" xfId="60576"/>
    <cellStyle name="Total 4 3 6" xfId="60577"/>
    <cellStyle name="Total 4 4" xfId="234"/>
    <cellStyle name="Total 4 4 2" xfId="397"/>
    <cellStyle name="Total 4 4 2 2" xfId="1402"/>
    <cellStyle name="Total 4 4 2 2 2" xfId="908"/>
    <cellStyle name="Total 4 4 2 2 2 2" xfId="2495"/>
    <cellStyle name="Total 4 4 2 2 2 2 2" xfId="5915"/>
    <cellStyle name="Total 4 4 2 2 2 2 2 2" xfId="12755"/>
    <cellStyle name="Total 4 4 2 2 2 2 3" xfId="9335"/>
    <cellStyle name="Total 4 4 2 2 2 3" xfId="3635"/>
    <cellStyle name="Total 4 4 2 2 2 3 2" xfId="7055"/>
    <cellStyle name="Total 4 4 2 2 2 3 2 2" xfId="13895"/>
    <cellStyle name="Total 4 4 2 2 2 3 3" xfId="10475"/>
    <cellStyle name="Total 4 4 2 2 2 4" xfId="4775"/>
    <cellStyle name="Total 4 4 2 2 2 4 2" xfId="11615"/>
    <cellStyle name="Total 4 4 2 2 2 5" xfId="8195"/>
    <cellStyle name="Total 4 4 2 2 3" xfId="2223"/>
    <cellStyle name="Total 4 4 2 2 3 2" xfId="5643"/>
    <cellStyle name="Total 4 4 2 2 3 2 2" xfId="12483"/>
    <cellStyle name="Total 4 4 2 2 3 3" xfId="9063"/>
    <cellStyle name="Total 4 4 2 2 4" xfId="3363"/>
    <cellStyle name="Total 4 4 2 2 4 2" xfId="6783"/>
    <cellStyle name="Total 4 4 2 2 4 2 2" xfId="13623"/>
    <cellStyle name="Total 4 4 2 2 4 3" xfId="10203"/>
    <cellStyle name="Total 4 4 2 2 5" xfId="4503"/>
    <cellStyle name="Total 4 4 2 2 5 2" xfId="11343"/>
    <cellStyle name="Total 4 4 2 2 6" xfId="7923"/>
    <cellStyle name="Total 4 4 2 3" xfId="38376"/>
    <cellStyle name="Total 4 4 2 4" xfId="60578"/>
    <cellStyle name="Total 4 4 2 5" xfId="60579"/>
    <cellStyle name="Total 4 4 2 6" xfId="60580"/>
    <cellStyle name="Total 4 4 3" xfId="1241"/>
    <cellStyle name="Total 4 4 3 2" xfId="1007"/>
    <cellStyle name="Total 4 4 3 2 2" xfId="2512"/>
    <cellStyle name="Total 4 4 3 2 2 2" xfId="5932"/>
    <cellStyle name="Total 4 4 3 2 2 2 2" xfId="12772"/>
    <cellStyle name="Total 4 4 3 2 2 3" xfId="9352"/>
    <cellStyle name="Total 4 4 3 2 3" xfId="3652"/>
    <cellStyle name="Total 4 4 3 2 3 2" xfId="7072"/>
    <cellStyle name="Total 4 4 3 2 3 2 2" xfId="13912"/>
    <cellStyle name="Total 4 4 3 2 3 3" xfId="10492"/>
    <cellStyle name="Total 4 4 3 2 4" xfId="4792"/>
    <cellStyle name="Total 4 4 3 2 4 2" xfId="11632"/>
    <cellStyle name="Total 4 4 3 2 5" xfId="8212"/>
    <cellStyle name="Total 4 4 3 3" xfId="2061"/>
    <cellStyle name="Total 4 4 3 3 2" xfId="5481"/>
    <cellStyle name="Total 4 4 3 3 2 2" xfId="12321"/>
    <cellStyle name="Total 4 4 3 3 3" xfId="8901"/>
    <cellStyle name="Total 4 4 3 4" xfId="3201"/>
    <cellStyle name="Total 4 4 3 4 2" xfId="6621"/>
    <cellStyle name="Total 4 4 3 4 2 2" xfId="13461"/>
    <cellStyle name="Total 4 4 3 4 3" xfId="10041"/>
    <cellStyle name="Total 4 4 3 5" xfId="4341"/>
    <cellStyle name="Total 4 4 3 5 2" xfId="11181"/>
    <cellStyle name="Total 4 4 3 6" xfId="7761"/>
    <cellStyle name="Total 4 4 4" xfId="38261"/>
    <cellStyle name="Total 4 4 5" xfId="60581"/>
    <cellStyle name="Total 4 4 6" xfId="60582"/>
    <cellStyle name="Total 4 5" xfId="492"/>
    <cellStyle name="Total 4 5 2" xfId="525"/>
    <cellStyle name="Total 4 5 2 2" xfId="1529"/>
    <cellStyle name="Total 4 5 2 2 2" xfId="1873"/>
    <cellStyle name="Total 4 5 2 2 2 2" xfId="3013"/>
    <cellStyle name="Total 4 5 2 2 2 2 2" xfId="6433"/>
    <cellStyle name="Total 4 5 2 2 2 2 2 2" xfId="13273"/>
    <cellStyle name="Total 4 5 2 2 2 2 3" xfId="9853"/>
    <cellStyle name="Total 4 5 2 2 2 3" xfId="4153"/>
    <cellStyle name="Total 4 5 2 2 2 3 2" xfId="7573"/>
    <cellStyle name="Total 4 5 2 2 2 3 2 2" xfId="14413"/>
    <cellStyle name="Total 4 5 2 2 2 3 3" xfId="10993"/>
    <cellStyle name="Total 4 5 2 2 2 4" xfId="5293"/>
    <cellStyle name="Total 4 5 2 2 2 4 2" xfId="12133"/>
    <cellStyle name="Total 4 5 2 2 2 5" xfId="8713"/>
    <cellStyle name="Total 4 5 2 2 3" xfId="2350"/>
    <cellStyle name="Total 4 5 2 2 3 2" xfId="5770"/>
    <cellStyle name="Total 4 5 2 2 3 2 2" xfId="12610"/>
    <cellStyle name="Total 4 5 2 2 3 3" xfId="9190"/>
    <cellStyle name="Total 4 5 2 2 4" xfId="3490"/>
    <cellStyle name="Total 4 5 2 2 4 2" xfId="6910"/>
    <cellStyle name="Total 4 5 2 2 4 2 2" xfId="13750"/>
    <cellStyle name="Total 4 5 2 2 4 3" xfId="10330"/>
    <cellStyle name="Total 4 5 2 2 5" xfId="4630"/>
    <cellStyle name="Total 4 5 2 2 5 2" xfId="11470"/>
    <cellStyle name="Total 4 5 2 2 6" xfId="8050"/>
    <cellStyle name="Total 4 5 2 3" xfId="38445"/>
    <cellStyle name="Total 4 5 2 4" xfId="60583"/>
    <cellStyle name="Total 4 5 2 5" xfId="60584"/>
    <cellStyle name="Total 4 5 2 6" xfId="60585"/>
    <cellStyle name="Total 4 5 3" xfId="1496"/>
    <cellStyle name="Total 4 5 3 2" xfId="1781"/>
    <cellStyle name="Total 4 5 3 2 2" xfId="2921"/>
    <cellStyle name="Total 4 5 3 2 2 2" xfId="6341"/>
    <cellStyle name="Total 4 5 3 2 2 2 2" xfId="13181"/>
    <cellStyle name="Total 4 5 3 2 2 3" xfId="9761"/>
    <cellStyle name="Total 4 5 3 2 3" xfId="4061"/>
    <cellStyle name="Total 4 5 3 2 3 2" xfId="7481"/>
    <cellStyle name="Total 4 5 3 2 3 2 2" xfId="14321"/>
    <cellStyle name="Total 4 5 3 2 3 3" xfId="10901"/>
    <cellStyle name="Total 4 5 3 2 4" xfId="5201"/>
    <cellStyle name="Total 4 5 3 2 4 2" xfId="12041"/>
    <cellStyle name="Total 4 5 3 2 5" xfId="8621"/>
    <cellStyle name="Total 4 5 3 3" xfId="2317"/>
    <cellStyle name="Total 4 5 3 3 2" xfId="5737"/>
    <cellStyle name="Total 4 5 3 3 2 2" xfId="12577"/>
    <cellStyle name="Total 4 5 3 3 3" xfId="9157"/>
    <cellStyle name="Total 4 5 3 4" xfId="3457"/>
    <cellStyle name="Total 4 5 3 4 2" xfId="6877"/>
    <cellStyle name="Total 4 5 3 4 2 2" xfId="13717"/>
    <cellStyle name="Total 4 5 3 4 3" xfId="10297"/>
    <cellStyle name="Total 4 5 3 5" xfId="4597"/>
    <cellStyle name="Total 4 5 3 5 2" xfId="11437"/>
    <cellStyle name="Total 4 5 3 6" xfId="8017"/>
    <cellStyle name="Total 4 5 4" xfId="38431"/>
    <cellStyle name="Total 4 5 5" xfId="60586"/>
    <cellStyle name="Total 4 5 6" xfId="60587"/>
    <cellStyle name="Total 4 5 7" xfId="60588"/>
    <cellStyle name="Total 4 6" xfId="512"/>
    <cellStyle name="Total 4 6 2" xfId="418"/>
    <cellStyle name="Total 4 6 2 2" xfId="1423"/>
    <cellStyle name="Total 4 6 2 2 2" xfId="897"/>
    <cellStyle name="Total 4 6 2 2 2 2" xfId="2632"/>
    <cellStyle name="Total 4 6 2 2 2 2 2" xfId="6052"/>
    <cellStyle name="Total 4 6 2 2 2 2 2 2" xfId="12892"/>
    <cellStyle name="Total 4 6 2 2 2 2 3" xfId="9472"/>
    <cellStyle name="Total 4 6 2 2 2 3" xfId="3772"/>
    <cellStyle name="Total 4 6 2 2 2 3 2" xfId="7192"/>
    <cellStyle name="Total 4 6 2 2 2 3 2 2" xfId="14032"/>
    <cellStyle name="Total 4 6 2 2 2 3 3" xfId="10612"/>
    <cellStyle name="Total 4 6 2 2 2 4" xfId="4912"/>
    <cellStyle name="Total 4 6 2 2 2 4 2" xfId="11752"/>
    <cellStyle name="Total 4 6 2 2 2 5" xfId="8332"/>
    <cellStyle name="Total 4 6 2 2 3" xfId="2244"/>
    <cellStyle name="Total 4 6 2 2 3 2" xfId="5664"/>
    <cellStyle name="Total 4 6 2 2 3 2 2" xfId="12504"/>
    <cellStyle name="Total 4 6 2 2 3 3" xfId="9084"/>
    <cellStyle name="Total 4 6 2 2 4" xfId="3384"/>
    <cellStyle name="Total 4 6 2 2 4 2" xfId="6804"/>
    <cellStyle name="Total 4 6 2 2 4 2 2" xfId="13644"/>
    <cellStyle name="Total 4 6 2 2 4 3" xfId="10224"/>
    <cellStyle name="Total 4 6 2 2 5" xfId="4524"/>
    <cellStyle name="Total 4 6 2 2 5 2" xfId="11364"/>
    <cellStyle name="Total 4 6 2 2 6" xfId="7944"/>
    <cellStyle name="Total 4 6 2 3" xfId="38390"/>
    <cellStyle name="Total 4 6 2 4" xfId="60589"/>
    <cellStyle name="Total 4 6 2 5" xfId="60590"/>
    <cellStyle name="Total 4 6 2 6" xfId="60591"/>
    <cellStyle name="Total 4 6 3" xfId="1516"/>
    <cellStyle name="Total 4 6 3 2" xfId="851"/>
    <cellStyle name="Total 4 6 3 2 2" xfId="2681"/>
    <cellStyle name="Total 4 6 3 2 2 2" xfId="6101"/>
    <cellStyle name="Total 4 6 3 2 2 2 2" xfId="12941"/>
    <cellStyle name="Total 4 6 3 2 2 3" xfId="9521"/>
    <cellStyle name="Total 4 6 3 2 3" xfId="3821"/>
    <cellStyle name="Total 4 6 3 2 3 2" xfId="7241"/>
    <cellStyle name="Total 4 6 3 2 3 2 2" xfId="14081"/>
    <cellStyle name="Total 4 6 3 2 3 3" xfId="10661"/>
    <cellStyle name="Total 4 6 3 2 4" xfId="4961"/>
    <cellStyle name="Total 4 6 3 2 4 2" xfId="11801"/>
    <cellStyle name="Total 4 6 3 2 5" xfId="8381"/>
    <cellStyle name="Total 4 6 3 3" xfId="2337"/>
    <cellStyle name="Total 4 6 3 3 2" xfId="5757"/>
    <cellStyle name="Total 4 6 3 3 2 2" xfId="12597"/>
    <cellStyle name="Total 4 6 3 3 3" xfId="9177"/>
    <cellStyle name="Total 4 6 3 4" xfId="3477"/>
    <cellStyle name="Total 4 6 3 4 2" xfId="6897"/>
    <cellStyle name="Total 4 6 3 4 2 2" xfId="13737"/>
    <cellStyle name="Total 4 6 3 4 3" xfId="10317"/>
    <cellStyle name="Total 4 6 3 5" xfId="4617"/>
    <cellStyle name="Total 4 6 3 5 2" xfId="11457"/>
    <cellStyle name="Total 4 6 3 6" xfId="8037"/>
    <cellStyle name="Total 4 6 4" xfId="38439"/>
    <cellStyle name="Total 4 6 5" xfId="60592"/>
    <cellStyle name="Total 4 6 6" xfId="60593"/>
    <cellStyle name="Total 4 6 7" xfId="60594"/>
    <cellStyle name="Total 4 7" xfId="1118"/>
    <cellStyle name="Total 4 7 2" xfId="1067"/>
    <cellStyle name="Total 4 7 2 2" xfId="2782"/>
    <cellStyle name="Total 4 7 2 2 2" xfId="6202"/>
    <cellStyle name="Total 4 7 2 2 2 2" xfId="13042"/>
    <cellStyle name="Total 4 7 2 2 3" xfId="9622"/>
    <cellStyle name="Total 4 7 2 3" xfId="3922"/>
    <cellStyle name="Total 4 7 2 3 2" xfId="7342"/>
    <cellStyle name="Total 4 7 2 3 2 2" xfId="14182"/>
    <cellStyle name="Total 4 7 2 3 3" xfId="10762"/>
    <cellStyle name="Total 4 7 2 4" xfId="5062"/>
    <cellStyle name="Total 4 7 2 4 2" xfId="11902"/>
    <cellStyle name="Total 4 7 2 5" xfId="8482"/>
    <cellStyle name="Total 4 7 3" xfId="1932"/>
    <cellStyle name="Total 4 7 3 2" xfId="5352"/>
    <cellStyle name="Total 4 7 3 2 2" xfId="12192"/>
    <cellStyle name="Total 4 7 3 3" xfId="8772"/>
    <cellStyle name="Total 4 7 4" xfId="3072"/>
    <cellStyle name="Total 4 7 4 2" xfId="6492"/>
    <cellStyle name="Total 4 7 4 2 2" xfId="13332"/>
    <cellStyle name="Total 4 7 4 3" xfId="9912"/>
    <cellStyle name="Total 4 7 5" xfId="4212"/>
    <cellStyle name="Total 4 7 5 2" xfId="11052"/>
    <cellStyle name="Total 4 7 6" xfId="7632"/>
    <cellStyle name="Total 4 8" xfId="38195"/>
    <cellStyle name="Total 4 9" xfId="60595"/>
    <cellStyle name="Total 5" xfId="111"/>
    <cellStyle name="Total 5 10" xfId="60596"/>
    <cellStyle name="Total 5 2" xfId="170"/>
    <cellStyle name="Total 5 2 2" xfId="296"/>
    <cellStyle name="Total 5 2 2 2" xfId="705"/>
    <cellStyle name="Total 5 2 2 2 2" xfId="1656"/>
    <cellStyle name="Total 5 2 2 2 2 2" xfId="751"/>
    <cellStyle name="Total 5 2 2 2 2 2 2" xfId="2038"/>
    <cellStyle name="Total 5 2 2 2 2 2 2 2" xfId="5458"/>
    <cellStyle name="Total 5 2 2 2 2 2 2 2 2" xfId="12298"/>
    <cellStyle name="Total 5 2 2 2 2 2 2 3" xfId="8878"/>
    <cellStyle name="Total 5 2 2 2 2 2 3" xfId="3178"/>
    <cellStyle name="Total 5 2 2 2 2 2 3 2" xfId="6598"/>
    <cellStyle name="Total 5 2 2 2 2 2 3 2 2" xfId="13438"/>
    <cellStyle name="Total 5 2 2 2 2 2 3 3" xfId="10018"/>
    <cellStyle name="Total 5 2 2 2 2 2 4" xfId="4318"/>
    <cellStyle name="Total 5 2 2 2 2 2 4 2" xfId="11158"/>
    <cellStyle name="Total 5 2 2 2 2 2 5" xfId="7738"/>
    <cellStyle name="Total 5 2 2 2 2 3" xfId="2490"/>
    <cellStyle name="Total 5 2 2 2 2 3 2" xfId="5910"/>
    <cellStyle name="Total 5 2 2 2 2 3 2 2" xfId="12750"/>
    <cellStyle name="Total 5 2 2 2 2 3 3" xfId="9330"/>
    <cellStyle name="Total 5 2 2 2 2 4" xfId="3630"/>
    <cellStyle name="Total 5 2 2 2 2 4 2" xfId="7050"/>
    <cellStyle name="Total 5 2 2 2 2 4 2 2" xfId="13890"/>
    <cellStyle name="Total 5 2 2 2 2 4 3" xfId="10470"/>
    <cellStyle name="Total 5 2 2 2 2 5" xfId="4770"/>
    <cellStyle name="Total 5 2 2 2 2 5 2" xfId="11610"/>
    <cellStyle name="Total 5 2 2 2 2 6" xfId="8190"/>
    <cellStyle name="Total 5 2 2 2 3" xfId="38549"/>
    <cellStyle name="Total 5 2 2 2 4" xfId="60597"/>
    <cellStyle name="Total 5 2 2 2 5" xfId="60598"/>
    <cellStyle name="Total 5 2 2 2 6" xfId="60599"/>
    <cellStyle name="Total 5 2 2 3" xfId="1302"/>
    <cellStyle name="Total 5 2 2 3 2" xfId="1668"/>
    <cellStyle name="Total 5 2 2 3 2 2" xfId="2808"/>
    <cellStyle name="Total 5 2 2 3 2 2 2" xfId="6228"/>
    <cellStyle name="Total 5 2 2 3 2 2 2 2" xfId="13068"/>
    <cellStyle name="Total 5 2 2 3 2 2 3" xfId="9648"/>
    <cellStyle name="Total 5 2 2 3 2 3" xfId="3948"/>
    <cellStyle name="Total 5 2 2 3 2 3 2" xfId="7368"/>
    <cellStyle name="Total 5 2 2 3 2 3 2 2" xfId="14208"/>
    <cellStyle name="Total 5 2 2 3 2 3 3" xfId="10788"/>
    <cellStyle name="Total 5 2 2 3 2 4" xfId="5088"/>
    <cellStyle name="Total 5 2 2 3 2 4 2" xfId="11928"/>
    <cellStyle name="Total 5 2 2 3 2 5" xfId="8508"/>
    <cellStyle name="Total 5 2 2 3 3" xfId="2122"/>
    <cellStyle name="Total 5 2 2 3 3 2" xfId="5542"/>
    <cellStyle name="Total 5 2 2 3 3 2 2" xfId="12382"/>
    <cellStyle name="Total 5 2 2 3 3 3" xfId="8962"/>
    <cellStyle name="Total 5 2 2 3 4" xfId="3262"/>
    <cellStyle name="Total 5 2 2 3 4 2" xfId="6682"/>
    <cellStyle name="Total 5 2 2 3 4 2 2" xfId="13522"/>
    <cellStyle name="Total 5 2 2 3 4 3" xfId="10102"/>
    <cellStyle name="Total 5 2 2 3 5" xfId="4402"/>
    <cellStyle name="Total 5 2 2 3 5 2" xfId="11242"/>
    <cellStyle name="Total 5 2 2 3 6" xfId="7822"/>
    <cellStyle name="Total 5 2 2 4" xfId="38312"/>
    <cellStyle name="Total 5 2 2 5" xfId="60600"/>
    <cellStyle name="Total 5 2 2 6" xfId="60601"/>
    <cellStyle name="Total 5 2 2 7" xfId="60602"/>
    <cellStyle name="Total 5 2 3" xfId="617"/>
    <cellStyle name="Total 5 2 3 2" xfId="1604"/>
    <cellStyle name="Total 5 2 3 2 2" xfId="803"/>
    <cellStyle name="Total 5 2 3 2 2 2" xfId="2704"/>
    <cellStyle name="Total 5 2 3 2 2 2 2" xfId="6124"/>
    <cellStyle name="Total 5 2 3 2 2 2 2 2" xfId="12964"/>
    <cellStyle name="Total 5 2 3 2 2 2 3" xfId="9544"/>
    <cellStyle name="Total 5 2 3 2 2 3" xfId="3844"/>
    <cellStyle name="Total 5 2 3 2 2 3 2" xfId="7264"/>
    <cellStyle name="Total 5 2 3 2 2 3 2 2" xfId="14104"/>
    <cellStyle name="Total 5 2 3 2 2 3 3" xfId="10684"/>
    <cellStyle name="Total 5 2 3 2 2 4" xfId="4984"/>
    <cellStyle name="Total 5 2 3 2 2 4 2" xfId="11824"/>
    <cellStyle name="Total 5 2 3 2 2 5" xfId="8404"/>
    <cellStyle name="Total 5 2 3 2 3" xfId="2429"/>
    <cellStyle name="Total 5 2 3 2 3 2" xfId="5849"/>
    <cellStyle name="Total 5 2 3 2 3 2 2" xfId="12689"/>
    <cellStyle name="Total 5 2 3 2 3 3" xfId="9269"/>
    <cellStyle name="Total 5 2 3 2 4" xfId="3569"/>
    <cellStyle name="Total 5 2 3 2 4 2" xfId="6989"/>
    <cellStyle name="Total 5 2 3 2 4 2 2" xfId="13829"/>
    <cellStyle name="Total 5 2 3 2 4 3" xfId="10409"/>
    <cellStyle name="Total 5 2 3 2 5" xfId="4709"/>
    <cellStyle name="Total 5 2 3 2 5 2" xfId="11549"/>
    <cellStyle name="Total 5 2 3 2 6" xfId="8129"/>
    <cellStyle name="Total 5 2 3 3" xfId="38498"/>
    <cellStyle name="Total 5 2 3 4" xfId="60603"/>
    <cellStyle name="Total 5 2 3 5" xfId="60604"/>
    <cellStyle name="Total 5 2 3 6" xfId="60605"/>
    <cellStyle name="Total 5 2 4" xfId="1178"/>
    <cellStyle name="Total 5 2 4 2" xfId="1039"/>
    <cellStyle name="Total 5 2 4 2 2" xfId="2640"/>
    <cellStyle name="Total 5 2 4 2 2 2" xfId="6060"/>
    <cellStyle name="Total 5 2 4 2 2 2 2" xfId="12900"/>
    <cellStyle name="Total 5 2 4 2 2 3" xfId="9480"/>
    <cellStyle name="Total 5 2 4 2 3" xfId="3780"/>
    <cellStyle name="Total 5 2 4 2 3 2" xfId="7200"/>
    <cellStyle name="Total 5 2 4 2 3 2 2" xfId="14040"/>
    <cellStyle name="Total 5 2 4 2 3 3" xfId="10620"/>
    <cellStyle name="Total 5 2 4 2 4" xfId="4920"/>
    <cellStyle name="Total 5 2 4 2 4 2" xfId="11760"/>
    <cellStyle name="Total 5 2 4 2 5" xfId="8340"/>
    <cellStyle name="Total 5 2 4 3" xfId="1997"/>
    <cellStyle name="Total 5 2 4 3 2" xfId="5417"/>
    <cellStyle name="Total 5 2 4 3 2 2" xfId="12257"/>
    <cellStyle name="Total 5 2 4 3 3" xfId="8837"/>
    <cellStyle name="Total 5 2 4 4" xfId="3137"/>
    <cellStyle name="Total 5 2 4 4 2" xfId="6557"/>
    <cellStyle name="Total 5 2 4 4 2 2" xfId="13397"/>
    <cellStyle name="Total 5 2 4 4 3" xfId="9977"/>
    <cellStyle name="Total 5 2 4 5" xfId="4277"/>
    <cellStyle name="Total 5 2 4 5 2" xfId="11117"/>
    <cellStyle name="Total 5 2 4 6" xfId="7697"/>
    <cellStyle name="Total 5 2 5" xfId="38231"/>
    <cellStyle name="Total 5 2 6" xfId="60606"/>
    <cellStyle name="Total 5 2 7" xfId="60607"/>
    <cellStyle name="Total 5 2 8" xfId="60608"/>
    <cellStyle name="Total 5 3" xfId="336"/>
    <cellStyle name="Total 5 3 2" xfId="391"/>
    <cellStyle name="Total 5 3 2 2" xfId="1396"/>
    <cellStyle name="Total 5 3 2 2 2" xfId="910"/>
    <cellStyle name="Total 5 3 2 2 2 2" xfId="2669"/>
    <cellStyle name="Total 5 3 2 2 2 2 2" xfId="6089"/>
    <cellStyle name="Total 5 3 2 2 2 2 2 2" xfId="12929"/>
    <cellStyle name="Total 5 3 2 2 2 2 3" xfId="9509"/>
    <cellStyle name="Total 5 3 2 2 2 3" xfId="3809"/>
    <cellStyle name="Total 5 3 2 2 2 3 2" xfId="7229"/>
    <cellStyle name="Total 5 3 2 2 2 3 2 2" xfId="14069"/>
    <cellStyle name="Total 5 3 2 2 2 3 3" xfId="10649"/>
    <cellStyle name="Total 5 3 2 2 2 4" xfId="4949"/>
    <cellStyle name="Total 5 3 2 2 2 4 2" xfId="11789"/>
    <cellStyle name="Total 5 3 2 2 2 5" xfId="8369"/>
    <cellStyle name="Total 5 3 2 2 3" xfId="2217"/>
    <cellStyle name="Total 5 3 2 2 3 2" xfId="5637"/>
    <cellStyle name="Total 5 3 2 2 3 2 2" xfId="12477"/>
    <cellStyle name="Total 5 3 2 2 3 3" xfId="9057"/>
    <cellStyle name="Total 5 3 2 2 4" xfId="3357"/>
    <cellStyle name="Total 5 3 2 2 4 2" xfId="6777"/>
    <cellStyle name="Total 5 3 2 2 4 2 2" xfId="13617"/>
    <cellStyle name="Total 5 3 2 2 4 3" xfId="10197"/>
    <cellStyle name="Total 5 3 2 2 5" xfId="4497"/>
    <cellStyle name="Total 5 3 2 2 5 2" xfId="11337"/>
    <cellStyle name="Total 5 3 2 2 6" xfId="7917"/>
    <cellStyle name="Total 5 3 2 3" xfId="38373"/>
    <cellStyle name="Total 5 3 2 4" xfId="60609"/>
    <cellStyle name="Total 5 3 2 5" xfId="60610"/>
    <cellStyle name="Total 5 3 2 6" xfId="60611"/>
    <cellStyle name="Total 5 3 3" xfId="1341"/>
    <cellStyle name="Total 5 3 3 2" xfId="951"/>
    <cellStyle name="Total 5 3 3 2 2" xfId="1888"/>
    <cellStyle name="Total 5 3 3 2 2 2" xfId="5308"/>
    <cellStyle name="Total 5 3 3 2 2 2 2" xfId="12148"/>
    <cellStyle name="Total 5 3 3 2 2 3" xfId="8728"/>
    <cellStyle name="Total 5 3 3 2 3" xfId="3028"/>
    <cellStyle name="Total 5 3 3 2 3 2" xfId="6448"/>
    <cellStyle name="Total 5 3 3 2 3 2 2" xfId="13288"/>
    <cellStyle name="Total 5 3 3 2 3 3" xfId="9868"/>
    <cellStyle name="Total 5 3 3 2 4" xfId="4168"/>
    <cellStyle name="Total 5 3 3 2 4 2" xfId="11008"/>
    <cellStyle name="Total 5 3 3 2 5" xfId="7588"/>
    <cellStyle name="Total 5 3 3 3" xfId="2162"/>
    <cellStyle name="Total 5 3 3 3 2" xfId="5582"/>
    <cellStyle name="Total 5 3 3 3 2 2" xfId="12422"/>
    <cellStyle name="Total 5 3 3 3 3" xfId="9002"/>
    <cellStyle name="Total 5 3 3 4" xfId="3302"/>
    <cellStyle name="Total 5 3 3 4 2" xfId="6722"/>
    <cellStyle name="Total 5 3 3 4 2 2" xfId="13562"/>
    <cellStyle name="Total 5 3 3 4 3" xfId="10142"/>
    <cellStyle name="Total 5 3 3 5" xfId="4442"/>
    <cellStyle name="Total 5 3 3 5 2" xfId="11282"/>
    <cellStyle name="Total 5 3 3 6" xfId="7862"/>
    <cellStyle name="Total 5 3 4" xfId="38329"/>
    <cellStyle name="Total 5 3 5" xfId="60612"/>
    <cellStyle name="Total 5 3 6" xfId="60613"/>
    <cellStyle name="Total 5 3 7" xfId="60614"/>
    <cellStyle name="Total 5 4" xfId="243"/>
    <cellStyle name="Total 5 4 2" xfId="217"/>
    <cellStyle name="Total 5 4 2 2" xfId="1224"/>
    <cellStyle name="Total 5 4 2 2 2" xfId="1016"/>
    <cellStyle name="Total 5 4 2 2 2 2" xfId="2570"/>
    <cellStyle name="Total 5 4 2 2 2 2 2" xfId="5990"/>
    <cellStyle name="Total 5 4 2 2 2 2 2 2" xfId="12830"/>
    <cellStyle name="Total 5 4 2 2 2 2 3" xfId="9410"/>
    <cellStyle name="Total 5 4 2 2 2 3" xfId="3710"/>
    <cellStyle name="Total 5 4 2 2 2 3 2" xfId="7130"/>
    <cellStyle name="Total 5 4 2 2 2 3 2 2" xfId="13970"/>
    <cellStyle name="Total 5 4 2 2 2 3 3" xfId="10550"/>
    <cellStyle name="Total 5 4 2 2 2 4" xfId="4850"/>
    <cellStyle name="Total 5 4 2 2 2 4 2" xfId="11690"/>
    <cellStyle name="Total 5 4 2 2 2 5" xfId="8270"/>
    <cellStyle name="Total 5 4 2 2 3" xfId="2044"/>
    <cellStyle name="Total 5 4 2 2 3 2" xfId="5464"/>
    <cellStyle name="Total 5 4 2 2 3 2 2" xfId="12304"/>
    <cellStyle name="Total 5 4 2 2 3 3" xfId="8884"/>
    <cellStyle name="Total 5 4 2 2 4" xfId="3184"/>
    <cellStyle name="Total 5 4 2 2 4 2" xfId="6604"/>
    <cellStyle name="Total 5 4 2 2 4 2 2" xfId="13444"/>
    <cellStyle name="Total 5 4 2 2 4 3" xfId="10024"/>
    <cellStyle name="Total 5 4 2 2 5" xfId="4324"/>
    <cellStyle name="Total 5 4 2 2 5 2" xfId="11164"/>
    <cellStyle name="Total 5 4 2 2 6" xfId="7744"/>
    <cellStyle name="Total 5 4 2 3" xfId="38253"/>
    <cellStyle name="Total 5 4 2 4" xfId="60615"/>
    <cellStyle name="Total 5 4 2 5" xfId="60616"/>
    <cellStyle name="Total 5 4 2 6" xfId="60617"/>
    <cellStyle name="Total 5 4 3" xfId="1250"/>
    <cellStyle name="Total 5 4 3 2" xfId="1003"/>
    <cellStyle name="Total 5 4 3 2 2" xfId="2506"/>
    <cellStyle name="Total 5 4 3 2 2 2" xfId="5926"/>
    <cellStyle name="Total 5 4 3 2 2 2 2" xfId="12766"/>
    <cellStyle name="Total 5 4 3 2 2 3" xfId="9346"/>
    <cellStyle name="Total 5 4 3 2 3" xfId="3646"/>
    <cellStyle name="Total 5 4 3 2 3 2" xfId="7066"/>
    <cellStyle name="Total 5 4 3 2 3 2 2" xfId="13906"/>
    <cellStyle name="Total 5 4 3 2 3 3" xfId="10486"/>
    <cellStyle name="Total 5 4 3 2 4" xfId="4786"/>
    <cellStyle name="Total 5 4 3 2 4 2" xfId="11626"/>
    <cellStyle name="Total 5 4 3 2 5" xfId="8206"/>
    <cellStyle name="Total 5 4 3 3" xfId="2070"/>
    <cellStyle name="Total 5 4 3 3 2" xfId="5490"/>
    <cellStyle name="Total 5 4 3 3 2 2" xfId="12330"/>
    <cellStyle name="Total 5 4 3 3 3" xfId="8910"/>
    <cellStyle name="Total 5 4 3 4" xfId="3210"/>
    <cellStyle name="Total 5 4 3 4 2" xfId="6630"/>
    <cellStyle name="Total 5 4 3 4 2 2" xfId="13470"/>
    <cellStyle name="Total 5 4 3 4 3" xfId="10050"/>
    <cellStyle name="Total 5 4 3 5" xfId="4350"/>
    <cellStyle name="Total 5 4 3 5 2" xfId="11190"/>
    <cellStyle name="Total 5 4 3 6" xfId="7770"/>
    <cellStyle name="Total 5 4 4" xfId="38266"/>
    <cellStyle name="Total 5 4 5" xfId="60618"/>
    <cellStyle name="Total 5 4 6" xfId="60619"/>
    <cellStyle name="Total 5 4 7" xfId="60620"/>
    <cellStyle name="Total 5 5" xfId="501"/>
    <cellStyle name="Total 5 5 2" xfId="425"/>
    <cellStyle name="Total 5 5 2 2" xfId="1430"/>
    <cellStyle name="Total 5 5 2 2 2" xfId="1768"/>
    <cellStyle name="Total 5 5 2 2 2 2" xfId="2908"/>
    <cellStyle name="Total 5 5 2 2 2 2 2" xfId="6328"/>
    <cellStyle name="Total 5 5 2 2 2 2 2 2" xfId="13168"/>
    <cellStyle name="Total 5 5 2 2 2 2 3" xfId="9748"/>
    <cellStyle name="Total 5 5 2 2 2 3" xfId="4048"/>
    <cellStyle name="Total 5 5 2 2 2 3 2" xfId="7468"/>
    <cellStyle name="Total 5 5 2 2 2 3 2 2" xfId="14308"/>
    <cellStyle name="Total 5 5 2 2 2 3 3" xfId="10888"/>
    <cellStyle name="Total 5 5 2 2 2 4" xfId="5188"/>
    <cellStyle name="Total 5 5 2 2 2 4 2" xfId="12028"/>
    <cellStyle name="Total 5 5 2 2 2 5" xfId="8608"/>
    <cellStyle name="Total 5 5 2 2 3" xfId="2251"/>
    <cellStyle name="Total 5 5 2 2 3 2" xfId="5671"/>
    <cellStyle name="Total 5 5 2 2 3 2 2" xfId="12511"/>
    <cellStyle name="Total 5 5 2 2 3 3" xfId="9091"/>
    <cellStyle name="Total 5 5 2 2 4" xfId="3391"/>
    <cellStyle name="Total 5 5 2 2 4 2" xfId="6811"/>
    <cellStyle name="Total 5 5 2 2 4 2 2" xfId="13651"/>
    <cellStyle name="Total 5 5 2 2 4 3" xfId="10231"/>
    <cellStyle name="Total 5 5 2 2 5" xfId="4531"/>
    <cellStyle name="Total 5 5 2 2 5 2" xfId="11371"/>
    <cellStyle name="Total 5 5 2 2 6" xfId="7951"/>
    <cellStyle name="Total 5 5 2 3" xfId="38392"/>
    <cellStyle name="Total 5 5 2 4" xfId="60621"/>
    <cellStyle name="Total 5 5 2 5" xfId="60622"/>
    <cellStyle name="Total 5 5 2 6" xfId="60623"/>
    <cellStyle name="Total 5 5 3" xfId="1505"/>
    <cellStyle name="Total 5 5 3 2" xfId="857"/>
    <cellStyle name="Total 5 5 3 2 2" xfId="2522"/>
    <cellStyle name="Total 5 5 3 2 2 2" xfId="5942"/>
    <cellStyle name="Total 5 5 3 2 2 2 2" xfId="12782"/>
    <cellStyle name="Total 5 5 3 2 2 3" xfId="9362"/>
    <cellStyle name="Total 5 5 3 2 3" xfId="3662"/>
    <cellStyle name="Total 5 5 3 2 3 2" xfId="7082"/>
    <cellStyle name="Total 5 5 3 2 3 2 2" xfId="13922"/>
    <cellStyle name="Total 5 5 3 2 3 3" xfId="10502"/>
    <cellStyle name="Total 5 5 3 2 4" xfId="4802"/>
    <cellStyle name="Total 5 5 3 2 4 2" xfId="11642"/>
    <cellStyle name="Total 5 5 3 2 5" xfId="8222"/>
    <cellStyle name="Total 5 5 3 3" xfId="2326"/>
    <cellStyle name="Total 5 5 3 3 2" xfId="5746"/>
    <cellStyle name="Total 5 5 3 3 2 2" xfId="12586"/>
    <cellStyle name="Total 5 5 3 3 3" xfId="9166"/>
    <cellStyle name="Total 5 5 3 4" xfId="3466"/>
    <cellStyle name="Total 5 5 3 4 2" xfId="6886"/>
    <cellStyle name="Total 5 5 3 4 2 2" xfId="13726"/>
    <cellStyle name="Total 5 5 3 4 3" xfId="10306"/>
    <cellStyle name="Total 5 5 3 5" xfId="4606"/>
    <cellStyle name="Total 5 5 3 5 2" xfId="11446"/>
    <cellStyle name="Total 5 5 3 6" xfId="8026"/>
    <cellStyle name="Total 5 5 4" xfId="38436"/>
    <cellStyle name="Total 5 5 5" xfId="60624"/>
    <cellStyle name="Total 5 5 6" xfId="60625"/>
    <cellStyle name="Total 5 5 7" xfId="60626"/>
    <cellStyle name="Total 5 6" xfId="521"/>
    <cellStyle name="Total 5 6 2" xfId="451"/>
    <cellStyle name="Total 5 6 2 2" xfId="1455"/>
    <cellStyle name="Total 5 6 2 2 2" xfId="882"/>
    <cellStyle name="Total 5 6 2 2 2 2" xfId="2582"/>
    <cellStyle name="Total 5 6 2 2 2 2 2" xfId="6002"/>
    <cellStyle name="Total 5 6 2 2 2 2 2 2" xfId="12842"/>
    <cellStyle name="Total 5 6 2 2 2 2 3" xfId="9422"/>
    <cellStyle name="Total 5 6 2 2 2 3" xfId="3722"/>
    <cellStyle name="Total 5 6 2 2 2 3 2" xfId="7142"/>
    <cellStyle name="Total 5 6 2 2 2 3 2 2" xfId="13982"/>
    <cellStyle name="Total 5 6 2 2 2 3 3" xfId="10562"/>
    <cellStyle name="Total 5 6 2 2 2 4" xfId="4862"/>
    <cellStyle name="Total 5 6 2 2 2 4 2" xfId="11702"/>
    <cellStyle name="Total 5 6 2 2 2 5" xfId="8282"/>
    <cellStyle name="Total 5 6 2 2 3" xfId="2276"/>
    <cellStyle name="Total 5 6 2 2 3 2" xfId="5696"/>
    <cellStyle name="Total 5 6 2 2 3 2 2" xfId="12536"/>
    <cellStyle name="Total 5 6 2 2 3 3" xfId="9116"/>
    <cellStyle name="Total 5 6 2 2 4" xfId="3416"/>
    <cellStyle name="Total 5 6 2 2 4 2" xfId="6836"/>
    <cellStyle name="Total 5 6 2 2 4 2 2" xfId="13676"/>
    <cellStyle name="Total 5 6 2 2 4 3" xfId="10256"/>
    <cellStyle name="Total 5 6 2 2 5" xfId="4556"/>
    <cellStyle name="Total 5 6 2 2 5 2" xfId="11396"/>
    <cellStyle name="Total 5 6 2 2 6" xfId="7976"/>
    <cellStyle name="Total 5 6 2 3" xfId="38412"/>
    <cellStyle name="Total 5 6 2 4" xfId="60627"/>
    <cellStyle name="Total 5 6 2 5" xfId="60628"/>
    <cellStyle name="Total 5 6 2 6" xfId="60629"/>
    <cellStyle name="Total 5 6 3" xfId="1525"/>
    <cellStyle name="Total 5 6 3 2" xfId="1685"/>
    <cellStyle name="Total 5 6 3 2 2" xfId="2825"/>
    <cellStyle name="Total 5 6 3 2 2 2" xfId="6245"/>
    <cellStyle name="Total 5 6 3 2 2 2 2" xfId="13085"/>
    <cellStyle name="Total 5 6 3 2 2 3" xfId="9665"/>
    <cellStyle name="Total 5 6 3 2 3" xfId="3965"/>
    <cellStyle name="Total 5 6 3 2 3 2" xfId="7385"/>
    <cellStyle name="Total 5 6 3 2 3 2 2" xfId="14225"/>
    <cellStyle name="Total 5 6 3 2 3 3" xfId="10805"/>
    <cellStyle name="Total 5 6 3 2 4" xfId="5105"/>
    <cellStyle name="Total 5 6 3 2 4 2" xfId="11945"/>
    <cellStyle name="Total 5 6 3 2 5" xfId="8525"/>
    <cellStyle name="Total 5 6 3 3" xfId="2346"/>
    <cellStyle name="Total 5 6 3 3 2" xfId="5766"/>
    <cellStyle name="Total 5 6 3 3 2 2" xfId="12606"/>
    <cellStyle name="Total 5 6 3 3 3" xfId="9186"/>
    <cellStyle name="Total 5 6 3 4" xfId="3486"/>
    <cellStyle name="Total 5 6 3 4 2" xfId="6906"/>
    <cellStyle name="Total 5 6 3 4 2 2" xfId="13746"/>
    <cellStyle name="Total 5 6 3 4 3" xfId="10326"/>
    <cellStyle name="Total 5 6 3 5" xfId="4626"/>
    <cellStyle name="Total 5 6 3 5 2" xfId="11466"/>
    <cellStyle name="Total 5 6 3 6" xfId="8046"/>
    <cellStyle name="Total 5 6 4" xfId="38444"/>
    <cellStyle name="Total 5 6 5" xfId="60630"/>
    <cellStyle name="Total 5 6 6" xfId="60631"/>
    <cellStyle name="Total 5 6 7" xfId="60632"/>
    <cellStyle name="Total 5 7" xfId="1127"/>
    <cellStyle name="Total 5 7 2" xfId="1749"/>
    <cellStyle name="Total 5 7 2 2" xfId="2889"/>
    <cellStyle name="Total 5 7 2 2 2" xfId="6309"/>
    <cellStyle name="Total 5 7 2 2 2 2" xfId="13149"/>
    <cellStyle name="Total 5 7 2 2 3" xfId="9729"/>
    <cellStyle name="Total 5 7 2 3" xfId="4029"/>
    <cellStyle name="Total 5 7 2 3 2" xfId="7449"/>
    <cellStyle name="Total 5 7 2 3 2 2" xfId="14289"/>
    <cellStyle name="Total 5 7 2 3 3" xfId="10869"/>
    <cellStyle name="Total 5 7 2 4" xfId="5169"/>
    <cellStyle name="Total 5 7 2 4 2" xfId="12009"/>
    <cellStyle name="Total 5 7 2 5" xfId="8589"/>
    <cellStyle name="Total 5 7 3" xfId="1941"/>
    <cellStyle name="Total 5 7 3 2" xfId="5361"/>
    <cellStyle name="Total 5 7 3 2 2" xfId="12201"/>
    <cellStyle name="Total 5 7 3 3" xfId="8781"/>
    <cellStyle name="Total 5 7 4" xfId="3081"/>
    <cellStyle name="Total 5 7 4 2" xfId="6501"/>
    <cellStyle name="Total 5 7 4 2 2" xfId="13341"/>
    <cellStyle name="Total 5 7 4 3" xfId="9921"/>
    <cellStyle name="Total 5 7 5" xfId="4221"/>
    <cellStyle name="Total 5 7 5 2" xfId="11061"/>
    <cellStyle name="Total 5 7 6" xfId="7641"/>
    <cellStyle name="Total 5 8" xfId="38200"/>
    <cellStyle name="Total 5 9" xfId="60633"/>
    <cellStyle name="Total 6" xfId="60634"/>
    <cellStyle name="Total 6 2" xfId="60635"/>
    <cellStyle name="Total 6 3" xfId="60636"/>
    <cellStyle name="Total 7" xfId="60637"/>
    <cellStyle name="Total 8" xfId="60638"/>
    <cellStyle name="Total 9" xfId="60639"/>
    <cellStyle name="Valn" xfId="60640"/>
    <cellStyle name="Valn 2" xfId="60641"/>
    <cellStyle name="Valn 2 2" xfId="60642"/>
    <cellStyle name="Valn 3" xfId="60643"/>
    <cellStyle name="ValNum" xfId="60644"/>
    <cellStyle name="Warning Text 2" xfId="45"/>
    <cellStyle name="Warning Text 3" xfId="650"/>
    <cellStyle name="_x0007_ଘƦ" xfId="60645"/>
    <cellStyle name="_x0007_ଘƦ 2" xfId="60646"/>
  </cellStyles>
  <dxfs count="7">
    <dxf>
      <fill>
        <patternFill>
          <bgColor theme="5"/>
        </patternFill>
      </fill>
    </dxf>
    <dxf>
      <fill>
        <patternFill>
          <bgColor theme="5"/>
        </patternFill>
      </fill>
    </dxf>
    <dxf>
      <fill>
        <patternFill>
          <bgColor theme="9" tint="0.39994506668294322"/>
        </patternFill>
      </fill>
    </dxf>
    <dxf>
      <fill>
        <patternFill>
          <bgColor theme="6" tint="-0.24994659260841701"/>
        </patternFill>
      </fill>
    </dxf>
    <dxf>
      <font>
        <color rgb="FFFF0000"/>
      </font>
    </dxf>
    <dxf>
      <font>
        <color rgb="FFFF0000"/>
      </font>
    </dxf>
    <dxf>
      <font>
        <color rgb="FFFF0000"/>
      </font>
    </dxf>
  </dxfs>
  <tableStyles count="0" defaultTableStyle="TableStyleMedium2" defaultPivotStyle="PivotStyleLight16"/>
  <colors>
    <mruColors>
      <color rgb="FFFFCC99"/>
      <color rgb="FFCCFFCC"/>
      <color rgb="FFFFFF99"/>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19049</xdr:colOff>
      <xdr:row>7</xdr:row>
      <xdr:rowOff>142875</xdr:rowOff>
    </xdr:from>
    <xdr:to>
      <xdr:col>12</xdr:col>
      <xdr:colOff>47624</xdr:colOff>
      <xdr:row>16</xdr:row>
      <xdr:rowOff>57150</xdr:rowOff>
    </xdr:to>
    <xdr:sp macro="" textlink="">
      <xdr:nvSpPr>
        <xdr:cNvPr id="2" name="TextBox 1"/>
        <xdr:cNvSpPr txBox="1"/>
      </xdr:nvSpPr>
      <xdr:spPr>
        <a:xfrm>
          <a:off x="628649" y="1476375"/>
          <a:ext cx="6734175" cy="162877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mn-lt"/>
              <a:ea typeface="+mn-ea"/>
              <a:cs typeface="+mn-cs"/>
            </a:rPr>
            <a:t>“This model is published by Monitor for the purposes of the engagement on the proposals for the National Tariff for 2015/16, to provide stakeholders with information about the proposed method for calculating national prices for that year and to enable stakeholders to respond to those proposals.  The model, and the draft prices derived from this model, are illustrative only; in particular, there may be changes to the model and to the prices which appear in the final proposals to be published in Autumn for the purposes of the statutory consultation.  Monitor shall not accept any responsibility or liability in respect of the contents or use of the model or the draft prices.”</a:t>
          </a:r>
        </a:p>
        <a:p>
          <a:endParaRPr lang="en-GB" sz="12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ona.labor\AppData\Local\Microsoft\Windows\Temporary%20Internet%20Files\Content.Outlook\WFBA96HE\Testing\Validat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3_14 costs - U"/>
      <sheetName val="13_14 costs - A"/>
      <sheetName val="14_15 costs - A"/>
      <sheetName val="15_16 costs - U"/>
      <sheetName val="13_14 dataset act"/>
      <sheetName val="15_16 dataset act"/>
      <sheetName val="Sheet1"/>
      <sheetName val="Med"/>
      <sheetName val="Median"/>
      <sheetName val="P3 Analysis"/>
      <sheetName val="Activities"/>
      <sheetName val="F-test, t-test"/>
      <sheetName val="Summary"/>
      <sheetName val="Validation template"/>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row r="1">
          <cell r="O1">
            <v>0</v>
          </cell>
        </row>
        <row r="2">
          <cell r="O2">
            <v>0</v>
          </cell>
        </row>
        <row r="3">
          <cell r="O3" t="str">
            <v>P3</v>
          </cell>
        </row>
        <row r="4">
          <cell r="O4" t="str">
            <v>Change from x to y</v>
          </cell>
        </row>
        <row r="5">
          <cell r="O5">
            <v>-0.1349703097416145</v>
          </cell>
        </row>
        <row r="6">
          <cell r="O6">
            <v>3.296170625302957E-2</v>
          </cell>
        </row>
        <row r="7">
          <cell r="O7">
            <v>-0.11242281147838722</v>
          </cell>
        </row>
        <row r="8">
          <cell r="O8">
            <v>-6.472859414035885E-2</v>
          </cell>
        </row>
        <row r="9">
          <cell r="O9">
            <v>-0.42335766423357662</v>
          </cell>
        </row>
        <row r="10">
          <cell r="O10">
            <v>-0.36487898310987288</v>
          </cell>
        </row>
        <row r="11">
          <cell r="O11">
            <v>-0.3898339614953652</v>
          </cell>
        </row>
        <row r="12">
          <cell r="O12">
            <v>-0.35334476843910806</v>
          </cell>
        </row>
        <row r="13">
          <cell r="O13">
            <v>-0.22077922077922077</v>
          </cell>
        </row>
        <row r="14">
          <cell r="O14">
            <v>-0.11731044349070101</v>
          </cell>
        </row>
        <row r="15">
          <cell r="O15">
            <v>-2.2749893359874877E-2</v>
          </cell>
        </row>
        <row r="16">
          <cell r="O16">
            <v>0.22377756471716204</v>
          </cell>
        </row>
        <row r="17">
          <cell r="O17">
            <v>-0.15177940136695733</v>
          </cell>
        </row>
        <row r="18">
          <cell r="O18">
            <v>-6.4341267970775398E-2</v>
          </cell>
        </row>
        <row r="19">
          <cell r="O19">
            <v>-0.20713260461521474</v>
          </cell>
        </row>
        <row r="20">
          <cell r="O20">
            <v>-0.36994009802141947</v>
          </cell>
        </row>
        <row r="21">
          <cell r="O21">
            <v>-9.858209581340717E-2</v>
          </cell>
        </row>
        <row r="22">
          <cell r="O22">
            <v>-0.43391283638961659</v>
          </cell>
        </row>
        <row r="23">
          <cell r="O23">
            <v>4.9913415503718042E-2</v>
          </cell>
        </row>
        <row r="24">
          <cell r="O24">
            <v>-0.1934819897084048</v>
          </cell>
        </row>
        <row r="25">
          <cell r="O25">
            <v>2.3706045041485577E-2</v>
          </cell>
        </row>
        <row r="26">
          <cell r="O26">
            <v>4.990542703331878E-2</v>
          </cell>
        </row>
        <row r="27">
          <cell r="O27">
            <v>-6.2562206739655901E-2</v>
          </cell>
        </row>
        <row r="28">
          <cell r="O28">
            <v>6.4637985309548798E-2</v>
          </cell>
        </row>
        <row r="29">
          <cell r="O29">
            <v>-0.54725430120197971</v>
          </cell>
        </row>
        <row r="30">
          <cell r="O30">
            <v>-0.12844685364129155</v>
          </cell>
        </row>
        <row r="31">
          <cell r="O31">
            <v>-0.1699238158330573</v>
          </cell>
        </row>
        <row r="32">
          <cell r="O32">
            <v>5.7905245961154476E-2</v>
          </cell>
        </row>
        <row r="33">
          <cell r="O33">
            <v>-0.37851662404092073</v>
          </cell>
        </row>
        <row r="34">
          <cell r="O34">
            <v>-0.16278040141676506</v>
          </cell>
        </row>
        <row r="35">
          <cell r="O35">
            <v>-0.42417135709818637</v>
          </cell>
        </row>
        <row r="36">
          <cell r="O36">
            <v>-0.32145090681676047</v>
          </cell>
        </row>
        <row r="37">
          <cell r="O37">
            <v>-0.30140047675804527</v>
          </cell>
        </row>
        <row r="38">
          <cell r="O38">
            <v>-0.17161936560934893</v>
          </cell>
        </row>
        <row r="39">
          <cell r="O39">
            <v>-0.18846694796061886</v>
          </cell>
        </row>
        <row r="40">
          <cell r="O40">
            <v>-0.1968645592392701</v>
          </cell>
        </row>
        <row r="41">
          <cell r="O41">
            <v>-0.18355695118469884</v>
          </cell>
        </row>
        <row r="42">
          <cell r="O42">
            <v>-0.20827943078913325</v>
          </cell>
        </row>
        <row r="43">
          <cell r="O43">
            <v>-0.24526707234617984</v>
          </cell>
        </row>
        <row r="44">
          <cell r="O44">
            <v>-0.18916498768748602</v>
          </cell>
        </row>
        <row r="45">
          <cell r="O45">
            <v>-0.31572230729964268</v>
          </cell>
        </row>
        <row r="46">
          <cell r="O46">
            <v>-0.29369431117203565</v>
          </cell>
        </row>
        <row r="47">
          <cell r="O47">
            <v>-0.37128589263420725</v>
          </cell>
        </row>
        <row r="48">
          <cell r="O48">
            <v>-0.39920948616600793</v>
          </cell>
        </row>
        <row r="49">
          <cell r="O49">
            <v>-0.14066193853427897</v>
          </cell>
        </row>
        <row r="50">
          <cell r="O50">
            <v>-0.25105130361648442</v>
          </cell>
        </row>
        <row r="51">
          <cell r="O51">
            <v>-0.36736918604651164</v>
          </cell>
        </row>
        <row r="52">
          <cell r="O52">
            <v>-0.33121019108280253</v>
          </cell>
        </row>
        <row r="53">
          <cell r="O53">
            <v>0.31312292358803989</v>
          </cell>
        </row>
        <row r="54">
          <cell r="O54">
            <v>-0.12778603268945021</v>
          </cell>
        </row>
        <row r="55">
          <cell r="O55">
            <v>-0.30704109023332643</v>
          </cell>
        </row>
        <row r="56">
          <cell r="O56">
            <v>-0.51925573344872344</v>
          </cell>
        </row>
        <row r="57">
          <cell r="O57">
            <v>-0.15643153526970954</v>
          </cell>
        </row>
        <row r="58">
          <cell r="O58">
            <v>-0.29939759036144581</v>
          </cell>
        </row>
        <row r="59">
          <cell r="O59">
            <v>1.5686274509803921E-3</v>
          </cell>
        </row>
        <row r="60">
          <cell r="O60">
            <v>-0.10695187165775401</v>
          </cell>
        </row>
        <row r="61">
          <cell r="O61">
            <v>-0.37747819191118159</v>
          </cell>
        </row>
        <row r="62">
          <cell r="O62">
            <v>-0.13932702418506834</v>
          </cell>
        </row>
        <row r="63">
          <cell r="O63">
            <v>0.40646258503401361</v>
          </cell>
        </row>
        <row r="64">
          <cell r="O64">
            <v>0.25510204081632654</v>
          </cell>
        </row>
        <row r="65">
          <cell r="O65">
            <v>-0.40282685512367489</v>
          </cell>
        </row>
        <row r="66">
          <cell r="O66">
            <v>0.13380909901873328</v>
          </cell>
        </row>
        <row r="67">
          <cell r="O67">
            <v>-0.37288909173893198</v>
          </cell>
        </row>
        <row r="68">
          <cell r="O68">
            <v>-0.32247815726767276</v>
          </cell>
        </row>
        <row r="69">
          <cell r="O69">
            <v>-4.3661060802069857E-2</v>
          </cell>
        </row>
        <row r="70">
          <cell r="O70">
            <v>-0.85892282958199362</v>
          </cell>
        </row>
        <row r="71">
          <cell r="O71">
            <v>0.54863344051446949</v>
          </cell>
        </row>
        <row r="72">
          <cell r="O72">
            <v>-0.33762057877813506</v>
          </cell>
        </row>
        <row r="73">
          <cell r="O73">
            <v>-0.1812700964630225</v>
          </cell>
        </row>
        <row r="74">
          <cell r="O74">
            <v>-6.8467629250116444E-2</v>
          </cell>
        </row>
        <row r="75">
          <cell r="O75">
            <v>0.57055961070559613</v>
          </cell>
        </row>
        <row r="76">
          <cell r="O76">
            <v>-0.50109329446064144</v>
          </cell>
        </row>
        <row r="77">
          <cell r="O77">
            <v>-0.21246952281435039</v>
          </cell>
        </row>
        <row r="78">
          <cell r="O78">
            <v>0.15458167330677292</v>
          </cell>
        </row>
        <row r="79">
          <cell r="O79">
            <v>-0.2441860465116279</v>
          </cell>
        </row>
        <row r="80">
          <cell r="O80">
            <v>-0.45520965692503179</v>
          </cell>
        </row>
        <row r="81">
          <cell r="O81">
            <v>-0.34624896949711459</v>
          </cell>
        </row>
        <row r="82">
          <cell r="O82">
            <v>4.5379537953795381E-2</v>
          </cell>
        </row>
        <row r="83">
          <cell r="O83">
            <v>-0.51012145748987858</v>
          </cell>
        </row>
        <row r="84">
          <cell r="O84">
            <v>-0.37604830593760485</v>
          </cell>
        </row>
        <row r="85">
          <cell r="O85">
            <v>-0.10932475884244373</v>
          </cell>
        </row>
        <row r="86">
          <cell r="O86">
            <v>-0.37210282343025708</v>
          </cell>
        </row>
        <row r="87">
          <cell r="O87">
            <v>-9.7374179431072211E-2</v>
          </cell>
        </row>
        <row r="88">
          <cell r="O88">
            <v>-0.15701668302257116</v>
          </cell>
        </row>
        <row r="89">
          <cell r="O89">
            <v>-0.12144455097475232</v>
          </cell>
        </row>
        <row r="90">
          <cell r="O90">
            <v>-8.7407407407407406E-2</v>
          </cell>
        </row>
        <row r="91">
          <cell r="O91">
            <v>-0.27069351230425054</v>
          </cell>
        </row>
        <row r="92">
          <cell r="O92">
            <v>0.28995215311004785</v>
          </cell>
        </row>
        <row r="93">
          <cell r="O93">
            <v>-0.43840271877655057</v>
          </cell>
        </row>
        <row r="94">
          <cell r="O94">
            <v>-0.10773680404916848</v>
          </cell>
        </row>
        <row r="95">
          <cell r="O95">
            <v>7.5596816976127315E-2</v>
          </cell>
        </row>
        <row r="96">
          <cell r="O96">
            <v>-0.18733421750663129</v>
          </cell>
        </row>
        <row r="97">
          <cell r="O97">
            <v>-0.13217905405405406</v>
          </cell>
        </row>
        <row r="98">
          <cell r="O98">
            <v>-0.27050610820244331</v>
          </cell>
        </row>
        <row r="99">
          <cell r="O99">
            <v>5.8666666666666666E-2</v>
          </cell>
        </row>
        <row r="100">
          <cell r="O100">
            <v>0.2684630738522954</v>
          </cell>
        </row>
        <row r="101">
          <cell r="O101">
            <v>-0.22044444444444444</v>
          </cell>
        </row>
        <row r="102">
          <cell r="O102">
            <v>-0.42315573770491804</v>
          </cell>
        </row>
        <row r="103">
          <cell r="O103">
            <v>-8.3838383838383837E-2</v>
          </cell>
        </row>
        <row r="104">
          <cell r="O104">
            <v>-0.49485783424077434</v>
          </cell>
        </row>
        <row r="105">
          <cell r="O105">
            <v>-0.20110361741263028</v>
          </cell>
        </row>
        <row r="106">
          <cell r="O106">
            <v>-0.36492537313432838</v>
          </cell>
        </row>
        <row r="107">
          <cell r="O107">
            <v>-0.143602085840353</v>
          </cell>
        </row>
        <row r="108">
          <cell r="O108">
            <v>-0.25247035573122528</v>
          </cell>
        </row>
        <row r="109">
          <cell r="O109">
            <v>-0.12648221343873517</v>
          </cell>
        </row>
        <row r="110">
          <cell r="O110">
            <v>-0.1388888888888889</v>
          </cell>
        </row>
        <row r="111">
          <cell r="O111">
            <v>-0.15860735009671179</v>
          </cell>
        </row>
        <row r="112">
          <cell r="O112">
            <v>2.3255813953488372E-2</v>
          </cell>
        </row>
        <row r="113">
          <cell r="O113">
            <v>0.2334429309534993</v>
          </cell>
        </row>
        <row r="114">
          <cell r="O114">
            <v>-0.11085180863477247</v>
          </cell>
        </row>
        <row r="115">
          <cell r="O115">
            <v>-0.32158836689038034</v>
          </cell>
        </row>
        <row r="116">
          <cell r="O116">
            <v>-4.7026279391424619E-2</v>
          </cell>
        </row>
        <row r="117">
          <cell r="O117">
            <v>-0.30513307984790877</v>
          </cell>
        </row>
        <row r="118">
          <cell r="O118">
            <v>-6.1312607944732297E-2</v>
          </cell>
        </row>
        <row r="119">
          <cell r="O119">
            <v>-0.31637353433835846</v>
          </cell>
        </row>
        <row r="120">
          <cell r="O120">
            <v>-0.45055499495459134</v>
          </cell>
        </row>
        <row r="121">
          <cell r="O121">
            <v>-6.8241469816272965E-2</v>
          </cell>
        </row>
        <row r="122">
          <cell r="O122">
            <v>3.2006920415224911E-2</v>
          </cell>
        </row>
        <row r="123">
          <cell r="O123">
            <v>-0.34012096774193551</v>
          </cell>
        </row>
        <row r="124">
          <cell r="O124">
            <v>-0.26506024096385544</v>
          </cell>
        </row>
        <row r="125">
          <cell r="O125">
            <v>-0.17604770161119804</v>
          </cell>
        </row>
        <row r="126">
          <cell r="O126">
            <v>-9.2817925508235644E-2</v>
          </cell>
        </row>
        <row r="127">
          <cell r="O127">
            <v>-0.52091756020390223</v>
          </cell>
        </row>
        <row r="128">
          <cell r="O128">
            <v>-0.29161554192229039</v>
          </cell>
        </row>
        <row r="129">
          <cell r="O129">
            <v>-2.3452157598499061E-2</v>
          </cell>
        </row>
        <row r="130">
          <cell r="O130">
            <v>-0.20357142857142857</v>
          </cell>
        </row>
        <row r="131">
          <cell r="O131">
            <v>-6.6508313539192399E-2</v>
          </cell>
        </row>
        <row r="132">
          <cell r="O132">
            <v>1.166429587482219E-2</v>
          </cell>
        </row>
        <row r="133">
          <cell r="O133">
            <v>-0.11894273127753303</v>
          </cell>
        </row>
        <row r="134">
          <cell r="O134">
            <v>-0.17438551099611901</v>
          </cell>
        </row>
        <row r="135">
          <cell r="O135">
            <v>-0.15469007131102577</v>
          </cell>
        </row>
        <row r="136">
          <cell r="O136">
            <v>-0.21070615034168566</v>
          </cell>
        </row>
        <row r="137">
          <cell r="O137">
            <v>-0.26405867970660146</v>
          </cell>
        </row>
        <row r="138">
          <cell r="O138">
            <v>6.8669527896995708E-2</v>
          </cell>
        </row>
        <row r="139">
          <cell r="O139">
            <v>-0.42828008157715841</v>
          </cell>
        </row>
        <row r="140">
          <cell r="O140">
            <v>-0.43325183374083132</v>
          </cell>
        </row>
        <row r="141">
          <cell r="O141">
            <v>-0.35218508997429304</v>
          </cell>
        </row>
        <row r="142">
          <cell r="O142">
            <v>-7.769085513892636E-2</v>
          </cell>
        </row>
        <row r="143">
          <cell r="O143">
            <v>-0.56577693040991417</v>
          </cell>
        </row>
        <row r="144">
          <cell r="O144">
            <v>-0.25105828720286549</v>
          </cell>
        </row>
        <row r="145">
          <cell r="O145">
            <v>-0.12552068869758401</v>
          </cell>
        </row>
        <row r="146">
          <cell r="O146">
            <v>9.4414893617021281E-2</v>
          </cell>
        </row>
        <row r="147">
          <cell r="O147">
            <v>-0.17502365184484389</v>
          </cell>
        </row>
        <row r="148">
          <cell r="O148">
            <v>-0.11829268292682926</v>
          </cell>
        </row>
        <row r="149">
          <cell r="O149">
            <v>-0.10218978102189781</v>
          </cell>
        </row>
        <row r="150">
          <cell r="O150">
            <v>-0.21175523349436393</v>
          </cell>
        </row>
        <row r="151">
          <cell r="O151">
            <v>-9.9108027750247768E-2</v>
          </cell>
        </row>
        <row r="152">
          <cell r="O152">
            <v>-0.15363800360793747</v>
          </cell>
        </row>
        <row r="153">
          <cell r="O153">
            <v>-0.23830734966592429</v>
          </cell>
        </row>
        <row r="154">
          <cell r="O154">
            <v>0.13133476088508209</v>
          </cell>
        </row>
        <row r="155">
          <cell r="O155">
            <v>-0.1496962332928311</v>
          </cell>
        </row>
        <row r="156">
          <cell r="O156">
            <v>-0.13701492537313434</v>
          </cell>
        </row>
        <row r="157">
          <cell r="O157">
            <v>-4.7589993898718728E-2</v>
          </cell>
        </row>
        <row r="158">
          <cell r="O158">
            <v>-2.1262458471760799E-2</v>
          </cell>
        </row>
        <row r="159">
          <cell r="O159">
            <v>7.9505300353356886E-2</v>
          </cell>
        </row>
        <row r="160">
          <cell r="O160">
            <v>-0.2390386489119844</v>
          </cell>
        </row>
        <row r="161">
          <cell r="O161">
            <v>-5.5400372439478582E-2</v>
          </cell>
        </row>
        <row r="162">
          <cell r="O162">
            <v>-0.32116589485153907</v>
          </cell>
        </row>
        <row r="163">
          <cell r="O163">
            <v>9.827517047733654E-2</v>
          </cell>
        </row>
        <row r="164">
          <cell r="O164">
            <v>1.0970756707868556</v>
          </cell>
        </row>
        <row r="165">
          <cell r="O165">
            <v>0.4707309006724727</v>
          </cell>
        </row>
        <row r="166">
          <cell r="O166">
            <v>-6.7073170731707321E-2</v>
          </cell>
        </row>
        <row r="167">
          <cell r="O167">
            <v>-0.1134453781512605</v>
          </cell>
        </row>
        <row r="168">
          <cell r="O168">
            <v>-0.19390185802763221</v>
          </cell>
        </row>
        <row r="169">
          <cell r="O169">
            <v>-6.7039106145251395E-2</v>
          </cell>
        </row>
        <row r="170">
          <cell r="O170">
            <v>-6.2883435582822084E-2</v>
          </cell>
        </row>
        <row r="171">
          <cell r="O171">
            <v>-0.17029862792574657</v>
          </cell>
        </row>
        <row r="172">
          <cell r="O172">
            <v>-0.11475409836065574</v>
          </cell>
        </row>
        <row r="173">
          <cell r="O173">
            <v>-0.1273006134969325</v>
          </cell>
        </row>
        <row r="174">
          <cell r="O174">
            <v>-0.26404084609773887</v>
          </cell>
        </row>
        <row r="175">
          <cell r="O175">
            <v>-0.2769863880974992</v>
          </cell>
        </row>
        <row r="176">
          <cell r="O176">
            <v>-0.28599221789883267</v>
          </cell>
        </row>
        <row r="177">
          <cell r="O177" t="str">
            <v>Not on Published Price list 13/14 (A)</v>
          </cell>
        </row>
        <row r="178">
          <cell r="O178" t="str">
            <v>Not on Published Price list 13/14 (A)</v>
          </cell>
        </row>
        <row r="179">
          <cell r="O179">
            <v>-0.12532637075718014</v>
          </cell>
        </row>
        <row r="180">
          <cell r="O180" t="str">
            <v>Not on Published Price list 13/14 (A)</v>
          </cell>
        </row>
        <row r="181">
          <cell r="O181">
            <v>-1.2004801920768306E-3</v>
          </cell>
        </row>
        <row r="182">
          <cell r="O182">
            <v>-8.680142687277051E-2</v>
          </cell>
        </row>
        <row r="183">
          <cell r="O183">
            <v>-7.2864321608040197E-2</v>
          </cell>
        </row>
        <row r="184">
          <cell r="O184">
            <v>0.86970684039087953</v>
          </cell>
        </row>
        <row r="185">
          <cell r="O185">
            <v>-0.44103072348860256</v>
          </cell>
        </row>
        <row r="186">
          <cell r="O186">
            <v>-0.16426512968299711</v>
          </cell>
        </row>
        <row r="187">
          <cell r="O187">
            <v>-3.3123028391167195E-2</v>
          </cell>
        </row>
        <row r="188">
          <cell r="O188">
            <v>0.13738019169329074</v>
          </cell>
        </row>
        <row r="189">
          <cell r="O189">
            <v>-4.4193216855087356E-2</v>
          </cell>
        </row>
        <row r="190">
          <cell r="O190">
            <v>-5.1818181818181819E-2</v>
          </cell>
        </row>
        <row r="191">
          <cell r="O191">
            <v>-0.18081180811808117</v>
          </cell>
        </row>
        <row r="192">
          <cell r="O192">
            <v>-1</v>
          </cell>
        </row>
        <row r="193">
          <cell r="O193">
            <v>8.723404255319149E-2</v>
          </cell>
        </row>
        <row r="194">
          <cell r="O194">
            <v>-0.19284940411700974</v>
          </cell>
        </row>
        <row r="195">
          <cell r="O195">
            <v>-0.10395584176632934</v>
          </cell>
        </row>
        <row r="196">
          <cell r="O196">
            <v>1.9342359767891683E-3</v>
          </cell>
        </row>
        <row r="197">
          <cell r="O197">
            <v>0.32341650671785027</v>
          </cell>
        </row>
        <row r="198">
          <cell r="O198">
            <v>2.0084269662921348</v>
          </cell>
        </row>
        <row r="199">
          <cell r="O199">
            <v>4.4193216855087356E-2</v>
          </cell>
        </row>
        <row r="200">
          <cell r="O200">
            <v>-0.17181818181818181</v>
          </cell>
        </row>
        <row r="201">
          <cell r="O201">
            <v>-0.10487580496780129</v>
          </cell>
        </row>
        <row r="202">
          <cell r="O202">
            <v>1.2458471760797342E-2</v>
          </cell>
        </row>
        <row r="203">
          <cell r="O203">
            <v>-0.1245136186770428</v>
          </cell>
        </row>
        <row r="204">
          <cell r="O204">
            <v>-2.9335634167385678E-2</v>
          </cell>
        </row>
        <row r="205">
          <cell r="O205">
            <v>-9.3023255813953487E-2</v>
          </cell>
        </row>
        <row r="206">
          <cell r="O206">
            <v>1.3043478260869565E-2</v>
          </cell>
        </row>
        <row r="207">
          <cell r="O207">
            <v>-9.8026095684175307E-2</v>
          </cell>
        </row>
        <row r="208">
          <cell r="O208">
            <v>-3.5768645357686452E-2</v>
          </cell>
        </row>
        <row r="209">
          <cell r="O209">
            <v>-8.6351471900089211E-2</v>
          </cell>
        </row>
        <row r="210">
          <cell r="O210">
            <v>-0.2038253759672945</v>
          </cell>
        </row>
        <row r="211">
          <cell r="O211">
            <v>-0.36793164111585824</v>
          </cell>
        </row>
        <row r="212">
          <cell r="O212">
            <v>-3.6321031048623317E-2</v>
          </cell>
        </row>
        <row r="213">
          <cell r="O213">
            <v>-6.2086353608572328E-2</v>
          </cell>
        </row>
        <row r="214">
          <cell r="O214">
            <v>0.55506607929515417</v>
          </cell>
        </row>
        <row r="215">
          <cell r="O215">
            <v>1.1039426523297491</v>
          </cell>
        </row>
        <row r="216">
          <cell r="O216">
            <v>0.60963455149501666</v>
          </cell>
        </row>
        <row r="217">
          <cell r="O217">
            <v>-0.14541547277936961</v>
          </cell>
        </row>
        <row r="218">
          <cell r="O218">
            <v>-1.083537224746592E-2</v>
          </cell>
        </row>
        <row r="219">
          <cell r="O219">
            <v>0.41833440929632021</v>
          </cell>
        </row>
        <row r="220">
          <cell r="O220">
            <v>-4.3899289864428662E-2</v>
          </cell>
        </row>
        <row r="221">
          <cell r="O221">
            <v>-0.20358814352574103</v>
          </cell>
        </row>
        <row r="222">
          <cell r="O222">
            <v>-3.1022390072835176E-2</v>
          </cell>
        </row>
        <row r="223">
          <cell r="O223">
            <v>-0.13977695167286244</v>
          </cell>
        </row>
        <row r="224">
          <cell r="O224">
            <v>-0.13783447417548225</v>
          </cell>
        </row>
        <row r="225">
          <cell r="O225">
            <v>-7.9265562024182709E-2</v>
          </cell>
        </row>
        <row r="226">
          <cell r="O226">
            <v>0.3611111111111111</v>
          </cell>
        </row>
        <row r="227">
          <cell r="O227">
            <v>-6.346541302887844E-2</v>
          </cell>
        </row>
        <row r="228">
          <cell r="O228">
            <v>-9.9418604651162784E-2</v>
          </cell>
        </row>
        <row r="229">
          <cell r="O229">
            <v>-7.4102175012645419E-2</v>
          </cell>
        </row>
        <row r="230">
          <cell r="O230">
            <v>-1.2190476190476191E-2</v>
          </cell>
        </row>
        <row r="231">
          <cell r="O231">
            <v>-0.1339754816112084</v>
          </cell>
        </row>
        <row r="232">
          <cell r="O232">
            <v>-0.22721518987341771</v>
          </cell>
        </row>
        <row r="233">
          <cell r="O233">
            <v>-0.16519174041297935</v>
          </cell>
        </row>
        <row r="234">
          <cell r="O234">
            <v>-9.0958019375672772E-2</v>
          </cell>
        </row>
        <row r="235">
          <cell r="O235">
            <v>0.31644260599793173</v>
          </cell>
        </row>
        <row r="236">
          <cell r="O236">
            <v>0.37296416938110749</v>
          </cell>
        </row>
        <row r="237">
          <cell r="O237">
            <v>-0.12332668755340359</v>
          </cell>
        </row>
        <row r="238">
          <cell r="O238">
            <v>0.50801393728222999</v>
          </cell>
        </row>
        <row r="239">
          <cell r="O239">
            <v>1.1366806136680614</v>
          </cell>
        </row>
        <row r="240">
          <cell r="O240">
            <v>-0.10854092526690391</v>
          </cell>
        </row>
        <row r="241">
          <cell r="O241">
            <v>-0.1397003745318352</v>
          </cell>
        </row>
        <row r="242">
          <cell r="O242">
            <v>-0.20666344760985031</v>
          </cell>
        </row>
        <row r="243">
          <cell r="O243">
            <v>-0.39459084604715672</v>
          </cell>
        </row>
        <row r="244">
          <cell r="O244">
            <v>-0.14088250930356194</v>
          </cell>
        </row>
        <row r="245">
          <cell r="O245">
            <v>-0.15119916579770595</v>
          </cell>
        </row>
        <row r="246">
          <cell r="O246">
            <v>-0.11042944785276074</v>
          </cell>
        </row>
        <row r="247">
          <cell r="O247">
            <v>-0.32077922077922078</v>
          </cell>
        </row>
        <row r="248">
          <cell r="O248">
            <v>1.7647058823529412E-2</v>
          </cell>
        </row>
        <row r="249">
          <cell r="O249">
            <v>-0.25746156165209527</v>
          </cell>
        </row>
        <row r="250">
          <cell r="O250">
            <v>0.20218153486560186</v>
          </cell>
        </row>
        <row r="251">
          <cell r="O251">
            <v>-0.17267080745341615</v>
          </cell>
        </row>
        <row r="252">
          <cell r="O252">
            <v>-8.5811648079306066E-2</v>
          </cell>
        </row>
        <row r="253">
          <cell r="O253">
            <v>-0.32154456874774451</v>
          </cell>
        </row>
        <row r="254">
          <cell r="O254">
            <v>-0.38212842388863943</v>
          </cell>
        </row>
        <row r="255">
          <cell r="O255">
            <v>-0.10287335934728627</v>
          </cell>
        </row>
        <row r="256">
          <cell r="O256">
            <v>-0.10257568910980569</v>
          </cell>
        </row>
        <row r="257">
          <cell r="O257">
            <v>-6.7559342665855143E-2</v>
          </cell>
        </row>
        <row r="258">
          <cell r="O258">
            <v>-0.16002870470039468</v>
          </cell>
        </row>
        <row r="259">
          <cell r="O259">
            <v>-3.3459255261737722E-2</v>
          </cell>
        </row>
        <row r="260">
          <cell r="O260">
            <v>0.55765199161425572</v>
          </cell>
        </row>
        <row r="261">
          <cell r="O261">
            <v>-0.29661538461538461</v>
          </cell>
        </row>
        <row r="262">
          <cell r="O262">
            <v>-0.33152852977925862</v>
          </cell>
        </row>
        <row r="263">
          <cell r="O263">
            <v>-0.41536458333333331</v>
          </cell>
        </row>
        <row r="264">
          <cell r="O264">
            <v>-0.27845330739299612</v>
          </cell>
        </row>
        <row r="265">
          <cell r="O265">
            <v>-0.33121019108280253</v>
          </cell>
        </row>
        <row r="266">
          <cell r="O266">
            <v>-0.3351703406813627</v>
          </cell>
        </row>
        <row r="267">
          <cell r="O267">
            <v>-5.949820788530466E-2</v>
          </cell>
        </row>
        <row r="268">
          <cell r="O268">
            <v>-0.15906886517943744</v>
          </cell>
        </row>
        <row r="269">
          <cell r="O269">
            <v>-9.3343534812547813E-2</v>
          </cell>
        </row>
        <row r="270">
          <cell r="O270">
            <v>-6.3157894736842104E-3</v>
          </cell>
        </row>
        <row r="271">
          <cell r="O271">
            <v>-0.4247498912570683</v>
          </cell>
        </row>
        <row r="272">
          <cell r="O272">
            <v>-0.32580525731210663</v>
          </cell>
        </row>
        <row r="273">
          <cell r="O273">
            <v>-0.72528693076638284</v>
          </cell>
        </row>
        <row r="274">
          <cell r="O274">
            <v>-0.13555691554467564</v>
          </cell>
        </row>
        <row r="275">
          <cell r="O275">
            <v>-0.14540922309929372</v>
          </cell>
        </row>
        <row r="276">
          <cell r="O276">
            <v>5.6969696969696969E-2</v>
          </cell>
        </row>
        <row r="277">
          <cell r="O277">
            <v>-3.5398230088495575E-2</v>
          </cell>
        </row>
        <row r="278">
          <cell r="O278">
            <v>-0.1934541203974284</v>
          </cell>
        </row>
        <row r="279">
          <cell r="O279">
            <v>-0.24898167006109981</v>
          </cell>
        </row>
        <row r="280">
          <cell r="O280">
            <v>1.0103092783505154</v>
          </cell>
        </row>
        <row r="281">
          <cell r="O281">
            <v>-1</v>
          </cell>
        </row>
        <row r="282">
          <cell r="O282">
            <v>5.7346938775510203</v>
          </cell>
        </row>
        <row r="283">
          <cell r="O283">
            <v>0.23809523809523808</v>
          </cell>
        </row>
        <row r="284">
          <cell r="O284">
            <v>0.1977818853974122</v>
          </cell>
        </row>
        <row r="285">
          <cell r="O285" t="str">
            <v>Not on Published Price list 13/14 (A)</v>
          </cell>
        </row>
        <row r="286">
          <cell r="O286" t="str">
            <v>Not on both list</v>
          </cell>
        </row>
        <row r="287">
          <cell r="O287" t="str">
            <v>Not on Published Price list 13/14 (A)</v>
          </cell>
        </row>
        <row r="288">
          <cell r="O288">
            <v>0.1134020618556701</v>
          </cell>
        </row>
        <row r="289">
          <cell r="O289" t="str">
            <v>Not on Published Price list 13/14 (A)</v>
          </cell>
        </row>
        <row r="290">
          <cell r="O290">
            <v>0.19135802469135801</v>
          </cell>
        </row>
        <row r="291">
          <cell r="O291">
            <v>-0.19901256080737675</v>
          </cell>
        </row>
        <row r="292">
          <cell r="O292">
            <v>8.8346337780015105E-2</v>
          </cell>
        </row>
        <row r="293">
          <cell r="O293">
            <v>-2.0872420262664164E-2</v>
          </cell>
        </row>
        <row r="294">
          <cell r="O294">
            <v>-0.33650893630422801</v>
          </cell>
        </row>
        <row r="295">
          <cell r="O295">
            <v>-0.48932676518883417</v>
          </cell>
        </row>
        <row r="296">
          <cell r="O296">
            <v>-7.2589937267955443E-2</v>
          </cell>
        </row>
        <row r="297">
          <cell r="O297">
            <v>-8.5877318116975743E-2</v>
          </cell>
        </row>
        <row r="298">
          <cell r="O298">
            <v>-2.9013539651837523E-2</v>
          </cell>
        </row>
        <row r="299">
          <cell r="O299">
            <v>0.10333484573502723</v>
          </cell>
        </row>
        <row r="300">
          <cell r="O300">
            <v>-4.0659023027266594E-2</v>
          </cell>
        </row>
        <row r="301">
          <cell r="O301">
            <v>-7.8247396057501931E-2</v>
          </cell>
        </row>
        <row r="302">
          <cell r="O302">
            <v>-6.7041226937969781E-2</v>
          </cell>
        </row>
        <row r="303">
          <cell r="O303">
            <v>-0.12795374560080441</v>
          </cell>
        </row>
        <row r="304">
          <cell r="O304">
            <v>-0.27498577659776219</v>
          </cell>
        </row>
        <row r="305">
          <cell r="O305">
            <v>-0.32600498868843902</v>
          </cell>
        </row>
        <row r="306">
          <cell r="O306">
            <v>-0.14989600516388152</v>
          </cell>
        </row>
        <row r="307">
          <cell r="O307">
            <v>-0.18515205724508049</v>
          </cell>
        </row>
        <row r="308">
          <cell r="O308">
            <v>-0.18647406434668418</v>
          </cell>
        </row>
        <row r="309">
          <cell r="O309" t="str">
            <v>Not on 15/16 prices Unadjusted</v>
          </cell>
        </row>
        <row r="310">
          <cell r="O310">
            <v>-0.29971569654346852</v>
          </cell>
        </row>
        <row r="311">
          <cell r="O311">
            <v>-0.20566037735849058</v>
          </cell>
        </row>
        <row r="312">
          <cell r="O312">
            <v>-7.9599056603773588E-2</v>
          </cell>
        </row>
        <row r="313">
          <cell r="O313">
            <v>-0.13431855500821019</v>
          </cell>
        </row>
        <row r="314">
          <cell r="O314">
            <v>6.6789781471221915E-2</v>
          </cell>
        </row>
        <row r="315">
          <cell r="O315">
            <v>-5.2476910159529808E-3</v>
          </cell>
        </row>
        <row r="316">
          <cell r="O316">
            <v>-0.21817709010531791</v>
          </cell>
        </row>
        <row r="317">
          <cell r="O317" t="str">
            <v>Not on Published Price list 13/14 (A)</v>
          </cell>
        </row>
        <row r="318">
          <cell r="O318">
            <v>0.19613095238095238</v>
          </cell>
        </row>
        <row r="319">
          <cell r="O319">
            <v>0.23972602739726026</v>
          </cell>
        </row>
        <row r="320">
          <cell r="O320">
            <v>-0.37632508833922262</v>
          </cell>
        </row>
        <row r="321">
          <cell r="O321">
            <v>-3.5836177474402729E-2</v>
          </cell>
        </row>
        <row r="322">
          <cell r="O322">
            <v>-0.17252252252252251</v>
          </cell>
        </row>
        <row r="323">
          <cell r="O323">
            <v>7.049864898059445E-2</v>
          </cell>
        </row>
        <row r="324">
          <cell r="O324">
            <v>0.11449468085106383</v>
          </cell>
        </row>
        <row r="325">
          <cell r="O325">
            <v>0.27350427350427353</v>
          </cell>
        </row>
        <row r="326">
          <cell r="O326">
            <v>0.13336360884044807</v>
          </cell>
        </row>
        <row r="327">
          <cell r="O327">
            <v>-0.13813490997043806</v>
          </cell>
        </row>
        <row r="328">
          <cell r="O328">
            <v>-3.7052994398965963E-2</v>
          </cell>
        </row>
        <row r="329">
          <cell r="O329">
            <v>-0.40828402366863903</v>
          </cell>
        </row>
        <row r="330">
          <cell r="O330">
            <v>-0.30538922155688625</v>
          </cell>
        </row>
        <row r="331">
          <cell r="O331">
            <v>-0.36624040920716111</v>
          </cell>
        </row>
        <row r="332">
          <cell r="O332">
            <v>9.081735620585267E-2</v>
          </cell>
        </row>
        <row r="333">
          <cell r="O333">
            <v>0.16793446459918079</v>
          </cell>
        </row>
        <row r="334">
          <cell r="O334">
            <v>0.38424437299035369</v>
          </cell>
        </row>
        <row r="335">
          <cell r="O335">
            <v>-0.24531835205992508</v>
          </cell>
        </row>
        <row r="336">
          <cell r="O336">
            <v>0.14990512333965844</v>
          </cell>
        </row>
        <row r="337">
          <cell r="O337">
            <v>0.18235294117647058</v>
          </cell>
        </row>
        <row r="338">
          <cell r="O338">
            <v>-0.39883040935672515</v>
          </cell>
        </row>
        <row r="339">
          <cell r="O339" t="str">
            <v>Not on 15/16 prices Unadjusted</v>
          </cell>
        </row>
        <row r="340">
          <cell r="O340" t="str">
            <v>Not on 15/16 prices Unadjusted</v>
          </cell>
        </row>
        <row r="341">
          <cell r="O341" t="str">
            <v>Not on 15/16 prices Unadjusted</v>
          </cell>
        </row>
        <row r="342">
          <cell r="O342" t="str">
            <v>Not on 15/16 prices Unadjusted</v>
          </cell>
        </row>
        <row r="343">
          <cell r="O343" t="str">
            <v>Not on 15/16 prices Unadjusted</v>
          </cell>
        </row>
        <row r="344">
          <cell r="O344" t="str">
            <v>Not on 15/16 prices Unadjusted</v>
          </cell>
        </row>
        <row r="345">
          <cell r="O345" t="str">
            <v>Not on 15/16 prices Unadjusted</v>
          </cell>
        </row>
        <row r="346">
          <cell r="O346" t="str">
            <v>Not on 15/16 prices Unadjusted</v>
          </cell>
        </row>
        <row r="347">
          <cell r="O347" t="str">
            <v>Not on 15/16 prices Unadjusted</v>
          </cell>
        </row>
        <row r="348">
          <cell r="O348" t="str">
            <v>Not on 15/16 prices Unadjusted</v>
          </cell>
        </row>
        <row r="349">
          <cell r="O349" t="str">
            <v>Not on 15/16 prices Unadjusted</v>
          </cell>
        </row>
        <row r="350">
          <cell r="O350" t="str">
            <v>Not on 15/16 prices Unadjusted</v>
          </cell>
        </row>
        <row r="351">
          <cell r="O351" t="str">
            <v>Not on 15/16 prices Unadjusted</v>
          </cell>
        </row>
        <row r="352">
          <cell r="O352" t="str">
            <v>Not on 15/16 prices Unadjusted</v>
          </cell>
        </row>
        <row r="353">
          <cell r="O353" t="str">
            <v>Not on 15/16 prices Unadjusted</v>
          </cell>
        </row>
        <row r="354">
          <cell r="O354" t="str">
            <v>Not on 15/16 prices Unadjusted</v>
          </cell>
        </row>
        <row r="355">
          <cell r="O355" t="str">
            <v>Not on 15/16 prices Unadjusted</v>
          </cell>
        </row>
        <row r="356">
          <cell r="O356">
            <v>-0.23297650906928338</v>
          </cell>
        </row>
        <row r="357">
          <cell r="O357">
            <v>-0.214190093708166</v>
          </cell>
        </row>
        <row r="358">
          <cell r="O358">
            <v>-0.1220159151193634</v>
          </cell>
        </row>
        <row r="359">
          <cell r="O359" t="str">
            <v>Not on 15/16 prices Unadjusted</v>
          </cell>
        </row>
        <row r="360">
          <cell r="O360" t="str">
            <v>Not on 15/16 prices Unadjusted</v>
          </cell>
        </row>
        <row r="361">
          <cell r="O361" t="str">
            <v>Not on 15/16 prices Unadjusted</v>
          </cell>
        </row>
        <row r="362">
          <cell r="O362" t="str">
            <v>Not on 15/16 prices Unadjusted</v>
          </cell>
        </row>
        <row r="363">
          <cell r="O363" t="str">
            <v>Not on 15/16 prices Unadjusted</v>
          </cell>
        </row>
        <row r="364">
          <cell r="O364">
            <v>-0.1873715673454138</v>
          </cell>
        </row>
        <row r="365">
          <cell r="O365">
            <v>-5.681818181818182E-3</v>
          </cell>
        </row>
        <row r="366">
          <cell r="O366">
            <v>-1.8495684340320593E-2</v>
          </cell>
        </row>
        <row r="367">
          <cell r="O367">
            <v>0.30369576861274772</v>
          </cell>
        </row>
        <row r="368">
          <cell r="O368">
            <v>-0.17078885706847174</v>
          </cell>
        </row>
        <row r="369">
          <cell r="O369">
            <v>-7.4977817213842057E-2</v>
          </cell>
        </row>
        <row r="370">
          <cell r="O370">
            <v>2.1141649048625794E-3</v>
          </cell>
        </row>
        <row r="371">
          <cell r="O371" t="str">
            <v>Not on 15/16 prices Unadjusted</v>
          </cell>
        </row>
        <row r="372">
          <cell r="O372" t="str">
            <v>Not on 15/16 prices Unadjusted</v>
          </cell>
        </row>
        <row r="373">
          <cell r="O373">
            <v>-3.1689088191330345E-2</v>
          </cell>
        </row>
        <row r="374">
          <cell r="O374">
            <v>4.8802129547471165E-3</v>
          </cell>
        </row>
        <row r="375">
          <cell r="O375" t="str">
            <v>Not on 15/16 prices Unadjusted</v>
          </cell>
        </row>
        <row r="376">
          <cell r="O376" t="str">
            <v>Not on 15/16 prices Unadjusted</v>
          </cell>
        </row>
        <row r="377">
          <cell r="O377">
            <v>-5.701754385964912E-2</v>
          </cell>
        </row>
        <row r="378">
          <cell r="O378">
            <v>-0.12946783161239078</v>
          </cell>
        </row>
        <row r="379">
          <cell r="O379" t="str">
            <v>Not on 15/16 prices Unadjusted</v>
          </cell>
        </row>
        <row r="380">
          <cell r="O380">
            <v>-0.57070707070707072</v>
          </cell>
        </row>
        <row r="381">
          <cell r="O381">
            <v>-0.44719535783365572</v>
          </cell>
        </row>
        <row r="382">
          <cell r="O382">
            <v>-0.16920943134535368</v>
          </cell>
        </row>
        <row r="383">
          <cell r="O383" t="str">
            <v>Not on 15/16 prices Unadjusted</v>
          </cell>
        </row>
        <row r="384">
          <cell r="O384" t="str">
            <v>Not on 15/16 prices Unadjusted</v>
          </cell>
        </row>
        <row r="385">
          <cell r="O385" t="str">
            <v>Not on 15/16 prices Unadjusted</v>
          </cell>
        </row>
        <row r="386">
          <cell r="O386">
            <v>-0.24247456923396304</v>
          </cell>
        </row>
        <row r="387">
          <cell r="O387">
            <v>-4.074585635359116E-2</v>
          </cell>
        </row>
        <row r="388">
          <cell r="O388">
            <v>0.30748225013653741</v>
          </cell>
        </row>
        <row r="389">
          <cell r="O389">
            <v>0.82683215130023646</v>
          </cell>
        </row>
        <row r="390">
          <cell r="O390" t="str">
            <v>Not on 15/16 prices Unadjusted</v>
          </cell>
        </row>
        <row r="391">
          <cell r="O391" t="str">
            <v>Not on 15/16 prices Unadjusted</v>
          </cell>
        </row>
        <row r="392">
          <cell r="O392" t="str">
            <v>Not on 15/16 prices Unadjusted</v>
          </cell>
        </row>
        <row r="393">
          <cell r="O393" t="str">
            <v>Not on 15/16 prices Unadjusted</v>
          </cell>
        </row>
        <row r="394">
          <cell r="O394" t="str">
            <v>Not on 15/16 prices Unadjusted</v>
          </cell>
        </row>
        <row r="395">
          <cell r="O395">
            <v>-0.25452664252457319</v>
          </cell>
        </row>
        <row r="396">
          <cell r="O396">
            <v>-0.20425138632162662</v>
          </cell>
        </row>
        <row r="397">
          <cell r="O397">
            <v>5.0377833753148613E-3</v>
          </cell>
        </row>
        <row r="398">
          <cell r="O398">
            <v>-0.2052505966587112</v>
          </cell>
        </row>
        <row r="399">
          <cell r="O399">
            <v>-0.31120331950207469</v>
          </cell>
        </row>
        <row r="400">
          <cell r="O400">
            <v>4.0567951318458417E-2</v>
          </cell>
        </row>
        <row r="401">
          <cell r="O401">
            <v>-0.35510718789407314</v>
          </cell>
        </row>
        <row r="402">
          <cell r="O402">
            <v>-0.21869782971619364</v>
          </cell>
        </row>
        <row r="403">
          <cell r="O403">
            <v>-2.4553571428571428E-2</v>
          </cell>
        </row>
        <row r="404">
          <cell r="O404">
            <v>4.4554455445544552E-2</v>
          </cell>
        </row>
        <row r="405">
          <cell r="O405">
            <v>-0.21668383110195674</v>
          </cell>
        </row>
        <row r="406">
          <cell r="O406">
            <v>-8.0674567000911579E-2</v>
          </cell>
        </row>
        <row r="407">
          <cell r="O407">
            <v>-8.5953878406708595E-2</v>
          </cell>
        </row>
        <row r="408">
          <cell r="O408">
            <v>-2.7166882276843468E-2</v>
          </cell>
        </row>
        <row r="409">
          <cell r="O409">
            <v>-0.27613338328962156</v>
          </cell>
        </row>
        <row r="410">
          <cell r="O410">
            <v>3.1914893617021274E-2</v>
          </cell>
        </row>
        <row r="411">
          <cell r="O411">
            <v>5.5023923444976079E-2</v>
          </cell>
        </row>
        <row r="412">
          <cell r="O412">
            <v>-0.36601307189542481</v>
          </cell>
        </row>
        <row r="413">
          <cell r="O413">
            <v>-0.15375918598078009</v>
          </cell>
        </row>
        <row r="414">
          <cell r="O414">
            <v>-3.8548752834467119E-2</v>
          </cell>
        </row>
        <row r="415">
          <cell r="O415">
            <v>-0.23731501057082452</v>
          </cell>
        </row>
        <row r="416">
          <cell r="O416">
            <v>2.9010238907849831E-2</v>
          </cell>
        </row>
        <row r="417">
          <cell r="O417">
            <v>-0.31913477537437607</v>
          </cell>
        </row>
        <row r="418">
          <cell r="O418">
            <v>-0.16962645437844459</v>
          </cell>
        </row>
        <row r="419">
          <cell r="O419">
            <v>-7.8758949880668255E-2</v>
          </cell>
        </row>
        <row r="420">
          <cell r="O420" t="str">
            <v>Not on 15/16 prices Unadjusted</v>
          </cell>
        </row>
        <row r="421">
          <cell r="O421">
            <v>-0.28505443747937975</v>
          </cell>
        </row>
        <row r="422">
          <cell r="O422">
            <v>-0.17185761957730811</v>
          </cell>
        </row>
        <row r="423">
          <cell r="O423">
            <v>2.8795811518324606E-2</v>
          </cell>
        </row>
        <row r="424">
          <cell r="O424">
            <v>-0.17582128777923783</v>
          </cell>
        </row>
        <row r="425">
          <cell r="O425">
            <v>-0.21495678316422398</v>
          </cell>
        </row>
        <row r="426">
          <cell r="O426">
            <v>4.7337278106508875E-2</v>
          </cell>
        </row>
        <row r="427">
          <cell r="O427">
            <v>-0.28312646762831267</v>
          </cell>
        </row>
        <row r="428">
          <cell r="O428">
            <v>-0.11709047900650503</v>
          </cell>
        </row>
        <row r="429">
          <cell r="O429">
            <v>4.6454767726161368E-2</v>
          </cell>
        </row>
        <row r="430">
          <cell r="O430">
            <v>-0.24256348246674728</v>
          </cell>
        </row>
        <row r="431">
          <cell r="O431">
            <v>-0.26193001060445387</v>
          </cell>
        </row>
        <row r="432">
          <cell r="O432">
            <v>-0.1233974358974359</v>
          </cell>
        </row>
        <row r="433">
          <cell r="O433">
            <v>-0.18290960451977401</v>
          </cell>
        </row>
        <row r="434">
          <cell r="O434">
            <v>0.87157287157287155</v>
          </cell>
        </row>
        <row r="435">
          <cell r="O435">
            <v>-0.37806637806637805</v>
          </cell>
        </row>
        <row r="436">
          <cell r="O436">
            <v>-0.1594966344746854</v>
          </cell>
        </row>
        <row r="437">
          <cell r="O437">
            <v>-0.19814385150812064</v>
          </cell>
        </row>
        <row r="438">
          <cell r="O438">
            <v>-7.9365079365079361E-3</v>
          </cell>
        </row>
        <row r="439">
          <cell r="O439">
            <v>-0.31114435302916976</v>
          </cell>
        </row>
        <row r="440">
          <cell r="O440">
            <v>-0.22072419106317412</v>
          </cell>
        </row>
        <row r="441">
          <cell r="O441">
            <v>0.13759213759213759</v>
          </cell>
        </row>
        <row r="442">
          <cell r="O442">
            <v>8.4985835694051E-3</v>
          </cell>
        </row>
        <row r="443">
          <cell r="O443">
            <v>-0.34992458521870284</v>
          </cell>
        </row>
        <row r="444">
          <cell r="O444">
            <v>-0.22060766182298547</v>
          </cell>
        </row>
        <row r="445">
          <cell r="O445">
            <v>-0.62453531598513012</v>
          </cell>
        </row>
        <row r="446">
          <cell r="O446">
            <v>-0.29968454258675081</v>
          </cell>
        </row>
        <row r="447">
          <cell r="O447">
            <v>-0.24736048265460031</v>
          </cell>
        </row>
        <row r="448">
          <cell r="O448">
            <v>-6.0648801128349791E-2</v>
          </cell>
        </row>
        <row r="449">
          <cell r="O449">
            <v>8.7108013937282226E-3</v>
          </cell>
        </row>
        <row r="450">
          <cell r="O450" t="str">
            <v>Not on 15/16 prices Unadjusted</v>
          </cell>
        </row>
        <row r="451">
          <cell r="O451">
            <v>-0.26323529411764707</v>
          </cell>
        </row>
        <row r="452">
          <cell r="O452">
            <v>3.6834924965893585E-2</v>
          </cell>
        </row>
        <row r="453">
          <cell r="O453">
            <v>-3.4165571616294348E-2</v>
          </cell>
        </row>
        <row r="454">
          <cell r="O454" t="str">
            <v>Not on 15/16 prices Unadjusted</v>
          </cell>
        </row>
        <row r="455">
          <cell r="O455">
            <v>-3.125E-2</v>
          </cell>
        </row>
        <row r="456">
          <cell r="O456" t="str">
            <v>Not on 15/16 prices Unadjusted</v>
          </cell>
        </row>
        <row r="457">
          <cell r="O457">
            <v>-0.36420395421436003</v>
          </cell>
        </row>
        <row r="458">
          <cell r="O458">
            <v>-0.17653061224489797</v>
          </cell>
        </row>
        <row r="459">
          <cell r="O459">
            <v>-8.5422864428389284E-2</v>
          </cell>
        </row>
        <row r="460">
          <cell r="O460">
            <v>-0.26155292853304674</v>
          </cell>
        </row>
        <row r="461">
          <cell r="O461">
            <v>-0.12012826837691169</v>
          </cell>
        </row>
        <row r="462">
          <cell r="O462" t="str">
            <v>Not on 15/16 prices Unadjusted</v>
          </cell>
        </row>
        <row r="463">
          <cell r="O463" t="str">
            <v>Not on 15/16 prices Unadjusted</v>
          </cell>
        </row>
        <row r="464">
          <cell r="O464">
            <v>-0.39668431669188098</v>
          </cell>
        </row>
        <row r="465">
          <cell r="O465">
            <v>-0.58944785276073619</v>
          </cell>
        </row>
        <row r="466">
          <cell r="O466">
            <v>-0.30684413641017561</v>
          </cell>
        </row>
        <row r="467">
          <cell r="O467">
            <v>5.0392893747864709E-2</v>
          </cell>
        </row>
        <row r="468">
          <cell r="O468">
            <v>-7.6331900481959092E-2</v>
          </cell>
        </row>
        <row r="469">
          <cell r="O469">
            <v>-0.14007516228220021</v>
          </cell>
        </row>
        <row r="470">
          <cell r="O470">
            <v>-0.22852233676975944</v>
          </cell>
        </row>
        <row r="471">
          <cell r="O471">
            <v>-0.21729908083902899</v>
          </cell>
        </row>
        <row r="472">
          <cell r="O472">
            <v>-0.34714003944773175</v>
          </cell>
        </row>
        <row r="473">
          <cell r="O473">
            <v>-0.14423756775866131</v>
          </cell>
        </row>
        <row r="474">
          <cell r="O474">
            <v>-7.6864535768645353E-2</v>
          </cell>
        </row>
        <row r="475">
          <cell r="O475">
            <v>-6.8086479509519196E-2</v>
          </cell>
        </row>
        <row r="476">
          <cell r="O476">
            <v>-0.24108527131782945</v>
          </cell>
        </row>
        <row r="477">
          <cell r="O477">
            <v>-0.15709903593339175</v>
          </cell>
        </row>
        <row r="478">
          <cell r="O478">
            <v>-3.0750036694554526E-2</v>
          </cell>
        </row>
        <row r="479">
          <cell r="O479">
            <v>-0.25593719332679099</v>
          </cell>
        </row>
        <row r="480">
          <cell r="O480">
            <v>-0.13780260707635009</v>
          </cell>
        </row>
        <row r="481">
          <cell r="O481" t="str">
            <v>Not on 15/16 prices Unadjusted</v>
          </cell>
        </row>
        <row r="482">
          <cell r="O482">
            <v>0.32401714179243524</v>
          </cell>
        </row>
        <row r="483">
          <cell r="O483">
            <v>0.17841163310961969</v>
          </cell>
        </row>
        <row r="484">
          <cell r="O484">
            <v>-0.21325966850828729</v>
          </cell>
        </row>
        <row r="485">
          <cell r="O485">
            <v>-0.39610274579273691</v>
          </cell>
        </row>
        <row r="486">
          <cell r="O486">
            <v>-0.23130755064456721</v>
          </cell>
        </row>
        <row r="487">
          <cell r="O487" t="str">
            <v>Not on 15/16 prices Unadjusted</v>
          </cell>
        </row>
        <row r="488">
          <cell r="O488" t="str">
            <v>Not on 15/16 prices Unadjusted</v>
          </cell>
        </row>
        <row r="489">
          <cell r="O489" t="str">
            <v>Not on 15/16 prices Unadjusted</v>
          </cell>
        </row>
        <row r="490">
          <cell r="O490">
            <v>-0.28820148749154834</v>
          </cell>
        </row>
        <row r="491">
          <cell r="O491">
            <v>-0.262380088151413</v>
          </cell>
        </row>
        <row r="492">
          <cell r="O492">
            <v>-0.11687436847423374</v>
          </cell>
        </row>
        <row r="493">
          <cell r="O493">
            <v>-0.15156794425087108</v>
          </cell>
        </row>
        <row r="494">
          <cell r="O494" t="str">
            <v>Not on 15/16 prices Unadjusted</v>
          </cell>
        </row>
        <row r="495">
          <cell r="O495" t="str">
            <v>Not on 15/16 prices Unadjusted</v>
          </cell>
        </row>
        <row r="496">
          <cell r="O496" t="str">
            <v>Not on 15/16 prices Unadjusted</v>
          </cell>
        </row>
        <row r="497">
          <cell r="O497">
            <v>-0.39159109645507006</v>
          </cell>
        </row>
        <row r="498">
          <cell r="O498">
            <v>-0.32423076923076921</v>
          </cell>
        </row>
        <row r="499">
          <cell r="O499">
            <v>-0.11822985468956407</v>
          </cell>
        </row>
        <row r="500">
          <cell r="O500">
            <v>0.10467289719626169</v>
          </cell>
        </row>
        <row r="501">
          <cell r="O501">
            <v>-0.31599291351264291</v>
          </cell>
        </row>
        <row r="502">
          <cell r="O502">
            <v>-0.32947719688542826</v>
          </cell>
        </row>
        <row r="503">
          <cell r="O503">
            <v>-0.11961141469338191</v>
          </cell>
        </row>
        <row r="504">
          <cell r="O504">
            <v>-9.9322799097065456E-2</v>
          </cell>
        </row>
        <row r="505">
          <cell r="O505">
            <v>-0.20461455911285995</v>
          </cell>
        </row>
        <row r="506">
          <cell r="O506">
            <v>-0.2626143405134258</v>
          </cell>
        </row>
        <row r="507">
          <cell r="O507">
            <v>-5.5178652193577565E-2</v>
          </cell>
        </row>
        <row r="508">
          <cell r="O508">
            <v>-3.7662337662337661E-2</v>
          </cell>
        </row>
        <row r="509">
          <cell r="O509">
            <v>0.26354285714285713</v>
          </cell>
        </row>
        <row r="510">
          <cell r="O510">
            <v>-0.16944655041698256</v>
          </cell>
        </row>
        <row r="511">
          <cell r="O511">
            <v>-7.6957695769576964E-2</v>
          </cell>
        </row>
        <row r="512">
          <cell r="O512">
            <v>-3.5726877423904103E-2</v>
          </cell>
        </row>
        <row r="513">
          <cell r="O513">
            <v>-5.5381727158948686E-2</v>
          </cell>
        </row>
        <row r="514">
          <cell r="O514">
            <v>-6.4120631341600898E-2</v>
          </cell>
        </row>
        <row r="515">
          <cell r="O515">
            <v>-0.16344803370786518</v>
          </cell>
        </row>
        <row r="516">
          <cell r="O516">
            <v>-5.741878841088674E-2</v>
          </cell>
        </row>
        <row r="517">
          <cell r="O517">
            <v>1.5804825351098308</v>
          </cell>
        </row>
        <row r="518">
          <cell r="O518">
            <v>0.8125</v>
          </cell>
        </row>
        <row r="519">
          <cell r="O519">
            <v>0.81895424836601305</v>
          </cell>
        </row>
        <row r="520">
          <cell r="O520">
            <v>1.6493672685909285E-2</v>
          </cell>
        </row>
        <row r="521">
          <cell r="O521">
            <v>-0.27167726816203547</v>
          </cell>
        </row>
        <row r="522">
          <cell r="O522">
            <v>0.18205128205128204</v>
          </cell>
        </row>
        <row r="523">
          <cell r="O523">
            <v>6.8777292576419208E-2</v>
          </cell>
        </row>
        <row r="524">
          <cell r="O524">
            <v>0.32433025911286784</v>
          </cell>
        </row>
        <row r="525">
          <cell r="O525">
            <v>-6.7348960052822718E-2</v>
          </cell>
        </row>
        <row r="526">
          <cell r="O526">
            <v>0.78644628099173552</v>
          </cell>
        </row>
        <row r="527">
          <cell r="O527">
            <v>0.29996346364632809</v>
          </cell>
        </row>
        <row r="528">
          <cell r="O528">
            <v>9.7834493426140756E-2</v>
          </cell>
        </row>
        <row r="529">
          <cell r="O529">
            <v>1.2483130904183535</v>
          </cell>
        </row>
        <row r="530">
          <cell r="O530">
            <v>0.35918937805730261</v>
          </cell>
        </row>
        <row r="531">
          <cell r="O531">
            <v>0.12440731542108828</v>
          </cell>
        </row>
        <row r="532">
          <cell r="O532">
            <v>3.653846153846154E-2</v>
          </cell>
        </row>
        <row r="533">
          <cell r="O533">
            <v>0.51171230616958097</v>
          </cell>
        </row>
        <row r="534">
          <cell r="O534">
            <v>0.6238894373149062</v>
          </cell>
        </row>
        <row r="535">
          <cell r="O535">
            <v>0.49244712990936557</v>
          </cell>
        </row>
        <row r="536">
          <cell r="O536">
            <v>-0.21378941742383753</v>
          </cell>
        </row>
        <row r="537">
          <cell r="O537">
            <v>-0.60411311053984573</v>
          </cell>
        </row>
        <row r="538">
          <cell r="O538">
            <v>-0.43232205367561261</v>
          </cell>
        </row>
        <row r="539">
          <cell r="O539">
            <v>-0.44927044451985071</v>
          </cell>
        </row>
        <row r="540">
          <cell r="O540">
            <v>3.8714390065741421E-2</v>
          </cell>
        </row>
        <row r="541">
          <cell r="O541">
            <v>4.2678440029433405E-2</v>
          </cell>
        </row>
        <row r="542">
          <cell r="O542">
            <v>0.15094339622641509</v>
          </cell>
        </row>
        <row r="543">
          <cell r="O543">
            <v>4.6012269938650305E-2</v>
          </cell>
        </row>
        <row r="544">
          <cell r="O544">
            <v>0.3034939483900434</v>
          </cell>
        </row>
        <row r="545">
          <cell r="O545">
            <v>-0.17038539553752535</v>
          </cell>
        </row>
        <row r="546">
          <cell r="O546">
            <v>-0.34367167919799496</v>
          </cell>
        </row>
        <row r="547">
          <cell r="O547">
            <v>-0.38306878306878306</v>
          </cell>
        </row>
        <row r="548">
          <cell r="O548">
            <v>-0.26095843742902569</v>
          </cell>
        </row>
        <row r="549">
          <cell r="O549">
            <v>-0.26140012845215155</v>
          </cell>
        </row>
        <row r="550">
          <cell r="O550">
            <v>-0.17716701902748413</v>
          </cell>
        </row>
        <row r="551">
          <cell r="O551">
            <v>-4.1564792176039117E-2</v>
          </cell>
        </row>
        <row r="552">
          <cell r="O552">
            <v>-0.15699100572363042</v>
          </cell>
        </row>
        <row r="553">
          <cell r="O553">
            <v>-0.44553644553644556</v>
          </cell>
        </row>
        <row r="554">
          <cell r="O554">
            <v>-0.4682230869001297</v>
          </cell>
        </row>
        <row r="555">
          <cell r="O555">
            <v>0.10172143974960876</v>
          </cell>
        </row>
        <row r="556">
          <cell r="O556" t="str">
            <v>Not on 15/16 prices Unadjusted</v>
          </cell>
        </row>
        <row r="557">
          <cell r="O557" t="str">
            <v>Not on 15/16 prices Unadjusted</v>
          </cell>
        </row>
        <row r="558">
          <cell r="O558" t="str">
            <v>Not on 15/16 prices Unadjusted</v>
          </cell>
        </row>
        <row r="559">
          <cell r="O559">
            <v>-0.63097576948264567</v>
          </cell>
        </row>
        <row r="560">
          <cell r="O560">
            <v>-9.5384615384615387E-2</v>
          </cell>
        </row>
        <row r="561">
          <cell r="O561">
            <v>0.12137203166226913</v>
          </cell>
        </row>
        <row r="562">
          <cell r="O562">
            <v>1.4684908789386402</v>
          </cell>
        </row>
        <row r="563">
          <cell r="O563">
            <v>1.2638623326959848</v>
          </cell>
        </row>
        <row r="564">
          <cell r="O564">
            <v>1.5217391304347827</v>
          </cell>
        </row>
        <row r="565">
          <cell r="O565">
            <v>2.8428874734607219</v>
          </cell>
        </row>
        <row r="566">
          <cell r="O566">
            <v>0.4684838160136286</v>
          </cell>
        </row>
        <row r="567">
          <cell r="O567">
            <v>0.37533512064343161</v>
          </cell>
        </row>
        <row r="568">
          <cell r="O568">
            <v>0.84411764705882353</v>
          </cell>
        </row>
        <row r="569">
          <cell r="O569">
            <v>6.945080091533181</v>
          </cell>
        </row>
        <row r="570">
          <cell r="O570">
            <v>0.50092208390963577</v>
          </cell>
        </row>
        <row r="571">
          <cell r="O571">
            <v>-4.3793270004830138E-2</v>
          </cell>
        </row>
        <row r="572">
          <cell r="O572">
            <v>0.34879783271249576</v>
          </cell>
        </row>
        <row r="573">
          <cell r="O573">
            <v>0.24512344836993588</v>
          </cell>
        </row>
        <row r="574">
          <cell r="O574">
            <v>7.4933687002652516E-2</v>
          </cell>
        </row>
        <row r="575">
          <cell r="O575">
            <v>8.4469696969696972E-2</v>
          </cell>
        </row>
        <row r="576">
          <cell r="O576">
            <v>0.26063249727371862</v>
          </cell>
        </row>
        <row r="577">
          <cell r="O577">
            <v>0.18953826283500161</v>
          </cell>
        </row>
        <row r="578">
          <cell r="O578">
            <v>8.5353003161222338E-2</v>
          </cell>
        </row>
        <row r="579">
          <cell r="O579">
            <v>2.3463060686015833</v>
          </cell>
        </row>
        <row r="580">
          <cell r="O580">
            <v>0.73353989155693256</v>
          </cell>
        </row>
        <row r="581">
          <cell r="O581">
            <v>4.8475689881734558</v>
          </cell>
        </row>
        <row r="582">
          <cell r="O582">
            <v>0.90415785764622969</v>
          </cell>
        </row>
        <row r="583">
          <cell r="O583">
            <v>6.5704761904761906</v>
          </cell>
        </row>
        <row r="584">
          <cell r="O584">
            <v>2.983810709838107</v>
          </cell>
        </row>
        <row r="585">
          <cell r="O585">
            <v>-2.3741567202906072E-2</v>
          </cell>
        </row>
        <row r="586">
          <cell r="O586">
            <v>-0.35441061670569868</v>
          </cell>
        </row>
        <row r="587">
          <cell r="O587">
            <v>-6.2905204135272466E-2</v>
          </cell>
        </row>
        <row r="588">
          <cell r="O588">
            <v>1.9661963550852439</v>
          </cell>
        </row>
        <row r="589">
          <cell r="O589">
            <v>-0.22483498349834982</v>
          </cell>
        </row>
        <row r="590">
          <cell r="O590">
            <v>1.112736660929432</v>
          </cell>
        </row>
        <row r="591">
          <cell r="O591">
            <v>0.28093245666467426</v>
          </cell>
        </row>
        <row r="592">
          <cell r="O592">
            <v>1.2210327455919396</v>
          </cell>
        </row>
        <row r="593">
          <cell r="O593">
            <v>0.18823529411764706</v>
          </cell>
        </row>
        <row r="594">
          <cell r="O594">
            <v>3.2120038722168442</v>
          </cell>
        </row>
        <row r="595">
          <cell r="O595">
            <v>1.9429175475687104</v>
          </cell>
        </row>
        <row r="596">
          <cell r="O596">
            <v>1.5</v>
          </cell>
        </row>
        <row r="597">
          <cell r="O597">
            <v>2.375</v>
          </cell>
        </row>
        <row r="598">
          <cell r="O598">
            <v>3.5748792270531404E-2</v>
          </cell>
        </row>
        <row r="599">
          <cell r="O599">
            <v>1.8269824922760041</v>
          </cell>
        </row>
        <row r="600">
          <cell r="O600">
            <v>-0.38228855721393035</v>
          </cell>
        </row>
        <row r="601">
          <cell r="O601">
            <v>0.12131367292225201</v>
          </cell>
        </row>
        <row r="602">
          <cell r="O602">
            <v>1.3136117556071152</v>
          </cell>
        </row>
        <row r="603">
          <cell r="O603">
            <v>1.234368855682265</v>
          </cell>
        </row>
        <row r="604">
          <cell r="O604">
            <v>-8.7873462214411252E-2</v>
          </cell>
        </row>
        <row r="605">
          <cell r="O605">
            <v>1.1004065040650406</v>
          </cell>
        </row>
        <row r="606">
          <cell r="O606">
            <v>0.76501305483028725</v>
          </cell>
        </row>
        <row r="607">
          <cell r="O607">
            <v>1.4651038891848696</v>
          </cell>
        </row>
        <row r="608">
          <cell r="O608">
            <v>0.37902559867877789</v>
          </cell>
        </row>
        <row r="609">
          <cell r="O609">
            <v>2.044162129461585</v>
          </cell>
        </row>
        <row r="610">
          <cell r="O610">
            <v>0.7330396475770925</v>
          </cell>
        </row>
        <row r="611">
          <cell r="O611">
            <v>2.1628849270664507</v>
          </cell>
        </row>
        <row r="612">
          <cell r="O612">
            <v>0.56850961538461542</v>
          </cell>
        </row>
        <row r="613">
          <cell r="O613">
            <v>-0.51244088011515521</v>
          </cell>
        </row>
        <row r="614">
          <cell r="O614">
            <v>-0.25452408930669801</v>
          </cell>
        </row>
        <row r="615">
          <cell r="O615">
            <v>-0.358162100456621</v>
          </cell>
        </row>
        <row r="616">
          <cell r="O616">
            <v>-0.22630092779346511</v>
          </cell>
        </row>
        <row r="617">
          <cell r="O617">
            <v>1.7417355371900827</v>
          </cell>
        </row>
        <row r="618">
          <cell r="O618">
            <v>0.50706713780918733</v>
          </cell>
        </row>
        <row r="619">
          <cell r="O619">
            <v>1.7069154774972557</v>
          </cell>
        </row>
        <row r="620">
          <cell r="O620">
            <v>0.70131421744324973</v>
          </cell>
        </row>
        <row r="621">
          <cell r="O621">
            <v>2.7728494623655915</v>
          </cell>
        </row>
        <row r="622">
          <cell r="O622">
            <v>0.97939560439560436</v>
          </cell>
        </row>
        <row r="623">
          <cell r="O623">
            <v>-0.36952998379254459</v>
          </cell>
        </row>
        <row r="624">
          <cell r="O624">
            <v>-0.51381642512077297</v>
          </cell>
        </row>
        <row r="625">
          <cell r="O625">
            <v>0.17843631778058008</v>
          </cell>
        </row>
        <row r="626">
          <cell r="O626">
            <v>-0.4277456647398844</v>
          </cell>
        </row>
        <row r="627">
          <cell r="O627">
            <v>1.6326923076923077</v>
          </cell>
        </row>
        <row r="628">
          <cell r="O628">
            <v>-0.18785753829119764</v>
          </cell>
        </row>
        <row r="629">
          <cell r="O629">
            <v>-0.57249508840864438</v>
          </cell>
        </row>
        <row r="630">
          <cell r="O630">
            <v>-9.3175316714344092E-2</v>
          </cell>
        </row>
        <row r="631">
          <cell r="O631">
            <v>0.78464254192409533</v>
          </cell>
        </row>
        <row r="632">
          <cell r="O632">
            <v>1.7442748091603053</v>
          </cell>
        </row>
        <row r="633">
          <cell r="O633">
            <v>12.770547945205479</v>
          </cell>
        </row>
        <row r="634">
          <cell r="O634">
            <v>1.0009310986964618E-2</v>
          </cell>
        </row>
        <row r="635">
          <cell r="O635">
            <v>4.3079015984582247E-2</v>
          </cell>
        </row>
        <row r="636">
          <cell r="O636">
            <v>8.1150051037767942E-2</v>
          </cell>
        </row>
        <row r="637">
          <cell r="O637">
            <v>0.3349206349206349</v>
          </cell>
        </row>
        <row r="638">
          <cell r="O638">
            <v>0.16670270270270271</v>
          </cell>
        </row>
        <row r="639">
          <cell r="O639">
            <v>5.0055005500550052E-2</v>
          </cell>
        </row>
        <row r="640">
          <cell r="O640">
            <v>0.27901383042693928</v>
          </cell>
        </row>
        <row r="641">
          <cell r="O641">
            <v>0.57127991675338186</v>
          </cell>
        </row>
        <row r="642">
          <cell r="O642">
            <v>0.84006734006734007</v>
          </cell>
        </row>
        <row r="643">
          <cell r="O643" t="str">
            <v>Not on 15/16 prices Unadjusted</v>
          </cell>
        </row>
        <row r="644">
          <cell r="O644" t="str">
            <v>Not on 15/16 prices Unadjusted</v>
          </cell>
        </row>
        <row r="645">
          <cell r="O645">
            <v>0.31146245059288535</v>
          </cell>
        </row>
        <row r="646">
          <cell r="O646" t="str">
            <v>Not on 15/16 prices Unadjusted</v>
          </cell>
        </row>
        <row r="647">
          <cell r="O647">
            <v>1.3837894736842105</v>
          </cell>
        </row>
        <row r="648">
          <cell r="O648">
            <v>0.49586349534643226</v>
          </cell>
        </row>
        <row r="649">
          <cell r="O649">
            <v>0.21145799806887672</v>
          </cell>
        </row>
        <row r="650">
          <cell r="O650">
            <v>0</v>
          </cell>
        </row>
        <row r="651">
          <cell r="O651">
            <v>-0.27313883299798791</v>
          </cell>
        </row>
        <row r="652">
          <cell r="O652">
            <v>-0.18248847926267281</v>
          </cell>
        </row>
        <row r="653">
          <cell r="O653">
            <v>-6.3877534663781363E-2</v>
          </cell>
        </row>
        <row r="654">
          <cell r="O654">
            <v>-0.70802276188186264</v>
          </cell>
        </row>
        <row r="655">
          <cell r="O655">
            <v>-0.38559015206372194</v>
          </cell>
        </row>
        <row r="656">
          <cell r="O656">
            <v>0.15361077111383109</v>
          </cell>
        </row>
        <row r="657">
          <cell r="O657">
            <v>6.0786106032906767E-2</v>
          </cell>
        </row>
        <row r="658">
          <cell r="O658">
            <v>4.0780141843971635E-2</v>
          </cell>
        </row>
        <row r="659">
          <cell r="O659">
            <v>-0.33671307506053266</v>
          </cell>
        </row>
        <row r="660">
          <cell r="O660">
            <v>-0.19822654462242562</v>
          </cell>
        </row>
        <row r="661">
          <cell r="O661" t="str">
            <v>Not on 15/16 prices Unadjusted</v>
          </cell>
        </row>
        <row r="662">
          <cell r="O662" t="str">
            <v>Not on 15/16 prices Unadjusted</v>
          </cell>
        </row>
        <row r="663">
          <cell r="O663">
            <v>-0.54603823143148988</v>
          </cell>
        </row>
        <row r="664">
          <cell r="O664">
            <v>-0.24108878807517822</v>
          </cell>
        </row>
        <row r="665">
          <cell r="O665">
            <v>-0.2029194970371441</v>
          </cell>
        </row>
        <row r="666">
          <cell r="O666">
            <v>-0.13118916631400762</v>
          </cell>
        </row>
        <row r="667">
          <cell r="O667">
            <v>-0.22319262493934983</v>
          </cell>
        </row>
        <row r="668">
          <cell r="O668">
            <v>-9.0909090909090912E-2</v>
          </cell>
        </row>
        <row r="669">
          <cell r="O669">
            <v>-0.13407821229050279</v>
          </cell>
        </row>
        <row r="670">
          <cell r="O670">
            <v>-0.19049016730261226</v>
          </cell>
        </row>
        <row r="671">
          <cell r="O671">
            <v>-0.14487179487179488</v>
          </cell>
        </row>
        <row r="672">
          <cell r="O672">
            <v>-0.1544461778471139</v>
          </cell>
        </row>
        <row r="673">
          <cell r="O673">
            <v>-0.15878194671016857</v>
          </cell>
        </row>
        <row r="674">
          <cell r="O674">
            <v>-0.29889879391714735</v>
          </cell>
        </row>
        <row r="675">
          <cell r="O675">
            <v>-0.13569321533923304</v>
          </cell>
        </row>
        <row r="676">
          <cell r="O676">
            <v>-0.20094562647754138</v>
          </cell>
        </row>
        <row r="677">
          <cell r="O677">
            <v>-0.16600000000000001</v>
          </cell>
        </row>
        <row r="678">
          <cell r="O678">
            <v>-0.1982793936911102</v>
          </cell>
        </row>
        <row r="679">
          <cell r="O679">
            <v>-0.4533106960950764</v>
          </cell>
        </row>
        <row r="680">
          <cell r="O680">
            <v>-0.22083333333333333</v>
          </cell>
        </row>
        <row r="681">
          <cell r="O681">
            <v>-7.407407407407407E-2</v>
          </cell>
        </row>
        <row r="682">
          <cell r="O682">
            <v>-0.34059609455292911</v>
          </cell>
        </row>
        <row r="683">
          <cell r="O683">
            <v>-0.28169913765570104</v>
          </cell>
        </row>
        <row r="684">
          <cell r="O684">
            <v>2.8502415458937197E-2</v>
          </cell>
        </row>
        <row r="685">
          <cell r="O685">
            <v>-0.10068302555021502</v>
          </cell>
        </row>
        <row r="686">
          <cell r="O686">
            <v>-0.21631736526946108</v>
          </cell>
        </row>
        <row r="687">
          <cell r="O687">
            <v>-0.12696276357110811</v>
          </cell>
        </row>
        <row r="688">
          <cell r="O688">
            <v>-0.44857943177270909</v>
          </cell>
        </row>
        <row r="689">
          <cell r="O689">
            <v>-0.2653537790923951</v>
          </cell>
        </row>
        <row r="690">
          <cell r="O690">
            <v>0.22228391634277253</v>
          </cell>
        </row>
        <row r="691">
          <cell r="O691">
            <v>-2.7741481555935268E-2</v>
          </cell>
        </row>
        <row r="692">
          <cell r="O692">
            <v>2.4066852367688022E-2</v>
          </cell>
        </row>
        <row r="693">
          <cell r="O693">
            <v>-0.36692506459948321</v>
          </cell>
        </row>
        <row r="694">
          <cell r="O694">
            <v>-0.32669809673476513</v>
          </cell>
        </row>
        <row r="695">
          <cell r="O695" t="str">
            <v>Not on 15/16 prices Unadjusted</v>
          </cell>
        </row>
        <row r="696">
          <cell r="O696" t="str">
            <v>Not on 15/16 prices Unadjusted</v>
          </cell>
        </row>
        <row r="697">
          <cell r="O697" t="str">
            <v>Not on 15/16 prices Unadjusted</v>
          </cell>
        </row>
        <row r="698">
          <cell r="O698" t="str">
            <v>Not on 15/16 prices Unadjusted</v>
          </cell>
        </row>
        <row r="699">
          <cell r="O699" t="str">
            <v>Not on 15/16 prices Unadjusted</v>
          </cell>
        </row>
        <row r="700">
          <cell r="O700" t="str">
            <v>Not on 15/16 prices Unadjusted</v>
          </cell>
        </row>
        <row r="701">
          <cell r="O701" t="str">
            <v>Not on 15/16 prices Unadjusted</v>
          </cell>
        </row>
        <row r="702">
          <cell r="O702" t="str">
            <v>Not on 15/16 prices Unadjusted</v>
          </cell>
        </row>
        <row r="703">
          <cell r="O703" t="str">
            <v>Not on 15/16 prices Unadjusted</v>
          </cell>
        </row>
        <row r="704">
          <cell r="O704" t="str">
            <v>Not on 15/16 prices Unadjusted</v>
          </cell>
        </row>
        <row r="705">
          <cell r="O705" t="str">
            <v>Not on 15/16 prices Unadjusted</v>
          </cell>
        </row>
        <row r="706">
          <cell r="O706" t="str">
            <v>Not on 15/16 prices Unadjusted</v>
          </cell>
        </row>
        <row r="707">
          <cell r="O707" t="str">
            <v>Not on 15/16 prices Unadjusted</v>
          </cell>
        </row>
        <row r="708">
          <cell r="O708" t="str">
            <v>Not on 15/16 prices Unadjusted</v>
          </cell>
        </row>
        <row r="709">
          <cell r="O709" t="str">
            <v>Not on 15/16 prices Unadjusted</v>
          </cell>
        </row>
        <row r="710">
          <cell r="O710">
            <v>-0.11481129083412622</v>
          </cell>
        </row>
        <row r="711">
          <cell r="O711">
            <v>-0.20555284948855335</v>
          </cell>
        </row>
        <row r="712">
          <cell r="O712">
            <v>-0.29979253112033194</v>
          </cell>
        </row>
        <row r="713">
          <cell r="O713">
            <v>-7.9497907949790794E-2</v>
          </cell>
        </row>
        <row r="714">
          <cell r="O714">
            <v>6.3371356147021544E-3</v>
          </cell>
        </row>
        <row r="715">
          <cell r="O715" t="str">
            <v>Not on 15/16 prices Unadjusted</v>
          </cell>
        </row>
        <row r="716">
          <cell r="O716" t="str">
            <v>Not on 15/16 prices Unadjusted</v>
          </cell>
        </row>
        <row r="717">
          <cell r="O717" t="str">
            <v>Not on 15/16 prices Unadjusted</v>
          </cell>
        </row>
        <row r="718">
          <cell r="O718" t="str">
            <v>Not on 15/16 prices Unadjusted</v>
          </cell>
        </row>
        <row r="719">
          <cell r="O719" t="str">
            <v>Not on 15/16 prices Unadjusted</v>
          </cell>
        </row>
        <row r="720">
          <cell r="O720">
            <v>-0.13883133029423952</v>
          </cell>
        </row>
        <row r="721">
          <cell r="O721">
            <v>-0.12853425845620123</v>
          </cell>
        </row>
        <row r="722">
          <cell r="O722">
            <v>-0.20402157920549288</v>
          </cell>
        </row>
        <row r="723">
          <cell r="O723">
            <v>-0.30039668229354488</v>
          </cell>
        </row>
        <row r="724">
          <cell r="O724">
            <v>-0.25155612792444731</v>
          </cell>
        </row>
        <row r="725">
          <cell r="O725">
            <v>-0.33693101830126704</v>
          </cell>
        </row>
        <row r="726">
          <cell r="O726">
            <v>-0.15138816134101624</v>
          </cell>
        </row>
        <row r="727">
          <cell r="O727">
            <v>-0.19372630127542226</v>
          </cell>
        </row>
        <row r="728">
          <cell r="O728">
            <v>-0.12346401404330018</v>
          </cell>
        </row>
        <row r="729">
          <cell r="O729">
            <v>-0.28492815652705594</v>
          </cell>
        </row>
        <row r="730">
          <cell r="O730">
            <v>-0.14203821656050955</v>
          </cell>
        </row>
        <row r="731">
          <cell r="O731">
            <v>-4.965089216446858E-2</v>
          </cell>
        </row>
        <row r="732">
          <cell r="O732">
            <v>4.5506257110352671E-3</v>
          </cell>
        </row>
        <row r="733">
          <cell r="O733">
            <v>-7.3081607795371494E-3</v>
          </cell>
        </row>
        <row r="734">
          <cell r="O734">
            <v>1.2180267965895249E-2</v>
          </cell>
        </row>
        <row r="735">
          <cell r="O735">
            <v>-7.2115384615384609E-2</v>
          </cell>
        </row>
        <row r="736">
          <cell r="O736">
            <v>-5.673076923076923E-2</v>
          </cell>
        </row>
        <row r="737">
          <cell r="O737">
            <v>5.3846153846153849E-2</v>
          </cell>
        </row>
        <row r="738">
          <cell r="O738">
            <v>0.10740203193033382</v>
          </cell>
        </row>
        <row r="739">
          <cell r="O739">
            <v>-0.51428571428571423</v>
          </cell>
        </row>
        <row r="740">
          <cell r="O740">
            <v>6.6202090592334492E-2</v>
          </cell>
        </row>
        <row r="741">
          <cell r="O741">
            <v>-4.4585987261146494E-2</v>
          </cell>
        </row>
        <row r="742">
          <cell r="O742">
            <v>0.3949579831932773</v>
          </cell>
        </row>
        <row r="743">
          <cell r="O743">
            <v>5.1229508196721313E-2</v>
          </cell>
        </row>
        <row r="744">
          <cell r="O744">
            <v>3.565891472868217E-2</v>
          </cell>
        </row>
        <row r="745">
          <cell r="O745">
            <v>-6.0728744939271252E-2</v>
          </cell>
        </row>
        <row r="746">
          <cell r="O746">
            <v>-8.2750582750582752E-2</v>
          </cell>
        </row>
        <row r="747">
          <cell r="O747">
            <v>-6.7829457364341081E-2</v>
          </cell>
        </row>
        <row r="748">
          <cell r="O748">
            <v>0.19668737060041408</v>
          </cell>
        </row>
        <row r="749">
          <cell r="O749">
            <v>9.7421203438395415E-2</v>
          </cell>
        </row>
        <row r="750">
          <cell r="O750">
            <v>-1</v>
          </cell>
        </row>
        <row r="751">
          <cell r="O751">
            <v>1.8530020703933747</v>
          </cell>
        </row>
        <row r="752">
          <cell r="O752">
            <v>-9.8790322580645157E-2</v>
          </cell>
        </row>
        <row r="753">
          <cell r="O753" t="str">
            <v>Not on 15/16 prices Unadjusted</v>
          </cell>
        </row>
        <row r="754">
          <cell r="O754" t="str">
            <v>Not on 15/16 prices Unadjusted</v>
          </cell>
        </row>
        <row r="755">
          <cell r="O755">
            <v>-0.15393283750281722</v>
          </cell>
        </row>
        <row r="756">
          <cell r="O756">
            <v>-0.10296352583586627</v>
          </cell>
        </row>
        <row r="757">
          <cell r="O757">
            <v>-0.32994493858534518</v>
          </cell>
        </row>
        <row r="758">
          <cell r="O758">
            <v>-5.4022988505747126E-2</v>
          </cell>
        </row>
        <row r="759">
          <cell r="O759">
            <v>0.18424396442185514</v>
          </cell>
        </row>
        <row r="760">
          <cell r="O760">
            <v>0.1592545531554426</v>
          </cell>
        </row>
        <row r="761">
          <cell r="O761">
            <v>-0.19974185221039045</v>
          </cell>
        </row>
        <row r="762">
          <cell r="O762">
            <v>0.12144504227517294</v>
          </cell>
        </row>
        <row r="763">
          <cell r="O763">
            <v>0.11305361305361306</v>
          </cell>
        </row>
        <row r="764">
          <cell r="O764">
            <v>-0.2528473804100228</v>
          </cell>
        </row>
        <row r="765">
          <cell r="O765">
            <v>5.8540497193263832E-2</v>
          </cell>
        </row>
        <row r="766">
          <cell r="O766">
            <v>0.10294117647058823</v>
          </cell>
        </row>
        <row r="767">
          <cell r="O767">
            <v>-0.23433242506811988</v>
          </cell>
        </row>
        <row r="768">
          <cell r="O768">
            <v>-0.10105757931844889</v>
          </cell>
        </row>
        <row r="769">
          <cell r="O769">
            <v>-0.16443594646271512</v>
          </cell>
        </row>
        <row r="770">
          <cell r="O770">
            <v>-0.15221987315010571</v>
          </cell>
        </row>
        <row r="771">
          <cell r="O771">
            <v>-0.17850953206239167</v>
          </cell>
        </row>
        <row r="772">
          <cell r="O772">
            <v>-0.47695605573419081</v>
          </cell>
        </row>
        <row r="773">
          <cell r="O773">
            <v>0.21672167216721672</v>
          </cell>
        </row>
        <row r="774">
          <cell r="O774">
            <v>-0.44954270655712292</v>
          </cell>
        </row>
        <row r="775">
          <cell r="O775">
            <v>-4.0887040887040885E-2</v>
          </cell>
        </row>
        <row r="776">
          <cell r="O776">
            <v>-0.40960912052117265</v>
          </cell>
        </row>
        <row r="777">
          <cell r="O777">
            <v>-0.21278538812785389</v>
          </cell>
        </row>
        <row r="778">
          <cell r="O778">
            <v>-0.25543478260869568</v>
          </cell>
        </row>
        <row r="779">
          <cell r="O779">
            <v>-1.8805829807240243E-3</v>
          </cell>
        </row>
        <row r="780">
          <cell r="O780">
            <v>-9.2238470191226093E-2</v>
          </cell>
        </row>
        <row r="781">
          <cell r="O781">
            <v>-7.9679044597872742E-2</v>
          </cell>
        </row>
        <row r="782">
          <cell r="O782">
            <v>-7.0256625999158606E-2</v>
          </cell>
        </row>
        <row r="783">
          <cell r="O783">
            <v>-0.37677183356195704</v>
          </cell>
        </row>
        <row r="784">
          <cell r="O784">
            <v>-0.15760441292356187</v>
          </cell>
        </row>
        <row r="785">
          <cell r="O785">
            <v>-0.28036790358388836</v>
          </cell>
        </row>
        <row r="786">
          <cell r="O786">
            <v>-0.30574826560951435</v>
          </cell>
        </row>
        <row r="787">
          <cell r="O787">
            <v>-0.24061433447098976</v>
          </cell>
        </row>
        <row r="788">
          <cell r="O788">
            <v>-0.25746102449888641</v>
          </cell>
        </row>
        <row r="789">
          <cell r="O789">
            <v>-0.10648518815052041</v>
          </cell>
        </row>
        <row r="790">
          <cell r="O790">
            <v>6.41025641025641E-3</v>
          </cell>
        </row>
        <row r="791">
          <cell r="O791">
            <v>-0.29077849860982391</v>
          </cell>
        </row>
        <row r="792">
          <cell r="O792">
            <v>-0.17694155324259409</v>
          </cell>
        </row>
        <row r="793">
          <cell r="O793">
            <v>-0.18113612004287247</v>
          </cell>
        </row>
        <row r="794">
          <cell r="O794">
            <v>-0.38892251815980627</v>
          </cell>
        </row>
        <row r="795">
          <cell r="O795">
            <v>-0.18910741301059</v>
          </cell>
        </row>
        <row r="796">
          <cell r="O796">
            <v>-0.22311111111111112</v>
          </cell>
        </row>
        <row r="797">
          <cell r="O797">
            <v>-7.5288855758479309E-2</v>
          </cell>
        </row>
        <row r="798">
          <cell r="O798">
            <v>-8.3391243919388458E-3</v>
          </cell>
        </row>
        <row r="799">
          <cell r="O799">
            <v>-0.13412228796844181</v>
          </cell>
        </row>
        <row r="800">
          <cell r="O800">
            <v>-0.21564307353346185</v>
          </cell>
        </row>
        <row r="801">
          <cell r="O801">
            <v>-0.19618781961878196</v>
          </cell>
        </row>
        <row r="802">
          <cell r="O802">
            <v>-0.11880466472303207</v>
          </cell>
        </row>
        <row r="803">
          <cell r="O803">
            <v>3.6585365853658534E-2</v>
          </cell>
        </row>
        <row r="804">
          <cell r="O804">
            <v>-8.4548104956268216E-2</v>
          </cell>
        </row>
        <row r="805">
          <cell r="O805">
            <v>-8.6507072905331883E-2</v>
          </cell>
        </row>
        <row r="806">
          <cell r="O806">
            <v>-0.30025104602510461</v>
          </cell>
        </row>
        <row r="807">
          <cell r="O807">
            <v>-0.35408103347034647</v>
          </cell>
        </row>
        <row r="808">
          <cell r="O808">
            <v>-0.26153011394465547</v>
          </cell>
        </row>
        <row r="809">
          <cell r="O809">
            <v>-0.17691622103386809</v>
          </cell>
        </row>
        <row r="810">
          <cell r="O810">
            <v>-0.29255189255189257</v>
          </cell>
        </row>
        <row r="811">
          <cell r="O811">
            <v>-0.12060889929742388</v>
          </cell>
        </row>
        <row r="812">
          <cell r="O812">
            <v>-0.28163580246913578</v>
          </cell>
        </row>
        <row r="813">
          <cell r="O813" t="e">
            <v>#DIV/0!</v>
          </cell>
        </row>
        <row r="814">
          <cell r="O814">
            <v>-5.6451612903225805E-2</v>
          </cell>
        </row>
        <row r="815">
          <cell r="O815">
            <v>-0.32743362831858408</v>
          </cell>
        </row>
        <row r="816">
          <cell r="O816">
            <v>-9.2142453363482188E-2</v>
          </cell>
        </row>
        <row r="817">
          <cell r="O817">
            <v>-6.616541353383458E-2</v>
          </cell>
        </row>
        <row r="818">
          <cell r="O818">
            <v>8.8105726872246704E-3</v>
          </cell>
        </row>
        <row r="819">
          <cell r="O819">
            <v>-0.24540930152737259</v>
          </cell>
        </row>
        <row r="820">
          <cell r="O820">
            <v>-0.15247595297470609</v>
          </cell>
        </row>
        <row r="821">
          <cell r="O821" t="str">
            <v>Not on 15/16 prices Unadjusted</v>
          </cell>
        </row>
        <row r="822">
          <cell r="O822" t="str">
            <v>Not on 15/16 prices Unadjusted</v>
          </cell>
        </row>
        <row r="823">
          <cell r="O823" t="str">
            <v>Not on 15/16 prices Unadjusted</v>
          </cell>
        </row>
        <row r="824">
          <cell r="O824" t="str">
            <v>Not on 15/16 prices Unadjusted</v>
          </cell>
        </row>
        <row r="825">
          <cell r="O825" t="str">
            <v>Not on 15/16 prices Unadjusted</v>
          </cell>
        </row>
        <row r="826">
          <cell r="O826" t="str">
            <v>Not on 15/16 prices Unadjusted</v>
          </cell>
        </row>
        <row r="827">
          <cell r="O827" t="str">
            <v>Not on 15/16 prices Unadjusted</v>
          </cell>
        </row>
        <row r="828">
          <cell r="O828">
            <v>-0.34095821325648418</v>
          </cell>
        </row>
        <row r="829">
          <cell r="O829">
            <v>-0.34357344632768361</v>
          </cell>
        </row>
        <row r="830">
          <cell r="O830">
            <v>-0.19717480871100648</v>
          </cell>
        </row>
        <row r="831">
          <cell r="O831">
            <v>-0.21150885296381833</v>
          </cell>
        </row>
        <row r="832">
          <cell r="O832">
            <v>-0.15188970763014023</v>
          </cell>
        </row>
        <row r="833">
          <cell r="O833">
            <v>-0.24325309992706054</v>
          </cell>
        </row>
        <row r="834">
          <cell r="O834">
            <v>-0.21357702349869451</v>
          </cell>
        </row>
        <row r="835">
          <cell r="O835">
            <v>-2.7303754266211604E-2</v>
          </cell>
        </row>
        <row r="836">
          <cell r="O836" t="str">
            <v>Not on 15/16 prices Unadjusted</v>
          </cell>
        </row>
        <row r="837">
          <cell r="O837" t="str">
            <v>Not on 15/16 prices Unadjusted</v>
          </cell>
        </row>
        <row r="838">
          <cell r="O838" t="str">
            <v>Not on 15/16 prices Unadjusted</v>
          </cell>
        </row>
        <row r="839">
          <cell r="O839" t="str">
            <v>Not on 15/16 prices Unadjusted</v>
          </cell>
        </row>
        <row r="840">
          <cell r="O840" t="str">
            <v>Not on 15/16 prices Unadjusted</v>
          </cell>
        </row>
        <row r="841">
          <cell r="O841" t="str">
            <v>Not on 15/16 prices Unadjusted</v>
          </cell>
        </row>
        <row r="842">
          <cell r="O842" t="str">
            <v>Not on 15/16 prices Unadjusted</v>
          </cell>
        </row>
        <row r="843">
          <cell r="O843">
            <v>-0.2080436941410129</v>
          </cell>
        </row>
        <row r="844">
          <cell r="O844">
            <v>-0.16992452099864525</v>
          </cell>
        </row>
        <row r="845">
          <cell r="O845">
            <v>-0.13667582417582416</v>
          </cell>
        </row>
        <row r="846">
          <cell r="O846" t="str">
            <v>Not on 15/16 prices Unadjusted</v>
          </cell>
        </row>
        <row r="847">
          <cell r="O847" t="str">
            <v>Not on 15/16 prices Unadjusted</v>
          </cell>
        </row>
        <row r="848">
          <cell r="O848">
            <v>0.38135593220338981</v>
          </cell>
        </row>
        <row r="849">
          <cell r="O849">
            <v>-2.8735632183908046E-2</v>
          </cell>
        </row>
        <row r="850">
          <cell r="O850">
            <v>-0.38408999598232224</v>
          </cell>
        </row>
        <row r="851">
          <cell r="O851">
            <v>0.1998069498069498</v>
          </cell>
        </row>
        <row r="852">
          <cell r="O852">
            <v>0.33388157894736842</v>
          </cell>
        </row>
        <row r="853">
          <cell r="O853">
            <v>-0.22298221614227087</v>
          </cell>
        </row>
        <row r="854">
          <cell r="O854">
            <v>-2.8985507246376812E-2</v>
          </cell>
        </row>
        <row r="855">
          <cell r="O855">
            <v>-0.29255319148936171</v>
          </cell>
        </row>
        <row r="856">
          <cell r="O856">
            <v>-0.14466019417475728</v>
          </cell>
        </row>
        <row r="857">
          <cell r="O857">
            <v>-0.1321996708721887</v>
          </cell>
        </row>
        <row r="858">
          <cell r="O858">
            <v>-6.1197916666666664E-2</v>
          </cell>
        </row>
        <row r="859">
          <cell r="O859">
            <v>-0.29365311494589064</v>
          </cell>
        </row>
        <row r="860">
          <cell r="O860">
            <v>-0.30903674280039722</v>
          </cell>
        </row>
        <row r="861">
          <cell r="O861">
            <v>-0.1367624810892587</v>
          </cell>
        </row>
        <row r="862">
          <cell r="O862">
            <v>-0.17472294270219288</v>
          </cell>
        </row>
        <row r="863">
          <cell r="O863">
            <v>3.0559646539027981E-2</v>
          </cell>
        </row>
        <row r="864">
          <cell r="O864">
            <v>-0.20488516223113379</v>
          </cell>
        </row>
        <row r="865">
          <cell r="O865">
            <v>0.12840466926070038</v>
          </cell>
        </row>
        <row r="866">
          <cell r="O866">
            <v>-0.16121883656509695</v>
          </cell>
        </row>
        <row r="867">
          <cell r="O867">
            <v>-5.5672268907563029E-2</v>
          </cell>
        </row>
        <row r="868">
          <cell r="O868">
            <v>-0.37991004497751124</v>
          </cell>
        </row>
        <row r="869">
          <cell r="O869" t="str">
            <v>Not on 15/16 prices Unadjusted</v>
          </cell>
        </row>
        <row r="870">
          <cell r="O870">
            <v>-0.44034978138663333</v>
          </cell>
        </row>
        <row r="871">
          <cell r="O871">
            <v>-4.0803515379786569E-2</v>
          </cell>
        </row>
        <row r="872">
          <cell r="O872">
            <v>-0.13874788494077833</v>
          </cell>
        </row>
        <row r="873">
          <cell r="O873">
            <v>-0.56263577118030417</v>
          </cell>
        </row>
        <row r="874">
          <cell r="O874">
            <v>-0.14754098360655737</v>
          </cell>
        </row>
        <row r="875">
          <cell r="O875">
            <v>-0.42995169082125606</v>
          </cell>
        </row>
        <row r="876">
          <cell r="O876">
            <v>-0.32989690721649484</v>
          </cell>
        </row>
        <row r="877">
          <cell r="O877">
            <v>-6.0178306092124816E-2</v>
          </cell>
        </row>
        <row r="878">
          <cell r="O878">
            <v>-0.51151442513483436</v>
          </cell>
        </row>
        <row r="879">
          <cell r="O879">
            <v>-0.1922056723117731</v>
          </cell>
        </row>
        <row r="880">
          <cell r="O880">
            <v>0.65164433617539586</v>
          </cell>
        </row>
        <row r="881">
          <cell r="O881">
            <v>0.18813905930470348</v>
          </cell>
        </row>
        <row r="882">
          <cell r="O882" t="str">
            <v>Not on 15/16 prices Unadjusted</v>
          </cell>
        </row>
        <row r="883">
          <cell r="O883">
            <v>9.3514328808446456E-2</v>
          </cell>
        </row>
        <row r="884">
          <cell r="O884">
            <v>-0.24652665589660744</v>
          </cell>
        </row>
        <row r="885">
          <cell r="O885">
            <v>-0.2902307935504268</v>
          </cell>
        </row>
        <row r="886">
          <cell r="O886">
            <v>0.57747223691168692</v>
          </cell>
        </row>
        <row r="887">
          <cell r="O887">
            <v>-6.4531899291126862E-2</v>
          </cell>
        </row>
        <row r="888">
          <cell r="O888">
            <v>-2.9900332225913623E-2</v>
          </cell>
        </row>
        <row r="889">
          <cell r="O889">
            <v>-0.35588592233009708</v>
          </cell>
        </row>
        <row r="890">
          <cell r="O890" t="str">
            <v>Not on 15/16 prices Unadjusted</v>
          </cell>
        </row>
        <row r="891">
          <cell r="O891">
            <v>0.1468459152016546</v>
          </cell>
        </row>
        <row r="892">
          <cell r="O892" t="str">
            <v>Not on 15/16 prices Unadjusted</v>
          </cell>
        </row>
        <row r="893">
          <cell r="O893">
            <v>0.21130952380952381</v>
          </cell>
        </row>
        <row r="894">
          <cell r="O894">
            <v>0.66704416761041907</v>
          </cell>
        </row>
        <row r="895">
          <cell r="O895">
            <v>3.7037037037037035E-2</v>
          </cell>
        </row>
        <row r="896">
          <cell r="O896" t="str">
            <v>Not on 15/16 prices Unadjusted</v>
          </cell>
        </row>
        <row r="897">
          <cell r="O897">
            <v>-0.3778644563627499</v>
          </cell>
        </row>
        <row r="898">
          <cell r="O898">
            <v>-4.5945945945945948E-2</v>
          </cell>
        </row>
        <row r="899">
          <cell r="O899">
            <v>-0.10288335517693316</v>
          </cell>
        </row>
        <row r="900">
          <cell r="O900">
            <v>-5.5944055944055944E-2</v>
          </cell>
        </row>
        <row r="901">
          <cell r="O901">
            <v>-0.35426377844803947</v>
          </cell>
        </row>
        <row r="902">
          <cell r="O902">
            <v>-0.23686016193220805</v>
          </cell>
        </row>
        <row r="903">
          <cell r="O903">
            <v>0.62745098039215685</v>
          </cell>
        </row>
        <row r="904">
          <cell r="O904">
            <v>-0.29038854805725972</v>
          </cell>
        </row>
        <row r="905">
          <cell r="O905">
            <v>-0.18771526980482203</v>
          </cell>
        </row>
        <row r="906">
          <cell r="O906">
            <v>-0.18515429524603835</v>
          </cell>
        </row>
        <row r="907">
          <cell r="O907">
            <v>-8.5046066619418846E-3</v>
          </cell>
        </row>
        <row r="908">
          <cell r="O908">
            <v>-0.5095099264195474</v>
          </cell>
        </row>
        <row r="909">
          <cell r="O909">
            <v>-0.45297029702970298</v>
          </cell>
        </row>
        <row r="910">
          <cell r="O910">
            <v>-0.32668566001899335</v>
          </cell>
        </row>
        <row r="911">
          <cell r="O911">
            <v>-0.31941747572815532</v>
          </cell>
        </row>
        <row r="912">
          <cell r="O912">
            <v>0.11545538178472861</v>
          </cell>
        </row>
        <row r="913">
          <cell r="O913">
            <v>-4.5984058859595341E-2</v>
          </cell>
        </row>
        <row r="914">
          <cell r="O914">
            <v>4.7184773988897699E-2</v>
          </cell>
        </row>
        <row r="915">
          <cell r="O915">
            <v>-8.6299892125134836E-3</v>
          </cell>
        </row>
        <row r="916">
          <cell r="O916">
            <v>-4.3726235741444866E-2</v>
          </cell>
        </row>
        <row r="917">
          <cell r="O917">
            <v>-1.5884476534296029E-2</v>
          </cell>
        </row>
        <row r="918">
          <cell r="O918">
            <v>1.3824884792626729E-2</v>
          </cell>
        </row>
        <row r="919">
          <cell r="O919">
            <v>5.2854122621564484E-2</v>
          </cell>
        </row>
        <row r="920">
          <cell r="O920">
            <v>3.1847133757961785E-3</v>
          </cell>
        </row>
        <row r="921">
          <cell r="O921">
            <v>2.1428571428571429E-2</v>
          </cell>
        </row>
        <row r="922">
          <cell r="O922">
            <v>2.8382213812677391E-2</v>
          </cell>
        </row>
        <row r="923">
          <cell r="O923">
            <v>-5.2287581699346407E-2</v>
          </cell>
        </row>
        <row r="924">
          <cell r="O924">
            <v>-4.1708043694141016E-2</v>
          </cell>
        </row>
        <row r="925">
          <cell r="O925">
            <v>-2.9213483146067417E-2</v>
          </cell>
        </row>
        <row r="926">
          <cell r="O926">
            <v>-0.23900573613766729</v>
          </cell>
        </row>
        <row r="927">
          <cell r="O927">
            <v>-0.11596385542168675</v>
          </cell>
        </row>
        <row r="928">
          <cell r="O928">
            <v>-0.26371826371826373</v>
          </cell>
        </row>
        <row r="929">
          <cell r="O929">
            <v>-8.5714285714285715E-2</v>
          </cell>
        </row>
        <row r="930">
          <cell r="O930">
            <v>-0.28652643547470152</v>
          </cell>
        </row>
        <row r="931">
          <cell r="O931">
            <v>-0.25359477124183005</v>
          </cell>
        </row>
        <row r="932">
          <cell r="O932">
            <v>-5.9948979591836732E-2</v>
          </cell>
        </row>
        <row r="933">
          <cell r="O933">
            <v>-0.21807747489239598</v>
          </cell>
        </row>
        <row r="934">
          <cell r="O934">
            <v>-9.8290598290598288E-2</v>
          </cell>
        </row>
        <row r="935">
          <cell r="O935">
            <v>-0.21583804703780887</v>
          </cell>
        </row>
        <row r="936">
          <cell r="O936">
            <v>0.53343701399688959</v>
          </cell>
        </row>
        <row r="937">
          <cell r="O937">
            <v>-0.13050993949870354</v>
          </cell>
        </row>
        <row r="938">
          <cell r="O938">
            <v>-0.3951048951048951</v>
          </cell>
        </row>
        <row r="939">
          <cell r="O939">
            <v>8.8967971530249119E-3</v>
          </cell>
        </row>
        <row r="940">
          <cell r="O940" t="str">
            <v>Not on both list</v>
          </cell>
        </row>
        <row r="941">
          <cell r="O941" t="str">
            <v>Not on both list</v>
          </cell>
        </row>
        <row r="942">
          <cell r="O942" t="str">
            <v>Not on both list</v>
          </cell>
        </row>
        <row r="943">
          <cell r="O943" t="str">
            <v>Not on both list</v>
          </cell>
        </row>
        <row r="944">
          <cell r="O944" t="str">
            <v>Not on both list</v>
          </cell>
        </row>
        <row r="945">
          <cell r="O945" t="str">
            <v>Not on both list</v>
          </cell>
        </row>
        <row r="946">
          <cell r="O946" t="str">
            <v>Not on both list</v>
          </cell>
        </row>
        <row r="947">
          <cell r="O947" t="str">
            <v>Not on both list</v>
          </cell>
        </row>
        <row r="948">
          <cell r="O948" t="str">
            <v>Not on both list</v>
          </cell>
        </row>
        <row r="949">
          <cell r="O949" t="str">
            <v>Not on both list</v>
          </cell>
        </row>
        <row r="950">
          <cell r="O950" t="str">
            <v>Not on Published Price list 13/14 (A)</v>
          </cell>
        </row>
        <row r="951">
          <cell r="O951">
            <v>-0.44099953725127256</v>
          </cell>
        </row>
        <row r="952">
          <cell r="O952">
            <v>-0.29045362220717669</v>
          </cell>
        </row>
        <row r="953">
          <cell r="O953">
            <v>-0.27024525682554373</v>
          </cell>
        </row>
        <row r="954">
          <cell r="O954">
            <v>-0.15233581584292485</v>
          </cell>
        </row>
        <row r="955">
          <cell r="O955">
            <v>-0.11892642295233688</v>
          </cell>
        </row>
        <row r="956">
          <cell r="O956">
            <v>-4.4685172647257958E-2</v>
          </cell>
        </row>
        <row r="957">
          <cell r="O957">
            <v>-0.2003701989819528</v>
          </cell>
        </row>
        <row r="958">
          <cell r="O958">
            <v>-0.24710782045349375</v>
          </cell>
        </row>
        <row r="959">
          <cell r="O959">
            <v>-9.1401489505754913E-2</v>
          </cell>
        </row>
        <row r="960">
          <cell r="O960">
            <v>-0.16196205460434984</v>
          </cell>
        </row>
        <row r="961">
          <cell r="O961">
            <v>3.7914691943127965E-2</v>
          </cell>
        </row>
        <row r="962">
          <cell r="O962">
            <v>0.1092086996760759</v>
          </cell>
        </row>
        <row r="963">
          <cell r="O963">
            <v>0.2992552471225457</v>
          </cell>
        </row>
        <row r="964">
          <cell r="O964">
            <v>-1.8509949097639981E-2</v>
          </cell>
        </row>
        <row r="965">
          <cell r="O965">
            <v>-1</v>
          </cell>
        </row>
        <row r="966">
          <cell r="O966">
            <v>-1</v>
          </cell>
        </row>
        <row r="967">
          <cell r="O967">
            <v>-0.99953725127255899</v>
          </cell>
        </row>
        <row r="968">
          <cell r="O968">
            <v>-1</v>
          </cell>
        </row>
        <row r="969">
          <cell r="O969">
            <v>0.90652475705691804</v>
          </cell>
        </row>
        <row r="970">
          <cell r="O970">
            <v>0.85651322233104799</v>
          </cell>
        </row>
        <row r="971">
          <cell r="O971">
            <v>3.4059945504087197E-2</v>
          </cell>
        </row>
        <row r="972">
          <cell r="O972">
            <v>-3.1368821292775663E-2</v>
          </cell>
        </row>
        <row r="973">
          <cell r="O973">
            <v>-1.1396011396011397E-2</v>
          </cell>
        </row>
        <row r="974">
          <cell r="O974">
            <v>0.17840375586854459</v>
          </cell>
        </row>
        <row r="975">
          <cell r="O975">
            <v>-5.565217391304348E-2</v>
          </cell>
        </row>
        <row r="976">
          <cell r="O976">
            <v>-0.12837837837837837</v>
          </cell>
        </row>
        <row r="977">
          <cell r="O977">
            <v>0</v>
          </cell>
        </row>
        <row r="978">
          <cell r="O978">
            <v>0.82461945731303776</v>
          </cell>
        </row>
        <row r="979">
          <cell r="O979">
            <v>9.4786729857819912E-3</v>
          </cell>
        </row>
        <row r="980">
          <cell r="O980">
            <v>-3.6290322580645164E-2</v>
          </cell>
        </row>
        <row r="981">
          <cell r="O981">
            <v>1.5131450827653359</v>
          </cell>
        </row>
        <row r="982">
          <cell r="O982">
            <v>-0.19708029197080293</v>
          </cell>
        </row>
        <row r="983">
          <cell r="O983">
            <v>-4.8625792811839326E-2</v>
          </cell>
        </row>
        <row r="984">
          <cell r="O984">
            <v>3.4795763993948563E-2</v>
          </cell>
        </row>
        <row r="985">
          <cell r="O985">
            <v>0.43707482993197277</v>
          </cell>
        </row>
        <row r="986">
          <cell r="O986">
            <v>9.5238095238095233E-2</v>
          </cell>
        </row>
        <row r="987">
          <cell r="O987">
            <v>-9.713024282560706E-2</v>
          </cell>
        </row>
        <row r="988">
          <cell r="O988">
            <v>-7.1266968325791852E-2</v>
          </cell>
        </row>
        <row r="989">
          <cell r="O989">
            <v>-0.13318284424379231</v>
          </cell>
        </row>
        <row r="990">
          <cell r="O990">
            <v>-0.2976154542710534</v>
          </cell>
        </row>
        <row r="991">
          <cell r="O991">
            <v>-0.6369213608477412</v>
          </cell>
        </row>
        <row r="992">
          <cell r="O992">
            <v>0.45633187772925765</v>
          </cell>
        </row>
        <row r="993">
          <cell r="O993">
            <v>-0.17797695262483995</v>
          </cell>
        </row>
        <row r="994">
          <cell r="O994">
            <v>0.10649627263045794</v>
          </cell>
        </row>
        <row r="995">
          <cell r="O995">
            <v>-4.2884990253411304E-2</v>
          </cell>
        </row>
        <row r="996">
          <cell r="O996">
            <v>0</v>
          </cell>
        </row>
        <row r="997">
          <cell r="O997">
            <v>-3.1125299281723862E-2</v>
          </cell>
        </row>
        <row r="998">
          <cell r="O998">
            <v>5.0847457627118647E-2</v>
          </cell>
        </row>
        <row r="999">
          <cell r="O999">
            <v>-5.3264604810996562E-2</v>
          </cell>
        </row>
        <row r="1000">
          <cell r="O1000">
            <v>0.54846625766871171</v>
          </cell>
        </row>
        <row r="1001">
          <cell r="O1001">
            <v>9.8425196850393699E-3</v>
          </cell>
        </row>
        <row r="1002">
          <cell r="O1002">
            <v>-6.7873303167420816E-3</v>
          </cell>
        </row>
        <row r="1003">
          <cell r="O1003">
            <v>0.27010125074449076</v>
          </cell>
        </row>
        <row r="1004">
          <cell r="O1004">
            <v>-5.5106539309331376E-2</v>
          </cell>
        </row>
        <row r="1005">
          <cell r="O1005">
            <v>0.63532763532763536</v>
          </cell>
        </row>
        <row r="1006">
          <cell r="O1006">
            <v>0.54437609841827772</v>
          </cell>
        </row>
        <row r="1007">
          <cell r="O1007">
            <v>0.25979557069846676</v>
          </cell>
        </row>
        <row r="1008">
          <cell r="O1008">
            <v>0.50358239508700098</v>
          </cell>
        </row>
        <row r="1009">
          <cell r="O1009">
            <v>-0.21160409556313994</v>
          </cell>
        </row>
        <row r="1010">
          <cell r="O1010">
            <v>6.2827225130890049E-2</v>
          </cell>
        </row>
        <row r="1011">
          <cell r="O1011">
            <v>3.3947623666343359E-2</v>
          </cell>
        </row>
        <row r="1012">
          <cell r="O1012">
            <v>-4.0076335877862593E-2</v>
          </cell>
        </row>
        <row r="1013">
          <cell r="O1013">
            <v>-2.072538860103627E-2</v>
          </cell>
        </row>
        <row r="1014">
          <cell r="O1014">
            <v>5.1504102096627168E-2</v>
          </cell>
        </row>
        <row r="1015">
          <cell r="O1015">
            <v>-0.43379978471474706</v>
          </cell>
        </row>
        <row r="1016">
          <cell r="O1016">
            <v>1.1593927893738141</v>
          </cell>
        </row>
        <row r="1017">
          <cell r="O1017">
            <v>0.30948678071539659</v>
          </cell>
        </row>
        <row r="1018">
          <cell r="O1018">
            <v>-0.20588235294117646</v>
          </cell>
        </row>
        <row r="1019">
          <cell r="O1019">
            <v>-8.9538171536286529E-2</v>
          </cell>
        </row>
        <row r="1020">
          <cell r="O1020">
            <v>-0.27733755942947702</v>
          </cell>
        </row>
        <row r="1021">
          <cell r="O1021">
            <v>0.48086522462562398</v>
          </cell>
        </row>
        <row r="1022">
          <cell r="O1022">
            <v>-0.21717171717171718</v>
          </cell>
        </row>
        <row r="1023">
          <cell r="O1023">
            <v>0.5409990574929312</v>
          </cell>
        </row>
        <row r="1024">
          <cell r="O1024">
            <v>-3.110419906687403E-2</v>
          </cell>
        </row>
        <row r="1025">
          <cell r="O1025">
            <v>0.28041594454072788</v>
          </cell>
        </row>
        <row r="1026">
          <cell r="O1026">
            <v>8.7539432176656148E-2</v>
          </cell>
        </row>
        <row r="1027">
          <cell r="O1027">
            <v>0.12436177972283005</v>
          </cell>
        </row>
        <row r="1028">
          <cell r="O1028">
            <v>0.35691260744985676</v>
          </cell>
        </row>
        <row r="1029">
          <cell r="O1029">
            <v>0.95712584358872566</v>
          </cell>
        </row>
        <row r="1030">
          <cell r="O1030">
            <v>0.35736378777064004</v>
          </cell>
        </row>
        <row r="1031">
          <cell r="O1031">
            <v>0.20401691331923891</v>
          </cell>
        </row>
        <row r="1032">
          <cell r="O1032">
            <v>-0.1111111111111111</v>
          </cell>
        </row>
        <row r="1033">
          <cell r="O1033">
            <v>0.22681564245810057</v>
          </cell>
        </row>
        <row r="1034">
          <cell r="O1034">
            <v>0.2586705202312139</v>
          </cell>
        </row>
        <row r="1035">
          <cell r="O1035">
            <v>-5.9087989723827873E-2</v>
          </cell>
        </row>
        <row r="1036">
          <cell r="O1036">
            <v>0.22483858716293201</v>
          </cell>
        </row>
        <row r="1037">
          <cell r="O1037">
            <v>-0.30260223048327139</v>
          </cell>
        </row>
        <row r="1038">
          <cell r="O1038">
            <v>-0.20822281167108753</v>
          </cell>
        </row>
        <row r="1039">
          <cell r="O1039">
            <v>-0.27196652719665271</v>
          </cell>
        </row>
        <row r="1040">
          <cell r="O1040">
            <v>-6.4476885644768861E-2</v>
          </cell>
        </row>
        <row r="1041">
          <cell r="O1041">
            <v>-0.18090452261306533</v>
          </cell>
        </row>
        <row r="1042">
          <cell r="O1042">
            <v>-0.44436468054558509</v>
          </cell>
        </row>
        <row r="1043">
          <cell r="O1043">
            <v>1.9530201342281879</v>
          </cell>
        </row>
        <row r="1044">
          <cell r="O1044">
            <v>-0.14716981132075471</v>
          </cell>
        </row>
        <row r="1045">
          <cell r="O1045">
            <v>-3.7439613526570048E-2</v>
          </cell>
        </row>
        <row r="1046">
          <cell r="O1046">
            <v>-9.0185676392572939E-2</v>
          </cell>
        </row>
        <row r="1047">
          <cell r="O1047">
            <v>-0.38011853448275862</v>
          </cell>
        </row>
        <row r="1048">
          <cell r="O1048">
            <v>-0.32765011119347665</v>
          </cell>
        </row>
        <row r="1049">
          <cell r="O1049">
            <v>-0.27967711301044634</v>
          </cell>
        </row>
        <row r="1050">
          <cell r="O1050">
            <v>-0.38407699037620296</v>
          </cell>
        </row>
        <row r="1051">
          <cell r="O1051">
            <v>0.1560344827586207</v>
          </cell>
        </row>
        <row r="1052">
          <cell r="O1052">
            <v>-7.9505300353356886E-2</v>
          </cell>
        </row>
        <row r="1053">
          <cell r="O1053">
            <v>-0.27121888959795787</v>
          </cell>
        </row>
        <row r="1054">
          <cell r="O1054">
            <v>-0.11280101394169835</v>
          </cell>
        </row>
        <row r="1055">
          <cell r="O1055">
            <v>8.7044534412955468E-2</v>
          </cell>
        </row>
        <row r="1056">
          <cell r="O1056">
            <v>-3.6211699164345405E-2</v>
          </cell>
        </row>
        <row r="1057">
          <cell r="O1057">
            <v>-0.10069790628115653</v>
          </cell>
        </row>
        <row r="1058">
          <cell r="O1058">
            <v>-2.8409090909090908E-2</v>
          </cell>
        </row>
        <row r="1059">
          <cell r="O1059">
            <v>-5.6179775280898875E-3</v>
          </cell>
        </row>
        <row r="1060">
          <cell r="O1060">
            <v>-0.16468114926419061</v>
          </cell>
        </row>
        <row r="1061">
          <cell r="O1061">
            <v>8.356545961002786E-3</v>
          </cell>
        </row>
        <row r="1062">
          <cell r="O1062">
            <v>-4.189944134078212E-2</v>
          </cell>
        </row>
        <row r="1063">
          <cell r="O1063">
            <v>0.15133276010318142</v>
          </cell>
        </row>
        <row r="1064">
          <cell r="O1064">
            <v>4.784688995215311E-2</v>
          </cell>
        </row>
        <row r="1065">
          <cell r="O1065">
            <v>-9.1097308488612833E-2</v>
          </cell>
        </row>
        <row r="1066">
          <cell r="O1066">
            <v>4.1540020263424522E-2</v>
          </cell>
        </row>
        <row r="1067">
          <cell r="O1067">
            <v>0.33006535947712418</v>
          </cell>
        </row>
        <row r="1068">
          <cell r="O1068">
            <v>5.2208835341365459E-2</v>
          </cell>
        </row>
        <row r="1069">
          <cell r="O1069">
            <v>0.28960817717206133</v>
          </cell>
        </row>
        <row r="1070">
          <cell r="O1070">
            <v>-0.24722991689750692</v>
          </cell>
        </row>
        <row r="1071">
          <cell r="O1071">
            <v>-0.3163596966413868</v>
          </cell>
        </row>
        <row r="1072">
          <cell r="O1072" t="e">
            <v>#DIV/0!</v>
          </cell>
        </row>
        <row r="1073">
          <cell r="O1073">
            <v>-0.4869967937299608</v>
          </cell>
        </row>
        <row r="1074">
          <cell r="O1074">
            <v>-0.50443081117927746</v>
          </cell>
        </row>
        <row r="1075">
          <cell r="O1075">
            <v>-0.21245027416406839</v>
          </cell>
        </row>
        <row r="1076">
          <cell r="O1076">
            <v>-8.3333333333333329E-2</v>
          </cell>
        </row>
        <row r="1077">
          <cell r="O1077">
            <v>-0.1259713701431493</v>
          </cell>
        </row>
        <row r="1078">
          <cell r="O1078">
            <v>-0.10014727540500737</v>
          </cell>
        </row>
        <row r="1079">
          <cell r="O1079">
            <v>-2.948920484465508E-2</v>
          </cell>
        </row>
        <row r="1080">
          <cell r="O1080">
            <v>-0.22727272727272727</v>
          </cell>
        </row>
        <row r="1081">
          <cell r="O1081" t="str">
            <v>Not on 15/16 prices Unadjusted</v>
          </cell>
        </row>
        <row r="1082">
          <cell r="O1082" t="str">
            <v>Not on 15/16 prices Unadjusted</v>
          </cell>
        </row>
        <row r="1083">
          <cell r="O1083" t="str">
            <v>Not on 15/16 prices Unadjusted</v>
          </cell>
        </row>
        <row r="1084">
          <cell r="O1084" t="str">
            <v>Not on 15/16 prices Unadjusted</v>
          </cell>
        </row>
        <row r="1085">
          <cell r="O1085" t="str">
            <v>Not on 15/16 prices Unadjusted</v>
          </cell>
        </row>
        <row r="1086">
          <cell r="O1086" t="str">
            <v>Not on 15/16 prices Unadjusted</v>
          </cell>
        </row>
        <row r="1087">
          <cell r="O1087" t="str">
            <v>Not on 15/16 prices Unadjusted</v>
          </cell>
        </row>
        <row r="1088">
          <cell r="O1088" t="str">
            <v>Not on 15/16 prices Unadjusted</v>
          </cell>
        </row>
        <row r="1089">
          <cell r="O1089">
            <v>-0.21556642216788915</v>
          </cell>
        </row>
        <row r="1090">
          <cell r="O1090">
            <v>-3.8121494438634849E-2</v>
          </cell>
        </row>
        <row r="1091">
          <cell r="O1091">
            <v>1.6753738065213474E-2</v>
          </cell>
        </row>
        <row r="1092">
          <cell r="O1092">
            <v>0.11515513126491647</v>
          </cell>
        </row>
        <row r="1093">
          <cell r="O1093">
            <v>0.20226730310262531</v>
          </cell>
        </row>
        <row r="1094">
          <cell r="O1094">
            <v>-2.7204502814258912E-2</v>
          </cell>
        </row>
        <row r="1095">
          <cell r="O1095">
            <v>0.43433395872420261</v>
          </cell>
        </row>
        <row r="1096">
          <cell r="O1096">
            <v>-0.60495540138751236</v>
          </cell>
        </row>
        <row r="1097">
          <cell r="O1097">
            <v>-0.52574985851726086</v>
          </cell>
        </row>
        <row r="1098">
          <cell r="O1098">
            <v>-0.51381578947368423</v>
          </cell>
        </row>
        <row r="1099">
          <cell r="O1099">
            <v>-0.38754780114722753</v>
          </cell>
        </row>
        <row r="1100">
          <cell r="O1100">
            <v>-0.16131441374159822</v>
          </cell>
        </row>
        <row r="1101">
          <cell r="O1101">
            <v>4.2074363992172209E-2</v>
          </cell>
        </row>
        <row r="1102">
          <cell r="O1102">
            <v>-0.3982209350434423</v>
          </cell>
        </row>
        <row r="1103">
          <cell r="O1103">
            <v>-0.11883956658511011</v>
          </cell>
        </row>
        <row r="1104">
          <cell r="O1104">
            <v>-0.1293800539083558</v>
          </cell>
        </row>
        <row r="1105">
          <cell r="O1105">
            <v>-0.3246822033898305</v>
          </cell>
        </row>
        <row r="1106">
          <cell r="O1106">
            <v>1.2129963898916967</v>
          </cell>
        </row>
        <row r="1107">
          <cell r="O1107">
            <v>-0.82995702885205647</v>
          </cell>
        </row>
        <row r="1108">
          <cell r="O1108">
            <v>-0.23809523809523808</v>
          </cell>
        </row>
        <row r="1109">
          <cell r="O1109" t="str">
            <v>Not on both list</v>
          </cell>
        </row>
        <row r="1110">
          <cell r="O1110">
            <v>0.22848475171642982</v>
          </cell>
        </row>
        <row r="1111">
          <cell r="O1111">
            <v>0.34360530097397413</v>
          </cell>
        </row>
        <row r="1112">
          <cell r="O1112">
            <v>0.24876257384639949</v>
          </cell>
        </row>
        <row r="1113">
          <cell r="O1113">
            <v>0.4713396136037043</v>
          </cell>
        </row>
        <row r="1114">
          <cell r="O1114">
            <v>0.4318219564856336</v>
          </cell>
        </row>
        <row r="1115">
          <cell r="O1115">
            <v>-1</v>
          </cell>
        </row>
        <row r="1116">
          <cell r="O1116">
            <v>0.84271715661850188</v>
          </cell>
        </row>
        <row r="1117">
          <cell r="O1117">
            <v>0.47550240823783424</v>
          </cell>
        </row>
        <row r="1118">
          <cell r="O1118">
            <v>0.59043348281016439</v>
          </cell>
        </row>
        <row r="1119">
          <cell r="O1119">
            <v>0.34097326025577146</v>
          </cell>
        </row>
        <row r="1120">
          <cell r="O1120">
            <v>1.3318385650224216</v>
          </cell>
        </row>
        <row r="1121">
          <cell r="O1121">
            <v>-1.7771134363062616E-2</v>
          </cell>
        </row>
        <row r="1122">
          <cell r="O1122">
            <v>2.504235176880917</v>
          </cell>
        </row>
        <row r="1123">
          <cell r="O1123">
            <v>0.74456070420195986</v>
          </cell>
        </row>
        <row r="1124">
          <cell r="O1124">
            <v>1.5516879849024954E-2</v>
          </cell>
        </row>
        <row r="1125">
          <cell r="O1125">
            <v>-0.3422101069406584</v>
          </cell>
        </row>
        <row r="1126">
          <cell r="O1126">
            <v>-0.128957852799329</v>
          </cell>
        </row>
        <row r="1127">
          <cell r="O1127">
            <v>0.17184131090987495</v>
          </cell>
        </row>
        <row r="1128">
          <cell r="O1128">
            <v>0.17399741267787838</v>
          </cell>
        </row>
        <row r="1129">
          <cell r="O1129">
            <v>-0.24105217766278569</v>
          </cell>
        </row>
        <row r="1130">
          <cell r="O1130">
            <v>-0.66587427363972529</v>
          </cell>
        </row>
        <row r="1131">
          <cell r="O1131">
            <v>-0.16250000000000001</v>
          </cell>
        </row>
        <row r="1132">
          <cell r="O1132">
            <v>0.5661045180095774</v>
          </cell>
        </row>
        <row r="1133">
          <cell r="O1133">
            <v>-0.11387329591018444</v>
          </cell>
        </row>
        <row r="1134">
          <cell r="O1134">
            <v>-1.6470588235294119E-2</v>
          </cell>
        </row>
        <row r="1135">
          <cell r="O1135">
            <v>-0.22134502923976609</v>
          </cell>
        </row>
        <row r="1136">
          <cell r="O1136">
            <v>-0.32152588555858308</v>
          </cell>
        </row>
        <row r="1137">
          <cell r="O1137">
            <v>-8.9074990483441183E-2</v>
          </cell>
        </row>
        <row r="1138">
          <cell r="O1138">
            <v>0.13671023965141613</v>
          </cell>
        </row>
        <row r="1139">
          <cell r="O1139">
            <v>-0.33792751403777438</v>
          </cell>
        </row>
        <row r="1140">
          <cell r="O1140">
            <v>0.84261501210653755</v>
          </cell>
        </row>
        <row r="1141">
          <cell r="O1141">
            <v>3.335126412049489E-2</v>
          </cell>
        </row>
        <row r="1142">
          <cell r="O1142">
            <v>0.82924693520140103</v>
          </cell>
        </row>
        <row r="1143">
          <cell r="O1143">
            <v>-8.2280431432973811E-2</v>
          </cell>
        </row>
        <row r="1144">
          <cell r="O1144">
            <v>-0.14430808294540837</v>
          </cell>
        </row>
        <row r="1145">
          <cell r="O1145">
            <v>-5.4853620955315874E-2</v>
          </cell>
        </row>
        <row r="1146">
          <cell r="O1146">
            <v>-0.41263940520446096</v>
          </cell>
        </row>
        <row r="1147">
          <cell r="O1147">
            <v>-0.16109313196691838</v>
          </cell>
        </row>
        <row r="1148">
          <cell r="O1148">
            <v>-0.13244353182751539</v>
          </cell>
        </row>
        <row r="1149">
          <cell r="O1149">
            <v>-0.18768833405079638</v>
          </cell>
        </row>
        <row r="1150">
          <cell r="O1150">
            <v>-5.4726368159203981E-2</v>
          </cell>
        </row>
        <row r="1151">
          <cell r="O1151">
            <v>-0.20272172688878462</v>
          </cell>
        </row>
        <row r="1152">
          <cell r="O1152">
            <v>-0.20535158680771623</v>
          </cell>
        </row>
        <row r="1153">
          <cell r="O1153">
            <v>-2.9208709506107277E-2</v>
          </cell>
        </row>
        <row r="1154">
          <cell r="O1154">
            <v>-7.1563801590306703E-2</v>
          </cell>
        </row>
        <row r="1155">
          <cell r="O1155">
            <v>0.11212121212121212</v>
          </cell>
        </row>
        <row r="1156">
          <cell r="O1156">
            <v>-0.1092814371257485</v>
          </cell>
        </row>
        <row r="1157">
          <cell r="O1157">
            <v>0.14791987673343607</v>
          </cell>
        </row>
        <row r="1158">
          <cell r="O1158">
            <v>-0.1239013671875</v>
          </cell>
        </row>
        <row r="1159">
          <cell r="O1159">
            <v>-0.26877645126650246</v>
          </cell>
        </row>
        <row r="1160">
          <cell r="O1160">
            <v>-7.5168972269597623E-2</v>
          </cell>
        </row>
        <row r="1161">
          <cell r="O1161">
            <v>-1.1620185922974768E-2</v>
          </cell>
        </row>
        <row r="1162">
          <cell r="O1162">
            <v>-0.41319181197877181</v>
          </cell>
        </row>
        <row r="1163">
          <cell r="O1163">
            <v>-0.44630130253133449</v>
          </cell>
        </row>
        <row r="1164">
          <cell r="O1164">
            <v>9.0498321714433255E-2</v>
          </cell>
        </row>
        <row r="1165">
          <cell r="O1165">
            <v>-0.47318854507015184</v>
          </cell>
        </row>
        <row r="1166">
          <cell r="O1166">
            <v>-8.2852648138437332E-2</v>
          </cell>
        </row>
        <row r="1167">
          <cell r="O1167">
            <v>-0.23524556335121749</v>
          </cell>
        </row>
        <row r="1168">
          <cell r="O1168">
            <v>-0.10940129838903583</v>
          </cell>
        </row>
        <row r="1169">
          <cell r="O1169">
            <v>-0.12148859543817526</v>
          </cell>
        </row>
        <row r="1170">
          <cell r="O1170">
            <v>-0.12712108139200459</v>
          </cell>
        </row>
        <row r="1171">
          <cell r="O1171">
            <v>0.5321100917431193</v>
          </cell>
        </row>
        <row r="1172">
          <cell r="O1172" t="e">
            <v>#DIV/0!</v>
          </cell>
        </row>
        <row r="1173">
          <cell r="O1173" t="e">
            <v>#DIV/0!</v>
          </cell>
        </row>
        <row r="1174">
          <cell r="O1174" t="e">
            <v>#DIV/0!</v>
          </cell>
        </row>
        <row r="1175">
          <cell r="O1175">
            <v>-0.51237458193979935</v>
          </cell>
        </row>
        <row r="1176">
          <cell r="O1176">
            <v>-0.29382303839732887</v>
          </cell>
        </row>
        <row r="1177">
          <cell r="O1177">
            <v>-0.27511835875854812</v>
          </cell>
        </row>
        <row r="1178">
          <cell r="O1178">
            <v>-0.24437910757523348</v>
          </cell>
        </row>
        <row r="1179">
          <cell r="O1179">
            <v>-0.16509136735979837</v>
          </cell>
        </row>
        <row r="1180">
          <cell r="O1180">
            <v>-0.27294025771183134</v>
          </cell>
        </row>
        <row r="1181">
          <cell r="O1181">
            <v>-0.32973986407311928</v>
          </cell>
        </row>
        <row r="1182">
          <cell r="O1182">
            <v>-0.35056151097498722</v>
          </cell>
        </row>
        <row r="1183">
          <cell r="O1183">
            <v>-6.7946824224519942E-3</v>
          </cell>
        </row>
        <row r="1184">
          <cell r="O1184">
            <v>-6.1332809121289564E-2</v>
          </cell>
        </row>
        <row r="1185">
          <cell r="O1185">
            <v>-0.25979724617945227</v>
          </cell>
        </row>
        <row r="1186">
          <cell r="O1186">
            <v>-0.27522285251215561</v>
          </cell>
        </row>
        <row r="1187">
          <cell r="O1187">
            <v>-5.5277704659120824E-2</v>
          </cell>
        </row>
        <row r="1188">
          <cell r="O1188">
            <v>-0.14395154106538394</v>
          </cell>
        </row>
        <row r="1189">
          <cell r="O1189">
            <v>-0.10785216361962384</v>
          </cell>
        </row>
        <row r="1190">
          <cell r="O1190">
            <v>-8.0677204802625899E-2</v>
          </cell>
        </row>
        <row r="1191">
          <cell r="O1191">
            <v>5.9001244002132573E-2</v>
          </cell>
        </row>
        <row r="1192">
          <cell r="O1192">
            <v>-6.6123557365919891E-2</v>
          </cell>
        </row>
        <row r="1193">
          <cell r="O1193">
            <v>0.12491774511954376</v>
          </cell>
        </row>
        <row r="1194">
          <cell r="O1194">
            <v>0.14365658426011191</v>
          </cell>
        </row>
        <row r="1195">
          <cell r="O1195" t="str">
            <v>Not on 15/16 prices Unadjusted</v>
          </cell>
        </row>
        <row r="1196">
          <cell r="O1196">
            <v>-3.374727462318703E-2</v>
          </cell>
        </row>
        <row r="1197">
          <cell r="O1197">
            <v>7.32484076433121E-2</v>
          </cell>
        </row>
        <row r="1198">
          <cell r="O1198">
            <v>-0.65356999509432279</v>
          </cell>
        </row>
        <row r="1199">
          <cell r="O1199">
            <v>-0.4119572332533275</v>
          </cell>
        </row>
        <row r="1200">
          <cell r="O1200">
            <v>-0.93772136953955132</v>
          </cell>
        </row>
        <row r="1201">
          <cell r="O1201">
            <v>-0.51684502576298053</v>
          </cell>
        </row>
        <row r="1202">
          <cell r="O1202">
            <v>-0.16435185185185186</v>
          </cell>
        </row>
        <row r="1203">
          <cell r="O1203">
            <v>-0.19830777366472765</v>
          </cell>
        </row>
        <row r="1204">
          <cell r="O1204">
            <v>-0.14448370632116214</v>
          </cell>
        </row>
        <row r="1205">
          <cell r="O1205">
            <v>-0.34045964724746125</v>
          </cell>
        </row>
        <row r="1206">
          <cell r="O1206">
            <v>-0.34704562453253551</v>
          </cell>
        </row>
        <row r="1207">
          <cell r="O1207">
            <v>-1.4064697609001406E-2</v>
          </cell>
        </row>
        <row r="1208">
          <cell r="O1208">
            <v>-0.17721518987341772</v>
          </cell>
        </row>
        <row r="1209">
          <cell r="O1209">
            <v>-0.27962764052989619</v>
          </cell>
        </row>
        <row r="1210">
          <cell r="O1210">
            <v>-0.2381870781099325</v>
          </cell>
        </row>
        <row r="1211">
          <cell r="O1211">
            <v>-0.30110262934690418</v>
          </cell>
        </row>
        <row r="1212">
          <cell r="O1212">
            <v>6.7005937234944871E-2</v>
          </cell>
        </row>
        <row r="1213">
          <cell r="O1213">
            <v>-0.46510810335735631</v>
          </cell>
        </row>
        <row r="1214">
          <cell r="O1214">
            <v>-0.30187265917602996</v>
          </cell>
        </row>
        <row r="1215">
          <cell r="O1215">
            <v>-0.14864864864864866</v>
          </cell>
        </row>
        <row r="1216">
          <cell r="O1216">
            <v>6.5552699228791769E-2</v>
          </cell>
        </row>
        <row r="1217">
          <cell r="O1217">
            <v>-3.1796502384737681E-3</v>
          </cell>
        </row>
        <row r="1218">
          <cell r="O1218">
            <v>-0.4070891514500537</v>
          </cell>
        </row>
        <row r="1219">
          <cell r="O1219">
            <v>-2.4390243902439025E-2</v>
          </cell>
        </row>
        <row r="1220">
          <cell r="O1220">
            <v>3.6540880503144653</v>
          </cell>
        </row>
        <row r="1221">
          <cell r="O1221">
            <v>-0.23247232472324722</v>
          </cell>
        </row>
        <row r="1222">
          <cell r="O1222">
            <v>-0.14827439284192587</v>
          </cell>
        </row>
        <row r="1223">
          <cell r="O1223">
            <v>-0.10191846522781775</v>
          </cell>
        </row>
        <row r="1224">
          <cell r="O1224">
            <v>-0.22273249138920781</v>
          </cell>
        </row>
        <row r="1225">
          <cell r="O1225">
            <v>-0.3442403367776502</v>
          </cell>
        </row>
        <row r="1226">
          <cell r="O1226">
            <v>2.310945273631841</v>
          </cell>
        </row>
        <row r="1227">
          <cell r="O1227">
            <v>0.13780025284450062</v>
          </cell>
        </row>
        <row r="1228">
          <cell r="O1228">
            <v>-0.21744627054361568</v>
          </cell>
        </row>
        <row r="1229">
          <cell r="O1229">
            <v>0.17948717948717949</v>
          </cell>
        </row>
        <row r="1230">
          <cell r="O1230" t="str">
            <v>Not on 15/16 prices Unadjusted</v>
          </cell>
        </row>
        <row r="1231">
          <cell r="O1231" t="str">
            <v>Not on 15/16 prices Unadjusted</v>
          </cell>
        </row>
        <row r="1232">
          <cell r="O1232" t="str">
            <v>Not on 15/16 prices Unadjusted</v>
          </cell>
        </row>
        <row r="1233">
          <cell r="O1233">
            <v>-8.4925690021231421E-3</v>
          </cell>
        </row>
        <row r="1234">
          <cell r="O1234">
            <v>3.1884057971014491E-2</v>
          </cell>
        </row>
        <row r="1235">
          <cell r="O1235">
            <v>-0.33997569866342647</v>
          </cell>
        </row>
        <row r="1236">
          <cell r="O1236">
            <v>-0.11203319502074689</v>
          </cell>
        </row>
        <row r="1237">
          <cell r="O1237">
            <v>-0.4191343963553531</v>
          </cell>
        </row>
        <row r="1238">
          <cell r="O1238">
            <v>-0.29202947086403214</v>
          </cell>
        </row>
        <row r="1239">
          <cell r="O1239">
            <v>-0.21457905544147843</v>
          </cell>
        </row>
        <row r="1240">
          <cell r="O1240">
            <v>-0.20431654676258992</v>
          </cell>
        </row>
        <row r="1241">
          <cell r="O1241">
            <v>-0.11595330739299611</v>
          </cell>
        </row>
        <row r="1242">
          <cell r="O1242">
            <v>-4.8672566371681415E-2</v>
          </cell>
        </row>
        <row r="1243">
          <cell r="O1243">
            <v>3.7184594953519258E-2</v>
          </cell>
        </row>
        <row r="1244">
          <cell r="O1244">
            <v>-7.3369565217391311E-2</v>
          </cell>
        </row>
        <row r="1245">
          <cell r="O1245">
            <v>-0.40349110439744879</v>
          </cell>
        </row>
        <row r="1246">
          <cell r="O1246">
            <v>-0.82275931520644507</v>
          </cell>
        </row>
        <row r="1247">
          <cell r="O1247">
            <v>-0.39962676619568116</v>
          </cell>
        </row>
        <row r="1248">
          <cell r="O1248">
            <v>-0.48439073514602216</v>
          </cell>
        </row>
        <row r="1249">
          <cell r="O1249">
            <v>-0.33366336633663368</v>
          </cell>
        </row>
        <row r="1250">
          <cell r="O1250">
            <v>-0.3842962962962963</v>
          </cell>
        </row>
        <row r="1251">
          <cell r="O1251">
            <v>-0.39512003148366787</v>
          </cell>
        </row>
        <row r="1252">
          <cell r="O1252">
            <v>-0.32</v>
          </cell>
        </row>
        <row r="1253">
          <cell r="O1253">
            <v>-0.12537940695773991</v>
          </cell>
        </row>
      </sheetData>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5"/>
  <sheetViews>
    <sheetView showGridLines="0" tabSelected="1" workbookViewId="0"/>
  </sheetViews>
  <sheetFormatPr defaultRowHeight="15"/>
  <cols>
    <col min="1" max="1" width="4.7109375" style="507" customWidth="1"/>
    <col min="2" max="16384" width="9.140625" style="507"/>
  </cols>
  <sheetData>
    <row r="3" spans="2:2">
      <c r="B3" s="2" t="s">
        <v>1007</v>
      </c>
    </row>
    <row r="5" spans="2:2">
      <c r="B5" s="507" t="s">
        <v>979</v>
      </c>
    </row>
  </sheetData>
  <pageMargins left="0.70866141732283472" right="0.70866141732283472" top="0.74803149606299213" bottom="0.74803149606299213" header="0.31496062992125984" footer="0.31496062992125984"/>
  <pageSetup paperSize="9" orientation="portrait" cellComments="atEnd"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F48"/>
  <sheetViews>
    <sheetView showGridLines="0" workbookViewId="0">
      <pane xSplit="1" ySplit="2" topLeftCell="B3" activePane="bottomRight" state="frozen"/>
      <selection pane="topRight" activeCell="B1" sqref="B1"/>
      <selection pane="bottomLeft" activeCell="A3" sqref="A3"/>
      <selection pane="bottomRight" activeCell="B3" sqref="B3"/>
    </sheetView>
  </sheetViews>
  <sheetFormatPr defaultRowHeight="12.75"/>
  <cols>
    <col min="1" max="1" width="2.42578125" style="755" customWidth="1"/>
    <col min="2" max="2" width="22.85546875" style="747" customWidth="1"/>
    <col min="3" max="3" width="10.5703125" style="747" customWidth="1"/>
    <col min="4" max="4" width="29" style="747" customWidth="1"/>
    <col min="5" max="5" width="70.5703125" style="755" customWidth="1"/>
    <col min="6" max="6" width="26.140625" style="755" customWidth="1"/>
    <col min="7" max="12" width="9.140625" style="755"/>
    <col min="13" max="14" width="9.140625" style="755" customWidth="1"/>
    <col min="15" max="16384" width="9.140625" style="755"/>
  </cols>
  <sheetData>
    <row r="1" spans="2:6" s="747" customFormat="1" ht="39" thickBot="1">
      <c r="B1" s="699" t="s">
        <v>974</v>
      </c>
      <c r="E1" s="754" t="s">
        <v>1008</v>
      </c>
    </row>
    <row r="2" spans="2:6" s="748" customFormat="1" ht="13.5" thickBot="1">
      <c r="B2" s="749" t="s">
        <v>980</v>
      </c>
      <c r="C2" s="750" t="s">
        <v>372</v>
      </c>
      <c r="D2" s="750" t="s">
        <v>1004</v>
      </c>
      <c r="E2" s="751" t="s">
        <v>966</v>
      </c>
      <c r="F2" s="751" t="s">
        <v>967</v>
      </c>
    </row>
    <row r="3" spans="2:6" s="747" customFormat="1" ht="63.75">
      <c r="B3" s="752" t="s">
        <v>981</v>
      </c>
      <c r="C3" s="753">
        <v>105</v>
      </c>
      <c r="D3" s="753" t="s">
        <v>56</v>
      </c>
      <c r="E3" s="754" t="s">
        <v>982</v>
      </c>
      <c r="F3" s="754" t="s">
        <v>983</v>
      </c>
    </row>
    <row r="4" spans="2:6" s="747" customFormat="1" ht="25.5">
      <c r="B4" s="752" t="s">
        <v>981</v>
      </c>
      <c r="C4" s="753">
        <v>110</v>
      </c>
      <c r="D4" s="753" t="s">
        <v>7</v>
      </c>
      <c r="E4" s="754" t="s">
        <v>984</v>
      </c>
      <c r="F4" s="754" t="s">
        <v>985</v>
      </c>
    </row>
    <row r="5" spans="2:6" s="747" customFormat="1" ht="63.75">
      <c r="B5" s="752" t="s">
        <v>981</v>
      </c>
      <c r="C5" s="753">
        <v>120</v>
      </c>
      <c r="D5" s="753" t="s">
        <v>8</v>
      </c>
      <c r="E5" s="754" t="s">
        <v>986</v>
      </c>
      <c r="F5" s="754" t="s">
        <v>985</v>
      </c>
    </row>
    <row r="6" spans="2:6" s="747" customFormat="1" ht="63.75">
      <c r="B6" s="752" t="s">
        <v>981</v>
      </c>
      <c r="C6" s="753">
        <v>143</v>
      </c>
      <c r="D6" s="753" t="s">
        <v>11</v>
      </c>
      <c r="E6" s="754" t="s">
        <v>987</v>
      </c>
      <c r="F6" s="754" t="s">
        <v>985</v>
      </c>
    </row>
    <row r="7" spans="2:6" s="747" customFormat="1" ht="63.75">
      <c r="B7" s="752" t="s">
        <v>981</v>
      </c>
      <c r="C7" s="753">
        <v>144</v>
      </c>
      <c r="D7" s="753" t="s">
        <v>12</v>
      </c>
      <c r="E7" s="754" t="s">
        <v>988</v>
      </c>
      <c r="F7" s="754" t="s">
        <v>985</v>
      </c>
    </row>
    <row r="8" spans="2:6" s="747" customFormat="1" ht="140.25">
      <c r="B8" s="752" t="s">
        <v>981</v>
      </c>
      <c r="C8" s="753">
        <v>191</v>
      </c>
      <c r="D8" s="753" t="s">
        <v>19</v>
      </c>
      <c r="E8" s="754" t="s">
        <v>989</v>
      </c>
      <c r="F8" s="754" t="s">
        <v>985</v>
      </c>
    </row>
    <row r="9" spans="2:6" s="747" customFormat="1" ht="102">
      <c r="B9" s="752" t="s">
        <v>981</v>
      </c>
      <c r="C9" s="753">
        <v>251</v>
      </c>
      <c r="D9" s="753" t="s">
        <v>38</v>
      </c>
      <c r="E9" s="754" t="s">
        <v>990</v>
      </c>
      <c r="F9" s="754"/>
    </row>
    <row r="10" spans="2:6" s="747" customFormat="1" ht="51">
      <c r="B10" s="752" t="s">
        <v>981</v>
      </c>
      <c r="C10" s="753">
        <v>300</v>
      </c>
      <c r="D10" s="753" t="s">
        <v>43</v>
      </c>
      <c r="E10" s="754"/>
      <c r="F10" s="754" t="s">
        <v>946</v>
      </c>
    </row>
    <row r="11" spans="2:6" s="747" customFormat="1" ht="76.5">
      <c r="B11" s="752" t="s">
        <v>981</v>
      </c>
      <c r="C11" s="753">
        <v>301</v>
      </c>
      <c r="D11" s="753" t="s">
        <v>44</v>
      </c>
      <c r="E11" s="754" t="s">
        <v>968</v>
      </c>
      <c r="F11" s="754" t="s">
        <v>970</v>
      </c>
    </row>
    <row r="12" spans="2:6" s="747" customFormat="1" ht="409.5">
      <c r="B12" s="752" t="s">
        <v>981</v>
      </c>
      <c r="C12" s="753">
        <v>302</v>
      </c>
      <c r="D12" s="753" t="s">
        <v>45</v>
      </c>
      <c r="E12" s="754" t="s">
        <v>991</v>
      </c>
      <c r="F12" s="754" t="s">
        <v>992</v>
      </c>
    </row>
    <row r="13" spans="2:6" s="747" customFormat="1" ht="38.25">
      <c r="B13" s="752" t="s">
        <v>981</v>
      </c>
      <c r="C13" s="753">
        <v>306</v>
      </c>
      <c r="D13" s="753" t="s">
        <v>47</v>
      </c>
      <c r="E13" s="754" t="s">
        <v>969</v>
      </c>
      <c r="F13" s="754" t="s">
        <v>945</v>
      </c>
    </row>
    <row r="14" spans="2:6" s="747" customFormat="1" ht="63.75">
      <c r="B14" s="752" t="s">
        <v>981</v>
      </c>
      <c r="C14" s="753">
        <v>330</v>
      </c>
      <c r="D14" s="753" t="s">
        <v>26</v>
      </c>
      <c r="E14" s="754" t="s">
        <v>993</v>
      </c>
      <c r="F14" s="754"/>
    </row>
    <row r="15" spans="2:6" s="747" customFormat="1" ht="127.5">
      <c r="B15" s="752" t="s">
        <v>981</v>
      </c>
      <c r="C15" s="753">
        <v>340</v>
      </c>
      <c r="D15" s="753" t="s">
        <v>27</v>
      </c>
      <c r="E15" s="754" t="s">
        <v>994</v>
      </c>
      <c r="F15" s="754" t="s">
        <v>995</v>
      </c>
    </row>
    <row r="16" spans="2:6" s="747" customFormat="1" ht="51">
      <c r="B16" s="752" t="s">
        <v>981</v>
      </c>
      <c r="C16" s="753">
        <v>341</v>
      </c>
      <c r="D16" s="753" t="s">
        <v>64</v>
      </c>
      <c r="E16" s="754" t="s">
        <v>996</v>
      </c>
      <c r="F16" s="754"/>
    </row>
    <row r="17" spans="2:6" s="747" customFormat="1" ht="25.5">
      <c r="B17" s="752" t="s">
        <v>981</v>
      </c>
      <c r="C17" s="753">
        <v>361</v>
      </c>
      <c r="D17" s="753" t="s">
        <v>29</v>
      </c>
      <c r="E17" s="754" t="s">
        <v>997</v>
      </c>
      <c r="F17" s="754" t="s">
        <v>998</v>
      </c>
    </row>
    <row r="18" spans="2:6" s="747" customFormat="1" ht="38.25">
      <c r="B18" s="752" t="s">
        <v>981</v>
      </c>
      <c r="C18" s="753">
        <v>370</v>
      </c>
      <c r="D18" s="753" t="s">
        <v>30</v>
      </c>
      <c r="E18" s="754" t="s">
        <v>999</v>
      </c>
      <c r="F18" s="754" t="s">
        <v>1000</v>
      </c>
    </row>
    <row r="19" spans="2:6" s="747" customFormat="1" ht="63.75">
      <c r="B19" s="752" t="s">
        <v>981</v>
      </c>
      <c r="C19" s="753">
        <v>502</v>
      </c>
      <c r="D19" s="753" t="s">
        <v>34</v>
      </c>
      <c r="E19" s="754" t="s">
        <v>1001</v>
      </c>
      <c r="F19" s="754" t="s">
        <v>1002</v>
      </c>
    </row>
    <row r="20" spans="2:6" s="747" customFormat="1" ht="38.25">
      <c r="B20" s="752" t="s">
        <v>981</v>
      </c>
      <c r="C20" s="753">
        <v>800</v>
      </c>
      <c r="D20" s="753" t="s">
        <v>36</v>
      </c>
      <c r="E20" s="754" t="s">
        <v>1003</v>
      </c>
      <c r="F20" s="754" t="s">
        <v>1000</v>
      </c>
    </row>
    <row r="22" spans="2:6">
      <c r="B22" s="755"/>
      <c r="C22" s="755"/>
      <c r="D22" s="755"/>
    </row>
    <row r="23" spans="2:6">
      <c r="B23" s="755"/>
      <c r="C23" s="755"/>
      <c r="D23" s="755"/>
    </row>
    <row r="24" spans="2:6">
      <c r="B24" s="755"/>
      <c r="C24" s="755"/>
      <c r="D24" s="755"/>
    </row>
    <row r="25" spans="2:6">
      <c r="B25" s="755"/>
      <c r="C25" s="755"/>
      <c r="D25" s="755"/>
    </row>
    <row r="26" spans="2:6">
      <c r="B26" s="755"/>
      <c r="C26" s="755"/>
      <c r="D26" s="755"/>
    </row>
    <row r="27" spans="2:6">
      <c r="B27" s="755"/>
      <c r="C27" s="755"/>
      <c r="D27" s="755"/>
    </row>
    <row r="28" spans="2:6">
      <c r="B28" s="755"/>
      <c r="C28" s="755"/>
      <c r="D28" s="755"/>
    </row>
    <row r="29" spans="2:6">
      <c r="B29" s="755"/>
      <c r="C29" s="755"/>
      <c r="D29" s="755"/>
    </row>
    <row r="30" spans="2:6">
      <c r="B30" s="755"/>
      <c r="C30" s="755"/>
      <c r="D30" s="755"/>
    </row>
    <row r="31" spans="2:6">
      <c r="B31" s="755"/>
      <c r="C31" s="755"/>
      <c r="D31" s="755"/>
    </row>
    <row r="32" spans="2:6">
      <c r="B32" s="755"/>
      <c r="C32" s="755"/>
      <c r="D32" s="755"/>
    </row>
    <row r="33" spans="2:4">
      <c r="B33" s="755"/>
      <c r="C33" s="755"/>
      <c r="D33" s="755"/>
    </row>
    <row r="34" spans="2:4">
      <c r="B34" s="755"/>
      <c r="C34" s="755"/>
      <c r="D34" s="755"/>
    </row>
    <row r="35" spans="2:4">
      <c r="B35" s="755"/>
      <c r="C35" s="755"/>
      <c r="D35" s="755"/>
    </row>
    <row r="36" spans="2:4">
      <c r="B36" s="755"/>
      <c r="C36" s="755"/>
      <c r="D36" s="755"/>
    </row>
    <row r="37" spans="2:4">
      <c r="B37" s="755"/>
      <c r="C37" s="755"/>
      <c r="D37" s="755"/>
    </row>
    <row r="38" spans="2:4">
      <c r="B38" s="755"/>
      <c r="C38" s="755"/>
      <c r="D38" s="755"/>
    </row>
    <row r="39" spans="2:4">
      <c r="B39" s="755"/>
      <c r="C39" s="755"/>
      <c r="D39" s="755"/>
    </row>
    <row r="40" spans="2:4">
      <c r="B40" s="755"/>
      <c r="C40" s="755"/>
      <c r="D40" s="755"/>
    </row>
    <row r="41" spans="2:4">
      <c r="B41" s="755"/>
      <c r="C41" s="755"/>
      <c r="D41" s="755"/>
    </row>
    <row r="42" spans="2:4">
      <c r="B42" s="755"/>
      <c r="C42" s="755"/>
      <c r="D42" s="755"/>
    </row>
    <row r="43" spans="2:4">
      <c r="B43" s="755"/>
      <c r="C43" s="755"/>
      <c r="D43" s="755"/>
    </row>
    <row r="44" spans="2:4">
      <c r="B44" s="755"/>
      <c r="C44" s="755"/>
      <c r="D44" s="755"/>
    </row>
    <row r="45" spans="2:4">
      <c r="B45" s="755"/>
      <c r="C45" s="755"/>
      <c r="D45" s="755"/>
    </row>
    <row r="46" spans="2:4">
      <c r="B46" s="755"/>
      <c r="C46" s="755"/>
      <c r="D46" s="755"/>
    </row>
    <row r="47" spans="2:4">
      <c r="B47" s="755"/>
      <c r="C47" s="755"/>
      <c r="D47" s="755"/>
    </row>
    <row r="48" spans="2:4">
      <c r="B48" s="755"/>
      <c r="C48" s="755"/>
      <c r="D48" s="755"/>
    </row>
  </sheetData>
  <hyperlinks>
    <hyperlink ref="B1" location="Navigation!A1" display="Home"/>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F60"/>
  <sheetViews>
    <sheetView showGridLines="0" workbookViewId="0"/>
  </sheetViews>
  <sheetFormatPr defaultRowHeight="15"/>
  <cols>
    <col min="1" max="1" width="9.140625" style="344"/>
    <col min="2" max="2" width="38.85546875" customWidth="1"/>
    <col min="3" max="3" width="15" customWidth="1"/>
    <col min="4" max="4" width="15.5703125" customWidth="1"/>
    <col min="5" max="5" width="18.85546875" customWidth="1"/>
    <col min="6" max="6" width="16.85546875" customWidth="1"/>
  </cols>
  <sheetData>
    <row r="1" spans="1:6">
      <c r="A1" s="360" t="s">
        <v>510</v>
      </c>
      <c r="B1" s="361"/>
      <c r="C1" s="507"/>
      <c r="D1" s="507"/>
      <c r="E1" s="507"/>
      <c r="F1" s="507"/>
    </row>
    <row r="2" spans="1:6" ht="16.5" customHeight="1" thickBot="1">
      <c r="A2" s="699" t="s">
        <v>974</v>
      </c>
      <c r="B2" s="362"/>
      <c r="C2" s="362"/>
      <c r="D2" s="362"/>
      <c r="E2" s="362"/>
      <c r="F2" s="362"/>
    </row>
    <row r="3" spans="1:6" ht="15.75" thickBot="1">
      <c r="A3" s="362"/>
      <c r="B3" s="362"/>
      <c r="C3" s="778" t="s">
        <v>49</v>
      </c>
      <c r="D3" s="779"/>
      <c r="E3" s="779"/>
      <c r="F3" s="780"/>
    </row>
    <row r="4" spans="1:6" ht="45.75" thickBot="1">
      <c r="A4" s="363" t="s">
        <v>50</v>
      </c>
      <c r="B4" s="365" t="s">
        <v>51</v>
      </c>
      <c r="C4" s="363" t="s">
        <v>52</v>
      </c>
      <c r="D4" s="364" t="s">
        <v>53</v>
      </c>
      <c r="E4" s="364" t="s">
        <v>54</v>
      </c>
      <c r="F4" s="365" t="s">
        <v>55</v>
      </c>
    </row>
    <row r="5" spans="1:6">
      <c r="A5" s="237">
        <v>100</v>
      </c>
      <c r="B5" s="238" t="s">
        <v>1</v>
      </c>
      <c r="C5" s="239">
        <v>140</v>
      </c>
      <c r="D5" s="240">
        <v>150</v>
      </c>
      <c r="E5" s="240">
        <v>81</v>
      </c>
      <c r="F5" s="238">
        <v>95</v>
      </c>
    </row>
    <row r="6" spans="1:6">
      <c r="A6" s="369">
        <v>101</v>
      </c>
      <c r="B6" s="242" t="s">
        <v>2</v>
      </c>
      <c r="C6" s="366">
        <v>127</v>
      </c>
      <c r="D6" s="368">
        <v>155</v>
      </c>
      <c r="E6" s="368">
        <v>70</v>
      </c>
      <c r="F6" s="242">
        <v>106</v>
      </c>
    </row>
    <row r="7" spans="1:6">
      <c r="A7" s="369">
        <v>103</v>
      </c>
      <c r="B7" s="242" t="s">
        <v>3</v>
      </c>
      <c r="C7" s="366">
        <v>148</v>
      </c>
      <c r="D7" s="368">
        <v>148</v>
      </c>
      <c r="E7" s="368">
        <v>85</v>
      </c>
      <c r="F7" s="242">
        <v>98</v>
      </c>
    </row>
    <row r="8" spans="1:6">
      <c r="A8" s="369">
        <v>104</v>
      </c>
      <c r="B8" s="242" t="s">
        <v>4</v>
      </c>
      <c r="C8" s="366">
        <v>118</v>
      </c>
      <c r="D8" s="368">
        <v>118</v>
      </c>
      <c r="E8" s="368">
        <v>71</v>
      </c>
      <c r="F8" s="242">
        <v>108</v>
      </c>
    </row>
    <row r="9" spans="1:6">
      <c r="A9" s="369">
        <v>105</v>
      </c>
      <c r="B9" s="242" t="s">
        <v>56</v>
      </c>
      <c r="C9" s="366">
        <v>155</v>
      </c>
      <c r="D9" s="368">
        <v>228</v>
      </c>
      <c r="E9" s="368">
        <v>101</v>
      </c>
      <c r="F9" s="242">
        <v>158</v>
      </c>
    </row>
    <row r="10" spans="1:6">
      <c r="A10" s="369">
        <v>106</v>
      </c>
      <c r="B10" s="242" t="s">
        <v>5</v>
      </c>
      <c r="C10" s="366">
        <v>118</v>
      </c>
      <c r="D10" s="368">
        <v>134</v>
      </c>
      <c r="E10" s="368">
        <v>75</v>
      </c>
      <c r="F10" s="242">
        <v>97</v>
      </c>
    </row>
    <row r="11" spans="1:6">
      <c r="A11" s="369">
        <v>107</v>
      </c>
      <c r="B11" s="242" t="s">
        <v>6</v>
      </c>
      <c r="C11" s="366">
        <v>154</v>
      </c>
      <c r="D11" s="368">
        <v>154</v>
      </c>
      <c r="E11" s="368">
        <v>92</v>
      </c>
      <c r="F11" s="242">
        <v>92</v>
      </c>
    </row>
    <row r="12" spans="1:6">
      <c r="A12" s="369">
        <v>108</v>
      </c>
      <c r="B12" s="242" t="s">
        <v>57</v>
      </c>
      <c r="C12" s="366">
        <v>161</v>
      </c>
      <c r="D12" s="368">
        <v>161</v>
      </c>
      <c r="E12" s="368">
        <v>98</v>
      </c>
      <c r="F12" s="242">
        <v>98</v>
      </c>
    </row>
    <row r="13" spans="1:6">
      <c r="A13" s="369">
        <v>110</v>
      </c>
      <c r="B13" s="242" t="s">
        <v>7</v>
      </c>
      <c r="C13" s="366">
        <v>119</v>
      </c>
      <c r="D13" s="368">
        <v>124</v>
      </c>
      <c r="E13" s="368">
        <v>70</v>
      </c>
      <c r="F13" s="242">
        <v>70</v>
      </c>
    </row>
    <row r="14" spans="1:6">
      <c r="A14" s="369">
        <v>120</v>
      </c>
      <c r="B14" s="242" t="s">
        <v>8</v>
      </c>
      <c r="C14" s="366">
        <v>103</v>
      </c>
      <c r="D14" s="368">
        <v>136</v>
      </c>
      <c r="E14" s="368">
        <v>62</v>
      </c>
      <c r="F14" s="242">
        <v>81</v>
      </c>
    </row>
    <row r="15" spans="1:6">
      <c r="A15" s="369">
        <v>130</v>
      </c>
      <c r="B15" s="242" t="s">
        <v>9</v>
      </c>
      <c r="C15" s="366">
        <v>104</v>
      </c>
      <c r="D15" s="368">
        <v>106</v>
      </c>
      <c r="E15" s="368">
        <v>59</v>
      </c>
      <c r="F15" s="242">
        <v>86</v>
      </c>
    </row>
    <row r="16" spans="1:6">
      <c r="A16" s="369">
        <v>140</v>
      </c>
      <c r="B16" s="242" t="s">
        <v>10</v>
      </c>
      <c r="C16" s="366">
        <v>118</v>
      </c>
      <c r="D16" s="368">
        <v>147</v>
      </c>
      <c r="E16" s="368">
        <v>75</v>
      </c>
      <c r="F16" s="242">
        <v>106</v>
      </c>
    </row>
    <row r="17" spans="1:6">
      <c r="A17" s="369">
        <v>143</v>
      </c>
      <c r="B17" s="242" t="s">
        <v>11</v>
      </c>
      <c r="C17" s="366">
        <v>180</v>
      </c>
      <c r="D17" s="368">
        <v>247</v>
      </c>
      <c r="E17" s="368">
        <v>80</v>
      </c>
      <c r="F17" s="242">
        <v>113</v>
      </c>
    </row>
    <row r="18" spans="1:6">
      <c r="A18" s="369">
        <v>144</v>
      </c>
      <c r="B18" s="242" t="s">
        <v>12</v>
      </c>
      <c r="C18" s="366">
        <v>113</v>
      </c>
      <c r="D18" s="368">
        <v>178</v>
      </c>
      <c r="E18" s="368">
        <v>74</v>
      </c>
      <c r="F18" s="242">
        <v>74</v>
      </c>
    </row>
    <row r="19" spans="1:6">
      <c r="A19" s="369">
        <v>160</v>
      </c>
      <c r="B19" s="242" t="s">
        <v>13</v>
      </c>
      <c r="C19" s="366">
        <v>110</v>
      </c>
      <c r="D19" s="368">
        <v>124</v>
      </c>
      <c r="E19" s="368">
        <v>63</v>
      </c>
      <c r="F19" s="242">
        <v>80</v>
      </c>
    </row>
    <row r="20" spans="1:6">
      <c r="A20" s="369">
        <v>170</v>
      </c>
      <c r="B20" s="242" t="s">
        <v>14</v>
      </c>
      <c r="C20" s="366">
        <v>234</v>
      </c>
      <c r="D20" s="368">
        <v>234</v>
      </c>
      <c r="E20" s="368">
        <v>156</v>
      </c>
      <c r="F20" s="242">
        <v>156</v>
      </c>
    </row>
    <row r="21" spans="1:6">
      <c r="A21" s="369">
        <v>171</v>
      </c>
      <c r="B21" s="242" t="s">
        <v>15</v>
      </c>
      <c r="C21" s="366">
        <v>177</v>
      </c>
      <c r="D21" s="368">
        <v>288</v>
      </c>
      <c r="E21" s="368">
        <v>108</v>
      </c>
      <c r="F21" s="242">
        <v>176</v>
      </c>
    </row>
    <row r="22" spans="1:6">
      <c r="A22" s="369">
        <v>172</v>
      </c>
      <c r="B22" s="242" t="s">
        <v>16</v>
      </c>
      <c r="C22" s="366">
        <v>268</v>
      </c>
      <c r="D22" s="368">
        <v>268</v>
      </c>
      <c r="E22" s="368">
        <v>151</v>
      </c>
      <c r="F22" s="242">
        <v>229</v>
      </c>
    </row>
    <row r="23" spans="1:6">
      <c r="A23" s="369">
        <v>173</v>
      </c>
      <c r="B23" s="242" t="s">
        <v>17</v>
      </c>
      <c r="C23" s="366">
        <v>227</v>
      </c>
      <c r="D23" s="368">
        <v>227</v>
      </c>
      <c r="E23" s="368">
        <v>146</v>
      </c>
      <c r="F23" s="242">
        <v>155</v>
      </c>
    </row>
    <row r="24" spans="1:6">
      <c r="A24" s="369">
        <v>190</v>
      </c>
      <c r="B24" s="242" t="s">
        <v>18</v>
      </c>
      <c r="C24" s="366">
        <v>125</v>
      </c>
      <c r="D24" s="368">
        <v>125</v>
      </c>
      <c r="E24" s="368">
        <v>65</v>
      </c>
      <c r="F24" s="242">
        <v>95</v>
      </c>
    </row>
    <row r="25" spans="1:6">
      <c r="A25" s="369">
        <v>191</v>
      </c>
      <c r="B25" s="242" t="s">
        <v>19</v>
      </c>
      <c r="C25" s="366">
        <v>168</v>
      </c>
      <c r="D25" s="368">
        <v>168</v>
      </c>
      <c r="E25" s="368">
        <v>89</v>
      </c>
      <c r="F25" s="242">
        <v>123</v>
      </c>
    </row>
    <row r="26" spans="1:6">
      <c r="A26" s="369">
        <v>211</v>
      </c>
      <c r="B26" s="242" t="s">
        <v>20</v>
      </c>
      <c r="C26" s="366">
        <v>162</v>
      </c>
      <c r="D26" s="368">
        <v>162</v>
      </c>
      <c r="E26" s="368">
        <v>94</v>
      </c>
      <c r="F26" s="242">
        <v>106</v>
      </c>
    </row>
    <row r="27" spans="1:6">
      <c r="A27" s="369">
        <v>214</v>
      </c>
      <c r="B27" s="242" t="s">
        <v>58</v>
      </c>
      <c r="C27" s="366">
        <v>139</v>
      </c>
      <c r="D27" s="368">
        <v>139</v>
      </c>
      <c r="E27" s="368">
        <v>92</v>
      </c>
      <c r="F27" s="242">
        <v>100</v>
      </c>
    </row>
    <row r="28" spans="1:6">
      <c r="A28" s="369">
        <v>215</v>
      </c>
      <c r="B28" s="242" t="s">
        <v>59</v>
      </c>
      <c r="C28" s="366">
        <v>103</v>
      </c>
      <c r="D28" s="368">
        <v>136</v>
      </c>
      <c r="E28" s="368">
        <v>65</v>
      </c>
      <c r="F28" s="242">
        <v>81</v>
      </c>
    </row>
    <row r="29" spans="1:6">
      <c r="A29" s="369">
        <v>216</v>
      </c>
      <c r="B29" s="242" t="s">
        <v>21</v>
      </c>
      <c r="C29" s="366">
        <v>149</v>
      </c>
      <c r="D29" s="368">
        <v>149</v>
      </c>
      <c r="E29" s="368">
        <v>100</v>
      </c>
      <c r="F29" s="242">
        <v>108</v>
      </c>
    </row>
    <row r="30" spans="1:6">
      <c r="A30" s="369">
        <v>217</v>
      </c>
      <c r="B30" s="242" t="s">
        <v>22</v>
      </c>
      <c r="C30" s="366">
        <v>188</v>
      </c>
      <c r="D30" s="368">
        <v>375</v>
      </c>
      <c r="E30" s="368">
        <v>133</v>
      </c>
      <c r="F30" s="242">
        <v>264</v>
      </c>
    </row>
    <row r="31" spans="1:6">
      <c r="A31" s="369">
        <v>219</v>
      </c>
      <c r="B31" s="242" t="s">
        <v>23</v>
      </c>
      <c r="C31" s="366">
        <v>134</v>
      </c>
      <c r="D31" s="368">
        <v>267</v>
      </c>
      <c r="E31" s="368">
        <v>99</v>
      </c>
      <c r="F31" s="242">
        <v>115</v>
      </c>
    </row>
    <row r="32" spans="1:6">
      <c r="A32" s="369">
        <v>223</v>
      </c>
      <c r="B32" s="242" t="s">
        <v>60</v>
      </c>
      <c r="C32" s="366">
        <v>212</v>
      </c>
      <c r="D32" s="368">
        <v>212</v>
      </c>
      <c r="E32" s="368">
        <v>170</v>
      </c>
      <c r="F32" s="242">
        <v>170</v>
      </c>
    </row>
    <row r="33" spans="1:6">
      <c r="A33" s="369">
        <v>251</v>
      </c>
      <c r="B33" s="242" t="s">
        <v>38</v>
      </c>
      <c r="C33" s="366">
        <v>243</v>
      </c>
      <c r="D33" s="368">
        <v>258</v>
      </c>
      <c r="E33" s="368">
        <v>155</v>
      </c>
      <c r="F33" s="242">
        <v>155</v>
      </c>
    </row>
    <row r="34" spans="1:6">
      <c r="A34" s="369">
        <v>252</v>
      </c>
      <c r="B34" s="242" t="s">
        <v>39</v>
      </c>
      <c r="C34" s="366">
        <v>373</v>
      </c>
      <c r="D34" s="368">
        <v>373</v>
      </c>
      <c r="E34" s="368">
        <v>176</v>
      </c>
      <c r="F34" s="242">
        <v>188</v>
      </c>
    </row>
    <row r="35" spans="1:6">
      <c r="A35" s="369">
        <v>253</v>
      </c>
      <c r="B35" s="242" t="s">
        <v>40</v>
      </c>
      <c r="C35" s="366">
        <v>417</v>
      </c>
      <c r="D35" s="368">
        <v>417</v>
      </c>
      <c r="E35" s="368">
        <v>203</v>
      </c>
      <c r="F35" s="242">
        <v>212</v>
      </c>
    </row>
    <row r="36" spans="1:6">
      <c r="A36" s="369">
        <v>257</v>
      </c>
      <c r="B36" s="242" t="s">
        <v>41</v>
      </c>
      <c r="C36" s="366">
        <v>133</v>
      </c>
      <c r="D36" s="368">
        <v>133</v>
      </c>
      <c r="E36" s="368">
        <v>90</v>
      </c>
      <c r="F36" s="242">
        <v>110</v>
      </c>
    </row>
    <row r="37" spans="1:6">
      <c r="A37" s="369">
        <v>258</v>
      </c>
      <c r="B37" s="242" t="s">
        <v>42</v>
      </c>
      <c r="C37" s="366">
        <v>287</v>
      </c>
      <c r="D37" s="368">
        <v>287</v>
      </c>
      <c r="E37" s="368">
        <v>151</v>
      </c>
      <c r="F37" s="242">
        <v>165</v>
      </c>
    </row>
    <row r="38" spans="1:6">
      <c r="A38" s="369">
        <v>263</v>
      </c>
      <c r="B38" s="242" t="s">
        <v>61</v>
      </c>
      <c r="C38" s="366">
        <v>222</v>
      </c>
      <c r="D38" s="368">
        <v>224</v>
      </c>
      <c r="E38" s="368">
        <v>126</v>
      </c>
      <c r="F38" s="242">
        <v>126</v>
      </c>
    </row>
    <row r="39" spans="1:6">
      <c r="A39" s="369">
        <v>300</v>
      </c>
      <c r="B39" s="242" t="s">
        <v>43</v>
      </c>
      <c r="C39" s="366">
        <v>178</v>
      </c>
      <c r="D39" s="368">
        <v>233</v>
      </c>
      <c r="E39" s="368">
        <v>101</v>
      </c>
      <c r="F39" s="242">
        <v>201</v>
      </c>
    </row>
    <row r="40" spans="1:6">
      <c r="A40" s="369">
        <v>301</v>
      </c>
      <c r="B40" s="242" t="s">
        <v>44</v>
      </c>
      <c r="C40" s="366">
        <v>178</v>
      </c>
      <c r="D40" s="368">
        <v>233</v>
      </c>
      <c r="E40" s="368">
        <v>101</v>
      </c>
      <c r="F40" s="242">
        <v>201</v>
      </c>
    </row>
    <row r="41" spans="1:6">
      <c r="A41" s="369">
        <v>302</v>
      </c>
      <c r="B41" s="242" t="s">
        <v>45</v>
      </c>
      <c r="C41" s="366">
        <v>187</v>
      </c>
      <c r="D41" s="368">
        <v>187</v>
      </c>
      <c r="E41" s="368">
        <v>93</v>
      </c>
      <c r="F41" s="242">
        <v>140</v>
      </c>
    </row>
    <row r="42" spans="1:6">
      <c r="A42" s="369">
        <v>303</v>
      </c>
      <c r="B42" s="242" t="s">
        <v>46</v>
      </c>
      <c r="C42" s="366">
        <v>243</v>
      </c>
      <c r="D42" s="368">
        <v>244</v>
      </c>
      <c r="E42" s="368">
        <v>111</v>
      </c>
      <c r="F42" s="242">
        <v>171</v>
      </c>
    </row>
    <row r="43" spans="1:6">
      <c r="A43" s="369">
        <v>306</v>
      </c>
      <c r="B43" s="242" t="s">
        <v>47</v>
      </c>
      <c r="C43" s="366">
        <v>178</v>
      </c>
      <c r="D43" s="368">
        <v>233</v>
      </c>
      <c r="E43" s="368">
        <v>101</v>
      </c>
      <c r="F43" s="242">
        <v>201</v>
      </c>
    </row>
    <row r="44" spans="1:6">
      <c r="A44" s="369">
        <v>307</v>
      </c>
      <c r="B44" s="242" t="s">
        <v>48</v>
      </c>
      <c r="C44" s="366">
        <v>222</v>
      </c>
      <c r="D44" s="368">
        <v>224</v>
      </c>
      <c r="E44" s="368">
        <v>99</v>
      </c>
      <c r="F44" s="242">
        <v>99</v>
      </c>
    </row>
    <row r="45" spans="1:6">
      <c r="A45" s="369">
        <v>320</v>
      </c>
      <c r="B45" s="242" t="s">
        <v>24</v>
      </c>
      <c r="C45" s="366">
        <v>164</v>
      </c>
      <c r="D45" s="368">
        <v>189</v>
      </c>
      <c r="E45" s="367">
        <v>92</v>
      </c>
      <c r="F45" s="243">
        <v>131</v>
      </c>
    </row>
    <row r="46" spans="1:6">
      <c r="A46" s="369">
        <v>321</v>
      </c>
      <c r="B46" s="242" t="s">
        <v>25</v>
      </c>
      <c r="C46" s="366">
        <v>217</v>
      </c>
      <c r="D46" s="368">
        <v>217</v>
      </c>
      <c r="E46" s="368">
        <v>144</v>
      </c>
      <c r="F46" s="242">
        <v>160</v>
      </c>
    </row>
    <row r="47" spans="1:6">
      <c r="A47" s="369">
        <v>329</v>
      </c>
      <c r="B47" s="242" t="s">
        <v>62</v>
      </c>
      <c r="C47" s="370">
        <v>317</v>
      </c>
      <c r="D47" s="367">
        <v>317</v>
      </c>
      <c r="E47" s="371" t="s">
        <v>63</v>
      </c>
      <c r="F47" s="244" t="s">
        <v>63</v>
      </c>
    </row>
    <row r="48" spans="1:6">
      <c r="A48" s="369">
        <v>330</v>
      </c>
      <c r="B48" s="242" t="s">
        <v>26</v>
      </c>
      <c r="C48" s="366">
        <v>104</v>
      </c>
      <c r="D48" s="368">
        <v>133</v>
      </c>
      <c r="E48" s="368">
        <v>68</v>
      </c>
      <c r="F48" s="242">
        <v>81</v>
      </c>
    </row>
    <row r="49" spans="1:6">
      <c r="A49" s="369">
        <v>340</v>
      </c>
      <c r="B49" s="242" t="s">
        <v>27</v>
      </c>
      <c r="C49" s="366">
        <v>186</v>
      </c>
      <c r="D49" s="368">
        <v>241</v>
      </c>
      <c r="E49" s="368">
        <v>102</v>
      </c>
      <c r="F49" s="242">
        <v>143</v>
      </c>
    </row>
    <row r="50" spans="1:6">
      <c r="A50" s="369">
        <v>341</v>
      </c>
      <c r="B50" s="242" t="s">
        <v>64</v>
      </c>
      <c r="C50" s="366">
        <v>167</v>
      </c>
      <c r="D50" s="368">
        <v>335</v>
      </c>
      <c r="E50" s="368">
        <v>119</v>
      </c>
      <c r="F50" s="242">
        <v>238</v>
      </c>
    </row>
    <row r="51" spans="1:6">
      <c r="A51" s="369">
        <v>350</v>
      </c>
      <c r="B51" s="242" t="s">
        <v>28</v>
      </c>
      <c r="C51" s="366">
        <v>263</v>
      </c>
      <c r="D51" s="368">
        <v>263</v>
      </c>
      <c r="E51" s="368">
        <v>209</v>
      </c>
      <c r="F51" s="242">
        <v>210</v>
      </c>
    </row>
    <row r="52" spans="1:6">
      <c r="A52" s="369">
        <v>361</v>
      </c>
      <c r="B52" s="242" t="s">
        <v>29</v>
      </c>
      <c r="C52" s="366">
        <v>182</v>
      </c>
      <c r="D52" s="368">
        <v>248</v>
      </c>
      <c r="E52" s="368">
        <v>130</v>
      </c>
      <c r="F52" s="242">
        <v>243</v>
      </c>
    </row>
    <row r="53" spans="1:6">
      <c r="A53" s="369">
        <v>370</v>
      </c>
      <c r="B53" s="242" t="s">
        <v>30</v>
      </c>
      <c r="C53" s="366">
        <v>210</v>
      </c>
      <c r="D53" s="368">
        <v>220</v>
      </c>
      <c r="E53" s="368">
        <v>91</v>
      </c>
      <c r="F53" s="242">
        <v>103</v>
      </c>
    </row>
    <row r="54" spans="1:6">
      <c r="A54" s="369">
        <v>410</v>
      </c>
      <c r="B54" s="242" t="s">
        <v>31</v>
      </c>
      <c r="C54" s="366">
        <v>214</v>
      </c>
      <c r="D54" s="368">
        <v>214</v>
      </c>
      <c r="E54" s="368">
        <v>99</v>
      </c>
      <c r="F54" s="242">
        <v>99</v>
      </c>
    </row>
    <row r="55" spans="1:6">
      <c r="A55" s="369">
        <v>420</v>
      </c>
      <c r="B55" s="242" t="s">
        <v>32</v>
      </c>
      <c r="C55" s="366">
        <v>212</v>
      </c>
      <c r="D55" s="368">
        <v>212</v>
      </c>
      <c r="E55" s="368">
        <v>123</v>
      </c>
      <c r="F55" s="242">
        <v>160</v>
      </c>
    </row>
    <row r="56" spans="1:6">
      <c r="A56" s="369">
        <v>430</v>
      </c>
      <c r="B56" s="242" t="s">
        <v>33</v>
      </c>
      <c r="C56" s="366">
        <v>253</v>
      </c>
      <c r="D56" s="368">
        <v>253</v>
      </c>
      <c r="E56" s="368">
        <v>134</v>
      </c>
      <c r="F56" s="242">
        <v>134</v>
      </c>
    </row>
    <row r="57" spans="1:6">
      <c r="A57" s="369">
        <v>502</v>
      </c>
      <c r="B57" s="242" t="s">
        <v>34</v>
      </c>
      <c r="C57" s="366">
        <v>131</v>
      </c>
      <c r="D57" s="368">
        <v>131</v>
      </c>
      <c r="E57" s="368">
        <v>80</v>
      </c>
      <c r="F57" s="242">
        <v>99</v>
      </c>
    </row>
    <row r="58" spans="1:6">
      <c r="A58" s="369">
        <v>503</v>
      </c>
      <c r="B58" s="242" t="s">
        <v>35</v>
      </c>
      <c r="C58" s="366">
        <v>152</v>
      </c>
      <c r="D58" s="368">
        <v>287</v>
      </c>
      <c r="E58" s="368">
        <v>88</v>
      </c>
      <c r="F58" s="242">
        <v>130</v>
      </c>
    </row>
    <row r="59" spans="1:6">
      <c r="A59" s="369">
        <v>800</v>
      </c>
      <c r="B59" s="242" t="s">
        <v>36</v>
      </c>
      <c r="C59" s="366">
        <v>210</v>
      </c>
      <c r="D59" s="368">
        <v>220</v>
      </c>
      <c r="E59" s="368">
        <v>91</v>
      </c>
      <c r="F59" s="242">
        <v>103</v>
      </c>
    </row>
    <row r="60" spans="1:6" ht="15.75" thickBot="1">
      <c r="A60" s="374">
        <v>812</v>
      </c>
      <c r="B60" s="246" t="s">
        <v>37</v>
      </c>
      <c r="C60" s="372">
        <v>0</v>
      </c>
      <c r="D60" s="373">
        <v>0</v>
      </c>
      <c r="E60" s="373">
        <v>0</v>
      </c>
      <c r="F60" s="246">
        <v>0</v>
      </c>
    </row>
  </sheetData>
  <mergeCells count="1">
    <mergeCell ref="C3:F3"/>
  </mergeCell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249977111117893"/>
  </sheetPr>
  <dimension ref="A1:K96"/>
  <sheetViews>
    <sheetView showGridLines="0" workbookViewId="0"/>
  </sheetViews>
  <sheetFormatPr defaultRowHeight="11.25"/>
  <cols>
    <col min="1" max="1" width="3.7109375" style="32" bestFit="1" customWidth="1"/>
    <col min="2" max="2" width="18.28515625" style="33" bestFit="1" customWidth="1"/>
    <col min="3" max="3" width="18.140625" style="33" bestFit="1" customWidth="1"/>
    <col min="4" max="4" width="18.28515625" style="33" bestFit="1" customWidth="1"/>
    <col min="5" max="5" width="18.140625" style="33" bestFit="1" customWidth="1"/>
    <col min="6" max="6" width="16.28515625" style="33" bestFit="1" customWidth="1"/>
    <col min="7" max="7" width="17" style="34" bestFit="1" customWidth="1"/>
    <col min="8" max="8" width="16.85546875" style="34" bestFit="1" customWidth="1"/>
    <col min="9" max="9" width="17" style="34" bestFit="1" customWidth="1"/>
    <col min="10" max="10" width="16.85546875" style="34" bestFit="1" customWidth="1"/>
    <col min="11" max="11" width="15.140625" style="34" bestFit="1" customWidth="1"/>
    <col min="12" max="256" width="9.140625" style="32"/>
    <col min="257" max="257" width="3.7109375" style="32" bestFit="1" customWidth="1"/>
    <col min="258" max="258" width="18.28515625" style="32" bestFit="1" customWidth="1"/>
    <col min="259" max="259" width="18.140625" style="32" bestFit="1" customWidth="1"/>
    <col min="260" max="260" width="18.28515625" style="32" bestFit="1" customWidth="1"/>
    <col min="261" max="261" width="18.140625" style="32" bestFit="1" customWidth="1"/>
    <col min="262" max="262" width="16.28515625" style="32" bestFit="1" customWidth="1"/>
    <col min="263" max="263" width="17" style="32" bestFit="1" customWidth="1"/>
    <col min="264" max="264" width="16.85546875" style="32" bestFit="1" customWidth="1"/>
    <col min="265" max="265" width="17" style="32" bestFit="1" customWidth="1"/>
    <col min="266" max="266" width="16.85546875" style="32" bestFit="1" customWidth="1"/>
    <col min="267" max="267" width="15.140625" style="32" bestFit="1" customWidth="1"/>
    <col min="268" max="512" width="9.140625" style="32"/>
    <col min="513" max="513" width="3.7109375" style="32" bestFit="1" customWidth="1"/>
    <col min="514" max="514" width="18.28515625" style="32" bestFit="1" customWidth="1"/>
    <col min="515" max="515" width="18.140625" style="32" bestFit="1" customWidth="1"/>
    <col min="516" max="516" width="18.28515625" style="32" bestFit="1" customWidth="1"/>
    <col min="517" max="517" width="18.140625" style="32" bestFit="1" customWidth="1"/>
    <col min="518" max="518" width="16.28515625" style="32" bestFit="1" customWidth="1"/>
    <col min="519" max="519" width="17" style="32" bestFit="1" customWidth="1"/>
    <col min="520" max="520" width="16.85546875" style="32" bestFit="1" customWidth="1"/>
    <col min="521" max="521" width="17" style="32" bestFit="1" customWidth="1"/>
    <col min="522" max="522" width="16.85546875" style="32" bestFit="1" customWidth="1"/>
    <col min="523" max="523" width="15.140625" style="32" bestFit="1" customWidth="1"/>
    <col min="524" max="768" width="9.140625" style="32"/>
    <col min="769" max="769" width="3.7109375" style="32" bestFit="1" customWidth="1"/>
    <col min="770" max="770" width="18.28515625" style="32" bestFit="1" customWidth="1"/>
    <col min="771" max="771" width="18.140625" style="32" bestFit="1" customWidth="1"/>
    <col min="772" max="772" width="18.28515625" style="32" bestFit="1" customWidth="1"/>
    <col min="773" max="773" width="18.140625" style="32" bestFit="1" customWidth="1"/>
    <col min="774" max="774" width="16.28515625" style="32" bestFit="1" customWidth="1"/>
    <col min="775" max="775" width="17" style="32" bestFit="1" customWidth="1"/>
    <col min="776" max="776" width="16.85546875" style="32" bestFit="1" customWidth="1"/>
    <col min="777" max="777" width="17" style="32" bestFit="1" customWidth="1"/>
    <col min="778" max="778" width="16.85546875" style="32" bestFit="1" customWidth="1"/>
    <col min="779" max="779" width="15.140625" style="32" bestFit="1" customWidth="1"/>
    <col min="780" max="1024" width="9.140625" style="32"/>
    <col min="1025" max="1025" width="3.7109375" style="32" bestFit="1" customWidth="1"/>
    <col min="1026" max="1026" width="18.28515625" style="32" bestFit="1" customWidth="1"/>
    <col min="1027" max="1027" width="18.140625" style="32" bestFit="1" customWidth="1"/>
    <col min="1028" max="1028" width="18.28515625" style="32" bestFit="1" customWidth="1"/>
    <col min="1029" max="1029" width="18.140625" style="32" bestFit="1" customWidth="1"/>
    <col min="1030" max="1030" width="16.28515625" style="32" bestFit="1" customWidth="1"/>
    <col min="1031" max="1031" width="17" style="32" bestFit="1" customWidth="1"/>
    <col min="1032" max="1032" width="16.85546875" style="32" bestFit="1" customWidth="1"/>
    <col min="1033" max="1033" width="17" style="32" bestFit="1" customWidth="1"/>
    <col min="1034" max="1034" width="16.85546875" style="32" bestFit="1" customWidth="1"/>
    <col min="1035" max="1035" width="15.140625" style="32" bestFit="1" customWidth="1"/>
    <col min="1036" max="1280" width="9.140625" style="32"/>
    <col min="1281" max="1281" width="3.7109375" style="32" bestFit="1" customWidth="1"/>
    <col min="1282" max="1282" width="18.28515625" style="32" bestFit="1" customWidth="1"/>
    <col min="1283" max="1283" width="18.140625" style="32" bestFit="1" customWidth="1"/>
    <col min="1284" max="1284" width="18.28515625" style="32" bestFit="1" customWidth="1"/>
    <col min="1285" max="1285" width="18.140625" style="32" bestFit="1" customWidth="1"/>
    <col min="1286" max="1286" width="16.28515625" style="32" bestFit="1" customWidth="1"/>
    <col min="1287" max="1287" width="17" style="32" bestFit="1" customWidth="1"/>
    <col min="1288" max="1288" width="16.85546875" style="32" bestFit="1" customWidth="1"/>
    <col min="1289" max="1289" width="17" style="32" bestFit="1" customWidth="1"/>
    <col min="1290" max="1290" width="16.85546875" style="32" bestFit="1" customWidth="1"/>
    <col min="1291" max="1291" width="15.140625" style="32" bestFit="1" customWidth="1"/>
    <col min="1292" max="1536" width="9.140625" style="32"/>
    <col min="1537" max="1537" width="3.7109375" style="32" bestFit="1" customWidth="1"/>
    <col min="1538" max="1538" width="18.28515625" style="32" bestFit="1" customWidth="1"/>
    <col min="1539" max="1539" width="18.140625" style="32" bestFit="1" customWidth="1"/>
    <col min="1540" max="1540" width="18.28515625" style="32" bestFit="1" customWidth="1"/>
    <col min="1541" max="1541" width="18.140625" style="32" bestFit="1" customWidth="1"/>
    <col min="1542" max="1542" width="16.28515625" style="32" bestFit="1" customWidth="1"/>
    <col min="1543" max="1543" width="17" style="32" bestFit="1" customWidth="1"/>
    <col min="1544" max="1544" width="16.85546875" style="32" bestFit="1" customWidth="1"/>
    <col min="1545" max="1545" width="17" style="32" bestFit="1" customWidth="1"/>
    <col min="1546" max="1546" width="16.85546875" style="32" bestFit="1" customWidth="1"/>
    <col min="1547" max="1547" width="15.140625" style="32" bestFit="1" customWidth="1"/>
    <col min="1548" max="1792" width="9.140625" style="32"/>
    <col min="1793" max="1793" width="3.7109375" style="32" bestFit="1" customWidth="1"/>
    <col min="1794" max="1794" width="18.28515625" style="32" bestFit="1" customWidth="1"/>
    <col min="1795" max="1795" width="18.140625" style="32" bestFit="1" customWidth="1"/>
    <col min="1796" max="1796" width="18.28515625" style="32" bestFit="1" customWidth="1"/>
    <col min="1797" max="1797" width="18.140625" style="32" bestFit="1" customWidth="1"/>
    <col min="1798" max="1798" width="16.28515625" style="32" bestFit="1" customWidth="1"/>
    <col min="1799" max="1799" width="17" style="32" bestFit="1" customWidth="1"/>
    <col min="1800" max="1800" width="16.85546875" style="32" bestFit="1" customWidth="1"/>
    <col min="1801" max="1801" width="17" style="32" bestFit="1" customWidth="1"/>
    <col min="1802" max="1802" width="16.85546875" style="32" bestFit="1" customWidth="1"/>
    <col min="1803" max="1803" width="15.140625" style="32" bestFit="1" customWidth="1"/>
    <col min="1804" max="2048" width="9.140625" style="32"/>
    <col min="2049" max="2049" width="3.7109375" style="32" bestFit="1" customWidth="1"/>
    <col min="2050" max="2050" width="18.28515625" style="32" bestFit="1" customWidth="1"/>
    <col min="2051" max="2051" width="18.140625" style="32" bestFit="1" customWidth="1"/>
    <col min="2052" max="2052" width="18.28515625" style="32" bestFit="1" customWidth="1"/>
    <col min="2053" max="2053" width="18.140625" style="32" bestFit="1" customWidth="1"/>
    <col min="2054" max="2054" width="16.28515625" style="32" bestFit="1" customWidth="1"/>
    <col min="2055" max="2055" width="17" style="32" bestFit="1" customWidth="1"/>
    <col min="2056" max="2056" width="16.85546875" style="32" bestFit="1" customWidth="1"/>
    <col min="2057" max="2057" width="17" style="32" bestFit="1" customWidth="1"/>
    <col min="2058" max="2058" width="16.85546875" style="32" bestFit="1" customWidth="1"/>
    <col min="2059" max="2059" width="15.140625" style="32" bestFit="1" customWidth="1"/>
    <col min="2060" max="2304" width="9.140625" style="32"/>
    <col min="2305" max="2305" width="3.7109375" style="32" bestFit="1" customWidth="1"/>
    <col min="2306" max="2306" width="18.28515625" style="32" bestFit="1" customWidth="1"/>
    <col min="2307" max="2307" width="18.140625" style="32" bestFit="1" customWidth="1"/>
    <col min="2308" max="2308" width="18.28515625" style="32" bestFit="1" customWidth="1"/>
    <col min="2309" max="2309" width="18.140625" style="32" bestFit="1" customWidth="1"/>
    <col min="2310" max="2310" width="16.28515625" style="32" bestFit="1" customWidth="1"/>
    <col min="2311" max="2311" width="17" style="32" bestFit="1" customWidth="1"/>
    <col min="2312" max="2312" width="16.85546875" style="32" bestFit="1" customWidth="1"/>
    <col min="2313" max="2313" width="17" style="32" bestFit="1" customWidth="1"/>
    <col min="2314" max="2314" width="16.85546875" style="32" bestFit="1" customWidth="1"/>
    <col min="2315" max="2315" width="15.140625" style="32" bestFit="1" customWidth="1"/>
    <col min="2316" max="2560" width="9.140625" style="32"/>
    <col min="2561" max="2561" width="3.7109375" style="32" bestFit="1" customWidth="1"/>
    <col min="2562" max="2562" width="18.28515625" style="32" bestFit="1" customWidth="1"/>
    <col min="2563" max="2563" width="18.140625" style="32" bestFit="1" customWidth="1"/>
    <col min="2564" max="2564" width="18.28515625" style="32" bestFit="1" customWidth="1"/>
    <col min="2565" max="2565" width="18.140625" style="32" bestFit="1" customWidth="1"/>
    <col min="2566" max="2566" width="16.28515625" style="32" bestFit="1" customWidth="1"/>
    <col min="2567" max="2567" width="17" style="32" bestFit="1" customWidth="1"/>
    <col min="2568" max="2568" width="16.85546875" style="32" bestFit="1" customWidth="1"/>
    <col min="2569" max="2569" width="17" style="32" bestFit="1" customWidth="1"/>
    <col min="2570" max="2570" width="16.85546875" style="32" bestFit="1" customWidth="1"/>
    <col min="2571" max="2571" width="15.140625" style="32" bestFit="1" customWidth="1"/>
    <col min="2572" max="2816" width="9.140625" style="32"/>
    <col min="2817" max="2817" width="3.7109375" style="32" bestFit="1" customWidth="1"/>
    <col min="2818" max="2818" width="18.28515625" style="32" bestFit="1" customWidth="1"/>
    <col min="2819" max="2819" width="18.140625" style="32" bestFit="1" customWidth="1"/>
    <col min="2820" max="2820" width="18.28515625" style="32" bestFit="1" customWidth="1"/>
    <col min="2821" max="2821" width="18.140625" style="32" bestFit="1" customWidth="1"/>
    <col min="2822" max="2822" width="16.28515625" style="32" bestFit="1" customWidth="1"/>
    <col min="2823" max="2823" width="17" style="32" bestFit="1" customWidth="1"/>
    <col min="2824" max="2824" width="16.85546875" style="32" bestFit="1" customWidth="1"/>
    <col min="2825" max="2825" width="17" style="32" bestFit="1" customWidth="1"/>
    <col min="2826" max="2826" width="16.85546875" style="32" bestFit="1" customWidth="1"/>
    <col min="2827" max="2827" width="15.140625" style="32" bestFit="1" customWidth="1"/>
    <col min="2828" max="3072" width="9.140625" style="32"/>
    <col min="3073" max="3073" width="3.7109375" style="32" bestFit="1" customWidth="1"/>
    <col min="3074" max="3074" width="18.28515625" style="32" bestFit="1" customWidth="1"/>
    <col min="3075" max="3075" width="18.140625" style="32" bestFit="1" customWidth="1"/>
    <col min="3076" max="3076" width="18.28515625" style="32" bestFit="1" customWidth="1"/>
    <col min="3077" max="3077" width="18.140625" style="32" bestFit="1" customWidth="1"/>
    <col min="3078" max="3078" width="16.28515625" style="32" bestFit="1" customWidth="1"/>
    <col min="3079" max="3079" width="17" style="32" bestFit="1" customWidth="1"/>
    <col min="3080" max="3080" width="16.85546875" style="32" bestFit="1" customWidth="1"/>
    <col min="3081" max="3081" width="17" style="32" bestFit="1" customWidth="1"/>
    <col min="3082" max="3082" width="16.85546875" style="32" bestFit="1" customWidth="1"/>
    <col min="3083" max="3083" width="15.140625" style="32" bestFit="1" customWidth="1"/>
    <col min="3084" max="3328" width="9.140625" style="32"/>
    <col min="3329" max="3329" width="3.7109375" style="32" bestFit="1" customWidth="1"/>
    <col min="3330" max="3330" width="18.28515625" style="32" bestFit="1" customWidth="1"/>
    <col min="3331" max="3331" width="18.140625" style="32" bestFit="1" customWidth="1"/>
    <col min="3332" max="3332" width="18.28515625" style="32" bestFit="1" customWidth="1"/>
    <col min="3333" max="3333" width="18.140625" style="32" bestFit="1" customWidth="1"/>
    <col min="3334" max="3334" width="16.28515625" style="32" bestFit="1" customWidth="1"/>
    <col min="3335" max="3335" width="17" style="32" bestFit="1" customWidth="1"/>
    <col min="3336" max="3336" width="16.85546875" style="32" bestFit="1" customWidth="1"/>
    <col min="3337" max="3337" width="17" style="32" bestFit="1" customWidth="1"/>
    <col min="3338" max="3338" width="16.85546875" style="32" bestFit="1" customWidth="1"/>
    <col min="3339" max="3339" width="15.140625" style="32" bestFit="1" customWidth="1"/>
    <col min="3340" max="3584" width="9.140625" style="32"/>
    <col min="3585" max="3585" width="3.7109375" style="32" bestFit="1" customWidth="1"/>
    <col min="3586" max="3586" width="18.28515625" style="32" bestFit="1" customWidth="1"/>
    <col min="3587" max="3587" width="18.140625" style="32" bestFit="1" customWidth="1"/>
    <col min="3588" max="3588" width="18.28515625" style="32" bestFit="1" customWidth="1"/>
    <col min="3589" max="3589" width="18.140625" style="32" bestFit="1" customWidth="1"/>
    <col min="3590" max="3590" width="16.28515625" style="32" bestFit="1" customWidth="1"/>
    <col min="3591" max="3591" width="17" style="32" bestFit="1" customWidth="1"/>
    <col min="3592" max="3592" width="16.85546875" style="32" bestFit="1" customWidth="1"/>
    <col min="3593" max="3593" width="17" style="32" bestFit="1" customWidth="1"/>
    <col min="3594" max="3594" width="16.85546875" style="32" bestFit="1" customWidth="1"/>
    <col min="3595" max="3595" width="15.140625" style="32" bestFit="1" customWidth="1"/>
    <col min="3596" max="3840" width="9.140625" style="32"/>
    <col min="3841" max="3841" width="3.7109375" style="32" bestFit="1" customWidth="1"/>
    <col min="3842" max="3842" width="18.28515625" style="32" bestFit="1" customWidth="1"/>
    <col min="3843" max="3843" width="18.140625" style="32" bestFit="1" customWidth="1"/>
    <col min="3844" max="3844" width="18.28515625" style="32" bestFit="1" customWidth="1"/>
    <col min="3845" max="3845" width="18.140625" style="32" bestFit="1" customWidth="1"/>
    <col min="3846" max="3846" width="16.28515625" style="32" bestFit="1" customWidth="1"/>
    <col min="3847" max="3847" width="17" style="32" bestFit="1" customWidth="1"/>
    <col min="3848" max="3848" width="16.85546875" style="32" bestFit="1" customWidth="1"/>
    <col min="3849" max="3849" width="17" style="32" bestFit="1" customWidth="1"/>
    <col min="3850" max="3850" width="16.85546875" style="32" bestFit="1" customWidth="1"/>
    <col min="3851" max="3851" width="15.140625" style="32" bestFit="1" customWidth="1"/>
    <col min="3852" max="4096" width="9.140625" style="32"/>
    <col min="4097" max="4097" width="3.7109375" style="32" bestFit="1" customWidth="1"/>
    <col min="4098" max="4098" width="18.28515625" style="32" bestFit="1" customWidth="1"/>
    <col min="4099" max="4099" width="18.140625" style="32" bestFit="1" customWidth="1"/>
    <col min="4100" max="4100" width="18.28515625" style="32" bestFit="1" customWidth="1"/>
    <col min="4101" max="4101" width="18.140625" style="32" bestFit="1" customWidth="1"/>
    <col min="4102" max="4102" width="16.28515625" style="32" bestFit="1" customWidth="1"/>
    <col min="4103" max="4103" width="17" style="32" bestFit="1" customWidth="1"/>
    <col min="4104" max="4104" width="16.85546875" style="32" bestFit="1" customWidth="1"/>
    <col min="4105" max="4105" width="17" style="32" bestFit="1" customWidth="1"/>
    <col min="4106" max="4106" width="16.85546875" style="32" bestFit="1" customWidth="1"/>
    <col min="4107" max="4107" width="15.140625" style="32" bestFit="1" customWidth="1"/>
    <col min="4108" max="4352" width="9.140625" style="32"/>
    <col min="4353" max="4353" width="3.7109375" style="32" bestFit="1" customWidth="1"/>
    <col min="4354" max="4354" width="18.28515625" style="32" bestFit="1" customWidth="1"/>
    <col min="4355" max="4355" width="18.140625" style="32" bestFit="1" customWidth="1"/>
    <col min="4356" max="4356" width="18.28515625" style="32" bestFit="1" customWidth="1"/>
    <col min="4357" max="4357" width="18.140625" style="32" bestFit="1" customWidth="1"/>
    <col min="4358" max="4358" width="16.28515625" style="32" bestFit="1" customWidth="1"/>
    <col min="4359" max="4359" width="17" style="32" bestFit="1" customWidth="1"/>
    <col min="4360" max="4360" width="16.85546875" style="32" bestFit="1" customWidth="1"/>
    <col min="4361" max="4361" width="17" style="32" bestFit="1" customWidth="1"/>
    <col min="4362" max="4362" width="16.85546875" style="32" bestFit="1" customWidth="1"/>
    <col min="4363" max="4363" width="15.140625" style="32" bestFit="1" customWidth="1"/>
    <col min="4364" max="4608" width="9.140625" style="32"/>
    <col min="4609" max="4609" width="3.7109375" style="32" bestFit="1" customWidth="1"/>
    <col min="4610" max="4610" width="18.28515625" style="32" bestFit="1" customWidth="1"/>
    <col min="4611" max="4611" width="18.140625" style="32" bestFit="1" customWidth="1"/>
    <col min="4612" max="4612" width="18.28515625" style="32" bestFit="1" customWidth="1"/>
    <col min="4613" max="4613" width="18.140625" style="32" bestFit="1" customWidth="1"/>
    <col min="4614" max="4614" width="16.28515625" style="32" bestFit="1" customWidth="1"/>
    <col min="4615" max="4615" width="17" style="32" bestFit="1" customWidth="1"/>
    <col min="4616" max="4616" width="16.85546875" style="32" bestFit="1" customWidth="1"/>
    <col min="4617" max="4617" width="17" style="32" bestFit="1" customWidth="1"/>
    <col min="4618" max="4618" width="16.85546875" style="32" bestFit="1" customWidth="1"/>
    <col min="4619" max="4619" width="15.140625" style="32" bestFit="1" customWidth="1"/>
    <col min="4620" max="4864" width="9.140625" style="32"/>
    <col min="4865" max="4865" width="3.7109375" style="32" bestFit="1" customWidth="1"/>
    <col min="4866" max="4866" width="18.28515625" style="32" bestFit="1" customWidth="1"/>
    <col min="4867" max="4867" width="18.140625" style="32" bestFit="1" customWidth="1"/>
    <col min="4868" max="4868" width="18.28515625" style="32" bestFit="1" customWidth="1"/>
    <col min="4869" max="4869" width="18.140625" style="32" bestFit="1" customWidth="1"/>
    <col min="4870" max="4870" width="16.28515625" style="32" bestFit="1" customWidth="1"/>
    <col min="4871" max="4871" width="17" style="32" bestFit="1" customWidth="1"/>
    <col min="4872" max="4872" width="16.85546875" style="32" bestFit="1" customWidth="1"/>
    <col min="4873" max="4873" width="17" style="32" bestFit="1" customWidth="1"/>
    <col min="4874" max="4874" width="16.85546875" style="32" bestFit="1" customWidth="1"/>
    <col min="4875" max="4875" width="15.140625" style="32" bestFit="1" customWidth="1"/>
    <col min="4876" max="5120" width="9.140625" style="32"/>
    <col min="5121" max="5121" width="3.7109375" style="32" bestFit="1" customWidth="1"/>
    <col min="5122" max="5122" width="18.28515625" style="32" bestFit="1" customWidth="1"/>
    <col min="5123" max="5123" width="18.140625" style="32" bestFit="1" customWidth="1"/>
    <col min="5124" max="5124" width="18.28515625" style="32" bestFit="1" customWidth="1"/>
    <col min="5125" max="5125" width="18.140625" style="32" bestFit="1" customWidth="1"/>
    <col min="5126" max="5126" width="16.28515625" style="32" bestFit="1" customWidth="1"/>
    <col min="5127" max="5127" width="17" style="32" bestFit="1" customWidth="1"/>
    <col min="5128" max="5128" width="16.85546875" style="32" bestFit="1" customWidth="1"/>
    <col min="5129" max="5129" width="17" style="32" bestFit="1" customWidth="1"/>
    <col min="5130" max="5130" width="16.85546875" style="32" bestFit="1" customWidth="1"/>
    <col min="5131" max="5131" width="15.140625" style="32" bestFit="1" customWidth="1"/>
    <col min="5132" max="5376" width="9.140625" style="32"/>
    <col min="5377" max="5377" width="3.7109375" style="32" bestFit="1" customWidth="1"/>
    <col min="5378" max="5378" width="18.28515625" style="32" bestFit="1" customWidth="1"/>
    <col min="5379" max="5379" width="18.140625" style="32" bestFit="1" customWidth="1"/>
    <col min="5380" max="5380" width="18.28515625" style="32" bestFit="1" customWidth="1"/>
    <col min="5381" max="5381" width="18.140625" style="32" bestFit="1" customWidth="1"/>
    <col min="5382" max="5382" width="16.28515625" style="32" bestFit="1" customWidth="1"/>
    <col min="5383" max="5383" width="17" style="32" bestFit="1" customWidth="1"/>
    <col min="5384" max="5384" width="16.85546875" style="32" bestFit="1" customWidth="1"/>
    <col min="5385" max="5385" width="17" style="32" bestFit="1" customWidth="1"/>
    <col min="5386" max="5386" width="16.85546875" style="32" bestFit="1" customWidth="1"/>
    <col min="5387" max="5387" width="15.140625" style="32" bestFit="1" customWidth="1"/>
    <col min="5388" max="5632" width="9.140625" style="32"/>
    <col min="5633" max="5633" width="3.7109375" style="32" bestFit="1" customWidth="1"/>
    <col min="5634" max="5634" width="18.28515625" style="32" bestFit="1" customWidth="1"/>
    <col min="5635" max="5635" width="18.140625" style="32" bestFit="1" customWidth="1"/>
    <col min="5636" max="5636" width="18.28515625" style="32" bestFit="1" customWidth="1"/>
    <col min="5637" max="5637" width="18.140625" style="32" bestFit="1" customWidth="1"/>
    <col min="5638" max="5638" width="16.28515625" style="32" bestFit="1" customWidth="1"/>
    <col min="5639" max="5639" width="17" style="32" bestFit="1" customWidth="1"/>
    <col min="5640" max="5640" width="16.85546875" style="32" bestFit="1" customWidth="1"/>
    <col min="5641" max="5641" width="17" style="32" bestFit="1" customWidth="1"/>
    <col min="5642" max="5642" width="16.85546875" style="32" bestFit="1" customWidth="1"/>
    <col min="5643" max="5643" width="15.140625" style="32" bestFit="1" customWidth="1"/>
    <col min="5644" max="5888" width="9.140625" style="32"/>
    <col min="5889" max="5889" width="3.7109375" style="32" bestFit="1" customWidth="1"/>
    <col min="5890" max="5890" width="18.28515625" style="32" bestFit="1" customWidth="1"/>
    <col min="5891" max="5891" width="18.140625" style="32" bestFit="1" customWidth="1"/>
    <col min="5892" max="5892" width="18.28515625" style="32" bestFit="1" customWidth="1"/>
    <col min="5893" max="5893" width="18.140625" style="32" bestFit="1" customWidth="1"/>
    <col min="5894" max="5894" width="16.28515625" style="32" bestFit="1" customWidth="1"/>
    <col min="5895" max="5895" width="17" style="32" bestFit="1" customWidth="1"/>
    <col min="5896" max="5896" width="16.85546875" style="32" bestFit="1" customWidth="1"/>
    <col min="5897" max="5897" width="17" style="32" bestFit="1" customWidth="1"/>
    <col min="5898" max="5898" width="16.85546875" style="32" bestFit="1" customWidth="1"/>
    <col min="5899" max="5899" width="15.140625" style="32" bestFit="1" customWidth="1"/>
    <col min="5900" max="6144" width="9.140625" style="32"/>
    <col min="6145" max="6145" width="3.7109375" style="32" bestFit="1" customWidth="1"/>
    <col min="6146" max="6146" width="18.28515625" style="32" bestFit="1" customWidth="1"/>
    <col min="6147" max="6147" width="18.140625" style="32" bestFit="1" customWidth="1"/>
    <col min="6148" max="6148" width="18.28515625" style="32" bestFit="1" customWidth="1"/>
    <col min="6149" max="6149" width="18.140625" style="32" bestFit="1" customWidth="1"/>
    <col min="6150" max="6150" width="16.28515625" style="32" bestFit="1" customWidth="1"/>
    <col min="6151" max="6151" width="17" style="32" bestFit="1" customWidth="1"/>
    <col min="6152" max="6152" width="16.85546875" style="32" bestFit="1" customWidth="1"/>
    <col min="6153" max="6153" width="17" style="32" bestFit="1" customWidth="1"/>
    <col min="6154" max="6154" width="16.85546875" style="32" bestFit="1" customWidth="1"/>
    <col min="6155" max="6155" width="15.140625" style="32" bestFit="1" customWidth="1"/>
    <col min="6156" max="6400" width="9.140625" style="32"/>
    <col min="6401" max="6401" width="3.7109375" style="32" bestFit="1" customWidth="1"/>
    <col min="6402" max="6402" width="18.28515625" style="32" bestFit="1" customWidth="1"/>
    <col min="6403" max="6403" width="18.140625" style="32" bestFit="1" customWidth="1"/>
    <col min="6404" max="6404" width="18.28515625" style="32" bestFit="1" customWidth="1"/>
    <col min="6405" max="6405" width="18.140625" style="32" bestFit="1" customWidth="1"/>
    <col min="6406" max="6406" width="16.28515625" style="32" bestFit="1" customWidth="1"/>
    <col min="6407" max="6407" width="17" style="32" bestFit="1" customWidth="1"/>
    <col min="6408" max="6408" width="16.85546875" style="32" bestFit="1" customWidth="1"/>
    <col min="6409" max="6409" width="17" style="32" bestFit="1" customWidth="1"/>
    <col min="6410" max="6410" width="16.85546875" style="32" bestFit="1" customWidth="1"/>
    <col min="6411" max="6411" width="15.140625" style="32" bestFit="1" customWidth="1"/>
    <col min="6412" max="6656" width="9.140625" style="32"/>
    <col min="6657" max="6657" width="3.7109375" style="32" bestFit="1" customWidth="1"/>
    <col min="6658" max="6658" width="18.28515625" style="32" bestFit="1" customWidth="1"/>
    <col min="6659" max="6659" width="18.140625" style="32" bestFit="1" customWidth="1"/>
    <col min="6660" max="6660" width="18.28515625" style="32" bestFit="1" customWidth="1"/>
    <col min="6661" max="6661" width="18.140625" style="32" bestFit="1" customWidth="1"/>
    <col min="6662" max="6662" width="16.28515625" style="32" bestFit="1" customWidth="1"/>
    <col min="6663" max="6663" width="17" style="32" bestFit="1" customWidth="1"/>
    <col min="6664" max="6664" width="16.85546875" style="32" bestFit="1" customWidth="1"/>
    <col min="6665" max="6665" width="17" style="32" bestFit="1" customWidth="1"/>
    <col min="6666" max="6666" width="16.85546875" style="32" bestFit="1" customWidth="1"/>
    <col min="6667" max="6667" width="15.140625" style="32" bestFit="1" customWidth="1"/>
    <col min="6668" max="6912" width="9.140625" style="32"/>
    <col min="6913" max="6913" width="3.7109375" style="32" bestFit="1" customWidth="1"/>
    <col min="6914" max="6914" width="18.28515625" style="32" bestFit="1" customWidth="1"/>
    <col min="6915" max="6915" width="18.140625" style="32" bestFit="1" customWidth="1"/>
    <col min="6916" max="6916" width="18.28515625" style="32" bestFit="1" customWidth="1"/>
    <col min="6917" max="6917" width="18.140625" style="32" bestFit="1" customWidth="1"/>
    <col min="6918" max="6918" width="16.28515625" style="32" bestFit="1" customWidth="1"/>
    <col min="6919" max="6919" width="17" style="32" bestFit="1" customWidth="1"/>
    <col min="6920" max="6920" width="16.85546875" style="32" bestFit="1" customWidth="1"/>
    <col min="6921" max="6921" width="17" style="32" bestFit="1" customWidth="1"/>
    <col min="6922" max="6922" width="16.85546875" style="32" bestFit="1" customWidth="1"/>
    <col min="6923" max="6923" width="15.140625" style="32" bestFit="1" customWidth="1"/>
    <col min="6924" max="7168" width="9.140625" style="32"/>
    <col min="7169" max="7169" width="3.7109375" style="32" bestFit="1" customWidth="1"/>
    <col min="7170" max="7170" width="18.28515625" style="32" bestFit="1" customWidth="1"/>
    <col min="7171" max="7171" width="18.140625" style="32" bestFit="1" customWidth="1"/>
    <col min="7172" max="7172" width="18.28515625" style="32" bestFit="1" customWidth="1"/>
    <col min="7173" max="7173" width="18.140625" style="32" bestFit="1" customWidth="1"/>
    <col min="7174" max="7174" width="16.28515625" style="32" bestFit="1" customWidth="1"/>
    <col min="7175" max="7175" width="17" style="32" bestFit="1" customWidth="1"/>
    <col min="7176" max="7176" width="16.85546875" style="32" bestFit="1" customWidth="1"/>
    <col min="7177" max="7177" width="17" style="32" bestFit="1" customWidth="1"/>
    <col min="7178" max="7178" width="16.85546875" style="32" bestFit="1" customWidth="1"/>
    <col min="7179" max="7179" width="15.140625" style="32" bestFit="1" customWidth="1"/>
    <col min="7180" max="7424" width="9.140625" style="32"/>
    <col min="7425" max="7425" width="3.7109375" style="32" bestFit="1" customWidth="1"/>
    <col min="7426" max="7426" width="18.28515625" style="32" bestFit="1" customWidth="1"/>
    <col min="7427" max="7427" width="18.140625" style="32" bestFit="1" customWidth="1"/>
    <col min="7428" max="7428" width="18.28515625" style="32" bestFit="1" customWidth="1"/>
    <col min="7429" max="7429" width="18.140625" style="32" bestFit="1" customWidth="1"/>
    <col min="7430" max="7430" width="16.28515625" style="32" bestFit="1" customWidth="1"/>
    <col min="7431" max="7431" width="17" style="32" bestFit="1" customWidth="1"/>
    <col min="7432" max="7432" width="16.85546875" style="32" bestFit="1" customWidth="1"/>
    <col min="7433" max="7433" width="17" style="32" bestFit="1" customWidth="1"/>
    <col min="7434" max="7434" width="16.85546875" style="32" bestFit="1" customWidth="1"/>
    <col min="7435" max="7435" width="15.140625" style="32" bestFit="1" customWidth="1"/>
    <col min="7436" max="7680" width="9.140625" style="32"/>
    <col min="7681" max="7681" width="3.7109375" style="32" bestFit="1" customWidth="1"/>
    <col min="7682" max="7682" width="18.28515625" style="32" bestFit="1" customWidth="1"/>
    <col min="7683" max="7683" width="18.140625" style="32" bestFit="1" customWidth="1"/>
    <col min="7684" max="7684" width="18.28515625" style="32" bestFit="1" customWidth="1"/>
    <col min="7685" max="7685" width="18.140625" style="32" bestFit="1" customWidth="1"/>
    <col min="7686" max="7686" width="16.28515625" style="32" bestFit="1" customWidth="1"/>
    <col min="7687" max="7687" width="17" style="32" bestFit="1" customWidth="1"/>
    <col min="7688" max="7688" width="16.85546875" style="32" bestFit="1" customWidth="1"/>
    <col min="7689" max="7689" width="17" style="32" bestFit="1" customWidth="1"/>
    <col min="7690" max="7690" width="16.85546875" style="32" bestFit="1" customWidth="1"/>
    <col min="7691" max="7691" width="15.140625" style="32" bestFit="1" customWidth="1"/>
    <col min="7692" max="7936" width="9.140625" style="32"/>
    <col min="7937" max="7937" width="3.7109375" style="32" bestFit="1" customWidth="1"/>
    <col min="7938" max="7938" width="18.28515625" style="32" bestFit="1" customWidth="1"/>
    <col min="7939" max="7939" width="18.140625" style="32" bestFit="1" customWidth="1"/>
    <col min="7940" max="7940" width="18.28515625" style="32" bestFit="1" customWidth="1"/>
    <col min="7941" max="7941" width="18.140625" style="32" bestFit="1" customWidth="1"/>
    <col min="7942" max="7942" width="16.28515625" style="32" bestFit="1" customWidth="1"/>
    <col min="7943" max="7943" width="17" style="32" bestFit="1" customWidth="1"/>
    <col min="7944" max="7944" width="16.85546875" style="32" bestFit="1" customWidth="1"/>
    <col min="7945" max="7945" width="17" style="32" bestFit="1" customWidth="1"/>
    <col min="7946" max="7946" width="16.85546875" style="32" bestFit="1" customWidth="1"/>
    <col min="7947" max="7947" width="15.140625" style="32" bestFit="1" customWidth="1"/>
    <col min="7948" max="8192" width="9.140625" style="32"/>
    <col min="8193" max="8193" width="3.7109375" style="32" bestFit="1" customWidth="1"/>
    <col min="8194" max="8194" width="18.28515625" style="32" bestFit="1" customWidth="1"/>
    <col min="8195" max="8195" width="18.140625" style="32" bestFit="1" customWidth="1"/>
    <col min="8196" max="8196" width="18.28515625" style="32" bestFit="1" customWidth="1"/>
    <col min="8197" max="8197" width="18.140625" style="32" bestFit="1" customWidth="1"/>
    <col min="8198" max="8198" width="16.28515625" style="32" bestFit="1" customWidth="1"/>
    <col min="8199" max="8199" width="17" style="32" bestFit="1" customWidth="1"/>
    <col min="8200" max="8200" width="16.85546875" style="32" bestFit="1" customWidth="1"/>
    <col min="8201" max="8201" width="17" style="32" bestFit="1" customWidth="1"/>
    <col min="8202" max="8202" width="16.85546875" style="32" bestFit="1" customWidth="1"/>
    <col min="8203" max="8203" width="15.140625" style="32" bestFit="1" customWidth="1"/>
    <col min="8204" max="8448" width="9.140625" style="32"/>
    <col min="8449" max="8449" width="3.7109375" style="32" bestFit="1" customWidth="1"/>
    <col min="8450" max="8450" width="18.28515625" style="32" bestFit="1" customWidth="1"/>
    <col min="8451" max="8451" width="18.140625" style="32" bestFit="1" customWidth="1"/>
    <col min="8452" max="8452" width="18.28515625" style="32" bestFit="1" customWidth="1"/>
    <col min="8453" max="8453" width="18.140625" style="32" bestFit="1" customWidth="1"/>
    <col min="8454" max="8454" width="16.28515625" style="32" bestFit="1" customWidth="1"/>
    <col min="8455" max="8455" width="17" style="32" bestFit="1" customWidth="1"/>
    <col min="8456" max="8456" width="16.85546875" style="32" bestFit="1" customWidth="1"/>
    <col min="8457" max="8457" width="17" style="32" bestFit="1" customWidth="1"/>
    <col min="8458" max="8458" width="16.85546875" style="32" bestFit="1" customWidth="1"/>
    <col min="8459" max="8459" width="15.140625" style="32" bestFit="1" customWidth="1"/>
    <col min="8460" max="8704" width="9.140625" style="32"/>
    <col min="8705" max="8705" width="3.7109375" style="32" bestFit="1" customWidth="1"/>
    <col min="8706" max="8706" width="18.28515625" style="32" bestFit="1" customWidth="1"/>
    <col min="8707" max="8707" width="18.140625" style="32" bestFit="1" customWidth="1"/>
    <col min="8708" max="8708" width="18.28515625" style="32" bestFit="1" customWidth="1"/>
    <col min="8709" max="8709" width="18.140625" style="32" bestFit="1" customWidth="1"/>
    <col min="8710" max="8710" width="16.28515625" style="32" bestFit="1" customWidth="1"/>
    <col min="8711" max="8711" width="17" style="32" bestFit="1" customWidth="1"/>
    <col min="8712" max="8712" width="16.85546875" style="32" bestFit="1" customWidth="1"/>
    <col min="8713" max="8713" width="17" style="32" bestFit="1" customWidth="1"/>
    <col min="8714" max="8714" width="16.85546875" style="32" bestFit="1" customWidth="1"/>
    <col min="8715" max="8715" width="15.140625" style="32" bestFit="1" customWidth="1"/>
    <col min="8716" max="8960" width="9.140625" style="32"/>
    <col min="8961" max="8961" width="3.7109375" style="32" bestFit="1" customWidth="1"/>
    <col min="8962" max="8962" width="18.28515625" style="32" bestFit="1" customWidth="1"/>
    <col min="8963" max="8963" width="18.140625" style="32" bestFit="1" customWidth="1"/>
    <col min="8964" max="8964" width="18.28515625" style="32" bestFit="1" customWidth="1"/>
    <col min="8965" max="8965" width="18.140625" style="32" bestFit="1" customWidth="1"/>
    <col min="8966" max="8966" width="16.28515625" style="32" bestFit="1" customWidth="1"/>
    <col min="8967" max="8967" width="17" style="32" bestFit="1" customWidth="1"/>
    <col min="8968" max="8968" width="16.85546875" style="32" bestFit="1" customWidth="1"/>
    <col min="8969" max="8969" width="17" style="32" bestFit="1" customWidth="1"/>
    <col min="8970" max="8970" width="16.85546875" style="32" bestFit="1" customWidth="1"/>
    <col min="8971" max="8971" width="15.140625" style="32" bestFit="1" customWidth="1"/>
    <col min="8972" max="9216" width="9.140625" style="32"/>
    <col min="9217" max="9217" width="3.7109375" style="32" bestFit="1" customWidth="1"/>
    <col min="9218" max="9218" width="18.28515625" style="32" bestFit="1" customWidth="1"/>
    <col min="9219" max="9219" width="18.140625" style="32" bestFit="1" customWidth="1"/>
    <col min="9220" max="9220" width="18.28515625" style="32" bestFit="1" customWidth="1"/>
    <col min="9221" max="9221" width="18.140625" style="32" bestFit="1" customWidth="1"/>
    <col min="9222" max="9222" width="16.28515625" style="32" bestFit="1" customWidth="1"/>
    <col min="9223" max="9223" width="17" style="32" bestFit="1" customWidth="1"/>
    <col min="9224" max="9224" width="16.85546875" style="32" bestFit="1" customWidth="1"/>
    <col min="9225" max="9225" width="17" style="32" bestFit="1" customWidth="1"/>
    <col min="9226" max="9226" width="16.85546875" style="32" bestFit="1" customWidth="1"/>
    <col min="9227" max="9227" width="15.140625" style="32" bestFit="1" customWidth="1"/>
    <col min="9228" max="9472" width="9.140625" style="32"/>
    <col min="9473" max="9473" width="3.7109375" style="32" bestFit="1" customWidth="1"/>
    <col min="9474" max="9474" width="18.28515625" style="32" bestFit="1" customWidth="1"/>
    <col min="9475" max="9475" width="18.140625" style="32" bestFit="1" customWidth="1"/>
    <col min="9476" max="9476" width="18.28515625" style="32" bestFit="1" customWidth="1"/>
    <col min="9477" max="9477" width="18.140625" style="32" bestFit="1" customWidth="1"/>
    <col min="9478" max="9478" width="16.28515625" style="32" bestFit="1" customWidth="1"/>
    <col min="9479" max="9479" width="17" style="32" bestFit="1" customWidth="1"/>
    <col min="9480" max="9480" width="16.85546875" style="32" bestFit="1" customWidth="1"/>
    <col min="9481" max="9481" width="17" style="32" bestFit="1" customWidth="1"/>
    <col min="9482" max="9482" width="16.85546875" style="32" bestFit="1" customWidth="1"/>
    <col min="9483" max="9483" width="15.140625" style="32" bestFit="1" customWidth="1"/>
    <col min="9484" max="9728" width="9.140625" style="32"/>
    <col min="9729" max="9729" width="3.7109375" style="32" bestFit="1" customWidth="1"/>
    <col min="9730" max="9730" width="18.28515625" style="32" bestFit="1" customWidth="1"/>
    <col min="9731" max="9731" width="18.140625" style="32" bestFit="1" customWidth="1"/>
    <col min="9732" max="9732" width="18.28515625" style="32" bestFit="1" customWidth="1"/>
    <col min="9733" max="9733" width="18.140625" style="32" bestFit="1" customWidth="1"/>
    <col min="9734" max="9734" width="16.28515625" style="32" bestFit="1" customWidth="1"/>
    <col min="9735" max="9735" width="17" style="32" bestFit="1" customWidth="1"/>
    <col min="9736" max="9736" width="16.85546875" style="32" bestFit="1" customWidth="1"/>
    <col min="9737" max="9737" width="17" style="32" bestFit="1" customWidth="1"/>
    <col min="9738" max="9738" width="16.85546875" style="32" bestFit="1" customWidth="1"/>
    <col min="9739" max="9739" width="15.140625" style="32" bestFit="1" customWidth="1"/>
    <col min="9740" max="9984" width="9.140625" style="32"/>
    <col min="9985" max="9985" width="3.7109375" style="32" bestFit="1" customWidth="1"/>
    <col min="9986" max="9986" width="18.28515625" style="32" bestFit="1" customWidth="1"/>
    <col min="9987" max="9987" width="18.140625" style="32" bestFit="1" customWidth="1"/>
    <col min="9988" max="9988" width="18.28515625" style="32" bestFit="1" customWidth="1"/>
    <col min="9989" max="9989" width="18.140625" style="32" bestFit="1" customWidth="1"/>
    <col min="9990" max="9990" width="16.28515625" style="32" bestFit="1" customWidth="1"/>
    <col min="9991" max="9991" width="17" style="32" bestFit="1" customWidth="1"/>
    <col min="9992" max="9992" width="16.85546875" style="32" bestFit="1" customWidth="1"/>
    <col min="9993" max="9993" width="17" style="32" bestFit="1" customWidth="1"/>
    <col min="9994" max="9994" width="16.85546875" style="32" bestFit="1" customWidth="1"/>
    <col min="9995" max="9995" width="15.140625" style="32" bestFit="1" customWidth="1"/>
    <col min="9996" max="10240" width="9.140625" style="32"/>
    <col min="10241" max="10241" width="3.7109375" style="32" bestFit="1" customWidth="1"/>
    <col min="10242" max="10242" width="18.28515625" style="32" bestFit="1" customWidth="1"/>
    <col min="10243" max="10243" width="18.140625" style="32" bestFit="1" customWidth="1"/>
    <col min="10244" max="10244" width="18.28515625" style="32" bestFit="1" customWidth="1"/>
    <col min="10245" max="10245" width="18.140625" style="32" bestFit="1" customWidth="1"/>
    <col min="10246" max="10246" width="16.28515625" style="32" bestFit="1" customWidth="1"/>
    <col min="10247" max="10247" width="17" style="32" bestFit="1" customWidth="1"/>
    <col min="10248" max="10248" width="16.85546875" style="32" bestFit="1" customWidth="1"/>
    <col min="10249" max="10249" width="17" style="32" bestFit="1" customWidth="1"/>
    <col min="10250" max="10250" width="16.85546875" style="32" bestFit="1" customWidth="1"/>
    <col min="10251" max="10251" width="15.140625" style="32" bestFit="1" customWidth="1"/>
    <col min="10252" max="10496" width="9.140625" style="32"/>
    <col min="10497" max="10497" width="3.7109375" style="32" bestFit="1" customWidth="1"/>
    <col min="10498" max="10498" width="18.28515625" style="32" bestFit="1" customWidth="1"/>
    <col min="10499" max="10499" width="18.140625" style="32" bestFit="1" customWidth="1"/>
    <col min="10500" max="10500" width="18.28515625" style="32" bestFit="1" customWidth="1"/>
    <col min="10501" max="10501" width="18.140625" style="32" bestFit="1" customWidth="1"/>
    <col min="10502" max="10502" width="16.28515625" style="32" bestFit="1" customWidth="1"/>
    <col min="10503" max="10503" width="17" style="32" bestFit="1" customWidth="1"/>
    <col min="10504" max="10504" width="16.85546875" style="32" bestFit="1" customWidth="1"/>
    <col min="10505" max="10505" width="17" style="32" bestFit="1" customWidth="1"/>
    <col min="10506" max="10506" width="16.85546875" style="32" bestFit="1" customWidth="1"/>
    <col min="10507" max="10507" width="15.140625" style="32" bestFit="1" customWidth="1"/>
    <col min="10508" max="10752" width="9.140625" style="32"/>
    <col min="10753" max="10753" width="3.7109375" style="32" bestFit="1" customWidth="1"/>
    <col min="10754" max="10754" width="18.28515625" style="32" bestFit="1" customWidth="1"/>
    <col min="10755" max="10755" width="18.140625" style="32" bestFit="1" customWidth="1"/>
    <col min="10756" max="10756" width="18.28515625" style="32" bestFit="1" customWidth="1"/>
    <col min="10757" max="10757" width="18.140625" style="32" bestFit="1" customWidth="1"/>
    <col min="10758" max="10758" width="16.28515625" style="32" bestFit="1" customWidth="1"/>
    <col min="10759" max="10759" width="17" style="32" bestFit="1" customWidth="1"/>
    <col min="10760" max="10760" width="16.85546875" style="32" bestFit="1" customWidth="1"/>
    <col min="10761" max="10761" width="17" style="32" bestFit="1" customWidth="1"/>
    <col min="10762" max="10762" width="16.85546875" style="32" bestFit="1" customWidth="1"/>
    <col min="10763" max="10763" width="15.140625" style="32" bestFit="1" customWidth="1"/>
    <col min="10764" max="11008" width="9.140625" style="32"/>
    <col min="11009" max="11009" width="3.7109375" style="32" bestFit="1" customWidth="1"/>
    <col min="11010" max="11010" width="18.28515625" style="32" bestFit="1" customWidth="1"/>
    <col min="11011" max="11011" width="18.140625" style="32" bestFit="1" customWidth="1"/>
    <col min="11012" max="11012" width="18.28515625" style="32" bestFit="1" customWidth="1"/>
    <col min="11013" max="11013" width="18.140625" style="32" bestFit="1" customWidth="1"/>
    <col min="11014" max="11014" width="16.28515625" style="32" bestFit="1" customWidth="1"/>
    <col min="11015" max="11015" width="17" style="32" bestFit="1" customWidth="1"/>
    <col min="11016" max="11016" width="16.85546875" style="32" bestFit="1" customWidth="1"/>
    <col min="11017" max="11017" width="17" style="32" bestFit="1" customWidth="1"/>
    <col min="11018" max="11018" width="16.85546875" style="32" bestFit="1" customWidth="1"/>
    <col min="11019" max="11019" width="15.140625" style="32" bestFit="1" customWidth="1"/>
    <col min="11020" max="11264" width="9.140625" style="32"/>
    <col min="11265" max="11265" width="3.7109375" style="32" bestFit="1" customWidth="1"/>
    <col min="11266" max="11266" width="18.28515625" style="32" bestFit="1" customWidth="1"/>
    <col min="11267" max="11267" width="18.140625" style="32" bestFit="1" customWidth="1"/>
    <col min="11268" max="11268" width="18.28515625" style="32" bestFit="1" customWidth="1"/>
    <col min="11269" max="11269" width="18.140625" style="32" bestFit="1" customWidth="1"/>
    <col min="11270" max="11270" width="16.28515625" style="32" bestFit="1" customWidth="1"/>
    <col min="11271" max="11271" width="17" style="32" bestFit="1" customWidth="1"/>
    <col min="11272" max="11272" width="16.85546875" style="32" bestFit="1" customWidth="1"/>
    <col min="11273" max="11273" width="17" style="32" bestFit="1" customWidth="1"/>
    <col min="11274" max="11274" width="16.85546875" style="32" bestFit="1" customWidth="1"/>
    <col min="11275" max="11275" width="15.140625" style="32" bestFit="1" customWidth="1"/>
    <col min="11276" max="11520" width="9.140625" style="32"/>
    <col min="11521" max="11521" width="3.7109375" style="32" bestFit="1" customWidth="1"/>
    <col min="11522" max="11522" width="18.28515625" style="32" bestFit="1" customWidth="1"/>
    <col min="11523" max="11523" width="18.140625" style="32" bestFit="1" customWidth="1"/>
    <col min="11524" max="11524" width="18.28515625" style="32" bestFit="1" customWidth="1"/>
    <col min="11525" max="11525" width="18.140625" style="32" bestFit="1" customWidth="1"/>
    <col min="11526" max="11526" width="16.28515625" style="32" bestFit="1" customWidth="1"/>
    <col min="11527" max="11527" width="17" style="32" bestFit="1" customWidth="1"/>
    <col min="11528" max="11528" width="16.85546875" style="32" bestFit="1" customWidth="1"/>
    <col min="11529" max="11529" width="17" style="32" bestFit="1" customWidth="1"/>
    <col min="11530" max="11530" width="16.85546875" style="32" bestFit="1" customWidth="1"/>
    <col min="11531" max="11531" width="15.140625" style="32" bestFit="1" customWidth="1"/>
    <col min="11532" max="11776" width="9.140625" style="32"/>
    <col min="11777" max="11777" width="3.7109375" style="32" bestFit="1" customWidth="1"/>
    <col min="11778" max="11778" width="18.28515625" style="32" bestFit="1" customWidth="1"/>
    <col min="11779" max="11779" width="18.140625" style="32" bestFit="1" customWidth="1"/>
    <col min="11780" max="11780" width="18.28515625" style="32" bestFit="1" customWidth="1"/>
    <col min="11781" max="11781" width="18.140625" style="32" bestFit="1" customWidth="1"/>
    <col min="11782" max="11782" width="16.28515625" style="32" bestFit="1" customWidth="1"/>
    <col min="11783" max="11783" width="17" style="32" bestFit="1" customWidth="1"/>
    <col min="11784" max="11784" width="16.85546875" style="32" bestFit="1" customWidth="1"/>
    <col min="11785" max="11785" width="17" style="32" bestFit="1" customWidth="1"/>
    <col min="11786" max="11786" width="16.85546875" style="32" bestFit="1" customWidth="1"/>
    <col min="11787" max="11787" width="15.140625" style="32" bestFit="1" customWidth="1"/>
    <col min="11788" max="12032" width="9.140625" style="32"/>
    <col min="12033" max="12033" width="3.7109375" style="32" bestFit="1" customWidth="1"/>
    <col min="12034" max="12034" width="18.28515625" style="32" bestFit="1" customWidth="1"/>
    <col min="12035" max="12035" width="18.140625" style="32" bestFit="1" customWidth="1"/>
    <col min="12036" max="12036" width="18.28515625" style="32" bestFit="1" customWidth="1"/>
    <col min="12037" max="12037" width="18.140625" style="32" bestFit="1" customWidth="1"/>
    <col min="12038" max="12038" width="16.28515625" style="32" bestFit="1" customWidth="1"/>
    <col min="12039" max="12039" width="17" style="32" bestFit="1" customWidth="1"/>
    <col min="12040" max="12040" width="16.85546875" style="32" bestFit="1" customWidth="1"/>
    <col min="12041" max="12041" width="17" style="32" bestFit="1" customWidth="1"/>
    <col min="12042" max="12042" width="16.85546875" style="32" bestFit="1" customWidth="1"/>
    <col min="12043" max="12043" width="15.140625" style="32" bestFit="1" customWidth="1"/>
    <col min="12044" max="12288" width="9.140625" style="32"/>
    <col min="12289" max="12289" width="3.7109375" style="32" bestFit="1" customWidth="1"/>
    <col min="12290" max="12290" width="18.28515625" style="32" bestFit="1" customWidth="1"/>
    <col min="12291" max="12291" width="18.140625" style="32" bestFit="1" customWidth="1"/>
    <col min="12292" max="12292" width="18.28515625" style="32" bestFit="1" customWidth="1"/>
    <col min="12293" max="12293" width="18.140625" style="32" bestFit="1" customWidth="1"/>
    <col min="12294" max="12294" width="16.28515625" style="32" bestFit="1" customWidth="1"/>
    <col min="12295" max="12295" width="17" style="32" bestFit="1" customWidth="1"/>
    <col min="12296" max="12296" width="16.85546875" style="32" bestFit="1" customWidth="1"/>
    <col min="12297" max="12297" width="17" style="32" bestFit="1" customWidth="1"/>
    <col min="12298" max="12298" width="16.85546875" style="32" bestFit="1" customWidth="1"/>
    <col min="12299" max="12299" width="15.140625" style="32" bestFit="1" customWidth="1"/>
    <col min="12300" max="12544" width="9.140625" style="32"/>
    <col min="12545" max="12545" width="3.7109375" style="32" bestFit="1" customWidth="1"/>
    <col min="12546" max="12546" width="18.28515625" style="32" bestFit="1" customWidth="1"/>
    <col min="12547" max="12547" width="18.140625" style="32" bestFit="1" customWidth="1"/>
    <col min="12548" max="12548" width="18.28515625" style="32" bestFit="1" customWidth="1"/>
    <col min="12549" max="12549" width="18.140625" style="32" bestFit="1" customWidth="1"/>
    <col min="12550" max="12550" width="16.28515625" style="32" bestFit="1" customWidth="1"/>
    <col min="12551" max="12551" width="17" style="32" bestFit="1" customWidth="1"/>
    <col min="12552" max="12552" width="16.85546875" style="32" bestFit="1" customWidth="1"/>
    <col min="12553" max="12553" width="17" style="32" bestFit="1" customWidth="1"/>
    <col min="12554" max="12554" width="16.85546875" style="32" bestFit="1" customWidth="1"/>
    <col min="12555" max="12555" width="15.140625" style="32" bestFit="1" customWidth="1"/>
    <col min="12556" max="12800" width="9.140625" style="32"/>
    <col min="12801" max="12801" width="3.7109375" style="32" bestFit="1" customWidth="1"/>
    <col min="12802" max="12802" width="18.28515625" style="32" bestFit="1" customWidth="1"/>
    <col min="12803" max="12803" width="18.140625" style="32" bestFit="1" customWidth="1"/>
    <col min="12804" max="12804" width="18.28515625" style="32" bestFit="1" customWidth="1"/>
    <col min="12805" max="12805" width="18.140625" style="32" bestFit="1" customWidth="1"/>
    <col min="12806" max="12806" width="16.28515625" style="32" bestFit="1" customWidth="1"/>
    <col min="12807" max="12807" width="17" style="32" bestFit="1" customWidth="1"/>
    <col min="12808" max="12808" width="16.85546875" style="32" bestFit="1" customWidth="1"/>
    <col min="12809" max="12809" width="17" style="32" bestFit="1" customWidth="1"/>
    <col min="12810" max="12810" width="16.85546875" style="32" bestFit="1" customWidth="1"/>
    <col min="12811" max="12811" width="15.140625" style="32" bestFit="1" customWidth="1"/>
    <col min="12812" max="13056" width="9.140625" style="32"/>
    <col min="13057" max="13057" width="3.7109375" style="32" bestFit="1" customWidth="1"/>
    <col min="13058" max="13058" width="18.28515625" style="32" bestFit="1" customWidth="1"/>
    <col min="13059" max="13059" width="18.140625" style="32" bestFit="1" customWidth="1"/>
    <col min="13060" max="13060" width="18.28515625" style="32" bestFit="1" customWidth="1"/>
    <col min="13061" max="13061" width="18.140625" style="32" bestFit="1" customWidth="1"/>
    <col min="13062" max="13062" width="16.28515625" style="32" bestFit="1" customWidth="1"/>
    <col min="13063" max="13063" width="17" style="32" bestFit="1" customWidth="1"/>
    <col min="13064" max="13064" width="16.85546875" style="32" bestFit="1" customWidth="1"/>
    <col min="13065" max="13065" width="17" style="32" bestFit="1" customWidth="1"/>
    <col min="13066" max="13066" width="16.85546875" style="32" bestFit="1" customWidth="1"/>
    <col min="13067" max="13067" width="15.140625" style="32" bestFit="1" customWidth="1"/>
    <col min="13068" max="13312" width="9.140625" style="32"/>
    <col min="13313" max="13313" width="3.7109375" style="32" bestFit="1" customWidth="1"/>
    <col min="13314" max="13314" width="18.28515625" style="32" bestFit="1" customWidth="1"/>
    <col min="13315" max="13315" width="18.140625" style="32" bestFit="1" customWidth="1"/>
    <col min="13316" max="13316" width="18.28515625" style="32" bestFit="1" customWidth="1"/>
    <col min="13317" max="13317" width="18.140625" style="32" bestFit="1" customWidth="1"/>
    <col min="13318" max="13318" width="16.28515625" style="32" bestFit="1" customWidth="1"/>
    <col min="13319" max="13319" width="17" style="32" bestFit="1" customWidth="1"/>
    <col min="13320" max="13320" width="16.85546875" style="32" bestFit="1" customWidth="1"/>
    <col min="13321" max="13321" width="17" style="32" bestFit="1" customWidth="1"/>
    <col min="13322" max="13322" width="16.85546875" style="32" bestFit="1" customWidth="1"/>
    <col min="13323" max="13323" width="15.140625" style="32" bestFit="1" customWidth="1"/>
    <col min="13324" max="13568" width="9.140625" style="32"/>
    <col min="13569" max="13569" width="3.7109375" style="32" bestFit="1" customWidth="1"/>
    <col min="13570" max="13570" width="18.28515625" style="32" bestFit="1" customWidth="1"/>
    <col min="13571" max="13571" width="18.140625" style="32" bestFit="1" customWidth="1"/>
    <col min="13572" max="13572" width="18.28515625" style="32" bestFit="1" customWidth="1"/>
    <col min="13573" max="13573" width="18.140625" style="32" bestFit="1" customWidth="1"/>
    <col min="13574" max="13574" width="16.28515625" style="32" bestFit="1" customWidth="1"/>
    <col min="13575" max="13575" width="17" style="32" bestFit="1" customWidth="1"/>
    <col min="13576" max="13576" width="16.85546875" style="32" bestFit="1" customWidth="1"/>
    <col min="13577" max="13577" width="17" style="32" bestFit="1" customWidth="1"/>
    <col min="13578" max="13578" width="16.85546875" style="32" bestFit="1" customWidth="1"/>
    <col min="13579" max="13579" width="15.140625" style="32" bestFit="1" customWidth="1"/>
    <col min="13580" max="13824" width="9.140625" style="32"/>
    <col min="13825" max="13825" width="3.7109375" style="32" bestFit="1" customWidth="1"/>
    <col min="13826" max="13826" width="18.28515625" style="32" bestFit="1" customWidth="1"/>
    <col min="13827" max="13827" width="18.140625" style="32" bestFit="1" customWidth="1"/>
    <col min="13828" max="13828" width="18.28515625" style="32" bestFit="1" customWidth="1"/>
    <col min="13829" max="13829" width="18.140625" style="32" bestFit="1" customWidth="1"/>
    <col min="13830" max="13830" width="16.28515625" style="32" bestFit="1" customWidth="1"/>
    <col min="13831" max="13831" width="17" style="32" bestFit="1" customWidth="1"/>
    <col min="13832" max="13832" width="16.85546875" style="32" bestFit="1" customWidth="1"/>
    <col min="13833" max="13833" width="17" style="32" bestFit="1" customWidth="1"/>
    <col min="13834" max="13834" width="16.85546875" style="32" bestFit="1" customWidth="1"/>
    <col min="13835" max="13835" width="15.140625" style="32" bestFit="1" customWidth="1"/>
    <col min="13836" max="14080" width="9.140625" style="32"/>
    <col min="14081" max="14081" width="3.7109375" style="32" bestFit="1" customWidth="1"/>
    <col min="14082" max="14082" width="18.28515625" style="32" bestFit="1" customWidth="1"/>
    <col min="14083" max="14083" width="18.140625" style="32" bestFit="1" customWidth="1"/>
    <col min="14084" max="14084" width="18.28515625" style="32" bestFit="1" customWidth="1"/>
    <col min="14085" max="14085" width="18.140625" style="32" bestFit="1" customWidth="1"/>
    <col min="14086" max="14086" width="16.28515625" style="32" bestFit="1" customWidth="1"/>
    <col min="14087" max="14087" width="17" style="32" bestFit="1" customWidth="1"/>
    <col min="14088" max="14088" width="16.85546875" style="32" bestFit="1" customWidth="1"/>
    <col min="14089" max="14089" width="17" style="32" bestFit="1" customWidth="1"/>
    <col min="14090" max="14090" width="16.85546875" style="32" bestFit="1" customWidth="1"/>
    <col min="14091" max="14091" width="15.140625" style="32" bestFit="1" customWidth="1"/>
    <col min="14092" max="14336" width="9.140625" style="32"/>
    <col min="14337" max="14337" width="3.7109375" style="32" bestFit="1" customWidth="1"/>
    <col min="14338" max="14338" width="18.28515625" style="32" bestFit="1" customWidth="1"/>
    <col min="14339" max="14339" width="18.140625" style="32" bestFit="1" customWidth="1"/>
    <col min="14340" max="14340" width="18.28515625" style="32" bestFit="1" customWidth="1"/>
    <col min="14341" max="14341" width="18.140625" style="32" bestFit="1" customWidth="1"/>
    <col min="14342" max="14342" width="16.28515625" style="32" bestFit="1" customWidth="1"/>
    <col min="14343" max="14343" width="17" style="32" bestFit="1" customWidth="1"/>
    <col min="14344" max="14344" width="16.85546875" style="32" bestFit="1" customWidth="1"/>
    <col min="14345" max="14345" width="17" style="32" bestFit="1" customWidth="1"/>
    <col min="14346" max="14346" width="16.85546875" style="32" bestFit="1" customWidth="1"/>
    <col min="14347" max="14347" width="15.140625" style="32" bestFit="1" customWidth="1"/>
    <col min="14348" max="14592" width="9.140625" style="32"/>
    <col min="14593" max="14593" width="3.7109375" style="32" bestFit="1" customWidth="1"/>
    <col min="14594" max="14594" width="18.28515625" style="32" bestFit="1" customWidth="1"/>
    <col min="14595" max="14595" width="18.140625" style="32" bestFit="1" customWidth="1"/>
    <col min="14596" max="14596" width="18.28515625" style="32" bestFit="1" customWidth="1"/>
    <col min="14597" max="14597" width="18.140625" style="32" bestFit="1" customWidth="1"/>
    <col min="14598" max="14598" width="16.28515625" style="32" bestFit="1" customWidth="1"/>
    <col min="14599" max="14599" width="17" style="32" bestFit="1" customWidth="1"/>
    <col min="14600" max="14600" width="16.85546875" style="32" bestFit="1" customWidth="1"/>
    <col min="14601" max="14601" width="17" style="32" bestFit="1" customWidth="1"/>
    <col min="14602" max="14602" width="16.85546875" style="32" bestFit="1" customWidth="1"/>
    <col min="14603" max="14603" width="15.140625" style="32" bestFit="1" customWidth="1"/>
    <col min="14604" max="14848" width="9.140625" style="32"/>
    <col min="14849" max="14849" width="3.7109375" style="32" bestFit="1" customWidth="1"/>
    <col min="14850" max="14850" width="18.28515625" style="32" bestFit="1" customWidth="1"/>
    <col min="14851" max="14851" width="18.140625" style="32" bestFit="1" customWidth="1"/>
    <col min="14852" max="14852" width="18.28515625" style="32" bestFit="1" customWidth="1"/>
    <col min="14853" max="14853" width="18.140625" style="32" bestFit="1" customWidth="1"/>
    <col min="14854" max="14854" width="16.28515625" style="32" bestFit="1" customWidth="1"/>
    <col min="14855" max="14855" width="17" style="32" bestFit="1" customWidth="1"/>
    <col min="14856" max="14856" width="16.85546875" style="32" bestFit="1" customWidth="1"/>
    <col min="14857" max="14857" width="17" style="32" bestFit="1" customWidth="1"/>
    <col min="14858" max="14858" width="16.85546875" style="32" bestFit="1" customWidth="1"/>
    <col min="14859" max="14859" width="15.140625" style="32" bestFit="1" customWidth="1"/>
    <col min="14860" max="15104" width="9.140625" style="32"/>
    <col min="15105" max="15105" width="3.7109375" style="32" bestFit="1" customWidth="1"/>
    <col min="15106" max="15106" width="18.28515625" style="32" bestFit="1" customWidth="1"/>
    <col min="15107" max="15107" width="18.140625" style="32" bestFit="1" customWidth="1"/>
    <col min="15108" max="15108" width="18.28515625" style="32" bestFit="1" customWidth="1"/>
    <col min="15109" max="15109" width="18.140625" style="32" bestFit="1" customWidth="1"/>
    <col min="15110" max="15110" width="16.28515625" style="32" bestFit="1" customWidth="1"/>
    <col min="15111" max="15111" width="17" style="32" bestFit="1" customWidth="1"/>
    <col min="15112" max="15112" width="16.85546875" style="32" bestFit="1" customWidth="1"/>
    <col min="15113" max="15113" width="17" style="32" bestFit="1" customWidth="1"/>
    <col min="15114" max="15114" width="16.85546875" style="32" bestFit="1" customWidth="1"/>
    <col min="15115" max="15115" width="15.140625" style="32" bestFit="1" customWidth="1"/>
    <col min="15116" max="15360" width="9.140625" style="32"/>
    <col min="15361" max="15361" width="3.7109375" style="32" bestFit="1" customWidth="1"/>
    <col min="15362" max="15362" width="18.28515625" style="32" bestFit="1" customWidth="1"/>
    <col min="15363" max="15363" width="18.140625" style="32" bestFit="1" customWidth="1"/>
    <col min="15364" max="15364" width="18.28515625" style="32" bestFit="1" customWidth="1"/>
    <col min="15365" max="15365" width="18.140625" style="32" bestFit="1" customWidth="1"/>
    <col min="15366" max="15366" width="16.28515625" style="32" bestFit="1" customWidth="1"/>
    <col min="15367" max="15367" width="17" style="32" bestFit="1" customWidth="1"/>
    <col min="15368" max="15368" width="16.85546875" style="32" bestFit="1" customWidth="1"/>
    <col min="15369" max="15369" width="17" style="32" bestFit="1" customWidth="1"/>
    <col min="15370" max="15370" width="16.85546875" style="32" bestFit="1" customWidth="1"/>
    <col min="15371" max="15371" width="15.140625" style="32" bestFit="1" customWidth="1"/>
    <col min="15372" max="15616" width="9.140625" style="32"/>
    <col min="15617" max="15617" width="3.7109375" style="32" bestFit="1" customWidth="1"/>
    <col min="15618" max="15618" width="18.28515625" style="32" bestFit="1" customWidth="1"/>
    <col min="15619" max="15619" width="18.140625" style="32" bestFit="1" customWidth="1"/>
    <col min="15620" max="15620" width="18.28515625" style="32" bestFit="1" customWidth="1"/>
    <col min="15621" max="15621" width="18.140625" style="32" bestFit="1" customWidth="1"/>
    <col min="15622" max="15622" width="16.28515625" style="32" bestFit="1" customWidth="1"/>
    <col min="15623" max="15623" width="17" style="32" bestFit="1" customWidth="1"/>
    <col min="15624" max="15624" width="16.85546875" style="32" bestFit="1" customWidth="1"/>
    <col min="15625" max="15625" width="17" style="32" bestFit="1" customWidth="1"/>
    <col min="15626" max="15626" width="16.85546875" style="32" bestFit="1" customWidth="1"/>
    <col min="15627" max="15627" width="15.140625" style="32" bestFit="1" customWidth="1"/>
    <col min="15628" max="15872" width="9.140625" style="32"/>
    <col min="15873" max="15873" width="3.7109375" style="32" bestFit="1" customWidth="1"/>
    <col min="15874" max="15874" width="18.28515625" style="32" bestFit="1" customWidth="1"/>
    <col min="15875" max="15875" width="18.140625" style="32" bestFit="1" customWidth="1"/>
    <col min="15876" max="15876" width="18.28515625" style="32" bestFit="1" customWidth="1"/>
    <col min="15877" max="15877" width="18.140625" style="32" bestFit="1" customWidth="1"/>
    <col min="15878" max="15878" width="16.28515625" style="32" bestFit="1" customWidth="1"/>
    <col min="15879" max="15879" width="17" style="32" bestFit="1" customWidth="1"/>
    <col min="15880" max="15880" width="16.85546875" style="32" bestFit="1" customWidth="1"/>
    <col min="15881" max="15881" width="17" style="32" bestFit="1" customWidth="1"/>
    <col min="15882" max="15882" width="16.85546875" style="32" bestFit="1" customWidth="1"/>
    <col min="15883" max="15883" width="15.140625" style="32" bestFit="1" customWidth="1"/>
    <col min="15884" max="16128" width="9.140625" style="32"/>
    <col min="16129" max="16129" width="3.7109375" style="32" bestFit="1" customWidth="1"/>
    <col min="16130" max="16130" width="18.28515625" style="32" bestFit="1" customWidth="1"/>
    <col min="16131" max="16131" width="18.140625" style="32" bestFit="1" customWidth="1"/>
    <col min="16132" max="16132" width="18.28515625" style="32" bestFit="1" customWidth="1"/>
    <col min="16133" max="16133" width="18.140625" style="32" bestFit="1" customWidth="1"/>
    <col min="16134" max="16134" width="16.28515625" style="32" bestFit="1" customWidth="1"/>
    <col min="16135" max="16135" width="17" style="32" bestFit="1" customWidth="1"/>
    <col min="16136" max="16136" width="16.85546875" style="32" bestFit="1" customWidth="1"/>
    <col min="16137" max="16137" width="17" style="32" bestFit="1" customWidth="1"/>
    <col min="16138" max="16138" width="16.85546875" style="32" bestFit="1" customWidth="1"/>
    <col min="16139" max="16139" width="15.140625" style="32" bestFit="1" customWidth="1"/>
    <col min="16140" max="16384" width="9.140625" style="32"/>
  </cols>
  <sheetData>
    <row r="1" spans="1:11">
      <c r="A1" s="699" t="s">
        <v>974</v>
      </c>
    </row>
    <row r="2" spans="1:11">
      <c r="A2" s="710" t="s">
        <v>372</v>
      </c>
      <c r="B2" s="716" t="s">
        <v>384</v>
      </c>
      <c r="C2" s="716" t="s">
        <v>385</v>
      </c>
      <c r="D2" s="716" t="s">
        <v>386</v>
      </c>
      <c r="E2" s="716" t="s">
        <v>387</v>
      </c>
      <c r="F2" s="716" t="s">
        <v>388</v>
      </c>
      <c r="G2" s="717" t="s">
        <v>389</v>
      </c>
      <c r="H2" s="717" t="s">
        <v>390</v>
      </c>
      <c r="I2" s="717" t="s">
        <v>391</v>
      </c>
      <c r="J2" s="717" t="s">
        <v>392</v>
      </c>
      <c r="K2" s="717" t="s">
        <v>393</v>
      </c>
    </row>
    <row r="3" spans="1:11">
      <c r="A3" s="710">
        <v>100</v>
      </c>
      <c r="B3" s="716">
        <f>SUMIF('Mapping HRGs to TFCs'!B:B,A3,'Mapping HRGs to TFCs'!C:C)</f>
        <v>19493</v>
      </c>
      <c r="C3" s="716">
        <f>SUMIF('Mapping HRGs to TFCs'!B:B,A3,'Mapping HRGs to TFCs'!D:D)</f>
        <v>10550</v>
      </c>
      <c r="D3" s="716">
        <f>SUMIF('Mapping HRGs to TFCs'!B:B,A3,'Mapping HRGs to TFCs'!E:E)</f>
        <v>0</v>
      </c>
      <c r="E3" s="716">
        <f>SUMIF('Mapping HRGs to TFCs'!B:B,A3,'Mapping HRGs to TFCs'!F:F)</f>
        <v>0</v>
      </c>
      <c r="F3" s="716">
        <f>SUMIF('Mapping HRGs to TFCs'!B:B,A3,'Mapping HRGs to TFCs'!G:G)</f>
        <v>30043</v>
      </c>
      <c r="G3" s="716">
        <f>SUMIF('Mapping HRGs to TFCs'!B:B,A3,'Mapping HRGs to TFCs'!H:H)</f>
        <v>2630055.3437846578</v>
      </c>
      <c r="H3" s="716">
        <f>SUMIF('Mapping HRGs to TFCs'!B:B,A3,'Mapping HRGs to TFCs'!I:I)</f>
        <v>1816742.1990271821</v>
      </c>
      <c r="I3" s="716">
        <f>SUMIF('Mapping HRGs to TFCs'!B:B,A3,'Mapping HRGs to TFCs'!J:J)</f>
        <v>0</v>
      </c>
      <c r="J3" s="716">
        <f>SUMIF('Mapping HRGs to TFCs'!B:B,A3,'Mapping HRGs to TFCs'!K:K)</f>
        <v>0</v>
      </c>
      <c r="K3" s="716">
        <f>SUMIF('Mapping HRGs to TFCs'!B:B,A3,'Mapping HRGs to TFCs'!L:L)</f>
        <v>4446797.5428118398</v>
      </c>
    </row>
    <row r="4" spans="1:11">
      <c r="A4" s="710">
        <v>101</v>
      </c>
      <c r="B4" s="716">
        <f>SUMIF('Mapping HRGs to TFCs'!B:B,A4,'Mapping HRGs to TFCs'!C:C)</f>
        <v>8297</v>
      </c>
      <c r="C4" s="716">
        <f>SUMIF('Mapping HRGs to TFCs'!B:B,A4,'Mapping HRGs to TFCs'!D:D)</f>
        <v>2054</v>
      </c>
      <c r="D4" s="716">
        <f>SUMIF('Mapping HRGs to TFCs'!B:B,A4,'Mapping HRGs to TFCs'!E:E)</f>
        <v>0</v>
      </c>
      <c r="E4" s="716">
        <f>SUMIF('Mapping HRGs to TFCs'!B:B,A4,'Mapping HRGs to TFCs'!F:F)</f>
        <v>0</v>
      </c>
      <c r="F4" s="716">
        <f>SUMIF('Mapping HRGs to TFCs'!B:B,A4,'Mapping HRGs to TFCs'!G:G)</f>
        <v>10351</v>
      </c>
      <c r="G4" s="716">
        <f>SUMIF('Mapping HRGs to TFCs'!B:B,A4,'Mapping HRGs to TFCs'!H:H)</f>
        <v>1654547.5232012034</v>
      </c>
      <c r="H4" s="716">
        <f>SUMIF('Mapping HRGs to TFCs'!B:B,A4,'Mapping HRGs to TFCs'!I:I)</f>
        <v>526843.06895149162</v>
      </c>
      <c r="I4" s="716">
        <f>SUMIF('Mapping HRGs to TFCs'!B:B,A4,'Mapping HRGs to TFCs'!J:J)</f>
        <v>0</v>
      </c>
      <c r="J4" s="716">
        <f>SUMIF('Mapping HRGs to TFCs'!B:B,A4,'Mapping HRGs to TFCs'!K:K)</f>
        <v>0</v>
      </c>
      <c r="K4" s="716">
        <f>SUMIF('Mapping HRGs to TFCs'!B:B,A4,'Mapping HRGs to TFCs'!L:L)</f>
        <v>2181390.5921526942</v>
      </c>
    </row>
    <row r="5" spans="1:11">
      <c r="A5" s="710">
        <v>102</v>
      </c>
      <c r="B5" s="716">
        <f>SUMIF('Mapping HRGs to TFCs'!B:B,A5,'Mapping HRGs to TFCs'!C:C)</f>
        <v>785</v>
      </c>
      <c r="C5" s="716">
        <f>SUMIF('Mapping HRGs to TFCs'!B:B,A5,'Mapping HRGs to TFCs'!D:D)</f>
        <v>10</v>
      </c>
      <c r="D5" s="716">
        <f>SUMIF('Mapping HRGs to TFCs'!B:B,A5,'Mapping HRGs to TFCs'!E:E)</f>
        <v>0</v>
      </c>
      <c r="E5" s="716">
        <f>SUMIF('Mapping HRGs to TFCs'!B:B,A5,'Mapping HRGs to TFCs'!F:F)</f>
        <v>0</v>
      </c>
      <c r="F5" s="716">
        <f>SUMIF('Mapping HRGs to TFCs'!B:B,A5,'Mapping HRGs to TFCs'!G:G)</f>
        <v>795</v>
      </c>
      <c r="G5" s="716">
        <f>SUMIF('Mapping HRGs to TFCs'!B:B,A5,'Mapping HRGs to TFCs'!H:H)</f>
        <v>60515.15046140171</v>
      </c>
      <c r="H5" s="716">
        <f>SUMIF('Mapping HRGs to TFCs'!B:B,A5,'Mapping HRGs to TFCs'!I:I)</f>
        <v>930.88401093556217</v>
      </c>
      <c r="I5" s="716">
        <f>SUMIF('Mapping HRGs to TFCs'!B:B,A5,'Mapping HRGs to TFCs'!J:J)</f>
        <v>0</v>
      </c>
      <c r="J5" s="716">
        <f>SUMIF('Mapping HRGs to TFCs'!B:B,A5,'Mapping HRGs to TFCs'!K:K)</f>
        <v>0</v>
      </c>
      <c r="K5" s="716">
        <f>SUMIF('Mapping HRGs to TFCs'!B:B,A5,'Mapping HRGs to TFCs'!L:L)</f>
        <v>61446.034472337276</v>
      </c>
    </row>
    <row r="6" spans="1:11">
      <c r="A6" s="710">
        <v>103</v>
      </c>
      <c r="B6" s="716">
        <f>SUMIF('Mapping HRGs to TFCs'!B:B,A6,'Mapping HRGs to TFCs'!C:C)</f>
        <v>10889</v>
      </c>
      <c r="C6" s="716">
        <f>SUMIF('Mapping HRGs to TFCs'!B:B,A6,'Mapping HRGs to TFCs'!D:D)</f>
        <v>2564</v>
      </c>
      <c r="D6" s="716">
        <f>SUMIF('Mapping HRGs to TFCs'!B:B,A6,'Mapping HRGs to TFCs'!E:E)</f>
        <v>0</v>
      </c>
      <c r="E6" s="716">
        <f>SUMIF('Mapping HRGs to TFCs'!B:B,A6,'Mapping HRGs to TFCs'!F:F)</f>
        <v>0</v>
      </c>
      <c r="F6" s="716">
        <f>SUMIF('Mapping HRGs to TFCs'!B:B,A6,'Mapping HRGs to TFCs'!G:G)</f>
        <v>13453</v>
      </c>
      <c r="G6" s="716">
        <f>SUMIF('Mapping HRGs to TFCs'!B:B,A6,'Mapping HRGs to TFCs'!H:H)</f>
        <v>1440348.9264178127</v>
      </c>
      <c r="H6" s="716">
        <f>SUMIF('Mapping HRGs to TFCs'!B:B,A6,'Mapping HRGs to TFCs'!I:I)</f>
        <v>450656.97205215821</v>
      </c>
      <c r="I6" s="716">
        <f>SUMIF('Mapping HRGs to TFCs'!B:B,A6,'Mapping HRGs to TFCs'!J:J)</f>
        <v>0</v>
      </c>
      <c r="J6" s="716">
        <f>SUMIF('Mapping HRGs to TFCs'!B:B,A6,'Mapping HRGs to TFCs'!K:K)</f>
        <v>0</v>
      </c>
      <c r="K6" s="716">
        <f>SUMIF('Mapping HRGs to TFCs'!B:B,A6,'Mapping HRGs to TFCs'!L:L)</f>
        <v>1891005.8984699713</v>
      </c>
    </row>
    <row r="7" spans="1:11">
      <c r="A7" s="710">
        <v>104</v>
      </c>
      <c r="B7" s="716">
        <f>SUMIF('Mapping HRGs to TFCs'!B:B,A7,'Mapping HRGs to TFCs'!C:C)</f>
        <v>4964</v>
      </c>
      <c r="C7" s="716">
        <f>SUMIF('Mapping HRGs to TFCs'!B:B,A7,'Mapping HRGs to TFCs'!D:D)</f>
        <v>5531</v>
      </c>
      <c r="D7" s="716">
        <f>SUMIF('Mapping HRGs to TFCs'!B:B,A7,'Mapping HRGs to TFCs'!E:E)</f>
        <v>0</v>
      </c>
      <c r="E7" s="716">
        <f>SUMIF('Mapping HRGs to TFCs'!B:B,A7,'Mapping HRGs to TFCs'!F:F)</f>
        <v>0</v>
      </c>
      <c r="F7" s="716">
        <f>SUMIF('Mapping HRGs to TFCs'!B:B,A7,'Mapping HRGs to TFCs'!G:G)</f>
        <v>10495</v>
      </c>
      <c r="G7" s="716">
        <f>SUMIF('Mapping HRGs to TFCs'!B:B,A7,'Mapping HRGs to TFCs'!H:H)</f>
        <v>655909.49274827272</v>
      </c>
      <c r="H7" s="716">
        <f>SUMIF('Mapping HRGs to TFCs'!B:B,A7,'Mapping HRGs to TFCs'!I:I)</f>
        <v>943116.66103507066</v>
      </c>
      <c r="I7" s="716">
        <f>SUMIF('Mapping HRGs to TFCs'!B:B,A7,'Mapping HRGs to TFCs'!J:J)</f>
        <v>0</v>
      </c>
      <c r="J7" s="716">
        <f>SUMIF('Mapping HRGs to TFCs'!B:B,A7,'Mapping HRGs to TFCs'!K:K)</f>
        <v>0</v>
      </c>
      <c r="K7" s="716">
        <f>SUMIF('Mapping HRGs to TFCs'!B:B,A7,'Mapping HRGs to TFCs'!L:L)</f>
        <v>1599026.1537833433</v>
      </c>
    </row>
    <row r="8" spans="1:11">
      <c r="A8" s="710">
        <v>105</v>
      </c>
      <c r="B8" s="716">
        <f>SUMIF('Mapping HRGs to TFCs'!B:B,A8,'Mapping HRGs to TFCs'!C:C)</f>
        <v>40</v>
      </c>
      <c r="C8" s="716">
        <f>SUMIF('Mapping HRGs to TFCs'!B:B,A8,'Mapping HRGs to TFCs'!D:D)</f>
        <v>13</v>
      </c>
      <c r="D8" s="716">
        <f>SUMIF('Mapping HRGs to TFCs'!B:B,A8,'Mapping HRGs to TFCs'!E:E)</f>
        <v>0</v>
      </c>
      <c r="E8" s="716">
        <f>SUMIF('Mapping HRGs to TFCs'!B:B,A8,'Mapping HRGs to TFCs'!F:F)</f>
        <v>0</v>
      </c>
      <c r="F8" s="716">
        <f>SUMIF('Mapping HRGs to TFCs'!B:B,A8,'Mapping HRGs to TFCs'!G:G)</f>
        <v>53</v>
      </c>
      <c r="G8" s="716">
        <f>SUMIF('Mapping HRGs to TFCs'!B:B,A8,'Mapping HRGs to TFCs'!H:H)</f>
        <v>7972.9267512141741</v>
      </c>
      <c r="H8" s="716">
        <f>SUMIF('Mapping HRGs to TFCs'!B:B,A8,'Mapping HRGs to TFCs'!I:I)</f>
        <v>1963.396733143127</v>
      </c>
      <c r="I8" s="716">
        <f>SUMIF('Mapping HRGs to TFCs'!B:B,A8,'Mapping HRGs to TFCs'!J:J)</f>
        <v>0</v>
      </c>
      <c r="J8" s="716">
        <f>SUMIF('Mapping HRGs to TFCs'!B:B,A8,'Mapping HRGs to TFCs'!K:K)</f>
        <v>0</v>
      </c>
      <c r="K8" s="716">
        <f>SUMIF('Mapping HRGs to TFCs'!B:B,A8,'Mapping HRGs to TFCs'!L:L)</f>
        <v>9936.3234843573027</v>
      </c>
    </row>
    <row r="9" spans="1:11">
      <c r="A9" s="710">
        <v>106</v>
      </c>
      <c r="B9" s="716">
        <f>SUMIF('Mapping HRGs to TFCs'!B:B,A9,'Mapping HRGs to TFCs'!C:C)</f>
        <v>451</v>
      </c>
      <c r="C9" s="716">
        <f>SUMIF('Mapping HRGs to TFCs'!B:B,A9,'Mapping HRGs to TFCs'!D:D)</f>
        <v>253</v>
      </c>
      <c r="D9" s="716">
        <f>SUMIF('Mapping HRGs to TFCs'!B:B,A9,'Mapping HRGs to TFCs'!E:E)</f>
        <v>0</v>
      </c>
      <c r="E9" s="716">
        <f>SUMIF('Mapping HRGs to TFCs'!B:B,A9,'Mapping HRGs to TFCs'!F:F)</f>
        <v>0</v>
      </c>
      <c r="F9" s="716">
        <f>SUMIF('Mapping HRGs to TFCs'!B:B,A9,'Mapping HRGs to TFCs'!G:G)</f>
        <v>704</v>
      </c>
      <c r="G9" s="716">
        <f>SUMIF('Mapping HRGs to TFCs'!B:B,A9,'Mapping HRGs to TFCs'!H:H)</f>
        <v>58473.607569263841</v>
      </c>
      <c r="H9" s="716">
        <f>SUMIF('Mapping HRGs to TFCs'!B:B,A9,'Mapping HRGs to TFCs'!I:I)</f>
        <v>34941.784366622822</v>
      </c>
      <c r="I9" s="716">
        <f>SUMIF('Mapping HRGs to TFCs'!B:B,A9,'Mapping HRGs to TFCs'!J:J)</f>
        <v>0</v>
      </c>
      <c r="J9" s="716">
        <f>SUMIF('Mapping HRGs to TFCs'!B:B,A9,'Mapping HRGs to TFCs'!K:K)</f>
        <v>0</v>
      </c>
      <c r="K9" s="716">
        <f>SUMIF('Mapping HRGs to TFCs'!B:B,A9,'Mapping HRGs to TFCs'!L:L)</f>
        <v>93415.391935886655</v>
      </c>
    </row>
    <row r="10" spans="1:11">
      <c r="A10" s="710">
        <v>107</v>
      </c>
      <c r="B10" s="716">
        <f>SUMIF('Mapping HRGs to TFCs'!B:B,A10,'Mapping HRGs to TFCs'!C:C)</f>
        <v>8319</v>
      </c>
      <c r="C10" s="716">
        <f>SUMIF('Mapping HRGs to TFCs'!B:B,A10,'Mapping HRGs to TFCs'!D:D)</f>
        <v>3097</v>
      </c>
      <c r="D10" s="716">
        <f>SUMIF('Mapping HRGs to TFCs'!B:B,A10,'Mapping HRGs to TFCs'!E:E)</f>
        <v>0</v>
      </c>
      <c r="E10" s="716">
        <f>SUMIF('Mapping HRGs to TFCs'!B:B,A10,'Mapping HRGs to TFCs'!F:F)</f>
        <v>0</v>
      </c>
      <c r="F10" s="716">
        <f>SUMIF('Mapping HRGs to TFCs'!B:B,A10,'Mapping HRGs to TFCs'!G:G)</f>
        <v>11416</v>
      </c>
      <c r="G10" s="716">
        <f>SUMIF('Mapping HRGs to TFCs'!B:B,A10,'Mapping HRGs to TFCs'!H:H)</f>
        <v>1030533.1196388811</v>
      </c>
      <c r="H10" s="716">
        <f>SUMIF('Mapping HRGs to TFCs'!B:B,A10,'Mapping HRGs to TFCs'!I:I)</f>
        <v>446669.82295124658</v>
      </c>
      <c r="I10" s="716">
        <f>SUMIF('Mapping HRGs to TFCs'!B:B,A10,'Mapping HRGs to TFCs'!J:J)</f>
        <v>0</v>
      </c>
      <c r="J10" s="716">
        <f>SUMIF('Mapping HRGs to TFCs'!B:B,A10,'Mapping HRGs to TFCs'!K:K)</f>
        <v>0</v>
      </c>
      <c r="K10" s="716">
        <f>SUMIF('Mapping HRGs to TFCs'!B:B,A10,'Mapping HRGs to TFCs'!L:L)</f>
        <v>1477202.9425901279</v>
      </c>
    </row>
    <row r="11" spans="1:11">
      <c r="A11" s="710">
        <v>110</v>
      </c>
      <c r="B11" s="716">
        <f>SUMIF('Mapping HRGs to TFCs'!B:B,A11,'Mapping HRGs to TFCs'!C:C)</f>
        <v>91107</v>
      </c>
      <c r="C11" s="716">
        <f>SUMIF('Mapping HRGs to TFCs'!B:B,A11,'Mapping HRGs to TFCs'!D:D)</f>
        <v>33089</v>
      </c>
      <c r="D11" s="716">
        <f>SUMIF('Mapping HRGs to TFCs'!B:B,A11,'Mapping HRGs to TFCs'!E:E)</f>
        <v>0</v>
      </c>
      <c r="E11" s="716">
        <f>SUMIF('Mapping HRGs to TFCs'!B:B,A11,'Mapping HRGs to TFCs'!F:F)</f>
        <v>0</v>
      </c>
      <c r="F11" s="716">
        <f>SUMIF('Mapping HRGs to TFCs'!B:B,A11,'Mapping HRGs to TFCs'!G:G)</f>
        <v>124196</v>
      </c>
      <c r="G11" s="716">
        <f>SUMIF('Mapping HRGs to TFCs'!B:B,A11,'Mapping HRGs to TFCs'!H:H)</f>
        <v>13173914.533839524</v>
      </c>
      <c r="H11" s="716">
        <f>SUMIF('Mapping HRGs to TFCs'!B:B,A11,'Mapping HRGs to TFCs'!I:I)</f>
        <v>4851611.5871699601</v>
      </c>
      <c r="I11" s="716">
        <f>SUMIF('Mapping HRGs to TFCs'!B:B,A11,'Mapping HRGs to TFCs'!J:J)</f>
        <v>0</v>
      </c>
      <c r="J11" s="716">
        <f>SUMIF('Mapping HRGs to TFCs'!B:B,A11,'Mapping HRGs to TFCs'!K:K)</f>
        <v>0</v>
      </c>
      <c r="K11" s="716">
        <f>SUMIF('Mapping HRGs to TFCs'!B:B,A11,'Mapping HRGs to TFCs'!L:L)</f>
        <v>18025526.12100948</v>
      </c>
    </row>
    <row r="12" spans="1:11">
      <c r="A12" s="710">
        <v>120</v>
      </c>
      <c r="B12" s="716">
        <f>SUMIF('Mapping HRGs to TFCs'!B:B,A12,'Mapping HRGs to TFCs'!C:C)</f>
        <v>14440</v>
      </c>
      <c r="C12" s="716">
        <f>SUMIF('Mapping HRGs to TFCs'!B:B,A12,'Mapping HRGs to TFCs'!D:D)</f>
        <v>10764</v>
      </c>
      <c r="D12" s="716">
        <f>SUMIF('Mapping HRGs to TFCs'!B:B,A12,'Mapping HRGs to TFCs'!E:E)</f>
        <v>0</v>
      </c>
      <c r="E12" s="716">
        <f>SUMIF('Mapping HRGs to TFCs'!B:B,A12,'Mapping HRGs to TFCs'!F:F)</f>
        <v>0</v>
      </c>
      <c r="F12" s="716">
        <f>SUMIF('Mapping HRGs to TFCs'!B:B,A12,'Mapping HRGs to TFCs'!G:G)</f>
        <v>25204</v>
      </c>
      <c r="G12" s="716">
        <f>SUMIF('Mapping HRGs to TFCs'!B:B,A12,'Mapping HRGs to TFCs'!H:H)</f>
        <v>1529724.9519469864</v>
      </c>
      <c r="H12" s="716">
        <f>SUMIF('Mapping HRGs to TFCs'!B:B,A12,'Mapping HRGs to TFCs'!I:I)</f>
        <v>1334973.6101293603</v>
      </c>
      <c r="I12" s="716">
        <f>SUMIF('Mapping HRGs to TFCs'!B:B,A12,'Mapping HRGs to TFCs'!J:J)</f>
        <v>0</v>
      </c>
      <c r="J12" s="716">
        <f>SUMIF('Mapping HRGs to TFCs'!B:B,A12,'Mapping HRGs to TFCs'!K:K)</f>
        <v>0</v>
      </c>
      <c r="K12" s="716">
        <f>SUMIF('Mapping HRGs to TFCs'!B:B,A12,'Mapping HRGs to TFCs'!L:L)</f>
        <v>2864698.5620763469</v>
      </c>
    </row>
    <row r="13" spans="1:11">
      <c r="A13" s="710">
        <v>130</v>
      </c>
      <c r="B13" s="716">
        <f>SUMIF('Mapping HRGs to TFCs'!B:B,A13,'Mapping HRGs to TFCs'!C:C)</f>
        <v>7385</v>
      </c>
      <c r="C13" s="716">
        <f>SUMIF('Mapping HRGs to TFCs'!B:B,A13,'Mapping HRGs to TFCs'!D:D)</f>
        <v>2433</v>
      </c>
      <c r="D13" s="716">
        <f>SUMIF('Mapping HRGs to TFCs'!B:B,A13,'Mapping HRGs to TFCs'!E:E)</f>
        <v>0</v>
      </c>
      <c r="E13" s="716">
        <f>SUMIF('Mapping HRGs to TFCs'!B:B,A13,'Mapping HRGs to TFCs'!F:F)</f>
        <v>0</v>
      </c>
      <c r="F13" s="716">
        <f>SUMIF('Mapping HRGs to TFCs'!B:B,A13,'Mapping HRGs to TFCs'!G:G)</f>
        <v>9818</v>
      </c>
      <c r="G13" s="716">
        <f>SUMIF('Mapping HRGs to TFCs'!B:B,A13,'Mapping HRGs to TFCs'!H:H)</f>
        <v>1030580.8289528388</v>
      </c>
      <c r="H13" s="716">
        <f>SUMIF('Mapping HRGs to TFCs'!B:B,A13,'Mapping HRGs to TFCs'!I:I)</f>
        <v>435819.2601117756</v>
      </c>
      <c r="I13" s="716">
        <f>SUMIF('Mapping HRGs to TFCs'!B:B,A13,'Mapping HRGs to TFCs'!J:J)</f>
        <v>0</v>
      </c>
      <c r="J13" s="716">
        <f>SUMIF('Mapping HRGs to TFCs'!B:B,A13,'Mapping HRGs to TFCs'!K:K)</f>
        <v>0</v>
      </c>
      <c r="K13" s="716">
        <f>SUMIF('Mapping HRGs to TFCs'!B:B,A13,'Mapping HRGs to TFCs'!L:L)</f>
        <v>1466400.0890646144</v>
      </c>
    </row>
    <row r="14" spans="1:11">
      <c r="A14" s="710">
        <v>140</v>
      </c>
      <c r="B14" s="716">
        <f>SUMIF('Mapping HRGs to TFCs'!B:B,A14,'Mapping HRGs to TFCs'!C:C)</f>
        <v>8124</v>
      </c>
      <c r="C14" s="716">
        <f>SUMIF('Mapping HRGs to TFCs'!B:B,A14,'Mapping HRGs to TFCs'!D:D)</f>
        <v>2502</v>
      </c>
      <c r="D14" s="716">
        <f>SUMIF('Mapping HRGs to TFCs'!B:B,A14,'Mapping HRGs to TFCs'!E:E)</f>
        <v>0</v>
      </c>
      <c r="E14" s="716">
        <f>SUMIF('Mapping HRGs to TFCs'!B:B,A14,'Mapping HRGs to TFCs'!F:F)</f>
        <v>0</v>
      </c>
      <c r="F14" s="716">
        <f>SUMIF('Mapping HRGs to TFCs'!B:B,A14,'Mapping HRGs to TFCs'!G:G)</f>
        <v>10626</v>
      </c>
      <c r="G14" s="716">
        <f>SUMIF('Mapping HRGs to TFCs'!B:B,A14,'Mapping HRGs to TFCs'!H:H)</f>
        <v>969172.96076504188</v>
      </c>
      <c r="H14" s="716">
        <f>SUMIF('Mapping HRGs to TFCs'!B:B,A14,'Mapping HRGs to TFCs'!I:I)</f>
        <v>330583.20126130024</v>
      </c>
      <c r="I14" s="716">
        <f>SUMIF('Mapping HRGs to TFCs'!B:B,A14,'Mapping HRGs to TFCs'!J:J)</f>
        <v>0</v>
      </c>
      <c r="J14" s="716">
        <f>SUMIF('Mapping HRGs to TFCs'!B:B,A14,'Mapping HRGs to TFCs'!K:K)</f>
        <v>0</v>
      </c>
      <c r="K14" s="716">
        <f>SUMIF('Mapping HRGs to TFCs'!B:B,A14,'Mapping HRGs to TFCs'!L:L)</f>
        <v>1299756.1620263429</v>
      </c>
    </row>
    <row r="15" spans="1:11">
      <c r="A15" s="710">
        <v>141</v>
      </c>
      <c r="B15" s="716">
        <f>SUMIF('Mapping HRGs to TFCs'!B:B,A15,'Mapping HRGs to TFCs'!C:C)</f>
        <v>795</v>
      </c>
      <c r="C15" s="716">
        <f>SUMIF('Mapping HRGs to TFCs'!B:B,A15,'Mapping HRGs to TFCs'!D:D)</f>
        <v>65</v>
      </c>
      <c r="D15" s="716">
        <f>SUMIF('Mapping HRGs to TFCs'!B:B,A15,'Mapping HRGs to TFCs'!E:E)</f>
        <v>0</v>
      </c>
      <c r="E15" s="716">
        <f>SUMIF('Mapping HRGs to TFCs'!B:B,A15,'Mapping HRGs to TFCs'!F:F)</f>
        <v>0</v>
      </c>
      <c r="F15" s="716">
        <f>SUMIF('Mapping HRGs to TFCs'!B:B,A15,'Mapping HRGs to TFCs'!G:G)</f>
        <v>860</v>
      </c>
      <c r="G15" s="716">
        <f>SUMIF('Mapping HRGs to TFCs'!B:B,A15,'Mapping HRGs to TFCs'!H:H)</f>
        <v>88367.876395867192</v>
      </c>
      <c r="H15" s="716">
        <f>SUMIF('Mapping HRGs to TFCs'!B:B,A15,'Mapping HRGs to TFCs'!I:I)</f>
        <v>7853.2815360719851</v>
      </c>
      <c r="I15" s="716">
        <f>SUMIF('Mapping HRGs to TFCs'!B:B,A15,'Mapping HRGs to TFCs'!J:J)</f>
        <v>0</v>
      </c>
      <c r="J15" s="716">
        <f>SUMIF('Mapping HRGs to TFCs'!B:B,A15,'Mapping HRGs to TFCs'!K:K)</f>
        <v>0</v>
      </c>
      <c r="K15" s="716">
        <f>SUMIF('Mapping HRGs to TFCs'!B:B,A15,'Mapping HRGs to TFCs'!L:L)</f>
        <v>96221.157931939175</v>
      </c>
    </row>
    <row r="16" spans="1:11">
      <c r="A16" s="710">
        <v>142</v>
      </c>
      <c r="B16" s="716">
        <f>SUMIF('Mapping HRGs to TFCs'!B:B,A16,'Mapping HRGs to TFCs'!C:C)</f>
        <v>3953</v>
      </c>
      <c r="C16" s="716">
        <f>SUMIF('Mapping HRGs to TFCs'!B:B,A16,'Mapping HRGs to TFCs'!D:D)</f>
        <v>368</v>
      </c>
      <c r="D16" s="716">
        <f>SUMIF('Mapping HRGs to TFCs'!B:B,A16,'Mapping HRGs to TFCs'!E:E)</f>
        <v>0</v>
      </c>
      <c r="E16" s="716">
        <f>SUMIF('Mapping HRGs to TFCs'!B:B,A16,'Mapping HRGs to TFCs'!F:F)</f>
        <v>0</v>
      </c>
      <c r="F16" s="716">
        <f>SUMIF('Mapping HRGs to TFCs'!B:B,A16,'Mapping HRGs to TFCs'!G:G)</f>
        <v>4321</v>
      </c>
      <c r="G16" s="716">
        <f>SUMIF('Mapping HRGs to TFCs'!B:B,A16,'Mapping HRGs to TFCs'!H:H)</f>
        <v>406131.06435734301</v>
      </c>
      <c r="H16" s="716">
        <f>SUMIF('Mapping HRGs to TFCs'!B:B,A16,'Mapping HRGs to TFCs'!I:I)</f>
        <v>37155.314162416376</v>
      </c>
      <c r="I16" s="716">
        <f>SUMIF('Mapping HRGs to TFCs'!B:B,A16,'Mapping HRGs to TFCs'!J:J)</f>
        <v>0</v>
      </c>
      <c r="J16" s="716">
        <f>SUMIF('Mapping HRGs to TFCs'!B:B,A16,'Mapping HRGs to TFCs'!K:K)</f>
        <v>0</v>
      </c>
      <c r="K16" s="716">
        <f>SUMIF('Mapping HRGs to TFCs'!B:B,A16,'Mapping HRGs to TFCs'!L:L)</f>
        <v>443286.3785197594</v>
      </c>
    </row>
    <row r="17" spans="1:11">
      <c r="A17" s="710">
        <v>143</v>
      </c>
      <c r="B17" s="716">
        <f>SUMIF('Mapping HRGs to TFCs'!B:B,A17,'Mapping HRGs to TFCs'!C:C)</f>
        <v>510</v>
      </c>
      <c r="C17" s="716">
        <f>SUMIF('Mapping HRGs to TFCs'!B:B,A17,'Mapping HRGs to TFCs'!D:D)</f>
        <v>31</v>
      </c>
      <c r="D17" s="716">
        <f>SUMIF('Mapping HRGs to TFCs'!B:B,A17,'Mapping HRGs to TFCs'!E:E)</f>
        <v>0</v>
      </c>
      <c r="E17" s="716">
        <f>SUMIF('Mapping HRGs to TFCs'!B:B,A17,'Mapping HRGs to TFCs'!F:F)</f>
        <v>0</v>
      </c>
      <c r="F17" s="716">
        <f>SUMIF('Mapping HRGs to TFCs'!B:B,A17,'Mapping HRGs to TFCs'!G:G)</f>
        <v>541</v>
      </c>
      <c r="G17" s="716">
        <f>SUMIF('Mapping HRGs to TFCs'!B:B,A17,'Mapping HRGs to TFCs'!H:H)</f>
        <v>74545.863040213779</v>
      </c>
      <c r="H17" s="716">
        <f>SUMIF('Mapping HRGs to TFCs'!B:B,A17,'Mapping HRGs to TFCs'!I:I)</f>
        <v>4393.3550801045185</v>
      </c>
      <c r="I17" s="716">
        <f>SUMIF('Mapping HRGs to TFCs'!B:B,A17,'Mapping HRGs to TFCs'!J:J)</f>
        <v>0</v>
      </c>
      <c r="J17" s="716">
        <f>SUMIF('Mapping HRGs to TFCs'!B:B,A17,'Mapping HRGs to TFCs'!K:K)</f>
        <v>0</v>
      </c>
      <c r="K17" s="716">
        <f>SUMIF('Mapping HRGs to TFCs'!B:B,A17,'Mapping HRGs to TFCs'!L:L)</f>
        <v>78939.218120318299</v>
      </c>
    </row>
    <row r="18" spans="1:11">
      <c r="A18" s="710">
        <v>144</v>
      </c>
      <c r="B18" s="716">
        <f>SUMIF('Mapping HRGs to TFCs'!B:B,A18,'Mapping HRGs to TFCs'!C:C)</f>
        <v>4675</v>
      </c>
      <c r="C18" s="716">
        <f>SUMIF('Mapping HRGs to TFCs'!B:B,A18,'Mapping HRGs to TFCs'!D:D)</f>
        <v>637</v>
      </c>
      <c r="D18" s="716">
        <f>SUMIF('Mapping HRGs to TFCs'!B:B,A18,'Mapping HRGs to TFCs'!E:E)</f>
        <v>0</v>
      </c>
      <c r="E18" s="716">
        <f>SUMIF('Mapping HRGs to TFCs'!B:B,A18,'Mapping HRGs to TFCs'!F:F)</f>
        <v>0</v>
      </c>
      <c r="F18" s="716">
        <f>SUMIF('Mapping HRGs to TFCs'!B:B,A18,'Mapping HRGs to TFCs'!G:G)</f>
        <v>5312</v>
      </c>
      <c r="G18" s="716">
        <f>SUMIF('Mapping HRGs to TFCs'!B:B,A18,'Mapping HRGs to TFCs'!H:H)</f>
        <v>527386.68454887229</v>
      </c>
      <c r="H18" s="716">
        <f>SUMIF('Mapping HRGs to TFCs'!B:B,A18,'Mapping HRGs to TFCs'!I:I)</f>
        <v>72117.541949811071</v>
      </c>
      <c r="I18" s="716">
        <f>SUMIF('Mapping HRGs to TFCs'!B:B,A18,'Mapping HRGs to TFCs'!J:J)</f>
        <v>0</v>
      </c>
      <c r="J18" s="716">
        <f>SUMIF('Mapping HRGs to TFCs'!B:B,A18,'Mapping HRGs to TFCs'!K:K)</f>
        <v>0</v>
      </c>
      <c r="K18" s="716">
        <f>SUMIF('Mapping HRGs to TFCs'!B:B,A18,'Mapping HRGs to TFCs'!L:L)</f>
        <v>599504.22649868322</v>
      </c>
    </row>
    <row r="19" spans="1:11">
      <c r="A19" s="710">
        <v>150</v>
      </c>
      <c r="B19" s="716">
        <f>SUMIF('Mapping HRGs to TFCs'!B:B,A19,'Mapping HRGs to TFCs'!C:C)</f>
        <v>929</v>
      </c>
      <c r="C19" s="716">
        <f>SUMIF('Mapping HRGs to TFCs'!B:B,A19,'Mapping HRGs to TFCs'!D:D)</f>
        <v>44</v>
      </c>
      <c r="D19" s="716">
        <f>SUMIF('Mapping HRGs to TFCs'!B:B,A19,'Mapping HRGs to TFCs'!E:E)</f>
        <v>0</v>
      </c>
      <c r="E19" s="716">
        <f>SUMIF('Mapping HRGs to TFCs'!B:B,A19,'Mapping HRGs to TFCs'!F:F)</f>
        <v>0</v>
      </c>
      <c r="F19" s="716">
        <f>SUMIF('Mapping HRGs to TFCs'!B:B,A19,'Mapping HRGs to TFCs'!G:G)</f>
        <v>973</v>
      </c>
      <c r="G19" s="716">
        <f>SUMIF('Mapping HRGs to TFCs'!B:B,A19,'Mapping HRGs to TFCs'!H:H)</f>
        <v>130447.72752990309</v>
      </c>
      <c r="H19" s="716">
        <f>SUMIF('Mapping HRGs to TFCs'!B:B,A19,'Mapping HRGs to TFCs'!I:I)</f>
        <v>5703.2096166124829</v>
      </c>
      <c r="I19" s="716">
        <f>SUMIF('Mapping HRGs to TFCs'!B:B,A19,'Mapping HRGs to TFCs'!J:J)</f>
        <v>0</v>
      </c>
      <c r="J19" s="716">
        <f>SUMIF('Mapping HRGs to TFCs'!B:B,A19,'Mapping HRGs to TFCs'!K:K)</f>
        <v>0</v>
      </c>
      <c r="K19" s="716">
        <f>SUMIF('Mapping HRGs to TFCs'!B:B,A19,'Mapping HRGs to TFCs'!L:L)</f>
        <v>136150.93714651559</v>
      </c>
    </row>
    <row r="20" spans="1:11">
      <c r="A20" s="710">
        <v>160</v>
      </c>
      <c r="B20" s="716">
        <f>SUMIF('Mapping HRGs to TFCs'!B:B,A20,'Mapping HRGs to TFCs'!C:C)</f>
        <v>40428</v>
      </c>
      <c r="C20" s="716">
        <f>SUMIF('Mapping HRGs to TFCs'!B:B,A20,'Mapping HRGs to TFCs'!D:D)</f>
        <v>9319</v>
      </c>
      <c r="D20" s="716">
        <f>SUMIF('Mapping HRGs to TFCs'!B:B,A20,'Mapping HRGs to TFCs'!E:E)</f>
        <v>0</v>
      </c>
      <c r="E20" s="716">
        <f>SUMIF('Mapping HRGs to TFCs'!B:B,A20,'Mapping HRGs to TFCs'!F:F)</f>
        <v>0</v>
      </c>
      <c r="F20" s="716">
        <f>SUMIF('Mapping HRGs to TFCs'!B:B,A20,'Mapping HRGs to TFCs'!G:G)</f>
        <v>49747</v>
      </c>
      <c r="G20" s="716">
        <f>SUMIF('Mapping HRGs to TFCs'!B:B,A20,'Mapping HRGs to TFCs'!H:H)</f>
        <v>4332965.658344374</v>
      </c>
      <c r="H20" s="716">
        <f>SUMIF('Mapping HRGs to TFCs'!B:B,A20,'Mapping HRGs to TFCs'!I:I)</f>
        <v>974604.14137688163</v>
      </c>
      <c r="I20" s="716">
        <f>SUMIF('Mapping HRGs to TFCs'!B:B,A20,'Mapping HRGs to TFCs'!J:J)</f>
        <v>0</v>
      </c>
      <c r="J20" s="716">
        <f>SUMIF('Mapping HRGs to TFCs'!B:B,A20,'Mapping HRGs to TFCs'!K:K)</f>
        <v>0</v>
      </c>
      <c r="K20" s="716">
        <f>SUMIF('Mapping HRGs to TFCs'!B:B,A20,'Mapping HRGs to TFCs'!L:L)</f>
        <v>5307569.7997212559</v>
      </c>
    </row>
    <row r="21" spans="1:11">
      <c r="A21" s="710">
        <v>161</v>
      </c>
      <c r="B21" s="716">
        <f>SUMIF('Mapping HRGs to TFCs'!B:B,A21,'Mapping HRGs to TFCs'!C:C)</f>
        <v>341</v>
      </c>
      <c r="C21" s="716">
        <f>SUMIF('Mapping HRGs to TFCs'!B:B,A21,'Mapping HRGs to TFCs'!D:D)</f>
        <v>114</v>
      </c>
      <c r="D21" s="716">
        <f>SUMIF('Mapping HRGs to TFCs'!B:B,A21,'Mapping HRGs to TFCs'!E:E)</f>
        <v>0</v>
      </c>
      <c r="E21" s="716">
        <f>SUMIF('Mapping HRGs to TFCs'!B:B,A21,'Mapping HRGs to TFCs'!F:F)</f>
        <v>0</v>
      </c>
      <c r="F21" s="716">
        <f>SUMIF('Mapping HRGs to TFCs'!B:B,A21,'Mapping HRGs to TFCs'!G:G)</f>
        <v>455</v>
      </c>
      <c r="G21" s="716">
        <f>SUMIF('Mapping HRGs to TFCs'!B:B,A21,'Mapping HRGs to TFCs'!H:H)</f>
        <v>54527.456590371934</v>
      </c>
      <c r="H21" s="716">
        <f>SUMIF('Mapping HRGs to TFCs'!B:B,A21,'Mapping HRGs to TFCs'!I:I)</f>
        <v>13236.110652737851</v>
      </c>
      <c r="I21" s="716">
        <f>SUMIF('Mapping HRGs to TFCs'!B:B,A21,'Mapping HRGs to TFCs'!J:J)</f>
        <v>0</v>
      </c>
      <c r="J21" s="716">
        <f>SUMIF('Mapping HRGs to TFCs'!B:B,A21,'Mapping HRGs to TFCs'!K:K)</f>
        <v>0</v>
      </c>
      <c r="K21" s="716">
        <f>SUMIF('Mapping HRGs to TFCs'!B:B,A21,'Mapping HRGs to TFCs'!L:L)</f>
        <v>67763.567243109792</v>
      </c>
    </row>
    <row r="22" spans="1:11">
      <c r="A22" s="710">
        <v>170</v>
      </c>
      <c r="B22" s="716">
        <f>SUMIF('Mapping HRGs to TFCs'!B:B,A22,'Mapping HRGs to TFCs'!C:C)</f>
        <v>148</v>
      </c>
      <c r="C22" s="716">
        <f>SUMIF('Mapping HRGs to TFCs'!B:B,A22,'Mapping HRGs to TFCs'!D:D)</f>
        <v>24</v>
      </c>
      <c r="D22" s="716">
        <f>SUMIF('Mapping HRGs to TFCs'!B:B,A22,'Mapping HRGs to TFCs'!E:E)</f>
        <v>0</v>
      </c>
      <c r="E22" s="716">
        <f>SUMIF('Mapping HRGs to TFCs'!B:B,A22,'Mapping HRGs to TFCs'!F:F)</f>
        <v>0</v>
      </c>
      <c r="F22" s="716">
        <f>SUMIF('Mapping HRGs to TFCs'!B:B,A22,'Mapping HRGs to TFCs'!G:G)</f>
        <v>172</v>
      </c>
      <c r="G22" s="716">
        <f>SUMIF('Mapping HRGs to TFCs'!B:B,A22,'Mapping HRGs to TFCs'!H:H)</f>
        <v>25175.549478139787</v>
      </c>
      <c r="H22" s="716">
        <f>SUMIF('Mapping HRGs to TFCs'!B:B,A22,'Mapping HRGs to TFCs'!I:I)</f>
        <v>5035.5831985260411</v>
      </c>
      <c r="I22" s="716">
        <f>SUMIF('Mapping HRGs to TFCs'!B:B,A22,'Mapping HRGs to TFCs'!J:J)</f>
        <v>0</v>
      </c>
      <c r="J22" s="716">
        <f>SUMIF('Mapping HRGs to TFCs'!B:B,A22,'Mapping HRGs to TFCs'!K:K)</f>
        <v>0</v>
      </c>
      <c r="K22" s="716">
        <f>SUMIF('Mapping HRGs to TFCs'!B:B,A22,'Mapping HRGs to TFCs'!L:L)</f>
        <v>30211.132676665831</v>
      </c>
    </row>
    <row r="23" spans="1:11">
      <c r="A23" s="710">
        <v>171</v>
      </c>
      <c r="B23" s="716">
        <f>SUMIF('Mapping HRGs to TFCs'!B:B,A23,'Mapping HRGs to TFCs'!C:C)</f>
        <v>597</v>
      </c>
      <c r="C23" s="716">
        <f>SUMIF('Mapping HRGs to TFCs'!B:B,A23,'Mapping HRGs to TFCs'!D:D)</f>
        <v>80</v>
      </c>
      <c r="D23" s="716">
        <f>SUMIF('Mapping HRGs to TFCs'!B:B,A23,'Mapping HRGs to TFCs'!E:E)</f>
        <v>0</v>
      </c>
      <c r="E23" s="716">
        <f>SUMIF('Mapping HRGs to TFCs'!B:B,A23,'Mapping HRGs to TFCs'!F:F)</f>
        <v>0</v>
      </c>
      <c r="F23" s="716">
        <f>SUMIF('Mapping HRGs to TFCs'!B:B,A23,'Mapping HRGs to TFCs'!G:G)</f>
        <v>677</v>
      </c>
      <c r="G23" s="716">
        <f>SUMIF('Mapping HRGs to TFCs'!B:B,A23,'Mapping HRGs to TFCs'!H:H)</f>
        <v>521072.94614452461</v>
      </c>
      <c r="H23" s="716">
        <f>SUMIF('Mapping HRGs to TFCs'!B:B,A23,'Mapping HRGs to TFCs'!I:I)</f>
        <v>49239.758812133972</v>
      </c>
      <c r="I23" s="716">
        <f>SUMIF('Mapping HRGs to TFCs'!B:B,A23,'Mapping HRGs to TFCs'!J:J)</f>
        <v>0</v>
      </c>
      <c r="J23" s="716">
        <f>SUMIF('Mapping HRGs to TFCs'!B:B,A23,'Mapping HRGs to TFCs'!K:K)</f>
        <v>0</v>
      </c>
      <c r="K23" s="716">
        <f>SUMIF('Mapping HRGs to TFCs'!B:B,A23,'Mapping HRGs to TFCs'!L:L)</f>
        <v>570312.70495665842</v>
      </c>
    </row>
    <row r="24" spans="1:11">
      <c r="A24" s="710">
        <v>172</v>
      </c>
      <c r="B24" s="716">
        <f>SUMIF('Mapping HRGs to TFCs'!B:B,A24,'Mapping HRGs to TFCs'!C:C)</f>
        <v>938</v>
      </c>
      <c r="C24" s="716">
        <f>SUMIF('Mapping HRGs to TFCs'!B:B,A24,'Mapping HRGs to TFCs'!D:D)</f>
        <v>10</v>
      </c>
      <c r="D24" s="716">
        <f>SUMIF('Mapping HRGs to TFCs'!B:B,A24,'Mapping HRGs to TFCs'!E:E)</f>
        <v>0</v>
      </c>
      <c r="E24" s="716">
        <f>SUMIF('Mapping HRGs to TFCs'!B:B,A24,'Mapping HRGs to TFCs'!F:F)</f>
        <v>0</v>
      </c>
      <c r="F24" s="716">
        <f>SUMIF('Mapping HRGs to TFCs'!B:B,A24,'Mapping HRGs to TFCs'!G:G)</f>
        <v>948</v>
      </c>
      <c r="G24" s="716">
        <f>SUMIF('Mapping HRGs to TFCs'!B:B,A24,'Mapping HRGs to TFCs'!H:H)</f>
        <v>103922.65213539984</v>
      </c>
      <c r="H24" s="716">
        <f>SUMIF('Mapping HRGs to TFCs'!B:B,A24,'Mapping HRGs to TFCs'!I:I)</f>
        <v>1118.6073684800754</v>
      </c>
      <c r="I24" s="716">
        <f>SUMIF('Mapping HRGs to TFCs'!B:B,A24,'Mapping HRGs to TFCs'!J:J)</f>
        <v>0</v>
      </c>
      <c r="J24" s="716">
        <f>SUMIF('Mapping HRGs to TFCs'!B:B,A24,'Mapping HRGs to TFCs'!K:K)</f>
        <v>0</v>
      </c>
      <c r="K24" s="716">
        <f>SUMIF('Mapping HRGs to TFCs'!B:B,A24,'Mapping HRGs to TFCs'!L:L)</f>
        <v>105041.25950387992</v>
      </c>
    </row>
    <row r="25" spans="1:11">
      <c r="A25" s="710">
        <v>173</v>
      </c>
      <c r="B25" s="716">
        <f>SUMIF('Mapping HRGs to TFCs'!B:B,A25,'Mapping HRGs to TFCs'!C:C)</f>
        <v>65</v>
      </c>
      <c r="C25" s="716">
        <f>SUMIF('Mapping HRGs to TFCs'!B:B,A25,'Mapping HRGs to TFCs'!D:D)</f>
        <v>39</v>
      </c>
      <c r="D25" s="716">
        <f>SUMIF('Mapping HRGs to TFCs'!B:B,A25,'Mapping HRGs to TFCs'!E:E)</f>
        <v>0</v>
      </c>
      <c r="E25" s="716">
        <f>SUMIF('Mapping HRGs to TFCs'!B:B,A25,'Mapping HRGs to TFCs'!F:F)</f>
        <v>0</v>
      </c>
      <c r="F25" s="716">
        <f>SUMIF('Mapping HRGs to TFCs'!B:B,A25,'Mapping HRGs to TFCs'!G:G)</f>
        <v>104</v>
      </c>
      <c r="G25" s="716">
        <f>SUMIF('Mapping HRGs to TFCs'!B:B,A25,'Mapping HRGs to TFCs'!H:H)</f>
        <v>9654.6560841714254</v>
      </c>
      <c r="H25" s="716">
        <f>SUMIF('Mapping HRGs to TFCs'!B:B,A25,'Mapping HRGs to TFCs'!I:I)</f>
        <v>3361.3689753395292</v>
      </c>
      <c r="I25" s="716">
        <f>SUMIF('Mapping HRGs to TFCs'!B:B,A25,'Mapping HRGs to TFCs'!J:J)</f>
        <v>0</v>
      </c>
      <c r="J25" s="716">
        <f>SUMIF('Mapping HRGs to TFCs'!B:B,A25,'Mapping HRGs to TFCs'!K:K)</f>
        <v>0</v>
      </c>
      <c r="K25" s="716">
        <f>SUMIF('Mapping HRGs to TFCs'!B:B,A25,'Mapping HRGs to TFCs'!L:L)</f>
        <v>13016.025059510954</v>
      </c>
    </row>
    <row r="26" spans="1:11">
      <c r="A26" s="710">
        <v>180</v>
      </c>
      <c r="B26" s="716">
        <f>SUMIF('Mapping HRGs to TFCs'!B:B,A26,'Mapping HRGs to TFCs'!C:C)</f>
        <v>875</v>
      </c>
      <c r="C26" s="716">
        <f>SUMIF('Mapping HRGs to TFCs'!B:B,A26,'Mapping HRGs to TFCs'!D:D)</f>
        <v>1202</v>
      </c>
      <c r="D26" s="716">
        <f>SUMIF('Mapping HRGs to TFCs'!B:B,A26,'Mapping HRGs to TFCs'!E:E)</f>
        <v>0</v>
      </c>
      <c r="E26" s="716">
        <f>SUMIF('Mapping HRGs to TFCs'!B:B,A26,'Mapping HRGs to TFCs'!F:F)</f>
        <v>0</v>
      </c>
      <c r="F26" s="716">
        <f>SUMIF('Mapping HRGs to TFCs'!B:B,A26,'Mapping HRGs to TFCs'!G:G)</f>
        <v>2077</v>
      </c>
      <c r="G26" s="716">
        <f>SUMIF('Mapping HRGs to TFCs'!B:B,A26,'Mapping HRGs to TFCs'!H:H)</f>
        <v>90485.05132243337</v>
      </c>
      <c r="H26" s="716">
        <f>SUMIF('Mapping HRGs to TFCs'!B:B,A26,'Mapping HRGs to TFCs'!I:I)</f>
        <v>123803.64975191175</v>
      </c>
      <c r="I26" s="716">
        <f>SUMIF('Mapping HRGs to TFCs'!B:B,A26,'Mapping HRGs to TFCs'!J:J)</f>
        <v>0</v>
      </c>
      <c r="J26" s="716">
        <f>SUMIF('Mapping HRGs to TFCs'!B:B,A26,'Mapping HRGs to TFCs'!K:K)</f>
        <v>0</v>
      </c>
      <c r="K26" s="716">
        <f>SUMIF('Mapping HRGs to TFCs'!B:B,A26,'Mapping HRGs to TFCs'!L:L)</f>
        <v>214288.7010743451</v>
      </c>
    </row>
    <row r="27" spans="1:11">
      <c r="A27" s="710">
        <v>190</v>
      </c>
      <c r="B27" s="716">
        <f>SUMIF('Mapping HRGs to TFCs'!B:B,A27,'Mapping HRGs to TFCs'!C:C)</f>
        <v>192</v>
      </c>
      <c r="C27" s="716">
        <f>SUMIF('Mapping HRGs to TFCs'!B:B,A27,'Mapping HRGs to TFCs'!D:D)</f>
        <v>155</v>
      </c>
      <c r="D27" s="716">
        <f>SUMIF('Mapping HRGs to TFCs'!B:B,A27,'Mapping HRGs to TFCs'!E:E)</f>
        <v>0</v>
      </c>
      <c r="E27" s="716">
        <f>SUMIF('Mapping HRGs to TFCs'!B:B,A27,'Mapping HRGs to TFCs'!F:F)</f>
        <v>0</v>
      </c>
      <c r="F27" s="716">
        <f>SUMIF('Mapping HRGs to TFCs'!B:B,A27,'Mapping HRGs to TFCs'!G:G)</f>
        <v>347</v>
      </c>
      <c r="G27" s="716">
        <f>SUMIF('Mapping HRGs to TFCs'!B:B,A27,'Mapping HRGs to TFCs'!H:H)</f>
        <v>25820.640299794526</v>
      </c>
      <c r="H27" s="716">
        <f>SUMIF('Mapping HRGs to TFCs'!B:B,A27,'Mapping HRGs to TFCs'!I:I)</f>
        <v>19948.814262586071</v>
      </c>
      <c r="I27" s="716">
        <f>SUMIF('Mapping HRGs to TFCs'!B:B,A27,'Mapping HRGs to TFCs'!J:J)</f>
        <v>0</v>
      </c>
      <c r="J27" s="716">
        <f>SUMIF('Mapping HRGs to TFCs'!B:B,A27,'Mapping HRGs to TFCs'!K:K)</f>
        <v>0</v>
      </c>
      <c r="K27" s="716">
        <f>SUMIF('Mapping HRGs to TFCs'!B:B,A27,'Mapping HRGs to TFCs'!L:L)</f>
        <v>45769.454562380604</v>
      </c>
    </row>
    <row r="28" spans="1:11">
      <c r="A28" s="710">
        <v>191</v>
      </c>
      <c r="B28" s="716">
        <f>SUMIF('Mapping HRGs to TFCs'!B:B,A28,'Mapping HRGs to TFCs'!C:C)</f>
        <v>3944</v>
      </c>
      <c r="C28" s="716">
        <f>SUMIF('Mapping HRGs to TFCs'!B:B,A28,'Mapping HRGs to TFCs'!D:D)</f>
        <v>836</v>
      </c>
      <c r="D28" s="716">
        <f>SUMIF('Mapping HRGs to TFCs'!B:B,A28,'Mapping HRGs to TFCs'!E:E)</f>
        <v>0</v>
      </c>
      <c r="E28" s="716">
        <f>SUMIF('Mapping HRGs to TFCs'!B:B,A28,'Mapping HRGs to TFCs'!F:F)</f>
        <v>0</v>
      </c>
      <c r="F28" s="716">
        <f>SUMIF('Mapping HRGs to TFCs'!B:B,A28,'Mapping HRGs to TFCs'!G:G)</f>
        <v>4780</v>
      </c>
      <c r="G28" s="716">
        <f>SUMIF('Mapping HRGs to TFCs'!B:B,A28,'Mapping HRGs to TFCs'!H:H)</f>
        <v>671000.41894623532</v>
      </c>
      <c r="H28" s="716">
        <f>SUMIF('Mapping HRGs to TFCs'!B:B,A28,'Mapping HRGs to TFCs'!I:I)</f>
        <v>130749.90572142422</v>
      </c>
      <c r="I28" s="716">
        <f>SUMIF('Mapping HRGs to TFCs'!B:B,A28,'Mapping HRGs to TFCs'!J:J)</f>
        <v>0</v>
      </c>
      <c r="J28" s="716">
        <f>SUMIF('Mapping HRGs to TFCs'!B:B,A28,'Mapping HRGs to TFCs'!K:K)</f>
        <v>0</v>
      </c>
      <c r="K28" s="716">
        <f>SUMIF('Mapping HRGs to TFCs'!B:B,A28,'Mapping HRGs to TFCs'!L:L)</f>
        <v>801750.3246676597</v>
      </c>
    </row>
    <row r="29" spans="1:11">
      <c r="A29" s="710">
        <v>211</v>
      </c>
      <c r="B29" s="716">
        <f>SUMIF('Mapping HRGs to TFCs'!B:B,A29,'Mapping HRGs to TFCs'!C:C)</f>
        <v>1483</v>
      </c>
      <c r="C29" s="716">
        <f>SUMIF('Mapping HRGs to TFCs'!B:B,A29,'Mapping HRGs to TFCs'!D:D)</f>
        <v>247</v>
      </c>
      <c r="D29" s="716">
        <f>SUMIF('Mapping HRGs to TFCs'!B:B,A29,'Mapping HRGs to TFCs'!E:E)</f>
        <v>0</v>
      </c>
      <c r="E29" s="716">
        <f>SUMIF('Mapping HRGs to TFCs'!B:B,A29,'Mapping HRGs to TFCs'!F:F)</f>
        <v>0</v>
      </c>
      <c r="F29" s="716">
        <f>SUMIF('Mapping HRGs to TFCs'!B:B,A29,'Mapping HRGs to TFCs'!G:G)</f>
        <v>1730</v>
      </c>
      <c r="G29" s="716">
        <f>SUMIF('Mapping HRGs to TFCs'!B:B,A29,'Mapping HRGs to TFCs'!H:H)</f>
        <v>1594420.5461731819</v>
      </c>
      <c r="H29" s="716">
        <f>SUMIF('Mapping HRGs to TFCs'!B:B,A29,'Mapping HRGs to TFCs'!I:I)</f>
        <v>289857.13261733257</v>
      </c>
      <c r="I29" s="716">
        <f>SUMIF('Mapping HRGs to TFCs'!B:B,A29,'Mapping HRGs to TFCs'!J:J)</f>
        <v>0</v>
      </c>
      <c r="J29" s="716">
        <f>SUMIF('Mapping HRGs to TFCs'!B:B,A29,'Mapping HRGs to TFCs'!K:K)</f>
        <v>0</v>
      </c>
      <c r="K29" s="716">
        <f>SUMIF('Mapping HRGs to TFCs'!B:B,A29,'Mapping HRGs to TFCs'!L:L)</f>
        <v>1884277.6787905144</v>
      </c>
    </row>
    <row r="30" spans="1:11">
      <c r="A30" s="710">
        <v>213</v>
      </c>
      <c r="B30" s="716">
        <f>SUMIF('Mapping HRGs to TFCs'!B:B,A30,'Mapping HRGs to TFCs'!C:C)</f>
        <v>1</v>
      </c>
      <c r="C30" s="716">
        <f>SUMIF('Mapping HRGs to TFCs'!B:B,A30,'Mapping HRGs to TFCs'!D:D)</f>
        <v>2</v>
      </c>
      <c r="D30" s="716">
        <f>SUMIF('Mapping HRGs to TFCs'!B:B,A30,'Mapping HRGs to TFCs'!E:E)</f>
        <v>0</v>
      </c>
      <c r="E30" s="716">
        <f>SUMIF('Mapping HRGs to TFCs'!B:B,A30,'Mapping HRGs to TFCs'!F:F)</f>
        <v>0</v>
      </c>
      <c r="F30" s="716">
        <f>SUMIF('Mapping HRGs to TFCs'!B:B,A30,'Mapping HRGs to TFCs'!G:G)</f>
        <v>3</v>
      </c>
      <c r="G30" s="716">
        <f>SUMIF('Mapping HRGs to TFCs'!B:B,A30,'Mapping HRGs to TFCs'!H:H)</f>
        <v>147.14579594434056</v>
      </c>
      <c r="H30" s="716">
        <f>SUMIF('Mapping HRGs to TFCs'!B:B,A30,'Mapping HRGs to TFCs'!I:I)</f>
        <v>307.49657149759366</v>
      </c>
      <c r="I30" s="716">
        <f>SUMIF('Mapping HRGs to TFCs'!B:B,A30,'Mapping HRGs to TFCs'!J:J)</f>
        <v>0</v>
      </c>
      <c r="J30" s="716">
        <f>SUMIF('Mapping HRGs to TFCs'!B:B,A30,'Mapping HRGs to TFCs'!K:K)</f>
        <v>0</v>
      </c>
      <c r="K30" s="716">
        <f>SUMIF('Mapping HRGs to TFCs'!B:B,A30,'Mapping HRGs to TFCs'!L:L)</f>
        <v>454.6423674419342</v>
      </c>
    </row>
    <row r="31" spans="1:11">
      <c r="A31" s="710">
        <v>214</v>
      </c>
      <c r="B31" s="716">
        <f>SUMIF('Mapping HRGs to TFCs'!B:B,A31,'Mapping HRGs to TFCs'!C:C)</f>
        <v>1177</v>
      </c>
      <c r="C31" s="716">
        <f>SUMIF('Mapping HRGs to TFCs'!B:B,A31,'Mapping HRGs to TFCs'!D:D)</f>
        <v>240</v>
      </c>
      <c r="D31" s="716">
        <f>SUMIF('Mapping HRGs to TFCs'!B:B,A31,'Mapping HRGs to TFCs'!E:E)</f>
        <v>0</v>
      </c>
      <c r="E31" s="716">
        <f>SUMIF('Mapping HRGs to TFCs'!B:B,A31,'Mapping HRGs to TFCs'!F:F)</f>
        <v>0</v>
      </c>
      <c r="F31" s="716">
        <f>SUMIF('Mapping HRGs to TFCs'!B:B,A31,'Mapping HRGs to TFCs'!G:G)</f>
        <v>1417</v>
      </c>
      <c r="G31" s="716">
        <f>SUMIF('Mapping HRGs to TFCs'!B:B,A31,'Mapping HRGs to TFCs'!H:H)</f>
        <v>203832.91384835987</v>
      </c>
      <c r="H31" s="716">
        <f>SUMIF('Mapping HRGs to TFCs'!B:B,A31,'Mapping HRGs to TFCs'!I:I)</f>
        <v>32736.884695733996</v>
      </c>
      <c r="I31" s="716">
        <f>SUMIF('Mapping HRGs to TFCs'!B:B,A31,'Mapping HRGs to TFCs'!J:J)</f>
        <v>0</v>
      </c>
      <c r="J31" s="716">
        <f>SUMIF('Mapping HRGs to TFCs'!B:B,A31,'Mapping HRGs to TFCs'!K:K)</f>
        <v>0</v>
      </c>
      <c r="K31" s="716">
        <f>SUMIF('Mapping HRGs to TFCs'!B:B,A31,'Mapping HRGs to TFCs'!L:L)</f>
        <v>236569.79854409388</v>
      </c>
    </row>
    <row r="32" spans="1:11">
      <c r="A32" s="710">
        <v>215</v>
      </c>
      <c r="B32" s="716">
        <f>SUMIF('Mapping HRGs to TFCs'!B:B,A32,'Mapping HRGs to TFCs'!C:C)</f>
        <v>147</v>
      </c>
      <c r="C32" s="716">
        <f>SUMIF('Mapping HRGs to TFCs'!B:B,A32,'Mapping HRGs to TFCs'!D:D)</f>
        <v>129</v>
      </c>
      <c r="D32" s="716">
        <f>SUMIF('Mapping HRGs to TFCs'!B:B,A32,'Mapping HRGs to TFCs'!E:E)</f>
        <v>0</v>
      </c>
      <c r="E32" s="716">
        <f>SUMIF('Mapping HRGs to TFCs'!B:B,A32,'Mapping HRGs to TFCs'!F:F)</f>
        <v>0</v>
      </c>
      <c r="F32" s="716">
        <f>SUMIF('Mapping HRGs to TFCs'!B:B,A32,'Mapping HRGs to TFCs'!G:G)</f>
        <v>276</v>
      </c>
      <c r="G32" s="716">
        <f>SUMIF('Mapping HRGs to TFCs'!B:B,A32,'Mapping HRGs to TFCs'!H:H)</f>
        <v>15423.700299443963</v>
      </c>
      <c r="H32" s="716">
        <f>SUMIF('Mapping HRGs to TFCs'!B:B,A32,'Mapping HRGs to TFCs'!I:I)</f>
        <v>14558.676235182578</v>
      </c>
      <c r="I32" s="716">
        <f>SUMIF('Mapping HRGs to TFCs'!B:B,A32,'Mapping HRGs to TFCs'!J:J)</f>
        <v>0</v>
      </c>
      <c r="J32" s="716">
        <f>SUMIF('Mapping HRGs to TFCs'!B:B,A32,'Mapping HRGs to TFCs'!K:K)</f>
        <v>0</v>
      </c>
      <c r="K32" s="716">
        <f>SUMIF('Mapping HRGs to TFCs'!B:B,A32,'Mapping HRGs to TFCs'!L:L)</f>
        <v>29982.376534626543</v>
      </c>
    </row>
    <row r="33" spans="1:11">
      <c r="A33" s="710">
        <v>216</v>
      </c>
      <c r="B33" s="716">
        <f>SUMIF('Mapping HRGs to TFCs'!B:B,A33,'Mapping HRGs to TFCs'!C:C)</f>
        <v>53</v>
      </c>
      <c r="C33" s="716">
        <f>SUMIF('Mapping HRGs to TFCs'!B:B,A33,'Mapping HRGs to TFCs'!D:D)</f>
        <v>18</v>
      </c>
      <c r="D33" s="716">
        <f>SUMIF('Mapping HRGs to TFCs'!B:B,A33,'Mapping HRGs to TFCs'!E:E)</f>
        <v>0</v>
      </c>
      <c r="E33" s="716">
        <f>SUMIF('Mapping HRGs to TFCs'!B:B,A33,'Mapping HRGs to TFCs'!F:F)</f>
        <v>0</v>
      </c>
      <c r="F33" s="716">
        <f>SUMIF('Mapping HRGs to TFCs'!B:B,A33,'Mapping HRGs to TFCs'!G:G)</f>
        <v>71</v>
      </c>
      <c r="G33" s="716">
        <f>SUMIF('Mapping HRGs to TFCs'!B:B,A33,'Mapping HRGs to TFCs'!H:H)</f>
        <v>5324.6422430771945</v>
      </c>
      <c r="H33" s="716">
        <f>SUMIF('Mapping HRGs to TFCs'!B:B,A33,'Mapping HRGs to TFCs'!I:I)</f>
        <v>3227.4637774690887</v>
      </c>
      <c r="I33" s="716">
        <f>SUMIF('Mapping HRGs to TFCs'!B:B,A33,'Mapping HRGs to TFCs'!J:J)</f>
        <v>0</v>
      </c>
      <c r="J33" s="716">
        <f>SUMIF('Mapping HRGs to TFCs'!B:B,A33,'Mapping HRGs to TFCs'!K:K)</f>
        <v>0</v>
      </c>
      <c r="K33" s="716">
        <f>SUMIF('Mapping HRGs to TFCs'!B:B,A33,'Mapping HRGs to TFCs'!L:L)</f>
        <v>8552.1060205462818</v>
      </c>
    </row>
    <row r="34" spans="1:11">
      <c r="A34" s="710">
        <v>217</v>
      </c>
      <c r="B34" s="716">
        <f>SUMIF('Mapping HRGs to TFCs'!B:B,A34,'Mapping HRGs to TFCs'!C:C)</f>
        <v>256</v>
      </c>
      <c r="C34" s="716">
        <f>SUMIF('Mapping HRGs to TFCs'!B:B,A34,'Mapping HRGs to TFCs'!D:D)</f>
        <v>64</v>
      </c>
      <c r="D34" s="716">
        <f>SUMIF('Mapping HRGs to TFCs'!B:B,A34,'Mapping HRGs to TFCs'!E:E)</f>
        <v>0</v>
      </c>
      <c r="E34" s="716">
        <f>SUMIF('Mapping HRGs to TFCs'!B:B,A34,'Mapping HRGs to TFCs'!F:F)</f>
        <v>0</v>
      </c>
      <c r="F34" s="716">
        <f>SUMIF('Mapping HRGs to TFCs'!B:B,A34,'Mapping HRGs to TFCs'!G:G)</f>
        <v>320</v>
      </c>
      <c r="G34" s="716">
        <f>SUMIF('Mapping HRGs to TFCs'!B:B,A34,'Mapping HRGs to TFCs'!H:H)</f>
        <v>33551.762361134512</v>
      </c>
      <c r="H34" s="716">
        <f>SUMIF('Mapping HRGs to TFCs'!B:B,A34,'Mapping HRGs to TFCs'!I:I)</f>
        <v>5779.265553922517</v>
      </c>
      <c r="I34" s="716">
        <f>SUMIF('Mapping HRGs to TFCs'!B:B,A34,'Mapping HRGs to TFCs'!J:J)</f>
        <v>0</v>
      </c>
      <c r="J34" s="716">
        <f>SUMIF('Mapping HRGs to TFCs'!B:B,A34,'Mapping HRGs to TFCs'!K:K)</f>
        <v>0</v>
      </c>
      <c r="K34" s="716">
        <f>SUMIF('Mapping HRGs to TFCs'!B:B,A34,'Mapping HRGs to TFCs'!L:L)</f>
        <v>39331.02791505702</v>
      </c>
    </row>
    <row r="35" spans="1:11">
      <c r="A35" s="710">
        <v>218</v>
      </c>
      <c r="B35" s="716">
        <f>SUMIF('Mapping HRGs to TFCs'!B:B,A35,'Mapping HRGs to TFCs'!C:C)</f>
        <v>2</v>
      </c>
      <c r="C35" s="716">
        <f>SUMIF('Mapping HRGs to TFCs'!B:B,A35,'Mapping HRGs to TFCs'!D:D)</f>
        <v>1</v>
      </c>
      <c r="D35" s="716">
        <f>SUMIF('Mapping HRGs to TFCs'!B:B,A35,'Mapping HRGs to TFCs'!E:E)</f>
        <v>0</v>
      </c>
      <c r="E35" s="716">
        <f>SUMIF('Mapping HRGs to TFCs'!B:B,A35,'Mapping HRGs to TFCs'!F:F)</f>
        <v>0</v>
      </c>
      <c r="F35" s="716">
        <f>SUMIF('Mapping HRGs to TFCs'!B:B,A35,'Mapping HRGs to TFCs'!G:G)</f>
        <v>3</v>
      </c>
      <c r="G35" s="716">
        <f>SUMIF('Mapping HRGs to TFCs'!B:B,A35,'Mapping HRGs to TFCs'!H:H)</f>
        <v>197.56567517359093</v>
      </c>
      <c r="H35" s="716">
        <f>SUMIF('Mapping HRGs to TFCs'!B:B,A35,'Mapping HRGs to TFCs'!I:I)</f>
        <v>178.4878594366113</v>
      </c>
      <c r="I35" s="716">
        <f>SUMIF('Mapping HRGs to TFCs'!B:B,A35,'Mapping HRGs to TFCs'!J:J)</f>
        <v>0</v>
      </c>
      <c r="J35" s="716">
        <f>SUMIF('Mapping HRGs to TFCs'!B:B,A35,'Mapping HRGs to TFCs'!K:K)</f>
        <v>0</v>
      </c>
      <c r="K35" s="716">
        <f>SUMIF('Mapping HRGs to TFCs'!B:B,A35,'Mapping HRGs to TFCs'!L:L)</f>
        <v>376.05353461020223</v>
      </c>
    </row>
    <row r="36" spans="1:11">
      <c r="A36" s="710">
        <v>219</v>
      </c>
      <c r="B36" s="716">
        <f>SUMIF('Mapping HRGs to TFCs'!B:B,A36,'Mapping HRGs to TFCs'!C:C)</f>
        <v>751</v>
      </c>
      <c r="C36" s="716">
        <f>SUMIF('Mapping HRGs to TFCs'!B:B,A36,'Mapping HRGs to TFCs'!D:D)</f>
        <v>92</v>
      </c>
      <c r="D36" s="716">
        <f>SUMIF('Mapping HRGs to TFCs'!B:B,A36,'Mapping HRGs to TFCs'!E:E)</f>
        <v>0</v>
      </c>
      <c r="E36" s="716">
        <f>SUMIF('Mapping HRGs to TFCs'!B:B,A36,'Mapping HRGs to TFCs'!F:F)</f>
        <v>0</v>
      </c>
      <c r="F36" s="716">
        <f>SUMIF('Mapping HRGs to TFCs'!B:B,A36,'Mapping HRGs to TFCs'!G:G)</f>
        <v>843</v>
      </c>
      <c r="G36" s="716">
        <f>SUMIF('Mapping HRGs to TFCs'!B:B,A36,'Mapping HRGs to TFCs'!H:H)</f>
        <v>100929.86487184078</v>
      </c>
      <c r="H36" s="716">
        <f>SUMIF('Mapping HRGs to TFCs'!B:B,A36,'Mapping HRGs to TFCs'!I:I)</f>
        <v>13127.348273532007</v>
      </c>
      <c r="I36" s="716">
        <f>SUMIF('Mapping HRGs to TFCs'!B:B,A36,'Mapping HRGs to TFCs'!J:J)</f>
        <v>0</v>
      </c>
      <c r="J36" s="716">
        <f>SUMIF('Mapping HRGs to TFCs'!B:B,A36,'Mapping HRGs to TFCs'!K:K)</f>
        <v>0</v>
      </c>
      <c r="K36" s="716">
        <f>SUMIF('Mapping HRGs to TFCs'!B:B,A36,'Mapping HRGs to TFCs'!L:L)</f>
        <v>114057.21314537279</v>
      </c>
    </row>
    <row r="37" spans="1:11">
      <c r="A37" s="710">
        <v>220</v>
      </c>
      <c r="B37" s="716">
        <f>SUMIF('Mapping HRGs to TFCs'!B:B,A37,'Mapping HRGs to TFCs'!C:C)</f>
        <v>46</v>
      </c>
      <c r="C37" s="716">
        <f>SUMIF('Mapping HRGs to TFCs'!B:B,A37,'Mapping HRGs to TFCs'!D:D)</f>
        <v>12</v>
      </c>
      <c r="D37" s="716">
        <f>SUMIF('Mapping HRGs to TFCs'!B:B,A37,'Mapping HRGs to TFCs'!E:E)</f>
        <v>0</v>
      </c>
      <c r="E37" s="716">
        <f>SUMIF('Mapping HRGs to TFCs'!B:B,A37,'Mapping HRGs to TFCs'!F:F)</f>
        <v>0</v>
      </c>
      <c r="F37" s="716">
        <f>SUMIF('Mapping HRGs to TFCs'!B:B,A37,'Mapping HRGs to TFCs'!G:G)</f>
        <v>58</v>
      </c>
      <c r="G37" s="716">
        <f>SUMIF('Mapping HRGs to TFCs'!B:B,A37,'Mapping HRGs to TFCs'!H:H)</f>
        <v>4671.985039747412</v>
      </c>
      <c r="H37" s="716">
        <f>SUMIF('Mapping HRGs to TFCs'!B:B,A37,'Mapping HRGs to TFCs'!I:I)</f>
        <v>1185.3940510415457</v>
      </c>
      <c r="I37" s="716">
        <f>SUMIF('Mapping HRGs to TFCs'!B:B,A37,'Mapping HRGs to TFCs'!J:J)</f>
        <v>0</v>
      </c>
      <c r="J37" s="716">
        <f>SUMIF('Mapping HRGs to TFCs'!B:B,A37,'Mapping HRGs to TFCs'!K:K)</f>
        <v>0</v>
      </c>
      <c r="K37" s="716">
        <f>SUMIF('Mapping HRGs to TFCs'!B:B,A37,'Mapping HRGs to TFCs'!L:L)</f>
        <v>5857.3790907889579</v>
      </c>
    </row>
    <row r="38" spans="1:11">
      <c r="A38" s="710">
        <v>221</v>
      </c>
      <c r="B38" s="716">
        <f>SUMIF('Mapping HRGs to TFCs'!B:B,A38,'Mapping HRGs to TFCs'!C:C)</f>
        <v>92</v>
      </c>
      <c r="C38" s="716">
        <f>SUMIF('Mapping HRGs to TFCs'!B:B,A38,'Mapping HRGs to TFCs'!D:D)</f>
        <v>0</v>
      </c>
      <c r="D38" s="716">
        <f>SUMIF('Mapping HRGs to TFCs'!B:B,A38,'Mapping HRGs to TFCs'!E:E)</f>
        <v>0</v>
      </c>
      <c r="E38" s="716">
        <f>SUMIF('Mapping HRGs to TFCs'!B:B,A38,'Mapping HRGs to TFCs'!F:F)</f>
        <v>0</v>
      </c>
      <c r="F38" s="716">
        <f>SUMIF('Mapping HRGs to TFCs'!B:B,A38,'Mapping HRGs to TFCs'!G:G)</f>
        <v>92</v>
      </c>
      <c r="G38" s="716">
        <f>SUMIF('Mapping HRGs to TFCs'!B:B,A38,'Mapping HRGs to TFCs'!H:H)</f>
        <v>13007.402288150919</v>
      </c>
      <c r="H38" s="716">
        <f>SUMIF('Mapping HRGs to TFCs'!B:B,A38,'Mapping HRGs to TFCs'!I:I)</f>
        <v>0</v>
      </c>
      <c r="I38" s="716">
        <f>SUMIF('Mapping HRGs to TFCs'!B:B,A38,'Mapping HRGs to TFCs'!J:J)</f>
        <v>0</v>
      </c>
      <c r="J38" s="716">
        <f>SUMIF('Mapping HRGs to TFCs'!B:B,A38,'Mapping HRGs to TFCs'!K:K)</f>
        <v>0</v>
      </c>
      <c r="K38" s="716">
        <f>SUMIF('Mapping HRGs to TFCs'!B:B,A38,'Mapping HRGs to TFCs'!L:L)</f>
        <v>13007.402288150919</v>
      </c>
    </row>
    <row r="39" spans="1:11">
      <c r="A39" s="710">
        <v>251</v>
      </c>
      <c r="B39" s="716">
        <f>SUMIF('Mapping HRGs to TFCs'!B:B,A39,'Mapping HRGs to TFCs'!C:C)</f>
        <v>64</v>
      </c>
      <c r="C39" s="716">
        <f>SUMIF('Mapping HRGs to TFCs'!B:B,A39,'Mapping HRGs to TFCs'!D:D)</f>
        <v>25</v>
      </c>
      <c r="D39" s="716">
        <f>SUMIF('Mapping HRGs to TFCs'!B:B,A39,'Mapping HRGs to TFCs'!E:E)</f>
        <v>0</v>
      </c>
      <c r="E39" s="716">
        <f>SUMIF('Mapping HRGs to TFCs'!B:B,A39,'Mapping HRGs to TFCs'!F:F)</f>
        <v>0</v>
      </c>
      <c r="F39" s="716">
        <f>SUMIF('Mapping HRGs to TFCs'!B:B,A39,'Mapping HRGs to TFCs'!G:G)</f>
        <v>89</v>
      </c>
      <c r="G39" s="716">
        <f>SUMIF('Mapping HRGs to TFCs'!B:B,A39,'Mapping HRGs to TFCs'!H:H)</f>
        <v>12573.55104517988</v>
      </c>
      <c r="H39" s="716">
        <f>SUMIF('Mapping HRGs to TFCs'!B:B,A39,'Mapping HRGs to TFCs'!I:I)</f>
        <v>3574.8413248014331</v>
      </c>
      <c r="I39" s="716">
        <f>SUMIF('Mapping HRGs to TFCs'!B:B,A39,'Mapping HRGs to TFCs'!J:J)</f>
        <v>0</v>
      </c>
      <c r="J39" s="716">
        <f>SUMIF('Mapping HRGs to TFCs'!B:B,A39,'Mapping HRGs to TFCs'!K:K)</f>
        <v>0</v>
      </c>
      <c r="K39" s="716">
        <f>SUMIF('Mapping HRGs to TFCs'!B:B,A39,'Mapping HRGs to TFCs'!L:L)</f>
        <v>16148.392369981317</v>
      </c>
    </row>
    <row r="40" spans="1:11">
      <c r="A40" s="710">
        <v>252</v>
      </c>
      <c r="B40" s="716">
        <f>SUMIF('Mapping HRGs to TFCs'!B:B,A40,'Mapping HRGs to TFCs'!C:C)</f>
        <v>39</v>
      </c>
      <c r="C40" s="716">
        <f>SUMIF('Mapping HRGs to TFCs'!B:B,A40,'Mapping HRGs to TFCs'!D:D)</f>
        <v>9</v>
      </c>
      <c r="D40" s="716">
        <f>SUMIF('Mapping HRGs to TFCs'!B:B,A40,'Mapping HRGs to TFCs'!E:E)</f>
        <v>0</v>
      </c>
      <c r="E40" s="716">
        <f>SUMIF('Mapping HRGs to TFCs'!B:B,A40,'Mapping HRGs to TFCs'!F:F)</f>
        <v>0</v>
      </c>
      <c r="F40" s="716">
        <f>SUMIF('Mapping HRGs to TFCs'!B:B,A40,'Mapping HRGs to TFCs'!G:G)</f>
        <v>48</v>
      </c>
      <c r="G40" s="716">
        <f>SUMIF('Mapping HRGs to TFCs'!B:B,A40,'Mapping HRGs to TFCs'!H:H)</f>
        <v>9235.5102784732517</v>
      </c>
      <c r="H40" s="716">
        <f>SUMIF('Mapping HRGs to TFCs'!B:B,A40,'Mapping HRGs to TFCs'!I:I)</f>
        <v>2995.3675543855716</v>
      </c>
      <c r="I40" s="716">
        <f>SUMIF('Mapping HRGs to TFCs'!B:B,A40,'Mapping HRGs to TFCs'!J:J)</f>
        <v>0</v>
      </c>
      <c r="J40" s="716">
        <f>SUMIF('Mapping HRGs to TFCs'!B:B,A40,'Mapping HRGs to TFCs'!K:K)</f>
        <v>0</v>
      </c>
      <c r="K40" s="716">
        <f>SUMIF('Mapping HRGs to TFCs'!B:B,A40,'Mapping HRGs to TFCs'!L:L)</f>
        <v>12230.877832858823</v>
      </c>
    </row>
    <row r="41" spans="1:11">
      <c r="A41" s="710">
        <v>253</v>
      </c>
      <c r="B41" s="716">
        <f>SUMIF('Mapping HRGs to TFCs'!B:B,A41,'Mapping HRGs to TFCs'!C:C)</f>
        <v>91</v>
      </c>
      <c r="C41" s="716">
        <f>SUMIF('Mapping HRGs to TFCs'!B:B,A41,'Mapping HRGs to TFCs'!D:D)</f>
        <v>2</v>
      </c>
      <c r="D41" s="716">
        <f>SUMIF('Mapping HRGs to TFCs'!B:B,A41,'Mapping HRGs to TFCs'!E:E)</f>
        <v>0</v>
      </c>
      <c r="E41" s="716">
        <f>SUMIF('Mapping HRGs to TFCs'!B:B,A41,'Mapping HRGs to TFCs'!F:F)</f>
        <v>0</v>
      </c>
      <c r="F41" s="716">
        <f>SUMIF('Mapping HRGs to TFCs'!B:B,A41,'Mapping HRGs to TFCs'!G:G)</f>
        <v>93</v>
      </c>
      <c r="G41" s="716">
        <f>SUMIF('Mapping HRGs to TFCs'!B:B,A41,'Mapping HRGs to TFCs'!H:H)</f>
        <v>18980.37787266212</v>
      </c>
      <c r="H41" s="716">
        <f>SUMIF('Mapping HRGs to TFCs'!B:B,A41,'Mapping HRGs to TFCs'!I:I)</f>
        <v>207.69969631803642</v>
      </c>
      <c r="I41" s="716">
        <f>SUMIF('Mapping HRGs to TFCs'!B:B,A41,'Mapping HRGs to TFCs'!J:J)</f>
        <v>0</v>
      </c>
      <c r="J41" s="716">
        <f>SUMIF('Mapping HRGs to TFCs'!B:B,A41,'Mapping HRGs to TFCs'!K:K)</f>
        <v>0</v>
      </c>
      <c r="K41" s="716">
        <f>SUMIF('Mapping HRGs to TFCs'!B:B,A41,'Mapping HRGs to TFCs'!L:L)</f>
        <v>19188.077568980156</v>
      </c>
    </row>
    <row r="42" spans="1:11">
      <c r="A42" s="710">
        <v>255</v>
      </c>
      <c r="B42" s="716">
        <f>SUMIF('Mapping HRGs to TFCs'!B:B,A42,'Mapping HRGs to TFCs'!C:C)</f>
        <v>34</v>
      </c>
      <c r="C42" s="716">
        <f>SUMIF('Mapping HRGs to TFCs'!B:B,A42,'Mapping HRGs to TFCs'!D:D)</f>
        <v>24</v>
      </c>
      <c r="D42" s="716">
        <f>SUMIF('Mapping HRGs to TFCs'!B:B,A42,'Mapping HRGs to TFCs'!E:E)</f>
        <v>0</v>
      </c>
      <c r="E42" s="716">
        <f>SUMIF('Mapping HRGs to TFCs'!B:B,A42,'Mapping HRGs to TFCs'!F:F)</f>
        <v>0</v>
      </c>
      <c r="F42" s="716">
        <f>SUMIF('Mapping HRGs to TFCs'!B:B,A42,'Mapping HRGs to TFCs'!G:G)</f>
        <v>58</v>
      </c>
      <c r="G42" s="716">
        <f>SUMIF('Mapping HRGs to TFCs'!B:B,A42,'Mapping HRGs to TFCs'!H:H)</f>
        <v>6767.1998372952185</v>
      </c>
      <c r="H42" s="716">
        <f>SUMIF('Mapping HRGs to TFCs'!B:B,A42,'Mapping HRGs to TFCs'!I:I)</f>
        <v>4655.8408912109016</v>
      </c>
      <c r="I42" s="716">
        <f>SUMIF('Mapping HRGs to TFCs'!B:B,A42,'Mapping HRGs to TFCs'!J:J)</f>
        <v>0</v>
      </c>
      <c r="J42" s="716">
        <f>SUMIF('Mapping HRGs to TFCs'!B:B,A42,'Mapping HRGs to TFCs'!K:K)</f>
        <v>0</v>
      </c>
      <c r="K42" s="716">
        <f>SUMIF('Mapping HRGs to TFCs'!B:B,A42,'Mapping HRGs to TFCs'!L:L)</f>
        <v>11423.040728506119</v>
      </c>
    </row>
    <row r="43" spans="1:11">
      <c r="A43" s="710">
        <v>256</v>
      </c>
      <c r="B43" s="716">
        <f>SUMIF('Mapping HRGs to TFCs'!B:B,A43,'Mapping HRGs to TFCs'!C:C)</f>
        <v>0</v>
      </c>
      <c r="C43" s="716">
        <f>SUMIF('Mapping HRGs to TFCs'!B:B,A43,'Mapping HRGs to TFCs'!D:D)</f>
        <v>0</v>
      </c>
      <c r="D43" s="716">
        <f>SUMIF('Mapping HRGs to TFCs'!B:B,A43,'Mapping HRGs to TFCs'!E:E)</f>
        <v>0</v>
      </c>
      <c r="E43" s="716">
        <f>SUMIF('Mapping HRGs to TFCs'!B:B,A43,'Mapping HRGs to TFCs'!F:F)</f>
        <v>0</v>
      </c>
      <c r="F43" s="716">
        <f>SUMIF('Mapping HRGs to TFCs'!B:B,A43,'Mapping HRGs to TFCs'!G:G)</f>
        <v>0</v>
      </c>
      <c r="G43" s="716">
        <f>SUMIF('Mapping HRGs to TFCs'!B:B,A43,'Mapping HRGs to TFCs'!H:H)</f>
        <v>0</v>
      </c>
      <c r="H43" s="716">
        <f>SUMIF('Mapping HRGs to TFCs'!B:B,A43,'Mapping HRGs to TFCs'!I:I)</f>
        <v>0</v>
      </c>
      <c r="I43" s="716">
        <f>SUMIF('Mapping HRGs to TFCs'!B:B,A43,'Mapping HRGs to TFCs'!J:J)</f>
        <v>0</v>
      </c>
      <c r="J43" s="716">
        <f>SUMIF('Mapping HRGs to TFCs'!B:B,A43,'Mapping HRGs to TFCs'!K:K)</f>
        <v>0</v>
      </c>
      <c r="K43" s="716">
        <f>SUMIF('Mapping HRGs to TFCs'!B:B,A43,'Mapping HRGs to TFCs'!L:L)</f>
        <v>0</v>
      </c>
    </row>
    <row r="44" spans="1:11">
      <c r="A44" s="710">
        <v>257</v>
      </c>
      <c r="B44" s="716">
        <f>SUMIF('Mapping HRGs to TFCs'!B:B,A44,'Mapping HRGs to TFCs'!C:C)</f>
        <v>464</v>
      </c>
      <c r="C44" s="716">
        <f>SUMIF('Mapping HRGs to TFCs'!B:B,A44,'Mapping HRGs to TFCs'!D:D)</f>
        <v>76</v>
      </c>
      <c r="D44" s="716">
        <f>SUMIF('Mapping HRGs to TFCs'!B:B,A44,'Mapping HRGs to TFCs'!E:E)</f>
        <v>0</v>
      </c>
      <c r="E44" s="716">
        <f>SUMIF('Mapping HRGs to TFCs'!B:B,A44,'Mapping HRGs to TFCs'!F:F)</f>
        <v>0</v>
      </c>
      <c r="F44" s="716">
        <f>SUMIF('Mapping HRGs to TFCs'!B:B,A44,'Mapping HRGs to TFCs'!G:G)</f>
        <v>540</v>
      </c>
      <c r="G44" s="716">
        <f>SUMIF('Mapping HRGs to TFCs'!B:B,A44,'Mapping HRGs to TFCs'!H:H)</f>
        <v>50701.325107973964</v>
      </c>
      <c r="H44" s="716">
        <f>SUMIF('Mapping HRGs to TFCs'!B:B,A44,'Mapping HRGs to TFCs'!I:I)</f>
        <v>7762.0081336296171</v>
      </c>
      <c r="I44" s="716">
        <f>SUMIF('Mapping HRGs to TFCs'!B:B,A44,'Mapping HRGs to TFCs'!J:J)</f>
        <v>0</v>
      </c>
      <c r="J44" s="716">
        <f>SUMIF('Mapping HRGs to TFCs'!B:B,A44,'Mapping HRGs to TFCs'!K:K)</f>
        <v>0</v>
      </c>
      <c r="K44" s="716">
        <f>SUMIF('Mapping HRGs to TFCs'!B:B,A44,'Mapping HRGs to TFCs'!L:L)</f>
        <v>58463.33324160357</v>
      </c>
    </row>
    <row r="45" spans="1:11">
      <c r="A45" s="710">
        <v>258</v>
      </c>
      <c r="B45" s="716">
        <f>SUMIF('Mapping HRGs to TFCs'!B:B,A45,'Mapping HRGs to TFCs'!C:C)</f>
        <v>2593</v>
      </c>
      <c r="C45" s="716">
        <f>SUMIF('Mapping HRGs to TFCs'!B:B,A45,'Mapping HRGs to TFCs'!D:D)</f>
        <v>515</v>
      </c>
      <c r="D45" s="716">
        <f>SUMIF('Mapping HRGs to TFCs'!B:B,A45,'Mapping HRGs to TFCs'!E:E)</f>
        <v>0</v>
      </c>
      <c r="E45" s="716">
        <f>SUMIF('Mapping HRGs to TFCs'!B:B,A45,'Mapping HRGs to TFCs'!F:F)</f>
        <v>0</v>
      </c>
      <c r="F45" s="716">
        <f>SUMIF('Mapping HRGs to TFCs'!B:B,A45,'Mapping HRGs to TFCs'!G:G)</f>
        <v>3108</v>
      </c>
      <c r="G45" s="716">
        <f>SUMIF('Mapping HRGs to TFCs'!B:B,A45,'Mapping HRGs to TFCs'!H:H)</f>
        <v>341995.94633830385</v>
      </c>
      <c r="H45" s="716">
        <f>SUMIF('Mapping HRGs to TFCs'!B:B,A45,'Mapping HRGs to TFCs'!I:I)</f>
        <v>68318.097468272361</v>
      </c>
      <c r="I45" s="716">
        <f>SUMIF('Mapping HRGs to TFCs'!B:B,A45,'Mapping HRGs to TFCs'!J:J)</f>
        <v>0</v>
      </c>
      <c r="J45" s="716">
        <f>SUMIF('Mapping HRGs to TFCs'!B:B,A45,'Mapping HRGs to TFCs'!K:K)</f>
        <v>0</v>
      </c>
      <c r="K45" s="716">
        <f>SUMIF('Mapping HRGs to TFCs'!B:B,A45,'Mapping HRGs to TFCs'!L:L)</f>
        <v>410314.04380657623</v>
      </c>
    </row>
    <row r="46" spans="1:11">
      <c r="A46" s="710">
        <v>259</v>
      </c>
      <c r="B46" s="716">
        <f>SUMIF('Mapping HRGs to TFCs'!B:B,A46,'Mapping HRGs to TFCs'!C:C)</f>
        <v>138</v>
      </c>
      <c r="C46" s="716">
        <f>SUMIF('Mapping HRGs to TFCs'!B:B,A46,'Mapping HRGs to TFCs'!D:D)</f>
        <v>21</v>
      </c>
      <c r="D46" s="716">
        <f>SUMIF('Mapping HRGs to TFCs'!B:B,A46,'Mapping HRGs to TFCs'!E:E)</f>
        <v>0</v>
      </c>
      <c r="E46" s="716">
        <f>SUMIF('Mapping HRGs to TFCs'!B:B,A46,'Mapping HRGs to TFCs'!F:F)</f>
        <v>0</v>
      </c>
      <c r="F46" s="716">
        <f>SUMIF('Mapping HRGs to TFCs'!B:B,A46,'Mapping HRGs to TFCs'!G:G)</f>
        <v>159</v>
      </c>
      <c r="G46" s="716">
        <f>SUMIF('Mapping HRGs to TFCs'!B:B,A46,'Mapping HRGs to TFCs'!H:H)</f>
        <v>62155.995439168051</v>
      </c>
      <c r="H46" s="716">
        <f>SUMIF('Mapping HRGs to TFCs'!B:B,A46,'Mapping HRGs to TFCs'!I:I)</f>
        <v>8951.713706021892</v>
      </c>
      <c r="I46" s="716">
        <f>SUMIF('Mapping HRGs to TFCs'!B:B,A46,'Mapping HRGs to TFCs'!J:J)</f>
        <v>0</v>
      </c>
      <c r="J46" s="716">
        <f>SUMIF('Mapping HRGs to TFCs'!B:B,A46,'Mapping HRGs to TFCs'!K:K)</f>
        <v>0</v>
      </c>
      <c r="K46" s="716">
        <f>SUMIF('Mapping HRGs to TFCs'!B:B,A46,'Mapping HRGs to TFCs'!L:L)</f>
        <v>71107.709145189947</v>
      </c>
    </row>
    <row r="47" spans="1:11">
      <c r="A47" s="710">
        <v>260</v>
      </c>
      <c r="B47" s="716">
        <f>SUMIF('Mapping HRGs to TFCs'!B:B,A47,'Mapping HRGs to TFCs'!C:C)</f>
        <v>53</v>
      </c>
      <c r="C47" s="716">
        <f>SUMIF('Mapping HRGs to TFCs'!B:B,A47,'Mapping HRGs to TFCs'!D:D)</f>
        <v>1</v>
      </c>
      <c r="D47" s="716">
        <f>SUMIF('Mapping HRGs to TFCs'!B:B,A47,'Mapping HRGs to TFCs'!E:E)</f>
        <v>0</v>
      </c>
      <c r="E47" s="716">
        <f>SUMIF('Mapping HRGs to TFCs'!B:B,A47,'Mapping HRGs to TFCs'!F:F)</f>
        <v>0</v>
      </c>
      <c r="F47" s="716">
        <f>SUMIF('Mapping HRGs to TFCs'!B:B,A47,'Mapping HRGs to TFCs'!G:G)</f>
        <v>54</v>
      </c>
      <c r="G47" s="716">
        <f>SUMIF('Mapping HRGs to TFCs'!B:B,A47,'Mapping HRGs to TFCs'!H:H)</f>
        <v>7636.939911004376</v>
      </c>
      <c r="H47" s="716">
        <f>SUMIF('Mapping HRGs to TFCs'!B:B,A47,'Mapping HRGs to TFCs'!I:I)</f>
        <v>79.981070719854699</v>
      </c>
      <c r="I47" s="716">
        <f>SUMIF('Mapping HRGs to TFCs'!B:B,A47,'Mapping HRGs to TFCs'!J:J)</f>
        <v>0</v>
      </c>
      <c r="J47" s="716">
        <f>SUMIF('Mapping HRGs to TFCs'!B:B,A47,'Mapping HRGs to TFCs'!K:K)</f>
        <v>0</v>
      </c>
      <c r="K47" s="716">
        <f>SUMIF('Mapping HRGs to TFCs'!B:B,A47,'Mapping HRGs to TFCs'!L:L)</f>
        <v>7716.9209817242318</v>
      </c>
    </row>
    <row r="48" spans="1:11">
      <c r="A48" s="710">
        <v>261</v>
      </c>
      <c r="B48" s="716">
        <f>SUMIF('Mapping HRGs to TFCs'!B:B,A48,'Mapping HRGs to TFCs'!C:C)</f>
        <v>0</v>
      </c>
      <c r="C48" s="716">
        <f>SUMIF('Mapping HRGs to TFCs'!B:B,A48,'Mapping HRGs to TFCs'!D:D)</f>
        <v>0</v>
      </c>
      <c r="D48" s="716">
        <f>SUMIF('Mapping HRGs to TFCs'!B:B,A48,'Mapping HRGs to TFCs'!E:E)</f>
        <v>0</v>
      </c>
      <c r="E48" s="716">
        <f>SUMIF('Mapping HRGs to TFCs'!B:B,A48,'Mapping HRGs to TFCs'!F:F)</f>
        <v>0</v>
      </c>
      <c r="F48" s="716">
        <f>SUMIF('Mapping HRGs to TFCs'!B:B,A48,'Mapping HRGs to TFCs'!G:G)</f>
        <v>0</v>
      </c>
      <c r="G48" s="716">
        <f>SUMIF('Mapping HRGs to TFCs'!B:B,A48,'Mapping HRGs to TFCs'!H:H)</f>
        <v>0</v>
      </c>
      <c r="H48" s="716">
        <f>SUMIF('Mapping HRGs to TFCs'!B:B,A48,'Mapping HRGs to TFCs'!I:I)</f>
        <v>0</v>
      </c>
      <c r="I48" s="716">
        <f>SUMIF('Mapping HRGs to TFCs'!B:B,A48,'Mapping HRGs to TFCs'!J:J)</f>
        <v>0</v>
      </c>
      <c r="J48" s="716">
        <f>SUMIF('Mapping HRGs to TFCs'!B:B,A48,'Mapping HRGs to TFCs'!K:K)</f>
        <v>0</v>
      </c>
      <c r="K48" s="716">
        <f>SUMIF('Mapping HRGs to TFCs'!B:B,A48,'Mapping HRGs to TFCs'!L:L)</f>
        <v>0</v>
      </c>
    </row>
    <row r="49" spans="1:11">
      <c r="A49" s="710">
        <v>262</v>
      </c>
      <c r="B49" s="716">
        <f>SUMIF('Mapping HRGs to TFCs'!B:B,A49,'Mapping HRGs to TFCs'!C:C)</f>
        <v>592</v>
      </c>
      <c r="C49" s="716">
        <f>SUMIF('Mapping HRGs to TFCs'!B:B,A49,'Mapping HRGs to TFCs'!D:D)</f>
        <v>173</v>
      </c>
      <c r="D49" s="716">
        <f>SUMIF('Mapping HRGs to TFCs'!B:B,A49,'Mapping HRGs to TFCs'!E:E)</f>
        <v>0</v>
      </c>
      <c r="E49" s="716">
        <f>SUMIF('Mapping HRGs to TFCs'!B:B,A49,'Mapping HRGs to TFCs'!F:F)</f>
        <v>0</v>
      </c>
      <c r="F49" s="716">
        <f>SUMIF('Mapping HRGs to TFCs'!B:B,A49,'Mapping HRGs to TFCs'!G:G)</f>
        <v>765</v>
      </c>
      <c r="G49" s="716">
        <f>SUMIF('Mapping HRGs to TFCs'!B:B,A49,'Mapping HRGs to TFCs'!H:H)</f>
        <v>192222.07895870967</v>
      </c>
      <c r="H49" s="716">
        <f>SUMIF('Mapping HRGs to TFCs'!B:B,A49,'Mapping HRGs to TFCs'!I:I)</f>
        <v>63228.988026123741</v>
      </c>
      <c r="I49" s="716">
        <f>SUMIF('Mapping HRGs to TFCs'!B:B,A49,'Mapping HRGs to TFCs'!J:J)</f>
        <v>0</v>
      </c>
      <c r="J49" s="716">
        <f>SUMIF('Mapping HRGs to TFCs'!B:B,A49,'Mapping HRGs to TFCs'!K:K)</f>
        <v>0</v>
      </c>
      <c r="K49" s="716">
        <f>SUMIF('Mapping HRGs to TFCs'!B:B,A49,'Mapping HRGs to TFCs'!L:L)</f>
        <v>255451.06698483339</v>
      </c>
    </row>
    <row r="50" spans="1:11">
      <c r="A50" s="710">
        <v>300</v>
      </c>
      <c r="B50" s="716">
        <f>SUMIF('Mapping HRGs to TFCs'!B:B,A50,'Mapping HRGs to TFCs'!C:C)</f>
        <v>12722</v>
      </c>
      <c r="C50" s="716">
        <f>SUMIF('Mapping HRGs to TFCs'!B:B,A50,'Mapping HRGs to TFCs'!D:D)</f>
        <v>6913</v>
      </c>
      <c r="D50" s="716">
        <f>SUMIF('Mapping HRGs to TFCs'!B:B,A50,'Mapping HRGs to TFCs'!E:E)</f>
        <v>0</v>
      </c>
      <c r="E50" s="716">
        <f>SUMIF('Mapping HRGs to TFCs'!B:B,A50,'Mapping HRGs to TFCs'!F:F)</f>
        <v>0</v>
      </c>
      <c r="F50" s="716">
        <f>SUMIF('Mapping HRGs to TFCs'!B:B,A50,'Mapping HRGs to TFCs'!G:G)</f>
        <v>19635</v>
      </c>
      <c r="G50" s="716">
        <f>SUMIF('Mapping HRGs to TFCs'!B:B,A50,'Mapping HRGs to TFCs'!H:H)</f>
        <v>1877016.9242704292</v>
      </c>
      <c r="H50" s="716">
        <f>SUMIF('Mapping HRGs to TFCs'!B:B,A50,'Mapping HRGs to TFCs'!I:I)</f>
        <v>1131573.2590646972</v>
      </c>
      <c r="I50" s="716">
        <f>SUMIF('Mapping HRGs to TFCs'!B:B,A50,'Mapping HRGs to TFCs'!J:J)</f>
        <v>0</v>
      </c>
      <c r="J50" s="716">
        <f>SUMIF('Mapping HRGs to TFCs'!B:B,A50,'Mapping HRGs to TFCs'!K:K)</f>
        <v>0</v>
      </c>
      <c r="K50" s="716">
        <f>SUMIF('Mapping HRGs to TFCs'!B:B,A50,'Mapping HRGs to TFCs'!L:L)</f>
        <v>3008590.1833351259</v>
      </c>
    </row>
    <row r="51" spans="1:11">
      <c r="A51" s="710">
        <v>301</v>
      </c>
      <c r="B51" s="716">
        <f>SUMIF('Mapping HRGs to TFCs'!B:B,A51,'Mapping HRGs to TFCs'!C:C)</f>
        <v>1688</v>
      </c>
      <c r="C51" s="716">
        <f>SUMIF('Mapping HRGs to TFCs'!B:B,A51,'Mapping HRGs to TFCs'!D:D)</f>
        <v>1443</v>
      </c>
      <c r="D51" s="716">
        <f>SUMIF('Mapping HRGs to TFCs'!B:B,A51,'Mapping HRGs to TFCs'!E:E)</f>
        <v>0</v>
      </c>
      <c r="E51" s="716">
        <f>SUMIF('Mapping HRGs to TFCs'!B:B,A51,'Mapping HRGs to TFCs'!F:F)</f>
        <v>0</v>
      </c>
      <c r="F51" s="716">
        <f>SUMIF('Mapping HRGs to TFCs'!B:B,A51,'Mapping HRGs to TFCs'!G:G)</f>
        <v>3131</v>
      </c>
      <c r="G51" s="716">
        <f>SUMIF('Mapping HRGs to TFCs'!B:B,A51,'Mapping HRGs to TFCs'!H:H)</f>
        <v>384757.19906083669</v>
      </c>
      <c r="H51" s="716">
        <f>SUMIF('Mapping HRGs to TFCs'!B:B,A51,'Mapping HRGs to TFCs'!I:I)</f>
        <v>467753.73294159153</v>
      </c>
      <c r="I51" s="716">
        <f>SUMIF('Mapping HRGs to TFCs'!B:B,A51,'Mapping HRGs to TFCs'!J:J)</f>
        <v>0</v>
      </c>
      <c r="J51" s="716">
        <f>SUMIF('Mapping HRGs to TFCs'!B:B,A51,'Mapping HRGs to TFCs'!K:K)</f>
        <v>0</v>
      </c>
      <c r="K51" s="716">
        <f>SUMIF('Mapping HRGs to TFCs'!B:B,A51,'Mapping HRGs to TFCs'!L:L)</f>
        <v>852510.93200242822</v>
      </c>
    </row>
    <row r="52" spans="1:11">
      <c r="A52" s="710">
        <v>302</v>
      </c>
      <c r="B52" s="716">
        <f>SUMIF('Mapping HRGs to TFCs'!B:B,A52,'Mapping HRGs to TFCs'!C:C)</f>
        <v>299</v>
      </c>
      <c r="C52" s="716">
        <f>SUMIF('Mapping HRGs to TFCs'!B:B,A52,'Mapping HRGs to TFCs'!D:D)</f>
        <v>153</v>
      </c>
      <c r="D52" s="716">
        <f>SUMIF('Mapping HRGs to TFCs'!B:B,A52,'Mapping HRGs to TFCs'!E:E)</f>
        <v>0</v>
      </c>
      <c r="E52" s="716">
        <f>SUMIF('Mapping HRGs to TFCs'!B:B,A52,'Mapping HRGs to TFCs'!F:F)</f>
        <v>0</v>
      </c>
      <c r="F52" s="716">
        <f>SUMIF('Mapping HRGs to TFCs'!B:B,A52,'Mapping HRGs to TFCs'!G:G)</f>
        <v>452</v>
      </c>
      <c r="G52" s="716">
        <f>SUMIF('Mapping HRGs to TFCs'!B:B,A52,'Mapping HRGs to TFCs'!H:H)</f>
        <v>85757.23773689958</v>
      </c>
      <c r="H52" s="716">
        <f>SUMIF('Mapping HRGs to TFCs'!B:B,A52,'Mapping HRGs to TFCs'!I:I)</f>
        <v>41931.817609477017</v>
      </c>
      <c r="I52" s="716">
        <f>SUMIF('Mapping HRGs to TFCs'!B:B,A52,'Mapping HRGs to TFCs'!J:J)</f>
        <v>0</v>
      </c>
      <c r="J52" s="716">
        <f>SUMIF('Mapping HRGs to TFCs'!B:B,A52,'Mapping HRGs to TFCs'!K:K)</f>
        <v>0</v>
      </c>
      <c r="K52" s="716">
        <f>SUMIF('Mapping HRGs to TFCs'!B:B,A52,'Mapping HRGs to TFCs'!L:L)</f>
        <v>127689.0553463766</v>
      </c>
    </row>
    <row r="53" spans="1:11">
      <c r="A53" s="710">
        <v>303</v>
      </c>
      <c r="B53" s="716">
        <f>SUMIF('Mapping HRGs to TFCs'!B:B,A53,'Mapping HRGs to TFCs'!C:C)</f>
        <v>5615</v>
      </c>
      <c r="C53" s="716">
        <f>SUMIF('Mapping HRGs to TFCs'!B:B,A53,'Mapping HRGs to TFCs'!D:D)</f>
        <v>624</v>
      </c>
      <c r="D53" s="716">
        <f>SUMIF('Mapping HRGs to TFCs'!B:B,A53,'Mapping HRGs to TFCs'!E:E)</f>
        <v>0</v>
      </c>
      <c r="E53" s="716">
        <f>SUMIF('Mapping HRGs to TFCs'!B:B,A53,'Mapping HRGs to TFCs'!F:F)</f>
        <v>0</v>
      </c>
      <c r="F53" s="716">
        <f>SUMIF('Mapping HRGs to TFCs'!B:B,A53,'Mapping HRGs to TFCs'!G:G)</f>
        <v>6239</v>
      </c>
      <c r="G53" s="716">
        <f>SUMIF('Mapping HRGs to TFCs'!B:B,A53,'Mapping HRGs to TFCs'!H:H)</f>
        <v>1146220.9610824818</v>
      </c>
      <c r="H53" s="716">
        <f>SUMIF('Mapping HRGs to TFCs'!B:B,A53,'Mapping HRGs to TFCs'!I:I)</f>
        <v>136375.28542538319</v>
      </c>
      <c r="I53" s="716">
        <f>SUMIF('Mapping HRGs to TFCs'!B:B,A53,'Mapping HRGs to TFCs'!J:J)</f>
        <v>0</v>
      </c>
      <c r="J53" s="716">
        <f>SUMIF('Mapping HRGs to TFCs'!B:B,A53,'Mapping HRGs to TFCs'!K:K)</f>
        <v>0</v>
      </c>
      <c r="K53" s="716">
        <f>SUMIF('Mapping HRGs to TFCs'!B:B,A53,'Mapping HRGs to TFCs'!L:L)</f>
        <v>1282596.2465078649</v>
      </c>
    </row>
    <row r="54" spans="1:11">
      <c r="A54" s="710">
        <v>304</v>
      </c>
      <c r="B54" s="716">
        <f>SUMIF('Mapping HRGs to TFCs'!B:B,A54,'Mapping HRGs to TFCs'!C:C)</f>
        <v>1471</v>
      </c>
      <c r="C54" s="716">
        <f>SUMIF('Mapping HRGs to TFCs'!B:B,A54,'Mapping HRGs to TFCs'!D:D)</f>
        <v>2185</v>
      </c>
      <c r="D54" s="716">
        <f>SUMIF('Mapping HRGs to TFCs'!B:B,A54,'Mapping HRGs to TFCs'!E:E)</f>
        <v>0</v>
      </c>
      <c r="E54" s="716">
        <f>SUMIF('Mapping HRGs to TFCs'!B:B,A54,'Mapping HRGs to TFCs'!F:F)</f>
        <v>0</v>
      </c>
      <c r="F54" s="716">
        <f>SUMIF('Mapping HRGs to TFCs'!B:B,A54,'Mapping HRGs to TFCs'!G:G)</f>
        <v>3656</v>
      </c>
      <c r="G54" s="716">
        <f>SUMIF('Mapping HRGs to TFCs'!B:B,A54,'Mapping HRGs to TFCs'!H:H)</f>
        <v>225276.1265723808</v>
      </c>
      <c r="H54" s="716">
        <f>SUMIF('Mapping HRGs to TFCs'!B:B,A54,'Mapping HRGs to TFCs'!I:I)</f>
        <v>373139.38644823094</v>
      </c>
      <c r="I54" s="716">
        <f>SUMIF('Mapping HRGs to TFCs'!B:B,A54,'Mapping HRGs to TFCs'!J:J)</f>
        <v>0</v>
      </c>
      <c r="J54" s="716">
        <f>SUMIF('Mapping HRGs to TFCs'!B:B,A54,'Mapping HRGs to TFCs'!K:K)</f>
        <v>0</v>
      </c>
      <c r="K54" s="716">
        <f>SUMIF('Mapping HRGs to TFCs'!B:B,A54,'Mapping HRGs to TFCs'!L:L)</f>
        <v>598415.51302061195</v>
      </c>
    </row>
    <row r="55" spans="1:11">
      <c r="A55" s="710">
        <v>306</v>
      </c>
      <c r="B55" s="716">
        <f>SUMIF('Mapping HRGs to TFCs'!B:B,A55,'Mapping HRGs to TFCs'!C:C)</f>
        <v>564</v>
      </c>
      <c r="C55" s="716">
        <f>SUMIF('Mapping HRGs to TFCs'!B:B,A55,'Mapping HRGs to TFCs'!D:D)</f>
        <v>72</v>
      </c>
      <c r="D55" s="716">
        <f>SUMIF('Mapping HRGs to TFCs'!B:B,A55,'Mapping HRGs to TFCs'!E:E)</f>
        <v>0</v>
      </c>
      <c r="E55" s="716">
        <f>SUMIF('Mapping HRGs to TFCs'!B:B,A55,'Mapping HRGs to TFCs'!F:F)</f>
        <v>0</v>
      </c>
      <c r="F55" s="716">
        <f>SUMIF('Mapping HRGs to TFCs'!B:B,A55,'Mapping HRGs to TFCs'!G:G)</f>
        <v>636</v>
      </c>
      <c r="G55" s="716">
        <f>SUMIF('Mapping HRGs to TFCs'!B:B,A55,'Mapping HRGs to TFCs'!H:H)</f>
        <v>202194.33701288598</v>
      </c>
      <c r="H55" s="716">
        <f>SUMIF('Mapping HRGs to TFCs'!B:B,A55,'Mapping HRGs to TFCs'!I:I)</f>
        <v>21338.111924307883</v>
      </c>
      <c r="I55" s="716">
        <f>SUMIF('Mapping HRGs to TFCs'!B:B,A55,'Mapping HRGs to TFCs'!J:J)</f>
        <v>0</v>
      </c>
      <c r="J55" s="716">
        <f>SUMIF('Mapping HRGs to TFCs'!B:B,A55,'Mapping HRGs to TFCs'!K:K)</f>
        <v>0</v>
      </c>
      <c r="K55" s="716">
        <f>SUMIF('Mapping HRGs to TFCs'!B:B,A55,'Mapping HRGs to TFCs'!L:L)</f>
        <v>223532.44893719387</v>
      </c>
    </row>
    <row r="56" spans="1:11">
      <c r="A56" s="710">
        <v>307</v>
      </c>
      <c r="B56" s="716">
        <f>SUMIF('Mapping HRGs to TFCs'!B:B,A56,'Mapping HRGs to TFCs'!C:C)</f>
        <v>4399</v>
      </c>
      <c r="C56" s="716">
        <f>SUMIF('Mapping HRGs to TFCs'!B:B,A56,'Mapping HRGs to TFCs'!D:D)</f>
        <v>553</v>
      </c>
      <c r="D56" s="716">
        <f>SUMIF('Mapping HRGs to TFCs'!B:B,A56,'Mapping HRGs to TFCs'!E:E)</f>
        <v>0</v>
      </c>
      <c r="E56" s="716">
        <f>SUMIF('Mapping HRGs to TFCs'!B:B,A56,'Mapping HRGs to TFCs'!F:F)</f>
        <v>0</v>
      </c>
      <c r="F56" s="716">
        <f>SUMIF('Mapping HRGs to TFCs'!B:B,A56,'Mapping HRGs to TFCs'!G:G)</f>
        <v>4952</v>
      </c>
      <c r="G56" s="716">
        <f>SUMIF('Mapping HRGs to TFCs'!B:B,A56,'Mapping HRGs to TFCs'!H:H)</f>
        <v>578999.04241674067</v>
      </c>
      <c r="H56" s="716">
        <f>SUMIF('Mapping HRGs to TFCs'!B:B,A56,'Mapping HRGs to TFCs'!I:I)</f>
        <v>80050.412453284778</v>
      </c>
      <c r="I56" s="716">
        <f>SUMIF('Mapping HRGs to TFCs'!B:B,A56,'Mapping HRGs to TFCs'!J:J)</f>
        <v>0</v>
      </c>
      <c r="J56" s="716">
        <f>SUMIF('Mapping HRGs to TFCs'!B:B,A56,'Mapping HRGs to TFCs'!K:K)</f>
        <v>0</v>
      </c>
      <c r="K56" s="716">
        <f>SUMIF('Mapping HRGs to TFCs'!B:B,A56,'Mapping HRGs to TFCs'!L:L)</f>
        <v>659049.45487002551</v>
      </c>
    </row>
    <row r="57" spans="1:11">
      <c r="A57" s="710">
        <v>308</v>
      </c>
      <c r="B57" s="716">
        <f>SUMIF('Mapping HRGs to TFCs'!B:B,A57,'Mapping HRGs to TFCs'!C:C)</f>
        <v>213</v>
      </c>
      <c r="C57" s="716">
        <f>SUMIF('Mapping HRGs to TFCs'!B:B,A57,'Mapping HRGs to TFCs'!D:D)</f>
        <v>18</v>
      </c>
      <c r="D57" s="716">
        <f>SUMIF('Mapping HRGs to TFCs'!B:B,A57,'Mapping HRGs to TFCs'!E:E)</f>
        <v>0</v>
      </c>
      <c r="E57" s="716">
        <f>SUMIF('Mapping HRGs to TFCs'!B:B,A57,'Mapping HRGs to TFCs'!F:F)</f>
        <v>0</v>
      </c>
      <c r="F57" s="716">
        <f>SUMIF('Mapping HRGs to TFCs'!B:B,A57,'Mapping HRGs to TFCs'!G:G)</f>
        <v>231</v>
      </c>
      <c r="G57" s="716">
        <f>SUMIF('Mapping HRGs to TFCs'!B:B,A57,'Mapping HRGs to TFCs'!H:H)</f>
        <v>55273.307030313605</v>
      </c>
      <c r="H57" s="716">
        <f>SUMIF('Mapping HRGs to TFCs'!B:B,A57,'Mapping HRGs to TFCs'!I:I)</f>
        <v>4605.6413510083621</v>
      </c>
      <c r="I57" s="716">
        <f>SUMIF('Mapping HRGs to TFCs'!B:B,A57,'Mapping HRGs to TFCs'!J:J)</f>
        <v>0</v>
      </c>
      <c r="J57" s="716">
        <f>SUMIF('Mapping HRGs to TFCs'!B:B,A57,'Mapping HRGs to TFCs'!K:K)</f>
        <v>0</v>
      </c>
      <c r="K57" s="716">
        <f>SUMIF('Mapping HRGs to TFCs'!B:B,A57,'Mapping HRGs to TFCs'!L:L)</f>
        <v>59878.94838132197</v>
      </c>
    </row>
    <row r="58" spans="1:11">
      <c r="A58" s="710">
        <v>313</v>
      </c>
      <c r="B58" s="716">
        <f>SUMIF('Mapping HRGs to TFCs'!B:B,A58,'Mapping HRGs to TFCs'!C:C)</f>
        <v>730</v>
      </c>
      <c r="C58" s="716">
        <f>SUMIF('Mapping HRGs to TFCs'!B:B,A58,'Mapping HRGs to TFCs'!D:D)</f>
        <v>55</v>
      </c>
      <c r="D58" s="716">
        <f>SUMIF('Mapping HRGs to TFCs'!B:B,A58,'Mapping HRGs to TFCs'!E:E)</f>
        <v>0</v>
      </c>
      <c r="E58" s="716">
        <f>SUMIF('Mapping HRGs to TFCs'!B:B,A58,'Mapping HRGs to TFCs'!F:F)</f>
        <v>0</v>
      </c>
      <c r="F58" s="716">
        <f>SUMIF('Mapping HRGs to TFCs'!B:B,A58,'Mapping HRGs to TFCs'!G:G)</f>
        <v>785</v>
      </c>
      <c r="G58" s="716">
        <f>SUMIF('Mapping HRGs to TFCs'!B:B,A58,'Mapping HRGs to TFCs'!H:H)</f>
        <v>97858.285880814612</v>
      </c>
      <c r="H58" s="716">
        <f>SUMIF('Mapping HRGs to TFCs'!B:B,A58,'Mapping HRGs to TFCs'!I:I)</f>
        <v>7433.3392274349353</v>
      </c>
      <c r="I58" s="716">
        <f>SUMIF('Mapping HRGs to TFCs'!B:B,A58,'Mapping HRGs to TFCs'!J:J)</f>
        <v>0</v>
      </c>
      <c r="J58" s="716">
        <f>SUMIF('Mapping HRGs to TFCs'!B:B,A58,'Mapping HRGs to TFCs'!K:K)</f>
        <v>0</v>
      </c>
      <c r="K58" s="716">
        <f>SUMIF('Mapping HRGs to TFCs'!B:B,A58,'Mapping HRGs to TFCs'!L:L)</f>
        <v>105291.62510824954</v>
      </c>
    </row>
    <row r="59" spans="1:11">
      <c r="A59" s="710">
        <v>314</v>
      </c>
      <c r="B59" s="716">
        <f>SUMIF('Mapping HRGs to TFCs'!B:B,A59,'Mapping HRGs to TFCs'!C:C)</f>
        <v>626</v>
      </c>
      <c r="C59" s="716">
        <f>SUMIF('Mapping HRGs to TFCs'!B:B,A59,'Mapping HRGs to TFCs'!D:D)</f>
        <v>228</v>
      </c>
      <c r="D59" s="716">
        <f>SUMIF('Mapping HRGs to TFCs'!B:B,A59,'Mapping HRGs to TFCs'!E:E)</f>
        <v>0</v>
      </c>
      <c r="E59" s="716">
        <f>SUMIF('Mapping HRGs to TFCs'!B:B,A59,'Mapping HRGs to TFCs'!F:F)</f>
        <v>0</v>
      </c>
      <c r="F59" s="716">
        <f>SUMIF('Mapping HRGs to TFCs'!B:B,A59,'Mapping HRGs to TFCs'!G:G)</f>
        <v>854</v>
      </c>
      <c r="G59" s="716">
        <f>SUMIF('Mapping HRGs to TFCs'!B:B,A59,'Mapping HRGs to TFCs'!H:H)</f>
        <v>88959.220155855655</v>
      </c>
      <c r="H59" s="716">
        <f>SUMIF('Mapping HRGs to TFCs'!B:B,A59,'Mapping HRGs to TFCs'!I:I)</f>
        <v>22878.921950209809</v>
      </c>
      <c r="I59" s="716">
        <f>SUMIF('Mapping HRGs to TFCs'!B:B,A59,'Mapping HRGs to TFCs'!J:J)</f>
        <v>0</v>
      </c>
      <c r="J59" s="716">
        <f>SUMIF('Mapping HRGs to TFCs'!B:B,A59,'Mapping HRGs to TFCs'!K:K)</f>
        <v>0</v>
      </c>
      <c r="K59" s="716">
        <f>SUMIF('Mapping HRGs to TFCs'!B:B,A59,'Mapping HRGs to TFCs'!L:L)</f>
        <v>111838.14210606547</v>
      </c>
    </row>
    <row r="60" spans="1:11">
      <c r="A60" s="710">
        <v>316</v>
      </c>
      <c r="B60" s="716">
        <f>SUMIF('Mapping HRGs to TFCs'!B:B,A60,'Mapping HRGs to TFCs'!C:C)</f>
        <v>45</v>
      </c>
      <c r="C60" s="716">
        <f>SUMIF('Mapping HRGs to TFCs'!B:B,A60,'Mapping HRGs to TFCs'!D:D)</f>
        <v>18</v>
      </c>
      <c r="D60" s="716">
        <f>SUMIF('Mapping HRGs to TFCs'!B:B,A60,'Mapping HRGs to TFCs'!E:E)</f>
        <v>0</v>
      </c>
      <c r="E60" s="716">
        <f>SUMIF('Mapping HRGs to TFCs'!B:B,A60,'Mapping HRGs to TFCs'!F:F)</f>
        <v>0</v>
      </c>
      <c r="F60" s="716">
        <f>SUMIF('Mapping HRGs to TFCs'!B:B,A60,'Mapping HRGs to TFCs'!G:G)</f>
        <v>63</v>
      </c>
      <c r="G60" s="716">
        <f>SUMIF('Mapping HRGs to TFCs'!B:B,A60,'Mapping HRGs to TFCs'!H:H)</f>
        <v>6569.7951034860089</v>
      </c>
      <c r="H60" s="716">
        <f>SUMIF('Mapping HRGs to TFCs'!B:B,A60,'Mapping HRGs to TFCs'!I:I)</f>
        <v>2148.4612307252896</v>
      </c>
      <c r="I60" s="716">
        <f>SUMIF('Mapping HRGs to TFCs'!B:B,A60,'Mapping HRGs to TFCs'!J:J)</f>
        <v>0</v>
      </c>
      <c r="J60" s="716">
        <f>SUMIF('Mapping HRGs to TFCs'!B:B,A60,'Mapping HRGs to TFCs'!K:K)</f>
        <v>0</v>
      </c>
      <c r="K60" s="716">
        <f>SUMIF('Mapping HRGs to TFCs'!B:B,A60,'Mapping HRGs to TFCs'!L:L)</f>
        <v>8718.256334211299</v>
      </c>
    </row>
    <row r="61" spans="1:11">
      <c r="A61" s="710">
        <v>320</v>
      </c>
      <c r="B61" s="716">
        <f>SUMIF('Mapping HRGs to TFCs'!B:B,A61,'Mapping HRGs to TFCs'!C:C)</f>
        <v>10148</v>
      </c>
      <c r="C61" s="716">
        <f>SUMIF('Mapping HRGs to TFCs'!B:B,A61,'Mapping HRGs to TFCs'!D:D)</f>
        <v>8193</v>
      </c>
      <c r="D61" s="716">
        <f>SUMIF('Mapping HRGs to TFCs'!B:B,A61,'Mapping HRGs to TFCs'!E:E)</f>
        <v>0</v>
      </c>
      <c r="E61" s="716">
        <f>SUMIF('Mapping HRGs to TFCs'!B:B,A61,'Mapping HRGs to TFCs'!F:F)</f>
        <v>0</v>
      </c>
      <c r="F61" s="716">
        <f>SUMIF('Mapping HRGs to TFCs'!B:B,A61,'Mapping HRGs to TFCs'!G:G)</f>
        <v>18341</v>
      </c>
      <c r="G61" s="716">
        <f>SUMIF('Mapping HRGs to TFCs'!B:B,A61,'Mapping HRGs to TFCs'!H:H)</f>
        <v>1102811.1927780358</v>
      </c>
      <c r="H61" s="716">
        <f>SUMIF('Mapping HRGs to TFCs'!B:B,A61,'Mapping HRGs to TFCs'!I:I)</f>
        <v>864289.76086876774</v>
      </c>
      <c r="I61" s="716">
        <f>SUMIF('Mapping HRGs to TFCs'!B:B,A61,'Mapping HRGs to TFCs'!J:J)</f>
        <v>0</v>
      </c>
      <c r="J61" s="716">
        <f>SUMIF('Mapping HRGs to TFCs'!B:B,A61,'Mapping HRGs to TFCs'!K:K)</f>
        <v>0</v>
      </c>
      <c r="K61" s="716">
        <f>SUMIF('Mapping HRGs to TFCs'!B:B,A61,'Mapping HRGs to TFCs'!L:L)</f>
        <v>1967100.953646804</v>
      </c>
    </row>
    <row r="62" spans="1:11">
      <c r="A62" s="710">
        <v>321</v>
      </c>
      <c r="B62" s="716">
        <f>SUMIF('Mapping HRGs to TFCs'!B:B,A62,'Mapping HRGs to TFCs'!C:C)</f>
        <v>761</v>
      </c>
      <c r="C62" s="716">
        <f>SUMIF('Mapping HRGs to TFCs'!B:B,A62,'Mapping HRGs to TFCs'!D:D)</f>
        <v>780</v>
      </c>
      <c r="D62" s="716">
        <f>SUMIF('Mapping HRGs to TFCs'!B:B,A62,'Mapping HRGs to TFCs'!E:E)</f>
        <v>0</v>
      </c>
      <c r="E62" s="716">
        <f>SUMIF('Mapping HRGs to TFCs'!B:B,A62,'Mapping HRGs to TFCs'!F:F)</f>
        <v>0</v>
      </c>
      <c r="F62" s="716">
        <f>SUMIF('Mapping HRGs to TFCs'!B:B,A62,'Mapping HRGs to TFCs'!G:G)</f>
        <v>1541</v>
      </c>
      <c r="G62" s="716">
        <f>SUMIF('Mapping HRGs to TFCs'!B:B,A62,'Mapping HRGs to TFCs'!H:H)</f>
        <v>50245.597454932686</v>
      </c>
      <c r="H62" s="716">
        <f>SUMIF('Mapping HRGs to TFCs'!B:B,A62,'Mapping HRGs to TFCs'!I:I)</f>
        <v>50400.325874747818</v>
      </c>
      <c r="I62" s="716">
        <f>SUMIF('Mapping HRGs to TFCs'!B:B,A62,'Mapping HRGs to TFCs'!J:J)</f>
        <v>0</v>
      </c>
      <c r="J62" s="716">
        <f>SUMIF('Mapping HRGs to TFCs'!B:B,A62,'Mapping HRGs to TFCs'!K:K)</f>
        <v>0</v>
      </c>
      <c r="K62" s="716">
        <f>SUMIF('Mapping HRGs to TFCs'!B:B,A62,'Mapping HRGs to TFCs'!L:L)</f>
        <v>100645.9233296805</v>
      </c>
    </row>
    <row r="63" spans="1:11">
      <c r="A63" s="710">
        <v>323</v>
      </c>
      <c r="B63" s="716">
        <f>SUMIF('Mapping HRGs to TFCs'!B:B,A63,'Mapping HRGs to TFCs'!C:C)</f>
        <v>798</v>
      </c>
      <c r="C63" s="716">
        <f>SUMIF('Mapping HRGs to TFCs'!B:B,A63,'Mapping HRGs to TFCs'!D:D)</f>
        <v>21</v>
      </c>
      <c r="D63" s="716">
        <f>SUMIF('Mapping HRGs to TFCs'!B:B,A63,'Mapping HRGs to TFCs'!E:E)</f>
        <v>0</v>
      </c>
      <c r="E63" s="716">
        <f>SUMIF('Mapping HRGs to TFCs'!B:B,A63,'Mapping HRGs to TFCs'!F:F)</f>
        <v>0</v>
      </c>
      <c r="F63" s="716">
        <f>SUMIF('Mapping HRGs to TFCs'!B:B,A63,'Mapping HRGs to TFCs'!G:G)</f>
        <v>819</v>
      </c>
      <c r="G63" s="716">
        <f>SUMIF('Mapping HRGs to TFCs'!B:B,A63,'Mapping HRGs to TFCs'!H:H)</f>
        <v>106723.90809973692</v>
      </c>
      <c r="H63" s="716">
        <f>SUMIF('Mapping HRGs to TFCs'!B:B,A63,'Mapping HRGs to TFCs'!I:I)</f>
        <v>2454.244397787691</v>
      </c>
      <c r="I63" s="716">
        <f>SUMIF('Mapping HRGs to TFCs'!B:B,A63,'Mapping HRGs to TFCs'!J:J)</f>
        <v>0</v>
      </c>
      <c r="J63" s="716">
        <f>SUMIF('Mapping HRGs to TFCs'!B:B,A63,'Mapping HRGs to TFCs'!K:K)</f>
        <v>0</v>
      </c>
      <c r="K63" s="716">
        <f>SUMIF('Mapping HRGs to TFCs'!B:B,A63,'Mapping HRGs to TFCs'!L:L)</f>
        <v>109178.1524975246</v>
      </c>
    </row>
    <row r="64" spans="1:11">
      <c r="A64" s="710">
        <v>324</v>
      </c>
      <c r="B64" s="716">
        <f>SUMIF('Mapping HRGs to TFCs'!B:B,A64,'Mapping HRGs to TFCs'!C:C)</f>
        <v>53</v>
      </c>
      <c r="C64" s="716">
        <f>SUMIF('Mapping HRGs to TFCs'!B:B,A64,'Mapping HRGs to TFCs'!D:D)</f>
        <v>2</v>
      </c>
      <c r="D64" s="716">
        <f>SUMIF('Mapping HRGs to TFCs'!B:B,A64,'Mapping HRGs to TFCs'!E:E)</f>
        <v>0</v>
      </c>
      <c r="E64" s="716">
        <f>SUMIF('Mapping HRGs to TFCs'!B:B,A64,'Mapping HRGs to TFCs'!F:F)</f>
        <v>0</v>
      </c>
      <c r="F64" s="716">
        <f>SUMIF('Mapping HRGs to TFCs'!B:B,A64,'Mapping HRGs to TFCs'!G:G)</f>
        <v>55</v>
      </c>
      <c r="G64" s="716">
        <f>SUMIF('Mapping HRGs to TFCs'!B:B,A64,'Mapping HRGs to TFCs'!H:H)</f>
        <v>6568.6386490386758</v>
      </c>
      <c r="H64" s="716">
        <f>SUMIF('Mapping HRGs to TFCs'!B:B,A64,'Mapping HRGs to TFCs'!I:I)</f>
        <v>314.7886576767068</v>
      </c>
      <c r="I64" s="716">
        <f>SUMIF('Mapping HRGs to TFCs'!B:B,A64,'Mapping HRGs to TFCs'!J:J)</f>
        <v>0</v>
      </c>
      <c r="J64" s="716">
        <f>SUMIF('Mapping HRGs to TFCs'!B:B,A64,'Mapping HRGs to TFCs'!K:K)</f>
        <v>0</v>
      </c>
      <c r="K64" s="716">
        <f>SUMIF('Mapping HRGs to TFCs'!B:B,A64,'Mapping HRGs to TFCs'!L:L)</f>
        <v>6883.4273067153827</v>
      </c>
    </row>
    <row r="65" spans="1:11">
      <c r="A65" s="710">
        <v>330</v>
      </c>
      <c r="B65" s="716">
        <f>SUMIF('Mapping HRGs to TFCs'!B:B,A65,'Mapping HRGs to TFCs'!C:C)</f>
        <v>45964</v>
      </c>
      <c r="C65" s="716">
        <f>SUMIF('Mapping HRGs to TFCs'!B:B,A65,'Mapping HRGs to TFCs'!D:D)</f>
        <v>6135</v>
      </c>
      <c r="D65" s="716">
        <f>SUMIF('Mapping HRGs to TFCs'!B:B,A65,'Mapping HRGs to TFCs'!E:E)</f>
        <v>0</v>
      </c>
      <c r="E65" s="716">
        <f>SUMIF('Mapping HRGs to TFCs'!B:B,A65,'Mapping HRGs to TFCs'!F:F)</f>
        <v>0</v>
      </c>
      <c r="F65" s="716">
        <f>SUMIF('Mapping HRGs to TFCs'!B:B,A65,'Mapping HRGs to TFCs'!G:G)</f>
        <v>52099</v>
      </c>
      <c r="G65" s="716">
        <f>SUMIF('Mapping HRGs to TFCs'!B:B,A65,'Mapping HRGs to TFCs'!H:H)</f>
        <v>4726680.8250682931</v>
      </c>
      <c r="H65" s="716">
        <f>SUMIF('Mapping HRGs to TFCs'!B:B,A65,'Mapping HRGs to TFCs'!I:I)</f>
        <v>678283.64813821611</v>
      </c>
      <c r="I65" s="716">
        <f>SUMIF('Mapping HRGs to TFCs'!B:B,A65,'Mapping HRGs to TFCs'!J:J)</f>
        <v>0</v>
      </c>
      <c r="J65" s="716">
        <f>SUMIF('Mapping HRGs to TFCs'!B:B,A65,'Mapping HRGs to TFCs'!K:K)</f>
        <v>0</v>
      </c>
      <c r="K65" s="716">
        <f>SUMIF('Mapping HRGs to TFCs'!B:B,A65,'Mapping HRGs to TFCs'!L:L)</f>
        <v>5404964.4732065089</v>
      </c>
    </row>
    <row r="66" spans="1:11">
      <c r="A66" s="710">
        <v>340</v>
      </c>
      <c r="B66" s="716">
        <f>SUMIF('Mapping HRGs to TFCs'!B:B,A66,'Mapping HRGs to TFCs'!C:C)</f>
        <v>79645</v>
      </c>
      <c r="C66" s="716">
        <f>SUMIF('Mapping HRGs to TFCs'!B:B,A66,'Mapping HRGs to TFCs'!D:D)</f>
        <v>48655</v>
      </c>
      <c r="D66" s="716">
        <f>SUMIF('Mapping HRGs to TFCs'!B:B,A66,'Mapping HRGs to TFCs'!E:E)</f>
        <v>0</v>
      </c>
      <c r="E66" s="716">
        <f>SUMIF('Mapping HRGs to TFCs'!B:B,A66,'Mapping HRGs to TFCs'!F:F)</f>
        <v>0</v>
      </c>
      <c r="F66" s="716">
        <f>SUMIF('Mapping HRGs to TFCs'!B:B,A66,'Mapping HRGs to TFCs'!G:G)</f>
        <v>128300</v>
      </c>
      <c r="G66" s="716">
        <f>SUMIF('Mapping HRGs to TFCs'!B:B,A66,'Mapping HRGs to TFCs'!H:H)</f>
        <v>10596212.504282042</v>
      </c>
      <c r="H66" s="716">
        <f>SUMIF('Mapping HRGs to TFCs'!B:B,A66,'Mapping HRGs to TFCs'!I:I)</f>
        <v>6592969.4825314889</v>
      </c>
      <c r="I66" s="716">
        <f>SUMIF('Mapping HRGs to TFCs'!B:B,A66,'Mapping HRGs to TFCs'!J:J)</f>
        <v>0</v>
      </c>
      <c r="J66" s="716">
        <f>SUMIF('Mapping HRGs to TFCs'!B:B,A66,'Mapping HRGs to TFCs'!K:K)</f>
        <v>0</v>
      </c>
      <c r="K66" s="716">
        <f>SUMIF('Mapping HRGs to TFCs'!B:B,A66,'Mapping HRGs to TFCs'!L:L)</f>
        <v>17189181.98681353</v>
      </c>
    </row>
    <row r="67" spans="1:11">
      <c r="A67" s="710">
        <v>341</v>
      </c>
      <c r="B67" s="716">
        <f>SUMIF('Mapping HRGs to TFCs'!B:B,A67,'Mapping HRGs to TFCs'!C:C)</f>
        <v>4340</v>
      </c>
      <c r="C67" s="716">
        <f>SUMIF('Mapping HRGs to TFCs'!B:B,A67,'Mapping HRGs to TFCs'!D:D)</f>
        <v>2523</v>
      </c>
      <c r="D67" s="716">
        <f>SUMIF('Mapping HRGs to TFCs'!B:B,A67,'Mapping HRGs to TFCs'!E:E)</f>
        <v>0</v>
      </c>
      <c r="E67" s="716">
        <f>SUMIF('Mapping HRGs to TFCs'!B:B,A67,'Mapping HRGs to TFCs'!F:F)</f>
        <v>0</v>
      </c>
      <c r="F67" s="716">
        <f>SUMIF('Mapping HRGs to TFCs'!B:B,A67,'Mapping HRGs to TFCs'!G:G)</f>
        <v>6863</v>
      </c>
      <c r="G67" s="716">
        <f>SUMIF('Mapping HRGs to TFCs'!B:B,A67,'Mapping HRGs to TFCs'!H:H)</f>
        <v>578962.22274860425</v>
      </c>
      <c r="H67" s="716">
        <f>SUMIF('Mapping HRGs to TFCs'!B:B,A67,'Mapping HRGs to TFCs'!I:I)</f>
        <v>323266.70009245811</v>
      </c>
      <c r="I67" s="716">
        <f>SUMIF('Mapping HRGs to TFCs'!B:B,A67,'Mapping HRGs to TFCs'!J:J)</f>
        <v>0</v>
      </c>
      <c r="J67" s="716">
        <f>SUMIF('Mapping HRGs to TFCs'!B:B,A67,'Mapping HRGs to TFCs'!K:K)</f>
        <v>0</v>
      </c>
      <c r="K67" s="716">
        <f>SUMIF('Mapping HRGs to TFCs'!B:B,A67,'Mapping HRGs to TFCs'!L:L)</f>
        <v>902228.92284106254</v>
      </c>
    </row>
    <row r="68" spans="1:11">
      <c r="A68" s="710">
        <v>350</v>
      </c>
      <c r="B68" s="716">
        <f>SUMIF('Mapping HRGs to TFCs'!B:B,A68,'Mapping HRGs to TFCs'!C:C)</f>
        <v>266</v>
      </c>
      <c r="C68" s="716">
        <f>SUMIF('Mapping HRGs to TFCs'!B:B,A68,'Mapping HRGs to TFCs'!D:D)</f>
        <v>56</v>
      </c>
      <c r="D68" s="716">
        <f>SUMIF('Mapping HRGs to TFCs'!B:B,A68,'Mapping HRGs to TFCs'!E:E)</f>
        <v>0</v>
      </c>
      <c r="E68" s="716">
        <f>SUMIF('Mapping HRGs to TFCs'!B:B,A68,'Mapping HRGs to TFCs'!F:F)</f>
        <v>0</v>
      </c>
      <c r="F68" s="716">
        <f>SUMIF('Mapping HRGs to TFCs'!B:B,A68,'Mapping HRGs to TFCs'!G:G)</f>
        <v>322</v>
      </c>
      <c r="G68" s="716">
        <f>SUMIF('Mapping HRGs to TFCs'!B:B,A68,'Mapping HRGs to TFCs'!H:H)</f>
        <v>81152.194077690758</v>
      </c>
      <c r="H68" s="716">
        <f>SUMIF('Mapping HRGs to TFCs'!B:B,A68,'Mapping HRGs to TFCs'!I:I)</f>
        <v>18151.952206009304</v>
      </c>
      <c r="I68" s="716">
        <f>SUMIF('Mapping HRGs to TFCs'!B:B,A68,'Mapping HRGs to TFCs'!J:J)</f>
        <v>0</v>
      </c>
      <c r="J68" s="716">
        <f>SUMIF('Mapping HRGs to TFCs'!B:B,A68,'Mapping HRGs to TFCs'!K:K)</f>
        <v>0</v>
      </c>
      <c r="K68" s="716">
        <f>SUMIF('Mapping HRGs to TFCs'!B:B,A68,'Mapping HRGs to TFCs'!L:L)</f>
        <v>99304.146283700073</v>
      </c>
    </row>
    <row r="69" spans="1:11">
      <c r="A69" s="710">
        <v>361</v>
      </c>
      <c r="B69" s="716">
        <f>SUMIF('Mapping HRGs to TFCs'!B:B,A69,'Mapping HRGs to TFCs'!C:C)</f>
        <v>744</v>
      </c>
      <c r="C69" s="716">
        <f>SUMIF('Mapping HRGs to TFCs'!B:B,A69,'Mapping HRGs to TFCs'!D:D)</f>
        <v>32</v>
      </c>
      <c r="D69" s="716">
        <f>SUMIF('Mapping HRGs to TFCs'!B:B,A69,'Mapping HRGs to TFCs'!E:E)</f>
        <v>0</v>
      </c>
      <c r="E69" s="716">
        <f>SUMIF('Mapping HRGs to TFCs'!B:B,A69,'Mapping HRGs to TFCs'!F:F)</f>
        <v>0</v>
      </c>
      <c r="F69" s="716">
        <f>SUMIF('Mapping HRGs to TFCs'!B:B,A69,'Mapping HRGs to TFCs'!G:G)</f>
        <v>776</v>
      </c>
      <c r="G69" s="716">
        <f>SUMIF('Mapping HRGs to TFCs'!B:B,A69,'Mapping HRGs to TFCs'!H:H)</f>
        <v>106436.56876838274</v>
      </c>
      <c r="H69" s="716">
        <f>SUMIF('Mapping HRGs to TFCs'!B:B,A69,'Mapping HRGs to TFCs'!I:I)</f>
        <v>4497.8215294482279</v>
      </c>
      <c r="I69" s="716">
        <f>SUMIF('Mapping HRGs to TFCs'!B:B,A69,'Mapping HRGs to TFCs'!J:J)</f>
        <v>0</v>
      </c>
      <c r="J69" s="716">
        <f>SUMIF('Mapping HRGs to TFCs'!B:B,A69,'Mapping HRGs to TFCs'!K:K)</f>
        <v>0</v>
      </c>
      <c r="K69" s="716">
        <f>SUMIF('Mapping HRGs to TFCs'!B:B,A69,'Mapping HRGs to TFCs'!L:L)</f>
        <v>110934.39029783095</v>
      </c>
    </row>
    <row r="70" spans="1:11">
      <c r="A70" s="710">
        <v>370</v>
      </c>
      <c r="B70" s="716">
        <f>SUMIF('Mapping HRGs to TFCs'!B:B,A70,'Mapping HRGs to TFCs'!C:C)</f>
        <v>1162</v>
      </c>
      <c r="C70" s="716">
        <f>SUMIF('Mapping HRGs to TFCs'!B:B,A70,'Mapping HRGs to TFCs'!D:D)</f>
        <v>103</v>
      </c>
      <c r="D70" s="716">
        <f>SUMIF('Mapping HRGs to TFCs'!B:B,A70,'Mapping HRGs to TFCs'!E:E)</f>
        <v>0</v>
      </c>
      <c r="E70" s="716">
        <f>SUMIF('Mapping HRGs to TFCs'!B:B,A70,'Mapping HRGs to TFCs'!F:F)</f>
        <v>0</v>
      </c>
      <c r="F70" s="716">
        <f>SUMIF('Mapping HRGs to TFCs'!B:B,A70,'Mapping HRGs to TFCs'!G:G)</f>
        <v>1265</v>
      </c>
      <c r="G70" s="716">
        <f>SUMIF('Mapping HRGs to TFCs'!B:B,A70,'Mapping HRGs to TFCs'!H:H)</f>
        <v>270368.26277599251</v>
      </c>
      <c r="H70" s="716">
        <f>SUMIF('Mapping HRGs to TFCs'!B:B,A70,'Mapping HRGs to TFCs'!I:I)</f>
        <v>19224.442151320618</v>
      </c>
      <c r="I70" s="716">
        <f>SUMIF('Mapping HRGs to TFCs'!B:B,A70,'Mapping HRGs to TFCs'!J:J)</f>
        <v>0</v>
      </c>
      <c r="J70" s="716">
        <f>SUMIF('Mapping HRGs to TFCs'!B:B,A70,'Mapping HRGs to TFCs'!K:K)</f>
        <v>0</v>
      </c>
      <c r="K70" s="716">
        <f>SUMIF('Mapping HRGs to TFCs'!B:B,A70,'Mapping HRGs to TFCs'!L:L)</f>
        <v>289592.70492731308</v>
      </c>
    </row>
    <row r="71" spans="1:11">
      <c r="A71" s="710">
        <v>371</v>
      </c>
      <c r="B71" s="716">
        <f>SUMIF('Mapping HRGs to TFCs'!B:B,A71,'Mapping HRGs to TFCs'!C:C)</f>
        <v>1</v>
      </c>
      <c r="C71" s="716">
        <f>SUMIF('Mapping HRGs to TFCs'!B:B,A71,'Mapping HRGs to TFCs'!D:D)</f>
        <v>3</v>
      </c>
      <c r="D71" s="716">
        <f>SUMIF('Mapping HRGs to TFCs'!B:B,A71,'Mapping HRGs to TFCs'!E:E)</f>
        <v>0</v>
      </c>
      <c r="E71" s="716">
        <f>SUMIF('Mapping HRGs to TFCs'!B:B,A71,'Mapping HRGs to TFCs'!F:F)</f>
        <v>0</v>
      </c>
      <c r="F71" s="716">
        <f>SUMIF('Mapping HRGs to TFCs'!B:B,A71,'Mapping HRGs to TFCs'!G:G)</f>
        <v>4</v>
      </c>
      <c r="G71" s="716">
        <f>SUMIF('Mapping HRGs to TFCs'!B:B,A71,'Mapping HRGs to TFCs'!H:H)</f>
        <v>135.22211015861063</v>
      </c>
      <c r="H71" s="716">
        <f>SUMIF('Mapping HRGs to TFCs'!B:B,A71,'Mapping HRGs to TFCs'!I:I)</f>
        <v>405.6663304758319</v>
      </c>
      <c r="I71" s="716">
        <f>SUMIF('Mapping HRGs to TFCs'!B:B,A71,'Mapping HRGs to TFCs'!J:J)</f>
        <v>0</v>
      </c>
      <c r="J71" s="716">
        <f>SUMIF('Mapping HRGs to TFCs'!B:B,A71,'Mapping HRGs to TFCs'!K:K)</f>
        <v>0</v>
      </c>
      <c r="K71" s="716">
        <f>SUMIF('Mapping HRGs to TFCs'!B:B,A71,'Mapping HRGs to TFCs'!L:L)</f>
        <v>540.88844063444253</v>
      </c>
    </row>
    <row r="72" spans="1:11">
      <c r="A72" s="710">
        <v>400</v>
      </c>
      <c r="B72" s="716">
        <f>SUMIF('Mapping HRGs to TFCs'!B:B,A72,'Mapping HRGs to TFCs'!C:C)</f>
        <v>1186</v>
      </c>
      <c r="C72" s="716">
        <f>SUMIF('Mapping HRGs to TFCs'!B:B,A72,'Mapping HRGs to TFCs'!D:D)</f>
        <v>2074</v>
      </c>
      <c r="D72" s="716">
        <f>SUMIF('Mapping HRGs to TFCs'!B:B,A72,'Mapping HRGs to TFCs'!E:E)</f>
        <v>0</v>
      </c>
      <c r="E72" s="716">
        <f>SUMIF('Mapping HRGs to TFCs'!B:B,A72,'Mapping HRGs to TFCs'!F:F)</f>
        <v>0</v>
      </c>
      <c r="F72" s="716">
        <f>SUMIF('Mapping HRGs to TFCs'!B:B,A72,'Mapping HRGs to TFCs'!G:G)</f>
        <v>3260</v>
      </c>
      <c r="G72" s="716">
        <f>SUMIF('Mapping HRGs to TFCs'!B:B,A72,'Mapping HRGs to TFCs'!H:H)</f>
        <v>209942.39791662595</v>
      </c>
      <c r="H72" s="716">
        <f>SUMIF('Mapping HRGs to TFCs'!B:B,A72,'Mapping HRGs to TFCs'!I:I)</f>
        <v>278479.64711801131</v>
      </c>
      <c r="I72" s="716">
        <f>SUMIF('Mapping HRGs to TFCs'!B:B,A72,'Mapping HRGs to TFCs'!J:J)</f>
        <v>0</v>
      </c>
      <c r="J72" s="716">
        <f>SUMIF('Mapping HRGs to TFCs'!B:B,A72,'Mapping HRGs to TFCs'!K:K)</f>
        <v>0</v>
      </c>
      <c r="K72" s="716">
        <f>SUMIF('Mapping HRGs to TFCs'!B:B,A72,'Mapping HRGs to TFCs'!L:L)</f>
        <v>488422.04503463721</v>
      </c>
    </row>
    <row r="73" spans="1:11">
      <c r="A73" s="710">
        <v>401</v>
      </c>
      <c r="B73" s="716">
        <f>SUMIF('Mapping HRGs to TFCs'!B:B,A73,'Mapping HRGs to TFCs'!C:C)</f>
        <v>61</v>
      </c>
      <c r="C73" s="716">
        <f>SUMIF('Mapping HRGs to TFCs'!B:B,A73,'Mapping HRGs to TFCs'!D:D)</f>
        <v>1336</v>
      </c>
      <c r="D73" s="716">
        <f>SUMIF('Mapping HRGs to TFCs'!B:B,A73,'Mapping HRGs to TFCs'!E:E)</f>
        <v>0</v>
      </c>
      <c r="E73" s="716">
        <f>SUMIF('Mapping HRGs to TFCs'!B:B,A73,'Mapping HRGs to TFCs'!F:F)</f>
        <v>0</v>
      </c>
      <c r="F73" s="716">
        <f>SUMIF('Mapping HRGs to TFCs'!B:B,A73,'Mapping HRGs to TFCs'!G:G)</f>
        <v>1397</v>
      </c>
      <c r="G73" s="716">
        <f>SUMIF('Mapping HRGs to TFCs'!B:B,A73,'Mapping HRGs to TFCs'!H:H)</f>
        <v>7618.4097902380017</v>
      </c>
      <c r="H73" s="716">
        <f>SUMIF('Mapping HRGs to TFCs'!B:B,A73,'Mapping HRGs to TFCs'!I:I)</f>
        <v>167170.30444869195</v>
      </c>
      <c r="I73" s="716">
        <f>SUMIF('Mapping HRGs to TFCs'!B:B,A73,'Mapping HRGs to TFCs'!J:J)</f>
        <v>0</v>
      </c>
      <c r="J73" s="716">
        <f>SUMIF('Mapping HRGs to TFCs'!B:B,A73,'Mapping HRGs to TFCs'!K:K)</f>
        <v>0</v>
      </c>
      <c r="K73" s="716">
        <f>SUMIF('Mapping HRGs to TFCs'!B:B,A73,'Mapping HRGs to TFCs'!L:L)</f>
        <v>174788.71423892997</v>
      </c>
    </row>
    <row r="74" spans="1:11">
      <c r="A74" s="710">
        <v>410</v>
      </c>
      <c r="B74" s="716">
        <f>SUMIF('Mapping HRGs to TFCs'!B:B,A74,'Mapping HRGs to TFCs'!C:C)</f>
        <v>10935</v>
      </c>
      <c r="C74" s="716">
        <f>SUMIF('Mapping HRGs to TFCs'!B:B,A74,'Mapping HRGs to TFCs'!D:D)</f>
        <v>2349</v>
      </c>
      <c r="D74" s="716">
        <f>SUMIF('Mapping HRGs to TFCs'!B:B,A74,'Mapping HRGs to TFCs'!E:E)</f>
        <v>0</v>
      </c>
      <c r="E74" s="716">
        <f>SUMIF('Mapping HRGs to TFCs'!B:B,A74,'Mapping HRGs to TFCs'!F:F)</f>
        <v>0</v>
      </c>
      <c r="F74" s="716">
        <f>SUMIF('Mapping HRGs to TFCs'!B:B,A74,'Mapping HRGs to TFCs'!G:G)</f>
        <v>13284</v>
      </c>
      <c r="G74" s="716">
        <f>SUMIF('Mapping HRGs to TFCs'!B:B,A74,'Mapping HRGs to TFCs'!H:H)</f>
        <v>2554963.6208128361</v>
      </c>
      <c r="H74" s="716">
        <f>SUMIF('Mapping HRGs to TFCs'!B:B,A74,'Mapping HRGs to TFCs'!I:I)</f>
        <v>533426.39400717511</v>
      </c>
      <c r="I74" s="716">
        <f>SUMIF('Mapping HRGs to TFCs'!B:B,A74,'Mapping HRGs to TFCs'!J:J)</f>
        <v>0</v>
      </c>
      <c r="J74" s="716">
        <f>SUMIF('Mapping HRGs to TFCs'!B:B,A74,'Mapping HRGs to TFCs'!K:K)</f>
        <v>0</v>
      </c>
      <c r="K74" s="716">
        <f>SUMIF('Mapping HRGs to TFCs'!B:B,A74,'Mapping HRGs to TFCs'!L:L)</f>
        <v>3088390.0148200095</v>
      </c>
    </row>
    <row r="75" spans="1:11">
      <c r="A75" s="710">
        <v>420</v>
      </c>
      <c r="B75" s="716">
        <f>SUMIF('Mapping HRGs to TFCs'!B:B,A75,'Mapping HRGs to TFCs'!C:C)</f>
        <v>5385</v>
      </c>
      <c r="C75" s="716">
        <f>SUMIF('Mapping HRGs to TFCs'!B:B,A75,'Mapping HRGs to TFCs'!D:D)</f>
        <v>1503</v>
      </c>
      <c r="D75" s="716">
        <f>SUMIF('Mapping HRGs to TFCs'!B:B,A75,'Mapping HRGs to TFCs'!E:E)</f>
        <v>0</v>
      </c>
      <c r="E75" s="716">
        <f>SUMIF('Mapping HRGs to TFCs'!B:B,A75,'Mapping HRGs to TFCs'!F:F)</f>
        <v>0</v>
      </c>
      <c r="F75" s="716">
        <f>SUMIF('Mapping HRGs to TFCs'!B:B,A75,'Mapping HRGs to TFCs'!G:G)</f>
        <v>6888</v>
      </c>
      <c r="G75" s="716">
        <f>SUMIF('Mapping HRGs to TFCs'!B:B,A75,'Mapping HRGs to TFCs'!H:H)</f>
        <v>741626.66239403596</v>
      </c>
      <c r="H75" s="716">
        <f>SUMIF('Mapping HRGs to TFCs'!B:B,A75,'Mapping HRGs to TFCs'!I:I)</f>
        <v>215967.98291799231</v>
      </c>
      <c r="I75" s="716">
        <f>SUMIF('Mapping HRGs to TFCs'!B:B,A75,'Mapping HRGs to TFCs'!J:J)</f>
        <v>0</v>
      </c>
      <c r="J75" s="716">
        <f>SUMIF('Mapping HRGs to TFCs'!B:B,A75,'Mapping HRGs to TFCs'!K:K)</f>
        <v>0</v>
      </c>
      <c r="K75" s="716">
        <f>SUMIF('Mapping HRGs to TFCs'!B:B,A75,'Mapping HRGs to TFCs'!L:L)</f>
        <v>957594.64531202789</v>
      </c>
    </row>
    <row r="76" spans="1:11">
      <c r="A76" s="710">
        <v>421</v>
      </c>
      <c r="B76" s="716">
        <f>SUMIF('Mapping HRGs to TFCs'!B:B,A76,'Mapping HRGs to TFCs'!C:C)</f>
        <v>62</v>
      </c>
      <c r="C76" s="716">
        <f>SUMIF('Mapping HRGs to TFCs'!B:B,A76,'Mapping HRGs to TFCs'!D:D)</f>
        <v>65</v>
      </c>
      <c r="D76" s="716">
        <f>SUMIF('Mapping HRGs to TFCs'!B:B,A76,'Mapping HRGs to TFCs'!E:E)</f>
        <v>0</v>
      </c>
      <c r="E76" s="716">
        <f>SUMIF('Mapping HRGs to TFCs'!B:B,A76,'Mapping HRGs to TFCs'!F:F)</f>
        <v>0</v>
      </c>
      <c r="F76" s="716">
        <f>SUMIF('Mapping HRGs to TFCs'!B:B,A76,'Mapping HRGs to TFCs'!G:G)</f>
        <v>127</v>
      </c>
      <c r="G76" s="716">
        <f>SUMIF('Mapping HRGs to TFCs'!B:B,A76,'Mapping HRGs to TFCs'!H:H)</f>
        <v>14654.203653131563</v>
      </c>
      <c r="H76" s="716">
        <f>SUMIF('Mapping HRGs to TFCs'!B:B,A76,'Mapping HRGs to TFCs'!I:I)</f>
        <v>10344.626314468065</v>
      </c>
      <c r="I76" s="716">
        <f>SUMIF('Mapping HRGs to TFCs'!B:B,A76,'Mapping HRGs to TFCs'!J:J)</f>
        <v>0</v>
      </c>
      <c r="J76" s="716">
        <f>SUMIF('Mapping HRGs to TFCs'!B:B,A76,'Mapping HRGs to TFCs'!K:K)</f>
        <v>0</v>
      </c>
      <c r="K76" s="716">
        <f>SUMIF('Mapping HRGs to TFCs'!B:B,A76,'Mapping HRGs to TFCs'!L:L)</f>
        <v>24998.829967599631</v>
      </c>
    </row>
    <row r="77" spans="1:11">
      <c r="A77" s="710">
        <v>430</v>
      </c>
      <c r="B77" s="716">
        <f>SUMIF('Mapping HRGs to TFCs'!B:B,A77,'Mapping HRGs to TFCs'!C:C)</f>
        <v>801</v>
      </c>
      <c r="C77" s="716">
        <f>SUMIF('Mapping HRGs to TFCs'!B:B,A77,'Mapping HRGs to TFCs'!D:D)</f>
        <v>1010</v>
      </c>
      <c r="D77" s="716">
        <f>SUMIF('Mapping HRGs to TFCs'!B:B,A77,'Mapping HRGs to TFCs'!E:E)</f>
        <v>0</v>
      </c>
      <c r="E77" s="716">
        <f>SUMIF('Mapping HRGs to TFCs'!B:B,A77,'Mapping HRGs to TFCs'!F:F)</f>
        <v>0</v>
      </c>
      <c r="F77" s="716">
        <f>SUMIF('Mapping HRGs to TFCs'!B:B,A77,'Mapping HRGs to TFCs'!G:G)</f>
        <v>1811</v>
      </c>
      <c r="G77" s="716">
        <f>SUMIF('Mapping HRGs to TFCs'!B:B,A77,'Mapping HRGs to TFCs'!H:H)</f>
        <v>260820.57310816034</v>
      </c>
      <c r="H77" s="716">
        <f>SUMIF('Mapping HRGs to TFCs'!B:B,A77,'Mapping HRGs to TFCs'!I:I)</f>
        <v>368092.96051142243</v>
      </c>
      <c r="I77" s="716">
        <f>SUMIF('Mapping HRGs to TFCs'!B:B,A77,'Mapping HRGs to TFCs'!J:J)</f>
        <v>0</v>
      </c>
      <c r="J77" s="716">
        <f>SUMIF('Mapping HRGs to TFCs'!B:B,A77,'Mapping HRGs to TFCs'!K:K)</f>
        <v>0</v>
      </c>
      <c r="K77" s="716">
        <f>SUMIF('Mapping HRGs to TFCs'!B:B,A77,'Mapping HRGs to TFCs'!L:L)</f>
        <v>628913.53361958277</v>
      </c>
    </row>
    <row r="78" spans="1:11">
      <c r="A78" s="710">
        <v>460</v>
      </c>
      <c r="B78" s="716">
        <f>SUMIF('Mapping HRGs to TFCs'!B:B,A78,'Mapping HRGs to TFCs'!C:C)</f>
        <v>31</v>
      </c>
      <c r="C78" s="716">
        <f>SUMIF('Mapping HRGs to TFCs'!B:B,A78,'Mapping HRGs to TFCs'!D:D)</f>
        <v>7</v>
      </c>
      <c r="D78" s="716">
        <f>SUMIF('Mapping HRGs to TFCs'!B:B,A78,'Mapping HRGs to TFCs'!E:E)</f>
        <v>0</v>
      </c>
      <c r="E78" s="716">
        <f>SUMIF('Mapping HRGs to TFCs'!B:B,A78,'Mapping HRGs to TFCs'!F:F)</f>
        <v>0</v>
      </c>
      <c r="F78" s="716">
        <f>SUMIF('Mapping HRGs to TFCs'!B:B,A78,'Mapping HRGs to TFCs'!G:G)</f>
        <v>38</v>
      </c>
      <c r="G78" s="716">
        <f>SUMIF('Mapping HRGs to TFCs'!B:B,A78,'Mapping HRGs to TFCs'!H:H)</f>
        <v>6388.066544536724</v>
      </c>
      <c r="H78" s="716">
        <f>SUMIF('Mapping HRGs to TFCs'!B:B,A78,'Mapping HRGs to TFCs'!I:I)</f>
        <v>2963.2511089814402</v>
      </c>
      <c r="I78" s="716">
        <f>SUMIF('Mapping HRGs to TFCs'!B:B,A78,'Mapping HRGs to TFCs'!J:J)</f>
        <v>0</v>
      </c>
      <c r="J78" s="716">
        <f>SUMIF('Mapping HRGs to TFCs'!B:B,A78,'Mapping HRGs to TFCs'!K:K)</f>
        <v>0</v>
      </c>
      <c r="K78" s="716">
        <f>SUMIF('Mapping HRGs to TFCs'!B:B,A78,'Mapping HRGs to TFCs'!L:L)</f>
        <v>9351.3176535181628</v>
      </c>
    </row>
    <row r="79" spans="1:11">
      <c r="A79" s="710">
        <v>501</v>
      </c>
      <c r="B79" s="716">
        <f>SUMIF('Mapping HRGs to TFCs'!B:B,A79,'Mapping HRGs to TFCs'!C:C)</f>
        <v>303375</v>
      </c>
      <c r="C79" s="716">
        <f>SUMIF('Mapping HRGs to TFCs'!B:B,A79,'Mapping HRGs to TFCs'!D:D)</f>
        <v>165135</v>
      </c>
      <c r="D79" s="716">
        <f>SUMIF('Mapping HRGs to TFCs'!B:B,A79,'Mapping HRGs to TFCs'!E:E)</f>
        <v>0</v>
      </c>
      <c r="E79" s="716">
        <f>SUMIF('Mapping HRGs to TFCs'!B:B,A79,'Mapping HRGs to TFCs'!F:F)</f>
        <v>0</v>
      </c>
      <c r="F79" s="716">
        <f>SUMIF('Mapping HRGs to TFCs'!B:B,A79,'Mapping HRGs to TFCs'!G:G)</f>
        <v>468510</v>
      </c>
      <c r="G79" s="716">
        <f>SUMIF('Mapping HRGs to TFCs'!B:B,A79,'Mapping HRGs to TFCs'!H:H)</f>
        <v>34444485.514354758</v>
      </c>
      <c r="H79" s="716">
        <f>SUMIF('Mapping HRGs to TFCs'!B:B,A79,'Mapping HRGs to TFCs'!I:I)</f>
        <v>19941007.287973627</v>
      </c>
      <c r="I79" s="716">
        <f>SUMIF('Mapping HRGs to TFCs'!B:B,A79,'Mapping HRGs to TFCs'!J:J)</f>
        <v>0</v>
      </c>
      <c r="J79" s="716">
        <f>SUMIF('Mapping HRGs to TFCs'!B:B,A79,'Mapping HRGs to TFCs'!K:K)</f>
        <v>0</v>
      </c>
      <c r="K79" s="716">
        <f>SUMIF('Mapping HRGs to TFCs'!B:B,A79,'Mapping HRGs to TFCs'!L:L)</f>
        <v>54385492.802328385</v>
      </c>
    </row>
    <row r="80" spans="1:11">
      <c r="A80" s="710">
        <v>502</v>
      </c>
      <c r="B80" s="716">
        <f>SUMIF('Mapping HRGs to TFCs'!B:B,A80,'Mapping HRGs to TFCs'!C:C)</f>
        <v>40627</v>
      </c>
      <c r="C80" s="716">
        <f>SUMIF('Mapping HRGs to TFCs'!B:B,A80,'Mapping HRGs to TFCs'!D:D)</f>
        <v>76707</v>
      </c>
      <c r="D80" s="716">
        <f>SUMIF('Mapping HRGs to TFCs'!B:B,A80,'Mapping HRGs to TFCs'!E:E)</f>
        <v>0</v>
      </c>
      <c r="E80" s="716">
        <f>SUMIF('Mapping HRGs to TFCs'!B:B,A80,'Mapping HRGs to TFCs'!F:F)</f>
        <v>0</v>
      </c>
      <c r="F80" s="716">
        <f>SUMIF('Mapping HRGs to TFCs'!B:B,A80,'Mapping HRGs to TFCs'!G:G)</f>
        <v>117334</v>
      </c>
      <c r="G80" s="716">
        <f>SUMIF('Mapping HRGs to TFCs'!B:B,A80,'Mapping HRGs to TFCs'!H:H)</f>
        <v>5032395.7267259462</v>
      </c>
      <c r="H80" s="716">
        <f>SUMIF('Mapping HRGs to TFCs'!B:B,A80,'Mapping HRGs to TFCs'!I:I)</f>
        <v>9185805.9087890536</v>
      </c>
      <c r="I80" s="716">
        <f>SUMIF('Mapping HRGs to TFCs'!B:B,A80,'Mapping HRGs to TFCs'!J:J)</f>
        <v>0</v>
      </c>
      <c r="J80" s="716">
        <f>SUMIF('Mapping HRGs to TFCs'!B:B,A80,'Mapping HRGs to TFCs'!K:K)</f>
        <v>0</v>
      </c>
      <c r="K80" s="716">
        <f>SUMIF('Mapping HRGs to TFCs'!B:B,A80,'Mapping HRGs to TFCs'!L:L)</f>
        <v>14218201.635515001</v>
      </c>
    </row>
    <row r="81" spans="1:11">
      <c r="A81" s="710">
        <v>503</v>
      </c>
      <c r="B81" s="716">
        <f>SUMIF('Mapping HRGs to TFCs'!B:B,A81,'Mapping HRGs to TFCs'!C:C)</f>
        <v>172</v>
      </c>
      <c r="C81" s="716">
        <f>SUMIF('Mapping HRGs to TFCs'!B:B,A81,'Mapping HRGs to TFCs'!D:D)</f>
        <v>107</v>
      </c>
      <c r="D81" s="716">
        <f>SUMIF('Mapping HRGs to TFCs'!B:B,A81,'Mapping HRGs to TFCs'!E:E)</f>
        <v>0</v>
      </c>
      <c r="E81" s="716">
        <f>SUMIF('Mapping HRGs to TFCs'!B:B,A81,'Mapping HRGs to TFCs'!F:F)</f>
        <v>0</v>
      </c>
      <c r="F81" s="716">
        <f>SUMIF('Mapping HRGs to TFCs'!B:B,A81,'Mapping HRGs to TFCs'!G:G)</f>
        <v>279</v>
      </c>
      <c r="G81" s="716">
        <f>SUMIF('Mapping HRGs to TFCs'!B:B,A81,'Mapping HRGs to TFCs'!H:H)</f>
        <v>27837.037540421636</v>
      </c>
      <c r="H81" s="716">
        <f>SUMIF('Mapping HRGs to TFCs'!B:B,A81,'Mapping HRGs to TFCs'!I:I)</f>
        <v>17634.604056020678</v>
      </c>
      <c r="I81" s="716">
        <f>SUMIF('Mapping HRGs to TFCs'!B:B,A81,'Mapping HRGs to TFCs'!J:J)</f>
        <v>0</v>
      </c>
      <c r="J81" s="716">
        <f>SUMIF('Mapping HRGs to TFCs'!B:B,A81,'Mapping HRGs to TFCs'!K:K)</f>
        <v>0</v>
      </c>
      <c r="K81" s="716">
        <f>SUMIF('Mapping HRGs to TFCs'!B:B,A81,'Mapping HRGs to TFCs'!L:L)</f>
        <v>45471.641596442299</v>
      </c>
    </row>
    <row r="82" spans="1:11">
      <c r="A82" s="710">
        <v>560</v>
      </c>
      <c r="B82" s="716">
        <f>SUMIF('Mapping HRGs to TFCs'!B:B,A82,'Mapping HRGs to TFCs'!C:C)</f>
        <v>103481</v>
      </c>
      <c r="C82" s="716">
        <f>SUMIF('Mapping HRGs to TFCs'!B:B,A82,'Mapping HRGs to TFCs'!D:D)</f>
        <v>41777</v>
      </c>
      <c r="D82" s="716">
        <f>SUMIF('Mapping HRGs to TFCs'!B:B,A82,'Mapping HRGs to TFCs'!E:E)</f>
        <v>0</v>
      </c>
      <c r="E82" s="716">
        <f>SUMIF('Mapping HRGs to TFCs'!B:B,A82,'Mapping HRGs to TFCs'!F:F)</f>
        <v>0</v>
      </c>
      <c r="F82" s="716">
        <f>SUMIF('Mapping HRGs to TFCs'!B:B,A82,'Mapping HRGs to TFCs'!G:G)</f>
        <v>145258</v>
      </c>
      <c r="G82" s="716">
        <f>SUMIF('Mapping HRGs to TFCs'!B:B,A82,'Mapping HRGs to TFCs'!H:H)</f>
        <v>11348075.944745051</v>
      </c>
      <c r="H82" s="716">
        <f>SUMIF('Mapping HRGs to TFCs'!B:B,A82,'Mapping HRGs to TFCs'!I:I)</f>
        <v>5041460.2064056797</v>
      </c>
      <c r="I82" s="716">
        <f>SUMIF('Mapping HRGs to TFCs'!B:B,A82,'Mapping HRGs to TFCs'!J:J)</f>
        <v>0</v>
      </c>
      <c r="J82" s="716">
        <f>SUMIF('Mapping HRGs to TFCs'!B:B,A82,'Mapping HRGs to TFCs'!K:K)</f>
        <v>0</v>
      </c>
      <c r="K82" s="716">
        <f>SUMIF('Mapping HRGs to TFCs'!B:B,A82,'Mapping HRGs to TFCs'!L:L)</f>
        <v>16389536.151150731</v>
      </c>
    </row>
    <row r="83" spans="1:11">
      <c r="A83" s="710">
        <v>650</v>
      </c>
      <c r="B83" s="716">
        <f>SUMIF('Mapping HRGs to TFCs'!B:B,A83,'Mapping HRGs to TFCs'!C:C)</f>
        <v>1638</v>
      </c>
      <c r="C83" s="716">
        <f>SUMIF('Mapping HRGs to TFCs'!B:B,A83,'Mapping HRGs to TFCs'!D:D)</f>
        <v>119</v>
      </c>
      <c r="D83" s="716">
        <f>SUMIF('Mapping HRGs to TFCs'!B:B,A83,'Mapping HRGs to TFCs'!E:E)</f>
        <v>0</v>
      </c>
      <c r="E83" s="716">
        <f>SUMIF('Mapping HRGs to TFCs'!B:B,A83,'Mapping HRGs to TFCs'!F:F)</f>
        <v>0</v>
      </c>
      <c r="F83" s="716">
        <f>SUMIF('Mapping HRGs to TFCs'!B:B,A83,'Mapping HRGs to TFCs'!G:G)</f>
        <v>1757</v>
      </c>
      <c r="G83" s="716">
        <f>SUMIF('Mapping HRGs to TFCs'!B:B,A83,'Mapping HRGs to TFCs'!H:H)</f>
        <v>181401.55274914848</v>
      </c>
      <c r="H83" s="716">
        <f>SUMIF('Mapping HRGs to TFCs'!B:B,A83,'Mapping HRGs to TFCs'!I:I)</f>
        <v>13889.115451893706</v>
      </c>
      <c r="I83" s="716">
        <f>SUMIF('Mapping HRGs to TFCs'!B:B,A83,'Mapping HRGs to TFCs'!J:J)</f>
        <v>0</v>
      </c>
      <c r="J83" s="716">
        <f>SUMIF('Mapping HRGs to TFCs'!B:B,A83,'Mapping HRGs to TFCs'!K:K)</f>
        <v>0</v>
      </c>
      <c r="K83" s="716">
        <f>SUMIF('Mapping HRGs to TFCs'!B:B,A83,'Mapping HRGs to TFCs'!L:L)</f>
        <v>195290.66820104219</v>
      </c>
    </row>
    <row r="84" spans="1:11">
      <c r="A84" s="710">
        <v>651</v>
      </c>
      <c r="B84" s="716">
        <f>SUMIF('Mapping HRGs to TFCs'!B:B,A84,'Mapping HRGs to TFCs'!C:C)</f>
        <v>277</v>
      </c>
      <c r="C84" s="716">
        <f>SUMIF('Mapping HRGs to TFCs'!B:B,A84,'Mapping HRGs to TFCs'!D:D)</f>
        <v>327</v>
      </c>
      <c r="D84" s="716">
        <f>SUMIF('Mapping HRGs to TFCs'!B:B,A84,'Mapping HRGs to TFCs'!E:E)</f>
        <v>0</v>
      </c>
      <c r="E84" s="716">
        <f>SUMIF('Mapping HRGs to TFCs'!B:B,A84,'Mapping HRGs to TFCs'!F:F)</f>
        <v>0</v>
      </c>
      <c r="F84" s="716">
        <f>SUMIF('Mapping HRGs to TFCs'!B:B,A84,'Mapping HRGs to TFCs'!G:G)</f>
        <v>604</v>
      </c>
      <c r="G84" s="716">
        <f>SUMIF('Mapping HRGs to TFCs'!B:B,A84,'Mapping HRGs to TFCs'!H:H)</f>
        <v>30061.856285368634</v>
      </c>
      <c r="H84" s="716">
        <f>SUMIF('Mapping HRGs to TFCs'!B:B,A84,'Mapping HRGs to TFCs'!I:I)</f>
        <v>33908.564281413273</v>
      </c>
      <c r="I84" s="716">
        <f>SUMIF('Mapping HRGs to TFCs'!B:B,A84,'Mapping HRGs to TFCs'!J:J)</f>
        <v>0</v>
      </c>
      <c r="J84" s="716">
        <f>SUMIF('Mapping HRGs to TFCs'!B:B,A84,'Mapping HRGs to TFCs'!K:K)</f>
        <v>0</v>
      </c>
      <c r="K84" s="716">
        <f>SUMIF('Mapping HRGs to TFCs'!B:B,A84,'Mapping HRGs to TFCs'!L:L)</f>
        <v>63970.420566781911</v>
      </c>
    </row>
    <row r="85" spans="1:11">
      <c r="A85" s="710">
        <v>652</v>
      </c>
      <c r="B85" s="716">
        <f>SUMIF('Mapping HRGs to TFCs'!B:B,A85,'Mapping HRGs to TFCs'!C:C)</f>
        <v>75</v>
      </c>
      <c r="C85" s="716">
        <f>SUMIF('Mapping HRGs to TFCs'!B:B,A85,'Mapping HRGs to TFCs'!D:D)</f>
        <v>6</v>
      </c>
      <c r="D85" s="716">
        <f>SUMIF('Mapping HRGs to TFCs'!B:B,A85,'Mapping HRGs to TFCs'!E:E)</f>
        <v>0</v>
      </c>
      <c r="E85" s="716">
        <f>SUMIF('Mapping HRGs to TFCs'!B:B,A85,'Mapping HRGs to TFCs'!F:F)</f>
        <v>0</v>
      </c>
      <c r="F85" s="716">
        <f>SUMIF('Mapping HRGs to TFCs'!B:B,A85,'Mapping HRGs to TFCs'!G:G)</f>
        <v>81</v>
      </c>
      <c r="G85" s="716">
        <f>SUMIF('Mapping HRGs to TFCs'!B:B,A85,'Mapping HRGs to TFCs'!H:H)</f>
        <v>7517.7393398990707</v>
      </c>
      <c r="H85" s="716">
        <f>SUMIF('Mapping HRGs to TFCs'!B:B,A85,'Mapping HRGs to TFCs'!I:I)</f>
        <v>611.23814534943983</v>
      </c>
      <c r="I85" s="716">
        <f>SUMIF('Mapping HRGs to TFCs'!B:B,A85,'Mapping HRGs to TFCs'!J:J)</f>
        <v>0</v>
      </c>
      <c r="J85" s="716">
        <f>SUMIF('Mapping HRGs to TFCs'!B:B,A85,'Mapping HRGs to TFCs'!K:K)</f>
        <v>0</v>
      </c>
      <c r="K85" s="716">
        <f>SUMIF('Mapping HRGs to TFCs'!B:B,A85,'Mapping HRGs to TFCs'!L:L)</f>
        <v>8128.9774852485107</v>
      </c>
    </row>
    <row r="86" spans="1:11">
      <c r="A86" s="710">
        <v>653</v>
      </c>
      <c r="B86" s="716">
        <f>SUMIF('Mapping HRGs to TFCs'!B:B,A86,'Mapping HRGs to TFCs'!C:C)</f>
        <v>1509</v>
      </c>
      <c r="C86" s="716">
        <f>SUMIF('Mapping HRGs to TFCs'!B:B,A86,'Mapping HRGs to TFCs'!D:D)</f>
        <v>58</v>
      </c>
      <c r="D86" s="716">
        <f>SUMIF('Mapping HRGs to TFCs'!B:B,A86,'Mapping HRGs to TFCs'!E:E)</f>
        <v>0</v>
      </c>
      <c r="E86" s="716">
        <f>SUMIF('Mapping HRGs to TFCs'!B:B,A86,'Mapping HRGs to TFCs'!F:F)</f>
        <v>0</v>
      </c>
      <c r="F86" s="716">
        <f>SUMIF('Mapping HRGs to TFCs'!B:B,A86,'Mapping HRGs to TFCs'!G:G)</f>
        <v>1567</v>
      </c>
      <c r="G86" s="716">
        <f>SUMIF('Mapping HRGs to TFCs'!B:B,A86,'Mapping HRGs to TFCs'!H:H)</f>
        <v>193147.82279453592</v>
      </c>
      <c r="H86" s="716">
        <f>SUMIF('Mapping HRGs to TFCs'!B:B,A86,'Mapping HRGs to TFCs'!I:I)</f>
        <v>9874.2983375949243</v>
      </c>
      <c r="I86" s="716">
        <f>SUMIF('Mapping HRGs to TFCs'!B:B,A86,'Mapping HRGs to TFCs'!J:J)</f>
        <v>0</v>
      </c>
      <c r="J86" s="716">
        <f>SUMIF('Mapping HRGs to TFCs'!B:B,A86,'Mapping HRGs to TFCs'!K:K)</f>
        <v>0</v>
      </c>
      <c r="K86" s="716">
        <f>SUMIF('Mapping HRGs to TFCs'!B:B,A86,'Mapping HRGs to TFCs'!L:L)</f>
        <v>203022.12113213085</v>
      </c>
    </row>
    <row r="87" spans="1:11">
      <c r="A87" s="710">
        <v>654</v>
      </c>
      <c r="B87" s="716">
        <f>SUMIF('Mapping HRGs to TFCs'!B:B,A87,'Mapping HRGs to TFCs'!C:C)</f>
        <v>8</v>
      </c>
      <c r="C87" s="716">
        <f>SUMIF('Mapping HRGs to TFCs'!B:B,A87,'Mapping HRGs to TFCs'!D:D)</f>
        <v>3</v>
      </c>
      <c r="D87" s="716">
        <f>SUMIF('Mapping HRGs to TFCs'!B:B,A87,'Mapping HRGs to TFCs'!E:E)</f>
        <v>0</v>
      </c>
      <c r="E87" s="716">
        <f>SUMIF('Mapping HRGs to TFCs'!B:B,A87,'Mapping HRGs to TFCs'!F:F)</f>
        <v>0</v>
      </c>
      <c r="F87" s="716">
        <f>SUMIF('Mapping HRGs to TFCs'!B:B,A87,'Mapping HRGs to TFCs'!G:G)</f>
        <v>11</v>
      </c>
      <c r="G87" s="716">
        <f>SUMIF('Mapping HRGs to TFCs'!B:B,A87,'Mapping HRGs to TFCs'!H:H)</f>
        <v>850.01230204187061</v>
      </c>
      <c r="H87" s="716">
        <f>SUMIF('Mapping HRGs to TFCs'!B:B,A87,'Mapping HRGs to TFCs'!I:I)</f>
        <v>525.16729502307862</v>
      </c>
      <c r="I87" s="716">
        <f>SUMIF('Mapping HRGs to TFCs'!B:B,A87,'Mapping HRGs to TFCs'!J:J)</f>
        <v>0</v>
      </c>
      <c r="J87" s="716">
        <f>SUMIF('Mapping HRGs to TFCs'!B:B,A87,'Mapping HRGs to TFCs'!K:K)</f>
        <v>0</v>
      </c>
      <c r="K87" s="716">
        <f>SUMIF('Mapping HRGs to TFCs'!B:B,A87,'Mapping HRGs to TFCs'!L:L)</f>
        <v>1375.1795970649491</v>
      </c>
    </row>
    <row r="88" spans="1:11">
      <c r="A88" s="710">
        <v>655</v>
      </c>
      <c r="B88" s="716">
        <f>SUMIF('Mapping HRGs to TFCs'!B:B,A88,'Mapping HRGs to TFCs'!C:C)</f>
        <v>2</v>
      </c>
      <c r="C88" s="716">
        <f>SUMIF('Mapping HRGs to TFCs'!B:B,A88,'Mapping HRGs to TFCs'!D:D)</f>
        <v>1</v>
      </c>
      <c r="D88" s="716">
        <f>SUMIF('Mapping HRGs to TFCs'!B:B,A88,'Mapping HRGs to TFCs'!E:E)</f>
        <v>0</v>
      </c>
      <c r="E88" s="716">
        <f>SUMIF('Mapping HRGs to TFCs'!B:B,A88,'Mapping HRGs to TFCs'!F:F)</f>
        <v>0</v>
      </c>
      <c r="F88" s="716">
        <f>SUMIF('Mapping HRGs to TFCs'!B:B,A88,'Mapping HRGs to TFCs'!G:G)</f>
        <v>3</v>
      </c>
      <c r="G88" s="716">
        <f>SUMIF('Mapping HRGs to TFCs'!B:B,A88,'Mapping HRGs to TFCs'!H:H)</f>
        <v>220.64478027558698</v>
      </c>
      <c r="H88" s="716">
        <f>SUMIF('Mapping HRGs to TFCs'!B:B,A88,'Mapping HRGs to TFCs'!I:I)</f>
        <v>790.49527666032157</v>
      </c>
      <c r="I88" s="716">
        <f>SUMIF('Mapping HRGs to TFCs'!B:B,A88,'Mapping HRGs to TFCs'!J:J)</f>
        <v>0</v>
      </c>
      <c r="J88" s="716">
        <f>SUMIF('Mapping HRGs to TFCs'!B:B,A88,'Mapping HRGs to TFCs'!K:K)</f>
        <v>0</v>
      </c>
      <c r="K88" s="716">
        <f>SUMIF('Mapping HRGs to TFCs'!B:B,A88,'Mapping HRGs to TFCs'!L:L)</f>
        <v>1011.1400569359085</v>
      </c>
    </row>
    <row r="89" spans="1:11">
      <c r="A89" s="710">
        <v>710</v>
      </c>
      <c r="B89" s="716">
        <f>SUMIF('Mapping HRGs to TFCs'!B:B,A89,'Mapping HRGs to TFCs'!C:C)</f>
        <v>4</v>
      </c>
      <c r="C89" s="716">
        <f>SUMIF('Mapping HRGs to TFCs'!B:B,A89,'Mapping HRGs to TFCs'!D:D)</f>
        <v>1</v>
      </c>
      <c r="D89" s="716">
        <f>SUMIF('Mapping HRGs to TFCs'!B:B,A89,'Mapping HRGs to TFCs'!E:E)</f>
        <v>0</v>
      </c>
      <c r="E89" s="716">
        <f>SUMIF('Mapping HRGs to TFCs'!B:B,A89,'Mapping HRGs to TFCs'!F:F)</f>
        <v>0</v>
      </c>
      <c r="F89" s="716">
        <f>SUMIF('Mapping HRGs to TFCs'!B:B,A89,'Mapping HRGs to TFCs'!G:G)</f>
        <v>5</v>
      </c>
      <c r="G89" s="716">
        <f>SUMIF('Mapping HRGs to TFCs'!B:B,A89,'Mapping HRGs to TFCs'!H:H)</f>
        <v>395.13135034718186</v>
      </c>
      <c r="H89" s="716">
        <f>SUMIF('Mapping HRGs to TFCs'!B:B,A89,'Mapping HRGs to TFCs'!I:I)</f>
        <v>98.782837586795466</v>
      </c>
      <c r="I89" s="716">
        <f>SUMIF('Mapping HRGs to TFCs'!B:B,A89,'Mapping HRGs to TFCs'!J:J)</f>
        <v>0</v>
      </c>
      <c r="J89" s="716">
        <f>SUMIF('Mapping HRGs to TFCs'!B:B,A89,'Mapping HRGs to TFCs'!K:K)</f>
        <v>0</v>
      </c>
      <c r="K89" s="716">
        <f>SUMIF('Mapping HRGs to TFCs'!B:B,A89,'Mapping HRGs to TFCs'!L:L)</f>
        <v>493.9141879339773</v>
      </c>
    </row>
    <row r="90" spans="1:11">
      <c r="A90" s="710">
        <v>800</v>
      </c>
      <c r="B90" s="716">
        <f>SUMIF('Mapping HRGs to TFCs'!B:B,A90,'Mapping HRGs to TFCs'!C:C)</f>
        <v>830</v>
      </c>
      <c r="C90" s="716">
        <f>SUMIF('Mapping HRGs to TFCs'!B:B,A90,'Mapping HRGs to TFCs'!D:D)</f>
        <v>243</v>
      </c>
      <c r="D90" s="716">
        <f>SUMIF('Mapping HRGs to TFCs'!B:B,A90,'Mapping HRGs to TFCs'!E:E)</f>
        <v>0</v>
      </c>
      <c r="E90" s="716">
        <f>SUMIF('Mapping HRGs to TFCs'!B:B,A90,'Mapping HRGs to TFCs'!F:F)</f>
        <v>0</v>
      </c>
      <c r="F90" s="716">
        <f>SUMIF('Mapping HRGs to TFCs'!B:B,A90,'Mapping HRGs to TFCs'!G:G)</f>
        <v>1073</v>
      </c>
      <c r="G90" s="716">
        <f>SUMIF('Mapping HRGs to TFCs'!B:B,A90,'Mapping HRGs to TFCs'!H:H)</f>
        <v>97217.264442439773</v>
      </c>
      <c r="H90" s="716">
        <f>SUMIF('Mapping HRGs to TFCs'!B:B,A90,'Mapping HRGs to TFCs'!I:I)</f>
        <v>24215.345436067084</v>
      </c>
      <c r="I90" s="716">
        <f>SUMIF('Mapping HRGs to TFCs'!B:B,A90,'Mapping HRGs to TFCs'!J:J)</f>
        <v>0</v>
      </c>
      <c r="J90" s="716">
        <f>SUMIF('Mapping HRGs to TFCs'!B:B,A90,'Mapping HRGs to TFCs'!K:K)</f>
        <v>0</v>
      </c>
      <c r="K90" s="716">
        <f>SUMIF('Mapping HRGs to TFCs'!B:B,A90,'Mapping HRGs to TFCs'!L:L)</f>
        <v>121432.60987850688</v>
      </c>
    </row>
    <row r="91" spans="1:11">
      <c r="A91" s="710">
        <v>811</v>
      </c>
      <c r="B91" s="716">
        <f>SUMIF('Mapping HRGs to TFCs'!B:B,A91,'Mapping HRGs to TFCs'!C:C)</f>
        <v>800</v>
      </c>
      <c r="C91" s="716">
        <f>SUMIF('Mapping HRGs to TFCs'!B:B,A91,'Mapping HRGs to TFCs'!D:D)</f>
        <v>6529</v>
      </c>
      <c r="D91" s="716">
        <f>SUMIF('Mapping HRGs to TFCs'!B:B,A91,'Mapping HRGs to TFCs'!E:E)</f>
        <v>0</v>
      </c>
      <c r="E91" s="716">
        <f>SUMIF('Mapping HRGs to TFCs'!B:B,A91,'Mapping HRGs to TFCs'!F:F)</f>
        <v>0</v>
      </c>
      <c r="F91" s="716">
        <f>SUMIF('Mapping HRGs to TFCs'!B:B,A91,'Mapping HRGs to TFCs'!G:G)</f>
        <v>7329</v>
      </c>
      <c r="G91" s="716">
        <f>SUMIF('Mapping HRGs to TFCs'!B:B,A91,'Mapping HRGs to TFCs'!H:H)</f>
        <v>225491.6988221526</v>
      </c>
      <c r="H91" s="716">
        <f>SUMIF('Mapping HRGs to TFCs'!B:B,A91,'Mapping HRGs to TFCs'!I:I)</f>
        <v>1068108.4146075526</v>
      </c>
      <c r="I91" s="716">
        <f>SUMIF('Mapping HRGs to TFCs'!B:B,A91,'Mapping HRGs to TFCs'!J:J)</f>
        <v>0</v>
      </c>
      <c r="J91" s="716">
        <f>SUMIF('Mapping HRGs to TFCs'!B:B,A91,'Mapping HRGs to TFCs'!K:K)</f>
        <v>0</v>
      </c>
      <c r="K91" s="716">
        <f>SUMIF('Mapping HRGs to TFCs'!B:B,A91,'Mapping HRGs to TFCs'!L:L)</f>
        <v>1293600.1134297047</v>
      </c>
    </row>
    <row r="92" spans="1:11">
      <c r="A92" s="710">
        <v>812</v>
      </c>
      <c r="B92" s="716">
        <f>SUMIF('Mapping HRGs to TFCs'!B:B,A92,'Mapping HRGs to TFCs'!C:C)</f>
        <v>53034</v>
      </c>
      <c r="C92" s="716">
        <f>SUMIF('Mapping HRGs to TFCs'!B:B,A92,'Mapping HRGs to TFCs'!D:D)</f>
        <v>37411</v>
      </c>
      <c r="D92" s="716">
        <f>SUMIF('Mapping HRGs to TFCs'!B:B,A92,'Mapping HRGs to TFCs'!E:E)</f>
        <v>0</v>
      </c>
      <c r="E92" s="716">
        <f>SUMIF('Mapping HRGs to TFCs'!B:B,A92,'Mapping HRGs to TFCs'!F:F)</f>
        <v>0</v>
      </c>
      <c r="F92" s="716">
        <f>SUMIF('Mapping HRGs to TFCs'!B:B,A92,'Mapping HRGs to TFCs'!G:G)</f>
        <v>90445</v>
      </c>
      <c r="G92" s="716">
        <f>SUMIF('Mapping HRGs to TFCs'!B:B,A92,'Mapping HRGs to TFCs'!H:H)</f>
        <v>6025425.9938283488</v>
      </c>
      <c r="H92" s="716">
        <f>SUMIF('Mapping HRGs to TFCs'!B:B,A92,'Mapping HRGs to TFCs'!I:I)</f>
        <v>4262125.8905470921</v>
      </c>
      <c r="I92" s="716">
        <f>SUMIF('Mapping HRGs to TFCs'!B:B,A92,'Mapping HRGs to TFCs'!J:J)</f>
        <v>0</v>
      </c>
      <c r="J92" s="716">
        <f>SUMIF('Mapping HRGs to TFCs'!B:B,A92,'Mapping HRGs to TFCs'!K:K)</f>
        <v>0</v>
      </c>
      <c r="K92" s="716">
        <f>SUMIF('Mapping HRGs to TFCs'!B:B,A92,'Mapping HRGs to TFCs'!L:L)</f>
        <v>10287551.884375446</v>
      </c>
    </row>
    <row r="93" spans="1:11">
      <c r="A93" s="710">
        <v>822</v>
      </c>
      <c r="B93" s="716">
        <f>SUMIF('Mapping HRGs to TFCs'!B:B,A93,'Mapping HRGs to TFCs'!C:C)</f>
        <v>4</v>
      </c>
      <c r="C93" s="716">
        <f>SUMIF('Mapping HRGs to TFCs'!B:B,A93,'Mapping HRGs to TFCs'!D:D)</f>
        <v>21</v>
      </c>
      <c r="D93" s="716">
        <f>SUMIF('Mapping HRGs to TFCs'!B:B,A93,'Mapping HRGs to TFCs'!E:E)</f>
        <v>0</v>
      </c>
      <c r="E93" s="716">
        <f>SUMIF('Mapping HRGs to TFCs'!B:B,A93,'Mapping HRGs to TFCs'!F:F)</f>
        <v>0</v>
      </c>
      <c r="F93" s="716">
        <f>SUMIF('Mapping HRGs to TFCs'!B:B,A93,'Mapping HRGs to TFCs'!G:G)</f>
        <v>25</v>
      </c>
      <c r="G93" s="716">
        <f>SUMIF('Mapping HRGs to TFCs'!B:B,A93,'Mapping HRGs to TFCs'!H:H)</f>
        <v>1306.2006317039388</v>
      </c>
      <c r="H93" s="716">
        <f>SUMIF('Mapping HRGs to TFCs'!B:B,A93,'Mapping HRGs to TFCs'!I:I)</f>
        <v>3636.1997557207224</v>
      </c>
      <c r="I93" s="716">
        <f>SUMIF('Mapping HRGs to TFCs'!B:B,A93,'Mapping HRGs to TFCs'!J:J)</f>
        <v>0</v>
      </c>
      <c r="J93" s="716">
        <f>SUMIF('Mapping HRGs to TFCs'!B:B,A93,'Mapping HRGs to TFCs'!K:K)</f>
        <v>0</v>
      </c>
      <c r="K93" s="716">
        <f>SUMIF('Mapping HRGs to TFCs'!B:B,A93,'Mapping HRGs to TFCs'!L:L)</f>
        <v>4942.4003874246609</v>
      </c>
    </row>
    <row r="94" spans="1:11">
      <c r="A94" s="710">
        <v>840</v>
      </c>
      <c r="B94" s="716">
        <f>SUMIF('Mapping HRGs to TFCs'!B:B,A94,'Mapping HRGs to TFCs'!C:C)</f>
        <v>9481</v>
      </c>
      <c r="C94" s="716">
        <f>SUMIF('Mapping HRGs to TFCs'!B:B,A94,'Mapping HRGs to TFCs'!D:D)</f>
        <v>2450</v>
      </c>
      <c r="D94" s="716">
        <f>SUMIF('Mapping HRGs to TFCs'!B:B,A94,'Mapping HRGs to TFCs'!E:E)</f>
        <v>0</v>
      </c>
      <c r="E94" s="716">
        <f>SUMIF('Mapping HRGs to TFCs'!B:B,A94,'Mapping HRGs to TFCs'!F:F)</f>
        <v>0</v>
      </c>
      <c r="F94" s="716">
        <f>SUMIF('Mapping HRGs to TFCs'!B:B,A94,'Mapping HRGs to TFCs'!G:G)</f>
        <v>11931</v>
      </c>
      <c r="G94" s="716">
        <f>SUMIF('Mapping HRGs to TFCs'!B:B,A94,'Mapping HRGs to TFCs'!H:H)</f>
        <v>149243.06066165917</v>
      </c>
      <c r="H94" s="716">
        <f>SUMIF('Mapping HRGs to TFCs'!B:B,A94,'Mapping HRGs to TFCs'!I:I)</f>
        <v>66909.575980370981</v>
      </c>
      <c r="I94" s="716">
        <f>SUMIF('Mapping HRGs to TFCs'!B:B,A94,'Mapping HRGs to TFCs'!J:J)</f>
        <v>0</v>
      </c>
      <c r="J94" s="716">
        <f>SUMIF('Mapping HRGs to TFCs'!B:B,A94,'Mapping HRGs to TFCs'!K:K)</f>
        <v>0</v>
      </c>
      <c r="K94" s="716">
        <f>SUMIF('Mapping HRGs to TFCs'!B:B,A94,'Mapping HRGs to TFCs'!L:L)</f>
        <v>216152.63664203015</v>
      </c>
    </row>
    <row r="95" spans="1:11">
      <c r="A95" s="710"/>
      <c r="B95" s="716">
        <f>SUMIF('Mapping HRGs to TFCs'!B:B,A95,'Mapping HRGs to TFCs'!C:C)</f>
        <v>0</v>
      </c>
      <c r="C95" s="716">
        <f>SUMIF('Mapping HRGs to TFCs'!B:B,A95,'Mapping HRGs to TFCs'!D:D)</f>
        <v>0</v>
      </c>
      <c r="D95" s="716">
        <f>SUMIF('Mapping HRGs to TFCs'!B:B,A95,'Mapping HRGs to TFCs'!E:E)</f>
        <v>0</v>
      </c>
      <c r="E95" s="716">
        <f>SUMIF('Mapping HRGs to TFCs'!B:B,A95,'Mapping HRGs to TFCs'!F:F)</f>
        <v>0</v>
      </c>
      <c r="F95" s="716">
        <f>SUMIF('Mapping HRGs to TFCs'!B:B,A95,'Mapping HRGs to TFCs'!G:G)</f>
        <v>0</v>
      </c>
      <c r="G95" s="716">
        <f>SUMIF('Mapping HRGs to TFCs'!B:B,A95,'Mapping HRGs to TFCs'!H:H)</f>
        <v>0</v>
      </c>
      <c r="H95" s="716">
        <f>SUMIF('Mapping HRGs to TFCs'!B:B,A95,'Mapping HRGs to TFCs'!I:I)</f>
        <v>0</v>
      </c>
      <c r="I95" s="716">
        <f>SUMIF('Mapping HRGs to TFCs'!B:B,A95,'Mapping HRGs to TFCs'!J:J)</f>
        <v>0</v>
      </c>
      <c r="J95" s="716">
        <f>SUMIF('Mapping HRGs to TFCs'!B:B,A95,'Mapping HRGs to TFCs'!K:K)</f>
        <v>0</v>
      </c>
      <c r="K95" s="716">
        <f>SUMIF('Mapping HRGs to TFCs'!B:B,A95,'Mapping HRGs to TFCs'!L:L)</f>
        <v>0</v>
      </c>
    </row>
    <row r="96" spans="1:11">
      <c r="A96" s="710"/>
      <c r="B96" s="716">
        <f>SUMIF('Mapping HRGs to TFCs'!B:B,A96,'Mapping HRGs to TFCs'!C:C)</f>
        <v>0</v>
      </c>
      <c r="C96" s="716">
        <f>SUMIF('Mapping HRGs to TFCs'!B:B,A96,'Mapping HRGs to TFCs'!D:D)</f>
        <v>0</v>
      </c>
      <c r="D96" s="716">
        <f>SUMIF('Mapping HRGs to TFCs'!B:B,A96,'Mapping HRGs to TFCs'!E:E)</f>
        <v>0</v>
      </c>
      <c r="E96" s="716">
        <f>SUMIF('Mapping HRGs to TFCs'!B:B,A96,'Mapping HRGs to TFCs'!F:F)</f>
        <v>0</v>
      </c>
      <c r="F96" s="716">
        <f>SUMIF('Mapping HRGs to TFCs'!B:B,A96,'Mapping HRGs to TFCs'!G:G)</f>
        <v>0</v>
      </c>
      <c r="G96" s="716">
        <f>SUMIF('Mapping HRGs to TFCs'!B:B,A96,'Mapping HRGs to TFCs'!H:H)</f>
        <v>0</v>
      </c>
      <c r="H96" s="716">
        <f>SUMIF('Mapping HRGs to TFCs'!B:B,A96,'Mapping HRGs to TFCs'!I:I)</f>
        <v>0</v>
      </c>
      <c r="I96" s="716">
        <f>SUMIF('Mapping HRGs to TFCs'!B:B,A96,'Mapping HRGs to TFCs'!J:J)</f>
        <v>0</v>
      </c>
      <c r="J96" s="716">
        <f>SUMIF('Mapping HRGs to TFCs'!B:B,A96,'Mapping HRGs to TFCs'!K:K)</f>
        <v>0</v>
      </c>
      <c r="K96" s="716">
        <f>SUMIF('Mapping HRGs to TFCs'!B:B,A96,'Mapping HRGs to TFCs'!L:L)</f>
        <v>0</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249977111117893"/>
  </sheetPr>
  <dimension ref="A1:L93"/>
  <sheetViews>
    <sheetView showGridLines="0" workbookViewId="0"/>
  </sheetViews>
  <sheetFormatPr defaultRowHeight="11.25"/>
  <cols>
    <col min="1" max="1" width="7.85546875" style="35" bestFit="1" customWidth="1"/>
    <col min="2" max="2" width="8.140625" style="36" bestFit="1" customWidth="1"/>
    <col min="3" max="3" width="9.85546875" style="36" bestFit="1" customWidth="1"/>
    <col min="4" max="4" width="8.140625" style="36" bestFit="1" customWidth="1"/>
    <col min="5" max="6" width="9.85546875" style="36" bestFit="1" customWidth="1"/>
    <col min="7" max="7" width="10.7109375" style="37" bestFit="1" customWidth="1"/>
    <col min="8" max="8" width="12.85546875" style="37" bestFit="1" customWidth="1"/>
    <col min="9" max="9" width="10.7109375" style="37" bestFit="1" customWidth="1"/>
    <col min="10" max="10" width="12.85546875" style="37" bestFit="1" customWidth="1"/>
    <col min="11" max="11" width="9.140625" style="35"/>
    <col min="12" max="12" width="10.7109375" style="35" bestFit="1" customWidth="1"/>
    <col min="13" max="247" width="9.140625" style="35"/>
    <col min="248" max="248" width="7.85546875" style="35" bestFit="1" customWidth="1"/>
    <col min="249" max="249" width="8.140625" style="35" bestFit="1" customWidth="1"/>
    <col min="250" max="250" width="9.85546875" style="35" bestFit="1" customWidth="1"/>
    <col min="251" max="251" width="8.140625" style="35" bestFit="1" customWidth="1"/>
    <col min="252" max="253" width="9.85546875" style="35" bestFit="1" customWidth="1"/>
    <col min="254" max="254" width="10.7109375" style="35" bestFit="1" customWidth="1"/>
    <col min="255" max="255" width="12.85546875" style="35" bestFit="1" customWidth="1"/>
    <col min="256" max="256" width="10.7109375" style="35" bestFit="1" customWidth="1"/>
    <col min="257" max="257" width="12.85546875" style="35" bestFit="1" customWidth="1"/>
    <col min="258" max="258" width="9.140625" style="35"/>
    <col min="259" max="259" width="10.7109375" style="35" bestFit="1" customWidth="1"/>
    <col min="260" max="503" width="9.140625" style="35"/>
    <col min="504" max="504" width="7.85546875" style="35" bestFit="1" customWidth="1"/>
    <col min="505" max="505" width="8.140625" style="35" bestFit="1" customWidth="1"/>
    <col min="506" max="506" width="9.85546875" style="35" bestFit="1" customWidth="1"/>
    <col min="507" max="507" width="8.140625" style="35" bestFit="1" customWidth="1"/>
    <col min="508" max="509" width="9.85546875" style="35" bestFit="1" customWidth="1"/>
    <col min="510" max="510" width="10.7109375" style="35" bestFit="1" customWidth="1"/>
    <col min="511" max="511" width="12.85546875" style="35" bestFit="1" customWidth="1"/>
    <col min="512" max="512" width="10.7109375" style="35" bestFit="1" customWidth="1"/>
    <col min="513" max="513" width="12.85546875" style="35" bestFit="1" customWidth="1"/>
    <col min="514" max="514" width="9.140625" style="35"/>
    <col min="515" max="515" width="10.7109375" style="35" bestFit="1" customWidth="1"/>
    <col min="516" max="759" width="9.140625" style="35"/>
    <col min="760" max="760" width="7.85546875" style="35" bestFit="1" customWidth="1"/>
    <col min="761" max="761" width="8.140625" style="35" bestFit="1" customWidth="1"/>
    <col min="762" max="762" width="9.85546875" style="35" bestFit="1" customWidth="1"/>
    <col min="763" max="763" width="8.140625" style="35" bestFit="1" customWidth="1"/>
    <col min="764" max="765" width="9.85546875" style="35" bestFit="1" customWidth="1"/>
    <col min="766" max="766" width="10.7109375" style="35" bestFit="1" customWidth="1"/>
    <col min="767" max="767" width="12.85546875" style="35" bestFit="1" customWidth="1"/>
    <col min="768" max="768" width="10.7109375" style="35" bestFit="1" customWidth="1"/>
    <col min="769" max="769" width="12.85546875" style="35" bestFit="1" customWidth="1"/>
    <col min="770" max="770" width="9.140625" style="35"/>
    <col min="771" max="771" width="10.7109375" style="35" bestFit="1" customWidth="1"/>
    <col min="772" max="1015" width="9.140625" style="35"/>
    <col min="1016" max="1016" width="7.85546875" style="35" bestFit="1" customWidth="1"/>
    <col min="1017" max="1017" width="8.140625" style="35" bestFit="1" customWidth="1"/>
    <col min="1018" max="1018" width="9.85546875" style="35" bestFit="1" customWidth="1"/>
    <col min="1019" max="1019" width="8.140625" style="35" bestFit="1" customWidth="1"/>
    <col min="1020" max="1021" width="9.85546875" style="35" bestFit="1" customWidth="1"/>
    <col min="1022" max="1022" width="10.7109375" style="35" bestFit="1" customWidth="1"/>
    <col min="1023" max="1023" width="12.85546875" style="35" bestFit="1" customWidth="1"/>
    <col min="1024" max="1024" width="10.7109375" style="35" bestFit="1" customWidth="1"/>
    <col min="1025" max="1025" width="12.85546875" style="35" bestFit="1" customWidth="1"/>
    <col min="1026" max="1026" width="9.140625" style="35"/>
    <col min="1027" max="1027" width="10.7109375" style="35" bestFit="1" customWidth="1"/>
    <col min="1028" max="1271" width="9.140625" style="35"/>
    <col min="1272" max="1272" width="7.85546875" style="35" bestFit="1" customWidth="1"/>
    <col min="1273" max="1273" width="8.140625" style="35" bestFit="1" customWidth="1"/>
    <col min="1274" max="1274" width="9.85546875" style="35" bestFit="1" customWidth="1"/>
    <col min="1275" max="1275" width="8.140625" style="35" bestFit="1" customWidth="1"/>
    <col min="1276" max="1277" width="9.85546875" style="35" bestFit="1" customWidth="1"/>
    <col min="1278" max="1278" width="10.7109375" style="35" bestFit="1" customWidth="1"/>
    <col min="1279" max="1279" width="12.85546875" style="35" bestFit="1" customWidth="1"/>
    <col min="1280" max="1280" width="10.7109375" style="35" bestFit="1" customWidth="1"/>
    <col min="1281" max="1281" width="12.85546875" style="35" bestFit="1" customWidth="1"/>
    <col min="1282" max="1282" width="9.140625" style="35"/>
    <col min="1283" max="1283" width="10.7109375" style="35" bestFit="1" customWidth="1"/>
    <col min="1284" max="1527" width="9.140625" style="35"/>
    <col min="1528" max="1528" width="7.85546875" style="35" bestFit="1" customWidth="1"/>
    <col min="1529" max="1529" width="8.140625" style="35" bestFit="1" customWidth="1"/>
    <col min="1530" max="1530" width="9.85546875" style="35" bestFit="1" customWidth="1"/>
    <col min="1531" max="1531" width="8.140625" style="35" bestFit="1" customWidth="1"/>
    <col min="1532" max="1533" width="9.85546875" style="35" bestFit="1" customWidth="1"/>
    <col min="1534" max="1534" width="10.7109375" style="35" bestFit="1" customWidth="1"/>
    <col min="1535" max="1535" width="12.85546875" style="35" bestFit="1" customWidth="1"/>
    <col min="1536" max="1536" width="10.7109375" style="35" bestFit="1" customWidth="1"/>
    <col min="1537" max="1537" width="12.85546875" style="35" bestFit="1" customWidth="1"/>
    <col min="1538" max="1538" width="9.140625" style="35"/>
    <col min="1539" max="1539" width="10.7109375" style="35" bestFit="1" customWidth="1"/>
    <col min="1540" max="1783" width="9.140625" style="35"/>
    <col min="1784" max="1784" width="7.85546875" style="35" bestFit="1" customWidth="1"/>
    <col min="1785" max="1785" width="8.140625" style="35" bestFit="1" customWidth="1"/>
    <col min="1786" max="1786" width="9.85546875" style="35" bestFit="1" customWidth="1"/>
    <col min="1787" max="1787" width="8.140625" style="35" bestFit="1" customWidth="1"/>
    <col min="1788" max="1789" width="9.85546875" style="35" bestFit="1" customWidth="1"/>
    <col min="1790" max="1790" width="10.7109375" style="35" bestFit="1" customWidth="1"/>
    <col min="1791" max="1791" width="12.85546875" style="35" bestFit="1" customWidth="1"/>
    <col min="1792" max="1792" width="10.7109375" style="35" bestFit="1" customWidth="1"/>
    <col min="1793" max="1793" width="12.85546875" style="35" bestFit="1" customWidth="1"/>
    <col min="1794" max="1794" width="9.140625" style="35"/>
    <col min="1795" max="1795" width="10.7109375" style="35" bestFit="1" customWidth="1"/>
    <col min="1796" max="2039" width="9.140625" style="35"/>
    <col min="2040" max="2040" width="7.85546875" style="35" bestFit="1" customWidth="1"/>
    <col min="2041" max="2041" width="8.140625" style="35" bestFit="1" customWidth="1"/>
    <col min="2042" max="2042" width="9.85546875" style="35" bestFit="1" customWidth="1"/>
    <col min="2043" max="2043" width="8.140625" style="35" bestFit="1" customWidth="1"/>
    <col min="2044" max="2045" width="9.85546875" style="35" bestFit="1" customWidth="1"/>
    <col min="2046" max="2046" width="10.7109375" style="35" bestFit="1" customWidth="1"/>
    <col min="2047" max="2047" width="12.85546875" style="35" bestFit="1" customWidth="1"/>
    <col min="2048" max="2048" width="10.7109375" style="35" bestFit="1" customWidth="1"/>
    <col min="2049" max="2049" width="12.85546875" style="35" bestFit="1" customWidth="1"/>
    <col min="2050" max="2050" width="9.140625" style="35"/>
    <col min="2051" max="2051" width="10.7109375" style="35" bestFit="1" customWidth="1"/>
    <col min="2052" max="2295" width="9.140625" style="35"/>
    <col min="2296" max="2296" width="7.85546875" style="35" bestFit="1" customWidth="1"/>
    <col min="2297" max="2297" width="8.140625" style="35" bestFit="1" customWidth="1"/>
    <col min="2298" max="2298" width="9.85546875" style="35" bestFit="1" customWidth="1"/>
    <col min="2299" max="2299" width="8.140625" style="35" bestFit="1" customWidth="1"/>
    <col min="2300" max="2301" width="9.85546875" style="35" bestFit="1" customWidth="1"/>
    <col min="2302" max="2302" width="10.7109375" style="35" bestFit="1" customWidth="1"/>
    <col min="2303" max="2303" width="12.85546875" style="35" bestFit="1" customWidth="1"/>
    <col min="2304" max="2304" width="10.7109375" style="35" bestFit="1" customWidth="1"/>
    <col min="2305" max="2305" width="12.85546875" style="35" bestFit="1" customWidth="1"/>
    <col min="2306" max="2306" width="9.140625" style="35"/>
    <col min="2307" max="2307" width="10.7109375" style="35" bestFit="1" customWidth="1"/>
    <col min="2308" max="2551" width="9.140625" style="35"/>
    <col min="2552" max="2552" width="7.85546875" style="35" bestFit="1" customWidth="1"/>
    <col min="2553" max="2553" width="8.140625" style="35" bestFit="1" customWidth="1"/>
    <col min="2554" max="2554" width="9.85546875" style="35" bestFit="1" customWidth="1"/>
    <col min="2555" max="2555" width="8.140625" style="35" bestFit="1" customWidth="1"/>
    <col min="2556" max="2557" width="9.85546875" style="35" bestFit="1" customWidth="1"/>
    <col min="2558" max="2558" width="10.7109375" style="35" bestFit="1" customWidth="1"/>
    <col min="2559" max="2559" width="12.85546875" style="35" bestFit="1" customWidth="1"/>
    <col min="2560" max="2560" width="10.7109375" style="35" bestFit="1" customWidth="1"/>
    <col min="2561" max="2561" width="12.85546875" style="35" bestFit="1" customWidth="1"/>
    <col min="2562" max="2562" width="9.140625" style="35"/>
    <col min="2563" max="2563" width="10.7109375" style="35" bestFit="1" customWidth="1"/>
    <col min="2564" max="2807" width="9.140625" style="35"/>
    <col min="2808" max="2808" width="7.85546875" style="35" bestFit="1" customWidth="1"/>
    <col min="2809" max="2809" width="8.140625" style="35" bestFit="1" customWidth="1"/>
    <col min="2810" max="2810" width="9.85546875" style="35" bestFit="1" customWidth="1"/>
    <col min="2811" max="2811" width="8.140625" style="35" bestFit="1" customWidth="1"/>
    <col min="2812" max="2813" width="9.85546875" style="35" bestFit="1" customWidth="1"/>
    <col min="2814" max="2814" width="10.7109375" style="35" bestFit="1" customWidth="1"/>
    <col min="2815" max="2815" width="12.85546875" style="35" bestFit="1" customWidth="1"/>
    <col min="2816" max="2816" width="10.7109375" style="35" bestFit="1" customWidth="1"/>
    <col min="2817" max="2817" width="12.85546875" style="35" bestFit="1" customWidth="1"/>
    <col min="2818" max="2818" width="9.140625" style="35"/>
    <col min="2819" max="2819" width="10.7109375" style="35" bestFit="1" customWidth="1"/>
    <col min="2820" max="3063" width="9.140625" style="35"/>
    <col min="3064" max="3064" width="7.85546875" style="35" bestFit="1" customWidth="1"/>
    <col min="3065" max="3065" width="8.140625" style="35" bestFit="1" customWidth="1"/>
    <col min="3066" max="3066" width="9.85546875" style="35" bestFit="1" customWidth="1"/>
    <col min="3067" max="3067" width="8.140625" style="35" bestFit="1" customWidth="1"/>
    <col min="3068" max="3069" width="9.85546875" style="35" bestFit="1" customWidth="1"/>
    <col min="3070" max="3070" width="10.7109375" style="35" bestFit="1" customWidth="1"/>
    <col min="3071" max="3071" width="12.85546875" style="35" bestFit="1" customWidth="1"/>
    <col min="3072" max="3072" width="10.7109375" style="35" bestFit="1" customWidth="1"/>
    <col min="3073" max="3073" width="12.85546875" style="35" bestFit="1" customWidth="1"/>
    <col min="3074" max="3074" width="9.140625" style="35"/>
    <col min="3075" max="3075" width="10.7109375" style="35" bestFit="1" customWidth="1"/>
    <col min="3076" max="3319" width="9.140625" style="35"/>
    <col min="3320" max="3320" width="7.85546875" style="35" bestFit="1" customWidth="1"/>
    <col min="3321" max="3321" width="8.140625" style="35" bestFit="1" customWidth="1"/>
    <col min="3322" max="3322" width="9.85546875" style="35" bestFit="1" customWidth="1"/>
    <col min="3323" max="3323" width="8.140625" style="35" bestFit="1" customWidth="1"/>
    <col min="3324" max="3325" width="9.85546875" style="35" bestFit="1" customWidth="1"/>
    <col min="3326" max="3326" width="10.7109375" style="35" bestFit="1" customWidth="1"/>
    <col min="3327" max="3327" width="12.85546875" style="35" bestFit="1" customWidth="1"/>
    <col min="3328" max="3328" width="10.7109375" style="35" bestFit="1" customWidth="1"/>
    <col min="3329" max="3329" width="12.85546875" style="35" bestFit="1" customWidth="1"/>
    <col min="3330" max="3330" width="9.140625" style="35"/>
    <col min="3331" max="3331" width="10.7109375" style="35" bestFit="1" customWidth="1"/>
    <col min="3332" max="3575" width="9.140625" style="35"/>
    <col min="3576" max="3576" width="7.85546875" style="35" bestFit="1" customWidth="1"/>
    <col min="3577" max="3577" width="8.140625" style="35" bestFit="1" customWidth="1"/>
    <col min="3578" max="3578" width="9.85546875" style="35" bestFit="1" customWidth="1"/>
    <col min="3579" max="3579" width="8.140625" style="35" bestFit="1" customWidth="1"/>
    <col min="3580" max="3581" width="9.85546875" style="35" bestFit="1" customWidth="1"/>
    <col min="3582" max="3582" width="10.7109375" style="35" bestFit="1" customWidth="1"/>
    <col min="3583" max="3583" width="12.85546875" style="35" bestFit="1" customWidth="1"/>
    <col min="3584" max="3584" width="10.7109375" style="35" bestFit="1" customWidth="1"/>
    <col min="3585" max="3585" width="12.85546875" style="35" bestFit="1" customWidth="1"/>
    <col min="3586" max="3586" width="9.140625" style="35"/>
    <col min="3587" max="3587" width="10.7109375" style="35" bestFit="1" customWidth="1"/>
    <col min="3588" max="3831" width="9.140625" style="35"/>
    <col min="3832" max="3832" width="7.85546875" style="35" bestFit="1" customWidth="1"/>
    <col min="3833" max="3833" width="8.140625" style="35" bestFit="1" customWidth="1"/>
    <col min="3834" max="3834" width="9.85546875" style="35" bestFit="1" customWidth="1"/>
    <col min="3835" max="3835" width="8.140625" style="35" bestFit="1" customWidth="1"/>
    <col min="3836" max="3837" width="9.85546875" style="35" bestFit="1" customWidth="1"/>
    <col min="3838" max="3838" width="10.7109375" style="35" bestFit="1" customWidth="1"/>
    <col min="3839" max="3839" width="12.85546875" style="35" bestFit="1" customWidth="1"/>
    <col min="3840" max="3840" width="10.7109375" style="35" bestFit="1" customWidth="1"/>
    <col min="3841" max="3841" width="12.85546875" style="35" bestFit="1" customWidth="1"/>
    <col min="3842" max="3842" width="9.140625" style="35"/>
    <col min="3843" max="3843" width="10.7109375" style="35" bestFit="1" customWidth="1"/>
    <col min="3844" max="4087" width="9.140625" style="35"/>
    <col min="4088" max="4088" width="7.85546875" style="35" bestFit="1" customWidth="1"/>
    <col min="4089" max="4089" width="8.140625" style="35" bestFit="1" customWidth="1"/>
    <col min="4090" max="4090" width="9.85546875" style="35" bestFit="1" customWidth="1"/>
    <col min="4091" max="4091" width="8.140625" style="35" bestFit="1" customWidth="1"/>
    <col min="4092" max="4093" width="9.85546875" style="35" bestFit="1" customWidth="1"/>
    <col min="4094" max="4094" width="10.7109375" style="35" bestFit="1" customWidth="1"/>
    <col min="4095" max="4095" width="12.85546875" style="35" bestFit="1" customWidth="1"/>
    <col min="4096" max="4096" width="10.7109375" style="35" bestFit="1" customWidth="1"/>
    <col min="4097" max="4097" width="12.85546875" style="35" bestFit="1" customWidth="1"/>
    <col min="4098" max="4098" width="9.140625" style="35"/>
    <col min="4099" max="4099" width="10.7109375" style="35" bestFit="1" customWidth="1"/>
    <col min="4100" max="4343" width="9.140625" style="35"/>
    <col min="4344" max="4344" width="7.85546875" style="35" bestFit="1" customWidth="1"/>
    <col min="4345" max="4345" width="8.140625" style="35" bestFit="1" customWidth="1"/>
    <col min="4346" max="4346" width="9.85546875" style="35" bestFit="1" customWidth="1"/>
    <col min="4347" max="4347" width="8.140625" style="35" bestFit="1" customWidth="1"/>
    <col min="4348" max="4349" width="9.85546875" style="35" bestFit="1" customWidth="1"/>
    <col min="4350" max="4350" width="10.7109375" style="35" bestFit="1" customWidth="1"/>
    <col min="4351" max="4351" width="12.85546875" style="35" bestFit="1" customWidth="1"/>
    <col min="4352" max="4352" width="10.7109375" style="35" bestFit="1" customWidth="1"/>
    <col min="4353" max="4353" width="12.85546875" style="35" bestFit="1" customWidth="1"/>
    <col min="4354" max="4354" width="9.140625" style="35"/>
    <col min="4355" max="4355" width="10.7109375" style="35" bestFit="1" customWidth="1"/>
    <col min="4356" max="4599" width="9.140625" style="35"/>
    <col min="4600" max="4600" width="7.85546875" style="35" bestFit="1" customWidth="1"/>
    <col min="4601" max="4601" width="8.140625" style="35" bestFit="1" customWidth="1"/>
    <col min="4602" max="4602" width="9.85546875" style="35" bestFit="1" customWidth="1"/>
    <col min="4603" max="4603" width="8.140625" style="35" bestFit="1" customWidth="1"/>
    <col min="4604" max="4605" width="9.85546875" style="35" bestFit="1" customWidth="1"/>
    <col min="4606" max="4606" width="10.7109375" style="35" bestFit="1" customWidth="1"/>
    <col min="4607" max="4607" width="12.85546875" style="35" bestFit="1" customWidth="1"/>
    <col min="4608" max="4608" width="10.7109375" style="35" bestFit="1" customWidth="1"/>
    <col min="4609" max="4609" width="12.85546875" style="35" bestFit="1" customWidth="1"/>
    <col min="4610" max="4610" width="9.140625" style="35"/>
    <col min="4611" max="4611" width="10.7109375" style="35" bestFit="1" customWidth="1"/>
    <col min="4612" max="4855" width="9.140625" style="35"/>
    <col min="4856" max="4856" width="7.85546875" style="35" bestFit="1" customWidth="1"/>
    <col min="4857" max="4857" width="8.140625" style="35" bestFit="1" customWidth="1"/>
    <col min="4858" max="4858" width="9.85546875" style="35" bestFit="1" customWidth="1"/>
    <col min="4859" max="4859" width="8.140625" style="35" bestFit="1" customWidth="1"/>
    <col min="4860" max="4861" width="9.85546875" style="35" bestFit="1" customWidth="1"/>
    <col min="4862" max="4862" width="10.7109375" style="35" bestFit="1" customWidth="1"/>
    <col min="4863" max="4863" width="12.85546875" style="35" bestFit="1" customWidth="1"/>
    <col min="4864" max="4864" width="10.7109375" style="35" bestFit="1" customWidth="1"/>
    <col min="4865" max="4865" width="12.85546875" style="35" bestFit="1" customWidth="1"/>
    <col min="4866" max="4866" width="9.140625" style="35"/>
    <col min="4867" max="4867" width="10.7109375" style="35" bestFit="1" customWidth="1"/>
    <col min="4868" max="5111" width="9.140625" style="35"/>
    <col min="5112" max="5112" width="7.85546875" style="35" bestFit="1" customWidth="1"/>
    <col min="5113" max="5113" width="8.140625" style="35" bestFit="1" customWidth="1"/>
    <col min="5114" max="5114" width="9.85546875" style="35" bestFit="1" customWidth="1"/>
    <col min="5115" max="5115" width="8.140625" style="35" bestFit="1" customWidth="1"/>
    <col min="5116" max="5117" width="9.85546875" style="35" bestFit="1" customWidth="1"/>
    <col min="5118" max="5118" width="10.7109375" style="35" bestFit="1" customWidth="1"/>
    <col min="5119" max="5119" width="12.85546875" style="35" bestFit="1" customWidth="1"/>
    <col min="5120" max="5120" width="10.7109375" style="35" bestFit="1" customWidth="1"/>
    <col min="5121" max="5121" width="12.85546875" style="35" bestFit="1" customWidth="1"/>
    <col min="5122" max="5122" width="9.140625" style="35"/>
    <col min="5123" max="5123" width="10.7109375" style="35" bestFit="1" customWidth="1"/>
    <col min="5124" max="5367" width="9.140625" style="35"/>
    <col min="5368" max="5368" width="7.85546875" style="35" bestFit="1" customWidth="1"/>
    <col min="5369" max="5369" width="8.140625" style="35" bestFit="1" customWidth="1"/>
    <col min="5370" max="5370" width="9.85546875" style="35" bestFit="1" customWidth="1"/>
    <col min="5371" max="5371" width="8.140625" style="35" bestFit="1" customWidth="1"/>
    <col min="5372" max="5373" width="9.85546875" style="35" bestFit="1" customWidth="1"/>
    <col min="5374" max="5374" width="10.7109375" style="35" bestFit="1" customWidth="1"/>
    <col min="5375" max="5375" width="12.85546875" style="35" bestFit="1" customWidth="1"/>
    <col min="5376" max="5376" width="10.7109375" style="35" bestFit="1" customWidth="1"/>
    <col min="5377" max="5377" width="12.85546875" style="35" bestFit="1" customWidth="1"/>
    <col min="5378" max="5378" width="9.140625" style="35"/>
    <col min="5379" max="5379" width="10.7109375" style="35" bestFit="1" customWidth="1"/>
    <col min="5380" max="5623" width="9.140625" style="35"/>
    <col min="5624" max="5624" width="7.85546875" style="35" bestFit="1" customWidth="1"/>
    <col min="5625" max="5625" width="8.140625" style="35" bestFit="1" customWidth="1"/>
    <col min="5626" max="5626" width="9.85546875" style="35" bestFit="1" customWidth="1"/>
    <col min="5627" max="5627" width="8.140625" style="35" bestFit="1" customWidth="1"/>
    <col min="5628" max="5629" width="9.85546875" style="35" bestFit="1" customWidth="1"/>
    <col min="5630" max="5630" width="10.7109375" style="35" bestFit="1" customWidth="1"/>
    <col min="5631" max="5631" width="12.85546875" style="35" bestFit="1" customWidth="1"/>
    <col min="5632" max="5632" width="10.7109375" style="35" bestFit="1" customWidth="1"/>
    <col min="5633" max="5633" width="12.85546875" style="35" bestFit="1" customWidth="1"/>
    <col min="5634" max="5634" width="9.140625" style="35"/>
    <col min="5635" max="5635" width="10.7109375" style="35" bestFit="1" customWidth="1"/>
    <col min="5636" max="5879" width="9.140625" style="35"/>
    <col min="5880" max="5880" width="7.85546875" style="35" bestFit="1" customWidth="1"/>
    <col min="5881" max="5881" width="8.140625" style="35" bestFit="1" customWidth="1"/>
    <col min="5882" max="5882" width="9.85546875" style="35" bestFit="1" customWidth="1"/>
    <col min="5883" max="5883" width="8.140625" style="35" bestFit="1" customWidth="1"/>
    <col min="5884" max="5885" width="9.85546875" style="35" bestFit="1" customWidth="1"/>
    <col min="5886" max="5886" width="10.7109375" style="35" bestFit="1" customWidth="1"/>
    <col min="5887" max="5887" width="12.85546875" style="35" bestFit="1" customWidth="1"/>
    <col min="5888" max="5888" width="10.7109375" style="35" bestFit="1" customWidth="1"/>
    <col min="5889" max="5889" width="12.85546875" style="35" bestFit="1" customWidth="1"/>
    <col min="5890" max="5890" width="9.140625" style="35"/>
    <col min="5891" max="5891" width="10.7109375" style="35" bestFit="1" customWidth="1"/>
    <col min="5892" max="6135" width="9.140625" style="35"/>
    <col min="6136" max="6136" width="7.85546875" style="35" bestFit="1" customWidth="1"/>
    <col min="6137" max="6137" width="8.140625" style="35" bestFit="1" customWidth="1"/>
    <col min="6138" max="6138" width="9.85546875" style="35" bestFit="1" customWidth="1"/>
    <col min="6139" max="6139" width="8.140625" style="35" bestFit="1" customWidth="1"/>
    <col min="6140" max="6141" width="9.85546875" style="35" bestFit="1" customWidth="1"/>
    <col min="6142" max="6142" width="10.7109375" style="35" bestFit="1" customWidth="1"/>
    <col min="6143" max="6143" width="12.85546875" style="35" bestFit="1" customWidth="1"/>
    <col min="6144" max="6144" width="10.7109375" style="35" bestFit="1" customWidth="1"/>
    <col min="6145" max="6145" width="12.85546875" style="35" bestFit="1" customWidth="1"/>
    <col min="6146" max="6146" width="9.140625" style="35"/>
    <col min="6147" max="6147" width="10.7109375" style="35" bestFit="1" customWidth="1"/>
    <col min="6148" max="6391" width="9.140625" style="35"/>
    <col min="6392" max="6392" width="7.85546875" style="35" bestFit="1" customWidth="1"/>
    <col min="6393" max="6393" width="8.140625" style="35" bestFit="1" customWidth="1"/>
    <col min="6394" max="6394" width="9.85546875" style="35" bestFit="1" customWidth="1"/>
    <col min="6395" max="6395" width="8.140625" style="35" bestFit="1" customWidth="1"/>
    <col min="6396" max="6397" width="9.85546875" style="35" bestFit="1" customWidth="1"/>
    <col min="6398" max="6398" width="10.7109375" style="35" bestFit="1" customWidth="1"/>
    <col min="6399" max="6399" width="12.85546875" style="35" bestFit="1" customWidth="1"/>
    <col min="6400" max="6400" width="10.7109375" style="35" bestFit="1" customWidth="1"/>
    <col min="6401" max="6401" width="12.85546875" style="35" bestFit="1" customWidth="1"/>
    <col min="6402" max="6402" width="9.140625" style="35"/>
    <col min="6403" max="6403" width="10.7109375" style="35" bestFit="1" customWidth="1"/>
    <col min="6404" max="6647" width="9.140625" style="35"/>
    <col min="6648" max="6648" width="7.85546875" style="35" bestFit="1" customWidth="1"/>
    <col min="6649" max="6649" width="8.140625" style="35" bestFit="1" customWidth="1"/>
    <col min="6650" max="6650" width="9.85546875" style="35" bestFit="1" customWidth="1"/>
    <col min="6651" max="6651" width="8.140625" style="35" bestFit="1" customWidth="1"/>
    <col min="6652" max="6653" width="9.85546875" style="35" bestFit="1" customWidth="1"/>
    <col min="6654" max="6654" width="10.7109375" style="35" bestFit="1" customWidth="1"/>
    <col min="6655" max="6655" width="12.85546875" style="35" bestFit="1" customWidth="1"/>
    <col min="6656" max="6656" width="10.7109375" style="35" bestFit="1" customWidth="1"/>
    <col min="6657" max="6657" width="12.85546875" style="35" bestFit="1" customWidth="1"/>
    <col min="6658" max="6658" width="9.140625" style="35"/>
    <col min="6659" max="6659" width="10.7109375" style="35" bestFit="1" customWidth="1"/>
    <col min="6660" max="6903" width="9.140625" style="35"/>
    <col min="6904" max="6904" width="7.85546875" style="35" bestFit="1" customWidth="1"/>
    <col min="6905" max="6905" width="8.140625" style="35" bestFit="1" customWidth="1"/>
    <col min="6906" max="6906" width="9.85546875" style="35" bestFit="1" customWidth="1"/>
    <col min="6907" max="6907" width="8.140625" style="35" bestFit="1" customWidth="1"/>
    <col min="6908" max="6909" width="9.85546875" style="35" bestFit="1" customWidth="1"/>
    <col min="6910" max="6910" width="10.7109375" style="35" bestFit="1" customWidth="1"/>
    <col min="6911" max="6911" width="12.85546875" style="35" bestFit="1" customWidth="1"/>
    <col min="6912" max="6912" width="10.7109375" style="35" bestFit="1" customWidth="1"/>
    <col min="6913" max="6913" width="12.85546875" style="35" bestFit="1" customWidth="1"/>
    <col min="6914" max="6914" width="9.140625" style="35"/>
    <col min="6915" max="6915" width="10.7109375" style="35" bestFit="1" customWidth="1"/>
    <col min="6916" max="7159" width="9.140625" style="35"/>
    <col min="7160" max="7160" width="7.85546875" style="35" bestFit="1" customWidth="1"/>
    <col min="7161" max="7161" width="8.140625" style="35" bestFit="1" customWidth="1"/>
    <col min="7162" max="7162" width="9.85546875" style="35" bestFit="1" customWidth="1"/>
    <col min="7163" max="7163" width="8.140625" style="35" bestFit="1" customWidth="1"/>
    <col min="7164" max="7165" width="9.85546875" style="35" bestFit="1" customWidth="1"/>
    <col min="7166" max="7166" width="10.7109375" style="35" bestFit="1" customWidth="1"/>
    <col min="7167" max="7167" width="12.85546875" style="35" bestFit="1" customWidth="1"/>
    <col min="7168" max="7168" width="10.7109375" style="35" bestFit="1" customWidth="1"/>
    <col min="7169" max="7169" width="12.85546875" style="35" bestFit="1" customWidth="1"/>
    <col min="7170" max="7170" width="9.140625" style="35"/>
    <col min="7171" max="7171" width="10.7109375" style="35" bestFit="1" customWidth="1"/>
    <col min="7172" max="7415" width="9.140625" style="35"/>
    <col min="7416" max="7416" width="7.85546875" style="35" bestFit="1" customWidth="1"/>
    <col min="7417" max="7417" width="8.140625" style="35" bestFit="1" customWidth="1"/>
    <col min="7418" max="7418" width="9.85546875" style="35" bestFit="1" customWidth="1"/>
    <col min="7419" max="7419" width="8.140625" style="35" bestFit="1" customWidth="1"/>
    <col min="7420" max="7421" width="9.85546875" style="35" bestFit="1" customWidth="1"/>
    <col min="7422" max="7422" width="10.7109375" style="35" bestFit="1" customWidth="1"/>
    <col min="7423" max="7423" width="12.85546875" style="35" bestFit="1" customWidth="1"/>
    <col min="7424" max="7424" width="10.7109375" style="35" bestFit="1" customWidth="1"/>
    <col min="7425" max="7425" width="12.85546875" style="35" bestFit="1" customWidth="1"/>
    <col min="7426" max="7426" width="9.140625" style="35"/>
    <col min="7427" max="7427" width="10.7109375" style="35" bestFit="1" customWidth="1"/>
    <col min="7428" max="7671" width="9.140625" style="35"/>
    <col min="7672" max="7672" width="7.85546875" style="35" bestFit="1" customWidth="1"/>
    <col min="7673" max="7673" width="8.140625" style="35" bestFit="1" customWidth="1"/>
    <col min="7674" max="7674" width="9.85546875" style="35" bestFit="1" customWidth="1"/>
    <col min="7675" max="7675" width="8.140625" style="35" bestFit="1" customWidth="1"/>
    <col min="7676" max="7677" width="9.85546875" style="35" bestFit="1" customWidth="1"/>
    <col min="7678" max="7678" width="10.7109375" style="35" bestFit="1" customWidth="1"/>
    <col min="7679" max="7679" width="12.85546875" style="35" bestFit="1" customWidth="1"/>
    <col min="7680" max="7680" width="10.7109375" style="35" bestFit="1" customWidth="1"/>
    <col min="7681" max="7681" width="12.85546875" style="35" bestFit="1" customWidth="1"/>
    <col min="7682" max="7682" width="9.140625" style="35"/>
    <col min="7683" max="7683" width="10.7109375" style="35" bestFit="1" customWidth="1"/>
    <col min="7684" max="7927" width="9.140625" style="35"/>
    <col min="7928" max="7928" width="7.85546875" style="35" bestFit="1" customWidth="1"/>
    <col min="7929" max="7929" width="8.140625" style="35" bestFit="1" customWidth="1"/>
    <col min="7930" max="7930" width="9.85546875" style="35" bestFit="1" customWidth="1"/>
    <col min="7931" max="7931" width="8.140625" style="35" bestFit="1" customWidth="1"/>
    <col min="7932" max="7933" width="9.85546875" style="35" bestFit="1" customWidth="1"/>
    <col min="7934" max="7934" width="10.7109375" style="35" bestFit="1" customWidth="1"/>
    <col min="7935" max="7935" width="12.85546875" style="35" bestFit="1" customWidth="1"/>
    <col min="7936" max="7936" width="10.7109375" style="35" bestFit="1" customWidth="1"/>
    <col min="7937" max="7937" width="12.85546875" style="35" bestFit="1" customWidth="1"/>
    <col min="7938" max="7938" width="9.140625" style="35"/>
    <col min="7939" max="7939" width="10.7109375" style="35" bestFit="1" customWidth="1"/>
    <col min="7940" max="8183" width="9.140625" style="35"/>
    <col min="8184" max="8184" width="7.85546875" style="35" bestFit="1" customWidth="1"/>
    <col min="8185" max="8185" width="8.140625" style="35" bestFit="1" customWidth="1"/>
    <col min="8186" max="8186" width="9.85546875" style="35" bestFit="1" customWidth="1"/>
    <col min="8187" max="8187" width="8.140625" style="35" bestFit="1" customWidth="1"/>
    <col min="8188" max="8189" width="9.85546875" style="35" bestFit="1" customWidth="1"/>
    <col min="8190" max="8190" width="10.7109375" style="35" bestFit="1" customWidth="1"/>
    <col min="8191" max="8191" width="12.85546875" style="35" bestFit="1" customWidth="1"/>
    <col min="8192" max="8192" width="10.7109375" style="35" bestFit="1" customWidth="1"/>
    <col min="8193" max="8193" width="12.85546875" style="35" bestFit="1" customWidth="1"/>
    <col min="8194" max="8194" width="9.140625" style="35"/>
    <col min="8195" max="8195" width="10.7109375" style="35" bestFit="1" customWidth="1"/>
    <col min="8196" max="8439" width="9.140625" style="35"/>
    <col min="8440" max="8440" width="7.85546875" style="35" bestFit="1" customWidth="1"/>
    <col min="8441" max="8441" width="8.140625" style="35" bestFit="1" customWidth="1"/>
    <col min="8442" max="8442" width="9.85546875" style="35" bestFit="1" customWidth="1"/>
    <col min="8443" max="8443" width="8.140625" style="35" bestFit="1" customWidth="1"/>
    <col min="8444" max="8445" width="9.85546875" style="35" bestFit="1" customWidth="1"/>
    <col min="8446" max="8446" width="10.7109375" style="35" bestFit="1" customWidth="1"/>
    <col min="8447" max="8447" width="12.85546875" style="35" bestFit="1" customWidth="1"/>
    <col min="8448" max="8448" width="10.7109375" style="35" bestFit="1" customWidth="1"/>
    <col min="8449" max="8449" width="12.85546875" style="35" bestFit="1" customWidth="1"/>
    <col min="8450" max="8450" width="9.140625" style="35"/>
    <col min="8451" max="8451" width="10.7109375" style="35" bestFit="1" customWidth="1"/>
    <col min="8452" max="8695" width="9.140625" style="35"/>
    <col min="8696" max="8696" width="7.85546875" style="35" bestFit="1" customWidth="1"/>
    <col min="8697" max="8697" width="8.140625" style="35" bestFit="1" customWidth="1"/>
    <col min="8698" max="8698" width="9.85546875" style="35" bestFit="1" customWidth="1"/>
    <col min="8699" max="8699" width="8.140625" style="35" bestFit="1" customWidth="1"/>
    <col min="8700" max="8701" width="9.85546875" style="35" bestFit="1" customWidth="1"/>
    <col min="8702" max="8702" width="10.7109375" style="35" bestFit="1" customWidth="1"/>
    <col min="8703" max="8703" width="12.85546875" style="35" bestFit="1" customWidth="1"/>
    <col min="8704" max="8704" width="10.7109375" style="35" bestFit="1" customWidth="1"/>
    <col min="8705" max="8705" width="12.85546875" style="35" bestFit="1" customWidth="1"/>
    <col min="8706" max="8706" width="9.140625" style="35"/>
    <col min="8707" max="8707" width="10.7109375" style="35" bestFit="1" customWidth="1"/>
    <col min="8708" max="8951" width="9.140625" style="35"/>
    <col min="8952" max="8952" width="7.85546875" style="35" bestFit="1" customWidth="1"/>
    <col min="8953" max="8953" width="8.140625" style="35" bestFit="1" customWidth="1"/>
    <col min="8954" max="8954" width="9.85546875" style="35" bestFit="1" customWidth="1"/>
    <col min="8955" max="8955" width="8.140625" style="35" bestFit="1" customWidth="1"/>
    <col min="8956" max="8957" width="9.85546875" style="35" bestFit="1" customWidth="1"/>
    <col min="8958" max="8958" width="10.7109375" style="35" bestFit="1" customWidth="1"/>
    <col min="8959" max="8959" width="12.85546875" style="35" bestFit="1" customWidth="1"/>
    <col min="8960" max="8960" width="10.7109375" style="35" bestFit="1" customWidth="1"/>
    <col min="8961" max="8961" width="12.85546875" style="35" bestFit="1" customWidth="1"/>
    <col min="8962" max="8962" width="9.140625" style="35"/>
    <col min="8963" max="8963" width="10.7109375" style="35" bestFit="1" customWidth="1"/>
    <col min="8964" max="9207" width="9.140625" style="35"/>
    <col min="9208" max="9208" width="7.85546875" style="35" bestFit="1" customWidth="1"/>
    <col min="9209" max="9209" width="8.140625" style="35" bestFit="1" customWidth="1"/>
    <col min="9210" max="9210" width="9.85546875" style="35" bestFit="1" customWidth="1"/>
    <col min="9211" max="9211" width="8.140625" style="35" bestFit="1" customWidth="1"/>
    <col min="9212" max="9213" width="9.85546875" style="35" bestFit="1" customWidth="1"/>
    <col min="9214" max="9214" width="10.7109375" style="35" bestFit="1" customWidth="1"/>
    <col min="9215" max="9215" width="12.85546875" style="35" bestFit="1" customWidth="1"/>
    <col min="9216" max="9216" width="10.7109375" style="35" bestFit="1" customWidth="1"/>
    <col min="9217" max="9217" width="12.85546875" style="35" bestFit="1" customWidth="1"/>
    <col min="9218" max="9218" width="9.140625" style="35"/>
    <col min="9219" max="9219" width="10.7109375" style="35" bestFit="1" customWidth="1"/>
    <col min="9220" max="9463" width="9.140625" style="35"/>
    <col min="9464" max="9464" width="7.85546875" style="35" bestFit="1" customWidth="1"/>
    <col min="9465" max="9465" width="8.140625" style="35" bestFit="1" customWidth="1"/>
    <col min="9466" max="9466" width="9.85546875" style="35" bestFit="1" customWidth="1"/>
    <col min="9467" max="9467" width="8.140625" style="35" bestFit="1" customWidth="1"/>
    <col min="9468" max="9469" width="9.85546875" style="35" bestFit="1" customWidth="1"/>
    <col min="9470" max="9470" width="10.7109375" style="35" bestFit="1" customWidth="1"/>
    <col min="9471" max="9471" width="12.85546875" style="35" bestFit="1" customWidth="1"/>
    <col min="9472" max="9472" width="10.7109375" style="35" bestFit="1" customWidth="1"/>
    <col min="9473" max="9473" width="12.85546875" style="35" bestFit="1" customWidth="1"/>
    <col min="9474" max="9474" width="9.140625" style="35"/>
    <col min="9475" max="9475" width="10.7109375" style="35" bestFit="1" customWidth="1"/>
    <col min="9476" max="9719" width="9.140625" style="35"/>
    <col min="9720" max="9720" width="7.85546875" style="35" bestFit="1" customWidth="1"/>
    <col min="9721" max="9721" width="8.140625" style="35" bestFit="1" customWidth="1"/>
    <col min="9722" max="9722" width="9.85546875" style="35" bestFit="1" customWidth="1"/>
    <col min="9723" max="9723" width="8.140625" style="35" bestFit="1" customWidth="1"/>
    <col min="9724" max="9725" width="9.85546875" style="35" bestFit="1" customWidth="1"/>
    <col min="9726" max="9726" width="10.7109375" style="35" bestFit="1" customWidth="1"/>
    <col min="9727" max="9727" width="12.85546875" style="35" bestFit="1" customWidth="1"/>
    <col min="9728" max="9728" width="10.7109375" style="35" bestFit="1" customWidth="1"/>
    <col min="9729" max="9729" width="12.85546875" style="35" bestFit="1" customWidth="1"/>
    <col min="9730" max="9730" width="9.140625" style="35"/>
    <col min="9731" max="9731" width="10.7109375" style="35" bestFit="1" customWidth="1"/>
    <col min="9732" max="9975" width="9.140625" style="35"/>
    <col min="9976" max="9976" width="7.85546875" style="35" bestFit="1" customWidth="1"/>
    <col min="9977" max="9977" width="8.140625" style="35" bestFit="1" customWidth="1"/>
    <col min="9978" max="9978" width="9.85546875" style="35" bestFit="1" customWidth="1"/>
    <col min="9979" max="9979" width="8.140625" style="35" bestFit="1" customWidth="1"/>
    <col min="9980" max="9981" width="9.85546875" style="35" bestFit="1" customWidth="1"/>
    <col min="9982" max="9982" width="10.7109375" style="35" bestFit="1" customWidth="1"/>
    <col min="9983" max="9983" width="12.85546875" style="35" bestFit="1" customWidth="1"/>
    <col min="9984" max="9984" width="10.7109375" style="35" bestFit="1" customWidth="1"/>
    <col min="9985" max="9985" width="12.85546875" style="35" bestFit="1" customWidth="1"/>
    <col min="9986" max="9986" width="9.140625" style="35"/>
    <col min="9987" max="9987" width="10.7109375" style="35" bestFit="1" customWidth="1"/>
    <col min="9988" max="10231" width="9.140625" style="35"/>
    <col min="10232" max="10232" width="7.85546875" style="35" bestFit="1" customWidth="1"/>
    <col min="10233" max="10233" width="8.140625" style="35" bestFit="1" customWidth="1"/>
    <col min="10234" max="10234" width="9.85546875" style="35" bestFit="1" customWidth="1"/>
    <col min="10235" max="10235" width="8.140625" style="35" bestFit="1" customWidth="1"/>
    <col min="10236" max="10237" width="9.85546875" style="35" bestFit="1" customWidth="1"/>
    <col min="10238" max="10238" width="10.7109375" style="35" bestFit="1" customWidth="1"/>
    <col min="10239" max="10239" width="12.85546875" style="35" bestFit="1" customWidth="1"/>
    <col min="10240" max="10240" width="10.7109375" style="35" bestFit="1" customWidth="1"/>
    <col min="10241" max="10241" width="12.85546875" style="35" bestFit="1" customWidth="1"/>
    <col min="10242" max="10242" width="9.140625" style="35"/>
    <col min="10243" max="10243" width="10.7109375" style="35" bestFit="1" customWidth="1"/>
    <col min="10244" max="10487" width="9.140625" style="35"/>
    <col min="10488" max="10488" width="7.85546875" style="35" bestFit="1" customWidth="1"/>
    <col min="10489" max="10489" width="8.140625" style="35" bestFit="1" customWidth="1"/>
    <col min="10490" max="10490" width="9.85546875" style="35" bestFit="1" customWidth="1"/>
    <col min="10491" max="10491" width="8.140625" style="35" bestFit="1" customWidth="1"/>
    <col min="10492" max="10493" width="9.85546875" style="35" bestFit="1" customWidth="1"/>
    <col min="10494" max="10494" width="10.7109375" style="35" bestFit="1" customWidth="1"/>
    <col min="10495" max="10495" width="12.85546875" style="35" bestFit="1" customWidth="1"/>
    <col min="10496" max="10496" width="10.7109375" style="35" bestFit="1" customWidth="1"/>
    <col min="10497" max="10497" width="12.85546875" style="35" bestFit="1" customWidth="1"/>
    <col min="10498" max="10498" width="9.140625" style="35"/>
    <col min="10499" max="10499" width="10.7109375" style="35" bestFit="1" customWidth="1"/>
    <col min="10500" max="10743" width="9.140625" style="35"/>
    <col min="10744" max="10744" width="7.85546875" style="35" bestFit="1" customWidth="1"/>
    <col min="10745" max="10745" width="8.140625" style="35" bestFit="1" customWidth="1"/>
    <col min="10746" max="10746" width="9.85546875" style="35" bestFit="1" customWidth="1"/>
    <col min="10747" max="10747" width="8.140625" style="35" bestFit="1" customWidth="1"/>
    <col min="10748" max="10749" width="9.85546875" style="35" bestFit="1" customWidth="1"/>
    <col min="10750" max="10750" width="10.7109375" style="35" bestFit="1" customWidth="1"/>
    <col min="10751" max="10751" width="12.85546875" style="35" bestFit="1" customWidth="1"/>
    <col min="10752" max="10752" width="10.7109375" style="35" bestFit="1" customWidth="1"/>
    <col min="10753" max="10753" width="12.85546875" style="35" bestFit="1" customWidth="1"/>
    <col min="10754" max="10754" width="9.140625" style="35"/>
    <col min="10755" max="10755" width="10.7109375" style="35" bestFit="1" customWidth="1"/>
    <col min="10756" max="10999" width="9.140625" style="35"/>
    <col min="11000" max="11000" width="7.85546875" style="35" bestFit="1" customWidth="1"/>
    <col min="11001" max="11001" width="8.140625" style="35" bestFit="1" customWidth="1"/>
    <col min="11002" max="11002" width="9.85546875" style="35" bestFit="1" customWidth="1"/>
    <col min="11003" max="11003" width="8.140625" style="35" bestFit="1" customWidth="1"/>
    <col min="11004" max="11005" width="9.85546875" style="35" bestFit="1" customWidth="1"/>
    <col min="11006" max="11006" width="10.7109375" style="35" bestFit="1" customWidth="1"/>
    <col min="11007" max="11007" width="12.85546875" style="35" bestFit="1" customWidth="1"/>
    <col min="11008" max="11008" width="10.7109375" style="35" bestFit="1" customWidth="1"/>
    <col min="11009" max="11009" width="12.85546875" style="35" bestFit="1" customWidth="1"/>
    <col min="11010" max="11010" width="9.140625" style="35"/>
    <col min="11011" max="11011" width="10.7109375" style="35" bestFit="1" customWidth="1"/>
    <col min="11012" max="11255" width="9.140625" style="35"/>
    <col min="11256" max="11256" width="7.85546875" style="35" bestFit="1" customWidth="1"/>
    <col min="11257" max="11257" width="8.140625" style="35" bestFit="1" customWidth="1"/>
    <col min="11258" max="11258" width="9.85546875" style="35" bestFit="1" customWidth="1"/>
    <col min="11259" max="11259" width="8.140625" style="35" bestFit="1" customWidth="1"/>
    <col min="11260" max="11261" width="9.85546875" style="35" bestFit="1" customWidth="1"/>
    <col min="11262" max="11262" width="10.7109375" style="35" bestFit="1" customWidth="1"/>
    <col min="11263" max="11263" width="12.85546875" style="35" bestFit="1" customWidth="1"/>
    <col min="11264" max="11264" width="10.7109375" style="35" bestFit="1" customWidth="1"/>
    <col min="11265" max="11265" width="12.85546875" style="35" bestFit="1" customWidth="1"/>
    <col min="11266" max="11266" width="9.140625" style="35"/>
    <col min="11267" max="11267" width="10.7109375" style="35" bestFit="1" customWidth="1"/>
    <col min="11268" max="11511" width="9.140625" style="35"/>
    <col min="11512" max="11512" width="7.85546875" style="35" bestFit="1" customWidth="1"/>
    <col min="11513" max="11513" width="8.140625" style="35" bestFit="1" customWidth="1"/>
    <col min="11514" max="11514" width="9.85546875" style="35" bestFit="1" customWidth="1"/>
    <col min="11515" max="11515" width="8.140625" style="35" bestFit="1" customWidth="1"/>
    <col min="11516" max="11517" width="9.85546875" style="35" bestFit="1" customWidth="1"/>
    <col min="11518" max="11518" width="10.7109375" style="35" bestFit="1" customWidth="1"/>
    <col min="11519" max="11519" width="12.85546875" style="35" bestFit="1" customWidth="1"/>
    <col min="11520" max="11520" width="10.7109375" style="35" bestFit="1" customWidth="1"/>
    <col min="11521" max="11521" width="12.85546875" style="35" bestFit="1" customWidth="1"/>
    <col min="11522" max="11522" width="9.140625" style="35"/>
    <col min="11523" max="11523" width="10.7109375" style="35" bestFit="1" customWidth="1"/>
    <col min="11524" max="11767" width="9.140625" style="35"/>
    <col min="11768" max="11768" width="7.85546875" style="35" bestFit="1" customWidth="1"/>
    <col min="11769" max="11769" width="8.140625" style="35" bestFit="1" customWidth="1"/>
    <col min="11770" max="11770" width="9.85546875" style="35" bestFit="1" customWidth="1"/>
    <col min="11771" max="11771" width="8.140625" style="35" bestFit="1" customWidth="1"/>
    <col min="11772" max="11773" width="9.85546875" style="35" bestFit="1" customWidth="1"/>
    <col min="11774" max="11774" width="10.7109375" style="35" bestFit="1" customWidth="1"/>
    <col min="11775" max="11775" width="12.85546875" style="35" bestFit="1" customWidth="1"/>
    <col min="11776" max="11776" width="10.7109375" style="35" bestFit="1" customWidth="1"/>
    <col min="11777" max="11777" width="12.85546875" style="35" bestFit="1" customWidth="1"/>
    <col min="11778" max="11778" width="9.140625" style="35"/>
    <col min="11779" max="11779" width="10.7109375" style="35" bestFit="1" customWidth="1"/>
    <col min="11780" max="12023" width="9.140625" style="35"/>
    <col min="12024" max="12024" width="7.85546875" style="35" bestFit="1" customWidth="1"/>
    <col min="12025" max="12025" width="8.140625" style="35" bestFit="1" customWidth="1"/>
    <col min="12026" max="12026" width="9.85546875" style="35" bestFit="1" customWidth="1"/>
    <col min="12027" max="12027" width="8.140625" style="35" bestFit="1" customWidth="1"/>
    <col min="12028" max="12029" width="9.85546875" style="35" bestFit="1" customWidth="1"/>
    <col min="12030" max="12030" width="10.7109375" style="35" bestFit="1" customWidth="1"/>
    <col min="12031" max="12031" width="12.85546875" style="35" bestFit="1" customWidth="1"/>
    <col min="12032" max="12032" width="10.7109375" style="35" bestFit="1" customWidth="1"/>
    <col min="12033" max="12033" width="12.85546875" style="35" bestFit="1" customWidth="1"/>
    <col min="12034" max="12034" width="9.140625" style="35"/>
    <col min="12035" max="12035" width="10.7109375" style="35" bestFit="1" customWidth="1"/>
    <col min="12036" max="12279" width="9.140625" style="35"/>
    <col min="12280" max="12280" width="7.85546875" style="35" bestFit="1" customWidth="1"/>
    <col min="12281" max="12281" width="8.140625" style="35" bestFit="1" customWidth="1"/>
    <col min="12282" max="12282" width="9.85546875" style="35" bestFit="1" customWidth="1"/>
    <col min="12283" max="12283" width="8.140625" style="35" bestFit="1" customWidth="1"/>
    <col min="12284" max="12285" width="9.85546875" style="35" bestFit="1" customWidth="1"/>
    <col min="12286" max="12286" width="10.7109375" style="35" bestFit="1" customWidth="1"/>
    <col min="12287" max="12287" width="12.85546875" style="35" bestFit="1" customWidth="1"/>
    <col min="12288" max="12288" width="10.7109375" style="35" bestFit="1" customWidth="1"/>
    <col min="12289" max="12289" width="12.85546875" style="35" bestFit="1" customWidth="1"/>
    <col min="12290" max="12290" width="9.140625" style="35"/>
    <col min="12291" max="12291" width="10.7109375" style="35" bestFit="1" customWidth="1"/>
    <col min="12292" max="12535" width="9.140625" style="35"/>
    <col min="12536" max="12536" width="7.85546875" style="35" bestFit="1" customWidth="1"/>
    <col min="12537" max="12537" width="8.140625" style="35" bestFit="1" customWidth="1"/>
    <col min="12538" max="12538" width="9.85546875" style="35" bestFit="1" customWidth="1"/>
    <col min="12539" max="12539" width="8.140625" style="35" bestFit="1" customWidth="1"/>
    <col min="12540" max="12541" width="9.85546875" style="35" bestFit="1" customWidth="1"/>
    <col min="12542" max="12542" width="10.7109375" style="35" bestFit="1" customWidth="1"/>
    <col min="12543" max="12543" width="12.85546875" style="35" bestFit="1" customWidth="1"/>
    <col min="12544" max="12544" width="10.7109375" style="35" bestFit="1" customWidth="1"/>
    <col min="12545" max="12545" width="12.85546875" style="35" bestFit="1" customWidth="1"/>
    <col min="12546" max="12546" width="9.140625" style="35"/>
    <col min="12547" max="12547" width="10.7109375" style="35" bestFit="1" customWidth="1"/>
    <col min="12548" max="12791" width="9.140625" style="35"/>
    <col min="12792" max="12792" width="7.85546875" style="35" bestFit="1" customWidth="1"/>
    <col min="12793" max="12793" width="8.140625" style="35" bestFit="1" customWidth="1"/>
    <col min="12794" max="12794" width="9.85546875" style="35" bestFit="1" customWidth="1"/>
    <col min="12795" max="12795" width="8.140625" style="35" bestFit="1" customWidth="1"/>
    <col min="12796" max="12797" width="9.85546875" style="35" bestFit="1" customWidth="1"/>
    <col min="12798" max="12798" width="10.7109375" style="35" bestFit="1" customWidth="1"/>
    <col min="12799" max="12799" width="12.85546875" style="35" bestFit="1" customWidth="1"/>
    <col min="12800" max="12800" width="10.7109375" style="35" bestFit="1" customWidth="1"/>
    <col min="12801" max="12801" width="12.85546875" style="35" bestFit="1" customWidth="1"/>
    <col min="12802" max="12802" width="9.140625" style="35"/>
    <col min="12803" max="12803" width="10.7109375" style="35" bestFit="1" customWidth="1"/>
    <col min="12804" max="13047" width="9.140625" style="35"/>
    <col min="13048" max="13048" width="7.85546875" style="35" bestFit="1" customWidth="1"/>
    <col min="13049" max="13049" width="8.140625" style="35" bestFit="1" customWidth="1"/>
    <col min="13050" max="13050" width="9.85546875" style="35" bestFit="1" customWidth="1"/>
    <col min="13051" max="13051" width="8.140625" style="35" bestFit="1" customWidth="1"/>
    <col min="13052" max="13053" width="9.85546875" style="35" bestFit="1" customWidth="1"/>
    <col min="13054" max="13054" width="10.7109375" style="35" bestFit="1" customWidth="1"/>
    <col min="13055" max="13055" width="12.85546875" style="35" bestFit="1" customWidth="1"/>
    <col min="13056" max="13056" width="10.7109375" style="35" bestFit="1" customWidth="1"/>
    <col min="13057" max="13057" width="12.85546875" style="35" bestFit="1" customWidth="1"/>
    <col min="13058" max="13058" width="9.140625" style="35"/>
    <col min="13059" max="13059" width="10.7109375" style="35" bestFit="1" customWidth="1"/>
    <col min="13060" max="13303" width="9.140625" style="35"/>
    <col min="13304" max="13304" width="7.85546875" style="35" bestFit="1" customWidth="1"/>
    <col min="13305" max="13305" width="8.140625" style="35" bestFit="1" customWidth="1"/>
    <col min="13306" max="13306" width="9.85546875" style="35" bestFit="1" customWidth="1"/>
    <col min="13307" max="13307" width="8.140625" style="35" bestFit="1" customWidth="1"/>
    <col min="13308" max="13309" width="9.85546875" style="35" bestFit="1" customWidth="1"/>
    <col min="13310" max="13310" width="10.7109375" style="35" bestFit="1" customWidth="1"/>
    <col min="13311" max="13311" width="12.85546875" style="35" bestFit="1" customWidth="1"/>
    <col min="13312" max="13312" width="10.7109375" style="35" bestFit="1" customWidth="1"/>
    <col min="13313" max="13313" width="12.85546875" style="35" bestFit="1" customWidth="1"/>
    <col min="13314" max="13314" width="9.140625" style="35"/>
    <col min="13315" max="13315" width="10.7109375" style="35" bestFit="1" customWidth="1"/>
    <col min="13316" max="13559" width="9.140625" style="35"/>
    <col min="13560" max="13560" width="7.85546875" style="35" bestFit="1" customWidth="1"/>
    <col min="13561" max="13561" width="8.140625" style="35" bestFit="1" customWidth="1"/>
    <col min="13562" max="13562" width="9.85546875" style="35" bestFit="1" customWidth="1"/>
    <col min="13563" max="13563" width="8.140625" style="35" bestFit="1" customWidth="1"/>
    <col min="13564" max="13565" width="9.85546875" style="35" bestFit="1" customWidth="1"/>
    <col min="13566" max="13566" width="10.7109375" style="35" bestFit="1" customWidth="1"/>
    <col min="13567" max="13567" width="12.85546875" style="35" bestFit="1" customWidth="1"/>
    <col min="13568" max="13568" width="10.7109375" style="35" bestFit="1" customWidth="1"/>
    <col min="13569" max="13569" width="12.85546875" style="35" bestFit="1" customWidth="1"/>
    <col min="13570" max="13570" width="9.140625" style="35"/>
    <col min="13571" max="13571" width="10.7109375" style="35" bestFit="1" customWidth="1"/>
    <col min="13572" max="13815" width="9.140625" style="35"/>
    <col min="13816" max="13816" width="7.85546875" style="35" bestFit="1" customWidth="1"/>
    <col min="13817" max="13817" width="8.140625" style="35" bestFit="1" customWidth="1"/>
    <col min="13818" max="13818" width="9.85546875" style="35" bestFit="1" customWidth="1"/>
    <col min="13819" max="13819" width="8.140625" style="35" bestFit="1" customWidth="1"/>
    <col min="13820" max="13821" width="9.85546875" style="35" bestFit="1" customWidth="1"/>
    <col min="13822" max="13822" width="10.7109375" style="35" bestFit="1" customWidth="1"/>
    <col min="13823" max="13823" width="12.85546875" style="35" bestFit="1" customWidth="1"/>
    <col min="13824" max="13824" width="10.7109375" style="35" bestFit="1" customWidth="1"/>
    <col min="13825" max="13825" width="12.85546875" style="35" bestFit="1" customWidth="1"/>
    <col min="13826" max="13826" width="9.140625" style="35"/>
    <col min="13827" max="13827" width="10.7109375" style="35" bestFit="1" customWidth="1"/>
    <col min="13828" max="14071" width="9.140625" style="35"/>
    <col min="14072" max="14072" width="7.85546875" style="35" bestFit="1" customWidth="1"/>
    <col min="14073" max="14073" width="8.140625" style="35" bestFit="1" customWidth="1"/>
    <col min="14074" max="14074" width="9.85546875" style="35" bestFit="1" customWidth="1"/>
    <col min="14075" max="14075" width="8.140625" style="35" bestFit="1" customWidth="1"/>
    <col min="14076" max="14077" width="9.85546875" style="35" bestFit="1" customWidth="1"/>
    <col min="14078" max="14078" width="10.7109375" style="35" bestFit="1" customWidth="1"/>
    <col min="14079" max="14079" width="12.85546875" style="35" bestFit="1" customWidth="1"/>
    <col min="14080" max="14080" width="10.7109375" style="35" bestFit="1" customWidth="1"/>
    <col min="14081" max="14081" width="12.85546875" style="35" bestFit="1" customWidth="1"/>
    <col min="14082" max="14082" width="9.140625" style="35"/>
    <col min="14083" max="14083" width="10.7109375" style="35" bestFit="1" customWidth="1"/>
    <col min="14084" max="14327" width="9.140625" style="35"/>
    <col min="14328" max="14328" width="7.85546875" style="35" bestFit="1" customWidth="1"/>
    <col min="14329" max="14329" width="8.140625" style="35" bestFit="1" customWidth="1"/>
    <col min="14330" max="14330" width="9.85546875" style="35" bestFit="1" customWidth="1"/>
    <col min="14331" max="14331" width="8.140625" style="35" bestFit="1" customWidth="1"/>
    <col min="14332" max="14333" width="9.85546875" style="35" bestFit="1" customWidth="1"/>
    <col min="14334" max="14334" width="10.7109375" style="35" bestFit="1" customWidth="1"/>
    <col min="14335" max="14335" width="12.85546875" style="35" bestFit="1" customWidth="1"/>
    <col min="14336" max="14336" width="10.7109375" style="35" bestFit="1" customWidth="1"/>
    <col min="14337" max="14337" width="12.85546875" style="35" bestFit="1" customWidth="1"/>
    <col min="14338" max="14338" width="9.140625" style="35"/>
    <col min="14339" max="14339" width="10.7109375" style="35" bestFit="1" customWidth="1"/>
    <col min="14340" max="14583" width="9.140625" style="35"/>
    <col min="14584" max="14584" width="7.85546875" style="35" bestFit="1" customWidth="1"/>
    <col min="14585" max="14585" width="8.140625" style="35" bestFit="1" customWidth="1"/>
    <col min="14586" max="14586" width="9.85546875" style="35" bestFit="1" customWidth="1"/>
    <col min="14587" max="14587" width="8.140625" style="35" bestFit="1" customWidth="1"/>
    <col min="14588" max="14589" width="9.85546875" style="35" bestFit="1" customWidth="1"/>
    <col min="14590" max="14590" width="10.7109375" style="35" bestFit="1" customWidth="1"/>
    <col min="14591" max="14591" width="12.85546875" style="35" bestFit="1" customWidth="1"/>
    <col min="14592" max="14592" width="10.7109375" style="35" bestFit="1" customWidth="1"/>
    <col min="14593" max="14593" width="12.85546875" style="35" bestFit="1" customWidth="1"/>
    <col min="14594" max="14594" width="9.140625" style="35"/>
    <col min="14595" max="14595" width="10.7109375" style="35" bestFit="1" customWidth="1"/>
    <col min="14596" max="14839" width="9.140625" style="35"/>
    <col min="14840" max="14840" width="7.85546875" style="35" bestFit="1" customWidth="1"/>
    <col min="14841" max="14841" width="8.140625" style="35" bestFit="1" customWidth="1"/>
    <col min="14842" max="14842" width="9.85546875" style="35" bestFit="1" customWidth="1"/>
    <col min="14843" max="14843" width="8.140625" style="35" bestFit="1" customWidth="1"/>
    <col min="14844" max="14845" width="9.85546875" style="35" bestFit="1" customWidth="1"/>
    <col min="14846" max="14846" width="10.7109375" style="35" bestFit="1" customWidth="1"/>
    <col min="14847" max="14847" width="12.85546875" style="35" bestFit="1" customWidth="1"/>
    <col min="14848" max="14848" width="10.7109375" style="35" bestFit="1" customWidth="1"/>
    <col min="14849" max="14849" width="12.85546875" style="35" bestFit="1" customWidth="1"/>
    <col min="14850" max="14850" width="9.140625" style="35"/>
    <col min="14851" max="14851" width="10.7109375" style="35" bestFit="1" customWidth="1"/>
    <col min="14852" max="15095" width="9.140625" style="35"/>
    <col min="15096" max="15096" width="7.85546875" style="35" bestFit="1" customWidth="1"/>
    <col min="15097" max="15097" width="8.140625" style="35" bestFit="1" customWidth="1"/>
    <col min="15098" max="15098" width="9.85546875" style="35" bestFit="1" customWidth="1"/>
    <col min="15099" max="15099" width="8.140625" style="35" bestFit="1" customWidth="1"/>
    <col min="15100" max="15101" width="9.85546875" style="35" bestFit="1" customWidth="1"/>
    <col min="15102" max="15102" width="10.7109375" style="35" bestFit="1" customWidth="1"/>
    <col min="15103" max="15103" width="12.85546875" style="35" bestFit="1" customWidth="1"/>
    <col min="15104" max="15104" width="10.7109375" style="35" bestFit="1" customWidth="1"/>
    <col min="15105" max="15105" width="12.85546875" style="35" bestFit="1" customWidth="1"/>
    <col min="15106" max="15106" width="9.140625" style="35"/>
    <col min="15107" max="15107" width="10.7109375" style="35" bestFit="1" customWidth="1"/>
    <col min="15108" max="15351" width="9.140625" style="35"/>
    <col min="15352" max="15352" width="7.85546875" style="35" bestFit="1" customWidth="1"/>
    <col min="15353" max="15353" width="8.140625" style="35" bestFit="1" customWidth="1"/>
    <col min="15354" max="15354" width="9.85546875" style="35" bestFit="1" customWidth="1"/>
    <col min="15355" max="15355" width="8.140625" style="35" bestFit="1" customWidth="1"/>
    <col min="15356" max="15357" width="9.85546875" style="35" bestFit="1" customWidth="1"/>
    <col min="15358" max="15358" width="10.7109375" style="35" bestFit="1" customWidth="1"/>
    <col min="15359" max="15359" width="12.85546875" style="35" bestFit="1" customWidth="1"/>
    <col min="15360" max="15360" width="10.7109375" style="35" bestFit="1" customWidth="1"/>
    <col min="15361" max="15361" width="12.85546875" style="35" bestFit="1" customWidth="1"/>
    <col min="15362" max="15362" width="9.140625" style="35"/>
    <col min="15363" max="15363" width="10.7109375" style="35" bestFit="1" customWidth="1"/>
    <col min="15364" max="15607" width="9.140625" style="35"/>
    <col min="15608" max="15608" width="7.85546875" style="35" bestFit="1" customWidth="1"/>
    <col min="15609" max="15609" width="8.140625" style="35" bestFit="1" customWidth="1"/>
    <col min="15610" max="15610" width="9.85546875" style="35" bestFit="1" customWidth="1"/>
    <col min="15611" max="15611" width="8.140625" style="35" bestFit="1" customWidth="1"/>
    <col min="15612" max="15613" width="9.85546875" style="35" bestFit="1" customWidth="1"/>
    <col min="15614" max="15614" width="10.7109375" style="35" bestFit="1" customWidth="1"/>
    <col min="15615" max="15615" width="12.85546875" style="35" bestFit="1" customWidth="1"/>
    <col min="15616" max="15616" width="10.7109375" style="35" bestFit="1" customWidth="1"/>
    <col min="15617" max="15617" width="12.85546875" style="35" bestFit="1" customWidth="1"/>
    <col min="15618" max="15618" width="9.140625" style="35"/>
    <col min="15619" max="15619" width="10.7109375" style="35" bestFit="1" customWidth="1"/>
    <col min="15620" max="15863" width="9.140625" style="35"/>
    <col min="15864" max="15864" width="7.85546875" style="35" bestFit="1" customWidth="1"/>
    <col min="15865" max="15865" width="8.140625" style="35" bestFit="1" customWidth="1"/>
    <col min="15866" max="15866" width="9.85546875" style="35" bestFit="1" customWidth="1"/>
    <col min="15867" max="15867" width="8.140625" style="35" bestFit="1" customWidth="1"/>
    <col min="15868" max="15869" width="9.85546875" style="35" bestFit="1" customWidth="1"/>
    <col min="15870" max="15870" width="10.7109375" style="35" bestFit="1" customWidth="1"/>
    <col min="15871" max="15871" width="12.85546875" style="35" bestFit="1" customWidth="1"/>
    <col min="15872" max="15872" width="10.7109375" style="35" bestFit="1" customWidth="1"/>
    <col min="15873" max="15873" width="12.85546875" style="35" bestFit="1" customWidth="1"/>
    <col min="15874" max="15874" width="9.140625" style="35"/>
    <col min="15875" max="15875" width="10.7109375" style="35" bestFit="1" customWidth="1"/>
    <col min="15876" max="16119" width="9.140625" style="35"/>
    <col min="16120" max="16120" width="7.85546875" style="35" bestFit="1" customWidth="1"/>
    <col min="16121" max="16121" width="8.140625" style="35" bestFit="1" customWidth="1"/>
    <col min="16122" max="16122" width="9.85546875" style="35" bestFit="1" customWidth="1"/>
    <col min="16123" max="16123" width="8.140625" style="35" bestFit="1" customWidth="1"/>
    <col min="16124" max="16125" width="9.85546875" style="35" bestFit="1" customWidth="1"/>
    <col min="16126" max="16126" width="10.7109375" style="35" bestFit="1" customWidth="1"/>
    <col min="16127" max="16127" width="12.85546875" style="35" bestFit="1" customWidth="1"/>
    <col min="16128" max="16128" width="10.7109375" style="35" bestFit="1" customWidth="1"/>
    <col min="16129" max="16129" width="12.85546875" style="35" bestFit="1" customWidth="1"/>
    <col min="16130" max="16130" width="9.140625" style="35"/>
    <col min="16131" max="16131" width="10.7109375" style="35" bestFit="1" customWidth="1"/>
    <col min="16132" max="16384" width="9.140625" style="35"/>
  </cols>
  <sheetData>
    <row r="1" spans="1:12">
      <c r="A1" s="699" t="s">
        <v>974</v>
      </c>
      <c r="B1" s="36">
        <v>5</v>
      </c>
      <c r="C1" s="36">
        <v>3</v>
      </c>
      <c r="D1" s="36">
        <v>4</v>
      </c>
      <c r="E1" s="36">
        <v>2</v>
      </c>
      <c r="F1" s="36">
        <v>6</v>
      </c>
      <c r="G1" s="36">
        <f>B1+5</f>
        <v>10</v>
      </c>
      <c r="H1" s="36">
        <f>C1+5</f>
        <v>8</v>
      </c>
      <c r="I1" s="36">
        <f>D1+5</f>
        <v>9</v>
      </c>
      <c r="J1" s="36">
        <f>E1+5</f>
        <v>7</v>
      </c>
    </row>
    <row r="2" spans="1:12">
      <c r="A2" s="712" t="s">
        <v>0</v>
      </c>
      <c r="B2" s="713" t="s">
        <v>394</v>
      </c>
      <c r="C2" s="713" t="s">
        <v>395</v>
      </c>
      <c r="D2" s="713" t="s">
        <v>396</v>
      </c>
      <c r="E2" s="713" t="s">
        <v>397</v>
      </c>
      <c r="F2" s="713" t="s">
        <v>398</v>
      </c>
      <c r="G2" s="714" t="s">
        <v>399</v>
      </c>
      <c r="H2" s="714" t="s">
        <v>400</v>
      </c>
      <c r="I2" s="714" t="s">
        <v>401</v>
      </c>
      <c r="J2" s="714" t="s">
        <v>402</v>
      </c>
      <c r="K2" s="712" t="s">
        <v>403</v>
      </c>
      <c r="L2" s="712"/>
    </row>
    <row r="3" spans="1:12">
      <c r="A3" s="712">
        <v>100</v>
      </c>
      <c r="B3" s="713">
        <f>VLOOKUP($A3,'HRGs to TFCs 1'!A:K,B$1,0)</f>
        <v>0</v>
      </c>
      <c r="C3" s="713">
        <f>VLOOKUP($A3,'HRGs to TFCs 1'!A:K,C$1,0)</f>
        <v>10550</v>
      </c>
      <c r="D3" s="713">
        <f>VLOOKUP($A3,'HRGs to TFCs 1'!A:K,D$1,0)</f>
        <v>0</v>
      </c>
      <c r="E3" s="713">
        <f>VLOOKUP($A3,'HRGs to TFCs 1'!A:K,E$1,0)</f>
        <v>19493</v>
      </c>
      <c r="F3" s="713">
        <f>VLOOKUP($A3,'HRGs to TFCs 1'!A:K,F$1,0)</f>
        <v>30043</v>
      </c>
      <c r="G3" s="714">
        <f>VLOOKUP($A3,'HRGs to TFCs 1'!A:K,G$1,0)</f>
        <v>0</v>
      </c>
      <c r="H3" s="714">
        <f>VLOOKUP($A3,'HRGs to TFCs 1'!A:K,H$1,0)</f>
        <v>1816742.1990271821</v>
      </c>
      <c r="I3" s="714">
        <f>VLOOKUP($A3,'HRGs to TFCs 1'!A:K,I$1,0)</f>
        <v>0</v>
      </c>
      <c r="J3" s="714">
        <f>VLOOKUP($A3,'HRGs to TFCs 1'!A:K,J$1,0)</f>
        <v>2630055.3437846578</v>
      </c>
      <c r="K3" s="712" t="str">
        <f>IF(ISERROR(VLOOKUP($A3,Mandatory!A:A,1,0)),"No","Yes")</f>
        <v>Yes</v>
      </c>
      <c r="L3" s="715">
        <f>SUM(G3:J3)</f>
        <v>4446797.5428118398</v>
      </c>
    </row>
    <row r="4" spans="1:12">
      <c r="A4" s="712">
        <v>101</v>
      </c>
      <c r="B4" s="713">
        <f>VLOOKUP($A4,'HRGs to TFCs 1'!A:K,B$1,0)</f>
        <v>0</v>
      </c>
      <c r="C4" s="713">
        <f>VLOOKUP($A4,'HRGs to TFCs 1'!A:K,C$1,0)</f>
        <v>2054</v>
      </c>
      <c r="D4" s="713">
        <f>VLOOKUP($A4,'HRGs to TFCs 1'!A:K,D$1,0)</f>
        <v>0</v>
      </c>
      <c r="E4" s="713">
        <f>VLOOKUP($A4,'HRGs to TFCs 1'!A:K,E$1,0)</f>
        <v>8297</v>
      </c>
      <c r="F4" s="713">
        <f>VLOOKUP($A4,'HRGs to TFCs 1'!A:K,F$1,0)</f>
        <v>10351</v>
      </c>
      <c r="G4" s="714">
        <f>VLOOKUP($A4,'HRGs to TFCs 1'!A:K,G$1,0)</f>
        <v>0</v>
      </c>
      <c r="H4" s="714">
        <f>VLOOKUP($A4,'HRGs to TFCs 1'!A:K,H$1,0)</f>
        <v>526843.06895149162</v>
      </c>
      <c r="I4" s="714">
        <f>VLOOKUP($A4,'HRGs to TFCs 1'!A:K,I$1,0)</f>
        <v>0</v>
      </c>
      <c r="J4" s="714">
        <f>VLOOKUP($A4,'HRGs to TFCs 1'!A:K,J$1,0)</f>
        <v>1654547.5232012034</v>
      </c>
      <c r="K4" s="712" t="str">
        <f>IF(ISERROR(VLOOKUP($A4,Mandatory!A:A,1,0)),"No","Yes")</f>
        <v>Yes</v>
      </c>
      <c r="L4" s="715">
        <f t="shared" ref="L4:L67" si="0">SUM(G4:J4)</f>
        <v>2181390.5921526952</v>
      </c>
    </row>
    <row r="5" spans="1:12">
      <c r="A5" s="712">
        <v>102</v>
      </c>
      <c r="B5" s="713">
        <f>VLOOKUP($A5,'HRGs to TFCs 1'!A:K,B$1,0)</f>
        <v>0</v>
      </c>
      <c r="C5" s="713">
        <f>VLOOKUP($A5,'HRGs to TFCs 1'!A:K,C$1,0)</f>
        <v>10</v>
      </c>
      <c r="D5" s="713">
        <f>VLOOKUP($A5,'HRGs to TFCs 1'!A:K,D$1,0)</f>
        <v>0</v>
      </c>
      <c r="E5" s="713">
        <f>VLOOKUP($A5,'HRGs to TFCs 1'!A:K,E$1,0)</f>
        <v>785</v>
      </c>
      <c r="F5" s="713">
        <f>VLOOKUP($A5,'HRGs to TFCs 1'!A:K,F$1,0)</f>
        <v>795</v>
      </c>
      <c r="G5" s="714">
        <f>VLOOKUP($A5,'HRGs to TFCs 1'!A:K,G$1,0)</f>
        <v>0</v>
      </c>
      <c r="H5" s="714">
        <f>VLOOKUP($A5,'HRGs to TFCs 1'!A:K,H$1,0)</f>
        <v>930.88401093556217</v>
      </c>
      <c r="I5" s="714">
        <f>VLOOKUP($A5,'HRGs to TFCs 1'!A:K,I$1,0)</f>
        <v>0</v>
      </c>
      <c r="J5" s="714">
        <f>VLOOKUP($A5,'HRGs to TFCs 1'!A:K,J$1,0)</f>
        <v>60515.15046140171</v>
      </c>
      <c r="K5" s="712" t="str">
        <f>IF(ISERROR(VLOOKUP($A5,Mandatory!A:A,1,0)),"No","Yes")</f>
        <v>No</v>
      </c>
      <c r="L5" s="715">
        <f t="shared" si="0"/>
        <v>61446.034472337269</v>
      </c>
    </row>
    <row r="6" spans="1:12">
      <c r="A6" s="712">
        <v>103</v>
      </c>
      <c r="B6" s="713">
        <f>VLOOKUP($A6,'HRGs to TFCs 1'!A:K,B$1,0)</f>
        <v>0</v>
      </c>
      <c r="C6" s="713">
        <f>VLOOKUP($A6,'HRGs to TFCs 1'!A:K,C$1,0)</f>
        <v>2564</v>
      </c>
      <c r="D6" s="713">
        <f>VLOOKUP($A6,'HRGs to TFCs 1'!A:K,D$1,0)</f>
        <v>0</v>
      </c>
      <c r="E6" s="713">
        <f>VLOOKUP($A6,'HRGs to TFCs 1'!A:K,E$1,0)</f>
        <v>10889</v>
      </c>
      <c r="F6" s="713">
        <f>VLOOKUP($A6,'HRGs to TFCs 1'!A:K,F$1,0)</f>
        <v>13453</v>
      </c>
      <c r="G6" s="714">
        <f>VLOOKUP($A6,'HRGs to TFCs 1'!A:K,G$1,0)</f>
        <v>0</v>
      </c>
      <c r="H6" s="714">
        <f>VLOOKUP($A6,'HRGs to TFCs 1'!A:K,H$1,0)</f>
        <v>450656.97205215821</v>
      </c>
      <c r="I6" s="714">
        <f>VLOOKUP($A6,'HRGs to TFCs 1'!A:K,I$1,0)</f>
        <v>0</v>
      </c>
      <c r="J6" s="714">
        <f>VLOOKUP($A6,'HRGs to TFCs 1'!A:K,J$1,0)</f>
        <v>1440348.9264178127</v>
      </c>
      <c r="K6" s="712" t="str">
        <f>IF(ISERROR(VLOOKUP($A6,Mandatory!A:A,1,0)),"No","Yes")</f>
        <v>Yes</v>
      </c>
      <c r="L6" s="715">
        <f t="shared" si="0"/>
        <v>1891005.898469971</v>
      </c>
    </row>
    <row r="7" spans="1:12">
      <c r="A7" s="712">
        <v>104</v>
      </c>
      <c r="B7" s="713">
        <f>VLOOKUP($A7,'HRGs to TFCs 1'!A:K,B$1,0)</f>
        <v>0</v>
      </c>
      <c r="C7" s="713">
        <f>VLOOKUP($A7,'HRGs to TFCs 1'!A:K,C$1,0)</f>
        <v>5531</v>
      </c>
      <c r="D7" s="713">
        <f>VLOOKUP($A7,'HRGs to TFCs 1'!A:K,D$1,0)</f>
        <v>0</v>
      </c>
      <c r="E7" s="713">
        <f>VLOOKUP($A7,'HRGs to TFCs 1'!A:K,E$1,0)</f>
        <v>4964</v>
      </c>
      <c r="F7" s="713">
        <f>VLOOKUP($A7,'HRGs to TFCs 1'!A:K,F$1,0)</f>
        <v>10495</v>
      </c>
      <c r="G7" s="714">
        <f>VLOOKUP($A7,'HRGs to TFCs 1'!A:K,G$1,0)</f>
        <v>0</v>
      </c>
      <c r="H7" s="714">
        <f>VLOOKUP($A7,'HRGs to TFCs 1'!A:K,H$1,0)</f>
        <v>943116.66103507066</v>
      </c>
      <c r="I7" s="714">
        <f>VLOOKUP($A7,'HRGs to TFCs 1'!A:K,I$1,0)</f>
        <v>0</v>
      </c>
      <c r="J7" s="714">
        <f>VLOOKUP($A7,'HRGs to TFCs 1'!A:K,J$1,0)</f>
        <v>655909.49274827272</v>
      </c>
      <c r="K7" s="712" t="str">
        <f>IF(ISERROR(VLOOKUP($A7,Mandatory!A:A,1,0)),"No","Yes")</f>
        <v>Yes</v>
      </c>
      <c r="L7" s="715">
        <f t="shared" si="0"/>
        <v>1599026.1537833433</v>
      </c>
    </row>
    <row r="8" spans="1:12">
      <c r="A8" s="712">
        <v>105</v>
      </c>
      <c r="B8" s="713">
        <f>VLOOKUP($A8,'HRGs to TFCs 1'!A:K,B$1,0)</f>
        <v>0</v>
      </c>
      <c r="C8" s="713">
        <f>VLOOKUP($A8,'HRGs to TFCs 1'!A:K,C$1,0)</f>
        <v>13</v>
      </c>
      <c r="D8" s="713">
        <f>VLOOKUP($A8,'HRGs to TFCs 1'!A:K,D$1,0)</f>
        <v>0</v>
      </c>
      <c r="E8" s="713">
        <f>VLOOKUP($A8,'HRGs to TFCs 1'!A:K,E$1,0)</f>
        <v>40</v>
      </c>
      <c r="F8" s="713">
        <f>VLOOKUP($A8,'HRGs to TFCs 1'!A:K,F$1,0)</f>
        <v>53</v>
      </c>
      <c r="G8" s="714">
        <f>VLOOKUP($A8,'HRGs to TFCs 1'!A:K,G$1,0)</f>
        <v>0</v>
      </c>
      <c r="H8" s="714">
        <f>VLOOKUP($A8,'HRGs to TFCs 1'!A:K,H$1,0)</f>
        <v>1963.396733143127</v>
      </c>
      <c r="I8" s="714">
        <f>VLOOKUP($A8,'HRGs to TFCs 1'!A:K,I$1,0)</f>
        <v>0</v>
      </c>
      <c r="J8" s="714">
        <f>VLOOKUP($A8,'HRGs to TFCs 1'!A:K,J$1,0)</f>
        <v>7972.9267512141741</v>
      </c>
      <c r="K8" s="712" t="str">
        <f>IF(ISERROR(VLOOKUP($A8,Mandatory!A:A,1,0)),"No","Yes")</f>
        <v>Yes</v>
      </c>
      <c r="L8" s="715">
        <f t="shared" si="0"/>
        <v>9936.3234843573009</v>
      </c>
    </row>
    <row r="9" spans="1:12">
      <c r="A9" s="712">
        <v>106</v>
      </c>
      <c r="B9" s="713">
        <f>VLOOKUP($A9,'HRGs to TFCs 1'!A:K,B$1,0)</f>
        <v>0</v>
      </c>
      <c r="C9" s="713">
        <f>VLOOKUP($A9,'HRGs to TFCs 1'!A:K,C$1,0)</f>
        <v>253</v>
      </c>
      <c r="D9" s="713">
        <f>VLOOKUP($A9,'HRGs to TFCs 1'!A:K,D$1,0)</f>
        <v>0</v>
      </c>
      <c r="E9" s="713">
        <f>VLOOKUP($A9,'HRGs to TFCs 1'!A:K,E$1,0)</f>
        <v>451</v>
      </c>
      <c r="F9" s="713">
        <f>VLOOKUP($A9,'HRGs to TFCs 1'!A:K,F$1,0)</f>
        <v>704</v>
      </c>
      <c r="G9" s="714">
        <f>VLOOKUP($A9,'HRGs to TFCs 1'!A:K,G$1,0)</f>
        <v>0</v>
      </c>
      <c r="H9" s="714">
        <f>VLOOKUP($A9,'HRGs to TFCs 1'!A:K,H$1,0)</f>
        <v>34941.784366622822</v>
      </c>
      <c r="I9" s="714">
        <f>VLOOKUP($A9,'HRGs to TFCs 1'!A:K,I$1,0)</f>
        <v>0</v>
      </c>
      <c r="J9" s="714">
        <f>VLOOKUP($A9,'HRGs to TFCs 1'!A:K,J$1,0)</f>
        <v>58473.607569263841</v>
      </c>
      <c r="K9" s="712" t="str">
        <f>IF(ISERROR(VLOOKUP($A9,Mandatory!A:A,1,0)),"No","Yes")</f>
        <v>Yes</v>
      </c>
      <c r="L9" s="715">
        <f t="shared" si="0"/>
        <v>93415.39193588667</v>
      </c>
    </row>
    <row r="10" spans="1:12">
      <c r="A10" s="712">
        <v>107</v>
      </c>
      <c r="B10" s="713">
        <f>VLOOKUP($A10,'HRGs to TFCs 1'!A:K,B$1,0)</f>
        <v>0</v>
      </c>
      <c r="C10" s="713">
        <f>VLOOKUP($A10,'HRGs to TFCs 1'!A:K,C$1,0)</f>
        <v>3097</v>
      </c>
      <c r="D10" s="713">
        <f>VLOOKUP($A10,'HRGs to TFCs 1'!A:K,D$1,0)</f>
        <v>0</v>
      </c>
      <c r="E10" s="713">
        <f>VLOOKUP($A10,'HRGs to TFCs 1'!A:K,E$1,0)</f>
        <v>8319</v>
      </c>
      <c r="F10" s="713">
        <f>VLOOKUP($A10,'HRGs to TFCs 1'!A:K,F$1,0)</f>
        <v>11416</v>
      </c>
      <c r="G10" s="714">
        <f>VLOOKUP($A10,'HRGs to TFCs 1'!A:K,G$1,0)</f>
        <v>0</v>
      </c>
      <c r="H10" s="714">
        <f>VLOOKUP($A10,'HRGs to TFCs 1'!A:K,H$1,0)</f>
        <v>446669.82295124658</v>
      </c>
      <c r="I10" s="714">
        <f>VLOOKUP($A10,'HRGs to TFCs 1'!A:K,I$1,0)</f>
        <v>0</v>
      </c>
      <c r="J10" s="714">
        <f>VLOOKUP($A10,'HRGs to TFCs 1'!A:K,J$1,0)</f>
        <v>1030533.1196388811</v>
      </c>
      <c r="K10" s="712" t="str">
        <f>IF(ISERROR(VLOOKUP($A10,Mandatory!A:A,1,0)),"No","Yes")</f>
        <v>Yes</v>
      </c>
      <c r="L10" s="715">
        <f t="shared" si="0"/>
        <v>1477202.9425901277</v>
      </c>
    </row>
    <row r="11" spans="1:12">
      <c r="A11" s="712">
        <v>110</v>
      </c>
      <c r="B11" s="713">
        <f>VLOOKUP($A11,'HRGs to TFCs 1'!A:K,B$1,0)</f>
        <v>0</v>
      </c>
      <c r="C11" s="713">
        <f>VLOOKUP($A11,'HRGs to TFCs 1'!A:K,C$1,0)</f>
        <v>33089</v>
      </c>
      <c r="D11" s="713">
        <f>VLOOKUP($A11,'HRGs to TFCs 1'!A:K,D$1,0)</f>
        <v>0</v>
      </c>
      <c r="E11" s="713">
        <f>VLOOKUP($A11,'HRGs to TFCs 1'!A:K,E$1,0)</f>
        <v>91107</v>
      </c>
      <c r="F11" s="713">
        <f>VLOOKUP($A11,'HRGs to TFCs 1'!A:K,F$1,0)</f>
        <v>124196</v>
      </c>
      <c r="G11" s="714">
        <f>VLOOKUP($A11,'HRGs to TFCs 1'!A:K,G$1,0)</f>
        <v>0</v>
      </c>
      <c r="H11" s="714">
        <f>VLOOKUP($A11,'HRGs to TFCs 1'!A:K,H$1,0)</f>
        <v>4851611.5871699601</v>
      </c>
      <c r="I11" s="714">
        <f>VLOOKUP($A11,'HRGs to TFCs 1'!A:K,I$1,0)</f>
        <v>0</v>
      </c>
      <c r="J11" s="714">
        <f>VLOOKUP($A11,'HRGs to TFCs 1'!A:K,J$1,0)</f>
        <v>13173914.533839524</v>
      </c>
      <c r="K11" s="712" t="str">
        <f>IF(ISERROR(VLOOKUP($A11,Mandatory!A:A,1,0)),"No","Yes")</f>
        <v>Yes</v>
      </c>
      <c r="L11" s="715">
        <f t="shared" si="0"/>
        <v>18025526.121009484</v>
      </c>
    </row>
    <row r="12" spans="1:12">
      <c r="A12" s="712">
        <v>120</v>
      </c>
      <c r="B12" s="713">
        <f>VLOOKUP($A12,'HRGs to TFCs 1'!A:K,B$1,0)</f>
        <v>0</v>
      </c>
      <c r="C12" s="713">
        <f>VLOOKUP($A12,'HRGs to TFCs 1'!A:K,C$1,0)</f>
        <v>10764</v>
      </c>
      <c r="D12" s="713">
        <f>VLOOKUP($A12,'HRGs to TFCs 1'!A:K,D$1,0)</f>
        <v>0</v>
      </c>
      <c r="E12" s="713">
        <f>VLOOKUP($A12,'HRGs to TFCs 1'!A:K,E$1,0)</f>
        <v>14440</v>
      </c>
      <c r="F12" s="713">
        <f>VLOOKUP($A12,'HRGs to TFCs 1'!A:K,F$1,0)</f>
        <v>25204</v>
      </c>
      <c r="G12" s="714">
        <f>VLOOKUP($A12,'HRGs to TFCs 1'!A:K,G$1,0)</f>
        <v>0</v>
      </c>
      <c r="H12" s="714">
        <f>VLOOKUP($A12,'HRGs to TFCs 1'!A:K,H$1,0)</f>
        <v>1334973.6101293603</v>
      </c>
      <c r="I12" s="714">
        <f>VLOOKUP($A12,'HRGs to TFCs 1'!A:K,I$1,0)</f>
        <v>0</v>
      </c>
      <c r="J12" s="714">
        <f>VLOOKUP($A12,'HRGs to TFCs 1'!A:K,J$1,0)</f>
        <v>1529724.9519469864</v>
      </c>
      <c r="K12" s="712" t="str">
        <f>IF(ISERROR(VLOOKUP($A12,Mandatory!A:A,1,0)),"No","Yes")</f>
        <v>Yes</v>
      </c>
      <c r="L12" s="715">
        <f t="shared" si="0"/>
        <v>2864698.5620763469</v>
      </c>
    </row>
    <row r="13" spans="1:12">
      <c r="A13" s="712">
        <v>130</v>
      </c>
      <c r="B13" s="713">
        <f>VLOOKUP($A13,'HRGs to TFCs 1'!A:K,B$1,0)</f>
        <v>0</v>
      </c>
      <c r="C13" s="713">
        <f>VLOOKUP($A13,'HRGs to TFCs 1'!A:K,C$1,0)</f>
        <v>2433</v>
      </c>
      <c r="D13" s="713">
        <f>VLOOKUP($A13,'HRGs to TFCs 1'!A:K,D$1,0)</f>
        <v>0</v>
      </c>
      <c r="E13" s="713">
        <f>VLOOKUP($A13,'HRGs to TFCs 1'!A:K,E$1,0)</f>
        <v>7385</v>
      </c>
      <c r="F13" s="713">
        <f>VLOOKUP($A13,'HRGs to TFCs 1'!A:K,F$1,0)</f>
        <v>9818</v>
      </c>
      <c r="G13" s="714">
        <f>VLOOKUP($A13,'HRGs to TFCs 1'!A:K,G$1,0)</f>
        <v>0</v>
      </c>
      <c r="H13" s="714">
        <f>VLOOKUP($A13,'HRGs to TFCs 1'!A:K,H$1,0)</f>
        <v>435819.2601117756</v>
      </c>
      <c r="I13" s="714">
        <f>VLOOKUP($A13,'HRGs to TFCs 1'!A:K,I$1,0)</f>
        <v>0</v>
      </c>
      <c r="J13" s="714">
        <f>VLOOKUP($A13,'HRGs to TFCs 1'!A:K,J$1,0)</f>
        <v>1030580.8289528388</v>
      </c>
      <c r="K13" s="712" t="str">
        <f>IF(ISERROR(VLOOKUP($A13,Mandatory!A:A,1,0)),"No","Yes")</f>
        <v>Yes</v>
      </c>
      <c r="L13" s="715">
        <f t="shared" si="0"/>
        <v>1466400.0890646144</v>
      </c>
    </row>
    <row r="14" spans="1:12">
      <c r="A14" s="712">
        <v>140</v>
      </c>
      <c r="B14" s="713">
        <f>VLOOKUP($A14,'HRGs to TFCs 1'!A:K,B$1,0)</f>
        <v>0</v>
      </c>
      <c r="C14" s="713">
        <f>VLOOKUP($A14,'HRGs to TFCs 1'!A:K,C$1,0)</f>
        <v>2502</v>
      </c>
      <c r="D14" s="713">
        <f>VLOOKUP($A14,'HRGs to TFCs 1'!A:K,D$1,0)</f>
        <v>0</v>
      </c>
      <c r="E14" s="713">
        <f>VLOOKUP($A14,'HRGs to TFCs 1'!A:K,E$1,0)</f>
        <v>8124</v>
      </c>
      <c r="F14" s="713">
        <f>VLOOKUP($A14,'HRGs to TFCs 1'!A:K,F$1,0)</f>
        <v>10626</v>
      </c>
      <c r="G14" s="714">
        <f>VLOOKUP($A14,'HRGs to TFCs 1'!A:K,G$1,0)</f>
        <v>0</v>
      </c>
      <c r="H14" s="714">
        <f>VLOOKUP($A14,'HRGs to TFCs 1'!A:K,H$1,0)</f>
        <v>330583.20126130024</v>
      </c>
      <c r="I14" s="714">
        <f>VLOOKUP($A14,'HRGs to TFCs 1'!A:K,I$1,0)</f>
        <v>0</v>
      </c>
      <c r="J14" s="714">
        <f>VLOOKUP($A14,'HRGs to TFCs 1'!A:K,J$1,0)</f>
        <v>969172.96076504188</v>
      </c>
      <c r="K14" s="712" t="str">
        <f>IF(ISERROR(VLOOKUP($A14,Mandatory!A:A,1,0)),"No","Yes")</f>
        <v>Yes</v>
      </c>
      <c r="L14" s="715">
        <f t="shared" si="0"/>
        <v>1299756.162026342</v>
      </c>
    </row>
    <row r="15" spans="1:12">
      <c r="A15" s="712">
        <v>141</v>
      </c>
      <c r="B15" s="713">
        <f>VLOOKUP($A15,'HRGs to TFCs 1'!A:K,B$1,0)</f>
        <v>0</v>
      </c>
      <c r="C15" s="713">
        <f>VLOOKUP($A15,'HRGs to TFCs 1'!A:K,C$1,0)</f>
        <v>65</v>
      </c>
      <c r="D15" s="713">
        <f>VLOOKUP($A15,'HRGs to TFCs 1'!A:K,D$1,0)</f>
        <v>0</v>
      </c>
      <c r="E15" s="713">
        <f>VLOOKUP($A15,'HRGs to TFCs 1'!A:K,E$1,0)</f>
        <v>795</v>
      </c>
      <c r="F15" s="713">
        <f>VLOOKUP($A15,'HRGs to TFCs 1'!A:K,F$1,0)</f>
        <v>860</v>
      </c>
      <c r="G15" s="714">
        <f>VLOOKUP($A15,'HRGs to TFCs 1'!A:K,G$1,0)</f>
        <v>0</v>
      </c>
      <c r="H15" s="714">
        <f>VLOOKUP($A15,'HRGs to TFCs 1'!A:K,H$1,0)</f>
        <v>7853.2815360719851</v>
      </c>
      <c r="I15" s="714">
        <f>VLOOKUP($A15,'HRGs to TFCs 1'!A:K,I$1,0)</f>
        <v>0</v>
      </c>
      <c r="J15" s="714">
        <f>VLOOKUP($A15,'HRGs to TFCs 1'!A:K,J$1,0)</f>
        <v>88367.876395867192</v>
      </c>
      <c r="K15" s="712" t="str">
        <f>IF(ISERROR(VLOOKUP($A15,Mandatory!A:A,1,0)),"No","Yes")</f>
        <v>No</v>
      </c>
      <c r="L15" s="715">
        <f t="shared" si="0"/>
        <v>96221.157931939175</v>
      </c>
    </row>
    <row r="16" spans="1:12">
      <c r="A16" s="712">
        <v>142</v>
      </c>
      <c r="B16" s="713">
        <f>VLOOKUP($A16,'HRGs to TFCs 1'!A:K,B$1,0)</f>
        <v>0</v>
      </c>
      <c r="C16" s="713">
        <f>VLOOKUP($A16,'HRGs to TFCs 1'!A:K,C$1,0)</f>
        <v>368</v>
      </c>
      <c r="D16" s="713">
        <f>VLOOKUP($A16,'HRGs to TFCs 1'!A:K,D$1,0)</f>
        <v>0</v>
      </c>
      <c r="E16" s="713">
        <f>VLOOKUP($A16,'HRGs to TFCs 1'!A:K,E$1,0)</f>
        <v>3953</v>
      </c>
      <c r="F16" s="713">
        <f>VLOOKUP($A16,'HRGs to TFCs 1'!A:K,F$1,0)</f>
        <v>4321</v>
      </c>
      <c r="G16" s="714">
        <f>VLOOKUP($A16,'HRGs to TFCs 1'!A:K,G$1,0)</f>
        <v>0</v>
      </c>
      <c r="H16" s="714">
        <f>VLOOKUP($A16,'HRGs to TFCs 1'!A:K,H$1,0)</f>
        <v>37155.314162416376</v>
      </c>
      <c r="I16" s="714">
        <f>VLOOKUP($A16,'HRGs to TFCs 1'!A:K,I$1,0)</f>
        <v>0</v>
      </c>
      <c r="J16" s="714">
        <f>VLOOKUP($A16,'HRGs to TFCs 1'!A:K,J$1,0)</f>
        <v>406131.06435734301</v>
      </c>
      <c r="K16" s="712" t="str">
        <f>IF(ISERROR(VLOOKUP($A16,Mandatory!A:A,1,0)),"No","Yes")</f>
        <v>No</v>
      </c>
      <c r="L16" s="715">
        <f t="shared" si="0"/>
        <v>443286.3785197594</v>
      </c>
    </row>
    <row r="17" spans="1:12">
      <c r="A17" s="712">
        <v>143</v>
      </c>
      <c r="B17" s="713">
        <f>VLOOKUP($A17,'HRGs to TFCs 1'!A:K,B$1,0)</f>
        <v>0</v>
      </c>
      <c r="C17" s="713">
        <f>VLOOKUP($A17,'HRGs to TFCs 1'!A:K,C$1,0)</f>
        <v>31</v>
      </c>
      <c r="D17" s="713">
        <f>VLOOKUP($A17,'HRGs to TFCs 1'!A:K,D$1,0)</f>
        <v>0</v>
      </c>
      <c r="E17" s="713">
        <f>VLOOKUP($A17,'HRGs to TFCs 1'!A:K,E$1,0)</f>
        <v>510</v>
      </c>
      <c r="F17" s="713">
        <f>VLOOKUP($A17,'HRGs to TFCs 1'!A:K,F$1,0)</f>
        <v>541</v>
      </c>
      <c r="G17" s="714">
        <f>VLOOKUP($A17,'HRGs to TFCs 1'!A:K,G$1,0)</f>
        <v>0</v>
      </c>
      <c r="H17" s="714">
        <f>VLOOKUP($A17,'HRGs to TFCs 1'!A:K,H$1,0)</f>
        <v>4393.3550801045185</v>
      </c>
      <c r="I17" s="714">
        <f>VLOOKUP($A17,'HRGs to TFCs 1'!A:K,I$1,0)</f>
        <v>0</v>
      </c>
      <c r="J17" s="714">
        <f>VLOOKUP($A17,'HRGs to TFCs 1'!A:K,J$1,0)</f>
        <v>74545.863040213779</v>
      </c>
      <c r="K17" s="712" t="str">
        <f>IF(ISERROR(VLOOKUP($A17,Mandatory!A:A,1,0)),"No","Yes")</f>
        <v>Yes</v>
      </c>
      <c r="L17" s="715">
        <f t="shared" si="0"/>
        <v>78939.218120318299</v>
      </c>
    </row>
    <row r="18" spans="1:12">
      <c r="A18" s="712">
        <v>144</v>
      </c>
      <c r="B18" s="713">
        <f>VLOOKUP($A18,'HRGs to TFCs 1'!A:K,B$1,0)</f>
        <v>0</v>
      </c>
      <c r="C18" s="713">
        <f>VLOOKUP($A18,'HRGs to TFCs 1'!A:K,C$1,0)</f>
        <v>637</v>
      </c>
      <c r="D18" s="713">
        <f>VLOOKUP($A18,'HRGs to TFCs 1'!A:K,D$1,0)</f>
        <v>0</v>
      </c>
      <c r="E18" s="713">
        <f>VLOOKUP($A18,'HRGs to TFCs 1'!A:K,E$1,0)</f>
        <v>4675</v>
      </c>
      <c r="F18" s="713">
        <f>VLOOKUP($A18,'HRGs to TFCs 1'!A:K,F$1,0)</f>
        <v>5312</v>
      </c>
      <c r="G18" s="714">
        <f>VLOOKUP($A18,'HRGs to TFCs 1'!A:K,G$1,0)</f>
        <v>0</v>
      </c>
      <c r="H18" s="714">
        <f>VLOOKUP($A18,'HRGs to TFCs 1'!A:K,H$1,0)</f>
        <v>72117.541949811071</v>
      </c>
      <c r="I18" s="714">
        <f>VLOOKUP($A18,'HRGs to TFCs 1'!A:K,I$1,0)</f>
        <v>0</v>
      </c>
      <c r="J18" s="714">
        <f>VLOOKUP($A18,'HRGs to TFCs 1'!A:K,J$1,0)</f>
        <v>527386.68454887229</v>
      </c>
      <c r="K18" s="712" t="str">
        <f>IF(ISERROR(VLOOKUP($A18,Mandatory!A:A,1,0)),"No","Yes")</f>
        <v>Yes</v>
      </c>
      <c r="L18" s="715">
        <f t="shared" si="0"/>
        <v>599504.22649868333</v>
      </c>
    </row>
    <row r="19" spans="1:12">
      <c r="A19" s="712">
        <v>150</v>
      </c>
      <c r="B19" s="713">
        <f>VLOOKUP($A19,'HRGs to TFCs 1'!A:K,B$1,0)</f>
        <v>0</v>
      </c>
      <c r="C19" s="713">
        <f>VLOOKUP($A19,'HRGs to TFCs 1'!A:K,C$1,0)</f>
        <v>44</v>
      </c>
      <c r="D19" s="713">
        <f>VLOOKUP($A19,'HRGs to TFCs 1'!A:K,D$1,0)</f>
        <v>0</v>
      </c>
      <c r="E19" s="713">
        <f>VLOOKUP($A19,'HRGs to TFCs 1'!A:K,E$1,0)</f>
        <v>929</v>
      </c>
      <c r="F19" s="713">
        <f>VLOOKUP($A19,'HRGs to TFCs 1'!A:K,F$1,0)</f>
        <v>973</v>
      </c>
      <c r="G19" s="714">
        <f>VLOOKUP($A19,'HRGs to TFCs 1'!A:K,G$1,0)</f>
        <v>0</v>
      </c>
      <c r="H19" s="714">
        <f>VLOOKUP($A19,'HRGs to TFCs 1'!A:K,H$1,0)</f>
        <v>5703.2096166124829</v>
      </c>
      <c r="I19" s="714">
        <f>VLOOKUP($A19,'HRGs to TFCs 1'!A:K,I$1,0)</f>
        <v>0</v>
      </c>
      <c r="J19" s="714">
        <f>VLOOKUP($A19,'HRGs to TFCs 1'!A:K,J$1,0)</f>
        <v>130447.72752990309</v>
      </c>
      <c r="K19" s="712" t="str">
        <f>IF(ISERROR(VLOOKUP($A19,Mandatory!A:A,1,0)),"No","Yes")</f>
        <v>No</v>
      </c>
      <c r="L19" s="715">
        <f t="shared" si="0"/>
        <v>136150.93714651559</v>
      </c>
    </row>
    <row r="20" spans="1:12">
      <c r="A20" s="712">
        <v>160</v>
      </c>
      <c r="B20" s="713">
        <f>VLOOKUP($A20,'HRGs to TFCs 1'!A:K,B$1,0)</f>
        <v>0</v>
      </c>
      <c r="C20" s="713">
        <f>VLOOKUP($A20,'HRGs to TFCs 1'!A:K,C$1,0)</f>
        <v>9319</v>
      </c>
      <c r="D20" s="713">
        <f>VLOOKUP($A20,'HRGs to TFCs 1'!A:K,D$1,0)</f>
        <v>0</v>
      </c>
      <c r="E20" s="713">
        <f>VLOOKUP($A20,'HRGs to TFCs 1'!A:K,E$1,0)</f>
        <v>40428</v>
      </c>
      <c r="F20" s="713">
        <f>VLOOKUP($A20,'HRGs to TFCs 1'!A:K,F$1,0)</f>
        <v>49747</v>
      </c>
      <c r="G20" s="714">
        <f>VLOOKUP($A20,'HRGs to TFCs 1'!A:K,G$1,0)</f>
        <v>0</v>
      </c>
      <c r="H20" s="714">
        <f>VLOOKUP($A20,'HRGs to TFCs 1'!A:K,H$1,0)</f>
        <v>974604.14137688163</v>
      </c>
      <c r="I20" s="714">
        <f>VLOOKUP($A20,'HRGs to TFCs 1'!A:K,I$1,0)</f>
        <v>0</v>
      </c>
      <c r="J20" s="714">
        <f>VLOOKUP($A20,'HRGs to TFCs 1'!A:K,J$1,0)</f>
        <v>4332965.658344374</v>
      </c>
      <c r="K20" s="712" t="str">
        <f>IF(ISERROR(VLOOKUP($A20,Mandatory!A:A,1,0)),"No","Yes")</f>
        <v>Yes</v>
      </c>
      <c r="L20" s="715">
        <f t="shared" si="0"/>
        <v>5307569.7997212559</v>
      </c>
    </row>
    <row r="21" spans="1:12">
      <c r="A21" s="712">
        <v>161</v>
      </c>
      <c r="B21" s="713">
        <f>VLOOKUP($A21,'HRGs to TFCs 1'!A:K,B$1,0)</f>
        <v>0</v>
      </c>
      <c r="C21" s="713">
        <f>VLOOKUP($A21,'HRGs to TFCs 1'!A:K,C$1,0)</f>
        <v>114</v>
      </c>
      <c r="D21" s="713">
        <f>VLOOKUP($A21,'HRGs to TFCs 1'!A:K,D$1,0)</f>
        <v>0</v>
      </c>
      <c r="E21" s="713">
        <f>VLOOKUP($A21,'HRGs to TFCs 1'!A:K,E$1,0)</f>
        <v>341</v>
      </c>
      <c r="F21" s="713">
        <f>VLOOKUP($A21,'HRGs to TFCs 1'!A:K,F$1,0)</f>
        <v>455</v>
      </c>
      <c r="G21" s="714">
        <f>VLOOKUP($A21,'HRGs to TFCs 1'!A:K,G$1,0)</f>
        <v>0</v>
      </c>
      <c r="H21" s="714">
        <f>VLOOKUP($A21,'HRGs to TFCs 1'!A:K,H$1,0)</f>
        <v>13236.110652737851</v>
      </c>
      <c r="I21" s="714">
        <f>VLOOKUP($A21,'HRGs to TFCs 1'!A:K,I$1,0)</f>
        <v>0</v>
      </c>
      <c r="J21" s="714">
        <f>VLOOKUP($A21,'HRGs to TFCs 1'!A:K,J$1,0)</f>
        <v>54527.456590371934</v>
      </c>
      <c r="K21" s="712" t="str">
        <f>IF(ISERROR(VLOOKUP($A21,Mandatory!A:A,1,0)),"No","Yes")</f>
        <v>No</v>
      </c>
      <c r="L21" s="715">
        <f t="shared" si="0"/>
        <v>67763.567243109777</v>
      </c>
    </row>
    <row r="22" spans="1:12">
      <c r="A22" s="712">
        <v>170</v>
      </c>
      <c r="B22" s="713">
        <f>VLOOKUP($A22,'HRGs to TFCs 1'!A:K,B$1,0)</f>
        <v>0</v>
      </c>
      <c r="C22" s="713">
        <f>VLOOKUP($A22,'HRGs to TFCs 1'!A:K,C$1,0)</f>
        <v>24</v>
      </c>
      <c r="D22" s="713">
        <f>VLOOKUP($A22,'HRGs to TFCs 1'!A:K,D$1,0)</f>
        <v>0</v>
      </c>
      <c r="E22" s="713">
        <f>VLOOKUP($A22,'HRGs to TFCs 1'!A:K,E$1,0)</f>
        <v>148</v>
      </c>
      <c r="F22" s="713">
        <f>VLOOKUP($A22,'HRGs to TFCs 1'!A:K,F$1,0)</f>
        <v>172</v>
      </c>
      <c r="G22" s="714">
        <f>VLOOKUP($A22,'HRGs to TFCs 1'!A:K,G$1,0)</f>
        <v>0</v>
      </c>
      <c r="H22" s="714">
        <f>VLOOKUP($A22,'HRGs to TFCs 1'!A:K,H$1,0)</f>
        <v>5035.5831985260411</v>
      </c>
      <c r="I22" s="714">
        <f>VLOOKUP($A22,'HRGs to TFCs 1'!A:K,I$1,0)</f>
        <v>0</v>
      </c>
      <c r="J22" s="714">
        <f>VLOOKUP($A22,'HRGs to TFCs 1'!A:K,J$1,0)</f>
        <v>25175.549478139787</v>
      </c>
      <c r="K22" s="712" t="str">
        <f>IF(ISERROR(VLOOKUP($A22,Mandatory!A:A,1,0)),"No","Yes")</f>
        <v>Yes</v>
      </c>
      <c r="L22" s="715">
        <f t="shared" si="0"/>
        <v>30211.132676665828</v>
      </c>
    </row>
    <row r="23" spans="1:12">
      <c r="A23" s="712">
        <v>171</v>
      </c>
      <c r="B23" s="713">
        <f>VLOOKUP($A23,'HRGs to TFCs 1'!A:K,B$1,0)</f>
        <v>0</v>
      </c>
      <c r="C23" s="713">
        <f>VLOOKUP($A23,'HRGs to TFCs 1'!A:K,C$1,0)</f>
        <v>80</v>
      </c>
      <c r="D23" s="713">
        <f>VLOOKUP($A23,'HRGs to TFCs 1'!A:K,D$1,0)</f>
        <v>0</v>
      </c>
      <c r="E23" s="713">
        <f>VLOOKUP($A23,'HRGs to TFCs 1'!A:K,E$1,0)</f>
        <v>597</v>
      </c>
      <c r="F23" s="713">
        <f>VLOOKUP($A23,'HRGs to TFCs 1'!A:K,F$1,0)</f>
        <v>677</v>
      </c>
      <c r="G23" s="714">
        <f>VLOOKUP($A23,'HRGs to TFCs 1'!A:K,G$1,0)</f>
        <v>0</v>
      </c>
      <c r="H23" s="714">
        <f>VLOOKUP($A23,'HRGs to TFCs 1'!A:K,H$1,0)</f>
        <v>49239.758812133972</v>
      </c>
      <c r="I23" s="714">
        <f>VLOOKUP($A23,'HRGs to TFCs 1'!A:K,I$1,0)</f>
        <v>0</v>
      </c>
      <c r="J23" s="714">
        <f>VLOOKUP($A23,'HRGs to TFCs 1'!A:K,J$1,0)</f>
        <v>521072.94614452461</v>
      </c>
      <c r="K23" s="712" t="str">
        <f>IF(ISERROR(VLOOKUP($A23,Mandatory!A:A,1,0)),"No","Yes")</f>
        <v>Yes</v>
      </c>
      <c r="L23" s="715">
        <f t="shared" si="0"/>
        <v>570312.70495665853</v>
      </c>
    </row>
    <row r="24" spans="1:12">
      <c r="A24" s="712">
        <v>172</v>
      </c>
      <c r="B24" s="713">
        <f>VLOOKUP($A24,'HRGs to TFCs 1'!A:K,B$1,0)</f>
        <v>0</v>
      </c>
      <c r="C24" s="713">
        <f>VLOOKUP($A24,'HRGs to TFCs 1'!A:K,C$1,0)</f>
        <v>10</v>
      </c>
      <c r="D24" s="713">
        <f>VLOOKUP($A24,'HRGs to TFCs 1'!A:K,D$1,0)</f>
        <v>0</v>
      </c>
      <c r="E24" s="713">
        <f>VLOOKUP($A24,'HRGs to TFCs 1'!A:K,E$1,0)</f>
        <v>938</v>
      </c>
      <c r="F24" s="713">
        <f>VLOOKUP($A24,'HRGs to TFCs 1'!A:K,F$1,0)</f>
        <v>948</v>
      </c>
      <c r="G24" s="714">
        <f>VLOOKUP($A24,'HRGs to TFCs 1'!A:K,G$1,0)</f>
        <v>0</v>
      </c>
      <c r="H24" s="714">
        <f>VLOOKUP($A24,'HRGs to TFCs 1'!A:K,H$1,0)</f>
        <v>1118.6073684800754</v>
      </c>
      <c r="I24" s="714">
        <f>VLOOKUP($A24,'HRGs to TFCs 1'!A:K,I$1,0)</f>
        <v>0</v>
      </c>
      <c r="J24" s="714">
        <f>VLOOKUP($A24,'HRGs to TFCs 1'!A:K,J$1,0)</f>
        <v>103922.65213539984</v>
      </c>
      <c r="K24" s="712" t="str">
        <f>IF(ISERROR(VLOOKUP($A24,Mandatory!A:A,1,0)),"No","Yes")</f>
        <v>Yes</v>
      </c>
      <c r="L24" s="715">
        <f t="shared" si="0"/>
        <v>105041.25950387992</v>
      </c>
    </row>
    <row r="25" spans="1:12">
      <c r="A25" s="712">
        <v>173</v>
      </c>
      <c r="B25" s="713">
        <f>VLOOKUP($A25,'HRGs to TFCs 1'!A:K,B$1,0)</f>
        <v>0</v>
      </c>
      <c r="C25" s="713">
        <f>VLOOKUP($A25,'HRGs to TFCs 1'!A:K,C$1,0)</f>
        <v>39</v>
      </c>
      <c r="D25" s="713">
        <f>VLOOKUP($A25,'HRGs to TFCs 1'!A:K,D$1,0)</f>
        <v>0</v>
      </c>
      <c r="E25" s="713">
        <f>VLOOKUP($A25,'HRGs to TFCs 1'!A:K,E$1,0)</f>
        <v>65</v>
      </c>
      <c r="F25" s="713">
        <f>VLOOKUP($A25,'HRGs to TFCs 1'!A:K,F$1,0)</f>
        <v>104</v>
      </c>
      <c r="G25" s="714">
        <f>VLOOKUP($A25,'HRGs to TFCs 1'!A:K,G$1,0)</f>
        <v>0</v>
      </c>
      <c r="H25" s="714">
        <f>VLOOKUP($A25,'HRGs to TFCs 1'!A:K,H$1,0)</f>
        <v>3361.3689753395292</v>
      </c>
      <c r="I25" s="714">
        <f>VLOOKUP($A25,'HRGs to TFCs 1'!A:K,I$1,0)</f>
        <v>0</v>
      </c>
      <c r="J25" s="714">
        <f>VLOOKUP($A25,'HRGs to TFCs 1'!A:K,J$1,0)</f>
        <v>9654.6560841714254</v>
      </c>
      <c r="K25" s="712" t="str">
        <f>IF(ISERROR(VLOOKUP($A25,Mandatory!A:A,1,0)),"No","Yes")</f>
        <v>Yes</v>
      </c>
      <c r="L25" s="715">
        <f t="shared" si="0"/>
        <v>13016.025059510954</v>
      </c>
    </row>
    <row r="26" spans="1:12">
      <c r="A26" s="712">
        <v>180</v>
      </c>
      <c r="B26" s="713">
        <f>VLOOKUP($A26,'HRGs to TFCs 1'!A:K,B$1,0)</f>
        <v>0</v>
      </c>
      <c r="C26" s="713">
        <f>VLOOKUP($A26,'HRGs to TFCs 1'!A:K,C$1,0)</f>
        <v>1202</v>
      </c>
      <c r="D26" s="713">
        <f>VLOOKUP($A26,'HRGs to TFCs 1'!A:K,D$1,0)</f>
        <v>0</v>
      </c>
      <c r="E26" s="713">
        <f>VLOOKUP($A26,'HRGs to TFCs 1'!A:K,E$1,0)</f>
        <v>875</v>
      </c>
      <c r="F26" s="713">
        <f>VLOOKUP($A26,'HRGs to TFCs 1'!A:K,F$1,0)</f>
        <v>2077</v>
      </c>
      <c r="G26" s="714">
        <f>VLOOKUP($A26,'HRGs to TFCs 1'!A:K,G$1,0)</f>
        <v>0</v>
      </c>
      <c r="H26" s="714">
        <f>VLOOKUP($A26,'HRGs to TFCs 1'!A:K,H$1,0)</f>
        <v>123803.64975191175</v>
      </c>
      <c r="I26" s="714">
        <f>VLOOKUP($A26,'HRGs to TFCs 1'!A:K,I$1,0)</f>
        <v>0</v>
      </c>
      <c r="J26" s="714">
        <f>VLOOKUP($A26,'HRGs to TFCs 1'!A:K,J$1,0)</f>
        <v>90485.05132243337</v>
      </c>
      <c r="K26" s="712" t="str">
        <f>IF(ISERROR(VLOOKUP($A26,Mandatory!A:A,1,0)),"No","Yes")</f>
        <v>No</v>
      </c>
      <c r="L26" s="715">
        <f t="shared" si="0"/>
        <v>214288.70107434512</v>
      </c>
    </row>
    <row r="27" spans="1:12">
      <c r="A27" s="712">
        <v>190</v>
      </c>
      <c r="B27" s="713">
        <f>VLOOKUP($A27,'HRGs to TFCs 1'!A:K,B$1,0)</f>
        <v>0</v>
      </c>
      <c r="C27" s="713">
        <f>VLOOKUP($A27,'HRGs to TFCs 1'!A:K,C$1,0)</f>
        <v>155</v>
      </c>
      <c r="D27" s="713">
        <f>VLOOKUP($A27,'HRGs to TFCs 1'!A:K,D$1,0)</f>
        <v>0</v>
      </c>
      <c r="E27" s="713">
        <f>VLOOKUP($A27,'HRGs to TFCs 1'!A:K,E$1,0)</f>
        <v>192</v>
      </c>
      <c r="F27" s="713">
        <f>VLOOKUP($A27,'HRGs to TFCs 1'!A:K,F$1,0)</f>
        <v>347</v>
      </c>
      <c r="G27" s="714">
        <f>VLOOKUP($A27,'HRGs to TFCs 1'!A:K,G$1,0)</f>
        <v>0</v>
      </c>
      <c r="H27" s="714">
        <f>VLOOKUP($A27,'HRGs to TFCs 1'!A:K,H$1,0)</f>
        <v>19948.814262586071</v>
      </c>
      <c r="I27" s="714">
        <f>VLOOKUP($A27,'HRGs to TFCs 1'!A:K,I$1,0)</f>
        <v>0</v>
      </c>
      <c r="J27" s="714">
        <f>VLOOKUP($A27,'HRGs to TFCs 1'!A:K,J$1,0)</f>
        <v>25820.640299794526</v>
      </c>
      <c r="K27" s="712" t="str">
        <f>IF(ISERROR(VLOOKUP($A27,Mandatory!A:A,1,0)),"No","Yes")</f>
        <v>Yes</v>
      </c>
      <c r="L27" s="715">
        <f t="shared" si="0"/>
        <v>45769.454562380597</v>
      </c>
    </row>
    <row r="28" spans="1:12">
      <c r="A28" s="712">
        <v>191</v>
      </c>
      <c r="B28" s="713">
        <f>VLOOKUP($A28,'HRGs to TFCs 1'!A:K,B$1,0)</f>
        <v>0</v>
      </c>
      <c r="C28" s="713">
        <f>VLOOKUP($A28,'HRGs to TFCs 1'!A:K,C$1,0)</f>
        <v>836</v>
      </c>
      <c r="D28" s="713">
        <f>VLOOKUP($A28,'HRGs to TFCs 1'!A:K,D$1,0)</f>
        <v>0</v>
      </c>
      <c r="E28" s="713">
        <f>VLOOKUP($A28,'HRGs to TFCs 1'!A:K,E$1,0)</f>
        <v>3944</v>
      </c>
      <c r="F28" s="713">
        <f>VLOOKUP($A28,'HRGs to TFCs 1'!A:K,F$1,0)</f>
        <v>4780</v>
      </c>
      <c r="G28" s="714">
        <f>VLOOKUP($A28,'HRGs to TFCs 1'!A:K,G$1,0)</f>
        <v>0</v>
      </c>
      <c r="H28" s="714">
        <f>VLOOKUP($A28,'HRGs to TFCs 1'!A:K,H$1,0)</f>
        <v>130749.90572142422</v>
      </c>
      <c r="I28" s="714">
        <f>VLOOKUP($A28,'HRGs to TFCs 1'!A:K,I$1,0)</f>
        <v>0</v>
      </c>
      <c r="J28" s="714">
        <f>VLOOKUP($A28,'HRGs to TFCs 1'!A:K,J$1,0)</f>
        <v>671000.41894623532</v>
      </c>
      <c r="K28" s="712" t="str">
        <f>IF(ISERROR(VLOOKUP($A28,Mandatory!A:A,1,0)),"No","Yes")</f>
        <v>Yes</v>
      </c>
      <c r="L28" s="715">
        <f t="shared" si="0"/>
        <v>801750.32466765959</v>
      </c>
    </row>
    <row r="29" spans="1:12">
      <c r="A29" s="712">
        <v>211</v>
      </c>
      <c r="B29" s="713">
        <f>VLOOKUP($A29,'HRGs to TFCs 1'!A:K,B$1,0)</f>
        <v>0</v>
      </c>
      <c r="C29" s="713">
        <f>VLOOKUP($A29,'HRGs to TFCs 1'!A:K,C$1,0)</f>
        <v>247</v>
      </c>
      <c r="D29" s="713">
        <f>VLOOKUP($A29,'HRGs to TFCs 1'!A:K,D$1,0)</f>
        <v>0</v>
      </c>
      <c r="E29" s="713">
        <f>VLOOKUP($A29,'HRGs to TFCs 1'!A:K,E$1,0)</f>
        <v>1483</v>
      </c>
      <c r="F29" s="713">
        <f>VLOOKUP($A29,'HRGs to TFCs 1'!A:K,F$1,0)</f>
        <v>1730</v>
      </c>
      <c r="G29" s="714">
        <f>VLOOKUP($A29,'HRGs to TFCs 1'!A:K,G$1,0)</f>
        <v>0</v>
      </c>
      <c r="H29" s="714">
        <f>VLOOKUP($A29,'HRGs to TFCs 1'!A:K,H$1,0)</f>
        <v>289857.13261733257</v>
      </c>
      <c r="I29" s="714">
        <f>VLOOKUP($A29,'HRGs to TFCs 1'!A:K,I$1,0)</f>
        <v>0</v>
      </c>
      <c r="J29" s="714">
        <f>VLOOKUP($A29,'HRGs to TFCs 1'!A:K,J$1,0)</f>
        <v>1594420.5461731819</v>
      </c>
      <c r="K29" s="712" t="str">
        <f>IF(ISERROR(VLOOKUP($A29,Mandatory!A:A,1,0)),"No","Yes")</f>
        <v>Yes</v>
      </c>
      <c r="L29" s="715">
        <f t="shared" si="0"/>
        <v>1884277.6787905144</v>
      </c>
    </row>
    <row r="30" spans="1:12">
      <c r="A30" s="712">
        <v>213</v>
      </c>
      <c r="B30" s="713">
        <f>VLOOKUP($A30,'HRGs to TFCs 1'!A:K,B$1,0)</f>
        <v>0</v>
      </c>
      <c r="C30" s="713">
        <f>VLOOKUP($A30,'HRGs to TFCs 1'!A:K,C$1,0)</f>
        <v>2</v>
      </c>
      <c r="D30" s="713">
        <f>VLOOKUP($A30,'HRGs to TFCs 1'!A:K,D$1,0)</f>
        <v>0</v>
      </c>
      <c r="E30" s="713">
        <f>VLOOKUP($A30,'HRGs to TFCs 1'!A:K,E$1,0)</f>
        <v>1</v>
      </c>
      <c r="F30" s="713">
        <f>VLOOKUP($A30,'HRGs to TFCs 1'!A:K,F$1,0)</f>
        <v>3</v>
      </c>
      <c r="G30" s="714">
        <f>VLOOKUP($A30,'HRGs to TFCs 1'!A:K,G$1,0)</f>
        <v>0</v>
      </c>
      <c r="H30" s="714">
        <f>VLOOKUP($A30,'HRGs to TFCs 1'!A:K,H$1,0)</f>
        <v>307.49657149759366</v>
      </c>
      <c r="I30" s="714">
        <f>VLOOKUP($A30,'HRGs to TFCs 1'!A:K,I$1,0)</f>
        <v>0</v>
      </c>
      <c r="J30" s="714">
        <f>VLOOKUP($A30,'HRGs to TFCs 1'!A:K,J$1,0)</f>
        <v>147.14579594434056</v>
      </c>
      <c r="K30" s="712" t="str">
        <f>IF(ISERROR(VLOOKUP($A30,Mandatory!A:A,1,0)),"No","Yes")</f>
        <v>No</v>
      </c>
      <c r="L30" s="715">
        <f t="shared" si="0"/>
        <v>454.6423674419342</v>
      </c>
    </row>
    <row r="31" spans="1:12">
      <c r="A31" s="712">
        <v>214</v>
      </c>
      <c r="B31" s="713">
        <f>VLOOKUP($A31,'HRGs to TFCs 1'!A:K,B$1,0)</f>
        <v>0</v>
      </c>
      <c r="C31" s="713">
        <f>VLOOKUP($A31,'HRGs to TFCs 1'!A:K,C$1,0)</f>
        <v>240</v>
      </c>
      <c r="D31" s="713">
        <f>VLOOKUP($A31,'HRGs to TFCs 1'!A:K,D$1,0)</f>
        <v>0</v>
      </c>
      <c r="E31" s="713">
        <f>VLOOKUP($A31,'HRGs to TFCs 1'!A:K,E$1,0)</f>
        <v>1177</v>
      </c>
      <c r="F31" s="713">
        <f>VLOOKUP($A31,'HRGs to TFCs 1'!A:K,F$1,0)</f>
        <v>1417</v>
      </c>
      <c r="G31" s="714">
        <f>VLOOKUP($A31,'HRGs to TFCs 1'!A:K,G$1,0)</f>
        <v>0</v>
      </c>
      <c r="H31" s="714">
        <f>VLOOKUP($A31,'HRGs to TFCs 1'!A:K,H$1,0)</f>
        <v>32736.884695733996</v>
      </c>
      <c r="I31" s="714">
        <f>VLOOKUP($A31,'HRGs to TFCs 1'!A:K,I$1,0)</f>
        <v>0</v>
      </c>
      <c r="J31" s="714">
        <f>VLOOKUP($A31,'HRGs to TFCs 1'!A:K,J$1,0)</f>
        <v>203832.91384835987</v>
      </c>
      <c r="K31" s="712" t="str">
        <f>IF(ISERROR(VLOOKUP($A31,Mandatory!A:A,1,0)),"No","Yes")</f>
        <v>Yes</v>
      </c>
      <c r="L31" s="715">
        <f t="shared" si="0"/>
        <v>236569.79854409385</v>
      </c>
    </row>
    <row r="32" spans="1:12">
      <c r="A32" s="712">
        <v>215</v>
      </c>
      <c r="B32" s="713">
        <f>VLOOKUP($A32,'HRGs to TFCs 1'!A:K,B$1,0)</f>
        <v>0</v>
      </c>
      <c r="C32" s="713">
        <f>VLOOKUP($A32,'HRGs to TFCs 1'!A:K,C$1,0)</f>
        <v>129</v>
      </c>
      <c r="D32" s="713">
        <f>VLOOKUP($A32,'HRGs to TFCs 1'!A:K,D$1,0)</f>
        <v>0</v>
      </c>
      <c r="E32" s="713">
        <f>VLOOKUP($A32,'HRGs to TFCs 1'!A:K,E$1,0)</f>
        <v>147</v>
      </c>
      <c r="F32" s="713">
        <f>VLOOKUP($A32,'HRGs to TFCs 1'!A:K,F$1,0)</f>
        <v>276</v>
      </c>
      <c r="G32" s="714">
        <f>VLOOKUP($A32,'HRGs to TFCs 1'!A:K,G$1,0)</f>
        <v>0</v>
      </c>
      <c r="H32" s="714">
        <f>VLOOKUP($A32,'HRGs to TFCs 1'!A:K,H$1,0)</f>
        <v>14558.676235182578</v>
      </c>
      <c r="I32" s="714">
        <f>VLOOKUP($A32,'HRGs to TFCs 1'!A:K,I$1,0)</f>
        <v>0</v>
      </c>
      <c r="J32" s="714">
        <f>VLOOKUP($A32,'HRGs to TFCs 1'!A:K,J$1,0)</f>
        <v>15423.700299443963</v>
      </c>
      <c r="K32" s="712" t="str">
        <f>IF(ISERROR(VLOOKUP($A32,Mandatory!A:A,1,0)),"No","Yes")</f>
        <v>Yes</v>
      </c>
      <c r="L32" s="715">
        <f t="shared" si="0"/>
        <v>29982.376534626543</v>
      </c>
    </row>
    <row r="33" spans="1:12">
      <c r="A33" s="712">
        <v>216</v>
      </c>
      <c r="B33" s="713">
        <f>VLOOKUP($A33,'HRGs to TFCs 1'!A:K,B$1,0)</f>
        <v>0</v>
      </c>
      <c r="C33" s="713">
        <f>VLOOKUP($A33,'HRGs to TFCs 1'!A:K,C$1,0)</f>
        <v>18</v>
      </c>
      <c r="D33" s="713">
        <f>VLOOKUP($A33,'HRGs to TFCs 1'!A:K,D$1,0)</f>
        <v>0</v>
      </c>
      <c r="E33" s="713">
        <f>VLOOKUP($A33,'HRGs to TFCs 1'!A:K,E$1,0)</f>
        <v>53</v>
      </c>
      <c r="F33" s="713">
        <f>VLOOKUP($A33,'HRGs to TFCs 1'!A:K,F$1,0)</f>
        <v>71</v>
      </c>
      <c r="G33" s="714">
        <f>VLOOKUP($A33,'HRGs to TFCs 1'!A:K,G$1,0)</f>
        <v>0</v>
      </c>
      <c r="H33" s="714">
        <f>VLOOKUP($A33,'HRGs to TFCs 1'!A:K,H$1,0)</f>
        <v>3227.4637774690887</v>
      </c>
      <c r="I33" s="714">
        <f>VLOOKUP($A33,'HRGs to TFCs 1'!A:K,I$1,0)</f>
        <v>0</v>
      </c>
      <c r="J33" s="714">
        <f>VLOOKUP($A33,'HRGs to TFCs 1'!A:K,J$1,0)</f>
        <v>5324.6422430771945</v>
      </c>
      <c r="K33" s="712" t="str">
        <f>IF(ISERROR(VLOOKUP($A33,Mandatory!A:A,1,0)),"No","Yes")</f>
        <v>Yes</v>
      </c>
      <c r="L33" s="715">
        <f t="shared" si="0"/>
        <v>8552.1060205462836</v>
      </c>
    </row>
    <row r="34" spans="1:12">
      <c r="A34" s="712">
        <v>217</v>
      </c>
      <c r="B34" s="713">
        <f>VLOOKUP($A34,'HRGs to TFCs 1'!A:K,B$1,0)</f>
        <v>0</v>
      </c>
      <c r="C34" s="713">
        <f>VLOOKUP($A34,'HRGs to TFCs 1'!A:K,C$1,0)</f>
        <v>64</v>
      </c>
      <c r="D34" s="713">
        <f>VLOOKUP($A34,'HRGs to TFCs 1'!A:K,D$1,0)</f>
        <v>0</v>
      </c>
      <c r="E34" s="713">
        <f>VLOOKUP($A34,'HRGs to TFCs 1'!A:K,E$1,0)</f>
        <v>256</v>
      </c>
      <c r="F34" s="713">
        <f>VLOOKUP($A34,'HRGs to TFCs 1'!A:K,F$1,0)</f>
        <v>320</v>
      </c>
      <c r="G34" s="714">
        <f>VLOOKUP($A34,'HRGs to TFCs 1'!A:K,G$1,0)</f>
        <v>0</v>
      </c>
      <c r="H34" s="714">
        <f>VLOOKUP($A34,'HRGs to TFCs 1'!A:K,H$1,0)</f>
        <v>5779.265553922517</v>
      </c>
      <c r="I34" s="714">
        <f>VLOOKUP($A34,'HRGs to TFCs 1'!A:K,I$1,0)</f>
        <v>0</v>
      </c>
      <c r="J34" s="714">
        <f>VLOOKUP($A34,'HRGs to TFCs 1'!A:K,J$1,0)</f>
        <v>33551.762361134512</v>
      </c>
      <c r="K34" s="712" t="str">
        <f>IF(ISERROR(VLOOKUP($A34,Mandatory!A:A,1,0)),"No","Yes")</f>
        <v>Yes</v>
      </c>
      <c r="L34" s="715">
        <f t="shared" si="0"/>
        <v>39331.027915057028</v>
      </c>
    </row>
    <row r="35" spans="1:12">
      <c r="A35" s="712">
        <v>218</v>
      </c>
      <c r="B35" s="713">
        <f>VLOOKUP($A35,'HRGs to TFCs 1'!A:K,B$1,0)</f>
        <v>0</v>
      </c>
      <c r="C35" s="713">
        <f>VLOOKUP($A35,'HRGs to TFCs 1'!A:K,C$1,0)</f>
        <v>1</v>
      </c>
      <c r="D35" s="713">
        <f>VLOOKUP($A35,'HRGs to TFCs 1'!A:K,D$1,0)</f>
        <v>0</v>
      </c>
      <c r="E35" s="713">
        <f>VLOOKUP($A35,'HRGs to TFCs 1'!A:K,E$1,0)</f>
        <v>2</v>
      </c>
      <c r="F35" s="713">
        <f>VLOOKUP($A35,'HRGs to TFCs 1'!A:K,F$1,0)</f>
        <v>3</v>
      </c>
      <c r="G35" s="714">
        <f>VLOOKUP($A35,'HRGs to TFCs 1'!A:K,G$1,0)</f>
        <v>0</v>
      </c>
      <c r="H35" s="714">
        <f>VLOOKUP($A35,'HRGs to TFCs 1'!A:K,H$1,0)</f>
        <v>178.4878594366113</v>
      </c>
      <c r="I35" s="714">
        <f>VLOOKUP($A35,'HRGs to TFCs 1'!A:K,I$1,0)</f>
        <v>0</v>
      </c>
      <c r="J35" s="714">
        <f>VLOOKUP($A35,'HRGs to TFCs 1'!A:K,J$1,0)</f>
        <v>197.56567517359093</v>
      </c>
      <c r="K35" s="712" t="str">
        <f>IF(ISERROR(VLOOKUP($A35,Mandatory!A:A,1,0)),"No","Yes")</f>
        <v>No</v>
      </c>
      <c r="L35" s="715">
        <f t="shared" si="0"/>
        <v>376.05353461020223</v>
      </c>
    </row>
    <row r="36" spans="1:12">
      <c r="A36" s="712">
        <v>219</v>
      </c>
      <c r="B36" s="713">
        <f>VLOOKUP($A36,'HRGs to TFCs 1'!A:K,B$1,0)</f>
        <v>0</v>
      </c>
      <c r="C36" s="713">
        <f>VLOOKUP($A36,'HRGs to TFCs 1'!A:K,C$1,0)</f>
        <v>92</v>
      </c>
      <c r="D36" s="713">
        <f>VLOOKUP($A36,'HRGs to TFCs 1'!A:K,D$1,0)</f>
        <v>0</v>
      </c>
      <c r="E36" s="713">
        <f>VLOOKUP($A36,'HRGs to TFCs 1'!A:K,E$1,0)</f>
        <v>751</v>
      </c>
      <c r="F36" s="713">
        <f>VLOOKUP($A36,'HRGs to TFCs 1'!A:K,F$1,0)</f>
        <v>843</v>
      </c>
      <c r="G36" s="714">
        <f>VLOOKUP($A36,'HRGs to TFCs 1'!A:K,G$1,0)</f>
        <v>0</v>
      </c>
      <c r="H36" s="714">
        <f>VLOOKUP($A36,'HRGs to TFCs 1'!A:K,H$1,0)</f>
        <v>13127.348273532007</v>
      </c>
      <c r="I36" s="714">
        <f>VLOOKUP($A36,'HRGs to TFCs 1'!A:K,I$1,0)</f>
        <v>0</v>
      </c>
      <c r="J36" s="714">
        <f>VLOOKUP($A36,'HRGs to TFCs 1'!A:K,J$1,0)</f>
        <v>100929.86487184078</v>
      </c>
      <c r="K36" s="712" t="str">
        <f>IF(ISERROR(VLOOKUP($A36,Mandatory!A:A,1,0)),"No","Yes")</f>
        <v>Yes</v>
      </c>
      <c r="L36" s="715">
        <f t="shared" si="0"/>
        <v>114057.21314537278</v>
      </c>
    </row>
    <row r="37" spans="1:12">
      <c r="A37" s="712">
        <v>220</v>
      </c>
      <c r="B37" s="713">
        <f>VLOOKUP($A37,'HRGs to TFCs 1'!A:K,B$1,0)</f>
        <v>0</v>
      </c>
      <c r="C37" s="713">
        <f>VLOOKUP($A37,'HRGs to TFCs 1'!A:K,C$1,0)</f>
        <v>12</v>
      </c>
      <c r="D37" s="713">
        <f>VLOOKUP($A37,'HRGs to TFCs 1'!A:K,D$1,0)</f>
        <v>0</v>
      </c>
      <c r="E37" s="713">
        <f>VLOOKUP($A37,'HRGs to TFCs 1'!A:K,E$1,0)</f>
        <v>46</v>
      </c>
      <c r="F37" s="713">
        <f>VLOOKUP($A37,'HRGs to TFCs 1'!A:K,F$1,0)</f>
        <v>58</v>
      </c>
      <c r="G37" s="714">
        <f>VLOOKUP($A37,'HRGs to TFCs 1'!A:K,G$1,0)</f>
        <v>0</v>
      </c>
      <c r="H37" s="714">
        <f>VLOOKUP($A37,'HRGs to TFCs 1'!A:K,H$1,0)</f>
        <v>1185.3940510415457</v>
      </c>
      <c r="I37" s="714">
        <f>VLOOKUP($A37,'HRGs to TFCs 1'!A:K,I$1,0)</f>
        <v>0</v>
      </c>
      <c r="J37" s="714">
        <f>VLOOKUP($A37,'HRGs to TFCs 1'!A:K,J$1,0)</f>
        <v>4671.985039747412</v>
      </c>
      <c r="K37" s="712" t="str">
        <f>IF(ISERROR(VLOOKUP($A37,Mandatory!A:A,1,0)),"No","Yes")</f>
        <v>No</v>
      </c>
      <c r="L37" s="715">
        <f t="shared" si="0"/>
        <v>5857.3790907889579</v>
      </c>
    </row>
    <row r="38" spans="1:12">
      <c r="A38" s="712">
        <v>221</v>
      </c>
      <c r="B38" s="713">
        <f>VLOOKUP($A38,'HRGs to TFCs 1'!A:K,B$1,0)</f>
        <v>0</v>
      </c>
      <c r="C38" s="713">
        <f>VLOOKUP($A38,'HRGs to TFCs 1'!A:K,C$1,0)</f>
        <v>0</v>
      </c>
      <c r="D38" s="713">
        <f>VLOOKUP($A38,'HRGs to TFCs 1'!A:K,D$1,0)</f>
        <v>0</v>
      </c>
      <c r="E38" s="713">
        <f>VLOOKUP($A38,'HRGs to TFCs 1'!A:K,E$1,0)</f>
        <v>92</v>
      </c>
      <c r="F38" s="713">
        <f>VLOOKUP($A38,'HRGs to TFCs 1'!A:K,F$1,0)</f>
        <v>92</v>
      </c>
      <c r="G38" s="714">
        <f>VLOOKUP($A38,'HRGs to TFCs 1'!A:K,G$1,0)</f>
        <v>0</v>
      </c>
      <c r="H38" s="714">
        <f>VLOOKUP($A38,'HRGs to TFCs 1'!A:K,H$1,0)</f>
        <v>0</v>
      </c>
      <c r="I38" s="714">
        <f>VLOOKUP($A38,'HRGs to TFCs 1'!A:K,I$1,0)</f>
        <v>0</v>
      </c>
      <c r="J38" s="714">
        <f>VLOOKUP($A38,'HRGs to TFCs 1'!A:K,J$1,0)</f>
        <v>13007.402288150919</v>
      </c>
      <c r="K38" s="712" t="str">
        <f>IF(ISERROR(VLOOKUP($A38,Mandatory!A:A,1,0)),"No","Yes")</f>
        <v>No</v>
      </c>
      <c r="L38" s="715">
        <f t="shared" si="0"/>
        <v>13007.402288150919</v>
      </c>
    </row>
    <row r="39" spans="1:12">
      <c r="A39" s="712">
        <v>251</v>
      </c>
      <c r="B39" s="713">
        <f>VLOOKUP($A39,'HRGs to TFCs 1'!A:K,B$1,0)</f>
        <v>0</v>
      </c>
      <c r="C39" s="713">
        <f>VLOOKUP($A39,'HRGs to TFCs 1'!A:K,C$1,0)</f>
        <v>25</v>
      </c>
      <c r="D39" s="713">
        <f>VLOOKUP($A39,'HRGs to TFCs 1'!A:K,D$1,0)</f>
        <v>0</v>
      </c>
      <c r="E39" s="713">
        <f>VLOOKUP($A39,'HRGs to TFCs 1'!A:K,E$1,0)</f>
        <v>64</v>
      </c>
      <c r="F39" s="713">
        <f>VLOOKUP($A39,'HRGs to TFCs 1'!A:K,F$1,0)</f>
        <v>89</v>
      </c>
      <c r="G39" s="714">
        <f>VLOOKUP($A39,'HRGs to TFCs 1'!A:K,G$1,0)</f>
        <v>0</v>
      </c>
      <c r="H39" s="714">
        <f>VLOOKUP($A39,'HRGs to TFCs 1'!A:K,H$1,0)</f>
        <v>3574.8413248014331</v>
      </c>
      <c r="I39" s="714">
        <f>VLOOKUP($A39,'HRGs to TFCs 1'!A:K,I$1,0)</f>
        <v>0</v>
      </c>
      <c r="J39" s="714">
        <f>VLOOKUP($A39,'HRGs to TFCs 1'!A:K,J$1,0)</f>
        <v>12573.55104517988</v>
      </c>
      <c r="K39" s="712" t="str">
        <f>IF(ISERROR(VLOOKUP($A39,Mandatory!A:A,1,0)),"No","Yes")</f>
        <v>Yes</v>
      </c>
      <c r="L39" s="715">
        <f t="shared" si="0"/>
        <v>16148.392369981313</v>
      </c>
    </row>
    <row r="40" spans="1:12">
      <c r="A40" s="712">
        <v>252</v>
      </c>
      <c r="B40" s="713">
        <f>VLOOKUP($A40,'HRGs to TFCs 1'!A:K,B$1,0)</f>
        <v>0</v>
      </c>
      <c r="C40" s="713">
        <f>VLOOKUP($A40,'HRGs to TFCs 1'!A:K,C$1,0)</f>
        <v>9</v>
      </c>
      <c r="D40" s="713">
        <f>VLOOKUP($A40,'HRGs to TFCs 1'!A:K,D$1,0)</f>
        <v>0</v>
      </c>
      <c r="E40" s="713">
        <f>VLOOKUP($A40,'HRGs to TFCs 1'!A:K,E$1,0)</f>
        <v>39</v>
      </c>
      <c r="F40" s="713">
        <f>VLOOKUP($A40,'HRGs to TFCs 1'!A:K,F$1,0)</f>
        <v>48</v>
      </c>
      <c r="G40" s="714">
        <f>VLOOKUP($A40,'HRGs to TFCs 1'!A:K,G$1,0)</f>
        <v>0</v>
      </c>
      <c r="H40" s="714">
        <f>VLOOKUP($A40,'HRGs to TFCs 1'!A:K,H$1,0)</f>
        <v>2995.3675543855716</v>
      </c>
      <c r="I40" s="714">
        <f>VLOOKUP($A40,'HRGs to TFCs 1'!A:K,I$1,0)</f>
        <v>0</v>
      </c>
      <c r="J40" s="714">
        <f>VLOOKUP($A40,'HRGs to TFCs 1'!A:K,J$1,0)</f>
        <v>9235.5102784732517</v>
      </c>
      <c r="K40" s="712" t="str">
        <f>IF(ISERROR(VLOOKUP($A40,Mandatory!A:A,1,0)),"No","Yes")</f>
        <v>Yes</v>
      </c>
      <c r="L40" s="715">
        <f t="shared" si="0"/>
        <v>12230.877832858823</v>
      </c>
    </row>
    <row r="41" spans="1:12">
      <c r="A41" s="712">
        <v>253</v>
      </c>
      <c r="B41" s="713">
        <f>VLOOKUP($A41,'HRGs to TFCs 1'!A:K,B$1,0)</f>
        <v>0</v>
      </c>
      <c r="C41" s="713">
        <f>VLOOKUP($A41,'HRGs to TFCs 1'!A:K,C$1,0)</f>
        <v>2</v>
      </c>
      <c r="D41" s="713">
        <f>VLOOKUP($A41,'HRGs to TFCs 1'!A:K,D$1,0)</f>
        <v>0</v>
      </c>
      <c r="E41" s="713">
        <f>VLOOKUP($A41,'HRGs to TFCs 1'!A:K,E$1,0)</f>
        <v>91</v>
      </c>
      <c r="F41" s="713">
        <f>VLOOKUP($A41,'HRGs to TFCs 1'!A:K,F$1,0)</f>
        <v>93</v>
      </c>
      <c r="G41" s="714">
        <f>VLOOKUP($A41,'HRGs to TFCs 1'!A:K,G$1,0)</f>
        <v>0</v>
      </c>
      <c r="H41" s="714">
        <f>VLOOKUP($A41,'HRGs to TFCs 1'!A:K,H$1,0)</f>
        <v>207.69969631803642</v>
      </c>
      <c r="I41" s="714">
        <f>VLOOKUP($A41,'HRGs to TFCs 1'!A:K,I$1,0)</f>
        <v>0</v>
      </c>
      <c r="J41" s="714">
        <f>VLOOKUP($A41,'HRGs to TFCs 1'!A:K,J$1,0)</f>
        <v>18980.37787266212</v>
      </c>
      <c r="K41" s="712" t="str">
        <f>IF(ISERROR(VLOOKUP($A41,Mandatory!A:A,1,0)),"No","Yes")</f>
        <v>Yes</v>
      </c>
      <c r="L41" s="715">
        <f t="shared" si="0"/>
        <v>19188.077568980156</v>
      </c>
    </row>
    <row r="42" spans="1:12">
      <c r="A42" s="712">
        <v>255</v>
      </c>
      <c r="B42" s="713">
        <f>VLOOKUP($A42,'HRGs to TFCs 1'!A:K,B$1,0)</f>
        <v>0</v>
      </c>
      <c r="C42" s="713">
        <f>VLOOKUP($A42,'HRGs to TFCs 1'!A:K,C$1,0)</f>
        <v>24</v>
      </c>
      <c r="D42" s="713">
        <f>VLOOKUP($A42,'HRGs to TFCs 1'!A:K,D$1,0)</f>
        <v>0</v>
      </c>
      <c r="E42" s="713">
        <f>VLOOKUP($A42,'HRGs to TFCs 1'!A:K,E$1,0)</f>
        <v>34</v>
      </c>
      <c r="F42" s="713">
        <f>VLOOKUP($A42,'HRGs to TFCs 1'!A:K,F$1,0)</f>
        <v>58</v>
      </c>
      <c r="G42" s="714">
        <f>VLOOKUP($A42,'HRGs to TFCs 1'!A:K,G$1,0)</f>
        <v>0</v>
      </c>
      <c r="H42" s="714">
        <f>VLOOKUP($A42,'HRGs to TFCs 1'!A:K,H$1,0)</f>
        <v>4655.8408912109016</v>
      </c>
      <c r="I42" s="714">
        <f>VLOOKUP($A42,'HRGs to TFCs 1'!A:K,I$1,0)</f>
        <v>0</v>
      </c>
      <c r="J42" s="714">
        <f>VLOOKUP($A42,'HRGs to TFCs 1'!A:K,J$1,0)</f>
        <v>6767.1998372952185</v>
      </c>
      <c r="K42" s="712" t="str">
        <f>IF(ISERROR(VLOOKUP($A42,Mandatory!A:A,1,0)),"No","Yes")</f>
        <v>No</v>
      </c>
      <c r="L42" s="715">
        <f t="shared" si="0"/>
        <v>11423.040728506119</v>
      </c>
    </row>
    <row r="43" spans="1:12">
      <c r="A43" s="712">
        <v>256</v>
      </c>
      <c r="B43" s="713">
        <f>VLOOKUP($A43,'HRGs to TFCs 1'!A:K,B$1,0)</f>
        <v>0</v>
      </c>
      <c r="C43" s="713">
        <f>VLOOKUP($A43,'HRGs to TFCs 1'!A:K,C$1,0)</f>
        <v>0</v>
      </c>
      <c r="D43" s="713">
        <f>VLOOKUP($A43,'HRGs to TFCs 1'!A:K,D$1,0)</f>
        <v>0</v>
      </c>
      <c r="E43" s="713">
        <f>VLOOKUP($A43,'HRGs to TFCs 1'!A:K,E$1,0)</f>
        <v>0</v>
      </c>
      <c r="F43" s="713">
        <f>VLOOKUP($A43,'HRGs to TFCs 1'!A:K,F$1,0)</f>
        <v>0</v>
      </c>
      <c r="G43" s="714">
        <f>VLOOKUP($A43,'HRGs to TFCs 1'!A:K,G$1,0)</f>
        <v>0</v>
      </c>
      <c r="H43" s="714">
        <f>VLOOKUP($A43,'HRGs to TFCs 1'!A:K,H$1,0)</f>
        <v>0</v>
      </c>
      <c r="I43" s="714">
        <f>VLOOKUP($A43,'HRGs to TFCs 1'!A:K,I$1,0)</f>
        <v>0</v>
      </c>
      <c r="J43" s="714">
        <f>VLOOKUP($A43,'HRGs to TFCs 1'!A:K,J$1,0)</f>
        <v>0</v>
      </c>
      <c r="K43" s="712" t="str">
        <f>IF(ISERROR(VLOOKUP($A43,Mandatory!A:A,1,0)),"No","Yes")</f>
        <v>No</v>
      </c>
      <c r="L43" s="715">
        <f t="shared" si="0"/>
        <v>0</v>
      </c>
    </row>
    <row r="44" spans="1:12">
      <c r="A44" s="712">
        <v>257</v>
      </c>
      <c r="B44" s="713">
        <f>VLOOKUP($A44,'HRGs to TFCs 1'!A:K,B$1,0)</f>
        <v>0</v>
      </c>
      <c r="C44" s="713">
        <f>VLOOKUP($A44,'HRGs to TFCs 1'!A:K,C$1,0)</f>
        <v>76</v>
      </c>
      <c r="D44" s="713">
        <f>VLOOKUP($A44,'HRGs to TFCs 1'!A:K,D$1,0)</f>
        <v>0</v>
      </c>
      <c r="E44" s="713">
        <f>VLOOKUP($A44,'HRGs to TFCs 1'!A:K,E$1,0)</f>
        <v>464</v>
      </c>
      <c r="F44" s="713">
        <f>VLOOKUP($A44,'HRGs to TFCs 1'!A:K,F$1,0)</f>
        <v>540</v>
      </c>
      <c r="G44" s="714">
        <f>VLOOKUP($A44,'HRGs to TFCs 1'!A:K,G$1,0)</f>
        <v>0</v>
      </c>
      <c r="H44" s="714">
        <f>VLOOKUP($A44,'HRGs to TFCs 1'!A:K,H$1,0)</f>
        <v>7762.0081336296171</v>
      </c>
      <c r="I44" s="714">
        <f>VLOOKUP($A44,'HRGs to TFCs 1'!A:K,I$1,0)</f>
        <v>0</v>
      </c>
      <c r="J44" s="714">
        <f>VLOOKUP($A44,'HRGs to TFCs 1'!A:K,J$1,0)</f>
        <v>50701.325107973964</v>
      </c>
      <c r="K44" s="712" t="str">
        <f>IF(ISERROR(VLOOKUP($A44,Mandatory!A:A,1,0)),"No","Yes")</f>
        <v>Yes</v>
      </c>
      <c r="L44" s="715">
        <f t="shared" si="0"/>
        <v>58463.333241603585</v>
      </c>
    </row>
    <row r="45" spans="1:12">
      <c r="A45" s="712">
        <v>258</v>
      </c>
      <c r="B45" s="713">
        <f>VLOOKUP($A45,'HRGs to TFCs 1'!A:K,B$1,0)</f>
        <v>0</v>
      </c>
      <c r="C45" s="713">
        <f>VLOOKUP($A45,'HRGs to TFCs 1'!A:K,C$1,0)</f>
        <v>515</v>
      </c>
      <c r="D45" s="713">
        <f>VLOOKUP($A45,'HRGs to TFCs 1'!A:K,D$1,0)</f>
        <v>0</v>
      </c>
      <c r="E45" s="713">
        <f>VLOOKUP($A45,'HRGs to TFCs 1'!A:K,E$1,0)</f>
        <v>2593</v>
      </c>
      <c r="F45" s="713">
        <f>VLOOKUP($A45,'HRGs to TFCs 1'!A:K,F$1,0)</f>
        <v>3108</v>
      </c>
      <c r="G45" s="714">
        <f>VLOOKUP($A45,'HRGs to TFCs 1'!A:K,G$1,0)</f>
        <v>0</v>
      </c>
      <c r="H45" s="714">
        <f>VLOOKUP($A45,'HRGs to TFCs 1'!A:K,H$1,0)</f>
        <v>68318.097468272361</v>
      </c>
      <c r="I45" s="714">
        <f>VLOOKUP($A45,'HRGs to TFCs 1'!A:K,I$1,0)</f>
        <v>0</v>
      </c>
      <c r="J45" s="714">
        <f>VLOOKUP($A45,'HRGs to TFCs 1'!A:K,J$1,0)</f>
        <v>341995.94633830385</v>
      </c>
      <c r="K45" s="712" t="str">
        <f>IF(ISERROR(VLOOKUP($A45,Mandatory!A:A,1,0)),"No","Yes")</f>
        <v>Yes</v>
      </c>
      <c r="L45" s="715">
        <f t="shared" si="0"/>
        <v>410314.04380657623</v>
      </c>
    </row>
    <row r="46" spans="1:12">
      <c r="A46" s="712">
        <v>259</v>
      </c>
      <c r="B46" s="713">
        <f>VLOOKUP($A46,'HRGs to TFCs 1'!A:K,B$1,0)</f>
        <v>0</v>
      </c>
      <c r="C46" s="713">
        <f>VLOOKUP($A46,'HRGs to TFCs 1'!A:K,C$1,0)</f>
        <v>21</v>
      </c>
      <c r="D46" s="713">
        <f>VLOOKUP($A46,'HRGs to TFCs 1'!A:K,D$1,0)</f>
        <v>0</v>
      </c>
      <c r="E46" s="713">
        <f>VLOOKUP($A46,'HRGs to TFCs 1'!A:K,E$1,0)</f>
        <v>138</v>
      </c>
      <c r="F46" s="713">
        <f>VLOOKUP($A46,'HRGs to TFCs 1'!A:K,F$1,0)</f>
        <v>159</v>
      </c>
      <c r="G46" s="714">
        <f>VLOOKUP($A46,'HRGs to TFCs 1'!A:K,G$1,0)</f>
        <v>0</v>
      </c>
      <c r="H46" s="714">
        <f>VLOOKUP($A46,'HRGs to TFCs 1'!A:K,H$1,0)</f>
        <v>8951.713706021892</v>
      </c>
      <c r="I46" s="714">
        <f>VLOOKUP($A46,'HRGs to TFCs 1'!A:K,I$1,0)</f>
        <v>0</v>
      </c>
      <c r="J46" s="714">
        <f>VLOOKUP($A46,'HRGs to TFCs 1'!A:K,J$1,0)</f>
        <v>62155.995439168051</v>
      </c>
      <c r="K46" s="712" t="str">
        <f>IF(ISERROR(VLOOKUP($A46,Mandatory!A:A,1,0)),"No","Yes")</f>
        <v>No</v>
      </c>
      <c r="L46" s="715">
        <f t="shared" si="0"/>
        <v>71107.709145189947</v>
      </c>
    </row>
    <row r="47" spans="1:12">
      <c r="A47" s="712">
        <v>260</v>
      </c>
      <c r="B47" s="713">
        <f>VLOOKUP($A47,'HRGs to TFCs 1'!A:K,B$1,0)</f>
        <v>0</v>
      </c>
      <c r="C47" s="713">
        <f>VLOOKUP($A47,'HRGs to TFCs 1'!A:K,C$1,0)</f>
        <v>1</v>
      </c>
      <c r="D47" s="713">
        <f>VLOOKUP($A47,'HRGs to TFCs 1'!A:K,D$1,0)</f>
        <v>0</v>
      </c>
      <c r="E47" s="713">
        <f>VLOOKUP($A47,'HRGs to TFCs 1'!A:K,E$1,0)</f>
        <v>53</v>
      </c>
      <c r="F47" s="713">
        <f>VLOOKUP($A47,'HRGs to TFCs 1'!A:K,F$1,0)</f>
        <v>54</v>
      </c>
      <c r="G47" s="714">
        <f>VLOOKUP($A47,'HRGs to TFCs 1'!A:K,G$1,0)</f>
        <v>0</v>
      </c>
      <c r="H47" s="714">
        <f>VLOOKUP($A47,'HRGs to TFCs 1'!A:K,H$1,0)</f>
        <v>79.981070719854699</v>
      </c>
      <c r="I47" s="714">
        <f>VLOOKUP($A47,'HRGs to TFCs 1'!A:K,I$1,0)</f>
        <v>0</v>
      </c>
      <c r="J47" s="714">
        <f>VLOOKUP($A47,'HRGs to TFCs 1'!A:K,J$1,0)</f>
        <v>7636.939911004376</v>
      </c>
      <c r="K47" s="712" t="str">
        <f>IF(ISERROR(VLOOKUP($A47,Mandatory!A:A,1,0)),"No","Yes")</f>
        <v>No</v>
      </c>
      <c r="L47" s="715">
        <f t="shared" si="0"/>
        <v>7716.9209817242308</v>
      </c>
    </row>
    <row r="48" spans="1:12">
      <c r="A48" s="712">
        <v>261</v>
      </c>
      <c r="B48" s="713">
        <f>VLOOKUP($A48,'HRGs to TFCs 1'!A:K,B$1,0)</f>
        <v>0</v>
      </c>
      <c r="C48" s="713">
        <f>VLOOKUP($A48,'HRGs to TFCs 1'!A:K,C$1,0)</f>
        <v>0</v>
      </c>
      <c r="D48" s="713">
        <f>VLOOKUP($A48,'HRGs to TFCs 1'!A:K,D$1,0)</f>
        <v>0</v>
      </c>
      <c r="E48" s="713">
        <f>VLOOKUP($A48,'HRGs to TFCs 1'!A:K,E$1,0)</f>
        <v>0</v>
      </c>
      <c r="F48" s="713">
        <f>VLOOKUP($A48,'HRGs to TFCs 1'!A:K,F$1,0)</f>
        <v>0</v>
      </c>
      <c r="G48" s="714">
        <f>VLOOKUP($A48,'HRGs to TFCs 1'!A:K,G$1,0)</f>
        <v>0</v>
      </c>
      <c r="H48" s="714">
        <f>VLOOKUP($A48,'HRGs to TFCs 1'!A:K,H$1,0)</f>
        <v>0</v>
      </c>
      <c r="I48" s="714">
        <f>VLOOKUP($A48,'HRGs to TFCs 1'!A:K,I$1,0)</f>
        <v>0</v>
      </c>
      <c r="J48" s="714">
        <f>VLOOKUP($A48,'HRGs to TFCs 1'!A:K,J$1,0)</f>
        <v>0</v>
      </c>
      <c r="K48" s="712" t="str">
        <f>IF(ISERROR(VLOOKUP($A48,Mandatory!A:A,1,0)),"No","Yes")</f>
        <v>No</v>
      </c>
      <c r="L48" s="715">
        <f t="shared" si="0"/>
        <v>0</v>
      </c>
    </row>
    <row r="49" spans="1:12">
      <c r="A49" s="712">
        <v>262</v>
      </c>
      <c r="B49" s="713">
        <f>VLOOKUP($A49,'HRGs to TFCs 1'!A:K,B$1,0)</f>
        <v>0</v>
      </c>
      <c r="C49" s="713">
        <f>VLOOKUP($A49,'HRGs to TFCs 1'!A:K,C$1,0)</f>
        <v>173</v>
      </c>
      <c r="D49" s="713">
        <f>VLOOKUP($A49,'HRGs to TFCs 1'!A:K,D$1,0)</f>
        <v>0</v>
      </c>
      <c r="E49" s="713">
        <f>VLOOKUP($A49,'HRGs to TFCs 1'!A:K,E$1,0)</f>
        <v>592</v>
      </c>
      <c r="F49" s="713">
        <f>VLOOKUP($A49,'HRGs to TFCs 1'!A:K,F$1,0)</f>
        <v>765</v>
      </c>
      <c r="G49" s="714">
        <f>VLOOKUP($A49,'HRGs to TFCs 1'!A:K,G$1,0)</f>
        <v>0</v>
      </c>
      <c r="H49" s="714">
        <f>VLOOKUP($A49,'HRGs to TFCs 1'!A:K,H$1,0)</f>
        <v>63228.988026123741</v>
      </c>
      <c r="I49" s="714">
        <f>VLOOKUP($A49,'HRGs to TFCs 1'!A:K,I$1,0)</f>
        <v>0</v>
      </c>
      <c r="J49" s="714">
        <f>VLOOKUP($A49,'HRGs to TFCs 1'!A:K,J$1,0)</f>
        <v>192222.07895870967</v>
      </c>
      <c r="K49" s="712" t="str">
        <f>IF(ISERROR(VLOOKUP($A49,Mandatory!A:A,1,0)),"No","Yes")</f>
        <v>No</v>
      </c>
      <c r="L49" s="715">
        <f t="shared" si="0"/>
        <v>255451.06698483339</v>
      </c>
    </row>
    <row r="50" spans="1:12">
      <c r="A50" s="712">
        <v>300</v>
      </c>
      <c r="B50" s="713">
        <f>VLOOKUP($A50,'HRGs to TFCs 1'!A:K,B$1,0)</f>
        <v>0</v>
      </c>
      <c r="C50" s="713">
        <f>VLOOKUP($A50,'HRGs to TFCs 1'!A:K,C$1,0)</f>
        <v>6913</v>
      </c>
      <c r="D50" s="713">
        <f>VLOOKUP($A50,'HRGs to TFCs 1'!A:K,D$1,0)</f>
        <v>0</v>
      </c>
      <c r="E50" s="713">
        <f>VLOOKUP($A50,'HRGs to TFCs 1'!A:K,E$1,0)</f>
        <v>12722</v>
      </c>
      <c r="F50" s="713">
        <f>VLOOKUP($A50,'HRGs to TFCs 1'!A:K,F$1,0)</f>
        <v>19635</v>
      </c>
      <c r="G50" s="714">
        <f>VLOOKUP($A50,'HRGs to TFCs 1'!A:K,G$1,0)</f>
        <v>0</v>
      </c>
      <c r="H50" s="714">
        <f>VLOOKUP($A50,'HRGs to TFCs 1'!A:K,H$1,0)</f>
        <v>1131573.2590646972</v>
      </c>
      <c r="I50" s="714">
        <f>VLOOKUP($A50,'HRGs to TFCs 1'!A:K,I$1,0)</f>
        <v>0</v>
      </c>
      <c r="J50" s="714">
        <f>VLOOKUP($A50,'HRGs to TFCs 1'!A:K,J$1,0)</f>
        <v>1877016.9242704292</v>
      </c>
      <c r="K50" s="712" t="str">
        <f>IF(ISERROR(VLOOKUP($A50,Mandatory!A:A,1,0)),"No","Yes")</f>
        <v>Yes</v>
      </c>
      <c r="L50" s="715">
        <f t="shared" si="0"/>
        <v>3008590.1833351264</v>
      </c>
    </row>
    <row r="51" spans="1:12">
      <c r="A51" s="712">
        <v>301</v>
      </c>
      <c r="B51" s="713">
        <f>VLOOKUP($A51,'HRGs to TFCs 1'!A:K,B$1,0)</f>
        <v>0</v>
      </c>
      <c r="C51" s="713">
        <f>VLOOKUP($A51,'HRGs to TFCs 1'!A:K,C$1,0)</f>
        <v>1443</v>
      </c>
      <c r="D51" s="713">
        <f>VLOOKUP($A51,'HRGs to TFCs 1'!A:K,D$1,0)</f>
        <v>0</v>
      </c>
      <c r="E51" s="713">
        <f>VLOOKUP($A51,'HRGs to TFCs 1'!A:K,E$1,0)</f>
        <v>1688</v>
      </c>
      <c r="F51" s="713">
        <f>VLOOKUP($A51,'HRGs to TFCs 1'!A:K,F$1,0)</f>
        <v>3131</v>
      </c>
      <c r="G51" s="714">
        <f>VLOOKUP($A51,'HRGs to TFCs 1'!A:K,G$1,0)</f>
        <v>0</v>
      </c>
      <c r="H51" s="714">
        <f>VLOOKUP($A51,'HRGs to TFCs 1'!A:K,H$1,0)</f>
        <v>467753.73294159153</v>
      </c>
      <c r="I51" s="714">
        <f>VLOOKUP($A51,'HRGs to TFCs 1'!A:K,I$1,0)</f>
        <v>0</v>
      </c>
      <c r="J51" s="714">
        <f>VLOOKUP($A51,'HRGs to TFCs 1'!A:K,J$1,0)</f>
        <v>384757.19906083669</v>
      </c>
      <c r="K51" s="712" t="str">
        <f>IF(ISERROR(VLOOKUP($A51,Mandatory!A:A,1,0)),"No","Yes")</f>
        <v>Yes</v>
      </c>
      <c r="L51" s="715">
        <f t="shared" si="0"/>
        <v>852510.93200242822</v>
      </c>
    </row>
    <row r="52" spans="1:12">
      <c r="A52" s="712">
        <v>302</v>
      </c>
      <c r="B52" s="713">
        <f>VLOOKUP($A52,'HRGs to TFCs 1'!A:K,B$1,0)</f>
        <v>0</v>
      </c>
      <c r="C52" s="713">
        <f>VLOOKUP($A52,'HRGs to TFCs 1'!A:K,C$1,0)</f>
        <v>153</v>
      </c>
      <c r="D52" s="713">
        <f>VLOOKUP($A52,'HRGs to TFCs 1'!A:K,D$1,0)</f>
        <v>0</v>
      </c>
      <c r="E52" s="713">
        <f>VLOOKUP($A52,'HRGs to TFCs 1'!A:K,E$1,0)</f>
        <v>299</v>
      </c>
      <c r="F52" s="713">
        <f>VLOOKUP($A52,'HRGs to TFCs 1'!A:K,F$1,0)</f>
        <v>452</v>
      </c>
      <c r="G52" s="714">
        <f>VLOOKUP($A52,'HRGs to TFCs 1'!A:K,G$1,0)</f>
        <v>0</v>
      </c>
      <c r="H52" s="714">
        <f>VLOOKUP($A52,'HRGs to TFCs 1'!A:K,H$1,0)</f>
        <v>41931.817609477017</v>
      </c>
      <c r="I52" s="714">
        <f>VLOOKUP($A52,'HRGs to TFCs 1'!A:K,I$1,0)</f>
        <v>0</v>
      </c>
      <c r="J52" s="714">
        <f>VLOOKUP($A52,'HRGs to TFCs 1'!A:K,J$1,0)</f>
        <v>85757.23773689958</v>
      </c>
      <c r="K52" s="712" t="str">
        <f>IF(ISERROR(VLOOKUP($A52,Mandatory!A:A,1,0)),"No","Yes")</f>
        <v>Yes</v>
      </c>
      <c r="L52" s="715">
        <f t="shared" si="0"/>
        <v>127689.0553463766</v>
      </c>
    </row>
    <row r="53" spans="1:12">
      <c r="A53" s="712">
        <v>303</v>
      </c>
      <c r="B53" s="713">
        <f>VLOOKUP($A53,'HRGs to TFCs 1'!A:K,B$1,0)</f>
        <v>0</v>
      </c>
      <c r="C53" s="713">
        <f>VLOOKUP($A53,'HRGs to TFCs 1'!A:K,C$1,0)</f>
        <v>624</v>
      </c>
      <c r="D53" s="713">
        <f>VLOOKUP($A53,'HRGs to TFCs 1'!A:K,D$1,0)</f>
        <v>0</v>
      </c>
      <c r="E53" s="713">
        <f>VLOOKUP($A53,'HRGs to TFCs 1'!A:K,E$1,0)</f>
        <v>5615</v>
      </c>
      <c r="F53" s="713">
        <f>VLOOKUP($A53,'HRGs to TFCs 1'!A:K,F$1,0)</f>
        <v>6239</v>
      </c>
      <c r="G53" s="714">
        <f>VLOOKUP($A53,'HRGs to TFCs 1'!A:K,G$1,0)</f>
        <v>0</v>
      </c>
      <c r="H53" s="714">
        <f>VLOOKUP($A53,'HRGs to TFCs 1'!A:K,H$1,0)</f>
        <v>136375.28542538319</v>
      </c>
      <c r="I53" s="714">
        <f>VLOOKUP($A53,'HRGs to TFCs 1'!A:K,I$1,0)</f>
        <v>0</v>
      </c>
      <c r="J53" s="714">
        <f>VLOOKUP($A53,'HRGs to TFCs 1'!A:K,J$1,0)</f>
        <v>1146220.9610824818</v>
      </c>
      <c r="K53" s="712" t="str">
        <f>IF(ISERROR(VLOOKUP($A53,Mandatory!A:A,1,0)),"No","Yes")</f>
        <v>Yes</v>
      </c>
      <c r="L53" s="715">
        <f t="shared" si="0"/>
        <v>1282596.2465078649</v>
      </c>
    </row>
    <row r="54" spans="1:12">
      <c r="A54" s="712">
        <v>304</v>
      </c>
      <c r="B54" s="713">
        <f>VLOOKUP($A54,'HRGs to TFCs 1'!A:K,B$1,0)</f>
        <v>0</v>
      </c>
      <c r="C54" s="713">
        <f>VLOOKUP($A54,'HRGs to TFCs 1'!A:K,C$1,0)</f>
        <v>2185</v>
      </c>
      <c r="D54" s="713">
        <f>VLOOKUP($A54,'HRGs to TFCs 1'!A:K,D$1,0)</f>
        <v>0</v>
      </c>
      <c r="E54" s="713">
        <f>VLOOKUP($A54,'HRGs to TFCs 1'!A:K,E$1,0)</f>
        <v>1471</v>
      </c>
      <c r="F54" s="713">
        <f>VLOOKUP($A54,'HRGs to TFCs 1'!A:K,F$1,0)</f>
        <v>3656</v>
      </c>
      <c r="G54" s="714">
        <f>VLOOKUP($A54,'HRGs to TFCs 1'!A:K,G$1,0)</f>
        <v>0</v>
      </c>
      <c r="H54" s="714">
        <f>VLOOKUP($A54,'HRGs to TFCs 1'!A:K,H$1,0)</f>
        <v>373139.38644823094</v>
      </c>
      <c r="I54" s="714">
        <f>VLOOKUP($A54,'HRGs to TFCs 1'!A:K,I$1,0)</f>
        <v>0</v>
      </c>
      <c r="J54" s="714">
        <f>VLOOKUP($A54,'HRGs to TFCs 1'!A:K,J$1,0)</f>
        <v>225276.1265723808</v>
      </c>
      <c r="K54" s="712" t="str">
        <f>IF(ISERROR(VLOOKUP($A54,Mandatory!A:A,1,0)),"No","Yes")</f>
        <v>No</v>
      </c>
      <c r="L54" s="715">
        <f t="shared" si="0"/>
        <v>598415.51302061172</v>
      </c>
    </row>
    <row r="55" spans="1:12">
      <c r="A55" s="712">
        <v>306</v>
      </c>
      <c r="B55" s="713">
        <f>VLOOKUP($A55,'HRGs to TFCs 1'!A:K,B$1,0)</f>
        <v>0</v>
      </c>
      <c r="C55" s="713">
        <f>VLOOKUP($A55,'HRGs to TFCs 1'!A:K,C$1,0)</f>
        <v>72</v>
      </c>
      <c r="D55" s="713">
        <f>VLOOKUP($A55,'HRGs to TFCs 1'!A:K,D$1,0)</f>
        <v>0</v>
      </c>
      <c r="E55" s="713">
        <f>VLOOKUP($A55,'HRGs to TFCs 1'!A:K,E$1,0)</f>
        <v>564</v>
      </c>
      <c r="F55" s="713">
        <f>VLOOKUP($A55,'HRGs to TFCs 1'!A:K,F$1,0)</f>
        <v>636</v>
      </c>
      <c r="G55" s="714">
        <f>VLOOKUP($A55,'HRGs to TFCs 1'!A:K,G$1,0)</f>
        <v>0</v>
      </c>
      <c r="H55" s="714">
        <f>VLOOKUP($A55,'HRGs to TFCs 1'!A:K,H$1,0)</f>
        <v>21338.111924307883</v>
      </c>
      <c r="I55" s="714">
        <f>VLOOKUP($A55,'HRGs to TFCs 1'!A:K,I$1,0)</f>
        <v>0</v>
      </c>
      <c r="J55" s="714">
        <f>VLOOKUP($A55,'HRGs to TFCs 1'!A:K,J$1,0)</f>
        <v>202194.33701288598</v>
      </c>
      <c r="K55" s="712" t="str">
        <f>IF(ISERROR(VLOOKUP($A55,Mandatory!A:A,1,0)),"No","Yes")</f>
        <v>Yes</v>
      </c>
      <c r="L55" s="715">
        <f t="shared" si="0"/>
        <v>223532.44893719387</v>
      </c>
    </row>
    <row r="56" spans="1:12">
      <c r="A56" s="712">
        <v>307</v>
      </c>
      <c r="B56" s="713">
        <f>VLOOKUP($A56,'HRGs to TFCs 1'!A:K,B$1,0)</f>
        <v>0</v>
      </c>
      <c r="C56" s="713">
        <f>VLOOKUP($A56,'HRGs to TFCs 1'!A:K,C$1,0)</f>
        <v>553</v>
      </c>
      <c r="D56" s="713">
        <f>VLOOKUP($A56,'HRGs to TFCs 1'!A:K,D$1,0)</f>
        <v>0</v>
      </c>
      <c r="E56" s="713">
        <f>VLOOKUP($A56,'HRGs to TFCs 1'!A:K,E$1,0)</f>
        <v>4399</v>
      </c>
      <c r="F56" s="713">
        <f>VLOOKUP($A56,'HRGs to TFCs 1'!A:K,F$1,0)</f>
        <v>4952</v>
      </c>
      <c r="G56" s="714">
        <f>VLOOKUP($A56,'HRGs to TFCs 1'!A:K,G$1,0)</f>
        <v>0</v>
      </c>
      <c r="H56" s="714">
        <f>VLOOKUP($A56,'HRGs to TFCs 1'!A:K,H$1,0)</f>
        <v>80050.412453284778</v>
      </c>
      <c r="I56" s="714">
        <f>VLOOKUP($A56,'HRGs to TFCs 1'!A:K,I$1,0)</f>
        <v>0</v>
      </c>
      <c r="J56" s="714">
        <f>VLOOKUP($A56,'HRGs to TFCs 1'!A:K,J$1,0)</f>
        <v>578999.04241674067</v>
      </c>
      <c r="K56" s="712" t="str">
        <f>IF(ISERROR(VLOOKUP($A56,Mandatory!A:A,1,0)),"No","Yes")</f>
        <v>Yes</v>
      </c>
      <c r="L56" s="715">
        <f t="shared" si="0"/>
        <v>659049.45487002539</v>
      </c>
    </row>
    <row r="57" spans="1:12">
      <c r="A57" s="712">
        <v>308</v>
      </c>
      <c r="B57" s="713">
        <f>VLOOKUP($A57,'HRGs to TFCs 1'!A:K,B$1,0)</f>
        <v>0</v>
      </c>
      <c r="C57" s="713">
        <f>VLOOKUP($A57,'HRGs to TFCs 1'!A:K,C$1,0)</f>
        <v>18</v>
      </c>
      <c r="D57" s="713">
        <f>VLOOKUP($A57,'HRGs to TFCs 1'!A:K,D$1,0)</f>
        <v>0</v>
      </c>
      <c r="E57" s="713">
        <f>VLOOKUP($A57,'HRGs to TFCs 1'!A:K,E$1,0)</f>
        <v>213</v>
      </c>
      <c r="F57" s="713">
        <f>VLOOKUP($A57,'HRGs to TFCs 1'!A:K,F$1,0)</f>
        <v>231</v>
      </c>
      <c r="G57" s="714">
        <f>VLOOKUP($A57,'HRGs to TFCs 1'!A:K,G$1,0)</f>
        <v>0</v>
      </c>
      <c r="H57" s="714">
        <f>VLOOKUP($A57,'HRGs to TFCs 1'!A:K,H$1,0)</f>
        <v>4605.6413510083621</v>
      </c>
      <c r="I57" s="714">
        <f>VLOOKUP($A57,'HRGs to TFCs 1'!A:K,I$1,0)</f>
        <v>0</v>
      </c>
      <c r="J57" s="714">
        <f>VLOOKUP($A57,'HRGs to TFCs 1'!A:K,J$1,0)</f>
        <v>55273.307030313605</v>
      </c>
      <c r="K57" s="712" t="str">
        <f>IF(ISERROR(VLOOKUP($A57,Mandatory!A:A,1,0)),"No","Yes")</f>
        <v>No</v>
      </c>
      <c r="L57" s="715">
        <f t="shared" si="0"/>
        <v>59878.94838132197</v>
      </c>
    </row>
    <row r="58" spans="1:12">
      <c r="A58" s="712">
        <v>313</v>
      </c>
      <c r="B58" s="713">
        <f>VLOOKUP($A58,'HRGs to TFCs 1'!A:K,B$1,0)</f>
        <v>0</v>
      </c>
      <c r="C58" s="713">
        <f>VLOOKUP($A58,'HRGs to TFCs 1'!A:K,C$1,0)</f>
        <v>55</v>
      </c>
      <c r="D58" s="713">
        <f>VLOOKUP($A58,'HRGs to TFCs 1'!A:K,D$1,0)</f>
        <v>0</v>
      </c>
      <c r="E58" s="713">
        <f>VLOOKUP($A58,'HRGs to TFCs 1'!A:K,E$1,0)</f>
        <v>730</v>
      </c>
      <c r="F58" s="713">
        <f>VLOOKUP($A58,'HRGs to TFCs 1'!A:K,F$1,0)</f>
        <v>785</v>
      </c>
      <c r="G58" s="714">
        <f>VLOOKUP($A58,'HRGs to TFCs 1'!A:K,G$1,0)</f>
        <v>0</v>
      </c>
      <c r="H58" s="714">
        <f>VLOOKUP($A58,'HRGs to TFCs 1'!A:K,H$1,0)</f>
        <v>7433.3392274349353</v>
      </c>
      <c r="I58" s="714">
        <f>VLOOKUP($A58,'HRGs to TFCs 1'!A:K,I$1,0)</f>
        <v>0</v>
      </c>
      <c r="J58" s="714">
        <f>VLOOKUP($A58,'HRGs to TFCs 1'!A:K,J$1,0)</f>
        <v>97858.285880814612</v>
      </c>
      <c r="K58" s="712" t="str">
        <f>IF(ISERROR(VLOOKUP($A58,Mandatory!A:A,1,0)),"No","Yes")</f>
        <v>No</v>
      </c>
      <c r="L58" s="715">
        <f t="shared" si="0"/>
        <v>105291.62510824954</v>
      </c>
    </row>
    <row r="59" spans="1:12">
      <c r="A59" s="712">
        <v>314</v>
      </c>
      <c r="B59" s="713">
        <f>VLOOKUP($A59,'HRGs to TFCs 1'!A:K,B$1,0)</f>
        <v>0</v>
      </c>
      <c r="C59" s="713">
        <f>VLOOKUP($A59,'HRGs to TFCs 1'!A:K,C$1,0)</f>
        <v>228</v>
      </c>
      <c r="D59" s="713">
        <f>VLOOKUP($A59,'HRGs to TFCs 1'!A:K,D$1,0)</f>
        <v>0</v>
      </c>
      <c r="E59" s="713">
        <f>VLOOKUP($A59,'HRGs to TFCs 1'!A:K,E$1,0)</f>
        <v>626</v>
      </c>
      <c r="F59" s="713">
        <f>VLOOKUP($A59,'HRGs to TFCs 1'!A:K,F$1,0)</f>
        <v>854</v>
      </c>
      <c r="G59" s="714">
        <f>VLOOKUP($A59,'HRGs to TFCs 1'!A:K,G$1,0)</f>
        <v>0</v>
      </c>
      <c r="H59" s="714">
        <f>VLOOKUP($A59,'HRGs to TFCs 1'!A:K,H$1,0)</f>
        <v>22878.921950209809</v>
      </c>
      <c r="I59" s="714">
        <f>VLOOKUP($A59,'HRGs to TFCs 1'!A:K,I$1,0)</f>
        <v>0</v>
      </c>
      <c r="J59" s="714">
        <f>VLOOKUP($A59,'HRGs to TFCs 1'!A:K,J$1,0)</f>
        <v>88959.220155855655</v>
      </c>
      <c r="K59" s="712" t="str">
        <f>IF(ISERROR(VLOOKUP($A59,Mandatory!A:A,1,0)),"No","Yes")</f>
        <v>No</v>
      </c>
      <c r="L59" s="715">
        <f t="shared" si="0"/>
        <v>111838.14210606547</v>
      </c>
    </row>
    <row r="60" spans="1:12">
      <c r="A60" s="712">
        <v>316</v>
      </c>
      <c r="B60" s="713">
        <f>VLOOKUP($A60,'HRGs to TFCs 1'!A:K,B$1,0)</f>
        <v>0</v>
      </c>
      <c r="C60" s="713">
        <f>VLOOKUP($A60,'HRGs to TFCs 1'!A:K,C$1,0)</f>
        <v>18</v>
      </c>
      <c r="D60" s="713">
        <f>VLOOKUP($A60,'HRGs to TFCs 1'!A:K,D$1,0)</f>
        <v>0</v>
      </c>
      <c r="E60" s="713">
        <f>VLOOKUP($A60,'HRGs to TFCs 1'!A:K,E$1,0)</f>
        <v>45</v>
      </c>
      <c r="F60" s="713">
        <f>VLOOKUP($A60,'HRGs to TFCs 1'!A:K,F$1,0)</f>
        <v>63</v>
      </c>
      <c r="G60" s="714">
        <f>VLOOKUP($A60,'HRGs to TFCs 1'!A:K,G$1,0)</f>
        <v>0</v>
      </c>
      <c r="H60" s="714">
        <f>VLOOKUP($A60,'HRGs to TFCs 1'!A:K,H$1,0)</f>
        <v>2148.4612307252896</v>
      </c>
      <c r="I60" s="714">
        <f>VLOOKUP($A60,'HRGs to TFCs 1'!A:K,I$1,0)</f>
        <v>0</v>
      </c>
      <c r="J60" s="714">
        <f>VLOOKUP($A60,'HRGs to TFCs 1'!A:K,J$1,0)</f>
        <v>6569.7951034860089</v>
      </c>
      <c r="K60" s="712" t="str">
        <f>IF(ISERROR(VLOOKUP($A60,Mandatory!A:A,1,0)),"No","Yes")</f>
        <v>No</v>
      </c>
      <c r="L60" s="715">
        <f t="shared" si="0"/>
        <v>8718.256334211299</v>
      </c>
    </row>
    <row r="61" spans="1:12">
      <c r="A61" s="712">
        <v>320</v>
      </c>
      <c r="B61" s="713">
        <f>VLOOKUP($A61,'HRGs to TFCs 1'!A:K,B$1,0)</f>
        <v>0</v>
      </c>
      <c r="C61" s="713">
        <f>VLOOKUP($A61,'HRGs to TFCs 1'!A:K,C$1,0)</f>
        <v>8193</v>
      </c>
      <c r="D61" s="713">
        <f>VLOOKUP($A61,'HRGs to TFCs 1'!A:K,D$1,0)</f>
        <v>0</v>
      </c>
      <c r="E61" s="713">
        <f>VLOOKUP($A61,'HRGs to TFCs 1'!A:K,E$1,0)</f>
        <v>10148</v>
      </c>
      <c r="F61" s="713">
        <f>VLOOKUP($A61,'HRGs to TFCs 1'!A:K,F$1,0)</f>
        <v>18341</v>
      </c>
      <c r="G61" s="714">
        <f>VLOOKUP($A61,'HRGs to TFCs 1'!A:K,G$1,0)</f>
        <v>0</v>
      </c>
      <c r="H61" s="714">
        <f>VLOOKUP($A61,'HRGs to TFCs 1'!A:K,H$1,0)</f>
        <v>864289.76086876774</v>
      </c>
      <c r="I61" s="714">
        <f>VLOOKUP($A61,'HRGs to TFCs 1'!A:K,I$1,0)</f>
        <v>0</v>
      </c>
      <c r="J61" s="714">
        <f>VLOOKUP($A61,'HRGs to TFCs 1'!A:K,J$1,0)</f>
        <v>1102811.1927780358</v>
      </c>
      <c r="K61" s="712" t="str">
        <f>IF(ISERROR(VLOOKUP($A61,Mandatory!A:A,1,0)),"No","Yes")</f>
        <v>Yes</v>
      </c>
      <c r="L61" s="715">
        <f t="shared" si="0"/>
        <v>1967100.9536468035</v>
      </c>
    </row>
    <row r="62" spans="1:12">
      <c r="A62" s="712">
        <v>321</v>
      </c>
      <c r="B62" s="713">
        <f>VLOOKUP($A62,'HRGs to TFCs 1'!A:K,B$1,0)</f>
        <v>0</v>
      </c>
      <c r="C62" s="713">
        <f>VLOOKUP($A62,'HRGs to TFCs 1'!A:K,C$1,0)</f>
        <v>780</v>
      </c>
      <c r="D62" s="713">
        <f>VLOOKUP($A62,'HRGs to TFCs 1'!A:K,D$1,0)</f>
        <v>0</v>
      </c>
      <c r="E62" s="713">
        <f>VLOOKUP($A62,'HRGs to TFCs 1'!A:K,E$1,0)</f>
        <v>761</v>
      </c>
      <c r="F62" s="713">
        <f>VLOOKUP($A62,'HRGs to TFCs 1'!A:K,F$1,0)</f>
        <v>1541</v>
      </c>
      <c r="G62" s="714">
        <f>VLOOKUP($A62,'HRGs to TFCs 1'!A:K,G$1,0)</f>
        <v>0</v>
      </c>
      <c r="H62" s="714">
        <f>VLOOKUP($A62,'HRGs to TFCs 1'!A:K,H$1,0)</f>
        <v>50400.325874747818</v>
      </c>
      <c r="I62" s="714">
        <f>VLOOKUP($A62,'HRGs to TFCs 1'!A:K,I$1,0)</f>
        <v>0</v>
      </c>
      <c r="J62" s="714">
        <f>VLOOKUP($A62,'HRGs to TFCs 1'!A:K,J$1,0)</f>
        <v>50245.597454932686</v>
      </c>
      <c r="K62" s="712" t="str">
        <f>IF(ISERROR(VLOOKUP($A62,Mandatory!A:A,1,0)),"No","Yes")</f>
        <v>Yes</v>
      </c>
      <c r="L62" s="715">
        <f t="shared" si="0"/>
        <v>100645.9233296805</v>
      </c>
    </row>
    <row r="63" spans="1:12">
      <c r="A63" s="712">
        <v>323</v>
      </c>
      <c r="B63" s="713">
        <f>VLOOKUP($A63,'HRGs to TFCs 1'!A:K,B$1,0)</f>
        <v>0</v>
      </c>
      <c r="C63" s="713">
        <f>VLOOKUP($A63,'HRGs to TFCs 1'!A:K,C$1,0)</f>
        <v>21</v>
      </c>
      <c r="D63" s="713">
        <f>VLOOKUP($A63,'HRGs to TFCs 1'!A:K,D$1,0)</f>
        <v>0</v>
      </c>
      <c r="E63" s="713">
        <f>VLOOKUP($A63,'HRGs to TFCs 1'!A:K,E$1,0)</f>
        <v>798</v>
      </c>
      <c r="F63" s="713">
        <f>VLOOKUP($A63,'HRGs to TFCs 1'!A:K,F$1,0)</f>
        <v>819</v>
      </c>
      <c r="G63" s="714">
        <f>VLOOKUP($A63,'HRGs to TFCs 1'!A:K,G$1,0)</f>
        <v>0</v>
      </c>
      <c r="H63" s="714">
        <f>VLOOKUP($A63,'HRGs to TFCs 1'!A:K,H$1,0)</f>
        <v>2454.244397787691</v>
      </c>
      <c r="I63" s="714">
        <f>VLOOKUP($A63,'HRGs to TFCs 1'!A:K,I$1,0)</f>
        <v>0</v>
      </c>
      <c r="J63" s="714">
        <f>VLOOKUP($A63,'HRGs to TFCs 1'!A:K,J$1,0)</f>
        <v>106723.90809973692</v>
      </c>
      <c r="K63" s="712" t="str">
        <f>IF(ISERROR(VLOOKUP($A63,Mandatory!A:A,1,0)),"No","Yes")</f>
        <v>No</v>
      </c>
      <c r="L63" s="715">
        <f t="shared" si="0"/>
        <v>109178.15249752461</v>
      </c>
    </row>
    <row r="64" spans="1:12">
      <c r="A64" s="712">
        <v>324</v>
      </c>
      <c r="B64" s="713">
        <f>VLOOKUP($A64,'HRGs to TFCs 1'!A:K,B$1,0)</f>
        <v>0</v>
      </c>
      <c r="C64" s="713">
        <f>VLOOKUP($A64,'HRGs to TFCs 1'!A:K,C$1,0)</f>
        <v>2</v>
      </c>
      <c r="D64" s="713">
        <f>VLOOKUP($A64,'HRGs to TFCs 1'!A:K,D$1,0)</f>
        <v>0</v>
      </c>
      <c r="E64" s="713">
        <f>VLOOKUP($A64,'HRGs to TFCs 1'!A:K,E$1,0)</f>
        <v>53</v>
      </c>
      <c r="F64" s="713">
        <f>VLOOKUP($A64,'HRGs to TFCs 1'!A:K,F$1,0)</f>
        <v>55</v>
      </c>
      <c r="G64" s="714">
        <f>VLOOKUP($A64,'HRGs to TFCs 1'!A:K,G$1,0)</f>
        <v>0</v>
      </c>
      <c r="H64" s="714">
        <f>VLOOKUP($A64,'HRGs to TFCs 1'!A:K,H$1,0)</f>
        <v>314.7886576767068</v>
      </c>
      <c r="I64" s="714">
        <f>VLOOKUP($A64,'HRGs to TFCs 1'!A:K,I$1,0)</f>
        <v>0</v>
      </c>
      <c r="J64" s="714">
        <f>VLOOKUP($A64,'HRGs to TFCs 1'!A:K,J$1,0)</f>
        <v>6568.6386490386758</v>
      </c>
      <c r="K64" s="712" t="str">
        <f>IF(ISERROR(VLOOKUP($A64,Mandatory!A:A,1,0)),"No","Yes")</f>
        <v>No</v>
      </c>
      <c r="L64" s="715">
        <f t="shared" si="0"/>
        <v>6883.4273067153827</v>
      </c>
    </row>
    <row r="65" spans="1:12">
      <c r="A65" s="712">
        <v>330</v>
      </c>
      <c r="B65" s="713">
        <f>VLOOKUP($A65,'HRGs to TFCs 1'!A:K,B$1,0)</f>
        <v>0</v>
      </c>
      <c r="C65" s="713">
        <f>VLOOKUP($A65,'HRGs to TFCs 1'!A:K,C$1,0)</f>
        <v>6135</v>
      </c>
      <c r="D65" s="713">
        <f>VLOOKUP($A65,'HRGs to TFCs 1'!A:K,D$1,0)</f>
        <v>0</v>
      </c>
      <c r="E65" s="713">
        <f>VLOOKUP($A65,'HRGs to TFCs 1'!A:K,E$1,0)</f>
        <v>45964</v>
      </c>
      <c r="F65" s="713">
        <f>VLOOKUP($A65,'HRGs to TFCs 1'!A:K,F$1,0)</f>
        <v>52099</v>
      </c>
      <c r="G65" s="714">
        <f>VLOOKUP($A65,'HRGs to TFCs 1'!A:K,G$1,0)</f>
        <v>0</v>
      </c>
      <c r="H65" s="714">
        <f>VLOOKUP($A65,'HRGs to TFCs 1'!A:K,H$1,0)</f>
        <v>678283.64813821611</v>
      </c>
      <c r="I65" s="714">
        <f>VLOOKUP($A65,'HRGs to TFCs 1'!A:K,I$1,0)</f>
        <v>0</v>
      </c>
      <c r="J65" s="714">
        <f>VLOOKUP($A65,'HRGs to TFCs 1'!A:K,J$1,0)</f>
        <v>4726680.8250682931</v>
      </c>
      <c r="K65" s="712" t="str">
        <f>IF(ISERROR(VLOOKUP($A65,Mandatory!A:A,1,0)),"No","Yes")</f>
        <v>Yes</v>
      </c>
      <c r="L65" s="715">
        <f t="shared" si="0"/>
        <v>5404964.4732065089</v>
      </c>
    </row>
    <row r="66" spans="1:12">
      <c r="A66" s="712">
        <v>340</v>
      </c>
      <c r="B66" s="713">
        <f>VLOOKUP($A66,'HRGs to TFCs 1'!A:K,B$1,0)</f>
        <v>0</v>
      </c>
      <c r="C66" s="713">
        <f>VLOOKUP($A66,'HRGs to TFCs 1'!A:K,C$1,0)</f>
        <v>48655</v>
      </c>
      <c r="D66" s="713">
        <f>VLOOKUP($A66,'HRGs to TFCs 1'!A:K,D$1,0)</f>
        <v>0</v>
      </c>
      <c r="E66" s="713">
        <f>VLOOKUP($A66,'HRGs to TFCs 1'!A:K,E$1,0)</f>
        <v>79645</v>
      </c>
      <c r="F66" s="713">
        <f>VLOOKUP($A66,'HRGs to TFCs 1'!A:K,F$1,0)</f>
        <v>128300</v>
      </c>
      <c r="G66" s="714">
        <f>VLOOKUP($A66,'HRGs to TFCs 1'!A:K,G$1,0)</f>
        <v>0</v>
      </c>
      <c r="H66" s="714">
        <f>VLOOKUP($A66,'HRGs to TFCs 1'!A:K,H$1,0)</f>
        <v>6592969.4825314889</v>
      </c>
      <c r="I66" s="714">
        <f>VLOOKUP($A66,'HRGs to TFCs 1'!A:K,I$1,0)</f>
        <v>0</v>
      </c>
      <c r="J66" s="714">
        <f>VLOOKUP($A66,'HRGs to TFCs 1'!A:K,J$1,0)</f>
        <v>10596212.504282042</v>
      </c>
      <c r="K66" s="712" t="str">
        <f>IF(ISERROR(VLOOKUP($A66,Mandatory!A:A,1,0)),"No","Yes")</f>
        <v>Yes</v>
      </c>
      <c r="L66" s="715">
        <f t="shared" si="0"/>
        <v>17189181.98681353</v>
      </c>
    </row>
    <row r="67" spans="1:12">
      <c r="A67" s="712">
        <v>341</v>
      </c>
      <c r="B67" s="713">
        <f>VLOOKUP($A67,'HRGs to TFCs 1'!A:K,B$1,0)</f>
        <v>0</v>
      </c>
      <c r="C67" s="713">
        <f>VLOOKUP($A67,'HRGs to TFCs 1'!A:K,C$1,0)</f>
        <v>2523</v>
      </c>
      <c r="D67" s="713">
        <f>VLOOKUP($A67,'HRGs to TFCs 1'!A:K,D$1,0)</f>
        <v>0</v>
      </c>
      <c r="E67" s="713">
        <f>VLOOKUP($A67,'HRGs to TFCs 1'!A:K,E$1,0)</f>
        <v>4340</v>
      </c>
      <c r="F67" s="713">
        <f>VLOOKUP($A67,'HRGs to TFCs 1'!A:K,F$1,0)</f>
        <v>6863</v>
      </c>
      <c r="G67" s="714">
        <f>VLOOKUP($A67,'HRGs to TFCs 1'!A:K,G$1,0)</f>
        <v>0</v>
      </c>
      <c r="H67" s="714">
        <f>VLOOKUP($A67,'HRGs to TFCs 1'!A:K,H$1,0)</f>
        <v>323266.70009245811</v>
      </c>
      <c r="I67" s="714">
        <f>VLOOKUP($A67,'HRGs to TFCs 1'!A:K,I$1,0)</f>
        <v>0</v>
      </c>
      <c r="J67" s="714">
        <f>VLOOKUP($A67,'HRGs to TFCs 1'!A:K,J$1,0)</f>
        <v>578962.22274860425</v>
      </c>
      <c r="K67" s="712" t="str">
        <f>IF(ISERROR(VLOOKUP($A67,Mandatory!A:A,1,0)),"No","Yes")</f>
        <v>Yes</v>
      </c>
      <c r="L67" s="715">
        <f t="shared" si="0"/>
        <v>902228.9228410623</v>
      </c>
    </row>
    <row r="68" spans="1:12">
      <c r="A68" s="712">
        <v>350</v>
      </c>
      <c r="B68" s="713">
        <f>VLOOKUP($A68,'HRGs to TFCs 1'!A:K,B$1,0)</f>
        <v>0</v>
      </c>
      <c r="C68" s="713">
        <f>VLOOKUP($A68,'HRGs to TFCs 1'!A:K,C$1,0)</f>
        <v>56</v>
      </c>
      <c r="D68" s="713">
        <f>VLOOKUP($A68,'HRGs to TFCs 1'!A:K,D$1,0)</f>
        <v>0</v>
      </c>
      <c r="E68" s="713">
        <f>VLOOKUP($A68,'HRGs to TFCs 1'!A:K,E$1,0)</f>
        <v>266</v>
      </c>
      <c r="F68" s="713">
        <f>VLOOKUP($A68,'HRGs to TFCs 1'!A:K,F$1,0)</f>
        <v>322</v>
      </c>
      <c r="G68" s="714">
        <f>VLOOKUP($A68,'HRGs to TFCs 1'!A:K,G$1,0)</f>
        <v>0</v>
      </c>
      <c r="H68" s="714">
        <f>VLOOKUP($A68,'HRGs to TFCs 1'!A:K,H$1,0)</f>
        <v>18151.952206009304</v>
      </c>
      <c r="I68" s="714">
        <f>VLOOKUP($A68,'HRGs to TFCs 1'!A:K,I$1,0)</f>
        <v>0</v>
      </c>
      <c r="J68" s="714">
        <f>VLOOKUP($A68,'HRGs to TFCs 1'!A:K,J$1,0)</f>
        <v>81152.194077690758</v>
      </c>
      <c r="K68" s="712" t="str">
        <f>IF(ISERROR(VLOOKUP($A68,Mandatory!A:A,1,0)),"No","Yes")</f>
        <v>Yes</v>
      </c>
      <c r="L68" s="715">
        <f t="shared" ref="L68:L93" si="1">SUM(G68:J68)</f>
        <v>99304.146283700058</v>
      </c>
    </row>
    <row r="69" spans="1:12">
      <c r="A69" s="712">
        <v>361</v>
      </c>
      <c r="B69" s="713">
        <f>VLOOKUP($A69,'HRGs to TFCs 1'!A:K,B$1,0)</f>
        <v>0</v>
      </c>
      <c r="C69" s="713">
        <f>VLOOKUP($A69,'HRGs to TFCs 1'!A:K,C$1,0)</f>
        <v>32</v>
      </c>
      <c r="D69" s="713">
        <f>VLOOKUP($A69,'HRGs to TFCs 1'!A:K,D$1,0)</f>
        <v>0</v>
      </c>
      <c r="E69" s="713">
        <f>VLOOKUP($A69,'HRGs to TFCs 1'!A:K,E$1,0)</f>
        <v>744</v>
      </c>
      <c r="F69" s="713">
        <f>VLOOKUP($A69,'HRGs to TFCs 1'!A:K,F$1,0)</f>
        <v>776</v>
      </c>
      <c r="G69" s="714">
        <f>VLOOKUP($A69,'HRGs to TFCs 1'!A:K,G$1,0)</f>
        <v>0</v>
      </c>
      <c r="H69" s="714">
        <f>VLOOKUP($A69,'HRGs to TFCs 1'!A:K,H$1,0)</f>
        <v>4497.8215294482279</v>
      </c>
      <c r="I69" s="714">
        <f>VLOOKUP($A69,'HRGs to TFCs 1'!A:K,I$1,0)</f>
        <v>0</v>
      </c>
      <c r="J69" s="714">
        <f>VLOOKUP($A69,'HRGs to TFCs 1'!A:K,J$1,0)</f>
        <v>106436.56876838274</v>
      </c>
      <c r="K69" s="712" t="str">
        <f>IF(ISERROR(VLOOKUP($A69,Mandatory!A:A,1,0)),"No","Yes")</f>
        <v>Yes</v>
      </c>
      <c r="L69" s="715">
        <f t="shared" si="1"/>
        <v>110934.39029783096</v>
      </c>
    </row>
    <row r="70" spans="1:12">
      <c r="A70" s="712">
        <v>370</v>
      </c>
      <c r="B70" s="713">
        <f>VLOOKUP($A70,'HRGs to TFCs 1'!A:K,B$1,0)</f>
        <v>0</v>
      </c>
      <c r="C70" s="713">
        <f>VLOOKUP($A70,'HRGs to TFCs 1'!A:K,C$1,0)</f>
        <v>103</v>
      </c>
      <c r="D70" s="713">
        <f>VLOOKUP($A70,'HRGs to TFCs 1'!A:K,D$1,0)</f>
        <v>0</v>
      </c>
      <c r="E70" s="713">
        <f>VLOOKUP($A70,'HRGs to TFCs 1'!A:K,E$1,0)</f>
        <v>1162</v>
      </c>
      <c r="F70" s="713">
        <f>VLOOKUP($A70,'HRGs to TFCs 1'!A:K,F$1,0)</f>
        <v>1265</v>
      </c>
      <c r="G70" s="714">
        <f>VLOOKUP($A70,'HRGs to TFCs 1'!A:K,G$1,0)</f>
        <v>0</v>
      </c>
      <c r="H70" s="714">
        <f>VLOOKUP($A70,'HRGs to TFCs 1'!A:K,H$1,0)</f>
        <v>19224.442151320618</v>
      </c>
      <c r="I70" s="714">
        <f>VLOOKUP($A70,'HRGs to TFCs 1'!A:K,I$1,0)</f>
        <v>0</v>
      </c>
      <c r="J70" s="714">
        <f>VLOOKUP($A70,'HRGs to TFCs 1'!A:K,J$1,0)</f>
        <v>270368.26277599251</v>
      </c>
      <c r="K70" s="712" t="str">
        <f>IF(ISERROR(VLOOKUP($A70,Mandatory!A:A,1,0)),"No","Yes")</f>
        <v>Yes</v>
      </c>
      <c r="L70" s="715">
        <f t="shared" si="1"/>
        <v>289592.70492731314</v>
      </c>
    </row>
    <row r="71" spans="1:12">
      <c r="A71" s="712">
        <v>371</v>
      </c>
      <c r="B71" s="713">
        <f>VLOOKUP($A71,'HRGs to TFCs 1'!A:K,B$1,0)</f>
        <v>0</v>
      </c>
      <c r="C71" s="713">
        <f>VLOOKUP($A71,'HRGs to TFCs 1'!A:K,C$1,0)</f>
        <v>3</v>
      </c>
      <c r="D71" s="713">
        <f>VLOOKUP($A71,'HRGs to TFCs 1'!A:K,D$1,0)</f>
        <v>0</v>
      </c>
      <c r="E71" s="713">
        <f>VLOOKUP($A71,'HRGs to TFCs 1'!A:K,E$1,0)</f>
        <v>1</v>
      </c>
      <c r="F71" s="713">
        <f>VLOOKUP($A71,'HRGs to TFCs 1'!A:K,F$1,0)</f>
        <v>4</v>
      </c>
      <c r="G71" s="714">
        <f>VLOOKUP($A71,'HRGs to TFCs 1'!A:K,G$1,0)</f>
        <v>0</v>
      </c>
      <c r="H71" s="714">
        <f>VLOOKUP($A71,'HRGs to TFCs 1'!A:K,H$1,0)</f>
        <v>405.6663304758319</v>
      </c>
      <c r="I71" s="714">
        <f>VLOOKUP($A71,'HRGs to TFCs 1'!A:K,I$1,0)</f>
        <v>0</v>
      </c>
      <c r="J71" s="714">
        <f>VLOOKUP($A71,'HRGs to TFCs 1'!A:K,J$1,0)</f>
        <v>135.22211015861063</v>
      </c>
      <c r="K71" s="712" t="str">
        <f>IF(ISERROR(VLOOKUP($A71,Mandatory!A:A,1,0)),"No","Yes")</f>
        <v>No</v>
      </c>
      <c r="L71" s="715">
        <f t="shared" si="1"/>
        <v>540.88844063444253</v>
      </c>
    </row>
    <row r="72" spans="1:12">
      <c r="A72" s="712">
        <v>400</v>
      </c>
      <c r="B72" s="713">
        <f>VLOOKUP($A72,'HRGs to TFCs 1'!A:K,B$1,0)</f>
        <v>0</v>
      </c>
      <c r="C72" s="713">
        <f>VLOOKUP($A72,'HRGs to TFCs 1'!A:K,C$1,0)</f>
        <v>2074</v>
      </c>
      <c r="D72" s="713">
        <f>VLOOKUP($A72,'HRGs to TFCs 1'!A:K,D$1,0)</f>
        <v>0</v>
      </c>
      <c r="E72" s="713">
        <f>VLOOKUP($A72,'HRGs to TFCs 1'!A:K,E$1,0)</f>
        <v>1186</v>
      </c>
      <c r="F72" s="713">
        <f>VLOOKUP($A72,'HRGs to TFCs 1'!A:K,F$1,0)</f>
        <v>3260</v>
      </c>
      <c r="G72" s="714">
        <f>VLOOKUP($A72,'HRGs to TFCs 1'!A:K,G$1,0)</f>
        <v>0</v>
      </c>
      <c r="H72" s="714">
        <f>VLOOKUP($A72,'HRGs to TFCs 1'!A:K,H$1,0)</f>
        <v>278479.64711801131</v>
      </c>
      <c r="I72" s="714">
        <f>VLOOKUP($A72,'HRGs to TFCs 1'!A:K,I$1,0)</f>
        <v>0</v>
      </c>
      <c r="J72" s="714">
        <f>VLOOKUP($A72,'HRGs to TFCs 1'!A:K,J$1,0)</f>
        <v>209942.39791662595</v>
      </c>
      <c r="K72" s="712" t="str">
        <f>IF(ISERROR(VLOOKUP($A72,Mandatory!A:A,1,0)),"No","Yes")</f>
        <v>No</v>
      </c>
      <c r="L72" s="715">
        <f t="shared" si="1"/>
        <v>488422.04503463727</v>
      </c>
    </row>
    <row r="73" spans="1:12">
      <c r="A73" s="712">
        <v>401</v>
      </c>
      <c r="B73" s="713">
        <f>VLOOKUP($A73,'HRGs to TFCs 1'!A:K,B$1,0)</f>
        <v>0</v>
      </c>
      <c r="C73" s="713">
        <f>VLOOKUP($A73,'HRGs to TFCs 1'!A:K,C$1,0)</f>
        <v>1336</v>
      </c>
      <c r="D73" s="713">
        <f>VLOOKUP($A73,'HRGs to TFCs 1'!A:K,D$1,0)</f>
        <v>0</v>
      </c>
      <c r="E73" s="713">
        <f>VLOOKUP($A73,'HRGs to TFCs 1'!A:K,E$1,0)</f>
        <v>61</v>
      </c>
      <c r="F73" s="713">
        <f>VLOOKUP($A73,'HRGs to TFCs 1'!A:K,F$1,0)</f>
        <v>1397</v>
      </c>
      <c r="G73" s="714">
        <f>VLOOKUP($A73,'HRGs to TFCs 1'!A:K,G$1,0)</f>
        <v>0</v>
      </c>
      <c r="H73" s="714">
        <f>VLOOKUP($A73,'HRGs to TFCs 1'!A:K,H$1,0)</f>
        <v>167170.30444869195</v>
      </c>
      <c r="I73" s="714">
        <f>VLOOKUP($A73,'HRGs to TFCs 1'!A:K,I$1,0)</f>
        <v>0</v>
      </c>
      <c r="J73" s="714">
        <f>VLOOKUP($A73,'HRGs to TFCs 1'!A:K,J$1,0)</f>
        <v>7618.4097902380017</v>
      </c>
      <c r="K73" s="712" t="str">
        <f>IF(ISERROR(VLOOKUP($A73,Mandatory!A:A,1,0)),"No","Yes")</f>
        <v>No</v>
      </c>
      <c r="L73" s="715">
        <f t="shared" si="1"/>
        <v>174788.71423892997</v>
      </c>
    </row>
    <row r="74" spans="1:12">
      <c r="A74" s="712">
        <v>410</v>
      </c>
      <c r="B74" s="713">
        <f>VLOOKUP($A74,'HRGs to TFCs 1'!A:K,B$1,0)</f>
        <v>0</v>
      </c>
      <c r="C74" s="713">
        <f>VLOOKUP($A74,'HRGs to TFCs 1'!A:K,C$1,0)</f>
        <v>2349</v>
      </c>
      <c r="D74" s="713">
        <f>VLOOKUP($A74,'HRGs to TFCs 1'!A:K,D$1,0)</f>
        <v>0</v>
      </c>
      <c r="E74" s="713">
        <f>VLOOKUP($A74,'HRGs to TFCs 1'!A:K,E$1,0)</f>
        <v>10935</v>
      </c>
      <c r="F74" s="713">
        <f>VLOOKUP($A74,'HRGs to TFCs 1'!A:K,F$1,0)</f>
        <v>13284</v>
      </c>
      <c r="G74" s="714">
        <f>VLOOKUP($A74,'HRGs to TFCs 1'!A:K,G$1,0)</f>
        <v>0</v>
      </c>
      <c r="H74" s="714">
        <f>VLOOKUP($A74,'HRGs to TFCs 1'!A:K,H$1,0)</f>
        <v>533426.39400717511</v>
      </c>
      <c r="I74" s="714">
        <f>VLOOKUP($A74,'HRGs to TFCs 1'!A:K,I$1,0)</f>
        <v>0</v>
      </c>
      <c r="J74" s="714">
        <f>VLOOKUP($A74,'HRGs to TFCs 1'!A:K,J$1,0)</f>
        <v>2554963.6208128361</v>
      </c>
      <c r="K74" s="712" t="str">
        <f>IF(ISERROR(VLOOKUP($A74,Mandatory!A:A,1,0)),"No","Yes")</f>
        <v>Yes</v>
      </c>
      <c r="L74" s="715">
        <f t="shared" si="1"/>
        <v>3088390.0148200113</v>
      </c>
    </row>
    <row r="75" spans="1:12">
      <c r="A75" s="712">
        <v>420</v>
      </c>
      <c r="B75" s="713">
        <f>VLOOKUP($A75,'HRGs to TFCs 1'!A:K,B$1,0)</f>
        <v>0</v>
      </c>
      <c r="C75" s="713">
        <f>VLOOKUP($A75,'HRGs to TFCs 1'!A:K,C$1,0)</f>
        <v>1503</v>
      </c>
      <c r="D75" s="713">
        <f>VLOOKUP($A75,'HRGs to TFCs 1'!A:K,D$1,0)</f>
        <v>0</v>
      </c>
      <c r="E75" s="713">
        <f>VLOOKUP($A75,'HRGs to TFCs 1'!A:K,E$1,0)</f>
        <v>5385</v>
      </c>
      <c r="F75" s="713">
        <f>VLOOKUP($A75,'HRGs to TFCs 1'!A:K,F$1,0)</f>
        <v>6888</v>
      </c>
      <c r="G75" s="714">
        <f>VLOOKUP($A75,'HRGs to TFCs 1'!A:K,G$1,0)</f>
        <v>0</v>
      </c>
      <c r="H75" s="714">
        <f>VLOOKUP($A75,'HRGs to TFCs 1'!A:K,H$1,0)</f>
        <v>215967.98291799231</v>
      </c>
      <c r="I75" s="714">
        <f>VLOOKUP($A75,'HRGs to TFCs 1'!A:K,I$1,0)</f>
        <v>0</v>
      </c>
      <c r="J75" s="714">
        <f>VLOOKUP($A75,'HRGs to TFCs 1'!A:K,J$1,0)</f>
        <v>741626.66239403596</v>
      </c>
      <c r="K75" s="712" t="str">
        <f>IF(ISERROR(VLOOKUP($A75,Mandatory!A:A,1,0)),"No","Yes")</f>
        <v>Yes</v>
      </c>
      <c r="L75" s="715">
        <f t="shared" si="1"/>
        <v>957594.64531202824</v>
      </c>
    </row>
    <row r="76" spans="1:12">
      <c r="A76" s="712">
        <v>421</v>
      </c>
      <c r="B76" s="713">
        <f>VLOOKUP($A76,'HRGs to TFCs 1'!A:K,B$1,0)</f>
        <v>0</v>
      </c>
      <c r="C76" s="713">
        <f>VLOOKUP($A76,'HRGs to TFCs 1'!A:K,C$1,0)</f>
        <v>65</v>
      </c>
      <c r="D76" s="713">
        <f>VLOOKUP($A76,'HRGs to TFCs 1'!A:K,D$1,0)</f>
        <v>0</v>
      </c>
      <c r="E76" s="713">
        <f>VLOOKUP($A76,'HRGs to TFCs 1'!A:K,E$1,0)</f>
        <v>62</v>
      </c>
      <c r="F76" s="713">
        <f>VLOOKUP($A76,'HRGs to TFCs 1'!A:K,F$1,0)</f>
        <v>127</v>
      </c>
      <c r="G76" s="714">
        <f>VLOOKUP($A76,'HRGs to TFCs 1'!A:K,G$1,0)</f>
        <v>0</v>
      </c>
      <c r="H76" s="714">
        <f>VLOOKUP($A76,'HRGs to TFCs 1'!A:K,H$1,0)</f>
        <v>10344.626314468065</v>
      </c>
      <c r="I76" s="714">
        <f>VLOOKUP($A76,'HRGs to TFCs 1'!A:K,I$1,0)</f>
        <v>0</v>
      </c>
      <c r="J76" s="714">
        <f>VLOOKUP($A76,'HRGs to TFCs 1'!A:K,J$1,0)</f>
        <v>14654.203653131563</v>
      </c>
      <c r="K76" s="712" t="str">
        <f>IF(ISERROR(VLOOKUP($A76,Mandatory!A:A,1,0)),"No","Yes")</f>
        <v>No</v>
      </c>
      <c r="L76" s="715">
        <f t="shared" si="1"/>
        <v>24998.829967599628</v>
      </c>
    </row>
    <row r="77" spans="1:12">
      <c r="A77" s="712">
        <v>430</v>
      </c>
      <c r="B77" s="713">
        <f>VLOOKUP($A77,'HRGs to TFCs 1'!A:K,B$1,0)</f>
        <v>0</v>
      </c>
      <c r="C77" s="713">
        <f>VLOOKUP($A77,'HRGs to TFCs 1'!A:K,C$1,0)</f>
        <v>1010</v>
      </c>
      <c r="D77" s="713">
        <f>VLOOKUP($A77,'HRGs to TFCs 1'!A:K,D$1,0)</f>
        <v>0</v>
      </c>
      <c r="E77" s="713">
        <f>VLOOKUP($A77,'HRGs to TFCs 1'!A:K,E$1,0)</f>
        <v>801</v>
      </c>
      <c r="F77" s="713">
        <f>VLOOKUP($A77,'HRGs to TFCs 1'!A:K,F$1,0)</f>
        <v>1811</v>
      </c>
      <c r="G77" s="714">
        <f>VLOOKUP($A77,'HRGs to TFCs 1'!A:K,G$1,0)</f>
        <v>0</v>
      </c>
      <c r="H77" s="714">
        <f>VLOOKUP($A77,'HRGs to TFCs 1'!A:K,H$1,0)</f>
        <v>368092.96051142243</v>
      </c>
      <c r="I77" s="714">
        <f>VLOOKUP($A77,'HRGs to TFCs 1'!A:K,I$1,0)</f>
        <v>0</v>
      </c>
      <c r="J77" s="714">
        <f>VLOOKUP($A77,'HRGs to TFCs 1'!A:K,J$1,0)</f>
        <v>260820.57310816034</v>
      </c>
      <c r="K77" s="712" t="str">
        <f>IF(ISERROR(VLOOKUP($A77,Mandatory!A:A,1,0)),"No","Yes")</f>
        <v>Yes</v>
      </c>
      <c r="L77" s="715">
        <f t="shared" si="1"/>
        <v>628913.53361958277</v>
      </c>
    </row>
    <row r="78" spans="1:12">
      <c r="A78" s="712">
        <v>460</v>
      </c>
      <c r="B78" s="713">
        <f>VLOOKUP($A78,'HRGs to TFCs 1'!A:K,B$1,0)</f>
        <v>0</v>
      </c>
      <c r="C78" s="713">
        <f>VLOOKUP($A78,'HRGs to TFCs 1'!A:K,C$1,0)</f>
        <v>7</v>
      </c>
      <c r="D78" s="713">
        <f>VLOOKUP($A78,'HRGs to TFCs 1'!A:K,D$1,0)</f>
        <v>0</v>
      </c>
      <c r="E78" s="713">
        <f>VLOOKUP($A78,'HRGs to TFCs 1'!A:K,E$1,0)</f>
        <v>31</v>
      </c>
      <c r="F78" s="713">
        <f>VLOOKUP($A78,'HRGs to TFCs 1'!A:K,F$1,0)</f>
        <v>38</v>
      </c>
      <c r="G78" s="714">
        <f>VLOOKUP($A78,'HRGs to TFCs 1'!A:K,G$1,0)</f>
        <v>0</v>
      </c>
      <c r="H78" s="714">
        <f>VLOOKUP($A78,'HRGs to TFCs 1'!A:K,H$1,0)</f>
        <v>2963.2511089814402</v>
      </c>
      <c r="I78" s="714">
        <f>VLOOKUP($A78,'HRGs to TFCs 1'!A:K,I$1,0)</f>
        <v>0</v>
      </c>
      <c r="J78" s="714">
        <f>VLOOKUP($A78,'HRGs to TFCs 1'!A:K,J$1,0)</f>
        <v>6388.066544536724</v>
      </c>
      <c r="K78" s="712" t="str">
        <f>IF(ISERROR(VLOOKUP($A78,Mandatory!A:A,1,0)),"No","Yes")</f>
        <v>No</v>
      </c>
      <c r="L78" s="715">
        <f t="shared" si="1"/>
        <v>9351.3176535181647</v>
      </c>
    </row>
    <row r="79" spans="1:12">
      <c r="A79" s="712">
        <v>501</v>
      </c>
      <c r="B79" s="713">
        <f>VLOOKUP($A79,'HRGs to TFCs 1'!A:K,B$1,0)</f>
        <v>0</v>
      </c>
      <c r="C79" s="713">
        <f>VLOOKUP($A79,'HRGs to TFCs 1'!A:K,C$1,0)</f>
        <v>165135</v>
      </c>
      <c r="D79" s="713">
        <f>VLOOKUP($A79,'HRGs to TFCs 1'!A:K,D$1,0)</f>
        <v>0</v>
      </c>
      <c r="E79" s="713">
        <f>VLOOKUP($A79,'HRGs to TFCs 1'!A:K,E$1,0)</f>
        <v>303375</v>
      </c>
      <c r="F79" s="713">
        <f>VLOOKUP($A79,'HRGs to TFCs 1'!A:K,F$1,0)</f>
        <v>468510</v>
      </c>
      <c r="G79" s="714">
        <f>VLOOKUP($A79,'HRGs to TFCs 1'!A:K,G$1,0)</f>
        <v>0</v>
      </c>
      <c r="H79" s="714">
        <f>VLOOKUP($A79,'HRGs to TFCs 1'!A:K,H$1,0)</f>
        <v>19941007.287973627</v>
      </c>
      <c r="I79" s="714">
        <f>VLOOKUP($A79,'HRGs to TFCs 1'!A:K,I$1,0)</f>
        <v>0</v>
      </c>
      <c r="J79" s="714">
        <f>VLOOKUP($A79,'HRGs to TFCs 1'!A:K,J$1,0)</f>
        <v>34444485.514354758</v>
      </c>
      <c r="K79" s="712" t="str">
        <f>IF(ISERROR(VLOOKUP($A79,Mandatory!A:A,1,0)),"No","Yes")</f>
        <v>Yes</v>
      </c>
      <c r="L79" s="715">
        <f t="shared" si="1"/>
        <v>54385492.802328385</v>
      </c>
    </row>
    <row r="80" spans="1:12">
      <c r="A80" s="712">
        <v>502</v>
      </c>
      <c r="B80" s="713">
        <f>VLOOKUP($A80,'HRGs to TFCs 1'!A:K,B$1,0)</f>
        <v>0</v>
      </c>
      <c r="C80" s="713">
        <f>VLOOKUP($A80,'HRGs to TFCs 1'!A:K,C$1,0)</f>
        <v>76707</v>
      </c>
      <c r="D80" s="713">
        <f>VLOOKUP($A80,'HRGs to TFCs 1'!A:K,D$1,0)</f>
        <v>0</v>
      </c>
      <c r="E80" s="713">
        <f>VLOOKUP($A80,'HRGs to TFCs 1'!A:K,E$1,0)</f>
        <v>40627</v>
      </c>
      <c r="F80" s="713">
        <f>VLOOKUP($A80,'HRGs to TFCs 1'!A:K,F$1,0)</f>
        <v>117334</v>
      </c>
      <c r="G80" s="714">
        <f>VLOOKUP($A80,'HRGs to TFCs 1'!A:K,G$1,0)</f>
        <v>0</v>
      </c>
      <c r="H80" s="714">
        <f>VLOOKUP($A80,'HRGs to TFCs 1'!A:K,H$1,0)</f>
        <v>9185805.9087890536</v>
      </c>
      <c r="I80" s="714">
        <f>VLOOKUP($A80,'HRGs to TFCs 1'!A:K,I$1,0)</f>
        <v>0</v>
      </c>
      <c r="J80" s="714">
        <f>VLOOKUP($A80,'HRGs to TFCs 1'!A:K,J$1,0)</f>
        <v>5032395.7267259462</v>
      </c>
      <c r="K80" s="712" t="str">
        <f>IF(ISERROR(VLOOKUP($A80,Mandatory!A:A,1,0)),"No","Yes")</f>
        <v>Yes</v>
      </c>
      <c r="L80" s="715">
        <f t="shared" si="1"/>
        <v>14218201.635515001</v>
      </c>
    </row>
    <row r="81" spans="1:12">
      <c r="A81" s="712">
        <v>503</v>
      </c>
      <c r="B81" s="713">
        <f>VLOOKUP($A81,'HRGs to TFCs 1'!A:K,B$1,0)</f>
        <v>0</v>
      </c>
      <c r="C81" s="713">
        <f>VLOOKUP($A81,'HRGs to TFCs 1'!A:K,C$1,0)</f>
        <v>107</v>
      </c>
      <c r="D81" s="713">
        <f>VLOOKUP($A81,'HRGs to TFCs 1'!A:K,D$1,0)</f>
        <v>0</v>
      </c>
      <c r="E81" s="713">
        <f>VLOOKUP($A81,'HRGs to TFCs 1'!A:K,E$1,0)</f>
        <v>172</v>
      </c>
      <c r="F81" s="713">
        <f>VLOOKUP($A81,'HRGs to TFCs 1'!A:K,F$1,0)</f>
        <v>279</v>
      </c>
      <c r="G81" s="714">
        <f>VLOOKUP($A81,'HRGs to TFCs 1'!A:K,G$1,0)</f>
        <v>0</v>
      </c>
      <c r="H81" s="714">
        <f>VLOOKUP($A81,'HRGs to TFCs 1'!A:K,H$1,0)</f>
        <v>17634.604056020678</v>
      </c>
      <c r="I81" s="714">
        <f>VLOOKUP($A81,'HRGs to TFCs 1'!A:K,I$1,0)</f>
        <v>0</v>
      </c>
      <c r="J81" s="714">
        <f>VLOOKUP($A81,'HRGs to TFCs 1'!A:K,J$1,0)</f>
        <v>27837.037540421636</v>
      </c>
      <c r="K81" s="712" t="str">
        <f>IF(ISERROR(VLOOKUP($A81,Mandatory!A:A,1,0)),"No","Yes")</f>
        <v>Yes</v>
      </c>
      <c r="L81" s="715">
        <f t="shared" si="1"/>
        <v>45471.641596442314</v>
      </c>
    </row>
    <row r="82" spans="1:12">
      <c r="A82" s="712">
        <v>560</v>
      </c>
      <c r="B82" s="713">
        <f>VLOOKUP($A82,'HRGs to TFCs 1'!A:K,B$1,0)</f>
        <v>0</v>
      </c>
      <c r="C82" s="713">
        <f>VLOOKUP($A82,'HRGs to TFCs 1'!A:K,C$1,0)</f>
        <v>41777</v>
      </c>
      <c r="D82" s="713">
        <f>VLOOKUP($A82,'HRGs to TFCs 1'!A:K,D$1,0)</f>
        <v>0</v>
      </c>
      <c r="E82" s="713">
        <f>VLOOKUP($A82,'HRGs to TFCs 1'!A:K,E$1,0)</f>
        <v>103481</v>
      </c>
      <c r="F82" s="713">
        <f>VLOOKUP($A82,'HRGs to TFCs 1'!A:K,F$1,0)</f>
        <v>145258</v>
      </c>
      <c r="G82" s="714">
        <f>VLOOKUP($A82,'HRGs to TFCs 1'!A:K,G$1,0)</f>
        <v>0</v>
      </c>
      <c r="H82" s="714">
        <f>VLOOKUP($A82,'HRGs to TFCs 1'!A:K,H$1,0)</f>
        <v>5041460.2064056797</v>
      </c>
      <c r="I82" s="714">
        <f>VLOOKUP($A82,'HRGs to TFCs 1'!A:K,I$1,0)</f>
        <v>0</v>
      </c>
      <c r="J82" s="714">
        <f>VLOOKUP($A82,'HRGs to TFCs 1'!A:K,J$1,0)</f>
        <v>11348075.944745051</v>
      </c>
      <c r="K82" s="712" t="str">
        <f>IF(ISERROR(VLOOKUP($A82,Mandatory!A:A,1,0)),"No","Yes")</f>
        <v>Yes</v>
      </c>
      <c r="L82" s="715">
        <f t="shared" si="1"/>
        <v>16389536.15115073</v>
      </c>
    </row>
    <row r="83" spans="1:12">
      <c r="A83" s="712">
        <v>650</v>
      </c>
      <c r="B83" s="713">
        <f>VLOOKUP($A83,'HRGs to TFCs 1'!A:K,B$1,0)</f>
        <v>0</v>
      </c>
      <c r="C83" s="713">
        <f>VLOOKUP($A83,'HRGs to TFCs 1'!A:K,C$1,0)</f>
        <v>119</v>
      </c>
      <c r="D83" s="713">
        <f>VLOOKUP($A83,'HRGs to TFCs 1'!A:K,D$1,0)</f>
        <v>0</v>
      </c>
      <c r="E83" s="713">
        <f>VLOOKUP($A83,'HRGs to TFCs 1'!A:K,E$1,0)</f>
        <v>1638</v>
      </c>
      <c r="F83" s="713">
        <f>VLOOKUP($A83,'HRGs to TFCs 1'!A:K,F$1,0)</f>
        <v>1757</v>
      </c>
      <c r="G83" s="714">
        <f>VLOOKUP($A83,'HRGs to TFCs 1'!A:K,G$1,0)</f>
        <v>0</v>
      </c>
      <c r="H83" s="714">
        <f>VLOOKUP($A83,'HRGs to TFCs 1'!A:K,H$1,0)</f>
        <v>13889.115451893706</v>
      </c>
      <c r="I83" s="714">
        <f>VLOOKUP($A83,'HRGs to TFCs 1'!A:K,I$1,0)</f>
        <v>0</v>
      </c>
      <c r="J83" s="714">
        <f>VLOOKUP($A83,'HRGs to TFCs 1'!A:K,J$1,0)</f>
        <v>181401.55274914848</v>
      </c>
      <c r="K83" s="712" t="str">
        <f>IF(ISERROR(VLOOKUP($A83,Mandatory!A:A,1,0)),"No","Yes")</f>
        <v>No</v>
      </c>
      <c r="L83" s="715">
        <f t="shared" si="1"/>
        <v>195290.66820104219</v>
      </c>
    </row>
    <row r="84" spans="1:12">
      <c r="A84" s="712">
        <v>651</v>
      </c>
      <c r="B84" s="713">
        <f>VLOOKUP($A84,'HRGs to TFCs 1'!A:K,B$1,0)</f>
        <v>0</v>
      </c>
      <c r="C84" s="713">
        <f>VLOOKUP($A84,'HRGs to TFCs 1'!A:K,C$1,0)</f>
        <v>327</v>
      </c>
      <c r="D84" s="713">
        <f>VLOOKUP($A84,'HRGs to TFCs 1'!A:K,D$1,0)</f>
        <v>0</v>
      </c>
      <c r="E84" s="713">
        <f>VLOOKUP($A84,'HRGs to TFCs 1'!A:K,E$1,0)</f>
        <v>277</v>
      </c>
      <c r="F84" s="713">
        <f>VLOOKUP($A84,'HRGs to TFCs 1'!A:K,F$1,0)</f>
        <v>604</v>
      </c>
      <c r="G84" s="714">
        <f>VLOOKUP($A84,'HRGs to TFCs 1'!A:K,G$1,0)</f>
        <v>0</v>
      </c>
      <c r="H84" s="714">
        <f>VLOOKUP($A84,'HRGs to TFCs 1'!A:K,H$1,0)</f>
        <v>33908.564281413273</v>
      </c>
      <c r="I84" s="714">
        <f>VLOOKUP($A84,'HRGs to TFCs 1'!A:K,I$1,0)</f>
        <v>0</v>
      </c>
      <c r="J84" s="714">
        <f>VLOOKUP($A84,'HRGs to TFCs 1'!A:K,J$1,0)</f>
        <v>30061.856285368634</v>
      </c>
      <c r="K84" s="712" t="str">
        <f>IF(ISERROR(VLOOKUP($A84,Mandatory!A:A,1,0)),"No","Yes")</f>
        <v>No</v>
      </c>
      <c r="L84" s="715">
        <f t="shared" si="1"/>
        <v>63970.420566781904</v>
      </c>
    </row>
    <row r="85" spans="1:12">
      <c r="A85" s="712">
        <v>652</v>
      </c>
      <c r="B85" s="713">
        <f>VLOOKUP($A85,'HRGs to TFCs 1'!A:K,B$1,0)</f>
        <v>0</v>
      </c>
      <c r="C85" s="713">
        <f>VLOOKUP($A85,'HRGs to TFCs 1'!A:K,C$1,0)</f>
        <v>6</v>
      </c>
      <c r="D85" s="713">
        <f>VLOOKUP($A85,'HRGs to TFCs 1'!A:K,D$1,0)</f>
        <v>0</v>
      </c>
      <c r="E85" s="713">
        <f>VLOOKUP($A85,'HRGs to TFCs 1'!A:K,E$1,0)</f>
        <v>75</v>
      </c>
      <c r="F85" s="713">
        <f>VLOOKUP($A85,'HRGs to TFCs 1'!A:K,F$1,0)</f>
        <v>81</v>
      </c>
      <c r="G85" s="714">
        <f>VLOOKUP($A85,'HRGs to TFCs 1'!A:K,G$1,0)</f>
        <v>0</v>
      </c>
      <c r="H85" s="714">
        <f>VLOOKUP($A85,'HRGs to TFCs 1'!A:K,H$1,0)</f>
        <v>611.23814534943983</v>
      </c>
      <c r="I85" s="714">
        <f>VLOOKUP($A85,'HRGs to TFCs 1'!A:K,I$1,0)</f>
        <v>0</v>
      </c>
      <c r="J85" s="714">
        <f>VLOOKUP($A85,'HRGs to TFCs 1'!A:K,J$1,0)</f>
        <v>7517.7393398990707</v>
      </c>
      <c r="K85" s="712" t="str">
        <f>IF(ISERROR(VLOOKUP($A85,Mandatory!A:A,1,0)),"No","Yes")</f>
        <v>No</v>
      </c>
      <c r="L85" s="715">
        <f t="shared" si="1"/>
        <v>8128.9774852485107</v>
      </c>
    </row>
    <row r="86" spans="1:12">
      <c r="A86" s="712">
        <v>653</v>
      </c>
      <c r="B86" s="713">
        <f>VLOOKUP($A86,'HRGs to TFCs 1'!A:K,B$1,0)</f>
        <v>0</v>
      </c>
      <c r="C86" s="713">
        <f>VLOOKUP($A86,'HRGs to TFCs 1'!A:K,C$1,0)</f>
        <v>58</v>
      </c>
      <c r="D86" s="713">
        <f>VLOOKUP($A86,'HRGs to TFCs 1'!A:K,D$1,0)</f>
        <v>0</v>
      </c>
      <c r="E86" s="713">
        <f>VLOOKUP($A86,'HRGs to TFCs 1'!A:K,E$1,0)</f>
        <v>1509</v>
      </c>
      <c r="F86" s="713">
        <f>VLOOKUP($A86,'HRGs to TFCs 1'!A:K,F$1,0)</f>
        <v>1567</v>
      </c>
      <c r="G86" s="714">
        <f>VLOOKUP($A86,'HRGs to TFCs 1'!A:K,G$1,0)</f>
        <v>0</v>
      </c>
      <c r="H86" s="714">
        <f>VLOOKUP($A86,'HRGs to TFCs 1'!A:K,H$1,0)</f>
        <v>9874.2983375949243</v>
      </c>
      <c r="I86" s="714">
        <f>VLOOKUP($A86,'HRGs to TFCs 1'!A:K,I$1,0)</f>
        <v>0</v>
      </c>
      <c r="J86" s="714">
        <f>VLOOKUP($A86,'HRGs to TFCs 1'!A:K,J$1,0)</f>
        <v>193147.82279453592</v>
      </c>
      <c r="K86" s="712" t="str">
        <f>IF(ISERROR(VLOOKUP($A86,Mandatory!A:A,1,0)),"No","Yes")</f>
        <v>No</v>
      </c>
      <c r="L86" s="715">
        <f t="shared" si="1"/>
        <v>203022.12113213085</v>
      </c>
    </row>
    <row r="87" spans="1:12">
      <c r="A87" s="712">
        <v>654</v>
      </c>
      <c r="B87" s="713">
        <f>VLOOKUP($A87,'HRGs to TFCs 1'!A:K,B$1,0)</f>
        <v>0</v>
      </c>
      <c r="C87" s="713">
        <f>VLOOKUP($A87,'HRGs to TFCs 1'!A:K,C$1,0)</f>
        <v>3</v>
      </c>
      <c r="D87" s="713">
        <f>VLOOKUP($A87,'HRGs to TFCs 1'!A:K,D$1,0)</f>
        <v>0</v>
      </c>
      <c r="E87" s="713">
        <f>VLOOKUP($A87,'HRGs to TFCs 1'!A:K,E$1,0)</f>
        <v>8</v>
      </c>
      <c r="F87" s="713">
        <f>VLOOKUP($A87,'HRGs to TFCs 1'!A:K,F$1,0)</f>
        <v>11</v>
      </c>
      <c r="G87" s="714">
        <f>VLOOKUP($A87,'HRGs to TFCs 1'!A:K,G$1,0)</f>
        <v>0</v>
      </c>
      <c r="H87" s="714">
        <f>VLOOKUP($A87,'HRGs to TFCs 1'!A:K,H$1,0)</f>
        <v>525.16729502307862</v>
      </c>
      <c r="I87" s="714">
        <f>VLOOKUP($A87,'HRGs to TFCs 1'!A:K,I$1,0)</f>
        <v>0</v>
      </c>
      <c r="J87" s="714">
        <f>VLOOKUP($A87,'HRGs to TFCs 1'!A:K,J$1,0)</f>
        <v>850.01230204187061</v>
      </c>
      <c r="K87" s="712" t="str">
        <f>IF(ISERROR(VLOOKUP($A87,Mandatory!A:A,1,0)),"No","Yes")</f>
        <v>No</v>
      </c>
      <c r="L87" s="715">
        <f t="shared" si="1"/>
        <v>1375.1795970649491</v>
      </c>
    </row>
    <row r="88" spans="1:12">
      <c r="A88" s="712">
        <v>655</v>
      </c>
      <c r="B88" s="713">
        <f>VLOOKUP($A88,'HRGs to TFCs 1'!A:K,B$1,0)</f>
        <v>0</v>
      </c>
      <c r="C88" s="713">
        <f>VLOOKUP($A88,'HRGs to TFCs 1'!A:K,C$1,0)</f>
        <v>1</v>
      </c>
      <c r="D88" s="713">
        <f>VLOOKUP($A88,'HRGs to TFCs 1'!A:K,D$1,0)</f>
        <v>0</v>
      </c>
      <c r="E88" s="713">
        <f>VLOOKUP($A88,'HRGs to TFCs 1'!A:K,E$1,0)</f>
        <v>2</v>
      </c>
      <c r="F88" s="713">
        <f>VLOOKUP($A88,'HRGs to TFCs 1'!A:K,F$1,0)</f>
        <v>3</v>
      </c>
      <c r="G88" s="714">
        <f>VLOOKUP($A88,'HRGs to TFCs 1'!A:K,G$1,0)</f>
        <v>0</v>
      </c>
      <c r="H88" s="714">
        <f>VLOOKUP($A88,'HRGs to TFCs 1'!A:K,H$1,0)</f>
        <v>790.49527666032157</v>
      </c>
      <c r="I88" s="714">
        <f>VLOOKUP($A88,'HRGs to TFCs 1'!A:K,I$1,0)</f>
        <v>0</v>
      </c>
      <c r="J88" s="714">
        <f>VLOOKUP($A88,'HRGs to TFCs 1'!A:K,J$1,0)</f>
        <v>220.64478027558698</v>
      </c>
      <c r="K88" s="712" t="str">
        <f>IF(ISERROR(VLOOKUP($A88,Mandatory!A:A,1,0)),"No","Yes")</f>
        <v>No</v>
      </c>
      <c r="L88" s="715">
        <f t="shared" si="1"/>
        <v>1011.1400569359085</v>
      </c>
    </row>
    <row r="89" spans="1:12">
      <c r="A89" s="712">
        <v>710</v>
      </c>
      <c r="B89" s="713">
        <f>VLOOKUP($A89,'HRGs to TFCs 1'!A:K,B$1,0)</f>
        <v>0</v>
      </c>
      <c r="C89" s="713">
        <f>VLOOKUP($A89,'HRGs to TFCs 1'!A:K,C$1,0)</f>
        <v>1</v>
      </c>
      <c r="D89" s="713">
        <f>VLOOKUP($A89,'HRGs to TFCs 1'!A:K,D$1,0)</f>
        <v>0</v>
      </c>
      <c r="E89" s="713">
        <f>VLOOKUP($A89,'HRGs to TFCs 1'!A:K,E$1,0)</f>
        <v>4</v>
      </c>
      <c r="F89" s="713">
        <f>VLOOKUP($A89,'HRGs to TFCs 1'!A:K,F$1,0)</f>
        <v>5</v>
      </c>
      <c r="G89" s="714">
        <f>VLOOKUP($A89,'HRGs to TFCs 1'!A:K,G$1,0)</f>
        <v>0</v>
      </c>
      <c r="H89" s="714">
        <f>VLOOKUP($A89,'HRGs to TFCs 1'!A:K,H$1,0)</f>
        <v>98.782837586795466</v>
      </c>
      <c r="I89" s="714">
        <f>VLOOKUP($A89,'HRGs to TFCs 1'!A:K,I$1,0)</f>
        <v>0</v>
      </c>
      <c r="J89" s="714">
        <f>VLOOKUP($A89,'HRGs to TFCs 1'!A:K,J$1,0)</f>
        <v>395.13135034718186</v>
      </c>
      <c r="K89" s="712" t="str">
        <f>IF(ISERROR(VLOOKUP($A89,Mandatory!A:A,1,0)),"No","Yes")</f>
        <v>No</v>
      </c>
      <c r="L89" s="715">
        <f t="shared" si="1"/>
        <v>493.91418793397736</v>
      </c>
    </row>
    <row r="90" spans="1:12">
      <c r="A90" s="712">
        <v>800</v>
      </c>
      <c r="B90" s="713">
        <f>VLOOKUP($A90,'HRGs to TFCs 1'!A:K,B$1,0)</f>
        <v>0</v>
      </c>
      <c r="C90" s="713">
        <f>VLOOKUP($A90,'HRGs to TFCs 1'!A:K,C$1,0)</f>
        <v>243</v>
      </c>
      <c r="D90" s="713">
        <f>VLOOKUP($A90,'HRGs to TFCs 1'!A:K,D$1,0)</f>
        <v>0</v>
      </c>
      <c r="E90" s="713">
        <f>VLOOKUP($A90,'HRGs to TFCs 1'!A:K,E$1,0)</f>
        <v>830</v>
      </c>
      <c r="F90" s="713">
        <f>VLOOKUP($A90,'HRGs to TFCs 1'!A:K,F$1,0)</f>
        <v>1073</v>
      </c>
      <c r="G90" s="714">
        <f>VLOOKUP($A90,'HRGs to TFCs 1'!A:K,G$1,0)</f>
        <v>0</v>
      </c>
      <c r="H90" s="714">
        <f>VLOOKUP($A90,'HRGs to TFCs 1'!A:K,H$1,0)</f>
        <v>24215.345436067084</v>
      </c>
      <c r="I90" s="714">
        <f>VLOOKUP($A90,'HRGs to TFCs 1'!A:K,I$1,0)</f>
        <v>0</v>
      </c>
      <c r="J90" s="714">
        <f>VLOOKUP($A90,'HRGs to TFCs 1'!A:K,J$1,0)</f>
        <v>97217.264442439773</v>
      </c>
      <c r="K90" s="712" t="str">
        <f>IF(ISERROR(VLOOKUP($A90,Mandatory!A:A,1,0)),"No","Yes")</f>
        <v>Yes</v>
      </c>
      <c r="L90" s="715">
        <f t="shared" si="1"/>
        <v>121432.60987850686</v>
      </c>
    </row>
    <row r="91" spans="1:12">
      <c r="A91" s="712">
        <v>811</v>
      </c>
      <c r="B91" s="713">
        <f>VLOOKUP($A91,'HRGs to TFCs 1'!A:K,B$1,0)</f>
        <v>0</v>
      </c>
      <c r="C91" s="713">
        <f>VLOOKUP($A91,'HRGs to TFCs 1'!A:K,C$1,0)</f>
        <v>6529</v>
      </c>
      <c r="D91" s="713">
        <f>VLOOKUP($A91,'HRGs to TFCs 1'!A:K,D$1,0)</f>
        <v>0</v>
      </c>
      <c r="E91" s="713">
        <f>VLOOKUP($A91,'HRGs to TFCs 1'!A:K,E$1,0)</f>
        <v>800</v>
      </c>
      <c r="F91" s="713">
        <f>VLOOKUP($A91,'HRGs to TFCs 1'!A:K,F$1,0)</f>
        <v>7329</v>
      </c>
      <c r="G91" s="714">
        <f>VLOOKUP($A91,'HRGs to TFCs 1'!A:K,G$1,0)</f>
        <v>0</v>
      </c>
      <c r="H91" s="714">
        <f>VLOOKUP($A91,'HRGs to TFCs 1'!A:K,H$1,0)</f>
        <v>1068108.4146075526</v>
      </c>
      <c r="I91" s="714">
        <f>VLOOKUP($A91,'HRGs to TFCs 1'!A:K,I$1,0)</f>
        <v>0</v>
      </c>
      <c r="J91" s="714">
        <f>VLOOKUP($A91,'HRGs to TFCs 1'!A:K,J$1,0)</f>
        <v>225491.6988221526</v>
      </c>
      <c r="K91" s="712" t="str">
        <f>IF(ISERROR(VLOOKUP($A91,Mandatory!A:A,1,0)),"No","Yes")</f>
        <v>No</v>
      </c>
      <c r="L91" s="715">
        <f t="shared" si="1"/>
        <v>1293600.1134297051</v>
      </c>
    </row>
    <row r="92" spans="1:12">
      <c r="A92" s="712">
        <v>822</v>
      </c>
      <c r="B92" s="713">
        <f>VLOOKUP($A92,'HRGs to TFCs 1'!A:K,B$1,0)</f>
        <v>0</v>
      </c>
      <c r="C92" s="713">
        <f>VLOOKUP($A92,'HRGs to TFCs 1'!A:K,C$1,0)</f>
        <v>21</v>
      </c>
      <c r="D92" s="713">
        <f>VLOOKUP($A92,'HRGs to TFCs 1'!A:K,D$1,0)</f>
        <v>0</v>
      </c>
      <c r="E92" s="713">
        <f>VLOOKUP($A92,'HRGs to TFCs 1'!A:K,E$1,0)</f>
        <v>4</v>
      </c>
      <c r="F92" s="713">
        <f>VLOOKUP($A92,'HRGs to TFCs 1'!A:K,F$1,0)</f>
        <v>25</v>
      </c>
      <c r="G92" s="714">
        <f>VLOOKUP($A92,'HRGs to TFCs 1'!A:K,G$1,0)</f>
        <v>0</v>
      </c>
      <c r="H92" s="714">
        <f>VLOOKUP($A92,'HRGs to TFCs 1'!A:K,H$1,0)</f>
        <v>3636.1997557207224</v>
      </c>
      <c r="I92" s="714">
        <f>VLOOKUP($A92,'HRGs to TFCs 1'!A:K,I$1,0)</f>
        <v>0</v>
      </c>
      <c r="J92" s="714">
        <f>VLOOKUP($A92,'HRGs to TFCs 1'!A:K,J$1,0)</f>
        <v>1306.2006317039388</v>
      </c>
      <c r="K92" s="712" t="str">
        <f>IF(ISERROR(VLOOKUP($A92,Mandatory!A:A,1,0)),"No","Yes")</f>
        <v>No</v>
      </c>
      <c r="L92" s="715">
        <f t="shared" si="1"/>
        <v>4942.4003874246609</v>
      </c>
    </row>
    <row r="93" spans="1:12">
      <c r="A93" s="712">
        <v>840</v>
      </c>
      <c r="B93" s="713">
        <f>VLOOKUP($A93,'HRGs to TFCs 1'!A:K,B$1,0)</f>
        <v>0</v>
      </c>
      <c r="C93" s="713">
        <f>VLOOKUP($A93,'HRGs to TFCs 1'!A:K,C$1,0)</f>
        <v>2450</v>
      </c>
      <c r="D93" s="713">
        <f>VLOOKUP($A93,'HRGs to TFCs 1'!A:K,D$1,0)</f>
        <v>0</v>
      </c>
      <c r="E93" s="713">
        <f>VLOOKUP($A93,'HRGs to TFCs 1'!A:K,E$1,0)</f>
        <v>9481</v>
      </c>
      <c r="F93" s="713">
        <f>VLOOKUP($A93,'HRGs to TFCs 1'!A:K,F$1,0)</f>
        <v>11931</v>
      </c>
      <c r="G93" s="714">
        <f>VLOOKUP($A93,'HRGs to TFCs 1'!A:K,G$1,0)</f>
        <v>0</v>
      </c>
      <c r="H93" s="714">
        <f>VLOOKUP($A93,'HRGs to TFCs 1'!A:K,H$1,0)</f>
        <v>66909.575980370981</v>
      </c>
      <c r="I93" s="714">
        <f>VLOOKUP($A93,'HRGs to TFCs 1'!A:K,I$1,0)</f>
        <v>0</v>
      </c>
      <c r="J93" s="714">
        <f>VLOOKUP($A93,'HRGs to TFCs 1'!A:K,J$1,0)</f>
        <v>149243.06066165917</v>
      </c>
      <c r="K93" s="712" t="str">
        <f>IF(ISERROR(VLOOKUP($A93,Mandatory!A:A,1,0)),"No","Yes")</f>
        <v>No</v>
      </c>
      <c r="L93" s="715">
        <f t="shared" si="1"/>
        <v>216152.63664203015</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249977111117893"/>
  </sheetPr>
  <dimension ref="A2:Q117"/>
  <sheetViews>
    <sheetView showGridLines="0" workbookViewId="0"/>
  </sheetViews>
  <sheetFormatPr defaultRowHeight="11.25"/>
  <cols>
    <col min="1" max="12" width="9.140625" style="5"/>
    <col min="13" max="13" width="11.5703125" style="5" customWidth="1"/>
    <col min="14" max="268" width="9.140625" style="5"/>
    <col min="269" max="269" width="10" style="5" bestFit="1" customWidth="1"/>
    <col min="270" max="524" width="9.140625" style="5"/>
    <col min="525" max="525" width="10" style="5" bestFit="1" customWidth="1"/>
    <col min="526" max="780" width="9.140625" style="5"/>
    <col min="781" max="781" width="10" style="5" bestFit="1" customWidth="1"/>
    <col min="782" max="1036" width="9.140625" style="5"/>
    <col min="1037" max="1037" width="10" style="5" bestFit="1" customWidth="1"/>
    <col min="1038" max="1292" width="9.140625" style="5"/>
    <col min="1293" max="1293" width="10" style="5" bestFit="1" customWidth="1"/>
    <col min="1294" max="1548" width="9.140625" style="5"/>
    <col min="1549" max="1549" width="10" style="5" bestFit="1" customWidth="1"/>
    <col min="1550" max="1804" width="9.140625" style="5"/>
    <col min="1805" max="1805" width="10" style="5" bestFit="1" customWidth="1"/>
    <col min="1806" max="2060" width="9.140625" style="5"/>
    <col min="2061" max="2061" width="10" style="5" bestFit="1" customWidth="1"/>
    <col min="2062" max="2316" width="9.140625" style="5"/>
    <col min="2317" max="2317" width="10" style="5" bestFit="1" customWidth="1"/>
    <col min="2318" max="2572" width="9.140625" style="5"/>
    <col min="2573" max="2573" width="10" style="5" bestFit="1" customWidth="1"/>
    <col min="2574" max="2828" width="9.140625" style="5"/>
    <col min="2829" max="2829" width="10" style="5" bestFit="1" customWidth="1"/>
    <col min="2830" max="3084" width="9.140625" style="5"/>
    <col min="3085" max="3085" width="10" style="5" bestFit="1" customWidth="1"/>
    <col min="3086" max="3340" width="9.140625" style="5"/>
    <col min="3341" max="3341" width="10" style="5" bestFit="1" customWidth="1"/>
    <col min="3342" max="3596" width="9.140625" style="5"/>
    <col min="3597" max="3597" width="10" style="5" bestFit="1" customWidth="1"/>
    <col min="3598" max="3852" width="9.140625" style="5"/>
    <col min="3853" max="3853" width="10" style="5" bestFit="1" customWidth="1"/>
    <col min="3854" max="4108" width="9.140625" style="5"/>
    <col min="4109" max="4109" width="10" style="5" bestFit="1" customWidth="1"/>
    <col min="4110" max="4364" width="9.140625" style="5"/>
    <col min="4365" max="4365" width="10" style="5" bestFit="1" customWidth="1"/>
    <col min="4366" max="4620" width="9.140625" style="5"/>
    <col min="4621" max="4621" width="10" style="5" bestFit="1" customWidth="1"/>
    <col min="4622" max="4876" width="9.140625" style="5"/>
    <col min="4877" max="4877" width="10" style="5" bestFit="1" customWidth="1"/>
    <col min="4878" max="5132" width="9.140625" style="5"/>
    <col min="5133" max="5133" width="10" style="5" bestFit="1" customWidth="1"/>
    <col min="5134" max="5388" width="9.140625" style="5"/>
    <col min="5389" max="5389" width="10" style="5" bestFit="1" customWidth="1"/>
    <col min="5390" max="5644" width="9.140625" style="5"/>
    <col min="5645" max="5645" width="10" style="5" bestFit="1" customWidth="1"/>
    <col min="5646" max="5900" width="9.140625" style="5"/>
    <col min="5901" max="5901" width="10" style="5" bestFit="1" customWidth="1"/>
    <col min="5902" max="6156" width="9.140625" style="5"/>
    <col min="6157" max="6157" width="10" style="5" bestFit="1" customWidth="1"/>
    <col min="6158" max="6412" width="9.140625" style="5"/>
    <col min="6413" max="6413" width="10" style="5" bestFit="1" customWidth="1"/>
    <col min="6414" max="6668" width="9.140625" style="5"/>
    <col min="6669" max="6669" width="10" style="5" bestFit="1" customWidth="1"/>
    <col min="6670" max="6924" width="9.140625" style="5"/>
    <col min="6925" max="6925" width="10" style="5" bestFit="1" customWidth="1"/>
    <col min="6926" max="7180" width="9.140625" style="5"/>
    <col min="7181" max="7181" width="10" style="5" bestFit="1" customWidth="1"/>
    <col min="7182" max="7436" width="9.140625" style="5"/>
    <col min="7437" max="7437" width="10" style="5" bestFit="1" customWidth="1"/>
    <col min="7438" max="7692" width="9.140625" style="5"/>
    <col min="7693" max="7693" width="10" style="5" bestFit="1" customWidth="1"/>
    <col min="7694" max="7948" width="9.140625" style="5"/>
    <col min="7949" max="7949" width="10" style="5" bestFit="1" customWidth="1"/>
    <col min="7950" max="8204" width="9.140625" style="5"/>
    <col min="8205" max="8205" width="10" style="5" bestFit="1" customWidth="1"/>
    <col min="8206" max="8460" width="9.140625" style="5"/>
    <col min="8461" max="8461" width="10" style="5" bestFit="1" customWidth="1"/>
    <col min="8462" max="8716" width="9.140625" style="5"/>
    <col min="8717" max="8717" width="10" style="5" bestFit="1" customWidth="1"/>
    <col min="8718" max="8972" width="9.140625" style="5"/>
    <col min="8973" max="8973" width="10" style="5" bestFit="1" customWidth="1"/>
    <col min="8974" max="9228" width="9.140625" style="5"/>
    <col min="9229" max="9229" width="10" style="5" bestFit="1" customWidth="1"/>
    <col min="9230" max="9484" width="9.140625" style="5"/>
    <col min="9485" max="9485" width="10" style="5" bestFit="1" customWidth="1"/>
    <col min="9486" max="9740" width="9.140625" style="5"/>
    <col min="9741" max="9741" width="10" style="5" bestFit="1" customWidth="1"/>
    <col min="9742" max="9996" width="9.140625" style="5"/>
    <col min="9997" max="9997" width="10" style="5" bestFit="1" customWidth="1"/>
    <col min="9998" max="10252" width="9.140625" style="5"/>
    <col min="10253" max="10253" width="10" style="5" bestFit="1" customWidth="1"/>
    <col min="10254" max="10508" width="9.140625" style="5"/>
    <col min="10509" max="10509" width="10" style="5" bestFit="1" customWidth="1"/>
    <col min="10510" max="10764" width="9.140625" style="5"/>
    <col min="10765" max="10765" width="10" style="5" bestFit="1" customWidth="1"/>
    <col min="10766" max="11020" width="9.140625" style="5"/>
    <col min="11021" max="11021" width="10" style="5" bestFit="1" customWidth="1"/>
    <col min="11022" max="11276" width="9.140625" style="5"/>
    <col min="11277" max="11277" width="10" style="5" bestFit="1" customWidth="1"/>
    <col min="11278" max="11532" width="9.140625" style="5"/>
    <col min="11533" max="11533" width="10" style="5" bestFit="1" customWidth="1"/>
    <col min="11534" max="11788" width="9.140625" style="5"/>
    <col min="11789" max="11789" width="10" style="5" bestFit="1" customWidth="1"/>
    <col min="11790" max="12044" width="9.140625" style="5"/>
    <col min="12045" max="12045" width="10" style="5" bestFit="1" customWidth="1"/>
    <col min="12046" max="12300" width="9.140625" style="5"/>
    <col min="12301" max="12301" width="10" style="5" bestFit="1" customWidth="1"/>
    <col min="12302" max="12556" width="9.140625" style="5"/>
    <col min="12557" max="12557" width="10" style="5" bestFit="1" customWidth="1"/>
    <col min="12558" max="12812" width="9.140625" style="5"/>
    <col min="12813" max="12813" width="10" style="5" bestFit="1" customWidth="1"/>
    <col min="12814" max="13068" width="9.140625" style="5"/>
    <col min="13069" max="13069" width="10" style="5" bestFit="1" customWidth="1"/>
    <col min="13070" max="13324" width="9.140625" style="5"/>
    <col min="13325" max="13325" width="10" style="5" bestFit="1" customWidth="1"/>
    <col min="13326" max="13580" width="9.140625" style="5"/>
    <col min="13581" max="13581" width="10" style="5" bestFit="1" customWidth="1"/>
    <col min="13582" max="13836" width="9.140625" style="5"/>
    <col min="13837" max="13837" width="10" style="5" bestFit="1" customWidth="1"/>
    <col min="13838" max="14092" width="9.140625" style="5"/>
    <col min="14093" max="14093" width="10" style="5" bestFit="1" customWidth="1"/>
    <col min="14094" max="14348" width="9.140625" style="5"/>
    <col min="14349" max="14349" width="10" style="5" bestFit="1" customWidth="1"/>
    <col min="14350" max="14604" width="9.140625" style="5"/>
    <col min="14605" max="14605" width="10" style="5" bestFit="1" customWidth="1"/>
    <col min="14606" max="14860" width="9.140625" style="5"/>
    <col min="14861" max="14861" width="10" style="5" bestFit="1" customWidth="1"/>
    <col min="14862" max="15116" width="9.140625" style="5"/>
    <col min="15117" max="15117" width="10" style="5" bestFit="1" customWidth="1"/>
    <col min="15118" max="15372" width="9.140625" style="5"/>
    <col min="15373" max="15373" width="10" style="5" bestFit="1" customWidth="1"/>
    <col min="15374" max="15628" width="9.140625" style="5"/>
    <col min="15629" max="15629" width="10" style="5" bestFit="1" customWidth="1"/>
    <col min="15630" max="15884" width="9.140625" style="5"/>
    <col min="15885" max="15885" width="10" style="5" bestFit="1" customWidth="1"/>
    <col min="15886" max="16140" width="9.140625" style="5"/>
    <col min="16141" max="16141" width="10" style="5" bestFit="1" customWidth="1"/>
    <col min="16142" max="16384" width="9.140625" style="5"/>
  </cols>
  <sheetData>
    <row r="2" spans="1:17">
      <c r="A2" s="4" t="s">
        <v>928</v>
      </c>
    </row>
    <row r="3" spans="1:17" ht="12" thickBot="1">
      <c r="A3" s="38" t="s">
        <v>929</v>
      </c>
      <c r="J3" s="39"/>
      <c r="K3" s="39"/>
      <c r="L3" s="39"/>
      <c r="M3" s="39"/>
      <c r="N3" s="39"/>
      <c r="O3" s="39"/>
      <c r="P3" s="39"/>
      <c r="Q3" s="39"/>
    </row>
    <row r="4" spans="1:17" ht="12" thickBot="1">
      <c r="A4" s="699" t="s">
        <v>974</v>
      </c>
      <c r="E4" s="6">
        <f>SUM(B8:E117)</f>
        <v>1354221</v>
      </c>
      <c r="J4" s="39"/>
      <c r="K4" s="39"/>
      <c r="L4" s="39"/>
      <c r="M4" s="6">
        <f>SUM(J8:M117)</f>
        <v>171506211.15479499</v>
      </c>
      <c r="N4" s="39">
        <f>M4/E4</f>
        <v>126.64565913155607</v>
      </c>
      <c r="O4" s="39"/>
      <c r="P4" s="39"/>
      <c r="Q4" s="39"/>
    </row>
    <row r="5" spans="1:17" ht="12" thickBot="1"/>
    <row r="6" spans="1:17" ht="13.5" customHeight="1" thickBot="1">
      <c r="B6" s="781" t="s">
        <v>406</v>
      </c>
      <c r="C6" s="782"/>
      <c r="D6" s="782"/>
      <c r="E6" s="783"/>
      <c r="F6" s="784" t="s">
        <v>407</v>
      </c>
      <c r="G6" s="785"/>
      <c r="H6" s="785"/>
      <c r="I6" s="786"/>
      <c r="J6" s="787" t="s">
        <v>408</v>
      </c>
      <c r="K6" s="788"/>
      <c r="L6" s="788"/>
      <c r="M6" s="789"/>
      <c r="N6" s="784" t="s">
        <v>409</v>
      </c>
      <c r="O6" s="785"/>
      <c r="P6" s="785"/>
      <c r="Q6" s="786"/>
    </row>
    <row r="7" spans="1:17" ht="12" thickBot="1">
      <c r="A7" s="40" t="s">
        <v>0</v>
      </c>
      <c r="B7" s="41" t="s">
        <v>410</v>
      </c>
      <c r="C7" s="41" t="s">
        <v>411</v>
      </c>
      <c r="D7" s="41" t="s">
        <v>412</v>
      </c>
      <c r="E7" s="42" t="s">
        <v>413</v>
      </c>
      <c r="F7" s="7" t="s">
        <v>410</v>
      </c>
      <c r="G7" s="7" t="s">
        <v>411</v>
      </c>
      <c r="H7" s="7" t="s">
        <v>412</v>
      </c>
      <c r="I7" s="8" t="s">
        <v>413</v>
      </c>
      <c r="J7" s="43" t="s">
        <v>410</v>
      </c>
      <c r="K7" s="43" t="s">
        <v>411</v>
      </c>
      <c r="L7" s="43" t="s">
        <v>412</v>
      </c>
      <c r="M7" s="44" t="s">
        <v>413</v>
      </c>
      <c r="N7" s="7" t="s">
        <v>410</v>
      </c>
      <c r="O7" s="7" t="s">
        <v>411</v>
      </c>
      <c r="P7" s="7" t="s">
        <v>412</v>
      </c>
      <c r="Q7" s="8" t="s">
        <v>413</v>
      </c>
    </row>
    <row r="8" spans="1:17">
      <c r="A8" s="45">
        <v>100</v>
      </c>
      <c r="B8" s="46">
        <f>IF(ISERROR(VLOOKUP(A8,'HRGs to TFCs 2'!A:L,2,FALSE)),0,VLOOKUP(A8,'HRGs to TFCs 2'!A:L,2,FALSE))</f>
        <v>0</v>
      </c>
      <c r="C8" s="46">
        <f>IF(ISERROR(VLOOKUP(A8,'HRGs to TFCs 2'!A:L,3,FALSE)),0,VLOOKUP(A8,'HRGs to TFCs 2'!A:L,3,FALSE))</f>
        <v>10550</v>
      </c>
      <c r="D8" s="46">
        <f>IF(ISERROR(VLOOKUP(A8,'HRGs to TFCs 2'!A:L,4,FALSE)),0,VLOOKUP(A8,'HRGs to TFCs 2'!A:L,4,FALSE))</f>
        <v>0</v>
      </c>
      <c r="E8" s="47">
        <f>IF(ISERROR(VLOOKUP(A8,'HRGs to TFCs 2'!A:L,5,FALSE)),0,VLOOKUP(A8,'HRGs to TFCs 2'!A:L,5,FALSE))</f>
        <v>19493</v>
      </c>
      <c r="F8" s="9">
        <f t="shared" ref="F8:I39" si="0">IF(ISERROR(B8/$E$4),0,B8/$E$4)</f>
        <v>0</v>
      </c>
      <c r="G8" s="9">
        <f t="shared" si="0"/>
        <v>7.7904566536776496E-3</v>
      </c>
      <c r="H8" s="9">
        <f t="shared" si="0"/>
        <v>0</v>
      </c>
      <c r="I8" s="10">
        <f t="shared" si="0"/>
        <v>1.4394253227501272E-2</v>
      </c>
      <c r="J8" s="48">
        <f>IF(ISERROR(VLOOKUP(A8,'HRGs to TFCs 2'!A:L,7,FALSE)),0,VLOOKUP(A8,'HRGs to TFCs 2'!A:L,7,FALSE))</f>
        <v>0</v>
      </c>
      <c r="K8" s="48">
        <f>IF(ISERROR(VLOOKUP(A8,'HRGs to TFCs 2'!A:L,8,FALSE)),0,VLOOKUP(A8,'HRGs to TFCs 2'!A:L,8,FALSE))</f>
        <v>1816742.1990271821</v>
      </c>
      <c r="L8" s="48">
        <f>IF(ISERROR(VLOOKUP(A8,'HRGs to TFCs 2'!A:L,9,FALSE)),0,VLOOKUP(A8,'HRGs to TFCs 2'!A:L,9,FALSE))</f>
        <v>0</v>
      </c>
      <c r="M8" s="49">
        <f>IF(ISERROR(VLOOKUP(A8,'HRGs to TFCs 2'!A:L,10,FALSE)),0,VLOOKUP(A8,'HRGs to TFCs 2'!A:L,10,FALSE))</f>
        <v>2630055.3437846578</v>
      </c>
      <c r="N8" s="9">
        <f>IF(ISERROR(J8/$M$4),0,J8/$M$4)</f>
        <v>0</v>
      </c>
      <c r="O8" s="9">
        <f t="shared" ref="O8:Q71" si="1">IF(ISERROR(K8/$M$4),0,K8/$M$4)</f>
        <v>1.0592865335865065E-2</v>
      </c>
      <c r="P8" s="9">
        <f t="shared" si="1"/>
        <v>0</v>
      </c>
      <c r="Q8" s="10">
        <f t="shared" si="1"/>
        <v>1.5335044288342828E-2</v>
      </c>
    </row>
    <row r="9" spans="1:17">
      <c r="A9" s="45">
        <v>101</v>
      </c>
      <c r="B9" s="46">
        <f>IF(ISERROR(VLOOKUP(A9,'HRGs to TFCs 2'!A:L,2,FALSE)),0,VLOOKUP(A9,'HRGs to TFCs 2'!A:L,2,FALSE))</f>
        <v>0</v>
      </c>
      <c r="C9" s="46">
        <f>IF(ISERROR(VLOOKUP(A9,'HRGs to TFCs 2'!A:L,3,FALSE)),0,VLOOKUP(A9,'HRGs to TFCs 2'!A:L,3,FALSE))</f>
        <v>2054</v>
      </c>
      <c r="D9" s="46">
        <f>IF(ISERROR(VLOOKUP(A9,'HRGs to TFCs 2'!A:L,4,FALSE)),0,VLOOKUP(A9,'HRGs to TFCs 2'!A:L,4,FALSE))</f>
        <v>0</v>
      </c>
      <c r="E9" s="47">
        <f>IF(ISERROR(VLOOKUP(A9,'HRGs to TFCs 2'!A:L,5,FALSE)),0,VLOOKUP(A9,'HRGs to TFCs 2'!A:L,5,FALSE))</f>
        <v>8297</v>
      </c>
      <c r="F9" s="9">
        <f t="shared" si="0"/>
        <v>0</v>
      </c>
      <c r="G9" s="9">
        <f t="shared" si="0"/>
        <v>1.5167391437586628E-3</v>
      </c>
      <c r="H9" s="9">
        <f t="shared" si="0"/>
        <v>0</v>
      </c>
      <c r="I9" s="10">
        <f t="shared" si="0"/>
        <v>6.1267695597690477E-3</v>
      </c>
      <c r="J9" s="48">
        <f>IF(ISERROR(VLOOKUP(A9,'HRGs to TFCs 2'!A:L,7,FALSE)),0,VLOOKUP(A9,'HRGs to TFCs 2'!A:L,7,FALSE))</f>
        <v>0</v>
      </c>
      <c r="K9" s="48">
        <f>IF(ISERROR(VLOOKUP(A9,'HRGs to TFCs 2'!A:L,8,FALSE)),0,VLOOKUP(A9,'HRGs to TFCs 2'!A:L,8,FALSE))</f>
        <v>526843.06895149162</v>
      </c>
      <c r="L9" s="48">
        <f>IF(ISERROR(VLOOKUP(A9,'HRGs to TFCs 2'!A:L,9,FALSE)),0,VLOOKUP(A9,'HRGs to TFCs 2'!A:L,9,FALSE))</f>
        <v>0</v>
      </c>
      <c r="M9" s="49">
        <f>IF(ISERROR(VLOOKUP(A9,'HRGs to TFCs 2'!A:L,10,FALSE)),0,VLOOKUP(A9,'HRGs to TFCs 2'!A:L,10,FALSE))</f>
        <v>1654547.5232012034</v>
      </c>
      <c r="N9" s="9">
        <f t="shared" ref="N9:Q72" si="2">IF(ISERROR(J9/$M$4),0,J9/$M$4)</f>
        <v>0</v>
      </c>
      <c r="O9" s="9">
        <f t="shared" si="1"/>
        <v>3.0718599950644533E-3</v>
      </c>
      <c r="P9" s="9">
        <f t="shared" si="1"/>
        <v>0</v>
      </c>
      <c r="Q9" s="10">
        <f t="shared" si="1"/>
        <v>9.6471580362058832E-3</v>
      </c>
    </row>
    <row r="10" spans="1:17">
      <c r="A10" s="45">
        <v>102</v>
      </c>
      <c r="B10" s="46">
        <f>IF(ISERROR(VLOOKUP(A10,'HRGs to TFCs 2'!A:L,2,FALSE)),0,VLOOKUP(A10,'HRGs to TFCs 2'!A:L,2,FALSE))</f>
        <v>0</v>
      </c>
      <c r="C10" s="46">
        <f>IF(ISERROR(VLOOKUP(A10,'HRGs to TFCs 2'!A:L,3,FALSE)),0,VLOOKUP(A10,'HRGs to TFCs 2'!A:L,3,FALSE))</f>
        <v>10</v>
      </c>
      <c r="D10" s="46">
        <f>IF(ISERROR(VLOOKUP(A10,'HRGs to TFCs 2'!A:L,4,FALSE)),0,VLOOKUP(A10,'HRGs to TFCs 2'!A:L,4,FALSE))</f>
        <v>0</v>
      </c>
      <c r="E10" s="47">
        <f>IF(ISERROR(VLOOKUP(A10,'HRGs to TFCs 2'!A:L,5,FALSE)),0,VLOOKUP(A10,'HRGs to TFCs 2'!A:L,5,FALSE))</f>
        <v>785</v>
      </c>
      <c r="F10" s="9">
        <f t="shared" si="0"/>
        <v>0</v>
      </c>
      <c r="G10" s="9">
        <f t="shared" si="0"/>
        <v>7.3843191030119899E-6</v>
      </c>
      <c r="H10" s="9">
        <f t="shared" si="0"/>
        <v>0</v>
      </c>
      <c r="I10" s="10">
        <f t="shared" si="0"/>
        <v>5.7966904958644118E-4</v>
      </c>
      <c r="J10" s="48">
        <f>IF(ISERROR(VLOOKUP(A10,'HRGs to TFCs 2'!A:L,7,FALSE)),0,VLOOKUP(A10,'HRGs to TFCs 2'!A:L,7,FALSE))</f>
        <v>0</v>
      </c>
      <c r="K10" s="48">
        <f>IF(ISERROR(VLOOKUP(A10,'HRGs to TFCs 2'!A:L,8,FALSE)),0,VLOOKUP(A10,'HRGs to TFCs 2'!A:L,8,FALSE))</f>
        <v>930.88401093556217</v>
      </c>
      <c r="L10" s="48">
        <f>IF(ISERROR(VLOOKUP(A10,'HRGs to TFCs 2'!A:L,9,FALSE)),0,VLOOKUP(A10,'HRGs to TFCs 2'!A:L,9,FALSE))</f>
        <v>0</v>
      </c>
      <c r="M10" s="49">
        <f>IF(ISERROR(VLOOKUP(A10,'HRGs to TFCs 2'!A:L,10,FALSE)),0,VLOOKUP(A10,'HRGs to TFCs 2'!A:L,10,FALSE))</f>
        <v>60515.15046140171</v>
      </c>
      <c r="N10" s="9">
        <f t="shared" si="2"/>
        <v>0</v>
      </c>
      <c r="O10" s="9">
        <f t="shared" si="1"/>
        <v>5.4276985344593829E-6</v>
      </c>
      <c r="P10" s="9">
        <f t="shared" si="1"/>
        <v>0</v>
      </c>
      <c r="Q10" s="10">
        <f t="shared" si="1"/>
        <v>3.5284524131189062E-4</v>
      </c>
    </row>
    <row r="11" spans="1:17">
      <c r="A11" s="45">
        <v>103</v>
      </c>
      <c r="B11" s="46">
        <f>IF(ISERROR(VLOOKUP(A11,'HRGs to TFCs 2'!A:L,2,FALSE)),0,VLOOKUP(A11,'HRGs to TFCs 2'!A:L,2,FALSE))</f>
        <v>0</v>
      </c>
      <c r="C11" s="46">
        <f>IF(ISERROR(VLOOKUP(A11,'HRGs to TFCs 2'!A:L,3,FALSE)),0,VLOOKUP(A11,'HRGs to TFCs 2'!A:L,3,FALSE))</f>
        <v>2564</v>
      </c>
      <c r="D11" s="46">
        <f>IF(ISERROR(VLOOKUP(A11,'HRGs to TFCs 2'!A:L,4,FALSE)),0,VLOOKUP(A11,'HRGs to TFCs 2'!A:L,4,FALSE))</f>
        <v>0</v>
      </c>
      <c r="E11" s="47">
        <f>IF(ISERROR(VLOOKUP(A11,'HRGs to TFCs 2'!A:L,5,FALSE)),0,VLOOKUP(A11,'HRGs to TFCs 2'!A:L,5,FALSE))</f>
        <v>10889</v>
      </c>
      <c r="F11" s="9">
        <f t="shared" si="0"/>
        <v>0</v>
      </c>
      <c r="G11" s="9">
        <f t="shared" si="0"/>
        <v>1.8933394180122743E-3</v>
      </c>
      <c r="H11" s="9">
        <f t="shared" si="0"/>
        <v>0</v>
      </c>
      <c r="I11" s="10">
        <f t="shared" si="0"/>
        <v>8.0407850712697557E-3</v>
      </c>
      <c r="J11" s="48">
        <f>IF(ISERROR(VLOOKUP(A11,'HRGs to TFCs 2'!A:L,7,FALSE)),0,VLOOKUP(A11,'HRGs to TFCs 2'!A:L,7,FALSE))</f>
        <v>0</v>
      </c>
      <c r="K11" s="48">
        <f>IF(ISERROR(VLOOKUP(A11,'HRGs to TFCs 2'!A:L,8,FALSE)),0,VLOOKUP(A11,'HRGs to TFCs 2'!A:L,8,FALSE))</f>
        <v>450656.97205215821</v>
      </c>
      <c r="L11" s="48">
        <f>IF(ISERROR(VLOOKUP(A11,'HRGs to TFCs 2'!A:L,9,FALSE)),0,VLOOKUP(A11,'HRGs to TFCs 2'!A:L,9,FALSE))</f>
        <v>0</v>
      </c>
      <c r="M11" s="49">
        <f>IF(ISERROR(VLOOKUP(A11,'HRGs to TFCs 2'!A:L,10,FALSE)),0,VLOOKUP(A11,'HRGs to TFCs 2'!A:L,10,FALSE))</f>
        <v>1440348.9264178127</v>
      </c>
      <c r="N11" s="9">
        <f t="shared" si="2"/>
        <v>0</v>
      </c>
      <c r="O11" s="9">
        <f t="shared" si="1"/>
        <v>2.6276422819778364E-3</v>
      </c>
      <c r="P11" s="9">
        <f t="shared" si="1"/>
        <v>0</v>
      </c>
      <c r="Q11" s="10">
        <f t="shared" si="1"/>
        <v>8.3982318583075023E-3</v>
      </c>
    </row>
    <row r="12" spans="1:17">
      <c r="A12" s="45">
        <v>104</v>
      </c>
      <c r="B12" s="46">
        <f>IF(ISERROR(VLOOKUP(A12,'HRGs to TFCs 2'!A:L,2,FALSE)),0,VLOOKUP(A12,'HRGs to TFCs 2'!A:L,2,FALSE))</f>
        <v>0</v>
      </c>
      <c r="C12" s="46">
        <f>IF(ISERROR(VLOOKUP(A12,'HRGs to TFCs 2'!A:L,3,FALSE)),0,VLOOKUP(A12,'HRGs to TFCs 2'!A:L,3,FALSE))</f>
        <v>5531</v>
      </c>
      <c r="D12" s="46">
        <f>IF(ISERROR(VLOOKUP(A12,'HRGs to TFCs 2'!A:L,4,FALSE)),0,VLOOKUP(A12,'HRGs to TFCs 2'!A:L,4,FALSE))</f>
        <v>0</v>
      </c>
      <c r="E12" s="47">
        <f>IF(ISERROR(VLOOKUP(A12,'HRGs to TFCs 2'!A:L,5,FALSE)),0,VLOOKUP(A12,'HRGs to TFCs 2'!A:L,5,FALSE))</f>
        <v>4964</v>
      </c>
      <c r="F12" s="9">
        <f t="shared" si="0"/>
        <v>0</v>
      </c>
      <c r="G12" s="9">
        <f t="shared" si="0"/>
        <v>4.0842668958759321E-3</v>
      </c>
      <c r="H12" s="9">
        <f t="shared" si="0"/>
        <v>0</v>
      </c>
      <c r="I12" s="10">
        <f t="shared" si="0"/>
        <v>3.6655760027351518E-3</v>
      </c>
      <c r="J12" s="48">
        <f>IF(ISERROR(VLOOKUP(A12,'HRGs to TFCs 2'!A:L,7,FALSE)),0,VLOOKUP(A12,'HRGs to TFCs 2'!A:L,7,FALSE))</f>
        <v>0</v>
      </c>
      <c r="K12" s="48">
        <f>IF(ISERROR(VLOOKUP(A12,'HRGs to TFCs 2'!A:L,8,FALSE)),0,VLOOKUP(A12,'HRGs to TFCs 2'!A:L,8,FALSE))</f>
        <v>943116.66103507066</v>
      </c>
      <c r="L12" s="48">
        <f>IF(ISERROR(VLOOKUP(A12,'HRGs to TFCs 2'!A:L,9,FALSE)),0,VLOOKUP(A12,'HRGs to TFCs 2'!A:L,9,FALSE))</f>
        <v>0</v>
      </c>
      <c r="M12" s="49">
        <f>IF(ISERROR(VLOOKUP(A12,'HRGs to TFCs 2'!A:L,10,FALSE)),0,VLOOKUP(A12,'HRGs to TFCs 2'!A:L,10,FALSE))</f>
        <v>655909.49274827272</v>
      </c>
      <c r="N12" s="9">
        <f t="shared" si="2"/>
        <v>0</v>
      </c>
      <c r="O12" s="9">
        <f t="shared" si="1"/>
        <v>5.4990233571415642E-3</v>
      </c>
      <c r="P12" s="9">
        <f t="shared" si="1"/>
        <v>0</v>
      </c>
      <c r="Q12" s="10">
        <f t="shared" si="1"/>
        <v>3.8244066400386733E-3</v>
      </c>
    </row>
    <row r="13" spans="1:17">
      <c r="A13" s="45">
        <v>105</v>
      </c>
      <c r="B13" s="46">
        <f>IF(ISERROR(VLOOKUP(A13,'HRGs to TFCs 2'!A:L,2,FALSE)),0,VLOOKUP(A13,'HRGs to TFCs 2'!A:L,2,FALSE))</f>
        <v>0</v>
      </c>
      <c r="C13" s="46">
        <f>IF(ISERROR(VLOOKUP(A13,'HRGs to TFCs 2'!A:L,3,FALSE)),0,VLOOKUP(A13,'HRGs to TFCs 2'!A:L,3,FALSE))</f>
        <v>13</v>
      </c>
      <c r="D13" s="46">
        <f>IF(ISERROR(VLOOKUP(A13,'HRGs to TFCs 2'!A:L,4,FALSE)),0,VLOOKUP(A13,'HRGs to TFCs 2'!A:L,4,FALSE))</f>
        <v>0</v>
      </c>
      <c r="E13" s="47">
        <f>IF(ISERROR(VLOOKUP(A13,'HRGs to TFCs 2'!A:L,5,FALSE)),0,VLOOKUP(A13,'HRGs to TFCs 2'!A:L,5,FALSE))</f>
        <v>40</v>
      </c>
      <c r="F13" s="9">
        <f t="shared" si="0"/>
        <v>0</v>
      </c>
      <c r="G13" s="9">
        <f t="shared" si="0"/>
        <v>9.599614833915587E-6</v>
      </c>
      <c r="H13" s="9">
        <f t="shared" si="0"/>
        <v>0</v>
      </c>
      <c r="I13" s="10">
        <f t="shared" si="0"/>
        <v>2.953727641204796E-5</v>
      </c>
      <c r="J13" s="48">
        <f>IF(ISERROR(VLOOKUP(A13,'HRGs to TFCs 2'!A:L,7,FALSE)),0,VLOOKUP(A13,'HRGs to TFCs 2'!A:L,7,FALSE))</f>
        <v>0</v>
      </c>
      <c r="K13" s="48">
        <f>IF(ISERROR(VLOOKUP(A13,'HRGs to TFCs 2'!A:L,8,FALSE)),0,VLOOKUP(A13,'HRGs to TFCs 2'!A:L,8,FALSE))</f>
        <v>1963.396733143127</v>
      </c>
      <c r="L13" s="48">
        <f>IF(ISERROR(VLOOKUP(A13,'HRGs to TFCs 2'!A:L,9,FALSE)),0,VLOOKUP(A13,'HRGs to TFCs 2'!A:L,9,FALSE))</f>
        <v>0</v>
      </c>
      <c r="M13" s="49">
        <f>IF(ISERROR(VLOOKUP(A13,'HRGs to TFCs 2'!A:L,10,FALSE)),0,VLOOKUP(A13,'HRGs to TFCs 2'!A:L,10,FALSE))</f>
        <v>7972.9267512141741</v>
      </c>
      <c r="N13" s="9">
        <f t="shared" si="2"/>
        <v>0</v>
      </c>
      <c r="O13" s="9">
        <f t="shared" si="1"/>
        <v>1.1447962845911391E-5</v>
      </c>
      <c r="P13" s="9">
        <f t="shared" si="1"/>
        <v>0</v>
      </c>
      <c r="Q13" s="10">
        <f t="shared" si="1"/>
        <v>4.6487685183705174E-5</v>
      </c>
    </row>
    <row r="14" spans="1:17">
      <c r="A14" s="45">
        <v>106</v>
      </c>
      <c r="B14" s="46">
        <f>IF(ISERROR(VLOOKUP(A14,'HRGs to TFCs 2'!A:L,2,FALSE)),0,VLOOKUP(A14,'HRGs to TFCs 2'!A:L,2,FALSE))</f>
        <v>0</v>
      </c>
      <c r="C14" s="46">
        <f>IF(ISERROR(VLOOKUP(A14,'HRGs to TFCs 2'!A:L,3,FALSE)),0,VLOOKUP(A14,'HRGs to TFCs 2'!A:L,3,FALSE))</f>
        <v>253</v>
      </c>
      <c r="D14" s="46">
        <f>IF(ISERROR(VLOOKUP(A14,'HRGs to TFCs 2'!A:L,4,FALSE)),0,VLOOKUP(A14,'HRGs to TFCs 2'!A:L,4,FALSE))</f>
        <v>0</v>
      </c>
      <c r="E14" s="47">
        <f>IF(ISERROR(VLOOKUP(A14,'HRGs to TFCs 2'!A:L,5,FALSE)),0,VLOOKUP(A14,'HRGs to TFCs 2'!A:L,5,FALSE))</f>
        <v>451</v>
      </c>
      <c r="F14" s="9">
        <f t="shared" si="0"/>
        <v>0</v>
      </c>
      <c r="G14" s="9">
        <f t="shared" si="0"/>
        <v>1.8682327330620335E-4</v>
      </c>
      <c r="H14" s="9">
        <f t="shared" si="0"/>
        <v>0</v>
      </c>
      <c r="I14" s="10">
        <f t="shared" si="0"/>
        <v>3.3303279154584073E-4</v>
      </c>
      <c r="J14" s="48">
        <f>IF(ISERROR(VLOOKUP(A14,'HRGs to TFCs 2'!A:L,7,FALSE)),0,VLOOKUP(A14,'HRGs to TFCs 2'!A:L,7,FALSE))</f>
        <v>0</v>
      </c>
      <c r="K14" s="48">
        <f>IF(ISERROR(VLOOKUP(A14,'HRGs to TFCs 2'!A:L,8,FALSE)),0,VLOOKUP(A14,'HRGs to TFCs 2'!A:L,8,FALSE))</f>
        <v>34941.784366622822</v>
      </c>
      <c r="L14" s="48">
        <f>IF(ISERROR(VLOOKUP(A14,'HRGs to TFCs 2'!A:L,9,FALSE)),0,VLOOKUP(A14,'HRGs to TFCs 2'!A:L,9,FALSE))</f>
        <v>0</v>
      </c>
      <c r="M14" s="49">
        <f>IF(ISERROR(VLOOKUP(A14,'HRGs to TFCs 2'!A:L,10,FALSE)),0,VLOOKUP(A14,'HRGs to TFCs 2'!A:L,10,FALSE))</f>
        <v>58473.607569263841</v>
      </c>
      <c r="N14" s="9">
        <f t="shared" si="2"/>
        <v>0</v>
      </c>
      <c r="O14" s="9">
        <f t="shared" si="1"/>
        <v>2.0373480430446741E-4</v>
      </c>
      <c r="P14" s="9">
        <f t="shared" si="1"/>
        <v>0</v>
      </c>
      <c r="Q14" s="10">
        <f t="shared" si="1"/>
        <v>3.4094163223329435E-4</v>
      </c>
    </row>
    <row r="15" spans="1:17">
      <c r="A15" s="45">
        <v>107</v>
      </c>
      <c r="B15" s="46">
        <f>IF(ISERROR(VLOOKUP(A15,'HRGs to TFCs 2'!A:L,2,FALSE)),0,VLOOKUP(A15,'HRGs to TFCs 2'!A:L,2,FALSE))</f>
        <v>0</v>
      </c>
      <c r="C15" s="46">
        <f>IF(ISERROR(VLOOKUP(A15,'HRGs to TFCs 2'!A:L,3,FALSE)),0,VLOOKUP(A15,'HRGs to TFCs 2'!A:L,3,FALSE))</f>
        <v>3097</v>
      </c>
      <c r="D15" s="46">
        <f>IF(ISERROR(VLOOKUP(A15,'HRGs to TFCs 2'!A:L,4,FALSE)),0,VLOOKUP(A15,'HRGs to TFCs 2'!A:L,4,FALSE))</f>
        <v>0</v>
      </c>
      <c r="E15" s="47">
        <f>IF(ISERROR(VLOOKUP(A15,'HRGs to TFCs 2'!A:L,5,FALSE)),0,VLOOKUP(A15,'HRGs to TFCs 2'!A:L,5,FALSE))</f>
        <v>8319</v>
      </c>
      <c r="F15" s="9">
        <f t="shared" si="0"/>
        <v>0</v>
      </c>
      <c r="G15" s="9">
        <f t="shared" si="0"/>
        <v>2.2869236262028133E-3</v>
      </c>
      <c r="H15" s="9">
        <f t="shared" si="0"/>
        <v>0</v>
      </c>
      <c r="I15" s="10">
        <f t="shared" si="0"/>
        <v>6.1430150617956744E-3</v>
      </c>
      <c r="J15" s="48">
        <f>IF(ISERROR(VLOOKUP(A15,'HRGs to TFCs 2'!A:L,7,FALSE)),0,VLOOKUP(A15,'HRGs to TFCs 2'!A:L,7,FALSE))</f>
        <v>0</v>
      </c>
      <c r="K15" s="48">
        <f>IF(ISERROR(VLOOKUP(A15,'HRGs to TFCs 2'!A:L,8,FALSE)),0,VLOOKUP(A15,'HRGs to TFCs 2'!A:L,8,FALSE))</f>
        <v>446669.82295124658</v>
      </c>
      <c r="L15" s="48">
        <f>IF(ISERROR(VLOOKUP(A15,'HRGs to TFCs 2'!A:L,9,FALSE)),0,VLOOKUP(A15,'HRGs to TFCs 2'!A:L,9,FALSE))</f>
        <v>0</v>
      </c>
      <c r="M15" s="49">
        <f>IF(ISERROR(VLOOKUP(A15,'HRGs to TFCs 2'!A:L,10,FALSE)),0,VLOOKUP(A15,'HRGs to TFCs 2'!A:L,10,FALSE))</f>
        <v>1030533.1196388811</v>
      </c>
      <c r="N15" s="9">
        <f t="shared" si="2"/>
        <v>0</v>
      </c>
      <c r="O15" s="9">
        <f t="shared" si="1"/>
        <v>2.6043944411325102E-3</v>
      </c>
      <c r="P15" s="9">
        <f t="shared" si="1"/>
        <v>0</v>
      </c>
      <c r="Q15" s="10">
        <f t="shared" si="1"/>
        <v>6.0087218573603787E-3</v>
      </c>
    </row>
    <row r="16" spans="1:17">
      <c r="A16" s="45">
        <v>110</v>
      </c>
      <c r="B16" s="46">
        <f>IF(ISERROR(VLOOKUP(A16,'HRGs to TFCs 2'!A:L,2,FALSE)),0,VLOOKUP(A16,'HRGs to TFCs 2'!A:L,2,FALSE))</f>
        <v>0</v>
      </c>
      <c r="C16" s="46">
        <f>IF(ISERROR(VLOOKUP(A16,'HRGs to TFCs 2'!A:L,3,FALSE)),0,VLOOKUP(A16,'HRGs to TFCs 2'!A:L,3,FALSE))</f>
        <v>33089</v>
      </c>
      <c r="D16" s="46">
        <f>IF(ISERROR(VLOOKUP(A16,'HRGs to TFCs 2'!A:L,4,FALSE)),0,VLOOKUP(A16,'HRGs to TFCs 2'!A:L,4,FALSE))</f>
        <v>0</v>
      </c>
      <c r="E16" s="47">
        <f>IF(ISERROR(VLOOKUP(A16,'HRGs to TFCs 2'!A:L,5,FALSE)),0,VLOOKUP(A16,'HRGs to TFCs 2'!A:L,5,FALSE))</f>
        <v>91107</v>
      </c>
      <c r="F16" s="9">
        <f t="shared" si="0"/>
        <v>0</v>
      </c>
      <c r="G16" s="9">
        <f t="shared" si="0"/>
        <v>2.4433973479956374E-2</v>
      </c>
      <c r="H16" s="9">
        <f t="shared" si="0"/>
        <v>0</v>
      </c>
      <c r="I16" s="10">
        <f t="shared" si="0"/>
        <v>6.7276316051811336E-2</v>
      </c>
      <c r="J16" s="48">
        <f>IF(ISERROR(VLOOKUP(A16,'HRGs to TFCs 2'!A:L,7,FALSE)),0,VLOOKUP(A16,'HRGs to TFCs 2'!A:L,7,FALSE))</f>
        <v>0</v>
      </c>
      <c r="K16" s="48">
        <f>IF(ISERROR(VLOOKUP(A16,'HRGs to TFCs 2'!A:L,8,FALSE)),0,VLOOKUP(A16,'HRGs to TFCs 2'!A:L,8,FALSE))</f>
        <v>4851611.5871699601</v>
      </c>
      <c r="L16" s="48">
        <f>IF(ISERROR(VLOOKUP(A16,'HRGs to TFCs 2'!A:L,9,FALSE)),0,VLOOKUP(A16,'HRGs to TFCs 2'!A:L,9,FALSE))</f>
        <v>0</v>
      </c>
      <c r="M16" s="49">
        <f>IF(ISERROR(VLOOKUP(A16,'HRGs to TFCs 2'!A:L,10,FALSE)),0,VLOOKUP(A16,'HRGs to TFCs 2'!A:L,10,FALSE))</f>
        <v>13173914.533839524</v>
      </c>
      <c r="N16" s="9">
        <f t="shared" si="2"/>
        <v>0</v>
      </c>
      <c r="O16" s="9">
        <f t="shared" si="1"/>
        <v>2.8288255885911211E-2</v>
      </c>
      <c r="P16" s="9">
        <f t="shared" si="1"/>
        <v>0</v>
      </c>
      <c r="Q16" s="10">
        <f t="shared" si="1"/>
        <v>7.6813046274745403E-2</v>
      </c>
    </row>
    <row r="17" spans="1:17">
      <c r="A17" s="45">
        <v>120</v>
      </c>
      <c r="B17" s="46">
        <f>IF(ISERROR(VLOOKUP(A17,'HRGs to TFCs 2'!A:L,2,FALSE)),0,VLOOKUP(A17,'HRGs to TFCs 2'!A:L,2,FALSE))</f>
        <v>0</v>
      </c>
      <c r="C17" s="46">
        <f>IF(ISERROR(VLOOKUP(A17,'HRGs to TFCs 2'!A:L,3,FALSE)),0,VLOOKUP(A17,'HRGs to TFCs 2'!A:L,3,FALSE))</f>
        <v>10764</v>
      </c>
      <c r="D17" s="46">
        <f>IF(ISERROR(VLOOKUP(A17,'HRGs to TFCs 2'!A:L,4,FALSE)),0,VLOOKUP(A17,'HRGs to TFCs 2'!A:L,4,FALSE))</f>
        <v>0</v>
      </c>
      <c r="E17" s="47">
        <f>IF(ISERROR(VLOOKUP(A17,'HRGs to TFCs 2'!A:L,5,FALSE)),0,VLOOKUP(A17,'HRGs to TFCs 2'!A:L,5,FALSE))</f>
        <v>14440</v>
      </c>
      <c r="F17" s="9">
        <f t="shared" si="0"/>
        <v>0</v>
      </c>
      <c r="G17" s="9">
        <f t="shared" si="0"/>
        <v>7.9484810824821065E-3</v>
      </c>
      <c r="H17" s="9">
        <f t="shared" si="0"/>
        <v>0</v>
      </c>
      <c r="I17" s="10">
        <f t="shared" si="0"/>
        <v>1.0662956784749314E-2</v>
      </c>
      <c r="J17" s="48">
        <f>IF(ISERROR(VLOOKUP(A17,'HRGs to TFCs 2'!A:L,7,FALSE)),0,VLOOKUP(A17,'HRGs to TFCs 2'!A:L,7,FALSE))</f>
        <v>0</v>
      </c>
      <c r="K17" s="48">
        <f>IF(ISERROR(VLOOKUP(A17,'HRGs to TFCs 2'!A:L,8,FALSE)),0,VLOOKUP(A17,'HRGs to TFCs 2'!A:L,8,FALSE))</f>
        <v>1334973.6101293603</v>
      </c>
      <c r="L17" s="48">
        <f>IF(ISERROR(VLOOKUP(A17,'HRGs to TFCs 2'!A:L,9,FALSE)),0,VLOOKUP(A17,'HRGs to TFCs 2'!A:L,9,FALSE))</f>
        <v>0</v>
      </c>
      <c r="M17" s="49">
        <f>IF(ISERROR(VLOOKUP(A17,'HRGs to TFCs 2'!A:L,10,FALSE)),0,VLOOKUP(A17,'HRGs to TFCs 2'!A:L,10,FALSE))</f>
        <v>1529724.9519469864</v>
      </c>
      <c r="N17" s="9">
        <f t="shared" si="2"/>
        <v>0</v>
      </c>
      <c r="O17" s="9">
        <f t="shared" si="1"/>
        <v>7.7838207790880756E-3</v>
      </c>
      <c r="P17" s="9">
        <f t="shared" si="1"/>
        <v>0</v>
      </c>
      <c r="Q17" s="10">
        <f t="shared" si="1"/>
        <v>8.9193559909402625E-3</v>
      </c>
    </row>
    <row r="18" spans="1:17">
      <c r="A18" s="45">
        <v>130</v>
      </c>
      <c r="B18" s="46">
        <f>IF(ISERROR(VLOOKUP(A18,'HRGs to TFCs 2'!A:L,2,FALSE)),0,VLOOKUP(A18,'HRGs to TFCs 2'!A:L,2,FALSE))</f>
        <v>0</v>
      </c>
      <c r="C18" s="46">
        <f>IF(ISERROR(VLOOKUP(A18,'HRGs to TFCs 2'!A:L,3,FALSE)),0,VLOOKUP(A18,'HRGs to TFCs 2'!A:L,3,FALSE))</f>
        <v>2433</v>
      </c>
      <c r="D18" s="46">
        <f>IF(ISERROR(VLOOKUP(A18,'HRGs to TFCs 2'!A:L,4,FALSE)),0,VLOOKUP(A18,'HRGs to TFCs 2'!A:L,4,FALSE))</f>
        <v>0</v>
      </c>
      <c r="E18" s="47">
        <f>IF(ISERROR(VLOOKUP(A18,'HRGs to TFCs 2'!A:L,5,FALSE)),0,VLOOKUP(A18,'HRGs to TFCs 2'!A:L,5,FALSE))</f>
        <v>7385</v>
      </c>
      <c r="F18" s="9">
        <f t="shared" si="0"/>
        <v>0</v>
      </c>
      <c r="G18" s="9">
        <f t="shared" si="0"/>
        <v>1.7966048377628171E-3</v>
      </c>
      <c r="H18" s="9">
        <f t="shared" si="0"/>
        <v>0</v>
      </c>
      <c r="I18" s="10">
        <f t="shared" si="0"/>
        <v>5.4533196575743542E-3</v>
      </c>
      <c r="J18" s="48">
        <f>IF(ISERROR(VLOOKUP(A18,'HRGs to TFCs 2'!A:L,7,FALSE)),0,VLOOKUP(A18,'HRGs to TFCs 2'!A:L,7,FALSE))</f>
        <v>0</v>
      </c>
      <c r="K18" s="48">
        <f>IF(ISERROR(VLOOKUP(A18,'HRGs to TFCs 2'!A:L,8,FALSE)),0,VLOOKUP(A18,'HRGs to TFCs 2'!A:L,8,FALSE))</f>
        <v>435819.2601117756</v>
      </c>
      <c r="L18" s="48">
        <f>IF(ISERROR(VLOOKUP(A18,'HRGs to TFCs 2'!A:L,9,FALSE)),0,VLOOKUP(A18,'HRGs to TFCs 2'!A:L,9,FALSE))</f>
        <v>0</v>
      </c>
      <c r="M18" s="49">
        <f>IF(ISERROR(VLOOKUP(A18,'HRGs to TFCs 2'!A:L,10,FALSE)),0,VLOOKUP(A18,'HRGs to TFCs 2'!A:L,10,FALSE))</f>
        <v>1030580.8289528388</v>
      </c>
      <c r="N18" s="9">
        <f t="shared" si="2"/>
        <v>0</v>
      </c>
      <c r="O18" s="9">
        <f t="shared" si="1"/>
        <v>2.5411281444403301E-3</v>
      </c>
      <c r="P18" s="9">
        <f t="shared" si="1"/>
        <v>0</v>
      </c>
      <c r="Q18" s="10">
        <f t="shared" si="1"/>
        <v>6.0090000357052708E-3</v>
      </c>
    </row>
    <row r="19" spans="1:17">
      <c r="A19" s="45">
        <v>140</v>
      </c>
      <c r="B19" s="46">
        <f>IF(ISERROR(VLOOKUP(A19,'HRGs to TFCs 2'!A:L,2,FALSE)),0,VLOOKUP(A19,'HRGs to TFCs 2'!A:L,2,FALSE))</f>
        <v>0</v>
      </c>
      <c r="C19" s="46">
        <f>IF(ISERROR(VLOOKUP(A19,'HRGs to TFCs 2'!A:L,3,FALSE)),0,VLOOKUP(A19,'HRGs to TFCs 2'!A:L,3,FALSE))</f>
        <v>2502</v>
      </c>
      <c r="D19" s="46">
        <f>IF(ISERROR(VLOOKUP(A19,'HRGs to TFCs 2'!A:L,4,FALSE)),0,VLOOKUP(A19,'HRGs to TFCs 2'!A:L,4,FALSE))</f>
        <v>0</v>
      </c>
      <c r="E19" s="47">
        <f>IF(ISERROR(VLOOKUP(A19,'HRGs to TFCs 2'!A:L,5,FALSE)),0,VLOOKUP(A19,'HRGs to TFCs 2'!A:L,5,FALSE))</f>
        <v>8124</v>
      </c>
      <c r="F19" s="9">
        <f t="shared" si="0"/>
        <v>0</v>
      </c>
      <c r="G19" s="9">
        <f t="shared" si="0"/>
        <v>1.8475566395735998E-3</v>
      </c>
      <c r="H19" s="9">
        <f t="shared" si="0"/>
        <v>0</v>
      </c>
      <c r="I19" s="10">
        <f t="shared" si="0"/>
        <v>5.999020839286941E-3</v>
      </c>
      <c r="J19" s="48">
        <f>IF(ISERROR(VLOOKUP(A19,'HRGs to TFCs 2'!A:L,7,FALSE)),0,VLOOKUP(A19,'HRGs to TFCs 2'!A:L,7,FALSE))</f>
        <v>0</v>
      </c>
      <c r="K19" s="48">
        <f>IF(ISERROR(VLOOKUP(A19,'HRGs to TFCs 2'!A:L,8,FALSE)),0,VLOOKUP(A19,'HRGs to TFCs 2'!A:L,8,FALSE))</f>
        <v>330583.20126130024</v>
      </c>
      <c r="L19" s="48">
        <f>IF(ISERROR(VLOOKUP(A19,'HRGs to TFCs 2'!A:L,9,FALSE)),0,VLOOKUP(A19,'HRGs to TFCs 2'!A:L,9,FALSE))</f>
        <v>0</v>
      </c>
      <c r="M19" s="49">
        <f>IF(ISERROR(VLOOKUP(A19,'HRGs to TFCs 2'!A:L,10,FALSE)),0,VLOOKUP(A19,'HRGs to TFCs 2'!A:L,10,FALSE))</f>
        <v>969172.96076504188</v>
      </c>
      <c r="N19" s="9">
        <f t="shared" si="2"/>
        <v>0</v>
      </c>
      <c r="O19" s="9">
        <f t="shared" si="1"/>
        <v>1.9275290325370688E-3</v>
      </c>
      <c r="P19" s="9">
        <f t="shared" si="1"/>
        <v>0</v>
      </c>
      <c r="Q19" s="10">
        <f t="shared" si="1"/>
        <v>5.6509496317325974E-3</v>
      </c>
    </row>
    <row r="20" spans="1:17">
      <c r="A20" s="45">
        <v>141</v>
      </c>
      <c r="B20" s="46">
        <f>IF(ISERROR(VLOOKUP(A20,'HRGs to TFCs 2'!A:L,2,FALSE)),0,VLOOKUP(A20,'HRGs to TFCs 2'!A:L,2,FALSE))</f>
        <v>0</v>
      </c>
      <c r="C20" s="46">
        <f>IF(ISERROR(VLOOKUP(A20,'HRGs to TFCs 2'!A:L,3,FALSE)),0,VLOOKUP(A20,'HRGs to TFCs 2'!A:L,3,FALSE))</f>
        <v>65</v>
      </c>
      <c r="D20" s="46">
        <f>IF(ISERROR(VLOOKUP(A20,'HRGs to TFCs 2'!A:L,4,FALSE)),0,VLOOKUP(A20,'HRGs to TFCs 2'!A:L,4,FALSE))</f>
        <v>0</v>
      </c>
      <c r="E20" s="47">
        <f>IF(ISERROR(VLOOKUP(A20,'HRGs to TFCs 2'!A:L,5,FALSE)),0,VLOOKUP(A20,'HRGs to TFCs 2'!A:L,5,FALSE))</f>
        <v>795</v>
      </c>
      <c r="F20" s="9">
        <f t="shared" si="0"/>
        <v>0</v>
      </c>
      <c r="G20" s="9">
        <f t="shared" si="0"/>
        <v>4.7998074169577933E-5</v>
      </c>
      <c r="H20" s="9">
        <f t="shared" si="0"/>
        <v>0</v>
      </c>
      <c r="I20" s="10">
        <f t="shared" si="0"/>
        <v>5.8705336868945324E-4</v>
      </c>
      <c r="J20" s="48">
        <f>IF(ISERROR(VLOOKUP(A20,'HRGs to TFCs 2'!A:L,7,FALSE)),0,VLOOKUP(A20,'HRGs to TFCs 2'!A:L,7,FALSE))</f>
        <v>0</v>
      </c>
      <c r="K20" s="48">
        <f>IF(ISERROR(VLOOKUP(A20,'HRGs to TFCs 2'!A:L,8,FALSE)),0,VLOOKUP(A20,'HRGs to TFCs 2'!A:L,8,FALSE))</f>
        <v>7853.2815360719851</v>
      </c>
      <c r="L20" s="48">
        <f>IF(ISERROR(VLOOKUP(A20,'HRGs to TFCs 2'!A:L,9,FALSE)),0,VLOOKUP(A20,'HRGs to TFCs 2'!A:L,9,FALSE))</f>
        <v>0</v>
      </c>
      <c r="M20" s="49">
        <f>IF(ISERROR(VLOOKUP(A20,'HRGs to TFCs 2'!A:L,10,FALSE)),0,VLOOKUP(A20,'HRGs to TFCs 2'!A:L,10,FALSE))</f>
        <v>88367.876395867192</v>
      </c>
      <c r="N20" s="9">
        <f t="shared" si="2"/>
        <v>0</v>
      </c>
      <c r="O20" s="9">
        <f t="shared" si="1"/>
        <v>4.5790070710523198E-5</v>
      </c>
      <c r="P20" s="9">
        <f t="shared" si="1"/>
        <v>0</v>
      </c>
      <c r="Q20" s="10">
        <f t="shared" si="1"/>
        <v>5.1524592491935877E-4</v>
      </c>
    </row>
    <row r="21" spans="1:17">
      <c r="A21" s="45">
        <v>142</v>
      </c>
      <c r="B21" s="46">
        <f>IF(ISERROR(VLOOKUP(A21,'HRGs to TFCs 2'!A:L,2,FALSE)),0,VLOOKUP(A21,'HRGs to TFCs 2'!A:L,2,FALSE))</f>
        <v>0</v>
      </c>
      <c r="C21" s="46">
        <f>IF(ISERROR(VLOOKUP(A21,'HRGs to TFCs 2'!A:L,3,FALSE)),0,VLOOKUP(A21,'HRGs to TFCs 2'!A:L,3,FALSE))</f>
        <v>368</v>
      </c>
      <c r="D21" s="46">
        <f>IF(ISERROR(VLOOKUP(A21,'HRGs to TFCs 2'!A:L,4,FALSE)),0,VLOOKUP(A21,'HRGs to TFCs 2'!A:L,4,FALSE))</f>
        <v>0</v>
      </c>
      <c r="E21" s="47">
        <f>IF(ISERROR(VLOOKUP(A21,'HRGs to TFCs 2'!A:L,5,FALSE)),0,VLOOKUP(A21,'HRGs to TFCs 2'!A:L,5,FALSE))</f>
        <v>3953</v>
      </c>
      <c r="F21" s="9">
        <f t="shared" si="0"/>
        <v>0</v>
      </c>
      <c r="G21" s="9">
        <f t="shared" si="0"/>
        <v>2.7174294299084123E-4</v>
      </c>
      <c r="H21" s="9">
        <f t="shared" si="0"/>
        <v>0</v>
      </c>
      <c r="I21" s="10">
        <f t="shared" si="0"/>
        <v>2.9190213414206395E-3</v>
      </c>
      <c r="J21" s="48">
        <f>IF(ISERROR(VLOOKUP(A21,'HRGs to TFCs 2'!A:L,7,FALSE)),0,VLOOKUP(A21,'HRGs to TFCs 2'!A:L,7,FALSE))</f>
        <v>0</v>
      </c>
      <c r="K21" s="48">
        <f>IF(ISERROR(VLOOKUP(A21,'HRGs to TFCs 2'!A:L,8,FALSE)),0,VLOOKUP(A21,'HRGs to TFCs 2'!A:L,8,FALSE))</f>
        <v>37155.314162416376</v>
      </c>
      <c r="L21" s="48">
        <f>IF(ISERROR(VLOOKUP(A21,'HRGs to TFCs 2'!A:L,9,FALSE)),0,VLOOKUP(A21,'HRGs to TFCs 2'!A:L,9,FALSE))</f>
        <v>0</v>
      </c>
      <c r="M21" s="49">
        <f>IF(ISERROR(VLOOKUP(A21,'HRGs to TFCs 2'!A:L,10,FALSE)),0,VLOOKUP(A21,'HRGs to TFCs 2'!A:L,10,FALSE))</f>
        <v>406131.06435734301</v>
      </c>
      <c r="N21" s="9">
        <f t="shared" si="2"/>
        <v>0</v>
      </c>
      <c r="O21" s="9">
        <f t="shared" si="1"/>
        <v>2.1664121615328207E-4</v>
      </c>
      <c r="P21" s="9">
        <f t="shared" si="1"/>
        <v>0</v>
      </c>
      <c r="Q21" s="10">
        <f t="shared" si="1"/>
        <v>2.3680254004957556E-3</v>
      </c>
    </row>
    <row r="22" spans="1:17">
      <c r="A22" s="45">
        <v>143</v>
      </c>
      <c r="B22" s="46">
        <f>IF(ISERROR(VLOOKUP(A22,'HRGs to TFCs 2'!A:L,2,FALSE)),0,VLOOKUP(A22,'HRGs to TFCs 2'!A:L,2,FALSE))</f>
        <v>0</v>
      </c>
      <c r="C22" s="46">
        <f>IF(ISERROR(VLOOKUP(A22,'HRGs to TFCs 2'!A:L,3,FALSE)),0,VLOOKUP(A22,'HRGs to TFCs 2'!A:L,3,FALSE))</f>
        <v>31</v>
      </c>
      <c r="D22" s="46">
        <f>IF(ISERROR(VLOOKUP(A22,'HRGs to TFCs 2'!A:L,4,FALSE)),0,VLOOKUP(A22,'HRGs to TFCs 2'!A:L,4,FALSE))</f>
        <v>0</v>
      </c>
      <c r="E22" s="47">
        <f>IF(ISERROR(VLOOKUP(A22,'HRGs to TFCs 2'!A:L,5,FALSE)),0,VLOOKUP(A22,'HRGs to TFCs 2'!A:L,5,FALSE))</f>
        <v>510</v>
      </c>
      <c r="F22" s="9">
        <f t="shared" si="0"/>
        <v>0</v>
      </c>
      <c r="G22" s="9">
        <f t="shared" si="0"/>
        <v>2.2891389219337168E-5</v>
      </c>
      <c r="H22" s="9">
        <f t="shared" si="0"/>
        <v>0</v>
      </c>
      <c r="I22" s="10">
        <f t="shared" si="0"/>
        <v>3.7660027425361151E-4</v>
      </c>
      <c r="J22" s="48">
        <f>IF(ISERROR(VLOOKUP(A22,'HRGs to TFCs 2'!A:L,7,FALSE)),0,VLOOKUP(A22,'HRGs to TFCs 2'!A:L,7,FALSE))</f>
        <v>0</v>
      </c>
      <c r="K22" s="48">
        <f>IF(ISERROR(VLOOKUP(A22,'HRGs to TFCs 2'!A:L,8,FALSE)),0,VLOOKUP(A22,'HRGs to TFCs 2'!A:L,8,FALSE))</f>
        <v>4393.3550801045185</v>
      </c>
      <c r="L22" s="48">
        <f>IF(ISERROR(VLOOKUP(A22,'HRGs to TFCs 2'!A:L,9,FALSE)),0,VLOOKUP(A22,'HRGs to TFCs 2'!A:L,9,FALSE))</f>
        <v>0</v>
      </c>
      <c r="M22" s="49">
        <f>IF(ISERROR(VLOOKUP(A22,'HRGs to TFCs 2'!A:L,10,FALSE)),0,VLOOKUP(A22,'HRGs to TFCs 2'!A:L,10,FALSE))</f>
        <v>74545.863040213779</v>
      </c>
      <c r="N22" s="9">
        <f t="shared" si="2"/>
        <v>0</v>
      </c>
      <c r="O22" s="9">
        <f t="shared" si="1"/>
        <v>2.5616303051201121E-5</v>
      </c>
      <c r="P22" s="9">
        <f t="shared" si="1"/>
        <v>0</v>
      </c>
      <c r="Q22" s="10">
        <f t="shared" si="1"/>
        <v>4.3465401362596432E-4</v>
      </c>
    </row>
    <row r="23" spans="1:17">
      <c r="A23" s="45">
        <v>144</v>
      </c>
      <c r="B23" s="46">
        <f>IF(ISERROR(VLOOKUP(A23,'HRGs to TFCs 2'!A:L,2,FALSE)),0,VLOOKUP(A23,'HRGs to TFCs 2'!A:L,2,FALSE))</f>
        <v>0</v>
      </c>
      <c r="C23" s="46">
        <f>IF(ISERROR(VLOOKUP(A23,'HRGs to TFCs 2'!A:L,3,FALSE)),0,VLOOKUP(A23,'HRGs to TFCs 2'!A:L,3,FALSE))</f>
        <v>637</v>
      </c>
      <c r="D23" s="46">
        <f>IF(ISERROR(VLOOKUP(A23,'HRGs to TFCs 2'!A:L,4,FALSE)),0,VLOOKUP(A23,'HRGs to TFCs 2'!A:L,4,FALSE))</f>
        <v>0</v>
      </c>
      <c r="E23" s="47">
        <f>IF(ISERROR(VLOOKUP(A23,'HRGs to TFCs 2'!A:L,5,FALSE)),0,VLOOKUP(A23,'HRGs to TFCs 2'!A:L,5,FALSE))</f>
        <v>4675</v>
      </c>
      <c r="F23" s="9">
        <f t="shared" si="0"/>
        <v>0</v>
      </c>
      <c r="G23" s="9">
        <f t="shared" si="0"/>
        <v>4.7038112686186375E-4</v>
      </c>
      <c r="H23" s="9">
        <f t="shared" si="0"/>
        <v>0</v>
      </c>
      <c r="I23" s="10">
        <f t="shared" si="0"/>
        <v>3.4521691806581054E-3</v>
      </c>
      <c r="J23" s="48">
        <f>IF(ISERROR(VLOOKUP(A23,'HRGs to TFCs 2'!A:L,7,FALSE)),0,VLOOKUP(A23,'HRGs to TFCs 2'!A:L,7,FALSE))</f>
        <v>0</v>
      </c>
      <c r="K23" s="48">
        <f>IF(ISERROR(VLOOKUP(A23,'HRGs to TFCs 2'!A:L,8,FALSE)),0,VLOOKUP(A23,'HRGs to TFCs 2'!A:L,8,FALSE))</f>
        <v>72117.541949811071</v>
      </c>
      <c r="L23" s="48">
        <f>IF(ISERROR(VLOOKUP(A23,'HRGs to TFCs 2'!A:L,9,FALSE)),0,VLOOKUP(A23,'HRGs to TFCs 2'!A:L,9,FALSE))</f>
        <v>0</v>
      </c>
      <c r="M23" s="49">
        <f>IF(ISERROR(VLOOKUP(A23,'HRGs to TFCs 2'!A:L,10,FALSE)),0,VLOOKUP(A23,'HRGs to TFCs 2'!A:L,10,FALSE))</f>
        <v>527386.68454887229</v>
      </c>
      <c r="N23" s="9">
        <f t="shared" si="2"/>
        <v>0</v>
      </c>
      <c r="O23" s="9">
        <f t="shared" si="1"/>
        <v>4.2049521976041159E-4</v>
      </c>
      <c r="P23" s="9">
        <f t="shared" si="1"/>
        <v>0</v>
      </c>
      <c r="Q23" s="10">
        <f t="shared" si="1"/>
        <v>3.0750296505172815E-3</v>
      </c>
    </row>
    <row r="24" spans="1:17">
      <c r="A24" s="45">
        <v>150</v>
      </c>
      <c r="B24" s="46">
        <f>IF(ISERROR(VLOOKUP(A24,'HRGs to TFCs 2'!A:L,2,FALSE)),0,VLOOKUP(A24,'HRGs to TFCs 2'!A:L,2,FALSE))</f>
        <v>0</v>
      </c>
      <c r="C24" s="46">
        <f>IF(ISERROR(VLOOKUP(A24,'HRGs to TFCs 2'!A:L,3,FALSE)),0,VLOOKUP(A24,'HRGs to TFCs 2'!A:L,3,FALSE))</f>
        <v>44</v>
      </c>
      <c r="D24" s="46">
        <f>IF(ISERROR(VLOOKUP(A24,'HRGs to TFCs 2'!A:L,4,FALSE)),0,VLOOKUP(A24,'HRGs to TFCs 2'!A:L,4,FALSE))</f>
        <v>0</v>
      </c>
      <c r="E24" s="47">
        <f>IF(ISERROR(VLOOKUP(A24,'HRGs to TFCs 2'!A:L,5,FALSE)),0,VLOOKUP(A24,'HRGs to TFCs 2'!A:L,5,FALSE))</f>
        <v>929</v>
      </c>
      <c r="F24" s="9">
        <f t="shared" si="0"/>
        <v>0</v>
      </c>
      <c r="G24" s="9">
        <f t="shared" si="0"/>
        <v>3.2491004053252753E-5</v>
      </c>
      <c r="H24" s="9">
        <f t="shared" si="0"/>
        <v>0</v>
      </c>
      <c r="I24" s="10">
        <f t="shared" si="0"/>
        <v>6.8600324466981384E-4</v>
      </c>
      <c r="J24" s="48">
        <f>IF(ISERROR(VLOOKUP(A24,'HRGs to TFCs 2'!A:L,7,FALSE)),0,VLOOKUP(A24,'HRGs to TFCs 2'!A:L,7,FALSE))</f>
        <v>0</v>
      </c>
      <c r="K24" s="48">
        <f>IF(ISERROR(VLOOKUP(A24,'HRGs to TFCs 2'!A:L,8,FALSE)),0,VLOOKUP(A24,'HRGs to TFCs 2'!A:L,8,FALSE))</f>
        <v>5703.2096166124829</v>
      </c>
      <c r="L24" s="48">
        <f>IF(ISERROR(VLOOKUP(A24,'HRGs to TFCs 2'!A:L,9,FALSE)),0,VLOOKUP(A24,'HRGs to TFCs 2'!A:L,9,FALSE))</f>
        <v>0</v>
      </c>
      <c r="M24" s="49">
        <f>IF(ISERROR(VLOOKUP(A24,'HRGs to TFCs 2'!A:L,10,FALSE)),0,VLOOKUP(A24,'HRGs to TFCs 2'!A:L,10,FALSE))</f>
        <v>130447.72752990309</v>
      </c>
      <c r="N24" s="9">
        <f t="shared" si="2"/>
        <v>0</v>
      </c>
      <c r="O24" s="9">
        <f t="shared" si="1"/>
        <v>3.3253662233054535E-5</v>
      </c>
      <c r="P24" s="9">
        <f t="shared" si="1"/>
        <v>0</v>
      </c>
      <c r="Q24" s="10">
        <f t="shared" si="1"/>
        <v>7.6060060245961545E-4</v>
      </c>
    </row>
    <row r="25" spans="1:17">
      <c r="A25" s="45">
        <v>160</v>
      </c>
      <c r="B25" s="46">
        <f>IF(ISERROR(VLOOKUP(A25,'HRGs to TFCs 2'!A:L,2,FALSE)),0,VLOOKUP(A25,'HRGs to TFCs 2'!A:L,2,FALSE))</f>
        <v>0</v>
      </c>
      <c r="C25" s="46">
        <f>IF(ISERROR(VLOOKUP(A25,'HRGs to TFCs 2'!A:L,3,FALSE)),0,VLOOKUP(A25,'HRGs to TFCs 2'!A:L,3,FALSE))</f>
        <v>9319</v>
      </c>
      <c r="D25" s="46">
        <f>IF(ISERROR(VLOOKUP(A25,'HRGs to TFCs 2'!A:L,4,FALSE)),0,VLOOKUP(A25,'HRGs to TFCs 2'!A:L,4,FALSE))</f>
        <v>0</v>
      </c>
      <c r="E25" s="47">
        <f>IF(ISERROR(VLOOKUP(A25,'HRGs to TFCs 2'!A:L,5,FALSE)),0,VLOOKUP(A25,'HRGs to TFCs 2'!A:L,5,FALSE))</f>
        <v>40428</v>
      </c>
      <c r="F25" s="9">
        <f t="shared" si="0"/>
        <v>0</v>
      </c>
      <c r="G25" s="9">
        <f t="shared" si="0"/>
        <v>6.8814469720968737E-3</v>
      </c>
      <c r="H25" s="9">
        <f t="shared" si="0"/>
        <v>0</v>
      </c>
      <c r="I25" s="10">
        <f t="shared" si="0"/>
        <v>2.9853325269656873E-2</v>
      </c>
      <c r="J25" s="48">
        <f>IF(ISERROR(VLOOKUP(A25,'HRGs to TFCs 2'!A:L,7,FALSE)),0,VLOOKUP(A25,'HRGs to TFCs 2'!A:L,7,FALSE))</f>
        <v>0</v>
      </c>
      <c r="K25" s="48">
        <f>IF(ISERROR(VLOOKUP(A25,'HRGs to TFCs 2'!A:L,8,FALSE)),0,VLOOKUP(A25,'HRGs to TFCs 2'!A:L,8,FALSE))</f>
        <v>974604.14137688163</v>
      </c>
      <c r="L25" s="48">
        <f>IF(ISERROR(VLOOKUP(A25,'HRGs to TFCs 2'!A:L,9,FALSE)),0,VLOOKUP(A25,'HRGs to TFCs 2'!A:L,9,FALSE))</f>
        <v>0</v>
      </c>
      <c r="M25" s="49">
        <f>IF(ISERROR(VLOOKUP(A25,'HRGs to TFCs 2'!A:L,10,FALSE)),0,VLOOKUP(A25,'HRGs to TFCs 2'!A:L,10,FALSE))</f>
        <v>4332965.658344374</v>
      </c>
      <c r="N25" s="9">
        <f t="shared" si="2"/>
        <v>0</v>
      </c>
      <c r="O25" s="9">
        <f t="shared" si="1"/>
        <v>5.6826171764545654E-3</v>
      </c>
      <c r="P25" s="9">
        <f t="shared" si="1"/>
        <v>0</v>
      </c>
      <c r="Q25" s="10">
        <f t="shared" si="1"/>
        <v>2.5264190895300017E-2</v>
      </c>
    </row>
    <row r="26" spans="1:17">
      <c r="A26" s="45">
        <v>161</v>
      </c>
      <c r="B26" s="46">
        <f>IF(ISERROR(VLOOKUP(A26,'HRGs to TFCs 2'!A:L,2,FALSE)),0,VLOOKUP(A26,'HRGs to TFCs 2'!A:L,2,FALSE))</f>
        <v>0</v>
      </c>
      <c r="C26" s="46">
        <f>IF(ISERROR(VLOOKUP(A26,'HRGs to TFCs 2'!A:L,3,FALSE)),0,VLOOKUP(A26,'HRGs to TFCs 2'!A:L,3,FALSE))</f>
        <v>114</v>
      </c>
      <c r="D26" s="46">
        <f>IF(ISERROR(VLOOKUP(A26,'HRGs to TFCs 2'!A:L,4,FALSE)),0,VLOOKUP(A26,'HRGs to TFCs 2'!A:L,4,FALSE))</f>
        <v>0</v>
      </c>
      <c r="E26" s="47">
        <f>IF(ISERROR(VLOOKUP(A26,'HRGs to TFCs 2'!A:L,5,FALSE)),0,VLOOKUP(A26,'HRGs to TFCs 2'!A:L,5,FALSE))</f>
        <v>341</v>
      </c>
      <c r="F26" s="9">
        <f t="shared" si="0"/>
        <v>0</v>
      </c>
      <c r="G26" s="9">
        <f t="shared" si="0"/>
        <v>8.4181237774336691E-5</v>
      </c>
      <c r="H26" s="9">
        <f t="shared" si="0"/>
        <v>0</v>
      </c>
      <c r="I26" s="10">
        <f t="shared" si="0"/>
        <v>2.5180528141270886E-4</v>
      </c>
      <c r="J26" s="48">
        <f>IF(ISERROR(VLOOKUP(A26,'HRGs to TFCs 2'!A:L,7,FALSE)),0,VLOOKUP(A26,'HRGs to TFCs 2'!A:L,7,FALSE))</f>
        <v>0</v>
      </c>
      <c r="K26" s="48">
        <f>IF(ISERROR(VLOOKUP(A26,'HRGs to TFCs 2'!A:L,8,FALSE)),0,VLOOKUP(A26,'HRGs to TFCs 2'!A:L,8,FALSE))</f>
        <v>13236.110652737851</v>
      </c>
      <c r="L26" s="48">
        <f>IF(ISERROR(VLOOKUP(A26,'HRGs to TFCs 2'!A:L,9,FALSE)),0,VLOOKUP(A26,'HRGs to TFCs 2'!A:L,9,FALSE))</f>
        <v>0</v>
      </c>
      <c r="M26" s="49">
        <f>IF(ISERROR(VLOOKUP(A26,'HRGs to TFCs 2'!A:L,10,FALSE)),0,VLOOKUP(A26,'HRGs to TFCs 2'!A:L,10,FALSE))</f>
        <v>54527.456590371934</v>
      </c>
      <c r="N26" s="9">
        <f t="shared" si="2"/>
        <v>0</v>
      </c>
      <c r="O26" s="9">
        <f t="shared" si="1"/>
        <v>7.7175692726320214E-5</v>
      </c>
      <c r="P26" s="9">
        <f t="shared" si="1"/>
        <v>0</v>
      </c>
      <c r="Q26" s="10">
        <f t="shared" si="1"/>
        <v>3.1793283883554236E-4</v>
      </c>
    </row>
    <row r="27" spans="1:17">
      <c r="A27" s="45">
        <v>170</v>
      </c>
      <c r="B27" s="46">
        <f>IF(ISERROR(VLOOKUP(A27,'HRGs to TFCs 2'!A:L,2,FALSE)),0,VLOOKUP(A27,'HRGs to TFCs 2'!A:L,2,FALSE))</f>
        <v>0</v>
      </c>
      <c r="C27" s="46">
        <f>IF(ISERROR(VLOOKUP(A27,'HRGs to TFCs 2'!A:L,3,FALSE)),0,VLOOKUP(A27,'HRGs to TFCs 2'!A:L,3,FALSE))</f>
        <v>24</v>
      </c>
      <c r="D27" s="46">
        <f>IF(ISERROR(VLOOKUP(A27,'HRGs to TFCs 2'!A:L,4,FALSE)),0,VLOOKUP(A27,'HRGs to TFCs 2'!A:L,4,FALSE))</f>
        <v>0</v>
      </c>
      <c r="E27" s="47">
        <f>IF(ISERROR(VLOOKUP(A27,'HRGs to TFCs 2'!A:L,5,FALSE)),0,VLOOKUP(A27,'HRGs to TFCs 2'!A:L,5,FALSE))</f>
        <v>148</v>
      </c>
      <c r="F27" s="9">
        <f t="shared" si="0"/>
        <v>0</v>
      </c>
      <c r="G27" s="9">
        <f t="shared" si="0"/>
        <v>1.7722365847228777E-5</v>
      </c>
      <c r="H27" s="9">
        <f t="shared" si="0"/>
        <v>0</v>
      </c>
      <c r="I27" s="10">
        <f t="shared" si="0"/>
        <v>1.0928792272457745E-4</v>
      </c>
      <c r="J27" s="48">
        <f>IF(ISERROR(VLOOKUP(A27,'HRGs to TFCs 2'!A:L,7,FALSE)),0,VLOOKUP(A27,'HRGs to TFCs 2'!A:L,7,FALSE))</f>
        <v>0</v>
      </c>
      <c r="K27" s="48">
        <f>IF(ISERROR(VLOOKUP(A27,'HRGs to TFCs 2'!A:L,8,FALSE)),0,VLOOKUP(A27,'HRGs to TFCs 2'!A:L,8,FALSE))</f>
        <v>5035.5831985260411</v>
      </c>
      <c r="L27" s="48">
        <f>IF(ISERROR(VLOOKUP(A27,'HRGs to TFCs 2'!A:L,9,FALSE)),0,VLOOKUP(A27,'HRGs to TFCs 2'!A:L,9,FALSE))</f>
        <v>0</v>
      </c>
      <c r="M27" s="49">
        <f>IF(ISERROR(VLOOKUP(A27,'HRGs to TFCs 2'!A:L,10,FALSE)),0,VLOOKUP(A27,'HRGs to TFCs 2'!A:L,10,FALSE))</f>
        <v>25175.549478139787</v>
      </c>
      <c r="N27" s="9">
        <f t="shared" si="2"/>
        <v>0</v>
      </c>
      <c r="O27" s="9">
        <f t="shared" si="1"/>
        <v>2.9360937802894585E-5</v>
      </c>
      <c r="P27" s="9">
        <f t="shared" si="1"/>
        <v>0</v>
      </c>
      <c r="Q27" s="10">
        <f t="shared" si="1"/>
        <v>1.4679089059589388E-4</v>
      </c>
    </row>
    <row r="28" spans="1:17">
      <c r="A28" s="45">
        <v>171</v>
      </c>
      <c r="B28" s="46">
        <f>IF(ISERROR(VLOOKUP(A28,'HRGs to TFCs 2'!A:L,2,FALSE)),0,VLOOKUP(A28,'HRGs to TFCs 2'!A:L,2,FALSE))</f>
        <v>0</v>
      </c>
      <c r="C28" s="46">
        <f>IF(ISERROR(VLOOKUP(A28,'HRGs to TFCs 2'!A:L,3,FALSE)),0,VLOOKUP(A28,'HRGs to TFCs 2'!A:L,3,FALSE))</f>
        <v>80</v>
      </c>
      <c r="D28" s="46">
        <f>IF(ISERROR(VLOOKUP(A28,'HRGs to TFCs 2'!A:L,4,FALSE)),0,VLOOKUP(A28,'HRGs to TFCs 2'!A:L,4,FALSE))</f>
        <v>0</v>
      </c>
      <c r="E28" s="47">
        <f>IF(ISERROR(VLOOKUP(A28,'HRGs to TFCs 2'!A:L,5,FALSE)),0,VLOOKUP(A28,'HRGs to TFCs 2'!A:L,5,FALSE))</f>
        <v>597</v>
      </c>
      <c r="F28" s="9">
        <f t="shared" si="0"/>
        <v>0</v>
      </c>
      <c r="G28" s="9">
        <f t="shared" si="0"/>
        <v>5.9074552824095919E-5</v>
      </c>
      <c r="H28" s="9">
        <f t="shared" si="0"/>
        <v>0</v>
      </c>
      <c r="I28" s="10">
        <f t="shared" si="0"/>
        <v>4.4084385044981578E-4</v>
      </c>
      <c r="J28" s="48">
        <f>IF(ISERROR(VLOOKUP(A28,'HRGs to TFCs 2'!A:L,7,FALSE)),0,VLOOKUP(A28,'HRGs to TFCs 2'!A:L,7,FALSE))</f>
        <v>0</v>
      </c>
      <c r="K28" s="48">
        <f>IF(ISERROR(VLOOKUP(A28,'HRGs to TFCs 2'!A:L,8,FALSE)),0,VLOOKUP(A28,'HRGs to TFCs 2'!A:L,8,FALSE))</f>
        <v>49239.758812133972</v>
      </c>
      <c r="L28" s="48">
        <f>IF(ISERROR(VLOOKUP(A28,'HRGs to TFCs 2'!A:L,9,FALSE)),0,VLOOKUP(A28,'HRGs to TFCs 2'!A:L,9,FALSE))</f>
        <v>0</v>
      </c>
      <c r="M28" s="49">
        <f>IF(ISERROR(VLOOKUP(A28,'HRGs to TFCs 2'!A:L,10,FALSE)),0,VLOOKUP(A28,'HRGs to TFCs 2'!A:L,10,FALSE))</f>
        <v>521072.94614452461</v>
      </c>
      <c r="N28" s="9">
        <f t="shared" si="2"/>
        <v>0</v>
      </c>
      <c r="O28" s="9">
        <f t="shared" si="1"/>
        <v>2.8710189841283377E-4</v>
      </c>
      <c r="P28" s="9">
        <f t="shared" si="1"/>
        <v>0</v>
      </c>
      <c r="Q28" s="10">
        <f t="shared" si="1"/>
        <v>3.0382161825860871E-3</v>
      </c>
    </row>
    <row r="29" spans="1:17">
      <c r="A29" s="45">
        <v>172</v>
      </c>
      <c r="B29" s="46">
        <f>IF(ISERROR(VLOOKUP(A29,'HRGs to TFCs 2'!A:L,2,FALSE)),0,VLOOKUP(A29,'HRGs to TFCs 2'!A:L,2,FALSE))</f>
        <v>0</v>
      </c>
      <c r="C29" s="46">
        <f>IF(ISERROR(VLOOKUP(A29,'HRGs to TFCs 2'!A:L,3,FALSE)),0,VLOOKUP(A29,'HRGs to TFCs 2'!A:L,3,FALSE))</f>
        <v>10</v>
      </c>
      <c r="D29" s="46">
        <f>IF(ISERROR(VLOOKUP(A29,'HRGs to TFCs 2'!A:L,4,FALSE)),0,VLOOKUP(A29,'HRGs to TFCs 2'!A:L,4,FALSE))</f>
        <v>0</v>
      </c>
      <c r="E29" s="47">
        <f>IF(ISERROR(VLOOKUP(A29,'HRGs to TFCs 2'!A:L,5,FALSE)),0,VLOOKUP(A29,'HRGs to TFCs 2'!A:L,5,FALSE))</f>
        <v>938</v>
      </c>
      <c r="F29" s="9">
        <f t="shared" si="0"/>
        <v>0</v>
      </c>
      <c r="G29" s="9">
        <f t="shared" si="0"/>
        <v>7.3843191030119899E-6</v>
      </c>
      <c r="H29" s="9">
        <f t="shared" si="0"/>
        <v>0</v>
      </c>
      <c r="I29" s="10">
        <f t="shared" si="0"/>
        <v>6.9264913186252463E-4</v>
      </c>
      <c r="J29" s="48">
        <f>IF(ISERROR(VLOOKUP(A29,'HRGs to TFCs 2'!A:L,7,FALSE)),0,VLOOKUP(A29,'HRGs to TFCs 2'!A:L,7,FALSE))</f>
        <v>0</v>
      </c>
      <c r="K29" s="48">
        <f>IF(ISERROR(VLOOKUP(A29,'HRGs to TFCs 2'!A:L,8,FALSE)),0,VLOOKUP(A29,'HRGs to TFCs 2'!A:L,8,FALSE))</f>
        <v>1118.6073684800754</v>
      </c>
      <c r="L29" s="48">
        <f>IF(ISERROR(VLOOKUP(A29,'HRGs to TFCs 2'!A:L,9,FALSE)),0,VLOOKUP(A29,'HRGs to TFCs 2'!A:L,9,FALSE))</f>
        <v>0</v>
      </c>
      <c r="M29" s="49">
        <f>IF(ISERROR(VLOOKUP(A29,'HRGs to TFCs 2'!A:L,10,FALSE)),0,VLOOKUP(A29,'HRGs to TFCs 2'!A:L,10,FALSE))</f>
        <v>103922.65213539984</v>
      </c>
      <c r="N29" s="9">
        <f t="shared" si="2"/>
        <v>0</v>
      </c>
      <c r="O29" s="9">
        <f t="shared" si="1"/>
        <v>6.5222557302631032E-6</v>
      </c>
      <c r="P29" s="9">
        <f t="shared" si="1"/>
        <v>0</v>
      </c>
      <c r="Q29" s="10">
        <f t="shared" si="1"/>
        <v>6.059410410600419E-4</v>
      </c>
    </row>
    <row r="30" spans="1:17">
      <c r="A30" s="45">
        <v>173</v>
      </c>
      <c r="B30" s="46">
        <f>IF(ISERROR(VLOOKUP(A30,'HRGs to TFCs 2'!A:L,2,FALSE)),0,VLOOKUP(A30,'HRGs to TFCs 2'!A:L,2,FALSE))</f>
        <v>0</v>
      </c>
      <c r="C30" s="46">
        <f>IF(ISERROR(VLOOKUP(A30,'HRGs to TFCs 2'!A:L,3,FALSE)),0,VLOOKUP(A30,'HRGs to TFCs 2'!A:L,3,FALSE))</f>
        <v>39</v>
      </c>
      <c r="D30" s="46">
        <f>IF(ISERROR(VLOOKUP(A30,'HRGs to TFCs 2'!A:L,4,FALSE)),0,VLOOKUP(A30,'HRGs to TFCs 2'!A:L,4,FALSE))</f>
        <v>0</v>
      </c>
      <c r="E30" s="47">
        <f>IF(ISERROR(VLOOKUP(A30,'HRGs to TFCs 2'!A:L,5,FALSE)),0,VLOOKUP(A30,'HRGs to TFCs 2'!A:L,5,FALSE))</f>
        <v>65</v>
      </c>
      <c r="F30" s="9">
        <f t="shared" si="0"/>
        <v>0</v>
      </c>
      <c r="G30" s="9">
        <f t="shared" si="0"/>
        <v>2.8798844501746759E-5</v>
      </c>
      <c r="H30" s="9">
        <f t="shared" si="0"/>
        <v>0</v>
      </c>
      <c r="I30" s="10">
        <f t="shared" si="0"/>
        <v>4.7998074169577933E-5</v>
      </c>
      <c r="J30" s="48">
        <f>IF(ISERROR(VLOOKUP(A30,'HRGs to TFCs 2'!A:L,7,FALSE)),0,VLOOKUP(A30,'HRGs to TFCs 2'!A:L,7,FALSE))</f>
        <v>0</v>
      </c>
      <c r="K30" s="48">
        <f>IF(ISERROR(VLOOKUP(A30,'HRGs to TFCs 2'!A:L,8,FALSE)),0,VLOOKUP(A30,'HRGs to TFCs 2'!A:L,8,FALSE))</f>
        <v>3361.3689753395292</v>
      </c>
      <c r="L30" s="48">
        <f>IF(ISERROR(VLOOKUP(A30,'HRGs to TFCs 2'!A:L,9,FALSE)),0,VLOOKUP(A30,'HRGs to TFCs 2'!A:L,9,FALSE))</f>
        <v>0</v>
      </c>
      <c r="M30" s="49">
        <f>IF(ISERROR(VLOOKUP(A30,'HRGs to TFCs 2'!A:L,10,FALSE)),0,VLOOKUP(A30,'HRGs to TFCs 2'!A:L,10,FALSE))</f>
        <v>9654.6560841714254</v>
      </c>
      <c r="N30" s="9">
        <f t="shared" si="2"/>
        <v>0</v>
      </c>
      <c r="O30" s="9">
        <f t="shared" si="1"/>
        <v>1.9599109284186128E-5</v>
      </c>
      <c r="P30" s="9">
        <f t="shared" si="1"/>
        <v>0</v>
      </c>
      <c r="Q30" s="10">
        <f t="shared" si="1"/>
        <v>5.6293331997507073E-5</v>
      </c>
    </row>
    <row r="31" spans="1:17">
      <c r="A31" s="45">
        <v>174</v>
      </c>
      <c r="B31" s="46">
        <f>IF(ISERROR(VLOOKUP(A31,'HRGs to TFCs 2'!A:L,2,FALSE)),0,VLOOKUP(A31,'HRGs to TFCs 2'!A:L,2,FALSE))</f>
        <v>0</v>
      </c>
      <c r="C31" s="46">
        <f>IF(ISERROR(VLOOKUP(A31,'HRGs to TFCs 2'!A:L,3,FALSE)),0,VLOOKUP(A31,'HRGs to TFCs 2'!A:L,3,FALSE))</f>
        <v>0</v>
      </c>
      <c r="D31" s="46">
        <f>IF(ISERROR(VLOOKUP(A31,'HRGs to TFCs 2'!A:L,4,FALSE)),0,VLOOKUP(A31,'HRGs to TFCs 2'!A:L,4,FALSE))</f>
        <v>0</v>
      </c>
      <c r="E31" s="47">
        <f>IF(ISERROR(VLOOKUP(A31,'HRGs to TFCs 2'!A:L,5,FALSE)),0,VLOOKUP(A31,'HRGs to TFCs 2'!A:L,5,FALSE))</f>
        <v>0</v>
      </c>
      <c r="F31" s="9">
        <f t="shared" si="0"/>
        <v>0</v>
      </c>
      <c r="G31" s="9">
        <f t="shared" si="0"/>
        <v>0</v>
      </c>
      <c r="H31" s="9">
        <f t="shared" si="0"/>
        <v>0</v>
      </c>
      <c r="I31" s="10">
        <f t="shared" si="0"/>
        <v>0</v>
      </c>
      <c r="J31" s="48">
        <f>IF(ISERROR(VLOOKUP(A31,'HRGs to TFCs 2'!A:L,7,FALSE)),0,VLOOKUP(A31,'HRGs to TFCs 2'!A:L,7,FALSE))</f>
        <v>0</v>
      </c>
      <c r="K31" s="48">
        <f>IF(ISERROR(VLOOKUP(A31,'HRGs to TFCs 2'!A:L,8,FALSE)),0,VLOOKUP(A31,'HRGs to TFCs 2'!A:L,8,FALSE))</f>
        <v>0</v>
      </c>
      <c r="L31" s="48">
        <f>IF(ISERROR(VLOOKUP(A31,'HRGs to TFCs 2'!A:L,9,FALSE)),0,VLOOKUP(A31,'HRGs to TFCs 2'!A:L,9,FALSE))</f>
        <v>0</v>
      </c>
      <c r="M31" s="49">
        <f>IF(ISERROR(VLOOKUP(A31,'HRGs to TFCs 2'!A:L,10,FALSE)),0,VLOOKUP(A31,'HRGs to TFCs 2'!A:L,10,FALSE))</f>
        <v>0</v>
      </c>
      <c r="N31" s="9">
        <f t="shared" si="2"/>
        <v>0</v>
      </c>
      <c r="O31" s="9">
        <f t="shared" si="1"/>
        <v>0</v>
      </c>
      <c r="P31" s="9">
        <f t="shared" si="1"/>
        <v>0</v>
      </c>
      <c r="Q31" s="10">
        <f t="shared" si="1"/>
        <v>0</v>
      </c>
    </row>
    <row r="32" spans="1:17">
      <c r="A32" s="45">
        <v>180</v>
      </c>
      <c r="B32" s="46">
        <f>IF(ISERROR(VLOOKUP(A32,'HRGs to TFCs 2'!A:L,2,FALSE)),0,VLOOKUP(A32,'HRGs to TFCs 2'!A:L,2,FALSE))</f>
        <v>0</v>
      </c>
      <c r="C32" s="46">
        <f>IF(ISERROR(VLOOKUP(A32,'HRGs to TFCs 2'!A:L,3,FALSE)),0,VLOOKUP(A32,'HRGs to TFCs 2'!A:L,3,FALSE))</f>
        <v>1202</v>
      </c>
      <c r="D32" s="46">
        <f>IF(ISERROR(VLOOKUP(A32,'HRGs to TFCs 2'!A:L,4,FALSE)),0,VLOOKUP(A32,'HRGs to TFCs 2'!A:L,4,FALSE))</f>
        <v>0</v>
      </c>
      <c r="E32" s="47">
        <f>IF(ISERROR(VLOOKUP(A32,'HRGs to TFCs 2'!A:L,5,FALSE)),0,VLOOKUP(A32,'HRGs to TFCs 2'!A:L,5,FALSE))</f>
        <v>875</v>
      </c>
      <c r="F32" s="9">
        <f t="shared" si="0"/>
        <v>0</v>
      </c>
      <c r="G32" s="9">
        <f t="shared" si="0"/>
        <v>8.8759515618204118E-4</v>
      </c>
      <c r="H32" s="9">
        <f t="shared" si="0"/>
        <v>0</v>
      </c>
      <c r="I32" s="10">
        <f t="shared" si="0"/>
        <v>6.4612792151354909E-4</v>
      </c>
      <c r="J32" s="48">
        <f>IF(ISERROR(VLOOKUP(A32,'HRGs to TFCs 2'!A:L,7,FALSE)),0,VLOOKUP(A32,'HRGs to TFCs 2'!A:L,7,FALSE))</f>
        <v>0</v>
      </c>
      <c r="K32" s="48">
        <f>IF(ISERROR(VLOOKUP(A32,'HRGs to TFCs 2'!A:L,8,FALSE)),0,VLOOKUP(A32,'HRGs to TFCs 2'!A:L,8,FALSE))</f>
        <v>123803.64975191175</v>
      </c>
      <c r="L32" s="48">
        <f>IF(ISERROR(VLOOKUP(A32,'HRGs to TFCs 2'!A:L,9,FALSE)),0,VLOOKUP(A32,'HRGs to TFCs 2'!A:L,9,FALSE))</f>
        <v>0</v>
      </c>
      <c r="M32" s="49">
        <f>IF(ISERROR(VLOOKUP(A32,'HRGs to TFCs 2'!A:L,10,FALSE)),0,VLOOKUP(A32,'HRGs to TFCs 2'!A:L,10,FALSE))</f>
        <v>90485.05132243337</v>
      </c>
      <c r="N32" s="9">
        <f t="shared" si="2"/>
        <v>0</v>
      </c>
      <c r="O32" s="9">
        <f t="shared" si="1"/>
        <v>7.2186102717977532E-4</v>
      </c>
      <c r="P32" s="9">
        <f t="shared" si="1"/>
        <v>0</v>
      </c>
      <c r="Q32" s="10">
        <f t="shared" si="1"/>
        <v>5.2759052114307974E-4</v>
      </c>
    </row>
    <row r="33" spans="1:17">
      <c r="A33" s="45">
        <v>190</v>
      </c>
      <c r="B33" s="46">
        <f>IF(ISERROR(VLOOKUP(A33,'HRGs to TFCs 2'!A:L,2,FALSE)),0,VLOOKUP(A33,'HRGs to TFCs 2'!A:L,2,FALSE))</f>
        <v>0</v>
      </c>
      <c r="C33" s="46">
        <f>IF(ISERROR(VLOOKUP(A33,'HRGs to TFCs 2'!A:L,3,FALSE)),0,VLOOKUP(A33,'HRGs to TFCs 2'!A:L,3,FALSE))</f>
        <v>155</v>
      </c>
      <c r="D33" s="46">
        <f>IF(ISERROR(VLOOKUP(A33,'HRGs to TFCs 2'!A:L,4,FALSE)),0,VLOOKUP(A33,'HRGs to TFCs 2'!A:L,4,FALSE))</f>
        <v>0</v>
      </c>
      <c r="E33" s="47">
        <f>IF(ISERROR(VLOOKUP(A33,'HRGs to TFCs 2'!A:L,5,FALSE)),0,VLOOKUP(A33,'HRGs to TFCs 2'!A:L,5,FALSE))</f>
        <v>192</v>
      </c>
      <c r="F33" s="9">
        <f t="shared" si="0"/>
        <v>0</v>
      </c>
      <c r="G33" s="9">
        <f t="shared" si="0"/>
        <v>1.1445694609668585E-4</v>
      </c>
      <c r="H33" s="9">
        <f t="shared" si="0"/>
        <v>0</v>
      </c>
      <c r="I33" s="10">
        <f t="shared" si="0"/>
        <v>1.4177892677783022E-4</v>
      </c>
      <c r="J33" s="48">
        <f>IF(ISERROR(VLOOKUP(A33,'HRGs to TFCs 2'!A:L,7,FALSE)),0,VLOOKUP(A33,'HRGs to TFCs 2'!A:L,7,FALSE))</f>
        <v>0</v>
      </c>
      <c r="K33" s="48">
        <f>IF(ISERROR(VLOOKUP(A33,'HRGs to TFCs 2'!A:L,8,FALSE)),0,VLOOKUP(A33,'HRGs to TFCs 2'!A:L,8,FALSE))</f>
        <v>19948.814262586071</v>
      </c>
      <c r="L33" s="48">
        <f>IF(ISERROR(VLOOKUP(A33,'HRGs to TFCs 2'!A:L,9,FALSE)),0,VLOOKUP(A33,'HRGs to TFCs 2'!A:L,9,FALSE))</f>
        <v>0</v>
      </c>
      <c r="M33" s="49">
        <f>IF(ISERROR(VLOOKUP(A33,'HRGs to TFCs 2'!A:L,10,FALSE)),0,VLOOKUP(A33,'HRGs to TFCs 2'!A:L,10,FALSE))</f>
        <v>25820.640299794526</v>
      </c>
      <c r="N33" s="9">
        <f t="shared" si="2"/>
        <v>0</v>
      </c>
      <c r="O33" s="9">
        <f t="shared" si="1"/>
        <v>1.1631540413764391E-4</v>
      </c>
      <c r="P33" s="9">
        <f t="shared" si="1"/>
        <v>0</v>
      </c>
      <c r="Q33" s="10">
        <f t="shared" si="1"/>
        <v>1.5055221689020811E-4</v>
      </c>
    </row>
    <row r="34" spans="1:17">
      <c r="A34" s="45">
        <v>191</v>
      </c>
      <c r="B34" s="46">
        <f>IF(ISERROR(VLOOKUP(A34,'HRGs to TFCs 2'!A:L,2,FALSE)),0,VLOOKUP(A34,'HRGs to TFCs 2'!A:L,2,FALSE))</f>
        <v>0</v>
      </c>
      <c r="C34" s="46">
        <f>IF(ISERROR(VLOOKUP(A34,'HRGs to TFCs 2'!A:L,3,FALSE)),0,VLOOKUP(A34,'HRGs to TFCs 2'!A:L,3,FALSE))</f>
        <v>836</v>
      </c>
      <c r="D34" s="46">
        <f>IF(ISERROR(VLOOKUP(A34,'HRGs to TFCs 2'!A:L,4,FALSE)),0,VLOOKUP(A34,'HRGs to TFCs 2'!A:L,4,FALSE))</f>
        <v>0</v>
      </c>
      <c r="E34" s="47">
        <f>IF(ISERROR(VLOOKUP(A34,'HRGs to TFCs 2'!A:L,5,FALSE)),0,VLOOKUP(A34,'HRGs to TFCs 2'!A:L,5,FALSE))</f>
        <v>3944</v>
      </c>
      <c r="F34" s="9">
        <f t="shared" si="0"/>
        <v>0</v>
      </c>
      <c r="G34" s="9">
        <f t="shared" si="0"/>
        <v>6.1732907701180233E-4</v>
      </c>
      <c r="H34" s="9">
        <f t="shared" si="0"/>
        <v>0</v>
      </c>
      <c r="I34" s="10">
        <f t="shared" si="0"/>
        <v>2.9123754542279287E-3</v>
      </c>
      <c r="J34" s="48">
        <f>IF(ISERROR(VLOOKUP(A34,'HRGs to TFCs 2'!A:L,7,FALSE)),0,VLOOKUP(A34,'HRGs to TFCs 2'!A:L,7,FALSE))</f>
        <v>0</v>
      </c>
      <c r="K34" s="48">
        <f>IF(ISERROR(VLOOKUP(A34,'HRGs to TFCs 2'!A:L,8,FALSE)),0,VLOOKUP(A34,'HRGs to TFCs 2'!A:L,8,FALSE))</f>
        <v>130749.90572142422</v>
      </c>
      <c r="L34" s="48">
        <f>IF(ISERROR(VLOOKUP(A34,'HRGs to TFCs 2'!A:L,9,FALSE)),0,VLOOKUP(A34,'HRGs to TFCs 2'!A:L,9,FALSE))</f>
        <v>0</v>
      </c>
      <c r="M34" s="49">
        <f>IF(ISERROR(VLOOKUP(A34,'HRGs to TFCs 2'!A:L,10,FALSE)),0,VLOOKUP(A34,'HRGs to TFCs 2'!A:L,10,FALSE))</f>
        <v>671000.41894623532</v>
      </c>
      <c r="N34" s="9">
        <f t="shared" si="2"/>
        <v>0</v>
      </c>
      <c r="O34" s="9">
        <f t="shared" si="1"/>
        <v>7.6236251061143393E-4</v>
      </c>
      <c r="P34" s="9">
        <f t="shared" si="1"/>
        <v>0</v>
      </c>
      <c r="Q34" s="10">
        <f t="shared" si="1"/>
        <v>3.9123971920796263E-3</v>
      </c>
    </row>
    <row r="35" spans="1:17">
      <c r="A35" s="45">
        <v>192</v>
      </c>
      <c r="B35" s="46">
        <f>IF(ISERROR(VLOOKUP(A35,'HRGs to TFCs 2'!A:L,2,FALSE)),0,VLOOKUP(A35,'HRGs to TFCs 2'!A:L,2,FALSE))</f>
        <v>0</v>
      </c>
      <c r="C35" s="46">
        <f>IF(ISERROR(VLOOKUP(A35,'HRGs to TFCs 2'!A:L,3,FALSE)),0,VLOOKUP(A35,'HRGs to TFCs 2'!A:L,3,FALSE))</f>
        <v>0</v>
      </c>
      <c r="D35" s="46">
        <f>IF(ISERROR(VLOOKUP(A35,'HRGs to TFCs 2'!A:L,4,FALSE)),0,VLOOKUP(A35,'HRGs to TFCs 2'!A:L,4,FALSE))</f>
        <v>0</v>
      </c>
      <c r="E35" s="47">
        <f>IF(ISERROR(VLOOKUP(A35,'HRGs to TFCs 2'!A:L,5,FALSE)),0,VLOOKUP(A35,'HRGs to TFCs 2'!A:L,5,FALSE))</f>
        <v>0</v>
      </c>
      <c r="F35" s="9">
        <f t="shared" si="0"/>
        <v>0</v>
      </c>
      <c r="G35" s="9">
        <f t="shared" si="0"/>
        <v>0</v>
      </c>
      <c r="H35" s="9">
        <f t="shared" si="0"/>
        <v>0</v>
      </c>
      <c r="I35" s="10">
        <f t="shared" si="0"/>
        <v>0</v>
      </c>
      <c r="J35" s="48">
        <f>IF(ISERROR(VLOOKUP(A35,'HRGs to TFCs 2'!A:L,7,FALSE)),0,VLOOKUP(A35,'HRGs to TFCs 2'!A:L,7,FALSE))</f>
        <v>0</v>
      </c>
      <c r="K35" s="48">
        <f>IF(ISERROR(VLOOKUP(A35,'HRGs to TFCs 2'!A:L,8,FALSE)),0,VLOOKUP(A35,'HRGs to TFCs 2'!A:L,8,FALSE))</f>
        <v>0</v>
      </c>
      <c r="L35" s="48">
        <f>IF(ISERROR(VLOOKUP(A35,'HRGs to TFCs 2'!A:L,9,FALSE)),0,VLOOKUP(A35,'HRGs to TFCs 2'!A:L,9,FALSE))</f>
        <v>0</v>
      </c>
      <c r="M35" s="49">
        <f>IF(ISERROR(VLOOKUP(A35,'HRGs to TFCs 2'!A:L,10,FALSE)),0,VLOOKUP(A35,'HRGs to TFCs 2'!A:L,10,FALSE))</f>
        <v>0</v>
      </c>
      <c r="N35" s="9">
        <f t="shared" si="2"/>
        <v>0</v>
      </c>
      <c r="O35" s="9">
        <f t="shared" si="1"/>
        <v>0</v>
      </c>
      <c r="P35" s="9">
        <f t="shared" si="1"/>
        <v>0</v>
      </c>
      <c r="Q35" s="10">
        <f t="shared" si="1"/>
        <v>0</v>
      </c>
    </row>
    <row r="36" spans="1:17">
      <c r="A36" s="45">
        <v>211</v>
      </c>
      <c r="B36" s="46">
        <f>IF(ISERROR(VLOOKUP(A36,'HRGs to TFCs 2'!A:L,2,FALSE)),0,VLOOKUP(A36,'HRGs to TFCs 2'!A:L,2,FALSE))</f>
        <v>0</v>
      </c>
      <c r="C36" s="46">
        <f>IF(ISERROR(VLOOKUP(A36,'HRGs to TFCs 2'!A:L,3,FALSE)),0,VLOOKUP(A36,'HRGs to TFCs 2'!A:L,3,FALSE))</f>
        <v>247</v>
      </c>
      <c r="D36" s="46">
        <f>IF(ISERROR(VLOOKUP(A36,'HRGs to TFCs 2'!A:L,4,FALSE)),0,VLOOKUP(A36,'HRGs to TFCs 2'!A:L,4,FALSE))</f>
        <v>0</v>
      </c>
      <c r="E36" s="47">
        <f>IF(ISERROR(VLOOKUP(A36,'HRGs to TFCs 2'!A:L,5,FALSE)),0,VLOOKUP(A36,'HRGs to TFCs 2'!A:L,5,FALSE))</f>
        <v>1483</v>
      </c>
      <c r="F36" s="9">
        <f t="shared" si="0"/>
        <v>0</v>
      </c>
      <c r="G36" s="9">
        <f t="shared" si="0"/>
        <v>1.8239268184439615E-4</v>
      </c>
      <c r="H36" s="9">
        <f t="shared" si="0"/>
        <v>0</v>
      </c>
      <c r="I36" s="10">
        <f t="shared" si="0"/>
        <v>1.095094522976678E-3</v>
      </c>
      <c r="J36" s="48">
        <f>IF(ISERROR(VLOOKUP(A36,'HRGs to TFCs 2'!A:L,7,FALSE)),0,VLOOKUP(A36,'HRGs to TFCs 2'!A:L,7,FALSE))</f>
        <v>0</v>
      </c>
      <c r="K36" s="48">
        <f>IF(ISERROR(VLOOKUP(A36,'HRGs to TFCs 2'!A:L,8,FALSE)),0,VLOOKUP(A36,'HRGs to TFCs 2'!A:L,8,FALSE))</f>
        <v>289857.13261733257</v>
      </c>
      <c r="L36" s="48">
        <f>IF(ISERROR(VLOOKUP(A36,'HRGs to TFCs 2'!A:L,9,FALSE)),0,VLOOKUP(A36,'HRGs to TFCs 2'!A:L,9,FALSE))</f>
        <v>0</v>
      </c>
      <c r="M36" s="49">
        <f>IF(ISERROR(VLOOKUP(A36,'HRGs to TFCs 2'!A:L,10,FALSE)),0,VLOOKUP(A36,'HRGs to TFCs 2'!A:L,10,FALSE))</f>
        <v>1594420.5461731819</v>
      </c>
      <c r="N36" s="9">
        <f t="shared" si="2"/>
        <v>0</v>
      </c>
      <c r="O36" s="9">
        <f t="shared" si="1"/>
        <v>1.6900678445733871E-3</v>
      </c>
      <c r="P36" s="9">
        <f t="shared" si="1"/>
        <v>0</v>
      </c>
      <c r="Q36" s="10">
        <f t="shared" si="1"/>
        <v>9.2965761148680413E-3</v>
      </c>
    </row>
    <row r="37" spans="1:17">
      <c r="A37" s="45">
        <v>212</v>
      </c>
      <c r="B37" s="46">
        <f>IF(ISERROR(VLOOKUP(A37,'HRGs to TFCs 2'!A:L,2,FALSE)),0,VLOOKUP(A37,'HRGs to TFCs 2'!A:L,2,FALSE))</f>
        <v>0</v>
      </c>
      <c r="C37" s="46">
        <f>IF(ISERROR(VLOOKUP(A37,'HRGs to TFCs 2'!A:L,3,FALSE)),0,VLOOKUP(A37,'HRGs to TFCs 2'!A:L,3,FALSE))</f>
        <v>0</v>
      </c>
      <c r="D37" s="46">
        <f>IF(ISERROR(VLOOKUP(A37,'HRGs to TFCs 2'!A:L,4,FALSE)),0,VLOOKUP(A37,'HRGs to TFCs 2'!A:L,4,FALSE))</f>
        <v>0</v>
      </c>
      <c r="E37" s="47">
        <f>IF(ISERROR(VLOOKUP(A37,'HRGs to TFCs 2'!A:L,5,FALSE)),0,VLOOKUP(A37,'HRGs to TFCs 2'!A:L,5,FALSE))</f>
        <v>0</v>
      </c>
      <c r="F37" s="9">
        <f t="shared" si="0"/>
        <v>0</v>
      </c>
      <c r="G37" s="9">
        <f t="shared" si="0"/>
        <v>0</v>
      </c>
      <c r="H37" s="9">
        <f t="shared" si="0"/>
        <v>0</v>
      </c>
      <c r="I37" s="10">
        <f t="shared" si="0"/>
        <v>0</v>
      </c>
      <c r="J37" s="48">
        <f>IF(ISERROR(VLOOKUP(A37,'HRGs to TFCs 2'!A:L,7,FALSE)),0,VLOOKUP(A37,'HRGs to TFCs 2'!A:L,7,FALSE))</f>
        <v>0</v>
      </c>
      <c r="K37" s="48">
        <f>IF(ISERROR(VLOOKUP(A37,'HRGs to TFCs 2'!A:L,8,FALSE)),0,VLOOKUP(A37,'HRGs to TFCs 2'!A:L,8,FALSE))</f>
        <v>0</v>
      </c>
      <c r="L37" s="48">
        <f>IF(ISERROR(VLOOKUP(A37,'HRGs to TFCs 2'!A:L,9,FALSE)),0,VLOOKUP(A37,'HRGs to TFCs 2'!A:L,9,FALSE))</f>
        <v>0</v>
      </c>
      <c r="M37" s="49">
        <f>IF(ISERROR(VLOOKUP(A37,'HRGs to TFCs 2'!A:L,10,FALSE)),0,VLOOKUP(A37,'HRGs to TFCs 2'!A:L,10,FALSE))</f>
        <v>0</v>
      </c>
      <c r="N37" s="9">
        <f t="shared" si="2"/>
        <v>0</v>
      </c>
      <c r="O37" s="9">
        <f t="shared" si="1"/>
        <v>0</v>
      </c>
      <c r="P37" s="9">
        <f t="shared" si="1"/>
        <v>0</v>
      </c>
      <c r="Q37" s="10">
        <f t="shared" si="1"/>
        <v>0</v>
      </c>
    </row>
    <row r="38" spans="1:17">
      <c r="A38" s="45">
        <v>213</v>
      </c>
      <c r="B38" s="46">
        <f>IF(ISERROR(VLOOKUP(A38,'HRGs to TFCs 2'!A:L,2,FALSE)),0,VLOOKUP(A38,'HRGs to TFCs 2'!A:L,2,FALSE))</f>
        <v>0</v>
      </c>
      <c r="C38" s="46">
        <f>IF(ISERROR(VLOOKUP(A38,'HRGs to TFCs 2'!A:L,3,FALSE)),0,VLOOKUP(A38,'HRGs to TFCs 2'!A:L,3,FALSE))</f>
        <v>2</v>
      </c>
      <c r="D38" s="46">
        <f>IF(ISERROR(VLOOKUP(A38,'HRGs to TFCs 2'!A:L,4,FALSE)),0,VLOOKUP(A38,'HRGs to TFCs 2'!A:L,4,FALSE))</f>
        <v>0</v>
      </c>
      <c r="E38" s="47">
        <f>IF(ISERROR(VLOOKUP(A38,'HRGs to TFCs 2'!A:L,5,FALSE)),0,VLOOKUP(A38,'HRGs to TFCs 2'!A:L,5,FALSE))</f>
        <v>1</v>
      </c>
      <c r="F38" s="9">
        <f t="shared" si="0"/>
        <v>0</v>
      </c>
      <c r="G38" s="9">
        <f t="shared" si="0"/>
        <v>1.476863820602398E-6</v>
      </c>
      <c r="H38" s="9">
        <f t="shared" si="0"/>
        <v>0</v>
      </c>
      <c r="I38" s="10">
        <f t="shared" si="0"/>
        <v>7.3843191030119901E-7</v>
      </c>
      <c r="J38" s="48">
        <f>IF(ISERROR(VLOOKUP(A38,'HRGs to TFCs 2'!A:L,7,FALSE)),0,VLOOKUP(A38,'HRGs to TFCs 2'!A:L,7,FALSE))</f>
        <v>0</v>
      </c>
      <c r="K38" s="48">
        <f>IF(ISERROR(VLOOKUP(A38,'HRGs to TFCs 2'!A:L,8,FALSE)),0,VLOOKUP(A38,'HRGs to TFCs 2'!A:L,8,FALSE))</f>
        <v>307.49657149759366</v>
      </c>
      <c r="L38" s="48">
        <f>IF(ISERROR(VLOOKUP(A38,'HRGs to TFCs 2'!A:L,9,FALSE)),0,VLOOKUP(A38,'HRGs to TFCs 2'!A:L,9,FALSE))</f>
        <v>0</v>
      </c>
      <c r="M38" s="49">
        <f>IF(ISERROR(VLOOKUP(A38,'HRGs to TFCs 2'!A:L,10,FALSE)),0,VLOOKUP(A38,'HRGs to TFCs 2'!A:L,10,FALSE))</f>
        <v>147.14579594434056</v>
      </c>
      <c r="N38" s="9">
        <f t="shared" si="2"/>
        <v>0</v>
      </c>
      <c r="O38" s="9">
        <f t="shared" si="1"/>
        <v>1.7929179907079805E-6</v>
      </c>
      <c r="P38" s="9">
        <f t="shared" si="1"/>
        <v>0</v>
      </c>
      <c r="Q38" s="10">
        <f t="shared" si="1"/>
        <v>8.5796190676460316E-7</v>
      </c>
    </row>
    <row r="39" spans="1:17">
      <c r="A39" s="45">
        <v>214</v>
      </c>
      <c r="B39" s="46">
        <f>IF(ISERROR(VLOOKUP(A39,'HRGs to TFCs 2'!A:L,2,FALSE)),0,VLOOKUP(A39,'HRGs to TFCs 2'!A:L,2,FALSE))</f>
        <v>0</v>
      </c>
      <c r="C39" s="46">
        <f>IF(ISERROR(VLOOKUP(A39,'HRGs to TFCs 2'!A:L,3,FALSE)),0,VLOOKUP(A39,'HRGs to TFCs 2'!A:L,3,FALSE))</f>
        <v>240</v>
      </c>
      <c r="D39" s="46">
        <f>IF(ISERROR(VLOOKUP(A39,'HRGs to TFCs 2'!A:L,4,FALSE)),0,VLOOKUP(A39,'HRGs to TFCs 2'!A:L,4,FALSE))</f>
        <v>0</v>
      </c>
      <c r="E39" s="47">
        <f>IF(ISERROR(VLOOKUP(A39,'HRGs to TFCs 2'!A:L,5,FALSE)),0,VLOOKUP(A39,'HRGs to TFCs 2'!A:L,5,FALSE))</f>
        <v>1177</v>
      </c>
      <c r="F39" s="9">
        <f t="shared" si="0"/>
        <v>0</v>
      </c>
      <c r="G39" s="9">
        <f t="shared" si="0"/>
        <v>1.7722365847228777E-4</v>
      </c>
      <c r="H39" s="9">
        <f t="shared" si="0"/>
        <v>0</v>
      </c>
      <c r="I39" s="10">
        <f t="shared" si="0"/>
        <v>8.6913435842451124E-4</v>
      </c>
      <c r="J39" s="48">
        <f>IF(ISERROR(VLOOKUP(A39,'HRGs to TFCs 2'!A:L,7,FALSE)),0,VLOOKUP(A39,'HRGs to TFCs 2'!A:L,7,FALSE))</f>
        <v>0</v>
      </c>
      <c r="K39" s="48">
        <f>IF(ISERROR(VLOOKUP(A39,'HRGs to TFCs 2'!A:L,8,FALSE)),0,VLOOKUP(A39,'HRGs to TFCs 2'!A:L,8,FALSE))</f>
        <v>32736.884695733996</v>
      </c>
      <c r="L39" s="48">
        <f>IF(ISERROR(VLOOKUP(A39,'HRGs to TFCs 2'!A:L,9,FALSE)),0,VLOOKUP(A39,'HRGs to TFCs 2'!A:L,9,FALSE))</f>
        <v>0</v>
      </c>
      <c r="M39" s="49">
        <f>IF(ISERROR(VLOOKUP(A39,'HRGs to TFCs 2'!A:L,10,FALSE)),0,VLOOKUP(A39,'HRGs to TFCs 2'!A:L,10,FALSE))</f>
        <v>203832.91384835987</v>
      </c>
      <c r="N39" s="9">
        <f t="shared" si="2"/>
        <v>0</v>
      </c>
      <c r="O39" s="9">
        <f t="shared" si="1"/>
        <v>1.9087871206126131E-4</v>
      </c>
      <c r="P39" s="9">
        <f t="shared" si="1"/>
        <v>0</v>
      </c>
      <c r="Q39" s="10">
        <f t="shared" si="1"/>
        <v>1.1884870668875543E-3</v>
      </c>
    </row>
    <row r="40" spans="1:17">
      <c r="A40" s="45">
        <v>215</v>
      </c>
      <c r="B40" s="46">
        <f>IF(ISERROR(VLOOKUP(A40,'HRGs to TFCs 2'!A:L,2,FALSE)),0,VLOOKUP(A40,'HRGs to TFCs 2'!A:L,2,FALSE))</f>
        <v>0</v>
      </c>
      <c r="C40" s="46">
        <f>IF(ISERROR(VLOOKUP(A40,'HRGs to TFCs 2'!A:L,3,FALSE)),0,VLOOKUP(A40,'HRGs to TFCs 2'!A:L,3,FALSE))</f>
        <v>129</v>
      </c>
      <c r="D40" s="46">
        <f>IF(ISERROR(VLOOKUP(A40,'HRGs to TFCs 2'!A:L,4,FALSE)),0,VLOOKUP(A40,'HRGs to TFCs 2'!A:L,4,FALSE))</f>
        <v>0</v>
      </c>
      <c r="E40" s="47">
        <f>IF(ISERROR(VLOOKUP(A40,'HRGs to TFCs 2'!A:L,5,FALSE)),0,VLOOKUP(A40,'HRGs to TFCs 2'!A:L,5,FALSE))</f>
        <v>147</v>
      </c>
      <c r="F40" s="9">
        <f t="shared" ref="F40:I71" si="3">IF(ISERROR(B40/$E$4),0,B40/$E$4)</f>
        <v>0</v>
      </c>
      <c r="G40" s="9">
        <f t="shared" si="3"/>
        <v>9.5257716428854677E-5</v>
      </c>
      <c r="H40" s="9">
        <f t="shared" si="3"/>
        <v>0</v>
      </c>
      <c r="I40" s="10">
        <f t="shared" si="3"/>
        <v>1.0854949081427625E-4</v>
      </c>
      <c r="J40" s="48">
        <f>IF(ISERROR(VLOOKUP(A40,'HRGs to TFCs 2'!A:L,7,FALSE)),0,VLOOKUP(A40,'HRGs to TFCs 2'!A:L,7,FALSE))</f>
        <v>0</v>
      </c>
      <c r="K40" s="48">
        <f>IF(ISERROR(VLOOKUP(A40,'HRGs to TFCs 2'!A:L,8,FALSE)),0,VLOOKUP(A40,'HRGs to TFCs 2'!A:L,8,FALSE))</f>
        <v>14558.676235182578</v>
      </c>
      <c r="L40" s="48">
        <f>IF(ISERROR(VLOOKUP(A40,'HRGs to TFCs 2'!A:L,9,FALSE)),0,VLOOKUP(A40,'HRGs to TFCs 2'!A:L,9,FALSE))</f>
        <v>0</v>
      </c>
      <c r="M40" s="49">
        <f>IF(ISERROR(VLOOKUP(A40,'HRGs to TFCs 2'!A:L,10,FALSE)),0,VLOOKUP(A40,'HRGs to TFCs 2'!A:L,10,FALSE))</f>
        <v>15423.700299443963</v>
      </c>
      <c r="N40" s="9">
        <f t="shared" si="2"/>
        <v>0</v>
      </c>
      <c r="O40" s="9">
        <f t="shared" si="1"/>
        <v>8.4887166109934471E-5</v>
      </c>
      <c r="P40" s="9">
        <f t="shared" si="1"/>
        <v>0</v>
      </c>
      <c r="Q40" s="10">
        <f t="shared" si="1"/>
        <v>8.9930855539238264E-5</v>
      </c>
    </row>
    <row r="41" spans="1:17">
      <c r="A41" s="45">
        <v>216</v>
      </c>
      <c r="B41" s="46">
        <f>IF(ISERROR(VLOOKUP(A41,'HRGs to TFCs 2'!A:L,2,FALSE)),0,VLOOKUP(A41,'HRGs to TFCs 2'!A:L,2,FALSE))</f>
        <v>0</v>
      </c>
      <c r="C41" s="46">
        <f>IF(ISERROR(VLOOKUP(A41,'HRGs to TFCs 2'!A:L,3,FALSE)),0,VLOOKUP(A41,'HRGs to TFCs 2'!A:L,3,FALSE))</f>
        <v>18</v>
      </c>
      <c r="D41" s="46">
        <f>IF(ISERROR(VLOOKUP(A41,'HRGs to TFCs 2'!A:L,4,FALSE)),0,VLOOKUP(A41,'HRGs to TFCs 2'!A:L,4,FALSE))</f>
        <v>0</v>
      </c>
      <c r="E41" s="47">
        <f>IF(ISERROR(VLOOKUP(A41,'HRGs to TFCs 2'!A:L,5,FALSE)),0,VLOOKUP(A41,'HRGs to TFCs 2'!A:L,5,FALSE))</f>
        <v>53</v>
      </c>
      <c r="F41" s="9">
        <f t="shared" si="3"/>
        <v>0</v>
      </c>
      <c r="G41" s="9">
        <f t="shared" si="3"/>
        <v>1.3291774385421581E-5</v>
      </c>
      <c r="H41" s="9">
        <f t="shared" si="3"/>
        <v>0</v>
      </c>
      <c r="I41" s="10">
        <f t="shared" si="3"/>
        <v>3.9136891245963545E-5</v>
      </c>
      <c r="J41" s="48">
        <f>IF(ISERROR(VLOOKUP(A41,'HRGs to TFCs 2'!A:L,7,FALSE)),0,VLOOKUP(A41,'HRGs to TFCs 2'!A:L,7,FALSE))</f>
        <v>0</v>
      </c>
      <c r="K41" s="48">
        <f>IF(ISERROR(VLOOKUP(A41,'HRGs to TFCs 2'!A:L,8,FALSE)),0,VLOOKUP(A41,'HRGs to TFCs 2'!A:L,8,FALSE))</f>
        <v>3227.4637774690887</v>
      </c>
      <c r="L41" s="48">
        <f>IF(ISERROR(VLOOKUP(A41,'HRGs to TFCs 2'!A:L,9,FALSE)),0,VLOOKUP(A41,'HRGs to TFCs 2'!A:L,9,FALSE))</f>
        <v>0</v>
      </c>
      <c r="M41" s="49">
        <f>IF(ISERROR(VLOOKUP(A41,'HRGs to TFCs 2'!A:L,10,FALSE)),0,VLOOKUP(A41,'HRGs to TFCs 2'!A:L,10,FALSE))</f>
        <v>5324.6422430771945</v>
      </c>
      <c r="N41" s="9">
        <f t="shared" si="2"/>
        <v>0</v>
      </c>
      <c r="O41" s="9">
        <f t="shared" si="1"/>
        <v>1.8818349234921308E-5</v>
      </c>
      <c r="P41" s="9">
        <f t="shared" si="1"/>
        <v>0</v>
      </c>
      <c r="Q41" s="10">
        <f t="shared" si="1"/>
        <v>3.1046352241268828E-5</v>
      </c>
    </row>
    <row r="42" spans="1:17">
      <c r="A42" s="45">
        <v>217</v>
      </c>
      <c r="B42" s="46">
        <f>IF(ISERROR(VLOOKUP(A42,'HRGs to TFCs 2'!A:L,2,FALSE)),0,VLOOKUP(A42,'HRGs to TFCs 2'!A:L,2,FALSE))</f>
        <v>0</v>
      </c>
      <c r="C42" s="46">
        <f>IF(ISERROR(VLOOKUP(A42,'HRGs to TFCs 2'!A:L,3,FALSE)),0,VLOOKUP(A42,'HRGs to TFCs 2'!A:L,3,FALSE))</f>
        <v>64</v>
      </c>
      <c r="D42" s="46">
        <f>IF(ISERROR(VLOOKUP(A42,'HRGs to TFCs 2'!A:L,4,FALSE)),0,VLOOKUP(A42,'HRGs to TFCs 2'!A:L,4,FALSE))</f>
        <v>0</v>
      </c>
      <c r="E42" s="47">
        <f>IF(ISERROR(VLOOKUP(A42,'HRGs to TFCs 2'!A:L,5,FALSE)),0,VLOOKUP(A42,'HRGs to TFCs 2'!A:L,5,FALSE))</f>
        <v>256</v>
      </c>
      <c r="F42" s="9">
        <f t="shared" si="3"/>
        <v>0</v>
      </c>
      <c r="G42" s="9">
        <f t="shared" si="3"/>
        <v>4.7259642259276737E-5</v>
      </c>
      <c r="H42" s="9">
        <f t="shared" si="3"/>
        <v>0</v>
      </c>
      <c r="I42" s="10">
        <f t="shared" si="3"/>
        <v>1.8903856903710695E-4</v>
      </c>
      <c r="J42" s="48">
        <f>IF(ISERROR(VLOOKUP(A42,'HRGs to TFCs 2'!A:L,7,FALSE)),0,VLOOKUP(A42,'HRGs to TFCs 2'!A:L,7,FALSE))</f>
        <v>0</v>
      </c>
      <c r="K42" s="48">
        <f>IF(ISERROR(VLOOKUP(A42,'HRGs to TFCs 2'!A:L,8,FALSE)),0,VLOOKUP(A42,'HRGs to TFCs 2'!A:L,8,FALSE))</f>
        <v>5779.265553922517</v>
      </c>
      <c r="L42" s="48">
        <f>IF(ISERROR(VLOOKUP(A42,'HRGs to TFCs 2'!A:L,9,FALSE)),0,VLOOKUP(A42,'HRGs to TFCs 2'!A:L,9,FALSE))</f>
        <v>0</v>
      </c>
      <c r="M42" s="49">
        <f>IF(ISERROR(VLOOKUP(A42,'HRGs to TFCs 2'!A:L,10,FALSE)),0,VLOOKUP(A42,'HRGs to TFCs 2'!A:L,10,FALSE))</f>
        <v>33551.762361134512</v>
      </c>
      <c r="N42" s="9">
        <f t="shared" si="2"/>
        <v>0</v>
      </c>
      <c r="O42" s="9">
        <f t="shared" si="1"/>
        <v>3.3697121025584146E-5</v>
      </c>
      <c r="P42" s="9">
        <f t="shared" si="1"/>
        <v>0</v>
      </c>
      <c r="Q42" s="10">
        <f t="shared" si="1"/>
        <v>1.9563001325270934E-4</v>
      </c>
    </row>
    <row r="43" spans="1:17">
      <c r="A43" s="45">
        <v>218</v>
      </c>
      <c r="B43" s="46">
        <f>IF(ISERROR(VLOOKUP(A43,'HRGs to TFCs 2'!A:L,2,FALSE)),0,VLOOKUP(A43,'HRGs to TFCs 2'!A:L,2,FALSE))</f>
        <v>0</v>
      </c>
      <c r="C43" s="46">
        <f>IF(ISERROR(VLOOKUP(A43,'HRGs to TFCs 2'!A:L,3,FALSE)),0,VLOOKUP(A43,'HRGs to TFCs 2'!A:L,3,FALSE))</f>
        <v>1</v>
      </c>
      <c r="D43" s="46">
        <f>IF(ISERROR(VLOOKUP(A43,'HRGs to TFCs 2'!A:L,4,FALSE)),0,VLOOKUP(A43,'HRGs to TFCs 2'!A:L,4,FALSE))</f>
        <v>0</v>
      </c>
      <c r="E43" s="47">
        <f>IF(ISERROR(VLOOKUP(A43,'HRGs to TFCs 2'!A:L,5,FALSE)),0,VLOOKUP(A43,'HRGs to TFCs 2'!A:L,5,FALSE))</f>
        <v>2</v>
      </c>
      <c r="F43" s="9">
        <f t="shared" si="3"/>
        <v>0</v>
      </c>
      <c r="G43" s="9">
        <f t="shared" si="3"/>
        <v>7.3843191030119901E-7</v>
      </c>
      <c r="H43" s="9">
        <f t="shared" si="3"/>
        <v>0</v>
      </c>
      <c r="I43" s="10">
        <f t="shared" si="3"/>
        <v>1.476863820602398E-6</v>
      </c>
      <c r="J43" s="48">
        <f>IF(ISERROR(VLOOKUP(A43,'HRGs to TFCs 2'!A:L,7,FALSE)),0,VLOOKUP(A43,'HRGs to TFCs 2'!A:L,7,FALSE))</f>
        <v>0</v>
      </c>
      <c r="K43" s="48">
        <f>IF(ISERROR(VLOOKUP(A43,'HRGs to TFCs 2'!A:L,8,FALSE)),0,VLOOKUP(A43,'HRGs to TFCs 2'!A:L,8,FALSE))</f>
        <v>178.4878594366113</v>
      </c>
      <c r="L43" s="48">
        <f>IF(ISERROR(VLOOKUP(A43,'HRGs to TFCs 2'!A:L,9,FALSE)),0,VLOOKUP(A43,'HRGs to TFCs 2'!A:L,9,FALSE))</f>
        <v>0</v>
      </c>
      <c r="M43" s="49">
        <f>IF(ISERROR(VLOOKUP(A43,'HRGs to TFCs 2'!A:L,10,FALSE)),0,VLOOKUP(A43,'HRGs to TFCs 2'!A:L,10,FALSE))</f>
        <v>197.56567517359093</v>
      </c>
      <c r="N43" s="9">
        <f t="shared" si="2"/>
        <v>0</v>
      </c>
      <c r="O43" s="9">
        <f t="shared" si="1"/>
        <v>1.0407078451258827E-6</v>
      </c>
      <c r="P43" s="9">
        <f t="shared" si="1"/>
        <v>0</v>
      </c>
      <c r="Q43" s="10">
        <f t="shared" si="1"/>
        <v>1.1519447245865379E-6</v>
      </c>
    </row>
    <row r="44" spans="1:17">
      <c r="A44" s="45">
        <v>219</v>
      </c>
      <c r="B44" s="46">
        <f>IF(ISERROR(VLOOKUP(A44,'HRGs to TFCs 2'!A:L,2,FALSE)),0,VLOOKUP(A44,'HRGs to TFCs 2'!A:L,2,FALSE))</f>
        <v>0</v>
      </c>
      <c r="C44" s="46">
        <f>IF(ISERROR(VLOOKUP(A44,'HRGs to TFCs 2'!A:L,3,FALSE)),0,VLOOKUP(A44,'HRGs to TFCs 2'!A:L,3,FALSE))</f>
        <v>92</v>
      </c>
      <c r="D44" s="46">
        <f>IF(ISERROR(VLOOKUP(A44,'HRGs to TFCs 2'!A:L,4,FALSE)),0,VLOOKUP(A44,'HRGs to TFCs 2'!A:L,4,FALSE))</f>
        <v>0</v>
      </c>
      <c r="E44" s="47">
        <f>IF(ISERROR(VLOOKUP(A44,'HRGs to TFCs 2'!A:L,5,FALSE)),0,VLOOKUP(A44,'HRGs to TFCs 2'!A:L,5,FALSE))</f>
        <v>751</v>
      </c>
      <c r="F44" s="9">
        <f t="shared" si="3"/>
        <v>0</v>
      </c>
      <c r="G44" s="9">
        <f t="shared" si="3"/>
        <v>6.7935735747710308E-5</v>
      </c>
      <c r="H44" s="9">
        <f t="shared" si="3"/>
        <v>0</v>
      </c>
      <c r="I44" s="10">
        <f t="shared" si="3"/>
        <v>5.5456236463620045E-4</v>
      </c>
      <c r="J44" s="48">
        <f>IF(ISERROR(VLOOKUP(A44,'HRGs to TFCs 2'!A:L,7,FALSE)),0,VLOOKUP(A44,'HRGs to TFCs 2'!A:L,7,FALSE))</f>
        <v>0</v>
      </c>
      <c r="K44" s="48">
        <f>IF(ISERROR(VLOOKUP(A44,'HRGs to TFCs 2'!A:L,8,FALSE)),0,VLOOKUP(A44,'HRGs to TFCs 2'!A:L,8,FALSE))</f>
        <v>13127.348273532007</v>
      </c>
      <c r="L44" s="48">
        <f>IF(ISERROR(VLOOKUP(A44,'HRGs to TFCs 2'!A:L,9,FALSE)),0,VLOOKUP(A44,'HRGs to TFCs 2'!A:L,9,FALSE))</f>
        <v>0</v>
      </c>
      <c r="M44" s="49">
        <f>IF(ISERROR(VLOOKUP(A44,'HRGs to TFCs 2'!A:L,10,FALSE)),0,VLOOKUP(A44,'HRGs to TFCs 2'!A:L,10,FALSE))</f>
        <v>100929.86487184078</v>
      </c>
      <c r="N44" s="9">
        <f t="shared" si="2"/>
        <v>0</v>
      </c>
      <c r="O44" s="9">
        <f t="shared" si="1"/>
        <v>7.6541532724338246E-5</v>
      </c>
      <c r="P44" s="9">
        <f t="shared" si="1"/>
        <v>0</v>
      </c>
      <c r="Q44" s="10">
        <f t="shared" si="1"/>
        <v>5.884910184433223E-4</v>
      </c>
    </row>
    <row r="45" spans="1:17">
      <c r="A45" s="45">
        <v>220</v>
      </c>
      <c r="B45" s="46">
        <f>IF(ISERROR(VLOOKUP(A45,'HRGs to TFCs 2'!A:L,2,FALSE)),0,VLOOKUP(A45,'HRGs to TFCs 2'!A:L,2,FALSE))</f>
        <v>0</v>
      </c>
      <c r="C45" s="46">
        <f>IF(ISERROR(VLOOKUP(A45,'HRGs to TFCs 2'!A:L,3,FALSE)),0,VLOOKUP(A45,'HRGs to TFCs 2'!A:L,3,FALSE))</f>
        <v>12</v>
      </c>
      <c r="D45" s="46">
        <f>IF(ISERROR(VLOOKUP(A45,'HRGs to TFCs 2'!A:L,4,FALSE)),0,VLOOKUP(A45,'HRGs to TFCs 2'!A:L,4,FALSE))</f>
        <v>0</v>
      </c>
      <c r="E45" s="47">
        <f>IF(ISERROR(VLOOKUP(A45,'HRGs to TFCs 2'!A:L,5,FALSE)),0,VLOOKUP(A45,'HRGs to TFCs 2'!A:L,5,FALSE))</f>
        <v>46</v>
      </c>
      <c r="F45" s="9">
        <f t="shared" si="3"/>
        <v>0</v>
      </c>
      <c r="G45" s="9">
        <f t="shared" si="3"/>
        <v>8.8611829236143885E-6</v>
      </c>
      <c r="H45" s="9">
        <f t="shared" si="3"/>
        <v>0</v>
      </c>
      <c r="I45" s="10">
        <f t="shared" si="3"/>
        <v>3.3967867873855154E-5</v>
      </c>
      <c r="J45" s="48">
        <f>IF(ISERROR(VLOOKUP(A45,'HRGs to TFCs 2'!A:L,7,FALSE)),0,VLOOKUP(A45,'HRGs to TFCs 2'!A:L,7,FALSE))</f>
        <v>0</v>
      </c>
      <c r="K45" s="48">
        <f>IF(ISERROR(VLOOKUP(A45,'HRGs to TFCs 2'!A:L,8,FALSE)),0,VLOOKUP(A45,'HRGs to TFCs 2'!A:L,8,FALSE))</f>
        <v>1185.3940510415457</v>
      </c>
      <c r="L45" s="48">
        <f>IF(ISERROR(VLOOKUP(A45,'HRGs to TFCs 2'!A:L,9,FALSE)),0,VLOOKUP(A45,'HRGs to TFCs 2'!A:L,9,FALSE))</f>
        <v>0</v>
      </c>
      <c r="M45" s="49">
        <f>IF(ISERROR(VLOOKUP(A45,'HRGs to TFCs 2'!A:L,10,FALSE)),0,VLOOKUP(A45,'HRGs to TFCs 2'!A:L,10,FALSE))</f>
        <v>4671.985039747412</v>
      </c>
      <c r="N45" s="9">
        <f t="shared" si="2"/>
        <v>0</v>
      </c>
      <c r="O45" s="9">
        <f t="shared" si="1"/>
        <v>6.9116683475192285E-6</v>
      </c>
      <c r="P45" s="9">
        <f t="shared" si="1"/>
        <v>0</v>
      </c>
      <c r="Q45" s="10">
        <f t="shared" si="1"/>
        <v>2.7240908701147013E-5</v>
      </c>
    </row>
    <row r="46" spans="1:17">
      <c r="A46" s="45">
        <v>221</v>
      </c>
      <c r="B46" s="46">
        <f>IF(ISERROR(VLOOKUP(A46,'HRGs to TFCs 2'!A:L,2,FALSE)),0,VLOOKUP(A46,'HRGs to TFCs 2'!A:L,2,FALSE))</f>
        <v>0</v>
      </c>
      <c r="C46" s="46">
        <f>IF(ISERROR(VLOOKUP(A46,'HRGs to TFCs 2'!A:L,3,FALSE)),0,VLOOKUP(A46,'HRGs to TFCs 2'!A:L,3,FALSE))</f>
        <v>0</v>
      </c>
      <c r="D46" s="46">
        <f>IF(ISERROR(VLOOKUP(A46,'HRGs to TFCs 2'!A:L,4,FALSE)),0,VLOOKUP(A46,'HRGs to TFCs 2'!A:L,4,FALSE))</f>
        <v>0</v>
      </c>
      <c r="E46" s="47">
        <f>IF(ISERROR(VLOOKUP(A46,'HRGs to TFCs 2'!A:L,5,FALSE)),0,VLOOKUP(A46,'HRGs to TFCs 2'!A:L,5,FALSE))</f>
        <v>92</v>
      </c>
      <c r="F46" s="9">
        <f t="shared" si="3"/>
        <v>0</v>
      </c>
      <c r="G46" s="9">
        <f t="shared" si="3"/>
        <v>0</v>
      </c>
      <c r="H46" s="9">
        <f t="shared" si="3"/>
        <v>0</v>
      </c>
      <c r="I46" s="10">
        <f t="shared" si="3"/>
        <v>6.7935735747710308E-5</v>
      </c>
      <c r="J46" s="48">
        <f>IF(ISERROR(VLOOKUP(A46,'HRGs to TFCs 2'!A:L,7,FALSE)),0,VLOOKUP(A46,'HRGs to TFCs 2'!A:L,7,FALSE))</f>
        <v>0</v>
      </c>
      <c r="K46" s="48">
        <f>IF(ISERROR(VLOOKUP(A46,'HRGs to TFCs 2'!A:L,8,FALSE)),0,VLOOKUP(A46,'HRGs to TFCs 2'!A:L,8,FALSE))</f>
        <v>0</v>
      </c>
      <c r="L46" s="48">
        <f>IF(ISERROR(VLOOKUP(A46,'HRGs to TFCs 2'!A:L,9,FALSE)),0,VLOOKUP(A46,'HRGs to TFCs 2'!A:L,9,FALSE))</f>
        <v>0</v>
      </c>
      <c r="M46" s="49">
        <f>IF(ISERROR(VLOOKUP(A46,'HRGs to TFCs 2'!A:L,10,FALSE)),0,VLOOKUP(A46,'HRGs to TFCs 2'!A:L,10,FALSE))</f>
        <v>13007.402288150919</v>
      </c>
      <c r="N46" s="9">
        <f t="shared" si="2"/>
        <v>0</v>
      </c>
      <c r="O46" s="9">
        <f t="shared" si="1"/>
        <v>0</v>
      </c>
      <c r="P46" s="9">
        <f t="shared" si="1"/>
        <v>0</v>
      </c>
      <c r="Q46" s="10">
        <f t="shared" si="1"/>
        <v>7.5842164552343428E-5</v>
      </c>
    </row>
    <row r="47" spans="1:17">
      <c r="A47" s="45">
        <v>222</v>
      </c>
      <c r="B47" s="46">
        <f>IF(ISERROR(VLOOKUP(A47,'HRGs to TFCs 2'!A:L,2,FALSE)),0,VLOOKUP(A47,'HRGs to TFCs 2'!A:L,2,FALSE))</f>
        <v>0</v>
      </c>
      <c r="C47" s="46">
        <f>IF(ISERROR(VLOOKUP(A47,'HRGs to TFCs 2'!A:L,3,FALSE)),0,VLOOKUP(A47,'HRGs to TFCs 2'!A:L,3,FALSE))</f>
        <v>0</v>
      </c>
      <c r="D47" s="46">
        <f>IF(ISERROR(VLOOKUP(A47,'HRGs to TFCs 2'!A:L,4,FALSE)),0,VLOOKUP(A47,'HRGs to TFCs 2'!A:L,4,FALSE))</f>
        <v>0</v>
      </c>
      <c r="E47" s="47">
        <f>IF(ISERROR(VLOOKUP(A47,'HRGs to TFCs 2'!A:L,5,FALSE)),0,VLOOKUP(A47,'HRGs to TFCs 2'!A:L,5,FALSE))</f>
        <v>0</v>
      </c>
      <c r="F47" s="9">
        <f t="shared" si="3"/>
        <v>0</v>
      </c>
      <c r="G47" s="9">
        <f t="shared" si="3"/>
        <v>0</v>
      </c>
      <c r="H47" s="9">
        <f t="shared" si="3"/>
        <v>0</v>
      </c>
      <c r="I47" s="10">
        <f t="shared" si="3"/>
        <v>0</v>
      </c>
      <c r="J47" s="48">
        <f>IF(ISERROR(VLOOKUP(A47,'HRGs to TFCs 2'!A:L,7,FALSE)),0,VLOOKUP(A47,'HRGs to TFCs 2'!A:L,7,FALSE))</f>
        <v>0</v>
      </c>
      <c r="K47" s="48">
        <f>IF(ISERROR(VLOOKUP(A47,'HRGs to TFCs 2'!A:L,8,FALSE)),0,VLOOKUP(A47,'HRGs to TFCs 2'!A:L,8,FALSE))</f>
        <v>0</v>
      </c>
      <c r="L47" s="48">
        <f>IF(ISERROR(VLOOKUP(A47,'HRGs to TFCs 2'!A:L,9,FALSE)),0,VLOOKUP(A47,'HRGs to TFCs 2'!A:L,9,FALSE))</f>
        <v>0</v>
      </c>
      <c r="M47" s="49">
        <f>IF(ISERROR(VLOOKUP(A47,'HRGs to TFCs 2'!A:L,10,FALSE)),0,VLOOKUP(A47,'HRGs to TFCs 2'!A:L,10,FALSE))</f>
        <v>0</v>
      </c>
      <c r="N47" s="9">
        <f t="shared" si="2"/>
        <v>0</v>
      </c>
      <c r="O47" s="9">
        <f t="shared" si="1"/>
        <v>0</v>
      </c>
      <c r="P47" s="9">
        <f t="shared" si="1"/>
        <v>0</v>
      </c>
      <c r="Q47" s="10">
        <f t="shared" si="1"/>
        <v>0</v>
      </c>
    </row>
    <row r="48" spans="1:17">
      <c r="A48" s="45">
        <v>241</v>
      </c>
      <c r="B48" s="46">
        <f>IF(ISERROR(VLOOKUP(A48,'HRGs to TFCs 2'!A:L,2,FALSE)),0,VLOOKUP(A48,'HRGs to TFCs 2'!A:L,2,FALSE))</f>
        <v>0</v>
      </c>
      <c r="C48" s="46">
        <f>IF(ISERROR(VLOOKUP(A48,'HRGs to TFCs 2'!A:L,3,FALSE)),0,VLOOKUP(A48,'HRGs to TFCs 2'!A:L,3,FALSE))</f>
        <v>0</v>
      </c>
      <c r="D48" s="46">
        <f>IF(ISERROR(VLOOKUP(A48,'HRGs to TFCs 2'!A:L,4,FALSE)),0,VLOOKUP(A48,'HRGs to TFCs 2'!A:L,4,FALSE))</f>
        <v>0</v>
      </c>
      <c r="E48" s="47">
        <f>IF(ISERROR(VLOOKUP(A48,'HRGs to TFCs 2'!A:L,5,FALSE)),0,VLOOKUP(A48,'HRGs to TFCs 2'!A:L,5,FALSE))</f>
        <v>0</v>
      </c>
      <c r="F48" s="9">
        <f t="shared" si="3"/>
        <v>0</v>
      </c>
      <c r="G48" s="9">
        <f t="shared" si="3"/>
        <v>0</v>
      </c>
      <c r="H48" s="9">
        <f t="shared" si="3"/>
        <v>0</v>
      </c>
      <c r="I48" s="10">
        <f t="shared" si="3"/>
        <v>0</v>
      </c>
      <c r="J48" s="48">
        <f>IF(ISERROR(VLOOKUP(A48,'HRGs to TFCs 2'!A:L,7,FALSE)),0,VLOOKUP(A48,'HRGs to TFCs 2'!A:L,7,FALSE))</f>
        <v>0</v>
      </c>
      <c r="K48" s="48">
        <f>IF(ISERROR(VLOOKUP(A48,'HRGs to TFCs 2'!A:L,8,FALSE)),0,VLOOKUP(A48,'HRGs to TFCs 2'!A:L,8,FALSE))</f>
        <v>0</v>
      </c>
      <c r="L48" s="48">
        <f>IF(ISERROR(VLOOKUP(A48,'HRGs to TFCs 2'!A:L,9,FALSE)),0,VLOOKUP(A48,'HRGs to TFCs 2'!A:L,9,FALSE))</f>
        <v>0</v>
      </c>
      <c r="M48" s="49">
        <f>IF(ISERROR(VLOOKUP(A48,'HRGs to TFCs 2'!A:L,10,FALSE)),0,VLOOKUP(A48,'HRGs to TFCs 2'!A:L,10,FALSE))</f>
        <v>0</v>
      </c>
      <c r="N48" s="9">
        <f t="shared" si="2"/>
        <v>0</v>
      </c>
      <c r="O48" s="9">
        <f t="shared" si="1"/>
        <v>0</v>
      </c>
      <c r="P48" s="9">
        <f t="shared" si="1"/>
        <v>0</v>
      </c>
      <c r="Q48" s="10">
        <f t="shared" si="1"/>
        <v>0</v>
      </c>
    </row>
    <row r="49" spans="1:17">
      <c r="A49" s="45">
        <v>242</v>
      </c>
      <c r="B49" s="46">
        <f>IF(ISERROR(VLOOKUP(A49,'HRGs to TFCs 2'!A:L,2,FALSE)),0,VLOOKUP(A49,'HRGs to TFCs 2'!A:L,2,FALSE))</f>
        <v>0</v>
      </c>
      <c r="C49" s="46">
        <f>IF(ISERROR(VLOOKUP(A49,'HRGs to TFCs 2'!A:L,3,FALSE)),0,VLOOKUP(A49,'HRGs to TFCs 2'!A:L,3,FALSE))</f>
        <v>0</v>
      </c>
      <c r="D49" s="46">
        <f>IF(ISERROR(VLOOKUP(A49,'HRGs to TFCs 2'!A:L,4,FALSE)),0,VLOOKUP(A49,'HRGs to TFCs 2'!A:L,4,FALSE))</f>
        <v>0</v>
      </c>
      <c r="E49" s="47">
        <f>IF(ISERROR(VLOOKUP(A49,'HRGs to TFCs 2'!A:L,5,FALSE)),0,VLOOKUP(A49,'HRGs to TFCs 2'!A:L,5,FALSE))</f>
        <v>0</v>
      </c>
      <c r="F49" s="9">
        <f t="shared" si="3"/>
        <v>0</v>
      </c>
      <c r="G49" s="9">
        <f t="shared" si="3"/>
        <v>0</v>
      </c>
      <c r="H49" s="9">
        <f t="shared" si="3"/>
        <v>0</v>
      </c>
      <c r="I49" s="10">
        <f t="shared" si="3"/>
        <v>0</v>
      </c>
      <c r="J49" s="48">
        <f>IF(ISERROR(VLOOKUP(A49,'HRGs to TFCs 2'!A:L,7,FALSE)),0,VLOOKUP(A49,'HRGs to TFCs 2'!A:L,7,FALSE))</f>
        <v>0</v>
      </c>
      <c r="K49" s="48">
        <f>IF(ISERROR(VLOOKUP(A49,'HRGs to TFCs 2'!A:L,8,FALSE)),0,VLOOKUP(A49,'HRGs to TFCs 2'!A:L,8,FALSE))</f>
        <v>0</v>
      </c>
      <c r="L49" s="48">
        <f>IF(ISERROR(VLOOKUP(A49,'HRGs to TFCs 2'!A:L,9,FALSE)),0,VLOOKUP(A49,'HRGs to TFCs 2'!A:L,9,FALSE))</f>
        <v>0</v>
      </c>
      <c r="M49" s="49">
        <f>IF(ISERROR(VLOOKUP(A49,'HRGs to TFCs 2'!A:L,10,FALSE)),0,VLOOKUP(A49,'HRGs to TFCs 2'!A:L,10,FALSE))</f>
        <v>0</v>
      </c>
      <c r="N49" s="9">
        <f t="shared" si="2"/>
        <v>0</v>
      </c>
      <c r="O49" s="9">
        <f t="shared" si="1"/>
        <v>0</v>
      </c>
      <c r="P49" s="9">
        <f t="shared" si="1"/>
        <v>0</v>
      </c>
      <c r="Q49" s="10">
        <f t="shared" si="1"/>
        <v>0</v>
      </c>
    </row>
    <row r="50" spans="1:17">
      <c r="A50" s="45">
        <v>251</v>
      </c>
      <c r="B50" s="46">
        <f>IF(ISERROR(VLOOKUP(A50,'HRGs to TFCs 2'!A:L,2,FALSE)),0,VLOOKUP(A50,'HRGs to TFCs 2'!A:L,2,FALSE))</f>
        <v>0</v>
      </c>
      <c r="C50" s="46">
        <f>IF(ISERROR(VLOOKUP(A50,'HRGs to TFCs 2'!A:L,3,FALSE)),0,VLOOKUP(A50,'HRGs to TFCs 2'!A:L,3,FALSE))</f>
        <v>25</v>
      </c>
      <c r="D50" s="46">
        <f>IF(ISERROR(VLOOKUP(A50,'HRGs to TFCs 2'!A:L,4,FALSE)),0,VLOOKUP(A50,'HRGs to TFCs 2'!A:L,4,FALSE))</f>
        <v>0</v>
      </c>
      <c r="E50" s="47">
        <f>IF(ISERROR(VLOOKUP(A50,'HRGs to TFCs 2'!A:L,5,FALSE)),0,VLOOKUP(A50,'HRGs to TFCs 2'!A:L,5,FALSE))</f>
        <v>64</v>
      </c>
      <c r="F50" s="9">
        <f t="shared" si="3"/>
        <v>0</v>
      </c>
      <c r="G50" s="9">
        <f t="shared" si="3"/>
        <v>1.8460797757529974E-5</v>
      </c>
      <c r="H50" s="9">
        <f t="shared" si="3"/>
        <v>0</v>
      </c>
      <c r="I50" s="10">
        <f t="shared" si="3"/>
        <v>4.7259642259276737E-5</v>
      </c>
      <c r="J50" s="48">
        <f>IF(ISERROR(VLOOKUP(A50,'HRGs to TFCs 2'!A:L,7,FALSE)),0,VLOOKUP(A50,'HRGs to TFCs 2'!A:L,7,FALSE))</f>
        <v>0</v>
      </c>
      <c r="K50" s="48">
        <f>IF(ISERROR(VLOOKUP(A50,'HRGs to TFCs 2'!A:L,8,FALSE)),0,VLOOKUP(A50,'HRGs to TFCs 2'!A:L,8,FALSE))</f>
        <v>3574.8413248014331</v>
      </c>
      <c r="L50" s="48">
        <f>IF(ISERROR(VLOOKUP(A50,'HRGs to TFCs 2'!A:L,9,FALSE)),0,VLOOKUP(A50,'HRGs to TFCs 2'!A:L,9,FALSE))</f>
        <v>0</v>
      </c>
      <c r="M50" s="49">
        <f>IF(ISERROR(VLOOKUP(A50,'HRGs to TFCs 2'!A:L,10,FALSE)),0,VLOOKUP(A50,'HRGs to TFCs 2'!A:L,10,FALSE))</f>
        <v>12573.55104517988</v>
      </c>
      <c r="N50" s="9">
        <f t="shared" si="2"/>
        <v>0</v>
      </c>
      <c r="O50" s="9">
        <f t="shared" si="1"/>
        <v>2.08438009371854E-5</v>
      </c>
      <c r="P50" s="9">
        <f t="shared" si="1"/>
        <v>0</v>
      </c>
      <c r="Q50" s="10">
        <f t="shared" si="1"/>
        <v>7.3312511310925476E-5</v>
      </c>
    </row>
    <row r="51" spans="1:17">
      <c r="A51" s="45">
        <v>252</v>
      </c>
      <c r="B51" s="46">
        <f>IF(ISERROR(VLOOKUP(A51,'HRGs to TFCs 2'!A:L,2,FALSE)),0,VLOOKUP(A51,'HRGs to TFCs 2'!A:L,2,FALSE))</f>
        <v>0</v>
      </c>
      <c r="C51" s="46">
        <f>IF(ISERROR(VLOOKUP(A51,'HRGs to TFCs 2'!A:L,3,FALSE)),0,VLOOKUP(A51,'HRGs to TFCs 2'!A:L,3,FALSE))</f>
        <v>9</v>
      </c>
      <c r="D51" s="46">
        <f>IF(ISERROR(VLOOKUP(A51,'HRGs to TFCs 2'!A:L,4,FALSE)),0,VLOOKUP(A51,'HRGs to TFCs 2'!A:L,4,FALSE))</f>
        <v>0</v>
      </c>
      <c r="E51" s="47">
        <f>IF(ISERROR(VLOOKUP(A51,'HRGs to TFCs 2'!A:L,5,FALSE)),0,VLOOKUP(A51,'HRGs to TFCs 2'!A:L,5,FALSE))</f>
        <v>39</v>
      </c>
      <c r="F51" s="9">
        <f t="shared" si="3"/>
        <v>0</v>
      </c>
      <c r="G51" s="9">
        <f t="shared" si="3"/>
        <v>6.6458871927107905E-6</v>
      </c>
      <c r="H51" s="9">
        <f t="shared" si="3"/>
        <v>0</v>
      </c>
      <c r="I51" s="10">
        <f t="shared" si="3"/>
        <v>2.8798844501746759E-5</v>
      </c>
      <c r="J51" s="48">
        <f>IF(ISERROR(VLOOKUP(A51,'HRGs to TFCs 2'!A:L,7,FALSE)),0,VLOOKUP(A51,'HRGs to TFCs 2'!A:L,7,FALSE))</f>
        <v>0</v>
      </c>
      <c r="K51" s="48">
        <f>IF(ISERROR(VLOOKUP(A51,'HRGs to TFCs 2'!A:L,8,FALSE)),0,VLOOKUP(A51,'HRGs to TFCs 2'!A:L,8,FALSE))</f>
        <v>2995.3675543855716</v>
      </c>
      <c r="L51" s="48">
        <f>IF(ISERROR(VLOOKUP(A51,'HRGs to TFCs 2'!A:L,9,FALSE)),0,VLOOKUP(A51,'HRGs to TFCs 2'!A:L,9,FALSE))</f>
        <v>0</v>
      </c>
      <c r="M51" s="49">
        <f>IF(ISERROR(VLOOKUP(A51,'HRGs to TFCs 2'!A:L,10,FALSE)),0,VLOOKUP(A51,'HRGs to TFCs 2'!A:L,10,FALSE))</f>
        <v>9235.5102784732517</v>
      </c>
      <c r="N51" s="9">
        <f t="shared" si="2"/>
        <v>0</v>
      </c>
      <c r="O51" s="9">
        <f t="shared" si="1"/>
        <v>1.7465067499404242E-5</v>
      </c>
      <c r="P51" s="9">
        <f t="shared" si="1"/>
        <v>0</v>
      </c>
      <c r="Q51" s="10">
        <f t="shared" si="1"/>
        <v>5.3849421640698659E-5</v>
      </c>
    </row>
    <row r="52" spans="1:17">
      <c r="A52" s="45">
        <v>253</v>
      </c>
      <c r="B52" s="46">
        <f>IF(ISERROR(VLOOKUP(A52,'HRGs to TFCs 2'!A:L,2,FALSE)),0,VLOOKUP(A52,'HRGs to TFCs 2'!A:L,2,FALSE))</f>
        <v>0</v>
      </c>
      <c r="C52" s="46">
        <f>IF(ISERROR(VLOOKUP(A52,'HRGs to TFCs 2'!A:L,3,FALSE)),0,VLOOKUP(A52,'HRGs to TFCs 2'!A:L,3,FALSE))</f>
        <v>2</v>
      </c>
      <c r="D52" s="46">
        <f>IF(ISERROR(VLOOKUP(A52,'HRGs to TFCs 2'!A:L,4,FALSE)),0,VLOOKUP(A52,'HRGs to TFCs 2'!A:L,4,FALSE))</f>
        <v>0</v>
      </c>
      <c r="E52" s="47">
        <f>IF(ISERROR(VLOOKUP(A52,'HRGs to TFCs 2'!A:L,5,FALSE)),0,VLOOKUP(A52,'HRGs to TFCs 2'!A:L,5,FALSE))</f>
        <v>91</v>
      </c>
      <c r="F52" s="9">
        <f t="shared" si="3"/>
        <v>0</v>
      </c>
      <c r="G52" s="9">
        <f t="shared" si="3"/>
        <v>1.476863820602398E-6</v>
      </c>
      <c r="H52" s="9">
        <f t="shared" si="3"/>
        <v>0</v>
      </c>
      <c r="I52" s="10">
        <f t="shared" si="3"/>
        <v>6.7197303837409104E-5</v>
      </c>
      <c r="J52" s="48">
        <f>IF(ISERROR(VLOOKUP(A52,'HRGs to TFCs 2'!A:L,7,FALSE)),0,VLOOKUP(A52,'HRGs to TFCs 2'!A:L,7,FALSE))</f>
        <v>0</v>
      </c>
      <c r="K52" s="48">
        <f>IF(ISERROR(VLOOKUP(A52,'HRGs to TFCs 2'!A:L,8,FALSE)),0,VLOOKUP(A52,'HRGs to TFCs 2'!A:L,8,FALSE))</f>
        <v>207.69969631803642</v>
      </c>
      <c r="L52" s="48">
        <f>IF(ISERROR(VLOOKUP(A52,'HRGs to TFCs 2'!A:L,9,FALSE)),0,VLOOKUP(A52,'HRGs to TFCs 2'!A:L,9,FALSE))</f>
        <v>0</v>
      </c>
      <c r="M52" s="49">
        <f>IF(ISERROR(VLOOKUP(A52,'HRGs to TFCs 2'!A:L,10,FALSE)),0,VLOOKUP(A52,'HRGs to TFCs 2'!A:L,10,FALSE))</f>
        <v>18980.37787266212</v>
      </c>
      <c r="N52" s="9">
        <f t="shared" si="2"/>
        <v>0</v>
      </c>
      <c r="O52" s="9">
        <f t="shared" si="1"/>
        <v>1.2110330869042088E-6</v>
      </c>
      <c r="P52" s="9">
        <f t="shared" si="1"/>
        <v>0</v>
      </c>
      <c r="Q52" s="10">
        <f t="shared" si="1"/>
        <v>1.1066874922408001E-4</v>
      </c>
    </row>
    <row r="53" spans="1:17">
      <c r="A53" s="45">
        <v>254</v>
      </c>
      <c r="B53" s="46">
        <f>IF(ISERROR(VLOOKUP(A53,'HRGs to TFCs 2'!A:L,2,FALSE)),0,VLOOKUP(A53,'HRGs to TFCs 2'!A:L,2,FALSE))</f>
        <v>0</v>
      </c>
      <c r="C53" s="46">
        <f>IF(ISERROR(VLOOKUP(A53,'HRGs to TFCs 2'!A:L,3,FALSE)),0,VLOOKUP(A53,'HRGs to TFCs 2'!A:L,3,FALSE))</f>
        <v>0</v>
      </c>
      <c r="D53" s="46">
        <f>IF(ISERROR(VLOOKUP(A53,'HRGs to TFCs 2'!A:L,4,FALSE)),0,VLOOKUP(A53,'HRGs to TFCs 2'!A:L,4,FALSE))</f>
        <v>0</v>
      </c>
      <c r="E53" s="47">
        <f>IF(ISERROR(VLOOKUP(A53,'HRGs to TFCs 2'!A:L,5,FALSE)),0,VLOOKUP(A53,'HRGs to TFCs 2'!A:L,5,FALSE))</f>
        <v>0</v>
      </c>
      <c r="F53" s="9">
        <f t="shared" si="3"/>
        <v>0</v>
      </c>
      <c r="G53" s="9">
        <f t="shared" si="3"/>
        <v>0</v>
      </c>
      <c r="H53" s="9">
        <f t="shared" si="3"/>
        <v>0</v>
      </c>
      <c r="I53" s="10">
        <f t="shared" si="3"/>
        <v>0</v>
      </c>
      <c r="J53" s="48">
        <f>IF(ISERROR(VLOOKUP(A53,'HRGs to TFCs 2'!A:L,7,FALSE)),0,VLOOKUP(A53,'HRGs to TFCs 2'!A:L,7,FALSE))</f>
        <v>0</v>
      </c>
      <c r="K53" s="48">
        <f>IF(ISERROR(VLOOKUP(A53,'HRGs to TFCs 2'!A:L,8,FALSE)),0,VLOOKUP(A53,'HRGs to TFCs 2'!A:L,8,FALSE))</f>
        <v>0</v>
      </c>
      <c r="L53" s="48">
        <f>IF(ISERROR(VLOOKUP(A53,'HRGs to TFCs 2'!A:L,9,FALSE)),0,VLOOKUP(A53,'HRGs to TFCs 2'!A:L,9,FALSE))</f>
        <v>0</v>
      </c>
      <c r="M53" s="49">
        <f>IF(ISERROR(VLOOKUP(A53,'HRGs to TFCs 2'!A:L,10,FALSE)),0,VLOOKUP(A53,'HRGs to TFCs 2'!A:L,10,FALSE))</f>
        <v>0</v>
      </c>
      <c r="N53" s="9">
        <f t="shared" si="2"/>
        <v>0</v>
      </c>
      <c r="O53" s="9">
        <f t="shared" si="1"/>
        <v>0</v>
      </c>
      <c r="P53" s="9">
        <f t="shared" si="1"/>
        <v>0</v>
      </c>
      <c r="Q53" s="10">
        <f t="shared" si="1"/>
        <v>0</v>
      </c>
    </row>
    <row r="54" spans="1:17">
      <c r="A54" s="45">
        <v>255</v>
      </c>
      <c r="B54" s="46">
        <f>IF(ISERROR(VLOOKUP(A54,'HRGs to TFCs 2'!A:L,2,FALSE)),0,VLOOKUP(A54,'HRGs to TFCs 2'!A:L,2,FALSE))</f>
        <v>0</v>
      </c>
      <c r="C54" s="46">
        <f>IF(ISERROR(VLOOKUP(A54,'HRGs to TFCs 2'!A:L,3,FALSE)),0,VLOOKUP(A54,'HRGs to TFCs 2'!A:L,3,FALSE))</f>
        <v>24</v>
      </c>
      <c r="D54" s="46">
        <f>IF(ISERROR(VLOOKUP(A54,'HRGs to TFCs 2'!A:L,4,FALSE)),0,VLOOKUP(A54,'HRGs to TFCs 2'!A:L,4,FALSE))</f>
        <v>0</v>
      </c>
      <c r="E54" s="47">
        <f>IF(ISERROR(VLOOKUP(A54,'HRGs to TFCs 2'!A:L,5,FALSE)),0,VLOOKUP(A54,'HRGs to TFCs 2'!A:L,5,FALSE))</f>
        <v>34</v>
      </c>
      <c r="F54" s="9">
        <f t="shared" si="3"/>
        <v>0</v>
      </c>
      <c r="G54" s="9">
        <f t="shared" si="3"/>
        <v>1.7722365847228777E-5</v>
      </c>
      <c r="H54" s="9">
        <f t="shared" si="3"/>
        <v>0</v>
      </c>
      <c r="I54" s="10">
        <f t="shared" si="3"/>
        <v>2.5106684950240765E-5</v>
      </c>
      <c r="J54" s="48">
        <f>IF(ISERROR(VLOOKUP(A54,'HRGs to TFCs 2'!A:L,7,FALSE)),0,VLOOKUP(A54,'HRGs to TFCs 2'!A:L,7,FALSE))</f>
        <v>0</v>
      </c>
      <c r="K54" s="48">
        <f>IF(ISERROR(VLOOKUP(A54,'HRGs to TFCs 2'!A:L,8,FALSE)),0,VLOOKUP(A54,'HRGs to TFCs 2'!A:L,8,FALSE))</f>
        <v>4655.8408912109016</v>
      </c>
      <c r="L54" s="48">
        <f>IF(ISERROR(VLOOKUP(A54,'HRGs to TFCs 2'!A:L,9,FALSE)),0,VLOOKUP(A54,'HRGs to TFCs 2'!A:L,9,FALSE))</f>
        <v>0</v>
      </c>
      <c r="M54" s="49">
        <f>IF(ISERROR(VLOOKUP(A54,'HRGs to TFCs 2'!A:L,10,FALSE)),0,VLOOKUP(A54,'HRGs to TFCs 2'!A:L,10,FALSE))</f>
        <v>6767.1998372952185</v>
      </c>
      <c r="N54" s="9">
        <f t="shared" si="2"/>
        <v>0</v>
      </c>
      <c r="O54" s="9">
        <f t="shared" si="1"/>
        <v>2.7146777133387411E-5</v>
      </c>
      <c r="P54" s="9">
        <f t="shared" si="1"/>
        <v>0</v>
      </c>
      <c r="Q54" s="10">
        <f t="shared" si="1"/>
        <v>3.9457462162623376E-5</v>
      </c>
    </row>
    <row r="55" spans="1:17">
      <c r="A55" s="45">
        <v>256</v>
      </c>
      <c r="B55" s="46">
        <f>IF(ISERROR(VLOOKUP(A55,'HRGs to TFCs 2'!A:L,2,FALSE)),0,VLOOKUP(A55,'HRGs to TFCs 2'!A:L,2,FALSE))</f>
        <v>0</v>
      </c>
      <c r="C55" s="46">
        <f>IF(ISERROR(VLOOKUP(A55,'HRGs to TFCs 2'!A:L,3,FALSE)),0,VLOOKUP(A55,'HRGs to TFCs 2'!A:L,3,FALSE))</f>
        <v>0</v>
      </c>
      <c r="D55" s="46">
        <f>IF(ISERROR(VLOOKUP(A55,'HRGs to TFCs 2'!A:L,4,FALSE)),0,VLOOKUP(A55,'HRGs to TFCs 2'!A:L,4,FALSE))</f>
        <v>0</v>
      </c>
      <c r="E55" s="47">
        <f>IF(ISERROR(VLOOKUP(A55,'HRGs to TFCs 2'!A:L,5,FALSE)),0,VLOOKUP(A55,'HRGs to TFCs 2'!A:L,5,FALSE))</f>
        <v>0</v>
      </c>
      <c r="F55" s="9">
        <f t="shared" si="3"/>
        <v>0</v>
      </c>
      <c r="G55" s="9">
        <f t="shared" si="3"/>
        <v>0</v>
      </c>
      <c r="H55" s="9">
        <f t="shared" si="3"/>
        <v>0</v>
      </c>
      <c r="I55" s="10">
        <f t="shared" si="3"/>
        <v>0</v>
      </c>
      <c r="J55" s="48">
        <f>IF(ISERROR(VLOOKUP(A55,'HRGs to TFCs 2'!A:L,7,FALSE)),0,VLOOKUP(A55,'HRGs to TFCs 2'!A:L,7,FALSE))</f>
        <v>0</v>
      </c>
      <c r="K55" s="48">
        <f>IF(ISERROR(VLOOKUP(A55,'HRGs to TFCs 2'!A:L,8,FALSE)),0,VLOOKUP(A55,'HRGs to TFCs 2'!A:L,8,FALSE))</f>
        <v>0</v>
      </c>
      <c r="L55" s="48">
        <f>IF(ISERROR(VLOOKUP(A55,'HRGs to TFCs 2'!A:L,9,FALSE)),0,VLOOKUP(A55,'HRGs to TFCs 2'!A:L,9,FALSE))</f>
        <v>0</v>
      </c>
      <c r="M55" s="49">
        <f>IF(ISERROR(VLOOKUP(A55,'HRGs to TFCs 2'!A:L,10,FALSE)),0,VLOOKUP(A55,'HRGs to TFCs 2'!A:L,10,FALSE))</f>
        <v>0</v>
      </c>
      <c r="N55" s="9">
        <f t="shared" si="2"/>
        <v>0</v>
      </c>
      <c r="O55" s="9">
        <f t="shared" si="1"/>
        <v>0</v>
      </c>
      <c r="P55" s="9">
        <f t="shared" si="1"/>
        <v>0</v>
      </c>
      <c r="Q55" s="10">
        <f t="shared" si="1"/>
        <v>0</v>
      </c>
    </row>
    <row r="56" spans="1:17">
      <c r="A56" s="45">
        <v>257</v>
      </c>
      <c r="B56" s="46">
        <f>IF(ISERROR(VLOOKUP(A56,'HRGs to TFCs 2'!A:L,2,FALSE)),0,VLOOKUP(A56,'HRGs to TFCs 2'!A:L,2,FALSE))</f>
        <v>0</v>
      </c>
      <c r="C56" s="46">
        <f>IF(ISERROR(VLOOKUP(A56,'HRGs to TFCs 2'!A:L,3,FALSE)),0,VLOOKUP(A56,'HRGs to TFCs 2'!A:L,3,FALSE))</f>
        <v>76</v>
      </c>
      <c r="D56" s="46">
        <f>IF(ISERROR(VLOOKUP(A56,'HRGs to TFCs 2'!A:L,4,FALSE)),0,VLOOKUP(A56,'HRGs to TFCs 2'!A:L,4,FALSE))</f>
        <v>0</v>
      </c>
      <c r="E56" s="47">
        <f>IF(ISERROR(VLOOKUP(A56,'HRGs to TFCs 2'!A:L,5,FALSE)),0,VLOOKUP(A56,'HRGs to TFCs 2'!A:L,5,FALSE))</f>
        <v>464</v>
      </c>
      <c r="F56" s="9">
        <f t="shared" si="3"/>
        <v>0</v>
      </c>
      <c r="G56" s="9">
        <f t="shared" si="3"/>
        <v>5.6120825182891125E-5</v>
      </c>
      <c r="H56" s="9">
        <f t="shared" si="3"/>
        <v>0</v>
      </c>
      <c r="I56" s="10">
        <f t="shared" si="3"/>
        <v>3.4263240637975634E-4</v>
      </c>
      <c r="J56" s="48">
        <f>IF(ISERROR(VLOOKUP(A56,'HRGs to TFCs 2'!A:L,7,FALSE)),0,VLOOKUP(A56,'HRGs to TFCs 2'!A:L,7,FALSE))</f>
        <v>0</v>
      </c>
      <c r="K56" s="48">
        <f>IF(ISERROR(VLOOKUP(A56,'HRGs to TFCs 2'!A:L,8,FALSE)),0,VLOOKUP(A56,'HRGs to TFCs 2'!A:L,8,FALSE))</f>
        <v>7762.0081336296171</v>
      </c>
      <c r="L56" s="48">
        <f>IF(ISERROR(VLOOKUP(A56,'HRGs to TFCs 2'!A:L,9,FALSE)),0,VLOOKUP(A56,'HRGs to TFCs 2'!A:L,9,FALSE))</f>
        <v>0</v>
      </c>
      <c r="M56" s="49">
        <f>IF(ISERROR(VLOOKUP(A56,'HRGs to TFCs 2'!A:L,10,FALSE)),0,VLOOKUP(A56,'HRGs to TFCs 2'!A:L,10,FALSE))</f>
        <v>50701.325107973964</v>
      </c>
      <c r="N56" s="9">
        <f t="shared" si="2"/>
        <v>0</v>
      </c>
      <c r="O56" s="9">
        <f t="shared" si="1"/>
        <v>4.5257883556321603E-5</v>
      </c>
      <c r="P56" s="9">
        <f t="shared" si="1"/>
        <v>0</v>
      </c>
      <c r="Q56" s="10">
        <f t="shared" si="1"/>
        <v>2.9562384223048849E-4</v>
      </c>
    </row>
    <row r="57" spans="1:17">
      <c r="A57" s="45">
        <v>258</v>
      </c>
      <c r="B57" s="46">
        <f>IF(ISERROR(VLOOKUP(A57,'HRGs to TFCs 2'!A:L,2,FALSE)),0,VLOOKUP(A57,'HRGs to TFCs 2'!A:L,2,FALSE))</f>
        <v>0</v>
      </c>
      <c r="C57" s="46">
        <f>IF(ISERROR(VLOOKUP(A57,'HRGs to TFCs 2'!A:L,3,FALSE)),0,VLOOKUP(A57,'HRGs to TFCs 2'!A:L,3,FALSE))</f>
        <v>515</v>
      </c>
      <c r="D57" s="46">
        <f>IF(ISERROR(VLOOKUP(A57,'HRGs to TFCs 2'!A:L,4,FALSE)),0,VLOOKUP(A57,'HRGs to TFCs 2'!A:L,4,FALSE))</f>
        <v>0</v>
      </c>
      <c r="E57" s="47">
        <f>IF(ISERROR(VLOOKUP(A57,'HRGs to TFCs 2'!A:L,5,FALSE)),0,VLOOKUP(A57,'HRGs to TFCs 2'!A:L,5,FALSE))</f>
        <v>2593</v>
      </c>
      <c r="F57" s="9">
        <f t="shared" si="3"/>
        <v>0</v>
      </c>
      <c r="G57" s="9">
        <f t="shared" si="3"/>
        <v>3.8029243380511749E-4</v>
      </c>
      <c r="H57" s="9">
        <f t="shared" si="3"/>
        <v>0</v>
      </c>
      <c r="I57" s="10">
        <f t="shared" si="3"/>
        <v>1.914753943411009E-3</v>
      </c>
      <c r="J57" s="48">
        <f>IF(ISERROR(VLOOKUP(A57,'HRGs to TFCs 2'!A:L,7,FALSE)),0,VLOOKUP(A57,'HRGs to TFCs 2'!A:L,7,FALSE))</f>
        <v>0</v>
      </c>
      <c r="K57" s="48">
        <f>IF(ISERROR(VLOOKUP(A57,'HRGs to TFCs 2'!A:L,8,FALSE)),0,VLOOKUP(A57,'HRGs to TFCs 2'!A:L,8,FALSE))</f>
        <v>68318.097468272361</v>
      </c>
      <c r="L57" s="48">
        <f>IF(ISERROR(VLOOKUP(A57,'HRGs to TFCs 2'!A:L,9,FALSE)),0,VLOOKUP(A57,'HRGs to TFCs 2'!A:L,9,FALSE))</f>
        <v>0</v>
      </c>
      <c r="M57" s="49">
        <f>IF(ISERROR(VLOOKUP(A57,'HRGs to TFCs 2'!A:L,10,FALSE)),0,VLOOKUP(A57,'HRGs to TFCs 2'!A:L,10,FALSE))</f>
        <v>341995.94633830385</v>
      </c>
      <c r="N57" s="9">
        <f t="shared" si="2"/>
        <v>0</v>
      </c>
      <c r="O57" s="9">
        <f t="shared" si="1"/>
        <v>3.9834182685436994E-4</v>
      </c>
      <c r="P57" s="9">
        <f t="shared" si="1"/>
        <v>0</v>
      </c>
      <c r="Q57" s="10">
        <f t="shared" si="1"/>
        <v>1.9940732410538256E-3</v>
      </c>
    </row>
    <row r="58" spans="1:17">
      <c r="A58" s="45">
        <v>259</v>
      </c>
      <c r="B58" s="46">
        <f>IF(ISERROR(VLOOKUP(A58,'HRGs to TFCs 2'!A:L,2,FALSE)),0,VLOOKUP(A58,'HRGs to TFCs 2'!A:L,2,FALSE))</f>
        <v>0</v>
      </c>
      <c r="C58" s="46">
        <f>IF(ISERROR(VLOOKUP(A58,'HRGs to TFCs 2'!A:L,3,FALSE)),0,VLOOKUP(A58,'HRGs to TFCs 2'!A:L,3,FALSE))</f>
        <v>21</v>
      </c>
      <c r="D58" s="46">
        <f>IF(ISERROR(VLOOKUP(A58,'HRGs to TFCs 2'!A:L,4,FALSE)),0,VLOOKUP(A58,'HRGs to TFCs 2'!A:L,4,FALSE))</f>
        <v>0</v>
      </c>
      <c r="E58" s="47">
        <f>IF(ISERROR(VLOOKUP(A58,'HRGs to TFCs 2'!A:L,5,FALSE)),0,VLOOKUP(A58,'HRGs to TFCs 2'!A:L,5,FALSE))</f>
        <v>138</v>
      </c>
      <c r="F58" s="9">
        <f t="shared" si="3"/>
        <v>0</v>
      </c>
      <c r="G58" s="9">
        <f t="shared" si="3"/>
        <v>1.550707011632518E-5</v>
      </c>
      <c r="H58" s="9">
        <f t="shared" si="3"/>
        <v>0</v>
      </c>
      <c r="I58" s="10">
        <f t="shared" si="3"/>
        <v>1.0190360362156545E-4</v>
      </c>
      <c r="J58" s="48">
        <f>IF(ISERROR(VLOOKUP(A58,'HRGs to TFCs 2'!A:L,7,FALSE)),0,VLOOKUP(A58,'HRGs to TFCs 2'!A:L,7,FALSE))</f>
        <v>0</v>
      </c>
      <c r="K58" s="48">
        <f>IF(ISERROR(VLOOKUP(A58,'HRGs to TFCs 2'!A:L,8,FALSE)),0,VLOOKUP(A58,'HRGs to TFCs 2'!A:L,8,FALSE))</f>
        <v>8951.713706021892</v>
      </c>
      <c r="L58" s="48">
        <f>IF(ISERROR(VLOOKUP(A58,'HRGs to TFCs 2'!A:L,9,FALSE)),0,VLOOKUP(A58,'HRGs to TFCs 2'!A:L,9,FALSE))</f>
        <v>0</v>
      </c>
      <c r="M58" s="49">
        <f>IF(ISERROR(VLOOKUP(A58,'HRGs to TFCs 2'!A:L,10,FALSE)),0,VLOOKUP(A58,'HRGs to TFCs 2'!A:L,10,FALSE))</f>
        <v>62155.995439168051</v>
      </c>
      <c r="N58" s="9">
        <f t="shared" si="2"/>
        <v>0</v>
      </c>
      <c r="O58" s="9">
        <f t="shared" si="1"/>
        <v>5.2194691059569935E-5</v>
      </c>
      <c r="P58" s="9">
        <f t="shared" si="1"/>
        <v>0</v>
      </c>
      <c r="Q58" s="10">
        <f t="shared" si="1"/>
        <v>3.6241250401752747E-4</v>
      </c>
    </row>
    <row r="59" spans="1:17">
      <c r="A59" s="45">
        <v>260</v>
      </c>
      <c r="B59" s="46">
        <f>IF(ISERROR(VLOOKUP(A59,'HRGs to TFCs 2'!A:L,2,FALSE)),0,VLOOKUP(A59,'HRGs to TFCs 2'!A:L,2,FALSE))</f>
        <v>0</v>
      </c>
      <c r="C59" s="46">
        <f>IF(ISERROR(VLOOKUP(A59,'HRGs to TFCs 2'!A:L,3,FALSE)),0,VLOOKUP(A59,'HRGs to TFCs 2'!A:L,3,FALSE))</f>
        <v>1</v>
      </c>
      <c r="D59" s="46">
        <f>IF(ISERROR(VLOOKUP(A59,'HRGs to TFCs 2'!A:L,4,FALSE)),0,VLOOKUP(A59,'HRGs to TFCs 2'!A:L,4,FALSE))</f>
        <v>0</v>
      </c>
      <c r="E59" s="47">
        <f>IF(ISERROR(VLOOKUP(A59,'HRGs to TFCs 2'!A:L,5,FALSE)),0,VLOOKUP(A59,'HRGs to TFCs 2'!A:L,5,FALSE))</f>
        <v>53</v>
      </c>
      <c r="F59" s="9">
        <f t="shared" si="3"/>
        <v>0</v>
      </c>
      <c r="G59" s="9">
        <f t="shared" si="3"/>
        <v>7.3843191030119901E-7</v>
      </c>
      <c r="H59" s="9">
        <f t="shared" si="3"/>
        <v>0</v>
      </c>
      <c r="I59" s="10">
        <f t="shared" si="3"/>
        <v>3.9136891245963545E-5</v>
      </c>
      <c r="J59" s="48">
        <f>IF(ISERROR(VLOOKUP(A59,'HRGs to TFCs 2'!A:L,7,FALSE)),0,VLOOKUP(A59,'HRGs to TFCs 2'!A:L,7,FALSE))</f>
        <v>0</v>
      </c>
      <c r="K59" s="48">
        <f>IF(ISERROR(VLOOKUP(A59,'HRGs to TFCs 2'!A:L,8,FALSE)),0,VLOOKUP(A59,'HRGs to TFCs 2'!A:L,8,FALSE))</f>
        <v>79.981070719854699</v>
      </c>
      <c r="L59" s="48">
        <f>IF(ISERROR(VLOOKUP(A59,'HRGs to TFCs 2'!A:L,9,FALSE)),0,VLOOKUP(A59,'HRGs to TFCs 2'!A:L,9,FALSE))</f>
        <v>0</v>
      </c>
      <c r="M59" s="49">
        <f>IF(ISERROR(VLOOKUP(A59,'HRGs to TFCs 2'!A:L,10,FALSE)),0,VLOOKUP(A59,'HRGs to TFCs 2'!A:L,10,FALSE))</f>
        <v>7636.939911004376</v>
      </c>
      <c r="N59" s="9">
        <f t="shared" si="2"/>
        <v>0</v>
      </c>
      <c r="O59" s="9">
        <f t="shared" si="1"/>
        <v>4.6634503894244871E-7</v>
      </c>
      <c r="P59" s="9">
        <f t="shared" si="1"/>
        <v>0</v>
      </c>
      <c r="Q59" s="10">
        <f t="shared" si="1"/>
        <v>4.4528649193419384E-5</v>
      </c>
    </row>
    <row r="60" spans="1:17">
      <c r="A60" s="45">
        <v>261</v>
      </c>
      <c r="B60" s="46">
        <f>IF(ISERROR(VLOOKUP(A60,'HRGs to TFCs 2'!A:L,2,FALSE)),0,VLOOKUP(A60,'HRGs to TFCs 2'!A:L,2,FALSE))</f>
        <v>0</v>
      </c>
      <c r="C60" s="46">
        <f>IF(ISERROR(VLOOKUP(A60,'HRGs to TFCs 2'!A:L,3,FALSE)),0,VLOOKUP(A60,'HRGs to TFCs 2'!A:L,3,FALSE))</f>
        <v>0</v>
      </c>
      <c r="D60" s="46">
        <f>IF(ISERROR(VLOOKUP(A60,'HRGs to TFCs 2'!A:L,4,FALSE)),0,VLOOKUP(A60,'HRGs to TFCs 2'!A:L,4,FALSE))</f>
        <v>0</v>
      </c>
      <c r="E60" s="47">
        <f>IF(ISERROR(VLOOKUP(A60,'HRGs to TFCs 2'!A:L,5,FALSE)),0,VLOOKUP(A60,'HRGs to TFCs 2'!A:L,5,FALSE))</f>
        <v>0</v>
      </c>
      <c r="F60" s="9">
        <f t="shared" si="3"/>
        <v>0</v>
      </c>
      <c r="G60" s="9">
        <f t="shared" si="3"/>
        <v>0</v>
      </c>
      <c r="H60" s="9">
        <f t="shared" si="3"/>
        <v>0</v>
      </c>
      <c r="I60" s="10">
        <f t="shared" si="3"/>
        <v>0</v>
      </c>
      <c r="J60" s="48">
        <f>IF(ISERROR(VLOOKUP(A60,'HRGs to TFCs 2'!A:L,7,FALSE)),0,VLOOKUP(A60,'HRGs to TFCs 2'!A:L,7,FALSE))</f>
        <v>0</v>
      </c>
      <c r="K60" s="48">
        <f>IF(ISERROR(VLOOKUP(A60,'HRGs to TFCs 2'!A:L,8,FALSE)),0,VLOOKUP(A60,'HRGs to TFCs 2'!A:L,8,FALSE))</f>
        <v>0</v>
      </c>
      <c r="L60" s="48">
        <f>IF(ISERROR(VLOOKUP(A60,'HRGs to TFCs 2'!A:L,9,FALSE)),0,VLOOKUP(A60,'HRGs to TFCs 2'!A:L,9,FALSE))</f>
        <v>0</v>
      </c>
      <c r="M60" s="49">
        <f>IF(ISERROR(VLOOKUP(A60,'HRGs to TFCs 2'!A:L,10,FALSE)),0,VLOOKUP(A60,'HRGs to TFCs 2'!A:L,10,FALSE))</f>
        <v>0</v>
      </c>
      <c r="N60" s="9">
        <f t="shared" si="2"/>
        <v>0</v>
      </c>
      <c r="O60" s="9">
        <f t="shared" si="1"/>
        <v>0</v>
      </c>
      <c r="P60" s="9">
        <f t="shared" si="1"/>
        <v>0</v>
      </c>
      <c r="Q60" s="10">
        <f t="shared" si="1"/>
        <v>0</v>
      </c>
    </row>
    <row r="61" spans="1:17">
      <c r="A61" s="45">
        <v>262</v>
      </c>
      <c r="B61" s="46">
        <f>IF(ISERROR(VLOOKUP(A61,'HRGs to TFCs 2'!A:L,2,FALSE)),0,VLOOKUP(A61,'HRGs to TFCs 2'!A:L,2,FALSE))</f>
        <v>0</v>
      </c>
      <c r="C61" s="46">
        <f>IF(ISERROR(VLOOKUP(A61,'HRGs to TFCs 2'!A:L,3,FALSE)),0,VLOOKUP(A61,'HRGs to TFCs 2'!A:L,3,FALSE))</f>
        <v>173</v>
      </c>
      <c r="D61" s="46">
        <f>IF(ISERROR(VLOOKUP(A61,'HRGs to TFCs 2'!A:L,4,FALSE)),0,VLOOKUP(A61,'HRGs to TFCs 2'!A:L,4,FALSE))</f>
        <v>0</v>
      </c>
      <c r="E61" s="47">
        <f>IF(ISERROR(VLOOKUP(A61,'HRGs to TFCs 2'!A:L,5,FALSE)),0,VLOOKUP(A61,'HRGs to TFCs 2'!A:L,5,FALSE))</f>
        <v>592</v>
      </c>
      <c r="F61" s="9">
        <f t="shared" si="3"/>
        <v>0</v>
      </c>
      <c r="G61" s="9">
        <f t="shared" si="3"/>
        <v>1.2774872048210742E-4</v>
      </c>
      <c r="H61" s="9">
        <f t="shared" si="3"/>
        <v>0</v>
      </c>
      <c r="I61" s="10">
        <f t="shared" si="3"/>
        <v>4.371516908983098E-4</v>
      </c>
      <c r="J61" s="48">
        <f>IF(ISERROR(VLOOKUP(A61,'HRGs to TFCs 2'!A:L,7,FALSE)),0,VLOOKUP(A61,'HRGs to TFCs 2'!A:L,7,FALSE))</f>
        <v>0</v>
      </c>
      <c r="K61" s="48">
        <f>IF(ISERROR(VLOOKUP(A61,'HRGs to TFCs 2'!A:L,8,FALSE)),0,VLOOKUP(A61,'HRGs to TFCs 2'!A:L,8,FALSE))</f>
        <v>63228.988026123741</v>
      </c>
      <c r="L61" s="48">
        <f>IF(ISERROR(VLOOKUP(A61,'HRGs to TFCs 2'!A:L,9,FALSE)),0,VLOOKUP(A61,'HRGs to TFCs 2'!A:L,9,FALSE))</f>
        <v>0</v>
      </c>
      <c r="M61" s="49">
        <f>IF(ISERROR(VLOOKUP(A61,'HRGs to TFCs 2'!A:L,10,FALSE)),0,VLOOKUP(A61,'HRGs to TFCs 2'!A:L,10,FALSE))</f>
        <v>192222.07895870967</v>
      </c>
      <c r="N61" s="9">
        <f t="shared" si="2"/>
        <v>0</v>
      </c>
      <c r="O61" s="9">
        <f t="shared" si="1"/>
        <v>3.6866879397770417E-4</v>
      </c>
      <c r="P61" s="9">
        <f t="shared" si="1"/>
        <v>0</v>
      </c>
      <c r="Q61" s="10">
        <f t="shared" si="1"/>
        <v>1.1207878575617144E-3</v>
      </c>
    </row>
    <row r="62" spans="1:17">
      <c r="A62" s="45">
        <v>291</v>
      </c>
      <c r="B62" s="46">
        <f>IF(ISERROR(VLOOKUP(A62,'HRGs to TFCs 2'!A:L,2,FALSE)),0,VLOOKUP(A62,'HRGs to TFCs 2'!A:L,2,FALSE))</f>
        <v>0</v>
      </c>
      <c r="C62" s="46">
        <f>IF(ISERROR(VLOOKUP(A62,'HRGs to TFCs 2'!A:L,3,FALSE)),0,VLOOKUP(A62,'HRGs to TFCs 2'!A:L,3,FALSE))</f>
        <v>0</v>
      </c>
      <c r="D62" s="46">
        <f>IF(ISERROR(VLOOKUP(A62,'HRGs to TFCs 2'!A:L,4,FALSE)),0,VLOOKUP(A62,'HRGs to TFCs 2'!A:L,4,FALSE))</f>
        <v>0</v>
      </c>
      <c r="E62" s="47">
        <f>IF(ISERROR(VLOOKUP(A62,'HRGs to TFCs 2'!A:L,5,FALSE)),0,VLOOKUP(A62,'HRGs to TFCs 2'!A:L,5,FALSE))</f>
        <v>0</v>
      </c>
      <c r="F62" s="9">
        <f t="shared" si="3"/>
        <v>0</v>
      </c>
      <c r="G62" s="9">
        <f t="shared" si="3"/>
        <v>0</v>
      </c>
      <c r="H62" s="9">
        <f t="shared" si="3"/>
        <v>0</v>
      </c>
      <c r="I62" s="10">
        <f t="shared" si="3"/>
        <v>0</v>
      </c>
      <c r="J62" s="48">
        <f>IF(ISERROR(VLOOKUP(A62,'HRGs to TFCs 2'!A:L,7,FALSE)),0,VLOOKUP(A62,'HRGs to TFCs 2'!A:L,7,FALSE))</f>
        <v>0</v>
      </c>
      <c r="K62" s="48">
        <f>IF(ISERROR(VLOOKUP(A62,'HRGs to TFCs 2'!A:L,8,FALSE)),0,VLOOKUP(A62,'HRGs to TFCs 2'!A:L,8,FALSE))</f>
        <v>0</v>
      </c>
      <c r="L62" s="48">
        <f>IF(ISERROR(VLOOKUP(A62,'HRGs to TFCs 2'!A:L,9,FALSE)),0,VLOOKUP(A62,'HRGs to TFCs 2'!A:L,9,FALSE))</f>
        <v>0</v>
      </c>
      <c r="M62" s="49">
        <f>IF(ISERROR(VLOOKUP(A62,'HRGs to TFCs 2'!A:L,10,FALSE)),0,VLOOKUP(A62,'HRGs to TFCs 2'!A:L,10,FALSE))</f>
        <v>0</v>
      </c>
      <c r="N62" s="9">
        <f t="shared" si="2"/>
        <v>0</v>
      </c>
      <c r="O62" s="9">
        <f t="shared" si="1"/>
        <v>0</v>
      </c>
      <c r="P62" s="9">
        <f t="shared" si="1"/>
        <v>0</v>
      </c>
      <c r="Q62" s="10">
        <f t="shared" si="1"/>
        <v>0</v>
      </c>
    </row>
    <row r="63" spans="1:17">
      <c r="A63" s="45">
        <v>300</v>
      </c>
      <c r="B63" s="46">
        <f>IF(ISERROR(VLOOKUP(A63,'HRGs to TFCs 2'!A:L,2,FALSE)),0,VLOOKUP(A63,'HRGs to TFCs 2'!A:L,2,FALSE))</f>
        <v>0</v>
      </c>
      <c r="C63" s="46">
        <f>IF(ISERROR(VLOOKUP(A63,'HRGs to TFCs 2'!A:L,3,FALSE)),0,VLOOKUP(A63,'HRGs to TFCs 2'!A:L,3,FALSE))</f>
        <v>6913</v>
      </c>
      <c r="D63" s="46">
        <f>IF(ISERROR(VLOOKUP(A63,'HRGs to TFCs 2'!A:L,4,FALSE)),0,VLOOKUP(A63,'HRGs to TFCs 2'!A:L,4,FALSE))</f>
        <v>0</v>
      </c>
      <c r="E63" s="47">
        <f>IF(ISERROR(VLOOKUP(A63,'HRGs to TFCs 2'!A:L,5,FALSE)),0,VLOOKUP(A63,'HRGs to TFCs 2'!A:L,5,FALSE))</f>
        <v>12722</v>
      </c>
      <c r="F63" s="9">
        <f t="shared" si="3"/>
        <v>0</v>
      </c>
      <c r="G63" s="9">
        <f t="shared" si="3"/>
        <v>5.1047797959121888E-3</v>
      </c>
      <c r="H63" s="9">
        <f t="shared" si="3"/>
        <v>0</v>
      </c>
      <c r="I63" s="10">
        <f t="shared" si="3"/>
        <v>9.3943307628518539E-3</v>
      </c>
      <c r="J63" s="48">
        <f>IF(ISERROR(VLOOKUP(A63,'HRGs to TFCs 2'!A:L,7,FALSE)),0,VLOOKUP(A63,'HRGs to TFCs 2'!A:L,7,FALSE))</f>
        <v>0</v>
      </c>
      <c r="K63" s="48">
        <f>IF(ISERROR(VLOOKUP(A63,'HRGs to TFCs 2'!A:L,8,FALSE)),0,VLOOKUP(A63,'HRGs to TFCs 2'!A:L,8,FALSE))</f>
        <v>1131573.2590646972</v>
      </c>
      <c r="L63" s="48">
        <f>IF(ISERROR(VLOOKUP(A63,'HRGs to TFCs 2'!A:L,9,FALSE)),0,VLOOKUP(A63,'HRGs to TFCs 2'!A:L,9,FALSE))</f>
        <v>0</v>
      </c>
      <c r="M63" s="49">
        <f>IF(ISERROR(VLOOKUP(A63,'HRGs to TFCs 2'!A:L,10,FALSE)),0,VLOOKUP(A63,'HRGs to TFCs 2'!A:L,10,FALSE))</f>
        <v>1877016.9242704292</v>
      </c>
      <c r="N63" s="9">
        <f t="shared" si="2"/>
        <v>0</v>
      </c>
      <c r="O63" s="9">
        <f t="shared" si="1"/>
        <v>6.5978558528319549E-3</v>
      </c>
      <c r="P63" s="9">
        <f t="shared" si="1"/>
        <v>0</v>
      </c>
      <c r="Q63" s="10">
        <f t="shared" si="1"/>
        <v>1.0944308731631328E-2</v>
      </c>
    </row>
    <row r="64" spans="1:17">
      <c r="A64" s="45">
        <v>301</v>
      </c>
      <c r="B64" s="46">
        <f>IF(ISERROR(VLOOKUP(A64,'HRGs to TFCs 2'!A:L,2,FALSE)),0,VLOOKUP(A64,'HRGs to TFCs 2'!A:L,2,FALSE))</f>
        <v>0</v>
      </c>
      <c r="C64" s="46">
        <f>IF(ISERROR(VLOOKUP(A64,'HRGs to TFCs 2'!A:L,3,FALSE)),0,VLOOKUP(A64,'HRGs to TFCs 2'!A:L,3,FALSE))</f>
        <v>1443</v>
      </c>
      <c r="D64" s="46">
        <f>IF(ISERROR(VLOOKUP(A64,'HRGs to TFCs 2'!A:L,4,FALSE)),0,VLOOKUP(A64,'HRGs to TFCs 2'!A:L,4,FALSE))</f>
        <v>0</v>
      </c>
      <c r="E64" s="47">
        <f>IF(ISERROR(VLOOKUP(A64,'HRGs to TFCs 2'!A:L,5,FALSE)),0,VLOOKUP(A64,'HRGs to TFCs 2'!A:L,5,FALSE))</f>
        <v>1688</v>
      </c>
      <c r="F64" s="9">
        <f t="shared" si="3"/>
        <v>0</v>
      </c>
      <c r="G64" s="9">
        <f t="shared" si="3"/>
        <v>1.0655572465646302E-3</v>
      </c>
      <c r="H64" s="9">
        <f t="shared" si="3"/>
        <v>0</v>
      </c>
      <c r="I64" s="10">
        <f t="shared" si="3"/>
        <v>1.2464730645884239E-3</v>
      </c>
      <c r="J64" s="48">
        <f>IF(ISERROR(VLOOKUP(A64,'HRGs to TFCs 2'!A:L,7,FALSE)),0,VLOOKUP(A64,'HRGs to TFCs 2'!A:L,7,FALSE))</f>
        <v>0</v>
      </c>
      <c r="K64" s="48">
        <f>IF(ISERROR(VLOOKUP(A64,'HRGs to TFCs 2'!A:L,8,FALSE)),0,VLOOKUP(A64,'HRGs to TFCs 2'!A:L,8,FALSE))</f>
        <v>467753.73294159153</v>
      </c>
      <c r="L64" s="48">
        <f>IF(ISERROR(VLOOKUP(A64,'HRGs to TFCs 2'!A:L,9,FALSE)),0,VLOOKUP(A64,'HRGs to TFCs 2'!A:L,9,FALSE))</f>
        <v>0</v>
      </c>
      <c r="M64" s="49">
        <f>IF(ISERROR(VLOOKUP(A64,'HRGs to TFCs 2'!A:L,10,FALSE)),0,VLOOKUP(A64,'HRGs to TFCs 2'!A:L,10,FALSE))</f>
        <v>384757.19906083669</v>
      </c>
      <c r="N64" s="9">
        <f t="shared" si="2"/>
        <v>0</v>
      </c>
      <c r="O64" s="9">
        <f t="shared" si="1"/>
        <v>2.7273282395552123E-3</v>
      </c>
      <c r="P64" s="9">
        <f t="shared" si="1"/>
        <v>0</v>
      </c>
      <c r="Q64" s="10">
        <f t="shared" si="1"/>
        <v>2.2434009618087212E-3</v>
      </c>
    </row>
    <row r="65" spans="1:17">
      <c r="A65" s="45">
        <v>302</v>
      </c>
      <c r="B65" s="46">
        <f>IF(ISERROR(VLOOKUP(A65,'HRGs to TFCs 2'!A:L,2,FALSE)),0,VLOOKUP(A65,'HRGs to TFCs 2'!A:L,2,FALSE))</f>
        <v>0</v>
      </c>
      <c r="C65" s="46">
        <f>IF(ISERROR(VLOOKUP(A65,'HRGs to TFCs 2'!A:L,3,FALSE)),0,VLOOKUP(A65,'HRGs to TFCs 2'!A:L,3,FALSE))</f>
        <v>153</v>
      </c>
      <c r="D65" s="46">
        <f>IF(ISERROR(VLOOKUP(A65,'HRGs to TFCs 2'!A:L,4,FALSE)),0,VLOOKUP(A65,'HRGs to TFCs 2'!A:L,4,FALSE))</f>
        <v>0</v>
      </c>
      <c r="E65" s="47">
        <f>IF(ISERROR(VLOOKUP(A65,'HRGs to TFCs 2'!A:L,5,FALSE)),0,VLOOKUP(A65,'HRGs to TFCs 2'!A:L,5,FALSE))</f>
        <v>299</v>
      </c>
      <c r="F65" s="9">
        <f t="shared" si="3"/>
        <v>0</v>
      </c>
      <c r="G65" s="9">
        <f t="shared" si="3"/>
        <v>1.1298008227608344E-4</v>
      </c>
      <c r="H65" s="9">
        <f t="shared" si="3"/>
        <v>0</v>
      </c>
      <c r="I65" s="10">
        <f t="shared" si="3"/>
        <v>2.207911411800585E-4</v>
      </c>
      <c r="J65" s="48">
        <f>IF(ISERROR(VLOOKUP(A65,'HRGs to TFCs 2'!A:L,7,FALSE)),0,VLOOKUP(A65,'HRGs to TFCs 2'!A:L,7,FALSE))</f>
        <v>0</v>
      </c>
      <c r="K65" s="48">
        <f>IF(ISERROR(VLOOKUP(A65,'HRGs to TFCs 2'!A:L,8,FALSE)),0,VLOOKUP(A65,'HRGs to TFCs 2'!A:L,8,FALSE))</f>
        <v>41931.817609477017</v>
      </c>
      <c r="L65" s="48">
        <f>IF(ISERROR(VLOOKUP(A65,'HRGs to TFCs 2'!A:L,9,FALSE)),0,VLOOKUP(A65,'HRGs to TFCs 2'!A:L,9,FALSE))</f>
        <v>0</v>
      </c>
      <c r="M65" s="49">
        <f>IF(ISERROR(VLOOKUP(A65,'HRGs to TFCs 2'!A:L,10,FALSE)),0,VLOOKUP(A65,'HRGs to TFCs 2'!A:L,10,FALSE))</f>
        <v>85757.23773689958</v>
      </c>
      <c r="N65" s="9">
        <f t="shared" si="2"/>
        <v>0</v>
      </c>
      <c r="O65" s="9">
        <f t="shared" si="1"/>
        <v>2.4449153956080896E-4</v>
      </c>
      <c r="P65" s="9">
        <f t="shared" si="1"/>
        <v>0</v>
      </c>
      <c r="Q65" s="10">
        <f t="shared" si="1"/>
        <v>5.0002409335192153E-4</v>
      </c>
    </row>
    <row r="66" spans="1:17">
      <c r="A66" s="45">
        <v>303</v>
      </c>
      <c r="B66" s="46">
        <f>IF(ISERROR(VLOOKUP(A66,'HRGs to TFCs 2'!A:L,2,FALSE)),0,VLOOKUP(A66,'HRGs to TFCs 2'!A:L,2,FALSE))</f>
        <v>0</v>
      </c>
      <c r="C66" s="46">
        <f>IF(ISERROR(VLOOKUP(A66,'HRGs to TFCs 2'!A:L,3,FALSE)),0,VLOOKUP(A66,'HRGs to TFCs 2'!A:L,3,FALSE))</f>
        <v>624</v>
      </c>
      <c r="D66" s="46">
        <f>IF(ISERROR(VLOOKUP(A66,'HRGs to TFCs 2'!A:L,4,FALSE)),0,VLOOKUP(A66,'HRGs to TFCs 2'!A:L,4,FALSE))</f>
        <v>0</v>
      </c>
      <c r="E66" s="47">
        <f>IF(ISERROR(VLOOKUP(A66,'HRGs to TFCs 2'!A:L,5,FALSE)),0,VLOOKUP(A66,'HRGs to TFCs 2'!A:L,5,FALSE))</f>
        <v>5615</v>
      </c>
      <c r="F66" s="9">
        <f t="shared" si="3"/>
        <v>0</v>
      </c>
      <c r="G66" s="9">
        <f t="shared" si="3"/>
        <v>4.6078151202794815E-4</v>
      </c>
      <c r="H66" s="9">
        <f t="shared" si="3"/>
        <v>0</v>
      </c>
      <c r="I66" s="10">
        <f t="shared" si="3"/>
        <v>4.1462951763412319E-3</v>
      </c>
      <c r="J66" s="48">
        <f>IF(ISERROR(VLOOKUP(A66,'HRGs to TFCs 2'!A:L,7,FALSE)),0,VLOOKUP(A66,'HRGs to TFCs 2'!A:L,7,FALSE))</f>
        <v>0</v>
      </c>
      <c r="K66" s="48">
        <f>IF(ISERROR(VLOOKUP(A66,'HRGs to TFCs 2'!A:L,8,FALSE)),0,VLOOKUP(A66,'HRGs to TFCs 2'!A:L,8,FALSE))</f>
        <v>136375.28542538319</v>
      </c>
      <c r="L66" s="48">
        <f>IF(ISERROR(VLOOKUP(A66,'HRGs to TFCs 2'!A:L,9,FALSE)),0,VLOOKUP(A66,'HRGs to TFCs 2'!A:L,9,FALSE))</f>
        <v>0</v>
      </c>
      <c r="M66" s="49">
        <f>IF(ISERROR(VLOOKUP(A66,'HRGs to TFCs 2'!A:L,10,FALSE)),0,VLOOKUP(A66,'HRGs to TFCs 2'!A:L,10,FALSE))</f>
        <v>1146220.9610824818</v>
      </c>
      <c r="N66" s="9">
        <f t="shared" si="2"/>
        <v>0</v>
      </c>
      <c r="O66" s="9">
        <f t="shared" si="1"/>
        <v>7.951623705470121E-4</v>
      </c>
      <c r="P66" s="9">
        <f t="shared" si="1"/>
        <v>0</v>
      </c>
      <c r="Q66" s="10">
        <f t="shared" si="1"/>
        <v>6.6832621009156705E-3</v>
      </c>
    </row>
    <row r="67" spans="1:17">
      <c r="A67" s="45">
        <v>304</v>
      </c>
      <c r="B67" s="46">
        <f>IF(ISERROR(VLOOKUP(A67,'HRGs to TFCs 2'!A:L,2,FALSE)),0,VLOOKUP(A67,'HRGs to TFCs 2'!A:L,2,FALSE))</f>
        <v>0</v>
      </c>
      <c r="C67" s="46">
        <f>IF(ISERROR(VLOOKUP(A67,'HRGs to TFCs 2'!A:L,3,FALSE)),0,VLOOKUP(A67,'HRGs to TFCs 2'!A:L,3,FALSE))</f>
        <v>2185</v>
      </c>
      <c r="D67" s="46">
        <f>IF(ISERROR(VLOOKUP(A67,'HRGs to TFCs 2'!A:L,4,FALSE)),0,VLOOKUP(A67,'HRGs to TFCs 2'!A:L,4,FALSE))</f>
        <v>0</v>
      </c>
      <c r="E67" s="47">
        <f>IF(ISERROR(VLOOKUP(A67,'HRGs to TFCs 2'!A:L,5,FALSE)),0,VLOOKUP(A67,'HRGs to TFCs 2'!A:L,5,FALSE))</f>
        <v>1471</v>
      </c>
      <c r="F67" s="9">
        <f t="shared" si="3"/>
        <v>0</v>
      </c>
      <c r="G67" s="9">
        <f t="shared" si="3"/>
        <v>1.6134737240081198E-3</v>
      </c>
      <c r="H67" s="9">
        <f t="shared" si="3"/>
        <v>0</v>
      </c>
      <c r="I67" s="10">
        <f t="shared" si="3"/>
        <v>1.0862333400530636E-3</v>
      </c>
      <c r="J67" s="48">
        <f>IF(ISERROR(VLOOKUP(A67,'HRGs to TFCs 2'!A:L,7,FALSE)),0,VLOOKUP(A67,'HRGs to TFCs 2'!A:L,7,FALSE))</f>
        <v>0</v>
      </c>
      <c r="K67" s="48">
        <f>IF(ISERROR(VLOOKUP(A67,'HRGs to TFCs 2'!A:L,8,FALSE)),0,VLOOKUP(A67,'HRGs to TFCs 2'!A:L,8,FALSE))</f>
        <v>373139.38644823094</v>
      </c>
      <c r="L67" s="48">
        <f>IF(ISERROR(VLOOKUP(A67,'HRGs to TFCs 2'!A:L,9,FALSE)),0,VLOOKUP(A67,'HRGs to TFCs 2'!A:L,9,FALSE))</f>
        <v>0</v>
      </c>
      <c r="M67" s="49">
        <f>IF(ISERROR(VLOOKUP(A67,'HRGs to TFCs 2'!A:L,10,FALSE)),0,VLOOKUP(A67,'HRGs to TFCs 2'!A:L,10,FALSE))</f>
        <v>225276.1265723808</v>
      </c>
      <c r="N67" s="9">
        <f t="shared" si="2"/>
        <v>0</v>
      </c>
      <c r="O67" s="9">
        <f t="shared" si="1"/>
        <v>2.1756610675251259E-3</v>
      </c>
      <c r="P67" s="9">
        <f t="shared" si="1"/>
        <v>0</v>
      </c>
      <c r="Q67" s="10">
        <f t="shared" si="1"/>
        <v>1.3135158491085499E-3</v>
      </c>
    </row>
    <row r="68" spans="1:17">
      <c r="A68" s="45">
        <v>305</v>
      </c>
      <c r="B68" s="46">
        <f>IF(ISERROR(VLOOKUP(A68,'HRGs to TFCs 2'!A:L,2,FALSE)),0,VLOOKUP(A68,'HRGs to TFCs 2'!A:L,2,FALSE))</f>
        <v>0</v>
      </c>
      <c r="C68" s="46">
        <f>IF(ISERROR(VLOOKUP(A68,'HRGs to TFCs 2'!A:L,3,FALSE)),0,VLOOKUP(A68,'HRGs to TFCs 2'!A:L,3,FALSE))</f>
        <v>0</v>
      </c>
      <c r="D68" s="46">
        <f>IF(ISERROR(VLOOKUP(A68,'HRGs to TFCs 2'!A:L,4,FALSE)),0,VLOOKUP(A68,'HRGs to TFCs 2'!A:L,4,FALSE))</f>
        <v>0</v>
      </c>
      <c r="E68" s="47">
        <f>IF(ISERROR(VLOOKUP(A68,'HRGs to TFCs 2'!A:L,5,FALSE)),0,VLOOKUP(A68,'HRGs to TFCs 2'!A:L,5,FALSE))</f>
        <v>0</v>
      </c>
      <c r="F68" s="9">
        <f t="shared" si="3"/>
        <v>0</v>
      </c>
      <c r="G68" s="9">
        <f t="shared" si="3"/>
        <v>0</v>
      </c>
      <c r="H68" s="9">
        <f t="shared" si="3"/>
        <v>0</v>
      </c>
      <c r="I68" s="10">
        <f t="shared" si="3"/>
        <v>0</v>
      </c>
      <c r="J68" s="48">
        <f>IF(ISERROR(VLOOKUP(A68,'HRGs to TFCs 2'!A:L,7,FALSE)),0,VLOOKUP(A68,'HRGs to TFCs 2'!A:L,7,FALSE))</f>
        <v>0</v>
      </c>
      <c r="K68" s="48">
        <f>IF(ISERROR(VLOOKUP(A68,'HRGs to TFCs 2'!A:L,8,FALSE)),0,VLOOKUP(A68,'HRGs to TFCs 2'!A:L,8,FALSE))</f>
        <v>0</v>
      </c>
      <c r="L68" s="48">
        <f>IF(ISERROR(VLOOKUP(A68,'HRGs to TFCs 2'!A:L,9,FALSE)),0,VLOOKUP(A68,'HRGs to TFCs 2'!A:L,9,FALSE))</f>
        <v>0</v>
      </c>
      <c r="M68" s="49">
        <f>IF(ISERROR(VLOOKUP(A68,'HRGs to TFCs 2'!A:L,10,FALSE)),0,VLOOKUP(A68,'HRGs to TFCs 2'!A:L,10,FALSE))</f>
        <v>0</v>
      </c>
      <c r="N68" s="9">
        <f t="shared" si="2"/>
        <v>0</v>
      </c>
      <c r="O68" s="9">
        <f t="shared" si="1"/>
        <v>0</v>
      </c>
      <c r="P68" s="9">
        <f t="shared" si="1"/>
        <v>0</v>
      </c>
      <c r="Q68" s="10">
        <f t="shared" si="1"/>
        <v>0</v>
      </c>
    </row>
    <row r="69" spans="1:17">
      <c r="A69" s="45">
        <v>306</v>
      </c>
      <c r="B69" s="46">
        <f>IF(ISERROR(VLOOKUP(A69,'HRGs to TFCs 2'!A:L,2,FALSE)),0,VLOOKUP(A69,'HRGs to TFCs 2'!A:L,2,FALSE))</f>
        <v>0</v>
      </c>
      <c r="C69" s="46">
        <f>IF(ISERROR(VLOOKUP(A69,'HRGs to TFCs 2'!A:L,3,FALSE)),0,VLOOKUP(A69,'HRGs to TFCs 2'!A:L,3,FALSE))</f>
        <v>72</v>
      </c>
      <c r="D69" s="46">
        <f>IF(ISERROR(VLOOKUP(A69,'HRGs to TFCs 2'!A:L,4,FALSE)),0,VLOOKUP(A69,'HRGs to TFCs 2'!A:L,4,FALSE))</f>
        <v>0</v>
      </c>
      <c r="E69" s="47">
        <f>IF(ISERROR(VLOOKUP(A69,'HRGs to TFCs 2'!A:L,5,FALSE)),0,VLOOKUP(A69,'HRGs to TFCs 2'!A:L,5,FALSE))</f>
        <v>564</v>
      </c>
      <c r="F69" s="9">
        <f t="shared" si="3"/>
        <v>0</v>
      </c>
      <c r="G69" s="9">
        <f t="shared" si="3"/>
        <v>5.3167097541686324E-5</v>
      </c>
      <c r="H69" s="9">
        <f t="shared" si="3"/>
        <v>0</v>
      </c>
      <c r="I69" s="10">
        <f t="shared" si="3"/>
        <v>4.1647559740987621E-4</v>
      </c>
      <c r="J69" s="48">
        <f>IF(ISERROR(VLOOKUP(A69,'HRGs to TFCs 2'!A:L,7,FALSE)),0,VLOOKUP(A69,'HRGs to TFCs 2'!A:L,7,FALSE))</f>
        <v>0</v>
      </c>
      <c r="K69" s="48">
        <f>IF(ISERROR(VLOOKUP(A69,'HRGs to TFCs 2'!A:L,8,FALSE)),0,VLOOKUP(A69,'HRGs to TFCs 2'!A:L,8,FALSE))</f>
        <v>21338.111924307883</v>
      </c>
      <c r="L69" s="48">
        <f>IF(ISERROR(VLOOKUP(A69,'HRGs to TFCs 2'!A:L,9,FALSE)),0,VLOOKUP(A69,'HRGs to TFCs 2'!A:L,9,FALSE))</f>
        <v>0</v>
      </c>
      <c r="M69" s="49">
        <f>IF(ISERROR(VLOOKUP(A69,'HRGs to TFCs 2'!A:L,10,FALSE)),0,VLOOKUP(A69,'HRGs to TFCs 2'!A:L,10,FALSE))</f>
        <v>202194.33701288598</v>
      </c>
      <c r="N69" s="9">
        <f t="shared" si="2"/>
        <v>0</v>
      </c>
      <c r="O69" s="9">
        <f t="shared" si="1"/>
        <v>1.2441597176354689E-4</v>
      </c>
      <c r="P69" s="9">
        <f t="shared" si="1"/>
        <v>0</v>
      </c>
      <c r="Q69" s="10">
        <f t="shared" si="1"/>
        <v>1.1789330290224477E-3</v>
      </c>
    </row>
    <row r="70" spans="1:17">
      <c r="A70" s="45">
        <v>307</v>
      </c>
      <c r="B70" s="46">
        <f>IF(ISERROR(VLOOKUP(A70,'HRGs to TFCs 2'!A:L,2,FALSE)),0,VLOOKUP(A70,'HRGs to TFCs 2'!A:L,2,FALSE))</f>
        <v>0</v>
      </c>
      <c r="C70" s="46">
        <f>IF(ISERROR(VLOOKUP(A70,'HRGs to TFCs 2'!A:L,3,FALSE)),0,VLOOKUP(A70,'HRGs to TFCs 2'!A:L,3,FALSE))</f>
        <v>553</v>
      </c>
      <c r="D70" s="46">
        <f>IF(ISERROR(VLOOKUP(A70,'HRGs to TFCs 2'!A:L,4,FALSE)),0,VLOOKUP(A70,'HRGs to TFCs 2'!A:L,4,FALSE))</f>
        <v>0</v>
      </c>
      <c r="E70" s="47">
        <f>IF(ISERROR(VLOOKUP(A70,'HRGs to TFCs 2'!A:L,5,FALSE)),0,VLOOKUP(A70,'HRGs to TFCs 2'!A:L,5,FALSE))</f>
        <v>4399</v>
      </c>
      <c r="F70" s="9">
        <f t="shared" si="3"/>
        <v>0</v>
      </c>
      <c r="G70" s="9">
        <f t="shared" si="3"/>
        <v>4.0835284639656304E-4</v>
      </c>
      <c r="H70" s="9">
        <f t="shared" si="3"/>
        <v>0</v>
      </c>
      <c r="I70" s="10">
        <f t="shared" si="3"/>
        <v>3.2483619734149745E-3</v>
      </c>
      <c r="J70" s="48">
        <f>IF(ISERROR(VLOOKUP(A70,'HRGs to TFCs 2'!A:L,7,FALSE)),0,VLOOKUP(A70,'HRGs to TFCs 2'!A:L,7,FALSE))</f>
        <v>0</v>
      </c>
      <c r="K70" s="48">
        <f>IF(ISERROR(VLOOKUP(A70,'HRGs to TFCs 2'!A:L,8,FALSE)),0,VLOOKUP(A70,'HRGs to TFCs 2'!A:L,8,FALSE))</f>
        <v>80050.412453284778</v>
      </c>
      <c r="L70" s="48">
        <f>IF(ISERROR(VLOOKUP(A70,'HRGs to TFCs 2'!A:L,9,FALSE)),0,VLOOKUP(A70,'HRGs to TFCs 2'!A:L,9,FALSE))</f>
        <v>0</v>
      </c>
      <c r="M70" s="49">
        <f>IF(ISERROR(VLOOKUP(A70,'HRGs to TFCs 2'!A:L,10,FALSE)),0,VLOOKUP(A70,'HRGs to TFCs 2'!A:L,10,FALSE))</f>
        <v>578999.04241674067</v>
      </c>
      <c r="N70" s="9">
        <f t="shared" si="2"/>
        <v>0</v>
      </c>
      <c r="O70" s="9">
        <f t="shared" si="1"/>
        <v>4.6674934927595313E-4</v>
      </c>
      <c r="P70" s="9">
        <f t="shared" si="1"/>
        <v>0</v>
      </c>
      <c r="Q70" s="10">
        <f t="shared" si="1"/>
        <v>3.375965444739247E-3</v>
      </c>
    </row>
    <row r="71" spans="1:17">
      <c r="A71" s="45">
        <v>309</v>
      </c>
      <c r="B71" s="46">
        <f>IF(ISERROR(VLOOKUP(A71,'HRGs to TFCs 2'!A:L,2,FALSE)),0,VLOOKUP(A71,'HRGs to TFCs 2'!A:L,2,FALSE))</f>
        <v>0</v>
      </c>
      <c r="C71" s="46">
        <f>IF(ISERROR(VLOOKUP(A71,'HRGs to TFCs 2'!A:L,3,FALSE)),0,VLOOKUP(A71,'HRGs to TFCs 2'!A:L,3,FALSE))</f>
        <v>0</v>
      </c>
      <c r="D71" s="46">
        <f>IF(ISERROR(VLOOKUP(A71,'HRGs to TFCs 2'!A:L,4,FALSE)),0,VLOOKUP(A71,'HRGs to TFCs 2'!A:L,4,FALSE))</f>
        <v>0</v>
      </c>
      <c r="E71" s="47">
        <f>IF(ISERROR(VLOOKUP(A71,'HRGs to TFCs 2'!A:L,5,FALSE)),0,VLOOKUP(A71,'HRGs to TFCs 2'!A:L,5,FALSE))</f>
        <v>0</v>
      </c>
      <c r="F71" s="9">
        <f t="shared" si="3"/>
        <v>0</v>
      </c>
      <c r="G71" s="9">
        <f t="shared" si="3"/>
        <v>0</v>
      </c>
      <c r="H71" s="9">
        <f t="shared" si="3"/>
        <v>0</v>
      </c>
      <c r="I71" s="10">
        <f t="shared" si="3"/>
        <v>0</v>
      </c>
      <c r="J71" s="48">
        <f>IF(ISERROR(VLOOKUP(A71,'HRGs to TFCs 2'!A:L,7,FALSE)),0,VLOOKUP(A71,'HRGs to TFCs 2'!A:L,7,FALSE))</f>
        <v>0</v>
      </c>
      <c r="K71" s="48">
        <f>IF(ISERROR(VLOOKUP(A71,'HRGs to TFCs 2'!A:L,8,FALSE)),0,VLOOKUP(A71,'HRGs to TFCs 2'!A:L,8,FALSE))</f>
        <v>0</v>
      </c>
      <c r="L71" s="48">
        <f>IF(ISERROR(VLOOKUP(A71,'HRGs to TFCs 2'!A:L,9,FALSE)),0,VLOOKUP(A71,'HRGs to TFCs 2'!A:L,9,FALSE))</f>
        <v>0</v>
      </c>
      <c r="M71" s="49">
        <f>IF(ISERROR(VLOOKUP(A71,'HRGs to TFCs 2'!A:L,10,FALSE)),0,VLOOKUP(A71,'HRGs to TFCs 2'!A:L,10,FALSE))</f>
        <v>0</v>
      </c>
      <c r="N71" s="9">
        <f t="shared" si="2"/>
        <v>0</v>
      </c>
      <c r="O71" s="9">
        <f t="shared" si="1"/>
        <v>0</v>
      </c>
      <c r="P71" s="9">
        <f t="shared" si="1"/>
        <v>0</v>
      </c>
      <c r="Q71" s="10">
        <f t="shared" si="1"/>
        <v>0</v>
      </c>
    </row>
    <row r="72" spans="1:17">
      <c r="A72" s="45">
        <v>310</v>
      </c>
      <c r="B72" s="46">
        <f>IF(ISERROR(VLOOKUP(A72,'HRGs to TFCs 2'!A:L,2,FALSE)),0,VLOOKUP(A72,'HRGs to TFCs 2'!A:L,2,FALSE))</f>
        <v>0</v>
      </c>
      <c r="C72" s="46">
        <f>IF(ISERROR(VLOOKUP(A72,'HRGs to TFCs 2'!A:L,3,FALSE)),0,VLOOKUP(A72,'HRGs to TFCs 2'!A:L,3,FALSE))</f>
        <v>0</v>
      </c>
      <c r="D72" s="46">
        <f>IF(ISERROR(VLOOKUP(A72,'HRGs to TFCs 2'!A:L,4,FALSE)),0,VLOOKUP(A72,'HRGs to TFCs 2'!A:L,4,FALSE))</f>
        <v>0</v>
      </c>
      <c r="E72" s="47">
        <f>IF(ISERROR(VLOOKUP(A72,'HRGs to TFCs 2'!A:L,5,FALSE)),0,VLOOKUP(A72,'HRGs to TFCs 2'!A:L,5,FALSE))</f>
        <v>0</v>
      </c>
      <c r="F72" s="9">
        <f t="shared" ref="F72:I103" si="4">IF(ISERROR(B72/$E$4),0,B72/$E$4)</f>
        <v>0</v>
      </c>
      <c r="G72" s="9">
        <f t="shared" si="4"/>
        <v>0</v>
      </c>
      <c r="H72" s="9">
        <f t="shared" si="4"/>
        <v>0</v>
      </c>
      <c r="I72" s="10">
        <f t="shared" si="4"/>
        <v>0</v>
      </c>
      <c r="J72" s="48">
        <f>IF(ISERROR(VLOOKUP(A72,'HRGs to TFCs 2'!A:L,7,FALSE)),0,VLOOKUP(A72,'HRGs to TFCs 2'!A:L,7,FALSE))</f>
        <v>0</v>
      </c>
      <c r="K72" s="48">
        <f>IF(ISERROR(VLOOKUP(A72,'HRGs to TFCs 2'!A:L,8,FALSE)),0,VLOOKUP(A72,'HRGs to TFCs 2'!A:L,8,FALSE))</f>
        <v>0</v>
      </c>
      <c r="L72" s="48">
        <f>IF(ISERROR(VLOOKUP(A72,'HRGs to TFCs 2'!A:L,9,FALSE)),0,VLOOKUP(A72,'HRGs to TFCs 2'!A:L,9,FALSE))</f>
        <v>0</v>
      </c>
      <c r="M72" s="49">
        <f>IF(ISERROR(VLOOKUP(A72,'HRGs to TFCs 2'!A:L,10,FALSE)),0,VLOOKUP(A72,'HRGs to TFCs 2'!A:L,10,FALSE))</f>
        <v>0</v>
      </c>
      <c r="N72" s="9">
        <f t="shared" si="2"/>
        <v>0</v>
      </c>
      <c r="O72" s="9">
        <f t="shared" si="2"/>
        <v>0</v>
      </c>
      <c r="P72" s="9">
        <f t="shared" si="2"/>
        <v>0</v>
      </c>
      <c r="Q72" s="10">
        <f t="shared" si="2"/>
        <v>0</v>
      </c>
    </row>
    <row r="73" spans="1:17">
      <c r="A73" s="45">
        <v>311</v>
      </c>
      <c r="B73" s="46">
        <f>IF(ISERROR(VLOOKUP(A73,'HRGs to TFCs 2'!A:L,2,FALSE)),0,VLOOKUP(A73,'HRGs to TFCs 2'!A:L,2,FALSE))</f>
        <v>0</v>
      </c>
      <c r="C73" s="46">
        <f>IF(ISERROR(VLOOKUP(A73,'HRGs to TFCs 2'!A:L,3,FALSE)),0,VLOOKUP(A73,'HRGs to TFCs 2'!A:L,3,FALSE))</f>
        <v>0</v>
      </c>
      <c r="D73" s="46">
        <f>IF(ISERROR(VLOOKUP(A73,'HRGs to TFCs 2'!A:L,4,FALSE)),0,VLOOKUP(A73,'HRGs to TFCs 2'!A:L,4,FALSE))</f>
        <v>0</v>
      </c>
      <c r="E73" s="47">
        <f>IF(ISERROR(VLOOKUP(A73,'HRGs to TFCs 2'!A:L,5,FALSE)),0,VLOOKUP(A73,'HRGs to TFCs 2'!A:L,5,FALSE))</f>
        <v>0</v>
      </c>
      <c r="F73" s="9">
        <f t="shared" si="4"/>
        <v>0</v>
      </c>
      <c r="G73" s="9">
        <f t="shared" si="4"/>
        <v>0</v>
      </c>
      <c r="H73" s="9">
        <f t="shared" si="4"/>
        <v>0</v>
      </c>
      <c r="I73" s="10">
        <f t="shared" si="4"/>
        <v>0</v>
      </c>
      <c r="J73" s="48">
        <f>IF(ISERROR(VLOOKUP(A73,'HRGs to TFCs 2'!A:L,7,FALSE)),0,VLOOKUP(A73,'HRGs to TFCs 2'!A:L,7,FALSE))</f>
        <v>0</v>
      </c>
      <c r="K73" s="48">
        <f>IF(ISERROR(VLOOKUP(A73,'HRGs to TFCs 2'!A:L,8,FALSE)),0,VLOOKUP(A73,'HRGs to TFCs 2'!A:L,8,FALSE))</f>
        <v>0</v>
      </c>
      <c r="L73" s="48">
        <f>IF(ISERROR(VLOOKUP(A73,'HRGs to TFCs 2'!A:L,9,FALSE)),0,VLOOKUP(A73,'HRGs to TFCs 2'!A:L,9,FALSE))</f>
        <v>0</v>
      </c>
      <c r="M73" s="49">
        <f>IF(ISERROR(VLOOKUP(A73,'HRGs to TFCs 2'!A:L,10,FALSE)),0,VLOOKUP(A73,'HRGs to TFCs 2'!A:L,10,FALSE))</f>
        <v>0</v>
      </c>
      <c r="N73" s="9">
        <f t="shared" ref="N73:Q117" si="5">IF(ISERROR(J73/$M$4),0,J73/$M$4)</f>
        <v>0</v>
      </c>
      <c r="O73" s="9">
        <f t="shared" si="5"/>
        <v>0</v>
      </c>
      <c r="P73" s="9">
        <f t="shared" si="5"/>
        <v>0</v>
      </c>
      <c r="Q73" s="10">
        <f t="shared" si="5"/>
        <v>0</v>
      </c>
    </row>
    <row r="74" spans="1:17">
      <c r="A74" s="45">
        <v>313</v>
      </c>
      <c r="B74" s="46">
        <f>IF(ISERROR(VLOOKUP(A74,'HRGs to TFCs 2'!A:L,2,FALSE)),0,VLOOKUP(A74,'HRGs to TFCs 2'!A:L,2,FALSE))</f>
        <v>0</v>
      </c>
      <c r="C74" s="46">
        <f>IF(ISERROR(VLOOKUP(A74,'HRGs to TFCs 2'!A:L,3,FALSE)),0,VLOOKUP(A74,'HRGs to TFCs 2'!A:L,3,FALSE))</f>
        <v>55</v>
      </c>
      <c r="D74" s="46">
        <f>IF(ISERROR(VLOOKUP(A74,'HRGs to TFCs 2'!A:L,4,FALSE)),0,VLOOKUP(A74,'HRGs to TFCs 2'!A:L,4,FALSE))</f>
        <v>0</v>
      </c>
      <c r="E74" s="47">
        <f>IF(ISERROR(VLOOKUP(A74,'HRGs to TFCs 2'!A:L,5,FALSE)),0,VLOOKUP(A74,'HRGs to TFCs 2'!A:L,5,FALSE))</f>
        <v>730</v>
      </c>
      <c r="F74" s="9">
        <f t="shared" si="4"/>
        <v>0</v>
      </c>
      <c r="G74" s="9">
        <f t="shared" si="4"/>
        <v>4.0613755066565945E-5</v>
      </c>
      <c r="H74" s="9">
        <f t="shared" si="4"/>
        <v>0</v>
      </c>
      <c r="I74" s="10">
        <f t="shared" si="4"/>
        <v>5.3905529451987527E-4</v>
      </c>
      <c r="J74" s="48">
        <f>IF(ISERROR(VLOOKUP(A74,'HRGs to TFCs 2'!A:L,7,FALSE)),0,VLOOKUP(A74,'HRGs to TFCs 2'!A:L,7,FALSE))</f>
        <v>0</v>
      </c>
      <c r="K74" s="48">
        <f>IF(ISERROR(VLOOKUP(A74,'HRGs to TFCs 2'!A:L,8,FALSE)),0,VLOOKUP(A74,'HRGs to TFCs 2'!A:L,8,FALSE))</f>
        <v>7433.3392274349353</v>
      </c>
      <c r="L74" s="48">
        <f>IF(ISERROR(VLOOKUP(A74,'HRGs to TFCs 2'!A:L,9,FALSE)),0,VLOOKUP(A74,'HRGs to TFCs 2'!A:L,9,FALSE))</f>
        <v>0</v>
      </c>
      <c r="M74" s="49">
        <f>IF(ISERROR(VLOOKUP(A74,'HRGs to TFCs 2'!A:L,10,FALSE)),0,VLOOKUP(A74,'HRGs to TFCs 2'!A:L,10,FALSE))</f>
        <v>97858.285880814612</v>
      </c>
      <c r="N74" s="9">
        <f t="shared" si="5"/>
        <v>0</v>
      </c>
      <c r="O74" s="9">
        <f t="shared" si="5"/>
        <v>4.3341516189905717E-5</v>
      </c>
      <c r="P74" s="9">
        <f t="shared" si="5"/>
        <v>0</v>
      </c>
      <c r="Q74" s="10">
        <f t="shared" si="5"/>
        <v>5.7058158548258897E-4</v>
      </c>
    </row>
    <row r="75" spans="1:17">
      <c r="A75" s="45">
        <v>314</v>
      </c>
      <c r="B75" s="46">
        <f>IF(ISERROR(VLOOKUP(A75,'HRGs to TFCs 2'!A:L,2,FALSE)),0,VLOOKUP(A75,'HRGs to TFCs 2'!A:L,2,FALSE))</f>
        <v>0</v>
      </c>
      <c r="C75" s="46">
        <f>IF(ISERROR(VLOOKUP(A75,'HRGs to TFCs 2'!A:L,3,FALSE)),0,VLOOKUP(A75,'HRGs to TFCs 2'!A:L,3,FALSE))</f>
        <v>228</v>
      </c>
      <c r="D75" s="46">
        <f>IF(ISERROR(VLOOKUP(A75,'HRGs to TFCs 2'!A:L,4,FALSE)),0,VLOOKUP(A75,'HRGs to TFCs 2'!A:L,4,FALSE))</f>
        <v>0</v>
      </c>
      <c r="E75" s="47">
        <f>IF(ISERROR(VLOOKUP(A75,'HRGs to TFCs 2'!A:L,5,FALSE)),0,VLOOKUP(A75,'HRGs to TFCs 2'!A:L,5,FALSE))</f>
        <v>626</v>
      </c>
      <c r="F75" s="9">
        <f t="shared" si="4"/>
        <v>0</v>
      </c>
      <c r="G75" s="9">
        <f t="shared" si="4"/>
        <v>1.6836247554867338E-4</v>
      </c>
      <c r="H75" s="9">
        <f t="shared" si="4"/>
        <v>0</v>
      </c>
      <c r="I75" s="10">
        <f t="shared" si="4"/>
        <v>4.6225837584855058E-4</v>
      </c>
      <c r="J75" s="48">
        <f>IF(ISERROR(VLOOKUP(A75,'HRGs to TFCs 2'!A:L,7,FALSE)),0,VLOOKUP(A75,'HRGs to TFCs 2'!A:L,7,FALSE))</f>
        <v>0</v>
      </c>
      <c r="K75" s="48">
        <f>IF(ISERROR(VLOOKUP(A75,'HRGs to TFCs 2'!A:L,8,FALSE)),0,VLOOKUP(A75,'HRGs to TFCs 2'!A:L,8,FALSE))</f>
        <v>22878.921950209809</v>
      </c>
      <c r="L75" s="48">
        <f>IF(ISERROR(VLOOKUP(A75,'HRGs to TFCs 2'!A:L,9,FALSE)),0,VLOOKUP(A75,'HRGs to TFCs 2'!A:L,9,FALSE))</f>
        <v>0</v>
      </c>
      <c r="M75" s="49">
        <f>IF(ISERROR(VLOOKUP(A75,'HRGs to TFCs 2'!A:L,10,FALSE)),0,VLOOKUP(A75,'HRGs to TFCs 2'!A:L,10,FALSE))</f>
        <v>88959.220155855655</v>
      </c>
      <c r="N75" s="9">
        <f t="shared" si="5"/>
        <v>0</v>
      </c>
      <c r="O75" s="9">
        <f t="shared" si="5"/>
        <v>1.3339996141341007E-4</v>
      </c>
      <c r="P75" s="9">
        <f t="shared" si="5"/>
        <v>0</v>
      </c>
      <c r="Q75" s="10">
        <f t="shared" si="5"/>
        <v>5.1869386861776363E-4</v>
      </c>
    </row>
    <row r="76" spans="1:17">
      <c r="A76" s="45">
        <v>315</v>
      </c>
      <c r="B76" s="46">
        <f>IF(ISERROR(VLOOKUP(A76,'HRGs to TFCs 2'!A:L,2,FALSE)),0,VLOOKUP(A76,'HRGs to TFCs 2'!A:L,2,FALSE))</f>
        <v>0</v>
      </c>
      <c r="C76" s="46">
        <f>IF(ISERROR(VLOOKUP(A76,'HRGs to TFCs 2'!A:L,3,FALSE)),0,VLOOKUP(A76,'HRGs to TFCs 2'!A:L,3,FALSE))</f>
        <v>0</v>
      </c>
      <c r="D76" s="46">
        <f>IF(ISERROR(VLOOKUP(A76,'HRGs to TFCs 2'!A:L,4,FALSE)),0,VLOOKUP(A76,'HRGs to TFCs 2'!A:L,4,FALSE))</f>
        <v>0</v>
      </c>
      <c r="E76" s="47">
        <f>IF(ISERROR(VLOOKUP(A76,'HRGs to TFCs 2'!A:L,5,FALSE)),0,VLOOKUP(A76,'HRGs to TFCs 2'!A:L,5,FALSE))</f>
        <v>0</v>
      </c>
      <c r="F76" s="9">
        <f t="shared" si="4"/>
        <v>0</v>
      </c>
      <c r="G76" s="9">
        <f t="shared" si="4"/>
        <v>0</v>
      </c>
      <c r="H76" s="9">
        <f t="shared" si="4"/>
        <v>0</v>
      </c>
      <c r="I76" s="10">
        <f t="shared" si="4"/>
        <v>0</v>
      </c>
      <c r="J76" s="48">
        <f>IF(ISERROR(VLOOKUP(A76,'HRGs to TFCs 2'!A:L,7,FALSE)),0,VLOOKUP(A76,'HRGs to TFCs 2'!A:L,7,FALSE))</f>
        <v>0</v>
      </c>
      <c r="K76" s="48">
        <f>IF(ISERROR(VLOOKUP(A76,'HRGs to TFCs 2'!A:L,8,FALSE)),0,VLOOKUP(A76,'HRGs to TFCs 2'!A:L,8,FALSE))</f>
        <v>0</v>
      </c>
      <c r="L76" s="48">
        <f>IF(ISERROR(VLOOKUP(A76,'HRGs to TFCs 2'!A:L,9,FALSE)),0,VLOOKUP(A76,'HRGs to TFCs 2'!A:L,9,FALSE))</f>
        <v>0</v>
      </c>
      <c r="M76" s="49">
        <f>IF(ISERROR(VLOOKUP(A76,'HRGs to TFCs 2'!A:L,10,FALSE)),0,VLOOKUP(A76,'HRGs to TFCs 2'!A:L,10,FALSE))</f>
        <v>0</v>
      </c>
      <c r="N76" s="9">
        <f t="shared" si="5"/>
        <v>0</v>
      </c>
      <c r="O76" s="9">
        <f t="shared" si="5"/>
        <v>0</v>
      </c>
      <c r="P76" s="9">
        <f t="shared" si="5"/>
        <v>0</v>
      </c>
      <c r="Q76" s="10">
        <f t="shared" si="5"/>
        <v>0</v>
      </c>
    </row>
    <row r="77" spans="1:17">
      <c r="A77" s="45">
        <v>316</v>
      </c>
      <c r="B77" s="46">
        <f>IF(ISERROR(VLOOKUP(A77,'HRGs to TFCs 2'!A:L,2,FALSE)),0,VLOOKUP(A77,'HRGs to TFCs 2'!A:L,2,FALSE))</f>
        <v>0</v>
      </c>
      <c r="C77" s="46">
        <f>IF(ISERROR(VLOOKUP(A77,'HRGs to TFCs 2'!A:L,3,FALSE)),0,VLOOKUP(A77,'HRGs to TFCs 2'!A:L,3,FALSE))</f>
        <v>18</v>
      </c>
      <c r="D77" s="46">
        <f>IF(ISERROR(VLOOKUP(A77,'HRGs to TFCs 2'!A:L,4,FALSE)),0,VLOOKUP(A77,'HRGs to TFCs 2'!A:L,4,FALSE))</f>
        <v>0</v>
      </c>
      <c r="E77" s="47">
        <f>IF(ISERROR(VLOOKUP(A77,'HRGs to TFCs 2'!A:L,5,FALSE)),0,VLOOKUP(A77,'HRGs to TFCs 2'!A:L,5,FALSE))</f>
        <v>45</v>
      </c>
      <c r="F77" s="9">
        <f t="shared" si="4"/>
        <v>0</v>
      </c>
      <c r="G77" s="9">
        <f t="shared" si="4"/>
        <v>1.3291774385421581E-5</v>
      </c>
      <c r="H77" s="9">
        <f t="shared" si="4"/>
        <v>0</v>
      </c>
      <c r="I77" s="10">
        <f t="shared" si="4"/>
        <v>3.3229435963553957E-5</v>
      </c>
      <c r="J77" s="48">
        <f>IF(ISERROR(VLOOKUP(A77,'HRGs to TFCs 2'!A:L,7,FALSE)),0,VLOOKUP(A77,'HRGs to TFCs 2'!A:L,7,FALSE))</f>
        <v>0</v>
      </c>
      <c r="K77" s="48">
        <f>IF(ISERROR(VLOOKUP(A77,'HRGs to TFCs 2'!A:L,8,FALSE)),0,VLOOKUP(A77,'HRGs to TFCs 2'!A:L,8,FALSE))</f>
        <v>2148.4612307252896</v>
      </c>
      <c r="L77" s="48">
        <f>IF(ISERROR(VLOOKUP(A77,'HRGs to TFCs 2'!A:L,9,FALSE)),0,VLOOKUP(A77,'HRGs to TFCs 2'!A:L,9,FALSE))</f>
        <v>0</v>
      </c>
      <c r="M77" s="49">
        <f>IF(ISERROR(VLOOKUP(A77,'HRGs to TFCs 2'!A:L,10,FALSE)),0,VLOOKUP(A77,'HRGs to TFCs 2'!A:L,10,FALSE))</f>
        <v>6569.7951034860089</v>
      </c>
      <c r="N77" s="9">
        <f t="shared" si="5"/>
        <v>0</v>
      </c>
      <c r="O77" s="9">
        <f t="shared" si="5"/>
        <v>1.2527017046549819E-5</v>
      </c>
      <c r="P77" s="9">
        <f t="shared" si="5"/>
        <v>0</v>
      </c>
      <c r="Q77" s="10">
        <f t="shared" si="5"/>
        <v>3.8306455837662703E-5</v>
      </c>
    </row>
    <row r="78" spans="1:17">
      <c r="A78" s="45">
        <v>317</v>
      </c>
      <c r="B78" s="46">
        <f>IF(ISERROR(VLOOKUP(A78,'HRGs to TFCs 2'!A:L,2,FALSE)),0,VLOOKUP(A78,'HRGs to TFCs 2'!A:L,2,FALSE))</f>
        <v>0</v>
      </c>
      <c r="C78" s="46">
        <f>IF(ISERROR(VLOOKUP(A78,'HRGs to TFCs 2'!A:L,3,FALSE)),0,VLOOKUP(A78,'HRGs to TFCs 2'!A:L,3,FALSE))</f>
        <v>0</v>
      </c>
      <c r="D78" s="46">
        <f>IF(ISERROR(VLOOKUP(A78,'HRGs to TFCs 2'!A:L,4,FALSE)),0,VLOOKUP(A78,'HRGs to TFCs 2'!A:L,4,FALSE))</f>
        <v>0</v>
      </c>
      <c r="E78" s="47">
        <f>IF(ISERROR(VLOOKUP(A78,'HRGs to TFCs 2'!A:L,5,FALSE)),0,VLOOKUP(A78,'HRGs to TFCs 2'!A:L,5,FALSE))</f>
        <v>0</v>
      </c>
      <c r="F78" s="9">
        <f t="shared" si="4"/>
        <v>0</v>
      </c>
      <c r="G78" s="9">
        <f t="shared" si="4"/>
        <v>0</v>
      </c>
      <c r="H78" s="9">
        <f t="shared" si="4"/>
        <v>0</v>
      </c>
      <c r="I78" s="10">
        <f t="shared" si="4"/>
        <v>0</v>
      </c>
      <c r="J78" s="48">
        <f>IF(ISERROR(VLOOKUP(A78,'HRGs to TFCs 2'!A:L,7,FALSE)),0,VLOOKUP(A78,'HRGs to TFCs 2'!A:L,7,FALSE))</f>
        <v>0</v>
      </c>
      <c r="K78" s="48">
        <f>IF(ISERROR(VLOOKUP(A78,'HRGs to TFCs 2'!A:L,8,FALSE)),0,VLOOKUP(A78,'HRGs to TFCs 2'!A:L,8,FALSE))</f>
        <v>0</v>
      </c>
      <c r="L78" s="48">
        <f>IF(ISERROR(VLOOKUP(A78,'HRGs to TFCs 2'!A:L,9,FALSE)),0,VLOOKUP(A78,'HRGs to TFCs 2'!A:L,9,FALSE))</f>
        <v>0</v>
      </c>
      <c r="M78" s="49">
        <f>IF(ISERROR(VLOOKUP(A78,'HRGs to TFCs 2'!A:L,10,FALSE)),0,VLOOKUP(A78,'HRGs to TFCs 2'!A:L,10,FALSE))</f>
        <v>0</v>
      </c>
      <c r="N78" s="9">
        <f t="shared" si="5"/>
        <v>0</v>
      </c>
      <c r="O78" s="9">
        <f t="shared" si="5"/>
        <v>0</v>
      </c>
      <c r="P78" s="9">
        <f t="shared" si="5"/>
        <v>0</v>
      </c>
      <c r="Q78" s="10">
        <f t="shared" si="5"/>
        <v>0</v>
      </c>
    </row>
    <row r="79" spans="1:17">
      <c r="A79" s="45">
        <v>319</v>
      </c>
      <c r="B79" s="46">
        <f>IF(ISERROR(VLOOKUP(A79,'HRGs to TFCs 2'!A:L,2,FALSE)),0,VLOOKUP(A79,'HRGs to TFCs 2'!A:L,2,FALSE))</f>
        <v>0</v>
      </c>
      <c r="C79" s="46">
        <f>IF(ISERROR(VLOOKUP(A79,'HRGs to TFCs 2'!A:L,3,FALSE)),0,VLOOKUP(A79,'HRGs to TFCs 2'!A:L,3,FALSE))</f>
        <v>0</v>
      </c>
      <c r="D79" s="46">
        <f>IF(ISERROR(VLOOKUP(A79,'HRGs to TFCs 2'!A:L,4,FALSE)),0,VLOOKUP(A79,'HRGs to TFCs 2'!A:L,4,FALSE))</f>
        <v>0</v>
      </c>
      <c r="E79" s="47">
        <f>IF(ISERROR(VLOOKUP(A79,'HRGs to TFCs 2'!A:L,5,FALSE)),0,VLOOKUP(A79,'HRGs to TFCs 2'!A:L,5,FALSE))</f>
        <v>0</v>
      </c>
      <c r="F79" s="9">
        <f t="shared" si="4"/>
        <v>0</v>
      </c>
      <c r="G79" s="9">
        <f t="shared" si="4"/>
        <v>0</v>
      </c>
      <c r="H79" s="9">
        <f t="shared" si="4"/>
        <v>0</v>
      </c>
      <c r="I79" s="10">
        <f t="shared" si="4"/>
        <v>0</v>
      </c>
      <c r="J79" s="48">
        <f>IF(ISERROR(VLOOKUP(A79,'HRGs to TFCs 2'!A:L,7,FALSE)),0,VLOOKUP(A79,'HRGs to TFCs 2'!A:L,7,FALSE))</f>
        <v>0</v>
      </c>
      <c r="K79" s="48">
        <f>IF(ISERROR(VLOOKUP(A79,'HRGs to TFCs 2'!A:L,8,FALSE)),0,VLOOKUP(A79,'HRGs to TFCs 2'!A:L,8,FALSE))</f>
        <v>0</v>
      </c>
      <c r="L79" s="48">
        <f>IF(ISERROR(VLOOKUP(A79,'HRGs to TFCs 2'!A:L,9,FALSE)),0,VLOOKUP(A79,'HRGs to TFCs 2'!A:L,9,FALSE))</f>
        <v>0</v>
      </c>
      <c r="M79" s="49">
        <f>IF(ISERROR(VLOOKUP(A79,'HRGs to TFCs 2'!A:L,10,FALSE)),0,VLOOKUP(A79,'HRGs to TFCs 2'!A:L,10,FALSE))</f>
        <v>0</v>
      </c>
      <c r="N79" s="9">
        <f t="shared" si="5"/>
        <v>0</v>
      </c>
      <c r="O79" s="9">
        <f t="shared" si="5"/>
        <v>0</v>
      </c>
      <c r="P79" s="9">
        <f t="shared" si="5"/>
        <v>0</v>
      </c>
      <c r="Q79" s="10">
        <f t="shared" si="5"/>
        <v>0</v>
      </c>
    </row>
    <row r="80" spans="1:17">
      <c r="A80" s="45">
        <v>320</v>
      </c>
      <c r="B80" s="46">
        <f>IF(ISERROR(VLOOKUP(A80,'HRGs to TFCs 2'!A:L,2,FALSE)),0,VLOOKUP(A80,'HRGs to TFCs 2'!A:L,2,FALSE))</f>
        <v>0</v>
      </c>
      <c r="C80" s="46">
        <f>IF(ISERROR(VLOOKUP(A80,'HRGs to TFCs 2'!A:L,3,FALSE)),0,VLOOKUP(A80,'HRGs to TFCs 2'!A:L,3,FALSE))</f>
        <v>8193</v>
      </c>
      <c r="D80" s="46">
        <f>IF(ISERROR(VLOOKUP(A80,'HRGs to TFCs 2'!A:L,4,FALSE)),0,VLOOKUP(A80,'HRGs to TFCs 2'!A:L,4,FALSE))</f>
        <v>0</v>
      </c>
      <c r="E80" s="47">
        <f>IF(ISERROR(VLOOKUP(A80,'HRGs to TFCs 2'!A:L,5,FALSE)),0,VLOOKUP(A80,'HRGs to TFCs 2'!A:L,5,FALSE))</f>
        <v>10148</v>
      </c>
      <c r="F80" s="9">
        <f t="shared" si="4"/>
        <v>0</v>
      </c>
      <c r="G80" s="9">
        <f t="shared" si="4"/>
        <v>6.0499726410977233E-3</v>
      </c>
      <c r="H80" s="9">
        <f t="shared" si="4"/>
        <v>0</v>
      </c>
      <c r="I80" s="10">
        <f t="shared" si="4"/>
        <v>7.4936070257365676E-3</v>
      </c>
      <c r="J80" s="48">
        <f>IF(ISERROR(VLOOKUP(A80,'HRGs to TFCs 2'!A:L,7,FALSE)),0,VLOOKUP(A80,'HRGs to TFCs 2'!A:L,7,FALSE))</f>
        <v>0</v>
      </c>
      <c r="K80" s="48">
        <f>IF(ISERROR(VLOOKUP(A80,'HRGs to TFCs 2'!A:L,8,FALSE)),0,VLOOKUP(A80,'HRGs to TFCs 2'!A:L,8,FALSE))</f>
        <v>864289.76086876774</v>
      </c>
      <c r="L80" s="48">
        <f>IF(ISERROR(VLOOKUP(A80,'HRGs to TFCs 2'!A:L,9,FALSE)),0,VLOOKUP(A80,'HRGs to TFCs 2'!A:L,9,FALSE))</f>
        <v>0</v>
      </c>
      <c r="M80" s="49">
        <f>IF(ISERROR(VLOOKUP(A80,'HRGs to TFCs 2'!A:L,10,FALSE)),0,VLOOKUP(A80,'HRGs to TFCs 2'!A:L,10,FALSE))</f>
        <v>1102811.1927780358</v>
      </c>
      <c r="N80" s="9">
        <f t="shared" si="5"/>
        <v>0</v>
      </c>
      <c r="O80" s="9">
        <f t="shared" si="5"/>
        <v>5.0394079319301894E-3</v>
      </c>
      <c r="P80" s="9">
        <f t="shared" si="5"/>
        <v>0</v>
      </c>
      <c r="Q80" s="10">
        <f t="shared" si="5"/>
        <v>6.4301530851420905E-3</v>
      </c>
    </row>
    <row r="81" spans="1:17">
      <c r="A81" s="45">
        <v>321</v>
      </c>
      <c r="B81" s="46">
        <f>IF(ISERROR(VLOOKUP(A81,'HRGs to TFCs 2'!A:L,2,FALSE)),0,VLOOKUP(A81,'HRGs to TFCs 2'!A:L,2,FALSE))</f>
        <v>0</v>
      </c>
      <c r="C81" s="46">
        <f>IF(ISERROR(VLOOKUP(A81,'HRGs to TFCs 2'!A:L,3,FALSE)),0,VLOOKUP(A81,'HRGs to TFCs 2'!A:L,3,FALSE))</f>
        <v>780</v>
      </c>
      <c r="D81" s="46">
        <f>IF(ISERROR(VLOOKUP(A81,'HRGs to TFCs 2'!A:L,4,FALSE)),0,VLOOKUP(A81,'HRGs to TFCs 2'!A:L,4,FALSE))</f>
        <v>0</v>
      </c>
      <c r="E81" s="47">
        <f>IF(ISERROR(VLOOKUP(A81,'HRGs to TFCs 2'!A:L,5,FALSE)),0,VLOOKUP(A81,'HRGs to TFCs 2'!A:L,5,FALSE))</f>
        <v>761</v>
      </c>
      <c r="F81" s="9">
        <f t="shared" si="4"/>
        <v>0</v>
      </c>
      <c r="G81" s="9">
        <f t="shared" si="4"/>
        <v>5.7597689003493525E-4</v>
      </c>
      <c r="H81" s="9">
        <f t="shared" si="4"/>
        <v>0</v>
      </c>
      <c r="I81" s="10">
        <f t="shared" si="4"/>
        <v>5.619466837392124E-4</v>
      </c>
      <c r="J81" s="48">
        <f>IF(ISERROR(VLOOKUP(A81,'HRGs to TFCs 2'!A:L,7,FALSE)),0,VLOOKUP(A81,'HRGs to TFCs 2'!A:L,7,FALSE))</f>
        <v>0</v>
      </c>
      <c r="K81" s="48">
        <f>IF(ISERROR(VLOOKUP(A81,'HRGs to TFCs 2'!A:L,8,FALSE)),0,VLOOKUP(A81,'HRGs to TFCs 2'!A:L,8,FALSE))</f>
        <v>50400.325874747818</v>
      </c>
      <c r="L81" s="48">
        <f>IF(ISERROR(VLOOKUP(A81,'HRGs to TFCs 2'!A:L,9,FALSE)),0,VLOOKUP(A81,'HRGs to TFCs 2'!A:L,9,FALSE))</f>
        <v>0</v>
      </c>
      <c r="M81" s="49">
        <f>IF(ISERROR(VLOOKUP(A81,'HRGs to TFCs 2'!A:L,10,FALSE)),0,VLOOKUP(A81,'HRGs to TFCs 2'!A:L,10,FALSE))</f>
        <v>50245.597454932686</v>
      </c>
      <c r="N81" s="9">
        <f t="shared" si="5"/>
        <v>0</v>
      </c>
      <c r="O81" s="9">
        <f t="shared" si="5"/>
        <v>2.9386880822210223E-4</v>
      </c>
      <c r="P81" s="9">
        <f t="shared" si="5"/>
        <v>0</v>
      </c>
      <c r="Q81" s="10">
        <f t="shared" si="5"/>
        <v>2.929666343662791E-4</v>
      </c>
    </row>
    <row r="82" spans="1:17">
      <c r="A82" s="45">
        <v>322</v>
      </c>
      <c r="B82" s="46">
        <f>IF(ISERROR(VLOOKUP(A82,'HRGs to TFCs 2'!A:L,2,FALSE)),0,VLOOKUP(A82,'HRGs to TFCs 2'!A:L,2,FALSE))</f>
        <v>0</v>
      </c>
      <c r="C82" s="46">
        <f>IF(ISERROR(VLOOKUP(A82,'HRGs to TFCs 2'!A:L,3,FALSE)),0,VLOOKUP(A82,'HRGs to TFCs 2'!A:L,3,FALSE))</f>
        <v>0</v>
      </c>
      <c r="D82" s="46">
        <f>IF(ISERROR(VLOOKUP(A82,'HRGs to TFCs 2'!A:L,4,FALSE)),0,VLOOKUP(A82,'HRGs to TFCs 2'!A:L,4,FALSE))</f>
        <v>0</v>
      </c>
      <c r="E82" s="47">
        <f>IF(ISERROR(VLOOKUP(A82,'HRGs to TFCs 2'!A:L,5,FALSE)),0,VLOOKUP(A82,'HRGs to TFCs 2'!A:L,5,FALSE))</f>
        <v>0</v>
      </c>
      <c r="F82" s="9">
        <f t="shared" si="4"/>
        <v>0</v>
      </c>
      <c r="G82" s="9">
        <f t="shared" si="4"/>
        <v>0</v>
      </c>
      <c r="H82" s="9">
        <f t="shared" si="4"/>
        <v>0</v>
      </c>
      <c r="I82" s="10">
        <f t="shared" si="4"/>
        <v>0</v>
      </c>
      <c r="J82" s="48">
        <f>IF(ISERROR(VLOOKUP(A82,'HRGs to TFCs 2'!A:L,7,FALSE)),0,VLOOKUP(A82,'HRGs to TFCs 2'!A:L,7,FALSE))</f>
        <v>0</v>
      </c>
      <c r="K82" s="48">
        <f>IF(ISERROR(VLOOKUP(A82,'HRGs to TFCs 2'!A:L,8,FALSE)),0,VLOOKUP(A82,'HRGs to TFCs 2'!A:L,8,FALSE))</f>
        <v>0</v>
      </c>
      <c r="L82" s="48">
        <f>IF(ISERROR(VLOOKUP(A82,'HRGs to TFCs 2'!A:L,9,FALSE)),0,VLOOKUP(A82,'HRGs to TFCs 2'!A:L,9,FALSE))</f>
        <v>0</v>
      </c>
      <c r="M82" s="49">
        <f>IF(ISERROR(VLOOKUP(A82,'HRGs to TFCs 2'!A:L,10,FALSE)),0,VLOOKUP(A82,'HRGs to TFCs 2'!A:L,10,FALSE))</f>
        <v>0</v>
      </c>
      <c r="N82" s="9">
        <f t="shared" si="5"/>
        <v>0</v>
      </c>
      <c r="O82" s="9">
        <f t="shared" si="5"/>
        <v>0</v>
      </c>
      <c r="P82" s="9">
        <f t="shared" si="5"/>
        <v>0</v>
      </c>
      <c r="Q82" s="10">
        <f t="shared" si="5"/>
        <v>0</v>
      </c>
    </row>
    <row r="83" spans="1:17">
      <c r="A83" s="45">
        <v>323</v>
      </c>
      <c r="B83" s="46">
        <f>IF(ISERROR(VLOOKUP(A83,'HRGs to TFCs 2'!A:L,2,FALSE)),0,VLOOKUP(A83,'HRGs to TFCs 2'!A:L,2,FALSE))</f>
        <v>0</v>
      </c>
      <c r="C83" s="46">
        <f>IF(ISERROR(VLOOKUP(A83,'HRGs to TFCs 2'!A:L,3,FALSE)),0,VLOOKUP(A83,'HRGs to TFCs 2'!A:L,3,FALSE))</f>
        <v>21</v>
      </c>
      <c r="D83" s="46">
        <f>IF(ISERROR(VLOOKUP(A83,'HRGs to TFCs 2'!A:L,4,FALSE)),0,VLOOKUP(A83,'HRGs to TFCs 2'!A:L,4,FALSE))</f>
        <v>0</v>
      </c>
      <c r="E83" s="47">
        <f>IF(ISERROR(VLOOKUP(A83,'HRGs to TFCs 2'!A:L,5,FALSE)),0,VLOOKUP(A83,'HRGs to TFCs 2'!A:L,5,FALSE))</f>
        <v>798</v>
      </c>
      <c r="F83" s="9">
        <f t="shared" si="4"/>
        <v>0</v>
      </c>
      <c r="G83" s="9">
        <f t="shared" si="4"/>
        <v>1.550707011632518E-5</v>
      </c>
      <c r="H83" s="9">
        <f t="shared" si="4"/>
        <v>0</v>
      </c>
      <c r="I83" s="10">
        <f t="shared" si="4"/>
        <v>5.8926866442035684E-4</v>
      </c>
      <c r="J83" s="48">
        <f>IF(ISERROR(VLOOKUP(A83,'HRGs to TFCs 2'!A:L,7,FALSE)),0,VLOOKUP(A83,'HRGs to TFCs 2'!A:L,7,FALSE))</f>
        <v>0</v>
      </c>
      <c r="K83" s="48">
        <f>IF(ISERROR(VLOOKUP(A83,'HRGs to TFCs 2'!A:L,8,FALSE)),0,VLOOKUP(A83,'HRGs to TFCs 2'!A:L,8,FALSE))</f>
        <v>2454.244397787691</v>
      </c>
      <c r="L83" s="48">
        <f>IF(ISERROR(VLOOKUP(A83,'HRGs to TFCs 2'!A:L,9,FALSE)),0,VLOOKUP(A83,'HRGs to TFCs 2'!A:L,9,FALSE))</f>
        <v>0</v>
      </c>
      <c r="M83" s="49">
        <f>IF(ISERROR(VLOOKUP(A83,'HRGs to TFCs 2'!A:L,10,FALSE)),0,VLOOKUP(A83,'HRGs to TFCs 2'!A:L,10,FALSE))</f>
        <v>106723.90809973692</v>
      </c>
      <c r="N83" s="9">
        <f t="shared" si="5"/>
        <v>0</v>
      </c>
      <c r="O83" s="9">
        <f t="shared" si="5"/>
        <v>1.4309944702659097E-5</v>
      </c>
      <c r="P83" s="9">
        <f t="shared" si="5"/>
        <v>0</v>
      </c>
      <c r="Q83" s="10">
        <f t="shared" si="5"/>
        <v>6.2227430354351403E-4</v>
      </c>
    </row>
    <row r="84" spans="1:17">
      <c r="A84" s="45">
        <v>324</v>
      </c>
      <c r="B84" s="46">
        <f>IF(ISERROR(VLOOKUP(A84,'HRGs to TFCs 2'!A:L,2,FALSE)),0,VLOOKUP(A84,'HRGs to TFCs 2'!A:L,2,FALSE))</f>
        <v>0</v>
      </c>
      <c r="C84" s="46">
        <f>IF(ISERROR(VLOOKUP(A84,'HRGs to TFCs 2'!A:L,3,FALSE)),0,VLOOKUP(A84,'HRGs to TFCs 2'!A:L,3,FALSE))</f>
        <v>2</v>
      </c>
      <c r="D84" s="46">
        <f>IF(ISERROR(VLOOKUP(A84,'HRGs to TFCs 2'!A:L,4,FALSE)),0,VLOOKUP(A84,'HRGs to TFCs 2'!A:L,4,FALSE))</f>
        <v>0</v>
      </c>
      <c r="E84" s="47">
        <f>IF(ISERROR(VLOOKUP(A84,'HRGs to TFCs 2'!A:L,5,FALSE)),0,VLOOKUP(A84,'HRGs to TFCs 2'!A:L,5,FALSE))</f>
        <v>53</v>
      </c>
      <c r="F84" s="9">
        <f t="shared" si="4"/>
        <v>0</v>
      </c>
      <c r="G84" s="9">
        <f t="shared" si="4"/>
        <v>1.476863820602398E-6</v>
      </c>
      <c r="H84" s="9">
        <f t="shared" si="4"/>
        <v>0</v>
      </c>
      <c r="I84" s="10">
        <f t="shared" si="4"/>
        <v>3.9136891245963545E-5</v>
      </c>
      <c r="J84" s="48">
        <f>IF(ISERROR(VLOOKUP(A84,'HRGs to TFCs 2'!A:L,7,FALSE)),0,VLOOKUP(A84,'HRGs to TFCs 2'!A:L,7,FALSE))</f>
        <v>0</v>
      </c>
      <c r="K84" s="48">
        <f>IF(ISERROR(VLOOKUP(A84,'HRGs to TFCs 2'!A:L,8,FALSE)),0,VLOOKUP(A84,'HRGs to TFCs 2'!A:L,8,FALSE))</f>
        <v>314.7886576767068</v>
      </c>
      <c r="L84" s="48">
        <f>IF(ISERROR(VLOOKUP(A84,'HRGs to TFCs 2'!A:L,9,FALSE)),0,VLOOKUP(A84,'HRGs to TFCs 2'!A:L,9,FALSE))</f>
        <v>0</v>
      </c>
      <c r="M84" s="49">
        <f>IF(ISERROR(VLOOKUP(A84,'HRGs to TFCs 2'!A:L,10,FALSE)),0,VLOOKUP(A84,'HRGs to TFCs 2'!A:L,10,FALSE))</f>
        <v>6568.6386490386758</v>
      </c>
      <c r="N84" s="9">
        <f t="shared" si="5"/>
        <v>0</v>
      </c>
      <c r="O84" s="9">
        <f t="shared" si="5"/>
        <v>1.8354359037912075E-6</v>
      </c>
      <c r="P84" s="9">
        <f t="shared" si="5"/>
        <v>0</v>
      </c>
      <c r="Q84" s="10">
        <f t="shared" si="5"/>
        <v>3.8299712907249009E-5</v>
      </c>
    </row>
    <row r="85" spans="1:17">
      <c r="A85" s="45">
        <v>330</v>
      </c>
      <c r="B85" s="46">
        <f>IF(ISERROR(VLOOKUP(A85,'HRGs to TFCs 2'!A:L,2,FALSE)),0,VLOOKUP(A85,'HRGs to TFCs 2'!A:L,2,FALSE))</f>
        <v>0</v>
      </c>
      <c r="C85" s="46">
        <f>IF(ISERROR(VLOOKUP(A85,'HRGs to TFCs 2'!A:L,3,FALSE)),0,VLOOKUP(A85,'HRGs to TFCs 2'!A:L,3,FALSE))</f>
        <v>6135</v>
      </c>
      <c r="D85" s="46">
        <f>IF(ISERROR(VLOOKUP(A85,'HRGs to TFCs 2'!A:L,4,FALSE)),0,VLOOKUP(A85,'HRGs to TFCs 2'!A:L,4,FALSE))</f>
        <v>0</v>
      </c>
      <c r="E85" s="47">
        <f>IF(ISERROR(VLOOKUP(A85,'HRGs to TFCs 2'!A:L,5,FALSE)),0,VLOOKUP(A85,'HRGs to TFCs 2'!A:L,5,FALSE))</f>
        <v>45964</v>
      </c>
      <c r="F85" s="9">
        <f t="shared" si="4"/>
        <v>0</v>
      </c>
      <c r="G85" s="9">
        <f t="shared" si="4"/>
        <v>4.5302797696978557E-3</v>
      </c>
      <c r="H85" s="9">
        <f t="shared" si="4"/>
        <v>0</v>
      </c>
      <c r="I85" s="10">
        <f t="shared" si="4"/>
        <v>3.3941284325084309E-2</v>
      </c>
      <c r="J85" s="48">
        <f>IF(ISERROR(VLOOKUP(A85,'HRGs to TFCs 2'!A:L,7,FALSE)),0,VLOOKUP(A85,'HRGs to TFCs 2'!A:L,7,FALSE))</f>
        <v>0</v>
      </c>
      <c r="K85" s="48">
        <f>IF(ISERROR(VLOOKUP(A85,'HRGs to TFCs 2'!A:L,8,FALSE)),0,VLOOKUP(A85,'HRGs to TFCs 2'!A:L,8,FALSE))</f>
        <v>678283.64813821611</v>
      </c>
      <c r="L85" s="48">
        <f>IF(ISERROR(VLOOKUP(A85,'HRGs to TFCs 2'!A:L,9,FALSE)),0,VLOOKUP(A85,'HRGs to TFCs 2'!A:L,9,FALSE))</f>
        <v>0</v>
      </c>
      <c r="M85" s="49">
        <f>IF(ISERROR(VLOOKUP(A85,'HRGs to TFCs 2'!A:L,10,FALSE)),0,VLOOKUP(A85,'HRGs to TFCs 2'!A:L,10,FALSE))</f>
        <v>4726680.8250682931</v>
      </c>
      <c r="N85" s="9">
        <f t="shared" si="5"/>
        <v>0</v>
      </c>
      <c r="O85" s="9">
        <f t="shared" si="5"/>
        <v>3.9548634627933274E-3</v>
      </c>
      <c r="P85" s="9">
        <f t="shared" si="5"/>
        <v>0</v>
      </c>
      <c r="Q85" s="10">
        <f t="shared" si="5"/>
        <v>2.7559823013069602E-2</v>
      </c>
    </row>
    <row r="86" spans="1:17">
      <c r="A86" s="45">
        <v>340</v>
      </c>
      <c r="B86" s="46">
        <f>IF(ISERROR(VLOOKUP(A86,'HRGs to TFCs 2'!A:L,2,FALSE)),0,VLOOKUP(A86,'HRGs to TFCs 2'!A:L,2,FALSE))</f>
        <v>0</v>
      </c>
      <c r="C86" s="46">
        <f>IF(ISERROR(VLOOKUP(A86,'HRGs to TFCs 2'!A:L,3,FALSE)),0,VLOOKUP(A86,'HRGs to TFCs 2'!A:L,3,FALSE))</f>
        <v>48655</v>
      </c>
      <c r="D86" s="46">
        <f>IF(ISERROR(VLOOKUP(A86,'HRGs to TFCs 2'!A:L,4,FALSE)),0,VLOOKUP(A86,'HRGs to TFCs 2'!A:L,4,FALSE))</f>
        <v>0</v>
      </c>
      <c r="E86" s="47">
        <f>IF(ISERROR(VLOOKUP(A86,'HRGs to TFCs 2'!A:L,5,FALSE)),0,VLOOKUP(A86,'HRGs to TFCs 2'!A:L,5,FALSE))</f>
        <v>79645</v>
      </c>
      <c r="F86" s="9">
        <f t="shared" si="4"/>
        <v>0</v>
      </c>
      <c r="G86" s="9">
        <f t="shared" si="4"/>
        <v>3.5928404595704837E-2</v>
      </c>
      <c r="H86" s="9">
        <f t="shared" si="4"/>
        <v>0</v>
      </c>
      <c r="I86" s="10">
        <f t="shared" si="4"/>
        <v>5.8812409495938994E-2</v>
      </c>
      <c r="J86" s="48">
        <f>IF(ISERROR(VLOOKUP(A86,'HRGs to TFCs 2'!A:L,7,FALSE)),0,VLOOKUP(A86,'HRGs to TFCs 2'!A:L,7,FALSE))</f>
        <v>0</v>
      </c>
      <c r="K86" s="48">
        <f>IF(ISERROR(VLOOKUP(A86,'HRGs to TFCs 2'!A:L,8,FALSE)),0,VLOOKUP(A86,'HRGs to TFCs 2'!A:L,8,FALSE))</f>
        <v>6592969.4825314889</v>
      </c>
      <c r="L86" s="48">
        <f>IF(ISERROR(VLOOKUP(A86,'HRGs to TFCs 2'!A:L,9,FALSE)),0,VLOOKUP(A86,'HRGs to TFCs 2'!A:L,9,FALSE))</f>
        <v>0</v>
      </c>
      <c r="M86" s="49">
        <f>IF(ISERROR(VLOOKUP(A86,'HRGs to TFCs 2'!A:L,10,FALSE)),0,VLOOKUP(A86,'HRGs to TFCs 2'!A:L,10,FALSE))</f>
        <v>10596212.504282042</v>
      </c>
      <c r="N86" s="9">
        <f t="shared" si="5"/>
        <v>0</v>
      </c>
      <c r="O86" s="9">
        <f t="shared" si="5"/>
        <v>3.8441578518581612E-2</v>
      </c>
      <c r="P86" s="9">
        <f t="shared" si="5"/>
        <v>0</v>
      </c>
      <c r="Q86" s="10">
        <f t="shared" si="5"/>
        <v>6.178325806940195E-2</v>
      </c>
    </row>
    <row r="87" spans="1:17">
      <c r="A87" s="45">
        <v>341</v>
      </c>
      <c r="B87" s="46">
        <f>IF(ISERROR(VLOOKUP(A87,'HRGs to TFCs 2'!A:L,2,FALSE)),0,VLOOKUP(A87,'HRGs to TFCs 2'!A:L,2,FALSE))</f>
        <v>0</v>
      </c>
      <c r="C87" s="46">
        <f>IF(ISERROR(VLOOKUP(A87,'HRGs to TFCs 2'!A:L,3,FALSE)),0,VLOOKUP(A87,'HRGs to TFCs 2'!A:L,3,FALSE))</f>
        <v>2523</v>
      </c>
      <c r="D87" s="46">
        <f>IF(ISERROR(VLOOKUP(A87,'HRGs to TFCs 2'!A:L,4,FALSE)),0,VLOOKUP(A87,'HRGs to TFCs 2'!A:L,4,FALSE))</f>
        <v>0</v>
      </c>
      <c r="E87" s="47">
        <f>IF(ISERROR(VLOOKUP(A87,'HRGs to TFCs 2'!A:L,5,FALSE)),0,VLOOKUP(A87,'HRGs to TFCs 2'!A:L,5,FALSE))</f>
        <v>4340</v>
      </c>
      <c r="F87" s="9">
        <f t="shared" si="4"/>
        <v>0</v>
      </c>
      <c r="G87" s="9">
        <f t="shared" si="4"/>
        <v>1.863063709689925E-3</v>
      </c>
      <c r="H87" s="9">
        <f t="shared" si="4"/>
        <v>0</v>
      </c>
      <c r="I87" s="10">
        <f t="shared" si="4"/>
        <v>3.2047944907072036E-3</v>
      </c>
      <c r="J87" s="48">
        <f>IF(ISERROR(VLOOKUP(A87,'HRGs to TFCs 2'!A:L,7,FALSE)),0,VLOOKUP(A87,'HRGs to TFCs 2'!A:L,7,FALSE))</f>
        <v>0</v>
      </c>
      <c r="K87" s="48">
        <f>IF(ISERROR(VLOOKUP(A87,'HRGs to TFCs 2'!A:L,8,FALSE)),0,VLOOKUP(A87,'HRGs to TFCs 2'!A:L,8,FALSE))</f>
        <v>323266.70009245811</v>
      </c>
      <c r="L87" s="48">
        <f>IF(ISERROR(VLOOKUP(A87,'HRGs to TFCs 2'!A:L,9,FALSE)),0,VLOOKUP(A87,'HRGs to TFCs 2'!A:L,9,FALSE))</f>
        <v>0</v>
      </c>
      <c r="M87" s="49">
        <f>IF(ISERROR(VLOOKUP(A87,'HRGs to TFCs 2'!A:L,10,FALSE)),0,VLOOKUP(A87,'HRGs to TFCs 2'!A:L,10,FALSE))</f>
        <v>578962.22274860425</v>
      </c>
      <c r="N87" s="9">
        <f t="shared" si="5"/>
        <v>0</v>
      </c>
      <c r="O87" s="9">
        <f t="shared" si="5"/>
        <v>1.8848687631533639E-3</v>
      </c>
      <c r="P87" s="9">
        <f t="shared" si="5"/>
        <v>0</v>
      </c>
      <c r="Q87" s="10">
        <f t="shared" si="5"/>
        <v>3.3757507605719009E-3</v>
      </c>
    </row>
    <row r="88" spans="1:17">
      <c r="A88" s="45">
        <v>350</v>
      </c>
      <c r="B88" s="46">
        <f>IF(ISERROR(VLOOKUP(A88,'HRGs to TFCs 2'!A:L,2,FALSE)),0,VLOOKUP(A88,'HRGs to TFCs 2'!A:L,2,FALSE))</f>
        <v>0</v>
      </c>
      <c r="C88" s="46">
        <f>IF(ISERROR(VLOOKUP(A88,'HRGs to TFCs 2'!A:L,3,FALSE)),0,VLOOKUP(A88,'HRGs to TFCs 2'!A:L,3,FALSE))</f>
        <v>56</v>
      </c>
      <c r="D88" s="46">
        <f>IF(ISERROR(VLOOKUP(A88,'HRGs to TFCs 2'!A:L,4,FALSE)),0,VLOOKUP(A88,'HRGs to TFCs 2'!A:L,4,FALSE))</f>
        <v>0</v>
      </c>
      <c r="E88" s="47">
        <f>IF(ISERROR(VLOOKUP(A88,'HRGs to TFCs 2'!A:L,5,FALSE)),0,VLOOKUP(A88,'HRGs to TFCs 2'!A:L,5,FALSE))</f>
        <v>266</v>
      </c>
      <c r="F88" s="9">
        <f t="shared" si="4"/>
        <v>0</v>
      </c>
      <c r="G88" s="9">
        <f t="shared" si="4"/>
        <v>4.1352186976867142E-5</v>
      </c>
      <c r="H88" s="9">
        <f t="shared" si="4"/>
        <v>0</v>
      </c>
      <c r="I88" s="10">
        <f t="shared" si="4"/>
        <v>1.9642288814011893E-4</v>
      </c>
      <c r="J88" s="48">
        <f>IF(ISERROR(VLOOKUP(A88,'HRGs to TFCs 2'!A:L,7,FALSE)),0,VLOOKUP(A88,'HRGs to TFCs 2'!A:L,7,FALSE))</f>
        <v>0</v>
      </c>
      <c r="K88" s="48">
        <f>IF(ISERROR(VLOOKUP(A88,'HRGs to TFCs 2'!A:L,8,FALSE)),0,VLOOKUP(A88,'HRGs to TFCs 2'!A:L,8,FALSE))</f>
        <v>18151.952206009304</v>
      </c>
      <c r="L88" s="48">
        <f>IF(ISERROR(VLOOKUP(A88,'HRGs to TFCs 2'!A:L,9,FALSE)),0,VLOOKUP(A88,'HRGs to TFCs 2'!A:L,9,FALSE))</f>
        <v>0</v>
      </c>
      <c r="M88" s="49">
        <f>IF(ISERROR(VLOOKUP(A88,'HRGs to TFCs 2'!A:L,10,FALSE)),0,VLOOKUP(A88,'HRGs to TFCs 2'!A:L,10,FALSE))</f>
        <v>81152.194077690758</v>
      </c>
      <c r="N88" s="9">
        <f t="shared" si="5"/>
        <v>0</v>
      </c>
      <c r="O88" s="9">
        <f t="shared" si="5"/>
        <v>1.0583845380168793E-4</v>
      </c>
      <c r="P88" s="9">
        <f t="shared" si="5"/>
        <v>0</v>
      </c>
      <c r="Q88" s="10">
        <f t="shared" si="5"/>
        <v>4.7317349926438446E-4</v>
      </c>
    </row>
    <row r="89" spans="1:17">
      <c r="A89" s="45">
        <v>352</v>
      </c>
      <c r="B89" s="46">
        <f>IF(ISERROR(VLOOKUP(A89,'HRGs to TFCs 2'!A:L,2,FALSE)),0,VLOOKUP(A89,'HRGs to TFCs 2'!A:L,2,FALSE))</f>
        <v>0</v>
      </c>
      <c r="C89" s="46">
        <f>IF(ISERROR(VLOOKUP(A89,'HRGs to TFCs 2'!A:L,3,FALSE)),0,VLOOKUP(A89,'HRGs to TFCs 2'!A:L,3,FALSE))</f>
        <v>0</v>
      </c>
      <c r="D89" s="46">
        <f>IF(ISERROR(VLOOKUP(A89,'HRGs to TFCs 2'!A:L,4,FALSE)),0,VLOOKUP(A89,'HRGs to TFCs 2'!A:L,4,FALSE))</f>
        <v>0</v>
      </c>
      <c r="E89" s="47">
        <f>IF(ISERROR(VLOOKUP(A89,'HRGs to TFCs 2'!A:L,5,FALSE)),0,VLOOKUP(A89,'HRGs to TFCs 2'!A:L,5,FALSE))</f>
        <v>0</v>
      </c>
      <c r="F89" s="9">
        <f t="shared" si="4"/>
        <v>0</v>
      </c>
      <c r="G89" s="9">
        <f t="shared" si="4"/>
        <v>0</v>
      </c>
      <c r="H89" s="9">
        <f t="shared" si="4"/>
        <v>0</v>
      </c>
      <c r="I89" s="10">
        <f t="shared" si="4"/>
        <v>0</v>
      </c>
      <c r="J89" s="48">
        <f>IF(ISERROR(VLOOKUP(A89,'HRGs to TFCs 2'!A:L,7,FALSE)),0,VLOOKUP(A89,'HRGs to TFCs 2'!A:L,7,FALSE))</f>
        <v>0</v>
      </c>
      <c r="K89" s="48">
        <f>IF(ISERROR(VLOOKUP(A89,'HRGs to TFCs 2'!A:L,8,FALSE)),0,VLOOKUP(A89,'HRGs to TFCs 2'!A:L,8,FALSE))</f>
        <v>0</v>
      </c>
      <c r="L89" s="48">
        <f>IF(ISERROR(VLOOKUP(A89,'HRGs to TFCs 2'!A:L,9,FALSE)),0,VLOOKUP(A89,'HRGs to TFCs 2'!A:L,9,FALSE))</f>
        <v>0</v>
      </c>
      <c r="M89" s="49">
        <f>IF(ISERROR(VLOOKUP(A89,'HRGs to TFCs 2'!A:L,10,FALSE)),0,VLOOKUP(A89,'HRGs to TFCs 2'!A:L,10,FALSE))</f>
        <v>0</v>
      </c>
      <c r="N89" s="9">
        <f t="shared" si="5"/>
        <v>0</v>
      </c>
      <c r="O89" s="9">
        <f t="shared" si="5"/>
        <v>0</v>
      </c>
      <c r="P89" s="9">
        <f t="shared" si="5"/>
        <v>0</v>
      </c>
      <c r="Q89" s="10">
        <f t="shared" si="5"/>
        <v>0</v>
      </c>
    </row>
    <row r="90" spans="1:17">
      <c r="A90" s="45">
        <v>360</v>
      </c>
      <c r="B90" s="46">
        <f>IF(ISERROR(VLOOKUP(A90,'HRGs to TFCs 2'!A:L,2,FALSE)),0,VLOOKUP(A90,'HRGs to TFCs 2'!A:L,2,FALSE))</f>
        <v>0</v>
      </c>
      <c r="C90" s="46">
        <f>IF(ISERROR(VLOOKUP(A90,'HRGs to TFCs 2'!A:L,3,FALSE)),0,VLOOKUP(A90,'HRGs to TFCs 2'!A:L,3,FALSE))</f>
        <v>0</v>
      </c>
      <c r="D90" s="46">
        <f>IF(ISERROR(VLOOKUP(A90,'HRGs to TFCs 2'!A:L,4,FALSE)),0,VLOOKUP(A90,'HRGs to TFCs 2'!A:L,4,FALSE))</f>
        <v>0</v>
      </c>
      <c r="E90" s="47">
        <f>IF(ISERROR(VLOOKUP(A90,'HRGs to TFCs 2'!A:L,5,FALSE)),0,VLOOKUP(A90,'HRGs to TFCs 2'!A:L,5,FALSE))</f>
        <v>0</v>
      </c>
      <c r="F90" s="9">
        <f t="shared" si="4"/>
        <v>0</v>
      </c>
      <c r="G90" s="9">
        <f t="shared" si="4"/>
        <v>0</v>
      </c>
      <c r="H90" s="9">
        <f t="shared" si="4"/>
        <v>0</v>
      </c>
      <c r="I90" s="10">
        <f t="shared" si="4"/>
        <v>0</v>
      </c>
      <c r="J90" s="48">
        <f>IF(ISERROR(VLOOKUP(A90,'HRGs to TFCs 2'!A:L,7,FALSE)),0,VLOOKUP(A90,'HRGs to TFCs 2'!A:L,7,FALSE))</f>
        <v>0</v>
      </c>
      <c r="K90" s="48">
        <f>IF(ISERROR(VLOOKUP(A90,'HRGs to TFCs 2'!A:L,8,FALSE)),0,VLOOKUP(A90,'HRGs to TFCs 2'!A:L,8,FALSE))</f>
        <v>0</v>
      </c>
      <c r="L90" s="48">
        <f>IF(ISERROR(VLOOKUP(A90,'HRGs to TFCs 2'!A:L,9,FALSE)),0,VLOOKUP(A90,'HRGs to TFCs 2'!A:L,9,FALSE))</f>
        <v>0</v>
      </c>
      <c r="M90" s="49">
        <f>IF(ISERROR(VLOOKUP(A90,'HRGs to TFCs 2'!A:L,10,FALSE)),0,VLOOKUP(A90,'HRGs to TFCs 2'!A:L,10,FALSE))</f>
        <v>0</v>
      </c>
      <c r="N90" s="9">
        <f t="shared" si="5"/>
        <v>0</v>
      </c>
      <c r="O90" s="9">
        <f t="shared" si="5"/>
        <v>0</v>
      </c>
      <c r="P90" s="9">
        <f t="shared" si="5"/>
        <v>0</v>
      </c>
      <c r="Q90" s="10">
        <f t="shared" si="5"/>
        <v>0</v>
      </c>
    </row>
    <row r="91" spans="1:17">
      <c r="A91" s="45">
        <v>361</v>
      </c>
      <c r="B91" s="46">
        <f>IF(ISERROR(VLOOKUP(A91,'HRGs to TFCs 2'!A:L,2,FALSE)),0,VLOOKUP(A91,'HRGs to TFCs 2'!A:L,2,FALSE))</f>
        <v>0</v>
      </c>
      <c r="C91" s="46">
        <f>IF(ISERROR(VLOOKUP(A91,'HRGs to TFCs 2'!A:L,3,FALSE)),0,VLOOKUP(A91,'HRGs to TFCs 2'!A:L,3,FALSE))</f>
        <v>32</v>
      </c>
      <c r="D91" s="46">
        <f>IF(ISERROR(VLOOKUP(A91,'HRGs to TFCs 2'!A:L,4,FALSE)),0,VLOOKUP(A91,'HRGs to TFCs 2'!A:L,4,FALSE))</f>
        <v>0</v>
      </c>
      <c r="E91" s="47">
        <f>IF(ISERROR(VLOOKUP(A91,'HRGs to TFCs 2'!A:L,5,FALSE)),0,VLOOKUP(A91,'HRGs to TFCs 2'!A:L,5,FALSE))</f>
        <v>744</v>
      </c>
      <c r="F91" s="9">
        <f t="shared" si="4"/>
        <v>0</v>
      </c>
      <c r="G91" s="9">
        <f t="shared" si="4"/>
        <v>2.3629821129638368E-5</v>
      </c>
      <c r="H91" s="9">
        <f t="shared" si="4"/>
        <v>0</v>
      </c>
      <c r="I91" s="10">
        <f t="shared" si="4"/>
        <v>5.4939334126409209E-4</v>
      </c>
      <c r="J91" s="48">
        <f>IF(ISERROR(VLOOKUP(A91,'HRGs to TFCs 2'!A:L,7,FALSE)),0,VLOOKUP(A91,'HRGs to TFCs 2'!A:L,7,FALSE))</f>
        <v>0</v>
      </c>
      <c r="K91" s="48">
        <f>IF(ISERROR(VLOOKUP(A91,'HRGs to TFCs 2'!A:L,8,FALSE)),0,VLOOKUP(A91,'HRGs to TFCs 2'!A:L,8,FALSE))</f>
        <v>4497.8215294482279</v>
      </c>
      <c r="L91" s="48">
        <f>IF(ISERROR(VLOOKUP(A91,'HRGs to TFCs 2'!A:L,9,FALSE)),0,VLOOKUP(A91,'HRGs to TFCs 2'!A:L,9,FALSE))</f>
        <v>0</v>
      </c>
      <c r="M91" s="49">
        <f>IF(ISERROR(VLOOKUP(A91,'HRGs to TFCs 2'!A:L,10,FALSE)),0,VLOOKUP(A91,'HRGs to TFCs 2'!A:L,10,FALSE))</f>
        <v>106436.56876838274</v>
      </c>
      <c r="N91" s="9">
        <f t="shared" si="5"/>
        <v>0</v>
      </c>
      <c r="O91" s="9">
        <f t="shared" si="5"/>
        <v>2.6225414806631495E-5</v>
      </c>
      <c r="P91" s="9">
        <f t="shared" si="5"/>
        <v>0</v>
      </c>
      <c r="Q91" s="10">
        <f t="shared" si="5"/>
        <v>6.2059891622418927E-4</v>
      </c>
    </row>
    <row r="92" spans="1:17">
      <c r="A92" s="45">
        <v>370</v>
      </c>
      <c r="B92" s="46">
        <f>IF(ISERROR(VLOOKUP(A92,'HRGs to TFCs 2'!A:L,2,FALSE)),0,VLOOKUP(A92,'HRGs to TFCs 2'!A:L,2,FALSE))</f>
        <v>0</v>
      </c>
      <c r="C92" s="46">
        <f>IF(ISERROR(VLOOKUP(A92,'HRGs to TFCs 2'!A:L,3,FALSE)),0,VLOOKUP(A92,'HRGs to TFCs 2'!A:L,3,FALSE))</f>
        <v>103</v>
      </c>
      <c r="D92" s="46">
        <f>IF(ISERROR(VLOOKUP(A92,'HRGs to TFCs 2'!A:L,4,FALSE)),0,VLOOKUP(A92,'HRGs to TFCs 2'!A:L,4,FALSE))</f>
        <v>0</v>
      </c>
      <c r="E92" s="47">
        <f>IF(ISERROR(VLOOKUP(A92,'HRGs to TFCs 2'!A:L,5,FALSE)),0,VLOOKUP(A92,'HRGs to TFCs 2'!A:L,5,FALSE))</f>
        <v>1162</v>
      </c>
      <c r="F92" s="9">
        <f t="shared" si="4"/>
        <v>0</v>
      </c>
      <c r="G92" s="9">
        <f t="shared" si="4"/>
        <v>7.6058486761023493E-5</v>
      </c>
      <c r="H92" s="9">
        <f t="shared" si="4"/>
        <v>0</v>
      </c>
      <c r="I92" s="10">
        <f t="shared" si="4"/>
        <v>8.5805787976999325E-4</v>
      </c>
      <c r="J92" s="48">
        <f>IF(ISERROR(VLOOKUP(A92,'HRGs to TFCs 2'!A:L,7,FALSE)),0,VLOOKUP(A92,'HRGs to TFCs 2'!A:L,7,FALSE))</f>
        <v>0</v>
      </c>
      <c r="K92" s="48">
        <f>IF(ISERROR(VLOOKUP(A92,'HRGs to TFCs 2'!A:L,8,FALSE)),0,VLOOKUP(A92,'HRGs to TFCs 2'!A:L,8,FALSE))</f>
        <v>19224.442151320618</v>
      </c>
      <c r="L92" s="48">
        <f>IF(ISERROR(VLOOKUP(A92,'HRGs to TFCs 2'!A:L,9,FALSE)),0,VLOOKUP(A92,'HRGs to TFCs 2'!A:L,9,FALSE))</f>
        <v>0</v>
      </c>
      <c r="M92" s="49">
        <f>IF(ISERROR(VLOOKUP(A92,'HRGs to TFCs 2'!A:L,10,FALSE)),0,VLOOKUP(A92,'HRGs to TFCs 2'!A:L,10,FALSE))</f>
        <v>270368.26277599251</v>
      </c>
      <c r="N92" s="9">
        <f t="shared" si="5"/>
        <v>0</v>
      </c>
      <c r="O92" s="9">
        <f t="shared" si="5"/>
        <v>1.1209181301293728E-4</v>
      </c>
      <c r="P92" s="9">
        <f t="shared" si="5"/>
        <v>0</v>
      </c>
      <c r="Q92" s="10">
        <f t="shared" si="5"/>
        <v>1.5764342349792123E-3</v>
      </c>
    </row>
    <row r="93" spans="1:17">
      <c r="A93" s="45">
        <v>371</v>
      </c>
      <c r="B93" s="46">
        <f>IF(ISERROR(VLOOKUP(A93,'HRGs to TFCs 2'!A:L,2,FALSE)),0,VLOOKUP(A93,'HRGs to TFCs 2'!A:L,2,FALSE))</f>
        <v>0</v>
      </c>
      <c r="C93" s="46">
        <f>IF(ISERROR(VLOOKUP(A93,'HRGs to TFCs 2'!A:L,3,FALSE)),0,VLOOKUP(A93,'HRGs to TFCs 2'!A:L,3,FALSE))</f>
        <v>3</v>
      </c>
      <c r="D93" s="46">
        <f>IF(ISERROR(VLOOKUP(A93,'HRGs to TFCs 2'!A:L,4,FALSE)),0,VLOOKUP(A93,'HRGs to TFCs 2'!A:L,4,FALSE))</f>
        <v>0</v>
      </c>
      <c r="E93" s="47">
        <f>IF(ISERROR(VLOOKUP(A93,'HRGs to TFCs 2'!A:L,5,FALSE)),0,VLOOKUP(A93,'HRGs to TFCs 2'!A:L,5,FALSE))</f>
        <v>1</v>
      </c>
      <c r="F93" s="9">
        <f t="shared" si="4"/>
        <v>0</v>
      </c>
      <c r="G93" s="9">
        <f t="shared" si="4"/>
        <v>2.2152957309035971E-6</v>
      </c>
      <c r="H93" s="9">
        <f t="shared" si="4"/>
        <v>0</v>
      </c>
      <c r="I93" s="10">
        <f t="shared" si="4"/>
        <v>7.3843191030119901E-7</v>
      </c>
      <c r="J93" s="48">
        <f>IF(ISERROR(VLOOKUP(A93,'HRGs to TFCs 2'!A:L,7,FALSE)),0,VLOOKUP(A93,'HRGs to TFCs 2'!A:L,7,FALSE))</f>
        <v>0</v>
      </c>
      <c r="K93" s="48">
        <f>IF(ISERROR(VLOOKUP(A93,'HRGs to TFCs 2'!A:L,8,FALSE)),0,VLOOKUP(A93,'HRGs to TFCs 2'!A:L,8,FALSE))</f>
        <v>405.6663304758319</v>
      </c>
      <c r="L93" s="48">
        <f>IF(ISERROR(VLOOKUP(A93,'HRGs to TFCs 2'!A:L,9,FALSE)),0,VLOOKUP(A93,'HRGs to TFCs 2'!A:L,9,FALSE))</f>
        <v>0</v>
      </c>
      <c r="M93" s="49">
        <f>IF(ISERROR(VLOOKUP(A93,'HRGs to TFCs 2'!A:L,10,FALSE)),0,VLOOKUP(A93,'HRGs to TFCs 2'!A:L,10,FALSE))</f>
        <v>135.22211015861063</v>
      </c>
      <c r="N93" s="9">
        <f t="shared" si="5"/>
        <v>0</v>
      </c>
      <c r="O93" s="9">
        <f t="shared" si="5"/>
        <v>2.3653156800816554E-6</v>
      </c>
      <c r="P93" s="9">
        <f t="shared" si="5"/>
        <v>0</v>
      </c>
      <c r="Q93" s="10">
        <f t="shared" si="5"/>
        <v>7.884385600272184E-7</v>
      </c>
    </row>
    <row r="94" spans="1:17">
      <c r="A94" s="45">
        <v>400</v>
      </c>
      <c r="B94" s="46">
        <f>IF(ISERROR(VLOOKUP(A94,'HRGs to TFCs 2'!A:L,2,FALSE)),0,VLOOKUP(A94,'HRGs to TFCs 2'!A:L,2,FALSE))</f>
        <v>0</v>
      </c>
      <c r="C94" s="46">
        <f>IF(ISERROR(VLOOKUP(A94,'HRGs to TFCs 2'!A:L,3,FALSE)),0,VLOOKUP(A94,'HRGs to TFCs 2'!A:L,3,FALSE))</f>
        <v>2074</v>
      </c>
      <c r="D94" s="46">
        <f>IF(ISERROR(VLOOKUP(A94,'HRGs to TFCs 2'!A:L,4,FALSE)),0,VLOOKUP(A94,'HRGs to TFCs 2'!A:L,4,FALSE))</f>
        <v>0</v>
      </c>
      <c r="E94" s="47">
        <f>IF(ISERROR(VLOOKUP(A94,'HRGs to TFCs 2'!A:L,5,FALSE)),0,VLOOKUP(A94,'HRGs to TFCs 2'!A:L,5,FALSE))</f>
        <v>1186</v>
      </c>
      <c r="F94" s="9">
        <f t="shared" si="4"/>
        <v>0</v>
      </c>
      <c r="G94" s="9">
        <f t="shared" si="4"/>
        <v>1.5315077819646867E-3</v>
      </c>
      <c r="H94" s="9">
        <f t="shared" si="4"/>
        <v>0</v>
      </c>
      <c r="I94" s="10">
        <f t="shared" si="4"/>
        <v>8.7578024561722203E-4</v>
      </c>
      <c r="J94" s="48">
        <f>IF(ISERROR(VLOOKUP(A94,'HRGs to TFCs 2'!A:L,7,FALSE)),0,VLOOKUP(A94,'HRGs to TFCs 2'!A:L,7,FALSE))</f>
        <v>0</v>
      </c>
      <c r="K94" s="48">
        <f>IF(ISERROR(VLOOKUP(A94,'HRGs to TFCs 2'!A:L,8,FALSE)),0,VLOOKUP(A94,'HRGs to TFCs 2'!A:L,8,FALSE))</f>
        <v>278479.64711801131</v>
      </c>
      <c r="L94" s="48">
        <f>IF(ISERROR(VLOOKUP(A94,'HRGs to TFCs 2'!A:L,9,FALSE)),0,VLOOKUP(A94,'HRGs to TFCs 2'!A:L,9,FALSE))</f>
        <v>0</v>
      </c>
      <c r="M94" s="49">
        <f>IF(ISERROR(VLOOKUP(A94,'HRGs to TFCs 2'!A:L,10,FALSE)),0,VLOOKUP(A94,'HRGs to TFCs 2'!A:L,10,FALSE))</f>
        <v>209942.39791662595</v>
      </c>
      <c r="N94" s="9">
        <f t="shared" si="5"/>
        <v>0</v>
      </c>
      <c r="O94" s="9">
        <f t="shared" si="5"/>
        <v>1.6237292238160761E-3</v>
      </c>
      <c r="P94" s="9">
        <f t="shared" si="5"/>
        <v>0</v>
      </c>
      <c r="Q94" s="10">
        <f t="shared" si="5"/>
        <v>1.2241095905683552E-3</v>
      </c>
    </row>
    <row r="95" spans="1:17">
      <c r="A95" s="45">
        <v>401</v>
      </c>
      <c r="B95" s="46">
        <f>IF(ISERROR(VLOOKUP(A95,'HRGs to TFCs 2'!A:L,2,FALSE)),0,VLOOKUP(A95,'HRGs to TFCs 2'!A:L,2,FALSE))</f>
        <v>0</v>
      </c>
      <c r="C95" s="46">
        <f>IF(ISERROR(VLOOKUP(A95,'HRGs to TFCs 2'!A:L,3,FALSE)),0,VLOOKUP(A95,'HRGs to TFCs 2'!A:L,3,FALSE))</f>
        <v>1336</v>
      </c>
      <c r="D95" s="46">
        <f>IF(ISERROR(VLOOKUP(A95,'HRGs to TFCs 2'!A:L,4,FALSE)),0,VLOOKUP(A95,'HRGs to TFCs 2'!A:L,4,FALSE))</f>
        <v>0</v>
      </c>
      <c r="E95" s="47">
        <f>IF(ISERROR(VLOOKUP(A95,'HRGs to TFCs 2'!A:L,5,FALSE)),0,VLOOKUP(A95,'HRGs to TFCs 2'!A:L,5,FALSE))</f>
        <v>61</v>
      </c>
      <c r="F95" s="9">
        <f t="shared" si="4"/>
        <v>0</v>
      </c>
      <c r="G95" s="9">
        <f t="shared" si="4"/>
        <v>9.8654503216240178E-4</v>
      </c>
      <c r="H95" s="9">
        <f t="shared" si="4"/>
        <v>0</v>
      </c>
      <c r="I95" s="10">
        <f t="shared" si="4"/>
        <v>4.5044346528373139E-5</v>
      </c>
      <c r="J95" s="48">
        <f>IF(ISERROR(VLOOKUP(A95,'HRGs to TFCs 2'!A:L,7,FALSE)),0,VLOOKUP(A95,'HRGs to TFCs 2'!A:L,7,FALSE))</f>
        <v>0</v>
      </c>
      <c r="K95" s="48">
        <f>IF(ISERROR(VLOOKUP(A95,'HRGs to TFCs 2'!A:L,8,FALSE)),0,VLOOKUP(A95,'HRGs to TFCs 2'!A:L,8,FALSE))</f>
        <v>167170.30444869195</v>
      </c>
      <c r="L95" s="48">
        <f>IF(ISERROR(VLOOKUP(A95,'HRGs to TFCs 2'!A:L,9,FALSE)),0,VLOOKUP(A95,'HRGs to TFCs 2'!A:L,9,FALSE))</f>
        <v>0</v>
      </c>
      <c r="M95" s="49">
        <f>IF(ISERROR(VLOOKUP(A95,'HRGs to TFCs 2'!A:L,10,FALSE)),0,VLOOKUP(A95,'HRGs to TFCs 2'!A:L,10,FALSE))</f>
        <v>7618.4097902380017</v>
      </c>
      <c r="N95" s="9">
        <f t="shared" si="5"/>
        <v>0</v>
      </c>
      <c r="O95" s="9">
        <f t="shared" si="5"/>
        <v>9.7471866075923277E-4</v>
      </c>
      <c r="P95" s="9">
        <f t="shared" si="5"/>
        <v>0</v>
      </c>
      <c r="Q95" s="10">
        <f t="shared" si="5"/>
        <v>4.4420605754982916E-5</v>
      </c>
    </row>
    <row r="96" spans="1:17">
      <c r="A96" s="45">
        <v>410</v>
      </c>
      <c r="B96" s="46">
        <f>IF(ISERROR(VLOOKUP(A96,'HRGs to TFCs 2'!A:L,2,FALSE)),0,VLOOKUP(A96,'HRGs to TFCs 2'!A:L,2,FALSE))</f>
        <v>0</v>
      </c>
      <c r="C96" s="46">
        <f>IF(ISERROR(VLOOKUP(A96,'HRGs to TFCs 2'!A:L,3,FALSE)),0,VLOOKUP(A96,'HRGs to TFCs 2'!A:L,3,FALSE))</f>
        <v>2349</v>
      </c>
      <c r="D96" s="46">
        <f>IF(ISERROR(VLOOKUP(A96,'HRGs to TFCs 2'!A:L,4,FALSE)),0,VLOOKUP(A96,'HRGs to TFCs 2'!A:L,4,FALSE))</f>
        <v>0</v>
      </c>
      <c r="E96" s="47">
        <f>IF(ISERROR(VLOOKUP(A96,'HRGs to TFCs 2'!A:L,5,FALSE)),0,VLOOKUP(A96,'HRGs to TFCs 2'!A:L,5,FALSE))</f>
        <v>10935</v>
      </c>
      <c r="F96" s="9">
        <f t="shared" si="4"/>
        <v>0</v>
      </c>
      <c r="G96" s="9">
        <f t="shared" si="4"/>
        <v>1.7345765572975163E-3</v>
      </c>
      <c r="H96" s="9">
        <f t="shared" si="4"/>
        <v>0</v>
      </c>
      <c r="I96" s="10">
        <f t="shared" si="4"/>
        <v>8.0747529391436111E-3</v>
      </c>
      <c r="J96" s="48">
        <f>IF(ISERROR(VLOOKUP(A96,'HRGs to TFCs 2'!A:L,7,FALSE)),0,VLOOKUP(A96,'HRGs to TFCs 2'!A:L,7,FALSE))</f>
        <v>0</v>
      </c>
      <c r="K96" s="48">
        <f>IF(ISERROR(VLOOKUP(A96,'HRGs to TFCs 2'!A:L,8,FALSE)),0,VLOOKUP(A96,'HRGs to TFCs 2'!A:L,8,FALSE))</f>
        <v>533426.39400717511</v>
      </c>
      <c r="L96" s="48">
        <f>IF(ISERROR(VLOOKUP(A96,'HRGs to TFCs 2'!A:L,9,FALSE)),0,VLOOKUP(A96,'HRGs to TFCs 2'!A:L,9,FALSE))</f>
        <v>0</v>
      </c>
      <c r="M96" s="49">
        <f>IF(ISERROR(VLOOKUP(A96,'HRGs to TFCs 2'!A:L,10,FALSE)),0,VLOOKUP(A96,'HRGs to TFCs 2'!A:L,10,FALSE))</f>
        <v>2554963.6208128361</v>
      </c>
      <c r="N96" s="9">
        <f t="shared" si="5"/>
        <v>0</v>
      </c>
      <c r="O96" s="9">
        <f t="shared" si="5"/>
        <v>3.1102453398945693E-3</v>
      </c>
      <c r="P96" s="9">
        <f t="shared" si="5"/>
        <v>0</v>
      </c>
      <c r="Q96" s="10">
        <f t="shared" si="5"/>
        <v>1.4897207533241015E-2</v>
      </c>
    </row>
    <row r="97" spans="1:17">
      <c r="A97" s="45">
        <v>420</v>
      </c>
      <c r="B97" s="46">
        <f>IF(ISERROR(VLOOKUP(A97,'HRGs to TFCs 2'!A:L,2,FALSE)),0,VLOOKUP(A97,'HRGs to TFCs 2'!A:L,2,FALSE))</f>
        <v>0</v>
      </c>
      <c r="C97" s="46">
        <f>IF(ISERROR(VLOOKUP(A97,'HRGs to TFCs 2'!A:L,3,FALSE)),0,VLOOKUP(A97,'HRGs to TFCs 2'!A:L,3,FALSE))</f>
        <v>1503</v>
      </c>
      <c r="D97" s="46">
        <f>IF(ISERROR(VLOOKUP(A97,'HRGs to TFCs 2'!A:L,4,FALSE)),0,VLOOKUP(A97,'HRGs to TFCs 2'!A:L,4,FALSE))</f>
        <v>0</v>
      </c>
      <c r="E97" s="47">
        <f>IF(ISERROR(VLOOKUP(A97,'HRGs to TFCs 2'!A:L,5,FALSE)),0,VLOOKUP(A97,'HRGs to TFCs 2'!A:L,5,FALSE))</f>
        <v>5385</v>
      </c>
      <c r="F97" s="9">
        <f t="shared" si="4"/>
        <v>0</v>
      </c>
      <c r="G97" s="9">
        <f t="shared" si="4"/>
        <v>1.1098631611827022E-3</v>
      </c>
      <c r="H97" s="9">
        <f t="shared" si="4"/>
        <v>0</v>
      </c>
      <c r="I97" s="10">
        <f t="shared" si="4"/>
        <v>3.9764558369719564E-3</v>
      </c>
      <c r="J97" s="48">
        <f>IF(ISERROR(VLOOKUP(A97,'HRGs to TFCs 2'!A:L,7,FALSE)),0,VLOOKUP(A97,'HRGs to TFCs 2'!A:L,7,FALSE))</f>
        <v>0</v>
      </c>
      <c r="K97" s="48">
        <f>IF(ISERROR(VLOOKUP(A97,'HRGs to TFCs 2'!A:L,8,FALSE)),0,VLOOKUP(A97,'HRGs to TFCs 2'!A:L,8,FALSE))</f>
        <v>215967.98291799231</v>
      </c>
      <c r="L97" s="48">
        <f>IF(ISERROR(VLOOKUP(A97,'HRGs to TFCs 2'!A:L,9,FALSE)),0,VLOOKUP(A97,'HRGs to TFCs 2'!A:L,9,FALSE))</f>
        <v>0</v>
      </c>
      <c r="M97" s="49">
        <f>IF(ISERROR(VLOOKUP(A97,'HRGs to TFCs 2'!A:L,10,FALSE)),0,VLOOKUP(A97,'HRGs to TFCs 2'!A:L,10,FALSE))</f>
        <v>741626.66239403596</v>
      </c>
      <c r="N97" s="9">
        <f t="shared" si="5"/>
        <v>0</v>
      </c>
      <c r="O97" s="9">
        <f t="shared" si="5"/>
        <v>1.2592429245787944E-3</v>
      </c>
      <c r="P97" s="9">
        <f t="shared" si="5"/>
        <v>0</v>
      </c>
      <c r="Q97" s="10">
        <f t="shared" si="5"/>
        <v>4.3241971086672298E-3</v>
      </c>
    </row>
    <row r="98" spans="1:17">
      <c r="A98" s="45">
        <v>421</v>
      </c>
      <c r="B98" s="46">
        <f>IF(ISERROR(VLOOKUP(A98,'HRGs to TFCs 2'!A:L,2,FALSE)),0,VLOOKUP(A98,'HRGs to TFCs 2'!A:L,2,FALSE))</f>
        <v>0</v>
      </c>
      <c r="C98" s="46">
        <f>IF(ISERROR(VLOOKUP(A98,'HRGs to TFCs 2'!A:L,3,FALSE)),0,VLOOKUP(A98,'HRGs to TFCs 2'!A:L,3,FALSE))</f>
        <v>65</v>
      </c>
      <c r="D98" s="46">
        <f>IF(ISERROR(VLOOKUP(A98,'HRGs to TFCs 2'!A:L,4,FALSE)),0,VLOOKUP(A98,'HRGs to TFCs 2'!A:L,4,FALSE))</f>
        <v>0</v>
      </c>
      <c r="E98" s="47">
        <f>IF(ISERROR(VLOOKUP(A98,'HRGs to TFCs 2'!A:L,5,FALSE)),0,VLOOKUP(A98,'HRGs to TFCs 2'!A:L,5,FALSE))</f>
        <v>62</v>
      </c>
      <c r="F98" s="9">
        <f t="shared" si="4"/>
        <v>0</v>
      </c>
      <c r="G98" s="9">
        <f t="shared" si="4"/>
        <v>4.7998074169577933E-5</v>
      </c>
      <c r="H98" s="9">
        <f t="shared" si="4"/>
        <v>0</v>
      </c>
      <c r="I98" s="10">
        <f t="shared" si="4"/>
        <v>4.5782778438674336E-5</v>
      </c>
      <c r="J98" s="48">
        <f>IF(ISERROR(VLOOKUP(A98,'HRGs to TFCs 2'!A:L,7,FALSE)),0,VLOOKUP(A98,'HRGs to TFCs 2'!A:L,7,FALSE))</f>
        <v>0</v>
      </c>
      <c r="K98" s="48">
        <f>IF(ISERROR(VLOOKUP(A98,'HRGs to TFCs 2'!A:L,8,FALSE)),0,VLOOKUP(A98,'HRGs to TFCs 2'!A:L,8,FALSE))</f>
        <v>10344.626314468065</v>
      </c>
      <c r="L98" s="48">
        <f>IF(ISERROR(VLOOKUP(A98,'HRGs to TFCs 2'!A:L,9,FALSE)),0,VLOOKUP(A98,'HRGs to TFCs 2'!A:L,9,FALSE))</f>
        <v>0</v>
      </c>
      <c r="M98" s="49">
        <f>IF(ISERROR(VLOOKUP(A98,'HRGs to TFCs 2'!A:L,10,FALSE)),0,VLOOKUP(A98,'HRGs to TFCs 2'!A:L,10,FALSE))</f>
        <v>14654.203653131563</v>
      </c>
      <c r="N98" s="9">
        <f t="shared" si="5"/>
        <v>0</v>
      </c>
      <c r="O98" s="9">
        <f t="shared" si="5"/>
        <v>6.0316336328667414E-5</v>
      </c>
      <c r="P98" s="9">
        <f t="shared" si="5"/>
        <v>0</v>
      </c>
      <c r="Q98" s="10">
        <f t="shared" si="5"/>
        <v>8.5444157120964179E-5</v>
      </c>
    </row>
    <row r="99" spans="1:17">
      <c r="A99" s="45">
        <v>422</v>
      </c>
      <c r="B99" s="46">
        <f>IF(ISERROR(VLOOKUP(A99,'HRGs to TFCs 2'!A:L,2,FALSE)),0,VLOOKUP(A99,'HRGs to TFCs 2'!A:L,2,FALSE))</f>
        <v>0</v>
      </c>
      <c r="C99" s="46">
        <f>IF(ISERROR(VLOOKUP(A99,'HRGs to TFCs 2'!A:L,3,FALSE)),0,VLOOKUP(A99,'HRGs to TFCs 2'!A:L,3,FALSE))</f>
        <v>0</v>
      </c>
      <c r="D99" s="46">
        <f>IF(ISERROR(VLOOKUP(A99,'HRGs to TFCs 2'!A:L,4,FALSE)),0,VLOOKUP(A99,'HRGs to TFCs 2'!A:L,4,FALSE))</f>
        <v>0</v>
      </c>
      <c r="E99" s="47">
        <f>IF(ISERROR(VLOOKUP(A99,'HRGs to TFCs 2'!A:L,5,FALSE)),0,VLOOKUP(A99,'HRGs to TFCs 2'!A:L,5,FALSE))</f>
        <v>0</v>
      </c>
      <c r="F99" s="9">
        <f t="shared" si="4"/>
        <v>0</v>
      </c>
      <c r="G99" s="9">
        <f t="shared" si="4"/>
        <v>0</v>
      </c>
      <c r="H99" s="9">
        <f t="shared" si="4"/>
        <v>0</v>
      </c>
      <c r="I99" s="10">
        <f t="shared" si="4"/>
        <v>0</v>
      </c>
      <c r="J99" s="48">
        <f>IF(ISERROR(VLOOKUP(A99,'HRGs to TFCs 2'!A:L,7,FALSE)),0,VLOOKUP(A99,'HRGs to TFCs 2'!A:L,7,FALSE))</f>
        <v>0</v>
      </c>
      <c r="K99" s="48">
        <f>IF(ISERROR(VLOOKUP(A99,'HRGs to TFCs 2'!A:L,8,FALSE)),0,VLOOKUP(A99,'HRGs to TFCs 2'!A:L,8,FALSE))</f>
        <v>0</v>
      </c>
      <c r="L99" s="48">
        <f>IF(ISERROR(VLOOKUP(A99,'HRGs to TFCs 2'!A:L,9,FALSE)),0,VLOOKUP(A99,'HRGs to TFCs 2'!A:L,9,FALSE))</f>
        <v>0</v>
      </c>
      <c r="M99" s="49">
        <f>IF(ISERROR(VLOOKUP(A99,'HRGs to TFCs 2'!A:L,10,FALSE)),0,VLOOKUP(A99,'HRGs to TFCs 2'!A:L,10,FALSE))</f>
        <v>0</v>
      </c>
      <c r="N99" s="9">
        <f t="shared" si="5"/>
        <v>0</v>
      </c>
      <c r="O99" s="9">
        <f t="shared" si="5"/>
        <v>0</v>
      </c>
      <c r="P99" s="9">
        <f t="shared" si="5"/>
        <v>0</v>
      </c>
      <c r="Q99" s="10">
        <f t="shared" si="5"/>
        <v>0</v>
      </c>
    </row>
    <row r="100" spans="1:17">
      <c r="A100" s="45">
        <v>430</v>
      </c>
      <c r="B100" s="46">
        <f>IF(ISERROR(VLOOKUP(A100,'HRGs to TFCs 2'!A:L,2,FALSE)),0,VLOOKUP(A100,'HRGs to TFCs 2'!A:L,2,FALSE))</f>
        <v>0</v>
      </c>
      <c r="C100" s="46">
        <f>IF(ISERROR(VLOOKUP(A100,'HRGs to TFCs 2'!A:L,3,FALSE)),0,VLOOKUP(A100,'HRGs to TFCs 2'!A:L,3,FALSE))</f>
        <v>1010</v>
      </c>
      <c r="D100" s="46">
        <f>IF(ISERROR(VLOOKUP(A100,'HRGs to TFCs 2'!A:L,4,FALSE)),0,VLOOKUP(A100,'HRGs to TFCs 2'!A:L,4,FALSE))</f>
        <v>0</v>
      </c>
      <c r="E100" s="47">
        <f>IF(ISERROR(VLOOKUP(A100,'HRGs to TFCs 2'!A:L,5,FALSE)),0,VLOOKUP(A100,'HRGs to TFCs 2'!A:L,5,FALSE))</f>
        <v>801</v>
      </c>
      <c r="F100" s="9">
        <f t="shared" si="4"/>
        <v>0</v>
      </c>
      <c r="G100" s="9">
        <f t="shared" si="4"/>
        <v>7.4581622940421096E-4</v>
      </c>
      <c r="H100" s="9">
        <f t="shared" si="4"/>
        <v>0</v>
      </c>
      <c r="I100" s="10">
        <f t="shared" si="4"/>
        <v>5.9148396015126043E-4</v>
      </c>
      <c r="J100" s="48">
        <f>IF(ISERROR(VLOOKUP(A100,'HRGs to TFCs 2'!A:L,7,FALSE)),0,VLOOKUP(A100,'HRGs to TFCs 2'!A:L,7,FALSE))</f>
        <v>0</v>
      </c>
      <c r="K100" s="48">
        <f>IF(ISERROR(VLOOKUP(A100,'HRGs to TFCs 2'!A:L,8,FALSE)),0,VLOOKUP(A100,'HRGs to TFCs 2'!A:L,8,FALSE))</f>
        <v>368092.96051142243</v>
      </c>
      <c r="L100" s="48">
        <f>IF(ISERROR(VLOOKUP(A100,'HRGs to TFCs 2'!A:L,9,FALSE)),0,VLOOKUP(A100,'HRGs to TFCs 2'!A:L,9,FALSE))</f>
        <v>0</v>
      </c>
      <c r="M100" s="49">
        <f>IF(ISERROR(VLOOKUP(A100,'HRGs to TFCs 2'!A:L,10,FALSE)),0,VLOOKUP(A100,'HRGs to TFCs 2'!A:L,10,FALSE))</f>
        <v>260820.57310816034</v>
      </c>
      <c r="N100" s="9">
        <f t="shared" si="5"/>
        <v>0</v>
      </c>
      <c r="O100" s="9">
        <f t="shared" si="5"/>
        <v>2.146236909048126E-3</v>
      </c>
      <c r="P100" s="9">
        <f t="shared" si="5"/>
        <v>0</v>
      </c>
      <c r="Q100" s="10">
        <f t="shared" si="5"/>
        <v>1.5207645912762519E-3</v>
      </c>
    </row>
    <row r="101" spans="1:17">
      <c r="A101" s="45">
        <v>450</v>
      </c>
      <c r="B101" s="46">
        <f>IF(ISERROR(VLOOKUP(A101,'HRGs to TFCs 2'!A:L,2,FALSE)),0,VLOOKUP(A101,'HRGs to TFCs 2'!A:L,2,FALSE))</f>
        <v>0</v>
      </c>
      <c r="C101" s="46">
        <f>IF(ISERROR(VLOOKUP(A101,'HRGs to TFCs 2'!A:L,3,FALSE)),0,VLOOKUP(A101,'HRGs to TFCs 2'!A:L,3,FALSE))</f>
        <v>0</v>
      </c>
      <c r="D101" s="46">
        <f>IF(ISERROR(VLOOKUP(A101,'HRGs to TFCs 2'!A:L,4,FALSE)),0,VLOOKUP(A101,'HRGs to TFCs 2'!A:L,4,FALSE))</f>
        <v>0</v>
      </c>
      <c r="E101" s="47">
        <f>IF(ISERROR(VLOOKUP(A101,'HRGs to TFCs 2'!A:L,5,FALSE)),0,VLOOKUP(A101,'HRGs to TFCs 2'!A:L,5,FALSE))</f>
        <v>0</v>
      </c>
      <c r="F101" s="9">
        <f t="shared" si="4"/>
        <v>0</v>
      </c>
      <c r="G101" s="9">
        <f t="shared" si="4"/>
        <v>0</v>
      </c>
      <c r="H101" s="9">
        <f t="shared" si="4"/>
        <v>0</v>
      </c>
      <c r="I101" s="10">
        <f t="shared" si="4"/>
        <v>0</v>
      </c>
      <c r="J101" s="48">
        <f>IF(ISERROR(VLOOKUP(A101,'HRGs to TFCs 2'!A:L,7,FALSE)),0,VLOOKUP(A101,'HRGs to TFCs 2'!A:L,7,FALSE))</f>
        <v>0</v>
      </c>
      <c r="K101" s="48">
        <f>IF(ISERROR(VLOOKUP(A101,'HRGs to TFCs 2'!A:L,8,FALSE)),0,VLOOKUP(A101,'HRGs to TFCs 2'!A:L,8,FALSE))</f>
        <v>0</v>
      </c>
      <c r="L101" s="48">
        <f>IF(ISERROR(VLOOKUP(A101,'HRGs to TFCs 2'!A:L,9,FALSE)),0,VLOOKUP(A101,'HRGs to TFCs 2'!A:L,9,FALSE))</f>
        <v>0</v>
      </c>
      <c r="M101" s="49">
        <f>IF(ISERROR(VLOOKUP(A101,'HRGs to TFCs 2'!A:L,10,FALSE)),0,VLOOKUP(A101,'HRGs to TFCs 2'!A:L,10,FALSE))</f>
        <v>0</v>
      </c>
      <c r="N101" s="9">
        <f t="shared" si="5"/>
        <v>0</v>
      </c>
      <c r="O101" s="9">
        <f t="shared" si="5"/>
        <v>0</v>
      </c>
      <c r="P101" s="9">
        <f t="shared" si="5"/>
        <v>0</v>
      </c>
      <c r="Q101" s="10">
        <f t="shared" si="5"/>
        <v>0</v>
      </c>
    </row>
    <row r="102" spans="1:17">
      <c r="A102" s="45">
        <v>460</v>
      </c>
      <c r="B102" s="46">
        <f>IF(ISERROR(VLOOKUP(A102,'HRGs to TFCs 2'!A:L,2,FALSE)),0,VLOOKUP(A102,'HRGs to TFCs 2'!A:L,2,FALSE))</f>
        <v>0</v>
      </c>
      <c r="C102" s="46">
        <f>IF(ISERROR(VLOOKUP(A102,'HRGs to TFCs 2'!A:L,3,FALSE)),0,VLOOKUP(A102,'HRGs to TFCs 2'!A:L,3,FALSE))</f>
        <v>7</v>
      </c>
      <c r="D102" s="46">
        <f>IF(ISERROR(VLOOKUP(A102,'HRGs to TFCs 2'!A:L,4,FALSE)),0,VLOOKUP(A102,'HRGs to TFCs 2'!A:L,4,FALSE))</f>
        <v>0</v>
      </c>
      <c r="E102" s="47">
        <f>IF(ISERROR(VLOOKUP(A102,'HRGs to TFCs 2'!A:L,5,FALSE)),0,VLOOKUP(A102,'HRGs to TFCs 2'!A:L,5,FALSE))</f>
        <v>31</v>
      </c>
      <c r="F102" s="9">
        <f t="shared" si="4"/>
        <v>0</v>
      </c>
      <c r="G102" s="9">
        <f t="shared" si="4"/>
        <v>5.1690233721083927E-6</v>
      </c>
      <c r="H102" s="9">
        <f t="shared" si="4"/>
        <v>0</v>
      </c>
      <c r="I102" s="10">
        <f t="shared" si="4"/>
        <v>2.2891389219337168E-5</v>
      </c>
      <c r="J102" s="48">
        <f>IF(ISERROR(VLOOKUP(A102,'HRGs to TFCs 2'!A:L,7,FALSE)),0,VLOOKUP(A102,'HRGs to TFCs 2'!A:L,7,FALSE))</f>
        <v>0</v>
      </c>
      <c r="K102" s="48">
        <f>IF(ISERROR(VLOOKUP(A102,'HRGs to TFCs 2'!A:L,8,FALSE)),0,VLOOKUP(A102,'HRGs to TFCs 2'!A:L,8,FALSE))</f>
        <v>2963.2511089814402</v>
      </c>
      <c r="L102" s="48">
        <f>IF(ISERROR(VLOOKUP(A102,'HRGs to TFCs 2'!A:L,9,FALSE)),0,VLOOKUP(A102,'HRGs to TFCs 2'!A:L,9,FALSE))</f>
        <v>0</v>
      </c>
      <c r="M102" s="49">
        <f>IF(ISERROR(VLOOKUP(A102,'HRGs to TFCs 2'!A:L,10,FALSE)),0,VLOOKUP(A102,'HRGs to TFCs 2'!A:L,10,FALSE))</f>
        <v>6388.066544536724</v>
      </c>
      <c r="N102" s="9">
        <f t="shared" si="5"/>
        <v>0</v>
      </c>
      <c r="O102" s="9">
        <f t="shared" si="5"/>
        <v>1.7277806378142903E-5</v>
      </c>
      <c r="P102" s="9">
        <f t="shared" si="5"/>
        <v>0</v>
      </c>
      <c r="Q102" s="10">
        <f t="shared" si="5"/>
        <v>3.7246852469798299E-5</v>
      </c>
    </row>
    <row r="103" spans="1:17">
      <c r="A103" s="45">
        <v>501</v>
      </c>
      <c r="B103" s="46">
        <f>IF(ISERROR(VLOOKUP(A103,'HRGs to TFCs 2'!A:L,2,FALSE)),0,VLOOKUP(A103,'HRGs to TFCs 2'!A:L,2,FALSE))</f>
        <v>0</v>
      </c>
      <c r="C103" s="46">
        <f>IF(ISERROR(VLOOKUP(A103,'HRGs to TFCs 2'!A:L,3,FALSE)),0,VLOOKUP(A103,'HRGs to TFCs 2'!A:L,3,FALSE))</f>
        <v>165135</v>
      </c>
      <c r="D103" s="46">
        <f>IF(ISERROR(VLOOKUP(A103,'HRGs to TFCs 2'!A:L,4,FALSE)),0,VLOOKUP(A103,'HRGs to TFCs 2'!A:L,4,FALSE))</f>
        <v>0</v>
      </c>
      <c r="E103" s="47">
        <f>IF(ISERROR(VLOOKUP(A103,'HRGs to TFCs 2'!A:L,5,FALSE)),0,VLOOKUP(A103,'HRGs to TFCs 2'!A:L,5,FALSE))</f>
        <v>303375</v>
      </c>
      <c r="F103" s="9">
        <f t="shared" si="4"/>
        <v>0</v>
      </c>
      <c r="G103" s="9">
        <f t="shared" si="4"/>
        <v>0.12194095350758849</v>
      </c>
      <c r="H103" s="9">
        <f t="shared" si="4"/>
        <v>0</v>
      </c>
      <c r="I103" s="10">
        <f t="shared" si="4"/>
        <v>0.22402178078762625</v>
      </c>
      <c r="J103" s="48">
        <f>IF(ISERROR(VLOOKUP(A103,'HRGs to TFCs 2'!A:L,7,FALSE)),0,VLOOKUP(A103,'HRGs to TFCs 2'!A:L,7,FALSE))</f>
        <v>0</v>
      </c>
      <c r="K103" s="48">
        <f>IF(ISERROR(VLOOKUP(A103,'HRGs to TFCs 2'!A:L,8,FALSE)),0,VLOOKUP(A103,'HRGs to TFCs 2'!A:L,8,FALSE))</f>
        <v>19941007.287973627</v>
      </c>
      <c r="L103" s="48">
        <f>IF(ISERROR(VLOOKUP(A103,'HRGs to TFCs 2'!A:L,9,FALSE)),0,VLOOKUP(A103,'HRGs to TFCs 2'!A:L,9,FALSE))</f>
        <v>0</v>
      </c>
      <c r="M103" s="49">
        <f>IF(ISERROR(VLOOKUP(A103,'HRGs to TFCs 2'!A:L,10,FALSE)),0,VLOOKUP(A103,'HRGs to TFCs 2'!A:L,10,FALSE))</f>
        <v>34444485.514354758</v>
      </c>
      <c r="N103" s="9">
        <f t="shared" si="5"/>
        <v>0</v>
      </c>
      <c r="O103" s="9">
        <f t="shared" si="5"/>
        <v>0.11626988406837133</v>
      </c>
      <c r="P103" s="9">
        <f t="shared" si="5"/>
        <v>0</v>
      </c>
      <c r="Q103" s="10">
        <f t="shared" si="5"/>
        <v>0.20083520755564049</v>
      </c>
    </row>
    <row r="104" spans="1:17">
      <c r="A104" s="45">
        <v>502</v>
      </c>
      <c r="B104" s="46">
        <f>IF(ISERROR(VLOOKUP(A104,'HRGs to TFCs 2'!A:L,2,FALSE)),0,VLOOKUP(A104,'HRGs to TFCs 2'!A:L,2,FALSE))</f>
        <v>0</v>
      </c>
      <c r="C104" s="46">
        <f>IF(ISERROR(VLOOKUP(A104,'HRGs to TFCs 2'!A:L,3,FALSE)),0,VLOOKUP(A104,'HRGs to TFCs 2'!A:L,3,FALSE))</f>
        <v>76707</v>
      </c>
      <c r="D104" s="46">
        <f>IF(ISERROR(VLOOKUP(A104,'HRGs to TFCs 2'!A:L,4,FALSE)),0,VLOOKUP(A104,'HRGs to TFCs 2'!A:L,4,FALSE))</f>
        <v>0</v>
      </c>
      <c r="E104" s="47">
        <f>IF(ISERROR(VLOOKUP(A104,'HRGs to TFCs 2'!A:L,5,FALSE)),0,VLOOKUP(A104,'HRGs to TFCs 2'!A:L,5,FALSE))</f>
        <v>40627</v>
      </c>
      <c r="F104" s="9">
        <f t="shared" ref="F104:I117" si="6">IF(ISERROR(B104/$E$4),0,B104/$E$4)</f>
        <v>0</v>
      </c>
      <c r="G104" s="9">
        <f t="shared" si="6"/>
        <v>5.6642896543474069E-2</v>
      </c>
      <c r="H104" s="9">
        <f t="shared" si="6"/>
        <v>0</v>
      </c>
      <c r="I104" s="10">
        <f t="shared" si="6"/>
        <v>3.0000273219806813E-2</v>
      </c>
      <c r="J104" s="48">
        <f>IF(ISERROR(VLOOKUP(A104,'HRGs to TFCs 2'!A:L,7,FALSE)),0,VLOOKUP(A104,'HRGs to TFCs 2'!A:L,7,FALSE))</f>
        <v>0</v>
      </c>
      <c r="K104" s="48">
        <f>IF(ISERROR(VLOOKUP(A104,'HRGs to TFCs 2'!A:L,8,FALSE)),0,VLOOKUP(A104,'HRGs to TFCs 2'!A:L,8,FALSE))</f>
        <v>9185805.9087890536</v>
      </c>
      <c r="L104" s="48">
        <f>IF(ISERROR(VLOOKUP(A104,'HRGs to TFCs 2'!A:L,9,FALSE)),0,VLOOKUP(A104,'HRGs to TFCs 2'!A:L,9,FALSE))</f>
        <v>0</v>
      </c>
      <c r="M104" s="49">
        <f>IF(ISERROR(VLOOKUP(A104,'HRGs to TFCs 2'!A:L,10,FALSE)),0,VLOOKUP(A104,'HRGs to TFCs 2'!A:L,10,FALSE))</f>
        <v>5032395.7267259462</v>
      </c>
      <c r="N104" s="9">
        <f t="shared" si="5"/>
        <v>0</v>
      </c>
      <c r="O104" s="9">
        <f t="shared" si="5"/>
        <v>5.3559610739102002E-2</v>
      </c>
      <c r="P104" s="9">
        <f t="shared" si="5"/>
        <v>0</v>
      </c>
      <c r="Q104" s="10">
        <f t="shared" si="5"/>
        <v>2.9342352634587076E-2</v>
      </c>
    </row>
    <row r="105" spans="1:17">
      <c r="A105" s="45">
        <v>503</v>
      </c>
      <c r="B105" s="46">
        <f>IF(ISERROR(VLOOKUP(A105,'HRGs to TFCs 2'!A:L,2,FALSE)),0,VLOOKUP(A105,'HRGs to TFCs 2'!A:L,2,FALSE))</f>
        <v>0</v>
      </c>
      <c r="C105" s="46">
        <f>IF(ISERROR(VLOOKUP(A105,'HRGs to TFCs 2'!A:L,3,FALSE)),0,VLOOKUP(A105,'HRGs to TFCs 2'!A:L,3,FALSE))</f>
        <v>107</v>
      </c>
      <c r="D105" s="46">
        <f>IF(ISERROR(VLOOKUP(A105,'HRGs to TFCs 2'!A:L,4,FALSE)),0,VLOOKUP(A105,'HRGs to TFCs 2'!A:L,4,FALSE))</f>
        <v>0</v>
      </c>
      <c r="E105" s="47">
        <f>IF(ISERROR(VLOOKUP(A105,'HRGs to TFCs 2'!A:L,5,FALSE)),0,VLOOKUP(A105,'HRGs to TFCs 2'!A:L,5,FALSE))</f>
        <v>172</v>
      </c>
      <c r="F105" s="9">
        <f t="shared" si="6"/>
        <v>0</v>
      </c>
      <c r="G105" s="9">
        <f t="shared" si="6"/>
        <v>7.9012214402228293E-5</v>
      </c>
      <c r="H105" s="9">
        <f t="shared" si="6"/>
        <v>0</v>
      </c>
      <c r="I105" s="10">
        <f t="shared" si="6"/>
        <v>1.2701028857180623E-4</v>
      </c>
      <c r="J105" s="48">
        <f>IF(ISERROR(VLOOKUP(A105,'HRGs to TFCs 2'!A:L,7,FALSE)),0,VLOOKUP(A105,'HRGs to TFCs 2'!A:L,7,FALSE))</f>
        <v>0</v>
      </c>
      <c r="K105" s="48">
        <f>IF(ISERROR(VLOOKUP(A105,'HRGs to TFCs 2'!A:L,8,FALSE)),0,VLOOKUP(A105,'HRGs to TFCs 2'!A:L,8,FALSE))</f>
        <v>17634.604056020678</v>
      </c>
      <c r="L105" s="48">
        <f>IF(ISERROR(VLOOKUP(A105,'HRGs to TFCs 2'!A:L,9,FALSE)),0,VLOOKUP(A105,'HRGs to TFCs 2'!A:L,9,FALSE))</f>
        <v>0</v>
      </c>
      <c r="M105" s="49">
        <f>IF(ISERROR(VLOOKUP(A105,'HRGs to TFCs 2'!A:L,10,FALSE)),0,VLOOKUP(A105,'HRGs to TFCs 2'!A:L,10,FALSE))</f>
        <v>27837.037540421636</v>
      </c>
      <c r="N105" s="9">
        <f t="shared" si="5"/>
        <v>0</v>
      </c>
      <c r="O105" s="9">
        <f t="shared" si="5"/>
        <v>1.0282195576056634E-4</v>
      </c>
      <c r="P105" s="9">
        <f t="shared" si="5"/>
        <v>0</v>
      </c>
      <c r="Q105" s="10">
        <f t="shared" si="5"/>
        <v>1.6230920940406632E-4</v>
      </c>
    </row>
    <row r="106" spans="1:17">
      <c r="A106" s="45">
        <v>560</v>
      </c>
      <c r="B106" s="46">
        <f>IF(ISERROR(VLOOKUP(A106,'HRGs to TFCs 2'!A:L,2,FALSE)),0,VLOOKUP(A106,'HRGs to TFCs 2'!A:L,2,FALSE))</f>
        <v>0</v>
      </c>
      <c r="C106" s="46">
        <f>IF(ISERROR(VLOOKUP(A106,'HRGs to TFCs 2'!A:L,3,FALSE)),0,VLOOKUP(A106,'HRGs to TFCs 2'!A:L,3,FALSE))</f>
        <v>41777</v>
      </c>
      <c r="D106" s="46">
        <f>IF(ISERROR(VLOOKUP(A106,'HRGs to TFCs 2'!A:L,4,FALSE)),0,VLOOKUP(A106,'HRGs to TFCs 2'!A:L,4,FALSE))</f>
        <v>0</v>
      </c>
      <c r="E106" s="47">
        <f>IF(ISERROR(VLOOKUP(A106,'HRGs to TFCs 2'!A:L,5,FALSE)),0,VLOOKUP(A106,'HRGs to TFCs 2'!A:L,5,FALSE))</f>
        <v>103481</v>
      </c>
      <c r="F106" s="9">
        <f t="shared" si="6"/>
        <v>0</v>
      </c>
      <c r="G106" s="9">
        <f t="shared" si="6"/>
        <v>3.0849469916653192E-2</v>
      </c>
      <c r="H106" s="9">
        <f t="shared" si="6"/>
        <v>0</v>
      </c>
      <c r="I106" s="10">
        <f t="shared" si="6"/>
        <v>7.6413672509878378E-2</v>
      </c>
      <c r="J106" s="48">
        <f>IF(ISERROR(VLOOKUP(A106,'HRGs to TFCs 2'!A:L,7,FALSE)),0,VLOOKUP(A106,'HRGs to TFCs 2'!A:L,7,FALSE))</f>
        <v>0</v>
      </c>
      <c r="K106" s="48">
        <f>IF(ISERROR(VLOOKUP(A106,'HRGs to TFCs 2'!A:L,8,FALSE)),0,VLOOKUP(A106,'HRGs to TFCs 2'!A:L,8,FALSE))</f>
        <v>5041460.2064056797</v>
      </c>
      <c r="L106" s="48">
        <f>IF(ISERROR(VLOOKUP(A106,'HRGs to TFCs 2'!A:L,9,FALSE)),0,VLOOKUP(A106,'HRGs to TFCs 2'!A:L,9,FALSE))</f>
        <v>0</v>
      </c>
      <c r="M106" s="49">
        <f>IF(ISERROR(VLOOKUP(A106,'HRGs to TFCs 2'!A:L,10,FALSE)),0,VLOOKUP(A106,'HRGs to TFCs 2'!A:L,10,FALSE))</f>
        <v>11348075.944745051</v>
      </c>
      <c r="N106" s="9">
        <f t="shared" si="5"/>
        <v>0</v>
      </c>
      <c r="O106" s="9">
        <f t="shared" si="5"/>
        <v>2.9395204829377575E-2</v>
      </c>
      <c r="P106" s="9">
        <f t="shared" si="5"/>
        <v>0</v>
      </c>
      <c r="Q106" s="10">
        <f t="shared" si="5"/>
        <v>6.616714268442854E-2</v>
      </c>
    </row>
    <row r="107" spans="1:17">
      <c r="A107" s="45">
        <v>650</v>
      </c>
      <c r="B107" s="46">
        <f>IF(ISERROR(VLOOKUP(A107,'HRGs to TFCs 2'!A:L,2,FALSE)),0,VLOOKUP(A107,'HRGs to TFCs 2'!A:L,2,FALSE))</f>
        <v>0</v>
      </c>
      <c r="C107" s="46">
        <f>IF(ISERROR(VLOOKUP(A107,'HRGs to TFCs 2'!A:L,3,FALSE)),0,VLOOKUP(A107,'HRGs to TFCs 2'!A:L,3,FALSE))</f>
        <v>119</v>
      </c>
      <c r="D107" s="46">
        <f>IF(ISERROR(VLOOKUP(A107,'HRGs to TFCs 2'!A:L,4,FALSE)),0,VLOOKUP(A107,'HRGs to TFCs 2'!A:L,4,FALSE))</f>
        <v>0</v>
      </c>
      <c r="E107" s="47">
        <f>IF(ISERROR(VLOOKUP(A107,'HRGs to TFCs 2'!A:L,5,FALSE)),0,VLOOKUP(A107,'HRGs to TFCs 2'!A:L,5,FALSE))</f>
        <v>1638</v>
      </c>
      <c r="F107" s="9">
        <f t="shared" si="6"/>
        <v>0</v>
      </c>
      <c r="G107" s="9">
        <f t="shared" si="6"/>
        <v>8.7873397325842682E-5</v>
      </c>
      <c r="H107" s="9">
        <f t="shared" si="6"/>
        <v>0</v>
      </c>
      <c r="I107" s="10">
        <f t="shared" si="6"/>
        <v>1.209551469073364E-3</v>
      </c>
      <c r="J107" s="48">
        <f>IF(ISERROR(VLOOKUP(A107,'HRGs to TFCs 2'!A:L,7,FALSE)),0,VLOOKUP(A107,'HRGs to TFCs 2'!A:L,7,FALSE))</f>
        <v>0</v>
      </c>
      <c r="K107" s="48">
        <f>IF(ISERROR(VLOOKUP(A107,'HRGs to TFCs 2'!A:L,8,FALSE)),0,VLOOKUP(A107,'HRGs to TFCs 2'!A:L,8,FALSE))</f>
        <v>13889.115451893706</v>
      </c>
      <c r="L107" s="48">
        <f>IF(ISERROR(VLOOKUP(A107,'HRGs to TFCs 2'!A:L,9,FALSE)),0,VLOOKUP(A107,'HRGs to TFCs 2'!A:L,9,FALSE))</f>
        <v>0</v>
      </c>
      <c r="M107" s="49">
        <f>IF(ISERROR(VLOOKUP(A107,'HRGs to TFCs 2'!A:L,10,FALSE)),0,VLOOKUP(A107,'HRGs to TFCs 2'!A:L,10,FALSE))</f>
        <v>181401.55274914848</v>
      </c>
      <c r="N107" s="9">
        <f t="shared" si="5"/>
        <v>0</v>
      </c>
      <c r="O107" s="9">
        <f t="shared" si="5"/>
        <v>8.0983162990860534E-5</v>
      </c>
      <c r="P107" s="9">
        <f t="shared" si="5"/>
        <v>0</v>
      </c>
      <c r="Q107" s="10">
        <f t="shared" si="5"/>
        <v>1.0576966952259375E-3</v>
      </c>
    </row>
    <row r="108" spans="1:17">
      <c r="A108" s="45">
        <v>651</v>
      </c>
      <c r="B108" s="46">
        <f>IF(ISERROR(VLOOKUP(A108,'HRGs to TFCs 2'!A:L,2,FALSE)),0,VLOOKUP(A108,'HRGs to TFCs 2'!A:L,2,FALSE))</f>
        <v>0</v>
      </c>
      <c r="C108" s="46">
        <f>IF(ISERROR(VLOOKUP(A108,'HRGs to TFCs 2'!A:L,3,FALSE)),0,VLOOKUP(A108,'HRGs to TFCs 2'!A:L,3,FALSE))</f>
        <v>327</v>
      </c>
      <c r="D108" s="46">
        <f>IF(ISERROR(VLOOKUP(A108,'HRGs to TFCs 2'!A:L,4,FALSE)),0,VLOOKUP(A108,'HRGs to TFCs 2'!A:L,4,FALSE))</f>
        <v>0</v>
      </c>
      <c r="E108" s="47">
        <f>IF(ISERROR(VLOOKUP(A108,'HRGs to TFCs 2'!A:L,5,FALSE)),0,VLOOKUP(A108,'HRGs to TFCs 2'!A:L,5,FALSE))</f>
        <v>277</v>
      </c>
      <c r="F108" s="9">
        <f t="shared" si="6"/>
        <v>0</v>
      </c>
      <c r="G108" s="9">
        <f t="shared" si="6"/>
        <v>2.4146723466849206E-4</v>
      </c>
      <c r="H108" s="9">
        <f t="shared" si="6"/>
        <v>0</v>
      </c>
      <c r="I108" s="10">
        <f t="shared" si="6"/>
        <v>2.0454563915343213E-4</v>
      </c>
      <c r="J108" s="48">
        <f>IF(ISERROR(VLOOKUP(A108,'HRGs to TFCs 2'!A:L,7,FALSE)),0,VLOOKUP(A108,'HRGs to TFCs 2'!A:L,7,FALSE))</f>
        <v>0</v>
      </c>
      <c r="K108" s="48">
        <f>IF(ISERROR(VLOOKUP(A108,'HRGs to TFCs 2'!A:L,8,FALSE)),0,VLOOKUP(A108,'HRGs to TFCs 2'!A:L,8,FALSE))</f>
        <v>33908.564281413273</v>
      </c>
      <c r="L108" s="48">
        <f>IF(ISERROR(VLOOKUP(A108,'HRGs to TFCs 2'!A:L,9,FALSE)),0,VLOOKUP(A108,'HRGs to TFCs 2'!A:L,9,FALSE))</f>
        <v>0</v>
      </c>
      <c r="M108" s="49">
        <f>IF(ISERROR(VLOOKUP(A108,'HRGs to TFCs 2'!A:L,10,FALSE)),0,VLOOKUP(A108,'HRGs to TFCs 2'!A:L,10,FALSE))</f>
        <v>30061.856285368634</v>
      </c>
      <c r="N108" s="9">
        <f t="shared" si="5"/>
        <v>0</v>
      </c>
      <c r="O108" s="9">
        <f t="shared" si="5"/>
        <v>1.9771041557677869E-4</v>
      </c>
      <c r="P108" s="9">
        <f t="shared" si="5"/>
        <v>0</v>
      </c>
      <c r="Q108" s="10">
        <f t="shared" si="5"/>
        <v>1.7528144364541961E-4</v>
      </c>
    </row>
    <row r="109" spans="1:17">
      <c r="A109" s="45">
        <v>652</v>
      </c>
      <c r="B109" s="46">
        <f>IF(ISERROR(VLOOKUP(A109,'HRGs to TFCs 2'!A:L,2,FALSE)),0,VLOOKUP(A109,'HRGs to TFCs 2'!A:L,2,FALSE))</f>
        <v>0</v>
      </c>
      <c r="C109" s="46">
        <f>IF(ISERROR(VLOOKUP(A109,'HRGs to TFCs 2'!A:L,3,FALSE)),0,VLOOKUP(A109,'HRGs to TFCs 2'!A:L,3,FALSE))</f>
        <v>6</v>
      </c>
      <c r="D109" s="46">
        <f>IF(ISERROR(VLOOKUP(A109,'HRGs to TFCs 2'!A:L,4,FALSE)),0,VLOOKUP(A109,'HRGs to TFCs 2'!A:L,4,FALSE))</f>
        <v>0</v>
      </c>
      <c r="E109" s="47">
        <f>IF(ISERROR(VLOOKUP(A109,'HRGs to TFCs 2'!A:L,5,FALSE)),0,VLOOKUP(A109,'HRGs to TFCs 2'!A:L,5,FALSE))</f>
        <v>75</v>
      </c>
      <c r="F109" s="9">
        <f t="shared" si="6"/>
        <v>0</v>
      </c>
      <c r="G109" s="9">
        <f t="shared" si="6"/>
        <v>4.4305914618071943E-6</v>
      </c>
      <c r="H109" s="9">
        <f t="shared" si="6"/>
        <v>0</v>
      </c>
      <c r="I109" s="10">
        <f t="shared" si="6"/>
        <v>5.5382393272589922E-5</v>
      </c>
      <c r="J109" s="48">
        <f>IF(ISERROR(VLOOKUP(A109,'HRGs to TFCs 2'!A:L,7,FALSE)),0,VLOOKUP(A109,'HRGs to TFCs 2'!A:L,7,FALSE))</f>
        <v>0</v>
      </c>
      <c r="K109" s="48">
        <f>IF(ISERROR(VLOOKUP(A109,'HRGs to TFCs 2'!A:L,8,FALSE)),0,VLOOKUP(A109,'HRGs to TFCs 2'!A:L,8,FALSE))</f>
        <v>611.23814534943983</v>
      </c>
      <c r="L109" s="48">
        <f>IF(ISERROR(VLOOKUP(A109,'HRGs to TFCs 2'!A:L,9,FALSE)),0,VLOOKUP(A109,'HRGs to TFCs 2'!A:L,9,FALSE))</f>
        <v>0</v>
      </c>
      <c r="M109" s="49">
        <f>IF(ISERROR(VLOOKUP(A109,'HRGs to TFCs 2'!A:L,10,FALSE)),0,VLOOKUP(A109,'HRGs to TFCs 2'!A:L,10,FALSE))</f>
        <v>7517.7393398990707</v>
      </c>
      <c r="N109" s="9">
        <f t="shared" si="5"/>
        <v>0</v>
      </c>
      <c r="O109" s="9">
        <f t="shared" si="5"/>
        <v>3.5639417443474365E-6</v>
      </c>
      <c r="P109" s="9">
        <f t="shared" si="5"/>
        <v>0</v>
      </c>
      <c r="Q109" s="10">
        <f t="shared" si="5"/>
        <v>4.3833627302942662E-5</v>
      </c>
    </row>
    <row r="110" spans="1:17">
      <c r="A110" s="45">
        <v>653</v>
      </c>
      <c r="B110" s="46">
        <f>IF(ISERROR(VLOOKUP(A110,'HRGs to TFCs 2'!A:L,2,FALSE)),0,VLOOKUP(A110,'HRGs to TFCs 2'!A:L,2,FALSE))</f>
        <v>0</v>
      </c>
      <c r="C110" s="46">
        <f>IF(ISERROR(VLOOKUP(A110,'HRGs to TFCs 2'!A:L,3,FALSE)),0,VLOOKUP(A110,'HRGs to TFCs 2'!A:L,3,FALSE))</f>
        <v>58</v>
      </c>
      <c r="D110" s="46">
        <f>IF(ISERROR(VLOOKUP(A110,'HRGs to TFCs 2'!A:L,4,FALSE)),0,VLOOKUP(A110,'HRGs to TFCs 2'!A:L,4,FALSE))</f>
        <v>0</v>
      </c>
      <c r="E110" s="47">
        <f>IF(ISERROR(VLOOKUP(A110,'HRGs to TFCs 2'!A:L,5,FALSE)),0,VLOOKUP(A110,'HRGs to TFCs 2'!A:L,5,FALSE))</f>
        <v>1509</v>
      </c>
      <c r="F110" s="9">
        <f t="shared" si="6"/>
        <v>0</v>
      </c>
      <c r="G110" s="9">
        <f t="shared" si="6"/>
        <v>4.2829050797469542E-5</v>
      </c>
      <c r="H110" s="9">
        <f t="shared" si="6"/>
        <v>0</v>
      </c>
      <c r="I110" s="10">
        <f t="shared" si="6"/>
        <v>1.1142937526445094E-3</v>
      </c>
      <c r="J110" s="48">
        <f>IF(ISERROR(VLOOKUP(A110,'HRGs to TFCs 2'!A:L,7,FALSE)),0,VLOOKUP(A110,'HRGs to TFCs 2'!A:L,7,FALSE))</f>
        <v>0</v>
      </c>
      <c r="K110" s="48">
        <f>IF(ISERROR(VLOOKUP(A110,'HRGs to TFCs 2'!A:L,8,FALSE)),0,VLOOKUP(A110,'HRGs to TFCs 2'!A:L,8,FALSE))</f>
        <v>9874.2983375949243</v>
      </c>
      <c r="L110" s="48">
        <f>IF(ISERROR(VLOOKUP(A110,'HRGs to TFCs 2'!A:L,9,FALSE)),0,VLOOKUP(A110,'HRGs to TFCs 2'!A:L,9,FALSE))</f>
        <v>0</v>
      </c>
      <c r="M110" s="49">
        <f>IF(ISERROR(VLOOKUP(A110,'HRGs to TFCs 2'!A:L,10,FALSE)),0,VLOOKUP(A110,'HRGs to TFCs 2'!A:L,10,FALSE))</f>
        <v>193147.82279453592</v>
      </c>
      <c r="N110" s="9">
        <f t="shared" si="5"/>
        <v>0</v>
      </c>
      <c r="O110" s="9">
        <f t="shared" si="5"/>
        <v>5.7573998464013399E-5</v>
      </c>
      <c r="P110" s="9">
        <f t="shared" si="5"/>
        <v>0</v>
      </c>
      <c r="Q110" s="10">
        <f t="shared" si="5"/>
        <v>1.1261855853150883E-3</v>
      </c>
    </row>
    <row r="111" spans="1:17">
      <c r="A111" s="45">
        <v>654</v>
      </c>
      <c r="B111" s="46">
        <f>IF(ISERROR(VLOOKUP(A111,'HRGs to TFCs 2'!A:L,2,FALSE)),0,VLOOKUP(A111,'HRGs to TFCs 2'!A:L,2,FALSE))</f>
        <v>0</v>
      </c>
      <c r="C111" s="46">
        <f>IF(ISERROR(VLOOKUP(A111,'HRGs to TFCs 2'!A:L,3,FALSE)),0,VLOOKUP(A111,'HRGs to TFCs 2'!A:L,3,FALSE))</f>
        <v>3</v>
      </c>
      <c r="D111" s="46">
        <f>IF(ISERROR(VLOOKUP(A111,'HRGs to TFCs 2'!A:L,4,FALSE)),0,VLOOKUP(A111,'HRGs to TFCs 2'!A:L,4,FALSE))</f>
        <v>0</v>
      </c>
      <c r="E111" s="47">
        <f>IF(ISERROR(VLOOKUP(A111,'HRGs to TFCs 2'!A:L,5,FALSE)),0,VLOOKUP(A111,'HRGs to TFCs 2'!A:L,5,FALSE))</f>
        <v>8</v>
      </c>
      <c r="F111" s="9">
        <f t="shared" si="6"/>
        <v>0</v>
      </c>
      <c r="G111" s="9">
        <f t="shared" si="6"/>
        <v>2.2152957309035971E-6</v>
      </c>
      <c r="H111" s="9">
        <f t="shared" si="6"/>
        <v>0</v>
      </c>
      <c r="I111" s="10">
        <f t="shared" si="6"/>
        <v>5.9074552824095921E-6</v>
      </c>
      <c r="J111" s="48">
        <f>IF(ISERROR(VLOOKUP(A111,'HRGs to TFCs 2'!A:L,7,FALSE)),0,VLOOKUP(A111,'HRGs to TFCs 2'!A:L,7,FALSE))</f>
        <v>0</v>
      </c>
      <c r="K111" s="48">
        <f>IF(ISERROR(VLOOKUP(A111,'HRGs to TFCs 2'!A:L,8,FALSE)),0,VLOOKUP(A111,'HRGs to TFCs 2'!A:L,8,FALSE))</f>
        <v>525.16729502307862</v>
      </c>
      <c r="L111" s="48">
        <f>IF(ISERROR(VLOOKUP(A111,'HRGs to TFCs 2'!A:L,9,FALSE)),0,VLOOKUP(A111,'HRGs to TFCs 2'!A:L,9,FALSE))</f>
        <v>0</v>
      </c>
      <c r="M111" s="49">
        <f>IF(ISERROR(VLOOKUP(A111,'HRGs to TFCs 2'!A:L,10,FALSE)),0,VLOOKUP(A111,'HRGs to TFCs 2'!A:L,10,FALSE))</f>
        <v>850.01230204187061</v>
      </c>
      <c r="N111" s="9">
        <f t="shared" si="5"/>
        <v>0</v>
      </c>
      <c r="O111" s="9">
        <f t="shared" si="5"/>
        <v>3.0620890723839885E-6</v>
      </c>
      <c r="P111" s="9">
        <f t="shared" si="5"/>
        <v>0</v>
      </c>
      <c r="Q111" s="10">
        <f t="shared" si="5"/>
        <v>4.9561604580879106E-6</v>
      </c>
    </row>
    <row r="112" spans="1:17">
      <c r="A112" s="45">
        <v>655</v>
      </c>
      <c r="B112" s="46">
        <f>IF(ISERROR(VLOOKUP(A112,'HRGs to TFCs 2'!A:L,2,FALSE)),0,VLOOKUP(A112,'HRGs to TFCs 2'!A:L,2,FALSE))</f>
        <v>0</v>
      </c>
      <c r="C112" s="46">
        <f>IF(ISERROR(VLOOKUP(A112,'HRGs to TFCs 2'!A:L,3,FALSE)),0,VLOOKUP(A112,'HRGs to TFCs 2'!A:L,3,FALSE))</f>
        <v>1</v>
      </c>
      <c r="D112" s="46">
        <f>IF(ISERROR(VLOOKUP(A112,'HRGs to TFCs 2'!A:L,4,FALSE)),0,VLOOKUP(A112,'HRGs to TFCs 2'!A:L,4,FALSE))</f>
        <v>0</v>
      </c>
      <c r="E112" s="47">
        <f>IF(ISERROR(VLOOKUP(A112,'HRGs to TFCs 2'!A:L,5,FALSE)),0,VLOOKUP(A112,'HRGs to TFCs 2'!A:L,5,FALSE))</f>
        <v>2</v>
      </c>
      <c r="F112" s="9">
        <f t="shared" si="6"/>
        <v>0</v>
      </c>
      <c r="G112" s="9">
        <f t="shared" si="6"/>
        <v>7.3843191030119901E-7</v>
      </c>
      <c r="H112" s="9">
        <f t="shared" si="6"/>
        <v>0</v>
      </c>
      <c r="I112" s="10">
        <f t="shared" si="6"/>
        <v>1.476863820602398E-6</v>
      </c>
      <c r="J112" s="48">
        <f>IF(ISERROR(VLOOKUP(A112,'HRGs to TFCs 2'!A:L,7,FALSE)),0,VLOOKUP(A112,'HRGs to TFCs 2'!A:L,7,FALSE))</f>
        <v>0</v>
      </c>
      <c r="K112" s="48">
        <f>IF(ISERROR(VLOOKUP(A112,'HRGs to TFCs 2'!A:L,8,FALSE)),0,VLOOKUP(A112,'HRGs to TFCs 2'!A:L,8,FALSE))</f>
        <v>790.49527666032157</v>
      </c>
      <c r="L112" s="48">
        <f>IF(ISERROR(VLOOKUP(A112,'HRGs to TFCs 2'!A:L,9,FALSE)),0,VLOOKUP(A112,'HRGs to TFCs 2'!A:L,9,FALSE))</f>
        <v>0</v>
      </c>
      <c r="M112" s="49">
        <f>IF(ISERROR(VLOOKUP(A112,'HRGs to TFCs 2'!A:L,10,FALSE)),0,VLOOKUP(A112,'HRGs to TFCs 2'!A:L,10,FALSE))</f>
        <v>220.64478027558698</v>
      </c>
      <c r="N112" s="9">
        <f t="shared" si="5"/>
        <v>0</v>
      </c>
      <c r="O112" s="9">
        <f t="shared" si="5"/>
        <v>4.6091349773149063E-6</v>
      </c>
      <c r="P112" s="9">
        <f t="shared" si="5"/>
        <v>0</v>
      </c>
      <c r="Q112" s="10">
        <f t="shared" si="5"/>
        <v>1.286511892426108E-6</v>
      </c>
    </row>
    <row r="113" spans="1:17">
      <c r="A113" s="45">
        <v>800</v>
      </c>
      <c r="B113" s="46">
        <f>IF(ISERROR(VLOOKUP(A113,'HRGs to TFCs 2'!A:L,2,FALSE)),0,VLOOKUP(A113,'HRGs to TFCs 2'!A:L,2,FALSE))</f>
        <v>0</v>
      </c>
      <c r="C113" s="46">
        <f>IF(ISERROR(VLOOKUP(A113,'HRGs to TFCs 2'!A:L,3,FALSE)),0,VLOOKUP(A113,'HRGs to TFCs 2'!A:L,3,FALSE))</f>
        <v>243</v>
      </c>
      <c r="D113" s="46">
        <f>IF(ISERROR(VLOOKUP(A113,'HRGs to TFCs 2'!A:L,4,FALSE)),0,VLOOKUP(A113,'HRGs to TFCs 2'!A:L,4,FALSE))</f>
        <v>0</v>
      </c>
      <c r="E113" s="47">
        <f>IF(ISERROR(VLOOKUP(A113,'HRGs to TFCs 2'!A:L,5,FALSE)),0,VLOOKUP(A113,'HRGs to TFCs 2'!A:L,5,FALSE))</f>
        <v>830</v>
      </c>
      <c r="F113" s="9">
        <f t="shared" si="6"/>
        <v>0</v>
      </c>
      <c r="G113" s="9">
        <f t="shared" si="6"/>
        <v>1.7943895420319137E-4</v>
      </c>
      <c r="H113" s="9">
        <f t="shared" si="6"/>
        <v>0</v>
      </c>
      <c r="I113" s="10">
        <f t="shared" si="6"/>
        <v>6.1289848554999513E-4</v>
      </c>
      <c r="J113" s="48">
        <f>IF(ISERROR(VLOOKUP(A113,'HRGs to TFCs 2'!A:L,7,FALSE)),0,VLOOKUP(A113,'HRGs to TFCs 2'!A:L,7,FALSE))</f>
        <v>0</v>
      </c>
      <c r="K113" s="48">
        <f>IF(ISERROR(VLOOKUP(A113,'HRGs to TFCs 2'!A:L,8,FALSE)),0,VLOOKUP(A113,'HRGs to TFCs 2'!A:L,8,FALSE))</f>
        <v>24215.345436067084</v>
      </c>
      <c r="L113" s="48">
        <f>IF(ISERROR(VLOOKUP(A113,'HRGs to TFCs 2'!A:L,9,FALSE)),0,VLOOKUP(A113,'HRGs to TFCs 2'!A:L,9,FALSE))</f>
        <v>0</v>
      </c>
      <c r="M113" s="49">
        <f>IF(ISERROR(VLOOKUP(A113,'HRGs to TFCs 2'!A:L,10,FALSE)),0,VLOOKUP(A113,'HRGs to TFCs 2'!A:L,10,FALSE))</f>
        <v>97217.264442439773</v>
      </c>
      <c r="N113" s="9">
        <f t="shared" si="5"/>
        <v>0</v>
      </c>
      <c r="O113" s="9">
        <f t="shared" si="5"/>
        <v>1.4119223597220765E-4</v>
      </c>
      <c r="P113" s="9">
        <f t="shared" si="5"/>
        <v>0</v>
      </c>
      <c r="Q113" s="10">
        <f t="shared" si="5"/>
        <v>5.6684398651134075E-4</v>
      </c>
    </row>
    <row r="114" spans="1:17">
      <c r="A114" s="45">
        <v>812</v>
      </c>
      <c r="B114" s="46">
        <f>IF(ISERROR(VLOOKUP(A114,'HRGs to TFCs 2'!A:L,2,FALSE)),0,VLOOKUP(A114,'HRGs to TFCs 2'!A:L,2,FALSE))</f>
        <v>0</v>
      </c>
      <c r="C114" s="46">
        <f>IF(ISERROR(VLOOKUP(A114,'HRGs to TFCs 2'!A:L,3,FALSE)),0,VLOOKUP(A114,'HRGs to TFCs 2'!A:L,3,FALSE))</f>
        <v>0</v>
      </c>
      <c r="D114" s="46">
        <f>IF(ISERROR(VLOOKUP(A114,'HRGs to TFCs 2'!A:L,4,FALSE)),0,VLOOKUP(A114,'HRGs to TFCs 2'!A:L,4,FALSE))</f>
        <v>0</v>
      </c>
      <c r="E114" s="47">
        <f>IF(ISERROR(VLOOKUP(A114,'HRGs to TFCs 2'!A:L,5,FALSE)),0,VLOOKUP(A114,'HRGs to TFCs 2'!A:L,5,FALSE))</f>
        <v>0</v>
      </c>
      <c r="F114" s="9">
        <f t="shared" si="6"/>
        <v>0</v>
      </c>
      <c r="G114" s="9">
        <f t="shared" si="6"/>
        <v>0</v>
      </c>
      <c r="H114" s="9">
        <f t="shared" si="6"/>
        <v>0</v>
      </c>
      <c r="I114" s="10">
        <f t="shared" si="6"/>
        <v>0</v>
      </c>
      <c r="J114" s="48">
        <f>IF(ISERROR(VLOOKUP(A114,'HRGs to TFCs 2'!A:L,7,FALSE)),0,VLOOKUP(A114,'HRGs to TFCs 2'!A:L,7,FALSE))</f>
        <v>0</v>
      </c>
      <c r="K114" s="48">
        <f>IF(ISERROR(VLOOKUP(A114,'HRGs to TFCs 2'!A:L,8,FALSE)),0,VLOOKUP(A114,'HRGs to TFCs 2'!A:L,8,FALSE))</f>
        <v>0</v>
      </c>
      <c r="L114" s="48">
        <f>IF(ISERROR(VLOOKUP(A114,'HRGs to TFCs 2'!A:L,9,FALSE)),0,VLOOKUP(A114,'HRGs to TFCs 2'!A:L,9,FALSE))</f>
        <v>0</v>
      </c>
      <c r="M114" s="49">
        <f>IF(ISERROR(VLOOKUP(A114,'HRGs to TFCs 2'!A:L,10,FALSE)),0,VLOOKUP(A114,'HRGs to TFCs 2'!A:L,10,FALSE))</f>
        <v>0</v>
      </c>
      <c r="N114" s="9">
        <f t="shared" si="5"/>
        <v>0</v>
      </c>
      <c r="O114" s="9">
        <f t="shared" si="5"/>
        <v>0</v>
      </c>
      <c r="P114" s="9">
        <f t="shared" si="5"/>
        <v>0</v>
      </c>
      <c r="Q114" s="10">
        <f t="shared" si="5"/>
        <v>0</v>
      </c>
    </row>
    <row r="115" spans="1:17">
      <c r="A115" s="45">
        <v>821</v>
      </c>
      <c r="B115" s="46">
        <f>IF(ISERROR(VLOOKUP(A115,'HRGs to TFCs 2'!A:L,2,FALSE)),0,VLOOKUP(A115,'HRGs to TFCs 2'!A:L,2,FALSE))</f>
        <v>0</v>
      </c>
      <c r="C115" s="46">
        <f>IF(ISERROR(VLOOKUP(A115,'HRGs to TFCs 2'!A:L,3,FALSE)),0,VLOOKUP(A115,'HRGs to TFCs 2'!A:L,3,FALSE))</f>
        <v>0</v>
      </c>
      <c r="D115" s="46">
        <f>IF(ISERROR(VLOOKUP(A115,'HRGs to TFCs 2'!A:L,4,FALSE)),0,VLOOKUP(A115,'HRGs to TFCs 2'!A:L,4,FALSE))</f>
        <v>0</v>
      </c>
      <c r="E115" s="47">
        <f>IF(ISERROR(VLOOKUP(A115,'HRGs to TFCs 2'!A:L,5,FALSE)),0,VLOOKUP(A115,'HRGs to TFCs 2'!A:L,5,FALSE))</f>
        <v>0</v>
      </c>
      <c r="F115" s="9">
        <f t="shared" si="6"/>
        <v>0</v>
      </c>
      <c r="G115" s="9">
        <f t="shared" si="6"/>
        <v>0</v>
      </c>
      <c r="H115" s="9">
        <f t="shared" si="6"/>
        <v>0</v>
      </c>
      <c r="I115" s="10">
        <f t="shared" si="6"/>
        <v>0</v>
      </c>
      <c r="J115" s="48">
        <f>IF(ISERROR(VLOOKUP(A115,'HRGs to TFCs 2'!A:L,7,FALSE)),0,VLOOKUP(A115,'HRGs to TFCs 2'!A:L,7,FALSE))</f>
        <v>0</v>
      </c>
      <c r="K115" s="48">
        <f>IF(ISERROR(VLOOKUP(A115,'HRGs to TFCs 2'!A:L,8,FALSE)),0,VLOOKUP(A115,'HRGs to TFCs 2'!A:L,8,FALSE))</f>
        <v>0</v>
      </c>
      <c r="L115" s="48">
        <f>IF(ISERROR(VLOOKUP(A115,'HRGs to TFCs 2'!A:L,9,FALSE)),0,VLOOKUP(A115,'HRGs to TFCs 2'!A:L,9,FALSE))</f>
        <v>0</v>
      </c>
      <c r="M115" s="49">
        <f>IF(ISERROR(VLOOKUP(A115,'HRGs to TFCs 2'!A:L,10,FALSE)),0,VLOOKUP(A115,'HRGs to TFCs 2'!A:L,10,FALSE))</f>
        <v>0</v>
      </c>
      <c r="N115" s="9">
        <f t="shared" si="5"/>
        <v>0</v>
      </c>
      <c r="O115" s="9">
        <f t="shared" si="5"/>
        <v>0</v>
      </c>
      <c r="P115" s="9">
        <f t="shared" si="5"/>
        <v>0</v>
      </c>
      <c r="Q115" s="10">
        <f t="shared" si="5"/>
        <v>0</v>
      </c>
    </row>
    <row r="116" spans="1:17">
      <c r="A116" s="45">
        <v>822</v>
      </c>
      <c r="B116" s="46">
        <f>IF(ISERROR(VLOOKUP(A116,'HRGs to TFCs 2'!A:L,2,FALSE)),0,VLOOKUP(A116,'HRGs to TFCs 2'!A:L,2,FALSE))</f>
        <v>0</v>
      </c>
      <c r="C116" s="46">
        <f>IF(ISERROR(VLOOKUP(A116,'HRGs to TFCs 2'!A:L,3,FALSE)),0,VLOOKUP(A116,'HRGs to TFCs 2'!A:L,3,FALSE))</f>
        <v>21</v>
      </c>
      <c r="D116" s="46">
        <f>IF(ISERROR(VLOOKUP(A116,'HRGs to TFCs 2'!A:L,4,FALSE)),0,VLOOKUP(A116,'HRGs to TFCs 2'!A:L,4,FALSE))</f>
        <v>0</v>
      </c>
      <c r="E116" s="47">
        <f>IF(ISERROR(VLOOKUP(A116,'HRGs to TFCs 2'!A:L,5,FALSE)),0,VLOOKUP(A116,'HRGs to TFCs 2'!A:L,5,FALSE))</f>
        <v>4</v>
      </c>
      <c r="F116" s="9">
        <f t="shared" si="6"/>
        <v>0</v>
      </c>
      <c r="G116" s="9">
        <f t="shared" si="6"/>
        <v>1.550707011632518E-5</v>
      </c>
      <c r="H116" s="9">
        <f t="shared" si="6"/>
        <v>0</v>
      </c>
      <c r="I116" s="10">
        <f t="shared" si="6"/>
        <v>2.953727641204796E-6</v>
      </c>
      <c r="J116" s="48">
        <f>IF(ISERROR(VLOOKUP(A116,'HRGs to TFCs 2'!A:L,7,FALSE)),0,VLOOKUP(A116,'HRGs to TFCs 2'!A:L,7,FALSE))</f>
        <v>0</v>
      </c>
      <c r="K116" s="48">
        <f>IF(ISERROR(VLOOKUP(A116,'HRGs to TFCs 2'!A:L,8,FALSE)),0,VLOOKUP(A116,'HRGs to TFCs 2'!A:L,8,FALSE))</f>
        <v>3636.1997557207224</v>
      </c>
      <c r="L116" s="48">
        <f>IF(ISERROR(VLOOKUP(A116,'HRGs to TFCs 2'!A:L,9,FALSE)),0,VLOOKUP(A116,'HRGs to TFCs 2'!A:L,9,FALSE))</f>
        <v>0</v>
      </c>
      <c r="M116" s="49">
        <f>IF(ISERROR(VLOOKUP(A116,'HRGs to TFCs 2'!A:L,10,FALSE)),0,VLOOKUP(A116,'HRGs to TFCs 2'!A:L,10,FALSE))</f>
        <v>1306.2006317039388</v>
      </c>
      <c r="N116" s="9">
        <f t="shared" si="5"/>
        <v>0</v>
      </c>
      <c r="O116" s="9">
        <f t="shared" si="5"/>
        <v>2.1201563087641336E-5</v>
      </c>
      <c r="P116" s="9">
        <f t="shared" si="5"/>
        <v>0</v>
      </c>
      <c r="Q116" s="10">
        <f t="shared" si="5"/>
        <v>7.6160543860712526E-6</v>
      </c>
    </row>
    <row r="117" spans="1:17" ht="12" thickBot="1">
      <c r="A117" s="50">
        <v>840</v>
      </c>
      <c r="B117" s="301">
        <f>IF(ISERROR(VLOOKUP(A117,'HRGs to TFCs 2'!A:L,2,FALSE)),0,VLOOKUP(A117,'HRGs to TFCs 2'!A:L,2,FALSE))</f>
        <v>0</v>
      </c>
      <c r="C117" s="301">
        <f>IF(ISERROR(VLOOKUP(A117,'HRGs to TFCs 2'!A:L,3,FALSE)),0,VLOOKUP(A117,'HRGs to TFCs 2'!A:L,3,FALSE))</f>
        <v>2450</v>
      </c>
      <c r="D117" s="301">
        <f>IF(ISERROR(VLOOKUP(A117,'HRGs to TFCs 2'!A:L,4,FALSE)),0,VLOOKUP(A117,'HRGs to TFCs 2'!A:L,4,FALSE))</f>
        <v>0</v>
      </c>
      <c r="E117" s="302">
        <f>IF(ISERROR(VLOOKUP(A117,'HRGs to TFCs 2'!A:L,5,FALSE)),0,VLOOKUP(A117,'HRGs to TFCs 2'!A:L,5,FALSE))</f>
        <v>9481</v>
      </c>
      <c r="F117" s="51">
        <f t="shared" si="6"/>
        <v>0</v>
      </c>
      <c r="G117" s="51">
        <f t="shared" si="6"/>
        <v>1.8091581802379376E-3</v>
      </c>
      <c r="H117" s="51">
        <f t="shared" si="6"/>
        <v>0</v>
      </c>
      <c r="I117" s="52">
        <f t="shared" si="6"/>
        <v>7.001072941565668E-3</v>
      </c>
      <c r="J117" s="303">
        <f>IF(ISERROR(VLOOKUP(A117,'HRGs to TFCs 2'!A:L,7,FALSE)),0,VLOOKUP(A117,'HRGs to TFCs 2'!A:L,7,FALSE))</f>
        <v>0</v>
      </c>
      <c r="K117" s="303">
        <f>IF(ISERROR(VLOOKUP(A117,'HRGs to TFCs 2'!A:L,8,FALSE)),0,VLOOKUP(A117,'HRGs to TFCs 2'!A:L,8,FALSE))</f>
        <v>66909.575980370981</v>
      </c>
      <c r="L117" s="303">
        <f>IF(ISERROR(VLOOKUP(A117,'HRGs to TFCs 2'!A:L,9,FALSE)),0,VLOOKUP(A117,'HRGs to TFCs 2'!A:L,9,FALSE))</f>
        <v>0</v>
      </c>
      <c r="M117" s="304">
        <f>IF(ISERROR(VLOOKUP(A117,'HRGs to TFCs 2'!A:L,10,FALSE)),0,VLOOKUP(A117,'HRGs to TFCs 2'!A:L,10,FALSE))</f>
        <v>149243.06066165917</v>
      </c>
      <c r="N117" s="51">
        <f t="shared" si="5"/>
        <v>0</v>
      </c>
      <c r="O117" s="51">
        <f t="shared" si="5"/>
        <v>3.9012917100699602E-4</v>
      </c>
      <c r="P117" s="51">
        <f t="shared" si="5"/>
        <v>0</v>
      </c>
      <c r="Q117" s="52">
        <f t="shared" si="5"/>
        <v>8.7019041267816276E-4</v>
      </c>
    </row>
  </sheetData>
  <mergeCells count="4">
    <mergeCell ref="B6:E6"/>
    <mergeCell ref="F6:I6"/>
    <mergeCell ref="J6:M6"/>
    <mergeCell ref="N6:Q6"/>
  </mergeCells>
  <hyperlinks>
    <hyperlink ref="A4"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249977111117893"/>
  </sheetPr>
  <dimension ref="A1:AT119"/>
  <sheetViews>
    <sheetView showGridLines="0" zoomScale="90" zoomScaleNormal="90" workbookViewId="0"/>
  </sheetViews>
  <sheetFormatPr defaultRowHeight="15"/>
  <cols>
    <col min="1" max="1" width="12.7109375" customWidth="1"/>
    <col min="2" max="2" width="9.28515625" bestFit="1" customWidth="1"/>
    <col min="3" max="3" width="10.28515625" bestFit="1" customWidth="1"/>
    <col min="4" max="4" width="9.28515625" bestFit="1" customWidth="1"/>
    <col min="5" max="6" width="10.28515625" bestFit="1" customWidth="1"/>
    <col min="7" max="7" width="12.140625" customWidth="1"/>
    <col min="8" max="8" width="11.42578125" bestFit="1" customWidth="1"/>
    <col min="9" max="9" width="13" customWidth="1"/>
    <col min="18" max="18" width="12.140625" bestFit="1" customWidth="1"/>
    <col min="26" max="26" width="13.28515625" bestFit="1" customWidth="1"/>
    <col min="27" max="27" width="12.140625" customWidth="1"/>
    <col min="29" max="29" width="13.28515625" customWidth="1"/>
    <col min="31" max="31" width="11.42578125" customWidth="1"/>
    <col min="32" max="32" width="10.140625" customWidth="1"/>
    <col min="33" max="33" width="11.42578125" customWidth="1"/>
    <col min="34" max="34" width="11.85546875" customWidth="1"/>
    <col min="35" max="35" width="13.85546875" customWidth="1"/>
    <col min="36" max="36" width="12.28515625" customWidth="1"/>
    <col min="37" max="37" width="14.7109375" customWidth="1"/>
  </cols>
  <sheetData>
    <row r="1" spans="1:46">
      <c r="A1">
        <v>1</v>
      </c>
      <c r="B1">
        <f>A1+1</f>
        <v>2</v>
      </c>
      <c r="C1" s="266">
        <f t="shared" ref="C1:AS1" si="0">B1+1</f>
        <v>3</v>
      </c>
      <c r="D1" s="266">
        <f t="shared" si="0"/>
        <v>4</v>
      </c>
      <c r="E1" s="266">
        <f t="shared" si="0"/>
        <v>5</v>
      </c>
      <c r="F1" s="266">
        <f t="shared" si="0"/>
        <v>6</v>
      </c>
      <c r="G1" s="266">
        <f t="shared" si="0"/>
        <v>7</v>
      </c>
      <c r="H1" s="266">
        <f t="shared" si="0"/>
        <v>8</v>
      </c>
      <c r="I1" s="266">
        <f t="shared" si="0"/>
        <v>9</v>
      </c>
      <c r="J1" s="266">
        <f t="shared" si="0"/>
        <v>10</v>
      </c>
      <c r="K1" s="266">
        <f t="shared" si="0"/>
        <v>11</v>
      </c>
      <c r="L1" s="266">
        <f t="shared" si="0"/>
        <v>12</v>
      </c>
      <c r="M1" s="266">
        <f t="shared" si="0"/>
        <v>13</v>
      </c>
      <c r="N1" s="266">
        <f t="shared" si="0"/>
        <v>14</v>
      </c>
      <c r="O1" s="266">
        <f t="shared" si="0"/>
        <v>15</v>
      </c>
      <c r="P1" s="266">
        <f t="shared" si="0"/>
        <v>16</v>
      </c>
      <c r="Q1" s="266">
        <f t="shared" si="0"/>
        <v>17</v>
      </c>
      <c r="R1" s="266">
        <f t="shared" si="0"/>
        <v>18</v>
      </c>
      <c r="S1" s="266">
        <f t="shared" si="0"/>
        <v>19</v>
      </c>
      <c r="T1" s="266">
        <f t="shared" si="0"/>
        <v>20</v>
      </c>
      <c r="U1" s="266">
        <f t="shared" si="0"/>
        <v>21</v>
      </c>
      <c r="V1" s="266">
        <f t="shared" si="0"/>
        <v>22</v>
      </c>
      <c r="W1" s="266">
        <f t="shared" si="0"/>
        <v>23</v>
      </c>
      <c r="X1" s="266">
        <f t="shared" si="0"/>
        <v>24</v>
      </c>
      <c r="Y1" s="266">
        <f t="shared" si="0"/>
        <v>25</v>
      </c>
      <c r="Z1" s="266">
        <f t="shared" si="0"/>
        <v>26</v>
      </c>
      <c r="AA1" s="266">
        <f t="shared" si="0"/>
        <v>27</v>
      </c>
      <c r="AB1" s="266">
        <f t="shared" si="0"/>
        <v>28</v>
      </c>
      <c r="AC1" s="266">
        <f t="shared" si="0"/>
        <v>29</v>
      </c>
      <c r="AD1" s="266">
        <f t="shared" si="0"/>
        <v>30</v>
      </c>
      <c r="AE1" s="266">
        <f t="shared" si="0"/>
        <v>31</v>
      </c>
      <c r="AF1" s="266">
        <f t="shared" si="0"/>
        <v>32</v>
      </c>
      <c r="AG1" s="266">
        <f t="shared" si="0"/>
        <v>33</v>
      </c>
      <c r="AH1" s="266">
        <f t="shared" si="0"/>
        <v>34</v>
      </c>
      <c r="AI1" s="266">
        <f t="shared" si="0"/>
        <v>35</v>
      </c>
      <c r="AJ1" s="266">
        <f t="shared" si="0"/>
        <v>36</v>
      </c>
      <c r="AK1" s="266">
        <f t="shared" si="0"/>
        <v>37</v>
      </c>
      <c r="AL1" s="266">
        <f t="shared" si="0"/>
        <v>38</v>
      </c>
      <c r="AM1" s="266">
        <f t="shared" si="0"/>
        <v>39</v>
      </c>
      <c r="AN1" s="266">
        <f t="shared" si="0"/>
        <v>40</v>
      </c>
      <c r="AO1" s="266">
        <f t="shared" si="0"/>
        <v>41</v>
      </c>
      <c r="AP1" s="266">
        <f t="shared" si="0"/>
        <v>42</v>
      </c>
      <c r="AQ1" s="266">
        <f t="shared" si="0"/>
        <v>43</v>
      </c>
      <c r="AR1" s="266">
        <f t="shared" si="0"/>
        <v>44</v>
      </c>
      <c r="AS1" s="266">
        <f t="shared" si="0"/>
        <v>45</v>
      </c>
    </row>
    <row r="2" spans="1:46" ht="15.75" thickBot="1">
      <c r="A2" s="699" t="s">
        <v>974</v>
      </c>
      <c r="R2" t="s">
        <v>414</v>
      </c>
      <c r="Z2" t="s">
        <v>418</v>
      </c>
    </row>
    <row r="3" spans="1:46" ht="15.75" thickBot="1">
      <c r="R3" s="64">
        <f>SUM('Non-mandatory OPROC HRGs'!V:V)</f>
        <v>1578349</v>
      </c>
      <c r="Z3" s="65">
        <f>SUM('Non-mandatory OPROC HRGs'!W:W)</f>
        <v>176889126.52395657</v>
      </c>
      <c r="AC3" s="69">
        <f>SUM(Z8:AC117)</f>
        <v>176889126.5239566</v>
      </c>
      <c r="AD3" s="66">
        <f t="shared" ref="AD3:AK3" si="1">SUM(AD8:AD117)</f>
        <v>397725</v>
      </c>
      <c r="AE3" s="67">
        <f t="shared" si="1"/>
        <v>16226733</v>
      </c>
      <c r="AF3" s="67">
        <f t="shared" si="1"/>
        <v>944545</v>
      </c>
      <c r="AG3" s="68">
        <f t="shared" si="1"/>
        <v>34568242</v>
      </c>
      <c r="AH3" s="66">
        <f t="shared" si="1"/>
        <v>62889528.695879057</v>
      </c>
      <c r="AI3" s="67">
        <f t="shared" si="1"/>
        <v>2169356178.349546</v>
      </c>
      <c r="AJ3" s="67">
        <f t="shared" si="1"/>
        <v>128131919.86514536</v>
      </c>
      <c r="AK3" s="68">
        <f t="shared" si="1"/>
        <v>3352385836.910346</v>
      </c>
    </row>
    <row r="4" spans="1:46" ht="15.75" thickBot="1">
      <c r="R4" s="63"/>
      <c r="Z4" s="63"/>
    </row>
    <row r="5" spans="1:46" ht="15.75" thickBot="1">
      <c r="B5" s="799" t="s">
        <v>415</v>
      </c>
      <c r="C5" s="800"/>
      <c r="D5" s="800"/>
      <c r="E5" s="800"/>
      <c r="F5" s="800"/>
      <c r="G5" s="800"/>
      <c r="H5" s="800"/>
      <c r="I5" s="800"/>
      <c r="J5" s="800"/>
      <c r="K5" s="800"/>
      <c r="L5" s="800"/>
      <c r="M5" s="801"/>
      <c r="N5" s="799" t="s">
        <v>416</v>
      </c>
      <c r="O5" s="800"/>
      <c r="P5" s="800"/>
      <c r="Q5" s="800"/>
      <c r="R5" s="800"/>
      <c r="S5" s="800"/>
      <c r="T5" s="800"/>
      <c r="U5" s="801"/>
      <c r="V5" s="799" t="s">
        <v>417</v>
      </c>
      <c r="W5" s="800"/>
      <c r="X5" s="800"/>
      <c r="Y5" s="800"/>
      <c r="Z5" s="800"/>
      <c r="AA5" s="800"/>
      <c r="AB5" s="800"/>
      <c r="AC5" s="801"/>
      <c r="AD5" s="799" t="s">
        <v>419</v>
      </c>
      <c r="AE5" s="800"/>
      <c r="AF5" s="800"/>
      <c r="AG5" s="800"/>
      <c r="AH5" s="800"/>
      <c r="AI5" s="800"/>
      <c r="AJ5" s="800"/>
      <c r="AK5" s="800"/>
      <c r="AL5" s="800"/>
      <c r="AM5" s="800"/>
      <c r="AN5" s="800"/>
      <c r="AO5" s="801"/>
    </row>
    <row r="6" spans="1:46" ht="15.75" thickBot="1">
      <c r="B6" s="793" t="s">
        <v>374</v>
      </c>
      <c r="C6" s="794"/>
      <c r="D6" s="794"/>
      <c r="E6" s="795"/>
      <c r="F6" s="793" t="s">
        <v>375</v>
      </c>
      <c r="G6" s="794"/>
      <c r="H6" s="794"/>
      <c r="I6" s="795"/>
      <c r="J6" s="793" t="s">
        <v>370</v>
      </c>
      <c r="K6" s="794"/>
      <c r="L6" s="794"/>
      <c r="M6" s="795"/>
      <c r="N6" s="796" t="s">
        <v>373</v>
      </c>
      <c r="O6" s="797"/>
      <c r="P6" s="797"/>
      <c r="Q6" s="798"/>
      <c r="R6" s="796" t="s">
        <v>371</v>
      </c>
      <c r="S6" s="797"/>
      <c r="T6" s="797"/>
      <c r="U6" s="798"/>
      <c r="V6" s="796" t="s">
        <v>373</v>
      </c>
      <c r="W6" s="797"/>
      <c r="X6" s="797"/>
      <c r="Y6" s="798"/>
      <c r="Z6" s="796" t="s">
        <v>371</v>
      </c>
      <c r="AA6" s="797"/>
      <c r="AB6" s="797"/>
      <c r="AC6" s="798"/>
      <c r="AD6" s="790" t="s">
        <v>65</v>
      </c>
      <c r="AE6" s="791"/>
      <c r="AF6" s="791"/>
      <c r="AG6" s="792"/>
      <c r="AH6" s="790" t="s">
        <v>376</v>
      </c>
      <c r="AI6" s="791"/>
      <c r="AJ6" s="791"/>
      <c r="AK6" s="792"/>
      <c r="AL6" s="790" t="s">
        <v>370</v>
      </c>
      <c r="AM6" s="791"/>
      <c r="AN6" s="791"/>
      <c r="AO6" s="792"/>
      <c r="AP6" s="790" t="s">
        <v>377</v>
      </c>
      <c r="AQ6" s="791"/>
      <c r="AR6" s="791"/>
      <c r="AS6" s="792"/>
    </row>
    <row r="7" spans="1:46" ht="15.75" thickBot="1">
      <c r="A7" t="s">
        <v>0</v>
      </c>
      <c r="B7" s="209" t="s">
        <v>66</v>
      </c>
      <c r="C7" s="210" t="s">
        <v>67</v>
      </c>
      <c r="D7" s="210" t="s">
        <v>68</v>
      </c>
      <c r="E7" s="211" t="s">
        <v>69</v>
      </c>
      <c r="F7" s="209" t="s">
        <v>66</v>
      </c>
      <c r="G7" s="210" t="s">
        <v>67</v>
      </c>
      <c r="H7" s="210" t="s">
        <v>68</v>
      </c>
      <c r="I7" s="211" t="s">
        <v>69</v>
      </c>
      <c r="J7" s="209" t="s">
        <v>66</v>
      </c>
      <c r="K7" s="210" t="s">
        <v>67</v>
      </c>
      <c r="L7" s="210" t="s">
        <v>68</v>
      </c>
      <c r="M7" s="211" t="s">
        <v>69</v>
      </c>
      <c r="N7" s="206" t="s">
        <v>66</v>
      </c>
      <c r="O7" s="207" t="s">
        <v>67</v>
      </c>
      <c r="P7" s="207" t="s">
        <v>68</v>
      </c>
      <c r="Q7" s="208" t="s">
        <v>69</v>
      </c>
      <c r="R7" s="206" t="s">
        <v>66</v>
      </c>
      <c r="S7" s="207" t="s">
        <v>67</v>
      </c>
      <c r="T7" s="207" t="s">
        <v>68</v>
      </c>
      <c r="U7" s="208" t="s">
        <v>69</v>
      </c>
      <c r="V7" s="206" t="s">
        <v>66</v>
      </c>
      <c r="W7" s="207" t="s">
        <v>67</v>
      </c>
      <c r="X7" s="207" t="s">
        <v>68</v>
      </c>
      <c r="Y7" s="208" t="s">
        <v>69</v>
      </c>
      <c r="Z7" s="206" t="s">
        <v>66</v>
      </c>
      <c r="AA7" s="207" t="s">
        <v>67</v>
      </c>
      <c r="AB7" s="207" t="s">
        <v>68</v>
      </c>
      <c r="AC7" s="208" t="s">
        <v>69</v>
      </c>
      <c r="AD7" s="203"/>
      <c r="AE7" s="204"/>
      <c r="AF7" s="204"/>
      <c r="AG7" s="205"/>
      <c r="AH7" s="203" t="s">
        <v>66</v>
      </c>
      <c r="AI7" s="204" t="s">
        <v>67</v>
      </c>
      <c r="AJ7" s="204" t="s">
        <v>68</v>
      </c>
      <c r="AK7" s="205" t="s">
        <v>69</v>
      </c>
      <c r="AL7" s="203" t="s">
        <v>66</v>
      </c>
      <c r="AM7" s="204" t="s">
        <v>67</v>
      </c>
      <c r="AN7" s="204" t="s">
        <v>68</v>
      </c>
      <c r="AO7" s="205" t="s">
        <v>69</v>
      </c>
      <c r="AP7" s="203" t="s">
        <v>66</v>
      </c>
      <c r="AQ7" s="204" t="s">
        <v>67</v>
      </c>
      <c r="AR7" s="204" t="s">
        <v>68</v>
      </c>
      <c r="AS7" s="205" t="s">
        <v>69</v>
      </c>
      <c r="AT7" s="205" t="s">
        <v>420</v>
      </c>
    </row>
    <row r="8" spans="1:46">
      <c r="A8">
        <v>100</v>
      </c>
      <c r="B8" s="182">
        <f>VLOOKUP(A8,OPATT_Activities!A:J,3,FALSE)</f>
        <v>16535</v>
      </c>
      <c r="C8" s="183">
        <f>VLOOKUP(A8,OPATT_Activities!A:J,4,FALSE)</f>
        <v>682101</v>
      </c>
      <c r="D8" s="183">
        <f>VLOOKUP(A8,OPATT_Activities!A:J,5,FALSE)</f>
        <v>32120</v>
      </c>
      <c r="E8" s="184">
        <f>VLOOKUP(A8,OPATT_Activities!A:J,6,FALSE)</f>
        <v>1029268</v>
      </c>
      <c r="F8" s="182">
        <f>VLOOKUP(A8,OPATT_Cost_Quantum!A:F,2,FALSE)</f>
        <v>3374037.54629535</v>
      </c>
      <c r="G8" s="183">
        <f>VLOOKUP(A8,OPATT_Cost_Quantum!A:F,3,FALSE)</f>
        <v>91270551.950400203</v>
      </c>
      <c r="H8" s="183">
        <f>VLOOKUP(A8,OPATT_Cost_Quantum!A:F,4,FALSE)</f>
        <v>4764564.5204327004</v>
      </c>
      <c r="I8" s="184">
        <f>VLOOKUP(A8,OPATT_Cost_Quantum!A:F,5,FALSE)</f>
        <v>104638730.24225099</v>
      </c>
      <c r="J8" s="176">
        <f>IF(B8=0,0,F8/B8)</f>
        <v>204.0542816023798</v>
      </c>
      <c r="K8" s="177">
        <f t="shared" ref="K8:M23" si="2">IF(C8=0,0,G8/C8)</f>
        <v>133.80797264686638</v>
      </c>
      <c r="L8" s="177">
        <f t="shared" si="2"/>
        <v>148.33637983912516</v>
      </c>
      <c r="M8" s="178">
        <f t="shared" si="2"/>
        <v>101.66325023439084</v>
      </c>
      <c r="N8" s="170">
        <f>IF(ISERROR(VLOOKUP($A8,'HRGs to TFCs % Split'!$A$8:$I$117,6,0)),0,VLOOKUP($A8,'HRGs to TFCs % Split'!$A$8:$I$117,6,0))</f>
        <v>0</v>
      </c>
      <c r="O8" s="171">
        <f>IF(ISERROR(VLOOKUP($A8,'HRGs to TFCs % Split'!$A$8:$I$117,6,0)),0,VLOOKUP($A8,'HRGs to TFCs % Split'!$A$8:$I$117,7,0))</f>
        <v>7.7904566536776496E-3</v>
      </c>
      <c r="P8" s="171">
        <f>IF(ISERROR(VLOOKUP($A8,'HRGs to TFCs % Split'!$A$8:$I$117,6,0)),0,VLOOKUP($A8,'HRGs to TFCs % Split'!$A$8:$I$117,8,0))</f>
        <v>0</v>
      </c>
      <c r="Q8" s="172">
        <f>IF(ISERROR(VLOOKUP($A8,'HRGs to TFCs % Split'!$A$8:$I$117,6,0)),0,VLOOKUP($A8,'HRGs to TFCs % Split'!$A$8:$I$117,9,0))</f>
        <v>1.4394253227501272E-2</v>
      </c>
      <c r="R8" s="164">
        <f t="shared" ref="R8:R39" si="3">ROUND(N8*$R$3,0)</f>
        <v>0</v>
      </c>
      <c r="S8" s="165">
        <f t="shared" ref="S8:S39" si="4">ROUND(O8*$R$3,0)</f>
        <v>12296</v>
      </c>
      <c r="T8" s="165">
        <f t="shared" ref="T8:T39" si="5">ROUND(P8*$R$3,0)</f>
        <v>0</v>
      </c>
      <c r="U8" s="166">
        <f t="shared" ref="U8:U39" si="6">ROUND(Q8*$R$3,0)</f>
        <v>22719</v>
      </c>
      <c r="V8" s="170">
        <f>IF(ISERROR(VLOOKUP($A8,'HRGs to TFCs % Split'!$A$8:$AA$117,6,0)),0,VLOOKUP($A8,'HRGs to TFCs % Split'!$A$8:$AA$117,14,0))</f>
        <v>0</v>
      </c>
      <c r="W8" s="171">
        <f>IF(ISERROR(VLOOKUP($A8,'HRGs to TFCs % Split'!$A$8:$AA$117,6,0)),0,VLOOKUP($A8,'HRGs to TFCs % Split'!$A$8:$AA$117,15,0))</f>
        <v>1.0592865335865065E-2</v>
      </c>
      <c r="X8" s="171">
        <f>IF(ISERROR(VLOOKUP($A8,'HRGs to TFCs % Split'!$A$8:$AA$117,6,0)),0,VLOOKUP($A8,'HRGs to TFCs % Split'!$A$8:$AA$117,16,0))</f>
        <v>0</v>
      </c>
      <c r="Y8" s="172">
        <f>IF(ISERROR(VLOOKUP($A8,'HRGs to TFCs % Split'!$A$8:$AA$117,6,0)),0,VLOOKUP($A8,'HRGs to TFCs % Split'!$A$8:$AA$117,17,0))</f>
        <v>1.5335044288342828E-2</v>
      </c>
      <c r="Z8" s="164">
        <f>V8*$Z$3</f>
        <v>0</v>
      </c>
      <c r="AA8" s="165">
        <f>W8*$Z$3</f>
        <v>1873762.6966470692</v>
      </c>
      <c r="AB8" s="165">
        <f t="shared" ref="AB8:AC8" si="7">X8*$Z$3</f>
        <v>0</v>
      </c>
      <c r="AC8" s="166">
        <f t="shared" si="7"/>
        <v>2712602.5893711518</v>
      </c>
      <c r="AD8" s="197">
        <f>B8+R8</f>
        <v>16535</v>
      </c>
      <c r="AE8" s="198">
        <f>C8+S8</f>
        <v>694397</v>
      </c>
      <c r="AF8" s="198">
        <f t="shared" ref="AF8:AG8" si="8">D8+T8</f>
        <v>32120</v>
      </c>
      <c r="AG8" s="199">
        <f t="shared" si="8"/>
        <v>1051987</v>
      </c>
      <c r="AH8" s="197">
        <f>F8+Z8</f>
        <v>3374037.54629535</v>
      </c>
      <c r="AI8" s="198">
        <f>G8+AA8</f>
        <v>93144314.647047266</v>
      </c>
      <c r="AJ8" s="198">
        <f t="shared" ref="AJ8:AK8" si="9">H8+AB8</f>
        <v>4764564.5204327004</v>
      </c>
      <c r="AK8" s="199">
        <f t="shared" si="9"/>
        <v>107351332.83162214</v>
      </c>
      <c r="AL8" s="191">
        <f>IF(AD8=0,0,AH8/AD8)</f>
        <v>204.0542816023798</v>
      </c>
      <c r="AM8" s="192">
        <f t="shared" ref="AM8:AO8" si="10">IF(AE8=0,0,AI8/AE8)</f>
        <v>134.13697733003926</v>
      </c>
      <c r="AN8" s="192">
        <f t="shared" si="10"/>
        <v>148.33637983912516</v>
      </c>
      <c r="AO8" s="193">
        <f t="shared" si="10"/>
        <v>102.04625421380885</v>
      </c>
      <c r="AP8" s="188">
        <f>IF(J8=0,0,AL8/J8-1)</f>
        <v>0</v>
      </c>
      <c r="AQ8" s="189">
        <f t="shared" ref="AQ8:AS8" si="11">IF(K8=0,0,AM8/K8-1)</f>
        <v>2.4587823629997896E-3</v>
      </c>
      <c r="AR8" s="189">
        <f t="shared" si="11"/>
        <v>0</v>
      </c>
      <c r="AS8" s="190">
        <f t="shared" si="11"/>
        <v>3.7673788565186772E-3</v>
      </c>
      <c r="AT8" s="193">
        <f>IF(ISERROR(VLOOKUP(A8,Mandatory!A:A,1,FALSE)),0,1)</f>
        <v>1</v>
      </c>
    </row>
    <row r="9" spans="1:46">
      <c r="A9">
        <v>101</v>
      </c>
      <c r="B9" s="185">
        <f>VLOOKUP(A9,OPATT_Activities!A:J,3,FALSE)</f>
        <v>5080</v>
      </c>
      <c r="C9" s="186">
        <f>VLOOKUP(A9,OPATT_Activities!A:J,4,FALSE)</f>
        <v>488658</v>
      </c>
      <c r="D9" s="186">
        <f>VLOOKUP(A9,OPATT_Activities!A:J,5,FALSE)</f>
        <v>18312</v>
      </c>
      <c r="E9" s="187">
        <f>VLOOKUP(A9,OPATT_Activities!A:J,6,FALSE)</f>
        <v>1032820</v>
      </c>
      <c r="F9" s="185">
        <f>VLOOKUP(A9,OPATT_Cost_Quantum!A:F,2,FALSE)</f>
        <v>850846.66468784702</v>
      </c>
      <c r="G9" s="186">
        <f>VLOOKUP(A9,OPATT_Cost_Quantum!A:F,3,FALSE)</f>
        <v>58054213.928478897</v>
      </c>
      <c r="H9" s="186">
        <f>VLOOKUP(A9,OPATT_Cost_Quantum!A:F,4,FALSE)</f>
        <v>2225681.4495186801</v>
      </c>
      <c r="I9" s="187">
        <f>VLOOKUP(A9,OPATT_Cost_Quantum!A:F,5,FALSE)</f>
        <v>89405576.031941295</v>
      </c>
      <c r="J9" s="179">
        <f t="shared" ref="J9:M72" si="12">IF(B9=0,0,F9/B9)</f>
        <v>167.48950092280452</v>
      </c>
      <c r="K9" s="180">
        <f t="shared" si="2"/>
        <v>118.80336335121679</v>
      </c>
      <c r="L9" s="180">
        <f t="shared" si="2"/>
        <v>121.5422373044277</v>
      </c>
      <c r="M9" s="181">
        <f t="shared" si="2"/>
        <v>86.564528215895606</v>
      </c>
      <c r="N9" s="173">
        <f>IF(ISERROR(VLOOKUP($A9,'HRGs to TFCs % Split'!$A$8:$I$117,6,0)),0,VLOOKUP($A9,'HRGs to TFCs % Split'!$A$8:$I$117,6,0))</f>
        <v>0</v>
      </c>
      <c r="O9" s="174">
        <f>IF(ISERROR(VLOOKUP($A9,'HRGs to TFCs % Split'!$A$8:$I$117,6,0)),0,VLOOKUP($A9,'HRGs to TFCs % Split'!$A$8:$I$117,7,0))</f>
        <v>1.5167391437586628E-3</v>
      </c>
      <c r="P9" s="174">
        <f>IF(ISERROR(VLOOKUP($A9,'HRGs to TFCs % Split'!$A$8:$I$117,6,0)),0,VLOOKUP($A9,'HRGs to TFCs % Split'!$A$8:$I$117,8,0))</f>
        <v>0</v>
      </c>
      <c r="Q9" s="175">
        <f>IF(ISERROR(VLOOKUP($A9,'HRGs to TFCs % Split'!$A$8:$I$117,6,0)),0,VLOOKUP($A9,'HRGs to TFCs % Split'!$A$8:$I$117,9,0))</f>
        <v>6.1267695597690477E-3</v>
      </c>
      <c r="R9" s="167">
        <f t="shared" si="3"/>
        <v>0</v>
      </c>
      <c r="S9" s="168">
        <f t="shared" si="4"/>
        <v>2394</v>
      </c>
      <c r="T9" s="168">
        <f t="shared" si="5"/>
        <v>0</v>
      </c>
      <c r="U9" s="169">
        <f t="shared" si="6"/>
        <v>9670</v>
      </c>
      <c r="V9" s="173">
        <f>IF(ISERROR(VLOOKUP($A9,'HRGs to TFCs % Split'!$A$8:$AA$117,6,0)),0,VLOOKUP($A9,'HRGs to TFCs % Split'!$A$8:$AA$117,14,0))</f>
        <v>0</v>
      </c>
      <c r="W9" s="174">
        <f>IF(ISERROR(VLOOKUP($A9,'HRGs to TFCs % Split'!$A$8:$AA$117,6,0)),0,VLOOKUP($A9,'HRGs to TFCs % Split'!$A$8:$AA$117,15,0))</f>
        <v>3.0718599950644533E-3</v>
      </c>
      <c r="X9" s="174">
        <f>IF(ISERROR(VLOOKUP($A9,'HRGs to TFCs % Split'!$A$8:$AA$117,6,0)),0,VLOOKUP($A9,'HRGs to TFCs % Split'!$A$8:$AA$117,16,0))</f>
        <v>0</v>
      </c>
      <c r="Y9" s="175">
        <f>IF(ISERROR(VLOOKUP($A9,'HRGs to TFCs % Split'!$A$8:$AA$117,6,0)),0,VLOOKUP($A9,'HRGs to TFCs % Split'!$A$8:$AA$117,17,0))</f>
        <v>9.6471580362058832E-3</v>
      </c>
      <c r="Z9" s="167">
        <f t="shared" ref="Z9:Z73" si="13">V9*$Z$3</f>
        <v>0</v>
      </c>
      <c r="AA9" s="168">
        <f t="shared" ref="AA9:AA73" si="14">W9*$Z$3</f>
        <v>543378.63133083668</v>
      </c>
      <c r="AB9" s="168">
        <f t="shared" ref="AB9:AB73" si="15">X9*$Z$3</f>
        <v>0</v>
      </c>
      <c r="AC9" s="169">
        <f t="shared" ref="AC9:AC73" si="16">Y9*$Z$3</f>
        <v>1706477.3584630268</v>
      </c>
      <c r="AD9" s="200">
        <f t="shared" ref="AD9:AD72" si="17">B9+R9</f>
        <v>5080</v>
      </c>
      <c r="AE9" s="201">
        <f t="shared" ref="AE9:AE72" si="18">C9+S9</f>
        <v>491052</v>
      </c>
      <c r="AF9" s="201">
        <f t="shared" ref="AF9:AF72" si="19">D9+T9</f>
        <v>18312</v>
      </c>
      <c r="AG9" s="202">
        <f t="shared" ref="AG9:AG72" si="20">E9+U9</f>
        <v>1042490</v>
      </c>
      <c r="AH9" s="200">
        <f t="shared" ref="AH9:AH72" si="21">F9+Z9</f>
        <v>850846.66468784702</v>
      </c>
      <c r="AI9" s="201">
        <f t="shared" ref="AI9:AI72" si="22">G9+AA9</f>
        <v>58597592.559809737</v>
      </c>
      <c r="AJ9" s="201">
        <f t="shared" ref="AJ9:AJ72" si="23">H9+AB9</f>
        <v>2225681.4495186801</v>
      </c>
      <c r="AK9" s="202">
        <f t="shared" ref="AK9:AK72" si="24">I9+AC9</f>
        <v>91112053.390404329</v>
      </c>
      <c r="AL9" s="194">
        <f t="shared" ref="AL9:AL72" si="25">IF(AD9=0,0,AH9/AD9)</f>
        <v>167.48950092280452</v>
      </c>
      <c r="AM9" s="195">
        <f t="shared" ref="AM9:AM72" si="26">IF(AE9=0,0,AI9/AE9)</f>
        <v>119.33072782477159</v>
      </c>
      <c r="AN9" s="195">
        <f t="shared" ref="AN9:AN72" si="27">IF(AF9=0,0,AJ9/AF9)</f>
        <v>121.5422373044277</v>
      </c>
      <c r="AO9" s="196">
        <f t="shared" ref="AO9:AO72" si="28">IF(AG9=0,0,AK9/AG9)</f>
        <v>87.398491487116743</v>
      </c>
      <c r="AP9" s="188">
        <f t="shared" ref="AP9:AP73" si="29">IF(J9=0,0,AL9/J9-1)</f>
        <v>0</v>
      </c>
      <c r="AQ9" s="189">
        <f t="shared" ref="AQ9:AQ73" si="30">IF(K9=0,0,AM9/K9-1)</f>
        <v>4.4389692234196865E-3</v>
      </c>
      <c r="AR9" s="189">
        <f t="shared" ref="AR9:AR73" si="31">IF(L9=0,0,AN9/L9-1)</f>
        <v>0</v>
      </c>
      <c r="AS9" s="190">
        <f t="shared" ref="AS9:AS73" si="32">IF(M9=0,0,AO9/M9-1)</f>
        <v>9.6340070050540128E-3</v>
      </c>
      <c r="AT9" s="196">
        <f>IF(ISERROR(VLOOKUP(A9,Mandatory!A:A,1,FALSE)),0,1)</f>
        <v>1</v>
      </c>
    </row>
    <row r="10" spans="1:46">
      <c r="A10">
        <v>102</v>
      </c>
      <c r="B10" s="185">
        <f>VLOOKUP(A10,OPATT_Activities!A:J,3,FALSE)</f>
        <v>338</v>
      </c>
      <c r="C10" s="186">
        <f>VLOOKUP(A10,OPATT_Activities!A:J,4,FALSE)</f>
        <v>4595</v>
      </c>
      <c r="D10" s="186">
        <f>VLOOKUP(A10,OPATT_Activities!A:J,5,FALSE)</f>
        <v>8920</v>
      </c>
      <c r="E10" s="187">
        <f>VLOOKUP(A10,OPATT_Activities!A:J,6,FALSE)</f>
        <v>69012</v>
      </c>
      <c r="F10" s="185">
        <f>VLOOKUP(A10,OPATT_Cost_Quantum!A:F,2,FALSE)</f>
        <v>113644.85892317</v>
      </c>
      <c r="G10" s="186">
        <f>VLOOKUP(A10,OPATT_Cost_Quantum!A:F,3,FALSE)</f>
        <v>1456450.6291800099</v>
      </c>
      <c r="H10" s="186">
        <f>VLOOKUP(A10,OPATT_Cost_Quantum!A:F,4,FALSE)</f>
        <v>3212435.70693389</v>
      </c>
      <c r="I10" s="187">
        <f>VLOOKUP(A10,OPATT_Cost_Quantum!A:F,5,FALSE)</f>
        <v>16401684.842273301</v>
      </c>
      <c r="J10" s="179">
        <f t="shared" si="12"/>
        <v>336.22739326381657</v>
      </c>
      <c r="K10" s="180">
        <f t="shared" si="2"/>
        <v>316.96422833079652</v>
      </c>
      <c r="L10" s="180">
        <f t="shared" si="2"/>
        <v>360.13853216747646</v>
      </c>
      <c r="M10" s="181">
        <f t="shared" si="2"/>
        <v>237.66424451216167</v>
      </c>
      <c r="N10" s="173">
        <f>IF(ISERROR(VLOOKUP($A10,'HRGs to TFCs % Split'!$A$8:$I$117,6,0)),0,VLOOKUP($A10,'HRGs to TFCs % Split'!$A$8:$I$117,6,0))</f>
        <v>0</v>
      </c>
      <c r="O10" s="174">
        <f>IF(ISERROR(VLOOKUP($A10,'HRGs to TFCs % Split'!$A$8:$I$117,6,0)),0,VLOOKUP($A10,'HRGs to TFCs % Split'!$A$8:$I$117,7,0))</f>
        <v>7.3843191030119899E-6</v>
      </c>
      <c r="P10" s="174">
        <f>IF(ISERROR(VLOOKUP($A10,'HRGs to TFCs % Split'!$A$8:$I$117,6,0)),0,VLOOKUP($A10,'HRGs to TFCs % Split'!$A$8:$I$117,8,0))</f>
        <v>0</v>
      </c>
      <c r="Q10" s="175">
        <f>IF(ISERROR(VLOOKUP($A10,'HRGs to TFCs % Split'!$A$8:$I$117,6,0)),0,VLOOKUP($A10,'HRGs to TFCs % Split'!$A$8:$I$117,9,0))</f>
        <v>5.7966904958644118E-4</v>
      </c>
      <c r="R10" s="167">
        <f t="shared" si="3"/>
        <v>0</v>
      </c>
      <c r="S10" s="168">
        <f t="shared" si="4"/>
        <v>12</v>
      </c>
      <c r="T10" s="168">
        <f t="shared" si="5"/>
        <v>0</v>
      </c>
      <c r="U10" s="169">
        <f t="shared" si="6"/>
        <v>915</v>
      </c>
      <c r="V10" s="173">
        <f>IF(ISERROR(VLOOKUP($A10,'HRGs to TFCs % Split'!$A$8:$AA$117,6,0)),0,VLOOKUP($A10,'HRGs to TFCs % Split'!$A$8:$AA$117,14,0))</f>
        <v>0</v>
      </c>
      <c r="W10" s="174">
        <f>IF(ISERROR(VLOOKUP($A10,'HRGs to TFCs % Split'!$A$8:$AA$117,6,0)),0,VLOOKUP($A10,'HRGs to TFCs % Split'!$A$8:$AA$117,15,0))</f>
        <v>5.4276985344593829E-6</v>
      </c>
      <c r="X10" s="174">
        <f>IF(ISERROR(VLOOKUP($A10,'HRGs to TFCs % Split'!$A$8:$AA$117,6,0)),0,VLOOKUP($A10,'HRGs to TFCs % Split'!$A$8:$AA$117,16,0))</f>
        <v>0</v>
      </c>
      <c r="Y10" s="175">
        <f>IF(ISERROR(VLOOKUP($A10,'HRGs to TFCs % Split'!$A$8:$AA$117,6,0)),0,VLOOKUP($A10,'HRGs to TFCs % Split'!$A$8:$AA$117,17,0))</f>
        <v>3.5284524131189062E-4</v>
      </c>
      <c r="Z10" s="167">
        <f t="shared" si="13"/>
        <v>0</v>
      </c>
      <c r="AA10" s="168">
        <f t="shared" si="14"/>
        <v>960.1008527958794</v>
      </c>
      <c r="AB10" s="168">
        <f t="shared" si="15"/>
        <v>0</v>
      </c>
      <c r="AC10" s="169">
        <f t="shared" si="16"/>
        <v>62414.48653379501</v>
      </c>
      <c r="AD10" s="200">
        <f t="shared" si="17"/>
        <v>338</v>
      </c>
      <c r="AE10" s="201">
        <f t="shared" si="18"/>
        <v>4607</v>
      </c>
      <c r="AF10" s="201">
        <f t="shared" si="19"/>
        <v>8920</v>
      </c>
      <c r="AG10" s="202">
        <f t="shared" si="20"/>
        <v>69927</v>
      </c>
      <c r="AH10" s="200">
        <f t="shared" si="21"/>
        <v>113644.85892317</v>
      </c>
      <c r="AI10" s="201">
        <f t="shared" si="22"/>
        <v>1457410.7300328058</v>
      </c>
      <c r="AJ10" s="201">
        <f t="shared" si="23"/>
        <v>3212435.70693389</v>
      </c>
      <c r="AK10" s="202">
        <f t="shared" si="24"/>
        <v>16464099.328807095</v>
      </c>
      <c r="AL10" s="194">
        <f t="shared" si="25"/>
        <v>336.22739326381657</v>
      </c>
      <c r="AM10" s="195">
        <f t="shared" si="26"/>
        <v>316.34702193028124</v>
      </c>
      <c r="AN10" s="195">
        <f t="shared" si="27"/>
        <v>360.13853216747646</v>
      </c>
      <c r="AO10" s="196">
        <f t="shared" si="28"/>
        <v>235.44695652333283</v>
      </c>
      <c r="AP10" s="188">
        <f t="shared" si="29"/>
        <v>0</v>
      </c>
      <c r="AQ10" s="189">
        <f t="shared" si="30"/>
        <v>-1.9472430809167607E-3</v>
      </c>
      <c r="AR10" s="189">
        <f t="shared" si="31"/>
        <v>0</v>
      </c>
      <c r="AS10" s="190">
        <f t="shared" si="32"/>
        <v>-9.3294975581208472E-3</v>
      </c>
      <c r="AT10" s="196">
        <f>IF(ISERROR(VLOOKUP(A10,Mandatory!A:A,1,FALSE)),0,1)</f>
        <v>0</v>
      </c>
    </row>
    <row r="11" spans="1:46">
      <c r="A11">
        <v>103</v>
      </c>
      <c r="B11" s="185">
        <f>VLOOKUP(A11,OPATT_Activities!A:J,3,FALSE)</f>
        <v>34052</v>
      </c>
      <c r="C11" s="186">
        <f>VLOOKUP(A11,OPATT_Activities!A:J,4,FALSE)</f>
        <v>263635</v>
      </c>
      <c r="D11" s="186">
        <f>VLOOKUP(A11,OPATT_Activities!A:J,5,FALSE)</f>
        <v>31220</v>
      </c>
      <c r="E11" s="187">
        <f>VLOOKUP(A11,OPATT_Activities!A:J,6,FALSE)</f>
        <v>391387</v>
      </c>
      <c r="F11" s="185">
        <f>VLOOKUP(A11,OPATT_Cost_Quantum!A:F,2,FALSE)</f>
        <v>5286323.1015788103</v>
      </c>
      <c r="G11" s="186">
        <f>VLOOKUP(A11,OPATT_Cost_Quantum!A:F,3,FALSE)</f>
        <v>41807078.9526072</v>
      </c>
      <c r="H11" s="186">
        <f>VLOOKUP(A11,OPATT_Cost_Quantum!A:F,4,FALSE)</f>
        <v>3283421.8006849498</v>
      </c>
      <c r="I11" s="187">
        <f>VLOOKUP(A11,OPATT_Cost_Quantum!A:F,5,FALSE)</f>
        <v>43515856.079914398</v>
      </c>
      <c r="J11" s="179">
        <f t="shared" si="12"/>
        <v>155.24266127037501</v>
      </c>
      <c r="K11" s="180">
        <f t="shared" si="2"/>
        <v>158.57939557572857</v>
      </c>
      <c r="L11" s="180">
        <f t="shared" si="2"/>
        <v>105.17046126473254</v>
      </c>
      <c r="M11" s="181">
        <f t="shared" si="2"/>
        <v>111.18370329089724</v>
      </c>
      <c r="N11" s="173">
        <f>IF(ISERROR(VLOOKUP($A11,'HRGs to TFCs % Split'!$A$8:$I$117,6,0)),0,VLOOKUP($A11,'HRGs to TFCs % Split'!$A$8:$I$117,6,0))</f>
        <v>0</v>
      </c>
      <c r="O11" s="174">
        <f>IF(ISERROR(VLOOKUP($A11,'HRGs to TFCs % Split'!$A$8:$I$117,6,0)),0,VLOOKUP($A11,'HRGs to TFCs % Split'!$A$8:$I$117,7,0))</f>
        <v>1.8933394180122743E-3</v>
      </c>
      <c r="P11" s="174">
        <f>IF(ISERROR(VLOOKUP($A11,'HRGs to TFCs % Split'!$A$8:$I$117,6,0)),0,VLOOKUP($A11,'HRGs to TFCs % Split'!$A$8:$I$117,8,0))</f>
        <v>0</v>
      </c>
      <c r="Q11" s="175">
        <f>IF(ISERROR(VLOOKUP($A11,'HRGs to TFCs % Split'!$A$8:$I$117,6,0)),0,VLOOKUP($A11,'HRGs to TFCs % Split'!$A$8:$I$117,9,0))</f>
        <v>8.0407850712697557E-3</v>
      </c>
      <c r="R11" s="167">
        <f t="shared" si="3"/>
        <v>0</v>
      </c>
      <c r="S11" s="168">
        <f t="shared" si="4"/>
        <v>2988</v>
      </c>
      <c r="T11" s="168">
        <f t="shared" si="5"/>
        <v>0</v>
      </c>
      <c r="U11" s="169">
        <f t="shared" si="6"/>
        <v>12691</v>
      </c>
      <c r="V11" s="173">
        <f>IF(ISERROR(VLOOKUP($A11,'HRGs to TFCs % Split'!$A$8:$AA$117,6,0)),0,VLOOKUP($A11,'HRGs to TFCs % Split'!$A$8:$AA$117,14,0))</f>
        <v>0</v>
      </c>
      <c r="W11" s="174">
        <f>IF(ISERROR(VLOOKUP($A11,'HRGs to TFCs % Split'!$A$8:$AA$117,6,0)),0,VLOOKUP($A11,'HRGs to TFCs % Split'!$A$8:$AA$117,15,0))</f>
        <v>2.6276422819778364E-3</v>
      </c>
      <c r="X11" s="174">
        <f>IF(ISERROR(VLOOKUP($A11,'HRGs to TFCs % Split'!$A$8:$AA$117,6,0)),0,VLOOKUP($A11,'HRGs to TFCs % Split'!$A$8:$AA$117,16,0))</f>
        <v>0</v>
      </c>
      <c r="Y11" s="175">
        <f>IF(ISERROR(VLOOKUP($A11,'HRGs to TFCs % Split'!$A$8:$AA$117,6,0)),0,VLOOKUP($A11,'HRGs to TFCs % Split'!$A$8:$AA$117,17,0))</f>
        <v>8.3982318583075023E-3</v>
      </c>
      <c r="Z11" s="167">
        <f t="shared" si="13"/>
        <v>0</v>
      </c>
      <c r="AA11" s="168">
        <f t="shared" si="14"/>
        <v>464801.34807647543</v>
      </c>
      <c r="AB11" s="168">
        <f t="shared" si="15"/>
        <v>0</v>
      </c>
      <c r="AC11" s="169">
        <f t="shared" si="16"/>
        <v>1485555.8977616786</v>
      </c>
      <c r="AD11" s="200">
        <f t="shared" si="17"/>
        <v>34052</v>
      </c>
      <c r="AE11" s="201">
        <f t="shared" si="18"/>
        <v>266623</v>
      </c>
      <c r="AF11" s="201">
        <f t="shared" si="19"/>
        <v>31220</v>
      </c>
      <c r="AG11" s="202">
        <f t="shared" si="20"/>
        <v>404078</v>
      </c>
      <c r="AH11" s="200">
        <f t="shared" si="21"/>
        <v>5286323.1015788103</v>
      </c>
      <c r="AI11" s="201">
        <f t="shared" si="22"/>
        <v>42271880.300683677</v>
      </c>
      <c r="AJ11" s="201">
        <f t="shared" si="23"/>
        <v>3283421.8006849498</v>
      </c>
      <c r="AK11" s="202">
        <f t="shared" si="24"/>
        <v>45001411.977676079</v>
      </c>
      <c r="AL11" s="194">
        <f t="shared" si="25"/>
        <v>155.24266127037501</v>
      </c>
      <c r="AM11" s="195">
        <f t="shared" si="26"/>
        <v>158.54551295531022</v>
      </c>
      <c r="AN11" s="195">
        <f t="shared" si="27"/>
        <v>105.17046126473254</v>
      </c>
      <c r="AO11" s="196">
        <f t="shared" si="28"/>
        <v>111.36813184008058</v>
      </c>
      <c r="AP11" s="188">
        <f t="shared" si="29"/>
        <v>0</v>
      </c>
      <c r="AQ11" s="189">
        <f t="shared" si="30"/>
        <v>-2.1366344786055702E-4</v>
      </c>
      <c r="AR11" s="189">
        <f t="shared" si="31"/>
        <v>0</v>
      </c>
      <c r="AS11" s="190">
        <f t="shared" si="32"/>
        <v>1.6587732169777158E-3</v>
      </c>
      <c r="AT11" s="196">
        <f>IF(ISERROR(VLOOKUP(A11,Mandatory!A:A,1,FALSE)),0,1)</f>
        <v>1</v>
      </c>
    </row>
    <row r="12" spans="1:46">
      <c r="A12">
        <v>104</v>
      </c>
      <c r="B12" s="185">
        <f>VLOOKUP(A12,OPATT_Activities!A:J,3,FALSE)</f>
        <v>1127</v>
      </c>
      <c r="C12" s="186">
        <f>VLOOKUP(A12,OPATT_Activities!A:J,4,FALSE)</f>
        <v>150702</v>
      </c>
      <c r="D12" s="186">
        <f>VLOOKUP(A12,OPATT_Activities!A:J,5,FALSE)</f>
        <v>2377</v>
      </c>
      <c r="E12" s="187">
        <f>VLOOKUP(A12,OPATT_Activities!A:J,6,FALSE)</f>
        <v>186239</v>
      </c>
      <c r="F12" s="185">
        <f>VLOOKUP(A12,OPATT_Cost_Quantum!A:F,2,FALSE)</f>
        <v>123253.03710354101</v>
      </c>
      <c r="G12" s="186">
        <f>VLOOKUP(A12,OPATT_Cost_Quantum!A:F,3,FALSE)</f>
        <v>17061981.038228501</v>
      </c>
      <c r="H12" s="186">
        <f>VLOOKUP(A12,OPATT_Cost_Quantum!A:F,4,FALSE)</f>
        <v>278738.92216115003</v>
      </c>
      <c r="I12" s="187">
        <f>VLOOKUP(A12,OPATT_Cost_Quantum!A:F,5,FALSE)</f>
        <v>16011262.376209</v>
      </c>
      <c r="J12" s="179">
        <f t="shared" si="12"/>
        <v>109.36383061538687</v>
      </c>
      <c r="K12" s="180">
        <f t="shared" si="2"/>
        <v>113.21668616361097</v>
      </c>
      <c r="L12" s="180">
        <f t="shared" si="2"/>
        <v>117.26500721966765</v>
      </c>
      <c r="M12" s="181">
        <f t="shared" si="2"/>
        <v>85.971586919007294</v>
      </c>
      <c r="N12" s="173">
        <f>IF(ISERROR(VLOOKUP($A12,'HRGs to TFCs % Split'!$A$8:$I$117,6,0)),0,VLOOKUP($A12,'HRGs to TFCs % Split'!$A$8:$I$117,6,0))</f>
        <v>0</v>
      </c>
      <c r="O12" s="174">
        <f>IF(ISERROR(VLOOKUP($A12,'HRGs to TFCs % Split'!$A$8:$I$117,6,0)),0,VLOOKUP($A12,'HRGs to TFCs % Split'!$A$8:$I$117,7,0))</f>
        <v>4.0842668958759321E-3</v>
      </c>
      <c r="P12" s="174">
        <f>IF(ISERROR(VLOOKUP($A12,'HRGs to TFCs % Split'!$A$8:$I$117,6,0)),0,VLOOKUP($A12,'HRGs to TFCs % Split'!$A$8:$I$117,8,0))</f>
        <v>0</v>
      </c>
      <c r="Q12" s="175">
        <f>IF(ISERROR(VLOOKUP($A12,'HRGs to TFCs % Split'!$A$8:$I$117,6,0)),0,VLOOKUP($A12,'HRGs to TFCs % Split'!$A$8:$I$117,9,0))</f>
        <v>3.6655760027351518E-3</v>
      </c>
      <c r="R12" s="167">
        <f t="shared" si="3"/>
        <v>0</v>
      </c>
      <c r="S12" s="168">
        <f t="shared" si="4"/>
        <v>6446</v>
      </c>
      <c r="T12" s="168">
        <f t="shared" si="5"/>
        <v>0</v>
      </c>
      <c r="U12" s="169">
        <f t="shared" si="6"/>
        <v>5786</v>
      </c>
      <c r="V12" s="173">
        <f>IF(ISERROR(VLOOKUP($A12,'HRGs to TFCs % Split'!$A$8:$AA$117,6,0)),0,VLOOKUP($A12,'HRGs to TFCs % Split'!$A$8:$AA$117,14,0))</f>
        <v>0</v>
      </c>
      <c r="W12" s="174">
        <f>IF(ISERROR(VLOOKUP($A12,'HRGs to TFCs % Split'!$A$8:$AA$117,6,0)),0,VLOOKUP($A12,'HRGs to TFCs % Split'!$A$8:$AA$117,15,0))</f>
        <v>5.4990233571415642E-3</v>
      </c>
      <c r="X12" s="174">
        <f>IF(ISERROR(VLOOKUP($A12,'HRGs to TFCs % Split'!$A$8:$AA$117,6,0)),0,VLOOKUP($A12,'HRGs to TFCs % Split'!$A$8:$AA$117,16,0))</f>
        <v>0</v>
      </c>
      <c r="Y12" s="175">
        <f>IF(ISERROR(VLOOKUP($A12,'HRGs to TFCs % Split'!$A$8:$AA$117,6,0)),0,VLOOKUP($A12,'HRGs to TFCs % Split'!$A$8:$AA$117,17,0))</f>
        <v>3.8244066400386733E-3</v>
      </c>
      <c r="Z12" s="167">
        <f t="shared" si="13"/>
        <v>0</v>
      </c>
      <c r="AA12" s="168">
        <f t="shared" si="14"/>
        <v>972717.43837960658</v>
      </c>
      <c r="AB12" s="168">
        <f t="shared" si="15"/>
        <v>0</v>
      </c>
      <c r="AC12" s="169">
        <f t="shared" si="16"/>
        <v>676495.95002886048</v>
      </c>
      <c r="AD12" s="200">
        <f t="shared" si="17"/>
        <v>1127</v>
      </c>
      <c r="AE12" s="201">
        <f t="shared" si="18"/>
        <v>157148</v>
      </c>
      <c r="AF12" s="201">
        <f t="shared" si="19"/>
        <v>2377</v>
      </c>
      <c r="AG12" s="202">
        <f t="shared" si="20"/>
        <v>192025</v>
      </c>
      <c r="AH12" s="200">
        <f t="shared" si="21"/>
        <v>123253.03710354101</v>
      </c>
      <c r="AI12" s="201">
        <f t="shared" si="22"/>
        <v>18034698.476608109</v>
      </c>
      <c r="AJ12" s="201">
        <f t="shared" si="23"/>
        <v>278738.92216115003</v>
      </c>
      <c r="AK12" s="202">
        <f t="shared" si="24"/>
        <v>16687758.326237861</v>
      </c>
      <c r="AL12" s="194">
        <f t="shared" si="25"/>
        <v>109.36383061538687</v>
      </c>
      <c r="AM12" s="195">
        <f t="shared" si="26"/>
        <v>114.7625071690897</v>
      </c>
      <c r="AN12" s="195">
        <f t="shared" si="27"/>
        <v>117.26500721966765</v>
      </c>
      <c r="AO12" s="196">
        <f t="shared" si="28"/>
        <v>86.904092312135717</v>
      </c>
      <c r="AP12" s="188">
        <f t="shared" si="29"/>
        <v>0</v>
      </c>
      <c r="AQ12" s="189">
        <f t="shared" si="30"/>
        <v>1.3653649986229421E-2</v>
      </c>
      <c r="AR12" s="189">
        <f t="shared" si="31"/>
        <v>0</v>
      </c>
      <c r="AS12" s="190">
        <f t="shared" si="32"/>
        <v>1.0846669539867015E-2</v>
      </c>
      <c r="AT12" s="196">
        <f>IF(ISERROR(VLOOKUP(A12,Mandatory!A:A,1,FALSE)),0,1)</f>
        <v>1</v>
      </c>
    </row>
    <row r="13" spans="1:46">
      <c r="A13">
        <v>105</v>
      </c>
      <c r="B13" s="185">
        <f>VLOOKUP(A13,OPATT_Activities!A:J,3,FALSE)</f>
        <v>1417</v>
      </c>
      <c r="C13" s="186">
        <f>VLOOKUP(A13,OPATT_Activities!A:J,4,FALSE)</f>
        <v>10147</v>
      </c>
      <c r="D13" s="186">
        <f>VLOOKUP(A13,OPATT_Activities!A:J,5,FALSE)</f>
        <v>3455</v>
      </c>
      <c r="E13" s="187">
        <f>VLOOKUP(A13,OPATT_Activities!A:J,6,FALSE)</f>
        <v>24160</v>
      </c>
      <c r="F13" s="185">
        <f>VLOOKUP(A13,OPATT_Cost_Quantum!A:F,2,FALSE)</f>
        <v>250140.65487043301</v>
      </c>
      <c r="G13" s="186">
        <f>VLOOKUP(A13,OPATT_Cost_Quantum!A:F,3,FALSE)</f>
        <v>1640278.07451339</v>
      </c>
      <c r="H13" s="186">
        <f>VLOOKUP(A13,OPATT_Cost_Quantum!A:F,4,FALSE)</f>
        <v>561991.09142008703</v>
      </c>
      <c r="I13" s="187">
        <f>VLOOKUP(A13,OPATT_Cost_Quantum!A:F,5,FALSE)</f>
        <v>3349337.9984909701</v>
      </c>
      <c r="J13" s="179">
        <f t="shared" si="12"/>
        <v>176.52833794667114</v>
      </c>
      <c r="K13" s="180">
        <f t="shared" si="2"/>
        <v>161.65152996091356</v>
      </c>
      <c r="L13" s="180">
        <f t="shared" si="2"/>
        <v>162.6602290651482</v>
      </c>
      <c r="M13" s="181">
        <f t="shared" si="2"/>
        <v>138.63153967263949</v>
      </c>
      <c r="N13" s="173">
        <f>IF(ISERROR(VLOOKUP($A13,'HRGs to TFCs % Split'!$A$8:$I$117,6,0)),0,VLOOKUP($A13,'HRGs to TFCs % Split'!$A$8:$I$117,6,0))</f>
        <v>0</v>
      </c>
      <c r="O13" s="174">
        <f>IF(ISERROR(VLOOKUP($A13,'HRGs to TFCs % Split'!$A$8:$I$117,6,0)),0,VLOOKUP($A13,'HRGs to TFCs % Split'!$A$8:$I$117,7,0))</f>
        <v>9.599614833915587E-6</v>
      </c>
      <c r="P13" s="174">
        <f>IF(ISERROR(VLOOKUP($A13,'HRGs to TFCs % Split'!$A$8:$I$117,6,0)),0,VLOOKUP($A13,'HRGs to TFCs % Split'!$A$8:$I$117,8,0))</f>
        <v>0</v>
      </c>
      <c r="Q13" s="175">
        <f>IF(ISERROR(VLOOKUP($A13,'HRGs to TFCs % Split'!$A$8:$I$117,6,0)),0,VLOOKUP($A13,'HRGs to TFCs % Split'!$A$8:$I$117,9,0))</f>
        <v>2.953727641204796E-5</v>
      </c>
      <c r="R13" s="167">
        <f t="shared" si="3"/>
        <v>0</v>
      </c>
      <c r="S13" s="168">
        <f t="shared" si="4"/>
        <v>15</v>
      </c>
      <c r="T13" s="168">
        <f t="shared" si="5"/>
        <v>0</v>
      </c>
      <c r="U13" s="169">
        <f t="shared" si="6"/>
        <v>47</v>
      </c>
      <c r="V13" s="173">
        <f>IF(ISERROR(VLOOKUP($A13,'HRGs to TFCs % Split'!$A$8:$AA$117,6,0)),0,VLOOKUP($A13,'HRGs to TFCs % Split'!$A$8:$AA$117,14,0))</f>
        <v>0</v>
      </c>
      <c r="W13" s="174">
        <f>IF(ISERROR(VLOOKUP($A13,'HRGs to TFCs % Split'!$A$8:$AA$117,6,0)),0,VLOOKUP($A13,'HRGs to TFCs % Split'!$A$8:$AA$117,15,0))</f>
        <v>1.1447962845911391E-5</v>
      </c>
      <c r="X13" s="174">
        <f>IF(ISERROR(VLOOKUP($A13,'HRGs to TFCs % Split'!$A$8:$AA$117,6,0)),0,VLOOKUP($A13,'HRGs to TFCs % Split'!$A$8:$AA$117,16,0))</f>
        <v>0</v>
      </c>
      <c r="Y13" s="175">
        <f>IF(ISERROR(VLOOKUP($A13,'HRGs to TFCs % Split'!$A$8:$AA$117,6,0)),0,VLOOKUP($A13,'HRGs to TFCs % Split'!$A$8:$AA$117,17,0))</f>
        <v>4.6487685183705174E-5</v>
      </c>
      <c r="Z13" s="167">
        <f t="shared" si="13"/>
        <v>0</v>
      </c>
      <c r="AA13" s="168">
        <f t="shared" si="14"/>
        <v>2025.020148291974</v>
      </c>
      <c r="AB13" s="168">
        <f t="shared" si="15"/>
        <v>0</v>
      </c>
      <c r="AC13" s="169">
        <f t="shared" si="16"/>
        <v>8223.1660262662863</v>
      </c>
      <c r="AD13" s="200">
        <f t="shared" si="17"/>
        <v>1417</v>
      </c>
      <c r="AE13" s="201">
        <f t="shared" si="18"/>
        <v>10162</v>
      </c>
      <c r="AF13" s="201">
        <f t="shared" si="19"/>
        <v>3455</v>
      </c>
      <c r="AG13" s="202">
        <f t="shared" si="20"/>
        <v>24207</v>
      </c>
      <c r="AH13" s="200">
        <f t="shared" si="21"/>
        <v>250140.65487043301</v>
      </c>
      <c r="AI13" s="201">
        <f t="shared" si="22"/>
        <v>1642303.0946616819</v>
      </c>
      <c r="AJ13" s="201">
        <f t="shared" si="23"/>
        <v>561991.09142008703</v>
      </c>
      <c r="AK13" s="202">
        <f t="shared" si="24"/>
        <v>3357561.1645172364</v>
      </c>
      <c r="AL13" s="194">
        <f t="shared" si="25"/>
        <v>176.52833794667114</v>
      </c>
      <c r="AM13" s="195">
        <f t="shared" si="26"/>
        <v>161.61219195647331</v>
      </c>
      <c r="AN13" s="195">
        <f t="shared" si="27"/>
        <v>162.6602290651482</v>
      </c>
      <c r="AO13" s="196">
        <f t="shared" si="28"/>
        <v>138.70207644554205</v>
      </c>
      <c r="AP13" s="188">
        <f t="shared" si="29"/>
        <v>0</v>
      </c>
      <c r="AQ13" s="189">
        <f t="shared" si="30"/>
        <v>-2.4335064722103006E-4</v>
      </c>
      <c r="AR13" s="189">
        <f t="shared" si="31"/>
        <v>0</v>
      </c>
      <c r="AS13" s="190">
        <f t="shared" si="32"/>
        <v>5.0880754169746467E-4</v>
      </c>
      <c r="AT13" s="196">
        <f>IF(ISERROR(VLOOKUP(A13,Mandatory!A:A,1,FALSE)),0,1)</f>
        <v>1</v>
      </c>
    </row>
    <row r="14" spans="1:46">
      <c r="A14">
        <v>106</v>
      </c>
      <c r="B14" s="185">
        <f>VLOOKUP(A14,OPATT_Activities!A:J,3,FALSE)</f>
        <v>540</v>
      </c>
      <c r="C14" s="186">
        <f>VLOOKUP(A14,OPATT_Activities!A:J,4,FALSE)</f>
        <v>46012</v>
      </c>
      <c r="D14" s="186">
        <f>VLOOKUP(A14,OPATT_Activities!A:J,5,FALSE)</f>
        <v>879</v>
      </c>
      <c r="E14" s="187">
        <f>VLOOKUP(A14,OPATT_Activities!A:J,6,FALSE)</f>
        <v>53191</v>
      </c>
      <c r="F14" s="185">
        <f>VLOOKUP(A14,OPATT_Cost_Quantum!A:F,2,FALSE)</f>
        <v>70761.861975488006</v>
      </c>
      <c r="G14" s="186">
        <f>VLOOKUP(A14,OPATT_Cost_Quantum!A:F,3,FALSE)</f>
        <v>4924361.7571745599</v>
      </c>
      <c r="H14" s="186">
        <f>VLOOKUP(A14,OPATT_Cost_Quantum!A:F,4,FALSE)</f>
        <v>102453.406276618</v>
      </c>
      <c r="I14" s="187">
        <f>VLOOKUP(A14,OPATT_Cost_Quantum!A:F,5,FALSE)</f>
        <v>4958523.82751696</v>
      </c>
      <c r="J14" s="179">
        <f t="shared" si="12"/>
        <v>131.04048513979259</v>
      </c>
      <c r="K14" s="180">
        <f t="shared" si="2"/>
        <v>107.02342339334434</v>
      </c>
      <c r="L14" s="180">
        <f t="shared" si="2"/>
        <v>116.55677619637997</v>
      </c>
      <c r="M14" s="181">
        <f t="shared" si="2"/>
        <v>93.221105591490286</v>
      </c>
      <c r="N14" s="173">
        <f>IF(ISERROR(VLOOKUP($A14,'HRGs to TFCs % Split'!$A$8:$I$117,6,0)),0,VLOOKUP($A14,'HRGs to TFCs % Split'!$A$8:$I$117,6,0))</f>
        <v>0</v>
      </c>
      <c r="O14" s="174">
        <f>IF(ISERROR(VLOOKUP($A14,'HRGs to TFCs % Split'!$A$8:$I$117,6,0)),0,VLOOKUP($A14,'HRGs to TFCs % Split'!$A$8:$I$117,7,0))</f>
        <v>1.8682327330620335E-4</v>
      </c>
      <c r="P14" s="174">
        <f>IF(ISERROR(VLOOKUP($A14,'HRGs to TFCs % Split'!$A$8:$I$117,6,0)),0,VLOOKUP($A14,'HRGs to TFCs % Split'!$A$8:$I$117,8,0))</f>
        <v>0</v>
      </c>
      <c r="Q14" s="175">
        <f>IF(ISERROR(VLOOKUP($A14,'HRGs to TFCs % Split'!$A$8:$I$117,6,0)),0,VLOOKUP($A14,'HRGs to TFCs % Split'!$A$8:$I$117,9,0))</f>
        <v>3.3303279154584073E-4</v>
      </c>
      <c r="R14" s="167">
        <f t="shared" si="3"/>
        <v>0</v>
      </c>
      <c r="S14" s="168">
        <f t="shared" si="4"/>
        <v>295</v>
      </c>
      <c r="T14" s="168">
        <f t="shared" si="5"/>
        <v>0</v>
      </c>
      <c r="U14" s="169">
        <f t="shared" si="6"/>
        <v>526</v>
      </c>
      <c r="V14" s="173">
        <f>IF(ISERROR(VLOOKUP($A14,'HRGs to TFCs % Split'!$A$8:$AA$117,6,0)),0,VLOOKUP($A14,'HRGs to TFCs % Split'!$A$8:$AA$117,14,0))</f>
        <v>0</v>
      </c>
      <c r="W14" s="174">
        <f>IF(ISERROR(VLOOKUP($A14,'HRGs to TFCs % Split'!$A$8:$AA$117,6,0)),0,VLOOKUP($A14,'HRGs to TFCs % Split'!$A$8:$AA$117,15,0))</f>
        <v>2.0373480430446741E-4</v>
      </c>
      <c r="X14" s="174">
        <f>IF(ISERROR(VLOOKUP($A14,'HRGs to TFCs % Split'!$A$8:$AA$117,6,0)),0,VLOOKUP($A14,'HRGs to TFCs % Split'!$A$8:$AA$117,16,0))</f>
        <v>0</v>
      </c>
      <c r="Y14" s="175">
        <f>IF(ISERROR(VLOOKUP($A14,'HRGs to TFCs % Split'!$A$8:$AA$117,6,0)),0,VLOOKUP($A14,'HRGs to TFCs % Split'!$A$8:$AA$117,17,0))</f>
        <v>3.4094163223329435E-4</v>
      </c>
      <c r="Z14" s="167">
        <f t="shared" si="13"/>
        <v>0</v>
      </c>
      <c r="AA14" s="168">
        <f t="shared" si="14"/>
        <v>36038.471575946467</v>
      </c>
      <c r="AB14" s="168">
        <f t="shared" si="15"/>
        <v>0</v>
      </c>
      <c r="AC14" s="169">
        <f t="shared" si="16"/>
        <v>60308.867521399472</v>
      </c>
      <c r="AD14" s="200">
        <f t="shared" si="17"/>
        <v>540</v>
      </c>
      <c r="AE14" s="201">
        <f t="shared" si="18"/>
        <v>46307</v>
      </c>
      <c r="AF14" s="201">
        <f t="shared" si="19"/>
        <v>879</v>
      </c>
      <c r="AG14" s="202">
        <f t="shared" si="20"/>
        <v>53717</v>
      </c>
      <c r="AH14" s="200">
        <f t="shared" si="21"/>
        <v>70761.861975488006</v>
      </c>
      <c r="AI14" s="201">
        <f t="shared" si="22"/>
        <v>4960400.2287505064</v>
      </c>
      <c r="AJ14" s="201">
        <f t="shared" si="23"/>
        <v>102453.406276618</v>
      </c>
      <c r="AK14" s="202">
        <f t="shared" si="24"/>
        <v>5018832.6950383596</v>
      </c>
      <c r="AL14" s="194">
        <f t="shared" si="25"/>
        <v>131.04048513979259</v>
      </c>
      <c r="AM14" s="195">
        <f t="shared" si="26"/>
        <v>107.11987882502659</v>
      </c>
      <c r="AN14" s="195">
        <f t="shared" si="27"/>
        <v>116.55677619637997</v>
      </c>
      <c r="AO14" s="196">
        <f t="shared" si="28"/>
        <v>93.43099382017536</v>
      </c>
      <c r="AP14" s="188">
        <f t="shared" si="29"/>
        <v>0</v>
      </c>
      <c r="AQ14" s="189">
        <f t="shared" si="30"/>
        <v>9.0125533854146234E-4</v>
      </c>
      <c r="AR14" s="189">
        <f t="shared" si="31"/>
        <v>0</v>
      </c>
      <c r="AS14" s="190">
        <f t="shared" si="32"/>
        <v>2.2515097557933572E-3</v>
      </c>
      <c r="AT14" s="196">
        <f>IF(ISERROR(VLOOKUP(A14,Mandatory!A:A,1,FALSE)),0,1)</f>
        <v>1</v>
      </c>
    </row>
    <row r="15" spans="1:46">
      <c r="A15">
        <v>107</v>
      </c>
      <c r="B15" s="185">
        <f>VLOOKUP(A15,OPATT_Activities!A:J,3,FALSE)</f>
        <v>1338</v>
      </c>
      <c r="C15" s="186">
        <f>VLOOKUP(A15,OPATT_Activities!A:J,4,FALSE)</f>
        <v>131886</v>
      </c>
      <c r="D15" s="186">
        <f>VLOOKUP(A15,OPATT_Activities!A:J,5,FALSE)</f>
        <v>2516</v>
      </c>
      <c r="E15" s="187">
        <f>VLOOKUP(A15,OPATT_Activities!A:J,6,FALSE)</f>
        <v>187649</v>
      </c>
      <c r="F15" s="185">
        <f>VLOOKUP(A15,OPATT_Cost_Quantum!A:F,2,FALSE)</f>
        <v>211489.93640106599</v>
      </c>
      <c r="G15" s="186">
        <f>VLOOKUP(A15,OPATT_Cost_Quantum!A:F,3,FALSE)</f>
        <v>20400540.724900302</v>
      </c>
      <c r="H15" s="186">
        <f>VLOOKUP(A15,OPATT_Cost_Quantum!A:F,4,FALSE)</f>
        <v>347172.62229546899</v>
      </c>
      <c r="I15" s="187">
        <f>VLOOKUP(A15,OPATT_Cost_Quantum!A:F,5,FALSE)</f>
        <v>22779183.187006999</v>
      </c>
      <c r="J15" s="179">
        <f t="shared" si="12"/>
        <v>158.06422750453362</v>
      </c>
      <c r="K15" s="180">
        <f t="shared" si="2"/>
        <v>154.6831409315644</v>
      </c>
      <c r="L15" s="180">
        <f t="shared" si="2"/>
        <v>137.98593890916891</v>
      </c>
      <c r="M15" s="181">
        <f t="shared" si="2"/>
        <v>121.39251041576027</v>
      </c>
      <c r="N15" s="173">
        <f>IF(ISERROR(VLOOKUP($A15,'HRGs to TFCs % Split'!$A$8:$I$117,6,0)),0,VLOOKUP($A15,'HRGs to TFCs % Split'!$A$8:$I$117,6,0))</f>
        <v>0</v>
      </c>
      <c r="O15" s="174">
        <f>IF(ISERROR(VLOOKUP($A15,'HRGs to TFCs % Split'!$A$8:$I$117,6,0)),0,VLOOKUP($A15,'HRGs to TFCs % Split'!$A$8:$I$117,7,0))</f>
        <v>2.2869236262028133E-3</v>
      </c>
      <c r="P15" s="174">
        <f>IF(ISERROR(VLOOKUP($A15,'HRGs to TFCs % Split'!$A$8:$I$117,6,0)),0,VLOOKUP($A15,'HRGs to TFCs % Split'!$A$8:$I$117,8,0))</f>
        <v>0</v>
      </c>
      <c r="Q15" s="175">
        <f>IF(ISERROR(VLOOKUP($A15,'HRGs to TFCs % Split'!$A$8:$I$117,6,0)),0,VLOOKUP($A15,'HRGs to TFCs % Split'!$A$8:$I$117,9,0))</f>
        <v>6.1430150617956744E-3</v>
      </c>
      <c r="R15" s="167">
        <f t="shared" si="3"/>
        <v>0</v>
      </c>
      <c r="S15" s="168">
        <f t="shared" si="4"/>
        <v>3610</v>
      </c>
      <c r="T15" s="168">
        <f t="shared" si="5"/>
        <v>0</v>
      </c>
      <c r="U15" s="169">
        <f t="shared" si="6"/>
        <v>9696</v>
      </c>
      <c r="V15" s="173">
        <f>IF(ISERROR(VLOOKUP($A15,'HRGs to TFCs % Split'!$A$8:$AA$117,6,0)),0,VLOOKUP($A15,'HRGs to TFCs % Split'!$A$8:$AA$117,14,0))</f>
        <v>0</v>
      </c>
      <c r="W15" s="174">
        <f>IF(ISERROR(VLOOKUP($A15,'HRGs to TFCs % Split'!$A$8:$AA$117,6,0)),0,VLOOKUP($A15,'HRGs to TFCs % Split'!$A$8:$AA$117,15,0))</f>
        <v>2.6043944411325102E-3</v>
      </c>
      <c r="X15" s="174">
        <f>IF(ISERROR(VLOOKUP($A15,'HRGs to TFCs % Split'!$A$8:$AA$117,6,0)),0,VLOOKUP($A15,'HRGs to TFCs % Split'!$A$8:$AA$117,16,0))</f>
        <v>0</v>
      </c>
      <c r="Y15" s="175">
        <f>IF(ISERROR(VLOOKUP($A15,'HRGs to TFCs % Split'!$A$8:$AA$117,6,0)),0,VLOOKUP($A15,'HRGs to TFCs % Split'!$A$8:$AA$117,17,0))</f>
        <v>6.0087218573603787E-3</v>
      </c>
      <c r="Z15" s="167">
        <f t="shared" si="13"/>
        <v>0</v>
      </c>
      <c r="AA15" s="168">
        <f t="shared" si="14"/>
        <v>460689.05781577772</v>
      </c>
      <c r="AB15" s="168">
        <f t="shared" si="15"/>
        <v>0</v>
      </c>
      <c r="AC15" s="169">
        <f t="shared" si="16"/>
        <v>1062877.5608738833</v>
      </c>
      <c r="AD15" s="200">
        <f t="shared" si="17"/>
        <v>1338</v>
      </c>
      <c r="AE15" s="201">
        <f t="shared" si="18"/>
        <v>135496</v>
      </c>
      <c r="AF15" s="201">
        <f t="shared" si="19"/>
        <v>2516</v>
      </c>
      <c r="AG15" s="202">
        <f t="shared" si="20"/>
        <v>197345</v>
      </c>
      <c r="AH15" s="200">
        <f t="shared" si="21"/>
        <v>211489.93640106599</v>
      </c>
      <c r="AI15" s="201">
        <f t="shared" si="22"/>
        <v>20861229.782716081</v>
      </c>
      <c r="AJ15" s="201">
        <f t="shared" si="23"/>
        <v>347172.62229546899</v>
      </c>
      <c r="AK15" s="202">
        <f t="shared" si="24"/>
        <v>23842060.747880884</v>
      </c>
      <c r="AL15" s="194">
        <f t="shared" si="25"/>
        <v>158.06422750453362</v>
      </c>
      <c r="AM15" s="195">
        <f t="shared" si="26"/>
        <v>153.96196037311861</v>
      </c>
      <c r="AN15" s="195">
        <f t="shared" si="27"/>
        <v>137.98593890916891</v>
      </c>
      <c r="AO15" s="196">
        <f t="shared" si="28"/>
        <v>120.81411106377604</v>
      </c>
      <c r="AP15" s="188">
        <f t="shared" si="29"/>
        <v>0</v>
      </c>
      <c r="AQ15" s="189">
        <f t="shared" si="30"/>
        <v>-4.6623087306253419E-3</v>
      </c>
      <c r="AR15" s="189">
        <f t="shared" si="31"/>
        <v>0</v>
      </c>
      <c r="AS15" s="190">
        <f t="shared" si="32"/>
        <v>-4.764703769641554E-3</v>
      </c>
      <c r="AT15" s="196">
        <f>IF(ISERROR(VLOOKUP(A15,Mandatory!A:A,1,FALSE)),0,1)</f>
        <v>1</v>
      </c>
    </row>
    <row r="16" spans="1:46">
      <c r="A16">
        <v>110</v>
      </c>
      <c r="B16" s="185">
        <f>VLOOKUP(A16,OPATT_Activities!A:J,3,FALSE)</f>
        <v>37608</v>
      </c>
      <c r="C16" s="186">
        <f>VLOOKUP(A16,OPATT_Activities!A:J,4,FALSE)</f>
        <v>2029482</v>
      </c>
      <c r="D16" s="186">
        <f>VLOOKUP(A16,OPATT_Activities!A:J,5,FALSE)</f>
        <v>70215</v>
      </c>
      <c r="E16" s="187">
        <f>VLOOKUP(A16,OPATT_Activities!A:J,6,FALSE)</f>
        <v>3728329</v>
      </c>
      <c r="F16" s="185">
        <f>VLOOKUP(A16,OPATT_Cost_Quantum!A:F,2,FALSE)</f>
        <v>4430859.1025239797</v>
      </c>
      <c r="G16" s="186">
        <f>VLOOKUP(A16,OPATT_Cost_Quantum!A:F,3,FALSE)</f>
        <v>239604759.52718899</v>
      </c>
      <c r="H16" s="186">
        <f>VLOOKUP(A16,OPATT_Cost_Quantum!A:F,4,FALSE)</f>
        <v>6930835.7917264802</v>
      </c>
      <c r="I16" s="187">
        <f>VLOOKUP(A16,OPATT_Cost_Quantum!A:F,5,FALSE)</f>
        <v>324233764.05217397</v>
      </c>
      <c r="J16" s="179">
        <f t="shared" si="12"/>
        <v>117.81692997564294</v>
      </c>
      <c r="K16" s="180">
        <f t="shared" si="2"/>
        <v>118.06202741743409</v>
      </c>
      <c r="L16" s="180">
        <f t="shared" si="2"/>
        <v>98.708762966979705</v>
      </c>
      <c r="M16" s="181">
        <f t="shared" si="2"/>
        <v>86.964901448389881</v>
      </c>
      <c r="N16" s="173">
        <f>IF(ISERROR(VLOOKUP($A16,'HRGs to TFCs % Split'!$A$8:$I$117,6,0)),0,VLOOKUP($A16,'HRGs to TFCs % Split'!$A$8:$I$117,6,0))</f>
        <v>0</v>
      </c>
      <c r="O16" s="174">
        <f>IF(ISERROR(VLOOKUP($A16,'HRGs to TFCs % Split'!$A$8:$I$117,6,0)),0,VLOOKUP($A16,'HRGs to TFCs % Split'!$A$8:$I$117,7,0))</f>
        <v>2.4433973479956374E-2</v>
      </c>
      <c r="P16" s="174">
        <f>IF(ISERROR(VLOOKUP($A16,'HRGs to TFCs % Split'!$A$8:$I$117,6,0)),0,VLOOKUP($A16,'HRGs to TFCs % Split'!$A$8:$I$117,8,0))</f>
        <v>0</v>
      </c>
      <c r="Q16" s="175">
        <f>IF(ISERROR(VLOOKUP($A16,'HRGs to TFCs % Split'!$A$8:$I$117,6,0)),0,VLOOKUP($A16,'HRGs to TFCs % Split'!$A$8:$I$117,9,0))</f>
        <v>6.7276316051811336E-2</v>
      </c>
      <c r="R16" s="167">
        <f t="shared" si="3"/>
        <v>0</v>
      </c>
      <c r="S16" s="168">
        <f t="shared" si="4"/>
        <v>38565</v>
      </c>
      <c r="T16" s="168">
        <f t="shared" si="5"/>
        <v>0</v>
      </c>
      <c r="U16" s="169">
        <f t="shared" si="6"/>
        <v>106186</v>
      </c>
      <c r="V16" s="173">
        <f>IF(ISERROR(VLOOKUP($A16,'HRGs to TFCs % Split'!$A$8:$AA$117,6,0)),0,VLOOKUP($A16,'HRGs to TFCs % Split'!$A$8:$AA$117,14,0))</f>
        <v>0</v>
      </c>
      <c r="W16" s="174">
        <f>IF(ISERROR(VLOOKUP($A16,'HRGs to TFCs % Split'!$A$8:$AA$117,6,0)),0,VLOOKUP($A16,'HRGs to TFCs % Split'!$A$8:$AA$117,15,0))</f>
        <v>2.8288255885911211E-2</v>
      </c>
      <c r="X16" s="174">
        <f>IF(ISERROR(VLOOKUP($A16,'HRGs to TFCs % Split'!$A$8:$AA$117,6,0)),0,VLOOKUP($A16,'HRGs to TFCs % Split'!$A$8:$AA$117,16,0))</f>
        <v>0</v>
      </c>
      <c r="Y16" s="175">
        <f>IF(ISERROR(VLOOKUP($A16,'HRGs to TFCs % Split'!$A$8:$AA$117,6,0)),0,VLOOKUP($A16,'HRGs to TFCs % Split'!$A$8:$AA$117,17,0))</f>
        <v>7.6813046274745403E-2</v>
      </c>
      <c r="Z16" s="167">
        <f t="shared" si="13"/>
        <v>0</v>
      </c>
      <c r="AA16" s="168">
        <f t="shared" si="14"/>
        <v>5003884.874545007</v>
      </c>
      <c r="AB16" s="168">
        <f t="shared" si="15"/>
        <v>0</v>
      </c>
      <c r="AC16" s="169">
        <f t="shared" si="16"/>
        <v>13587392.66118397</v>
      </c>
      <c r="AD16" s="200">
        <f t="shared" si="17"/>
        <v>37608</v>
      </c>
      <c r="AE16" s="201">
        <f t="shared" si="18"/>
        <v>2068047</v>
      </c>
      <c r="AF16" s="201">
        <f t="shared" si="19"/>
        <v>70215</v>
      </c>
      <c r="AG16" s="202">
        <f t="shared" si="20"/>
        <v>3834515</v>
      </c>
      <c r="AH16" s="200">
        <f t="shared" si="21"/>
        <v>4430859.1025239797</v>
      </c>
      <c r="AI16" s="201">
        <f t="shared" si="22"/>
        <v>244608644.40173399</v>
      </c>
      <c r="AJ16" s="201">
        <f t="shared" si="23"/>
        <v>6930835.7917264802</v>
      </c>
      <c r="AK16" s="202">
        <f t="shared" si="24"/>
        <v>337821156.71335793</v>
      </c>
      <c r="AL16" s="194">
        <f t="shared" si="25"/>
        <v>117.81692997564294</v>
      </c>
      <c r="AM16" s="195">
        <f t="shared" si="26"/>
        <v>118.28002187655019</v>
      </c>
      <c r="AN16" s="195">
        <f t="shared" si="27"/>
        <v>98.708762966979705</v>
      </c>
      <c r="AO16" s="196">
        <f t="shared" si="28"/>
        <v>88.100100459473467</v>
      </c>
      <c r="AP16" s="188">
        <f t="shared" si="29"/>
        <v>0</v>
      </c>
      <c r="AQ16" s="189">
        <f t="shared" si="30"/>
        <v>1.846440078022038E-3</v>
      </c>
      <c r="AR16" s="189">
        <f t="shared" si="31"/>
        <v>0</v>
      </c>
      <c r="AS16" s="190">
        <f t="shared" si="32"/>
        <v>1.3053530702352045E-2</v>
      </c>
      <c r="AT16" s="196">
        <f>IF(ISERROR(VLOOKUP(A16,Mandatory!A:A,1,FALSE)),0,1)</f>
        <v>1</v>
      </c>
    </row>
    <row r="17" spans="1:46">
      <c r="A17">
        <v>120</v>
      </c>
      <c r="B17" s="185">
        <f>VLOOKUP(A17,OPATT_Activities!A:J,3,FALSE)</f>
        <v>7813</v>
      </c>
      <c r="C17" s="186">
        <f>VLOOKUP(A17,OPATT_Activities!A:J,4,FALSE)</f>
        <v>606937</v>
      </c>
      <c r="D17" s="186">
        <f>VLOOKUP(A17,OPATT_Activities!A:J,5,FALSE)</f>
        <v>17865</v>
      </c>
      <c r="E17" s="187">
        <f>VLOOKUP(A17,OPATT_Activities!A:J,6,FALSE)</f>
        <v>909927</v>
      </c>
      <c r="F17" s="185">
        <f>VLOOKUP(A17,OPATT_Cost_Quantum!A:F,2,FALSE)</f>
        <v>1215430.0952586001</v>
      </c>
      <c r="G17" s="186">
        <f>VLOOKUP(A17,OPATT_Cost_Quantum!A:F,3,FALSE)</f>
        <v>60949318.353319399</v>
      </c>
      <c r="H17" s="186">
        <f>VLOOKUP(A17,OPATT_Cost_Quantum!A:F,4,FALSE)</f>
        <v>1893711.4209733</v>
      </c>
      <c r="I17" s="187">
        <f>VLOOKUP(A17,OPATT_Cost_Quantum!A:F,5,FALSE)</f>
        <v>69426178.1790732</v>
      </c>
      <c r="J17" s="179">
        <f t="shared" si="12"/>
        <v>155.56509602695508</v>
      </c>
      <c r="K17" s="180">
        <f t="shared" si="2"/>
        <v>100.42116126273304</v>
      </c>
      <c r="L17" s="180">
        <f t="shared" si="2"/>
        <v>106.00119904692416</v>
      </c>
      <c r="M17" s="181">
        <f t="shared" si="2"/>
        <v>76.2986241523476</v>
      </c>
      <c r="N17" s="173">
        <f>IF(ISERROR(VLOOKUP($A17,'HRGs to TFCs % Split'!$A$8:$I$117,6,0)),0,VLOOKUP($A17,'HRGs to TFCs % Split'!$A$8:$I$117,6,0))</f>
        <v>0</v>
      </c>
      <c r="O17" s="174">
        <f>IF(ISERROR(VLOOKUP($A17,'HRGs to TFCs % Split'!$A$8:$I$117,6,0)),0,VLOOKUP($A17,'HRGs to TFCs % Split'!$A$8:$I$117,7,0))</f>
        <v>7.9484810824821065E-3</v>
      </c>
      <c r="P17" s="174">
        <f>IF(ISERROR(VLOOKUP($A17,'HRGs to TFCs % Split'!$A$8:$I$117,6,0)),0,VLOOKUP($A17,'HRGs to TFCs % Split'!$A$8:$I$117,8,0))</f>
        <v>0</v>
      </c>
      <c r="Q17" s="175">
        <f>IF(ISERROR(VLOOKUP($A17,'HRGs to TFCs % Split'!$A$8:$I$117,6,0)),0,VLOOKUP($A17,'HRGs to TFCs % Split'!$A$8:$I$117,9,0))</f>
        <v>1.0662956784749314E-2</v>
      </c>
      <c r="R17" s="167">
        <f t="shared" si="3"/>
        <v>0</v>
      </c>
      <c r="S17" s="168">
        <f t="shared" si="4"/>
        <v>12545</v>
      </c>
      <c r="T17" s="168">
        <f t="shared" si="5"/>
        <v>0</v>
      </c>
      <c r="U17" s="169">
        <f t="shared" si="6"/>
        <v>16830</v>
      </c>
      <c r="V17" s="173">
        <f>IF(ISERROR(VLOOKUP($A17,'HRGs to TFCs % Split'!$A$8:$AA$117,6,0)),0,VLOOKUP($A17,'HRGs to TFCs % Split'!$A$8:$AA$117,14,0))</f>
        <v>0</v>
      </c>
      <c r="W17" s="174">
        <f>IF(ISERROR(VLOOKUP($A17,'HRGs to TFCs % Split'!$A$8:$AA$117,6,0)),0,VLOOKUP($A17,'HRGs to TFCs % Split'!$A$8:$AA$117,15,0))</f>
        <v>7.7838207790880756E-3</v>
      </c>
      <c r="X17" s="174">
        <f>IF(ISERROR(VLOOKUP($A17,'HRGs to TFCs % Split'!$A$8:$AA$117,6,0)),0,VLOOKUP($A17,'HRGs to TFCs % Split'!$A$8:$AA$117,16,0))</f>
        <v>0</v>
      </c>
      <c r="Y17" s="175">
        <f>IF(ISERROR(VLOOKUP($A17,'HRGs to TFCs % Split'!$A$8:$AA$117,6,0)),0,VLOOKUP($A17,'HRGs to TFCs % Split'!$A$8:$AA$117,17,0))</f>
        <v>8.9193559909402625E-3</v>
      </c>
      <c r="Z17" s="167">
        <f t="shared" si="13"/>
        <v>0</v>
      </c>
      <c r="AA17" s="168">
        <f t="shared" si="14"/>
        <v>1376873.2586319128</v>
      </c>
      <c r="AB17" s="168">
        <f t="shared" si="15"/>
        <v>0</v>
      </c>
      <c r="AC17" s="169">
        <f t="shared" si="16"/>
        <v>1577737.0903936422</v>
      </c>
      <c r="AD17" s="200">
        <f t="shared" si="17"/>
        <v>7813</v>
      </c>
      <c r="AE17" s="201">
        <f t="shared" si="18"/>
        <v>619482</v>
      </c>
      <c r="AF17" s="201">
        <f t="shared" si="19"/>
        <v>17865</v>
      </c>
      <c r="AG17" s="202">
        <f t="shared" si="20"/>
        <v>926757</v>
      </c>
      <c r="AH17" s="200">
        <f t="shared" si="21"/>
        <v>1215430.0952586001</v>
      </c>
      <c r="AI17" s="201">
        <f t="shared" si="22"/>
        <v>62326191.611951314</v>
      </c>
      <c r="AJ17" s="201">
        <f t="shared" si="23"/>
        <v>1893711.4209733</v>
      </c>
      <c r="AK17" s="202">
        <f t="shared" si="24"/>
        <v>71003915.269466847</v>
      </c>
      <c r="AL17" s="194">
        <f t="shared" si="25"/>
        <v>155.56509602695508</v>
      </c>
      <c r="AM17" s="195">
        <f t="shared" si="26"/>
        <v>100.61017368051262</v>
      </c>
      <c r="AN17" s="195">
        <f t="shared" si="27"/>
        <v>106.00119904692416</v>
      </c>
      <c r="AO17" s="196">
        <f t="shared" si="28"/>
        <v>76.615461517384645</v>
      </c>
      <c r="AP17" s="188">
        <f t="shared" si="29"/>
        <v>0</v>
      </c>
      <c r="AQ17" s="189">
        <f t="shared" si="30"/>
        <v>1.8821970927529463E-3</v>
      </c>
      <c r="AR17" s="189">
        <f t="shared" si="31"/>
        <v>0</v>
      </c>
      <c r="AS17" s="190">
        <f t="shared" si="32"/>
        <v>4.1525960468751233E-3</v>
      </c>
      <c r="AT17" s="196">
        <f>IF(ISERROR(VLOOKUP(A17,Mandatory!A:A,1,FALSE)),0,1)</f>
        <v>1</v>
      </c>
    </row>
    <row r="18" spans="1:46">
      <c r="A18">
        <v>130</v>
      </c>
      <c r="B18" s="185">
        <f>VLOOKUP(A18,OPATT_Activities!A:J,3,FALSE)</f>
        <v>30076</v>
      </c>
      <c r="C18" s="186">
        <f>VLOOKUP(A18,OPATT_Activities!A:J,4,FALSE)</f>
        <v>1313565</v>
      </c>
      <c r="D18" s="186">
        <f>VLOOKUP(A18,OPATT_Activities!A:J,5,FALSE)</f>
        <v>65003</v>
      </c>
      <c r="E18" s="187">
        <f>VLOOKUP(A18,OPATT_Activities!A:J,6,FALSE)</f>
        <v>3408378</v>
      </c>
      <c r="F18" s="185">
        <f>VLOOKUP(A18,OPATT_Cost_Quantum!A:F,2,FALSE)</f>
        <v>3217417.7004431598</v>
      </c>
      <c r="G18" s="186">
        <f>VLOOKUP(A18,OPATT_Cost_Quantum!A:F,3,FALSE)</f>
        <v>128692968.784651</v>
      </c>
      <c r="H18" s="186">
        <f>VLOOKUP(A18,OPATT_Cost_Quantum!A:F,4,FALSE)</f>
        <v>7081070.9084799299</v>
      </c>
      <c r="I18" s="187">
        <f>VLOOKUP(A18,OPATT_Cost_Quantum!A:F,5,FALSE)</f>
        <v>250516698.32473499</v>
      </c>
      <c r="J18" s="179">
        <f t="shared" si="12"/>
        <v>106.97625018098017</v>
      </c>
      <c r="K18" s="180">
        <f t="shared" si="2"/>
        <v>97.972288226811003</v>
      </c>
      <c r="L18" s="180">
        <f t="shared" si="2"/>
        <v>108.93452469085935</v>
      </c>
      <c r="M18" s="181">
        <f t="shared" si="2"/>
        <v>73.500268551415061</v>
      </c>
      <c r="N18" s="173">
        <f>IF(ISERROR(VLOOKUP($A18,'HRGs to TFCs % Split'!$A$8:$I$117,6,0)),0,VLOOKUP($A18,'HRGs to TFCs % Split'!$A$8:$I$117,6,0))</f>
        <v>0</v>
      </c>
      <c r="O18" s="174">
        <f>IF(ISERROR(VLOOKUP($A18,'HRGs to TFCs % Split'!$A$8:$I$117,6,0)),0,VLOOKUP($A18,'HRGs to TFCs % Split'!$A$8:$I$117,7,0))</f>
        <v>1.7966048377628171E-3</v>
      </c>
      <c r="P18" s="174">
        <f>IF(ISERROR(VLOOKUP($A18,'HRGs to TFCs % Split'!$A$8:$I$117,6,0)),0,VLOOKUP($A18,'HRGs to TFCs % Split'!$A$8:$I$117,8,0))</f>
        <v>0</v>
      </c>
      <c r="Q18" s="175">
        <f>IF(ISERROR(VLOOKUP($A18,'HRGs to TFCs % Split'!$A$8:$I$117,6,0)),0,VLOOKUP($A18,'HRGs to TFCs % Split'!$A$8:$I$117,9,0))</f>
        <v>5.4533196575743542E-3</v>
      </c>
      <c r="R18" s="167">
        <f t="shared" si="3"/>
        <v>0</v>
      </c>
      <c r="S18" s="168">
        <f t="shared" si="4"/>
        <v>2836</v>
      </c>
      <c r="T18" s="168">
        <f t="shared" si="5"/>
        <v>0</v>
      </c>
      <c r="U18" s="169">
        <f t="shared" si="6"/>
        <v>8607</v>
      </c>
      <c r="V18" s="173">
        <f>IF(ISERROR(VLOOKUP($A18,'HRGs to TFCs % Split'!$A$8:$AA$117,6,0)),0,VLOOKUP($A18,'HRGs to TFCs % Split'!$A$8:$AA$117,14,0))</f>
        <v>0</v>
      </c>
      <c r="W18" s="174">
        <f>IF(ISERROR(VLOOKUP($A18,'HRGs to TFCs % Split'!$A$8:$AA$117,6,0)),0,VLOOKUP($A18,'HRGs to TFCs % Split'!$A$8:$AA$117,15,0))</f>
        <v>2.5411281444403301E-3</v>
      </c>
      <c r="X18" s="174">
        <f>IF(ISERROR(VLOOKUP($A18,'HRGs to TFCs % Split'!$A$8:$AA$117,6,0)),0,VLOOKUP($A18,'HRGs to TFCs % Split'!$A$8:$AA$117,16,0))</f>
        <v>0</v>
      </c>
      <c r="Y18" s="175">
        <f>IF(ISERROR(VLOOKUP($A18,'HRGs to TFCs % Split'!$A$8:$AA$117,6,0)),0,VLOOKUP($A18,'HRGs to TFCs % Split'!$A$8:$AA$117,17,0))</f>
        <v>6.0090000357052708E-3</v>
      </c>
      <c r="Z18" s="167">
        <f t="shared" si="13"/>
        <v>0</v>
      </c>
      <c r="AA18" s="168">
        <f t="shared" si="14"/>
        <v>449497.93785549252</v>
      </c>
      <c r="AB18" s="168">
        <f t="shared" si="15"/>
        <v>0</v>
      </c>
      <c r="AC18" s="169">
        <f t="shared" si="16"/>
        <v>1062926.7675983291</v>
      </c>
      <c r="AD18" s="200">
        <f t="shared" si="17"/>
        <v>30076</v>
      </c>
      <c r="AE18" s="201">
        <f t="shared" si="18"/>
        <v>1316401</v>
      </c>
      <c r="AF18" s="201">
        <f t="shared" si="19"/>
        <v>65003</v>
      </c>
      <c r="AG18" s="202">
        <f t="shared" si="20"/>
        <v>3416985</v>
      </c>
      <c r="AH18" s="200">
        <f t="shared" si="21"/>
        <v>3217417.7004431598</v>
      </c>
      <c r="AI18" s="201">
        <f t="shared" si="22"/>
        <v>129142466.72250649</v>
      </c>
      <c r="AJ18" s="201">
        <f t="shared" si="23"/>
        <v>7081070.9084799299</v>
      </c>
      <c r="AK18" s="202">
        <f t="shared" si="24"/>
        <v>251579625.09233332</v>
      </c>
      <c r="AL18" s="194">
        <f t="shared" si="25"/>
        <v>106.97625018098017</v>
      </c>
      <c r="AM18" s="195">
        <f t="shared" si="26"/>
        <v>98.102680507312357</v>
      </c>
      <c r="AN18" s="195">
        <f t="shared" si="27"/>
        <v>108.93452469085935</v>
      </c>
      <c r="AO18" s="196">
        <f t="shared" si="28"/>
        <v>73.626201195595911</v>
      </c>
      <c r="AP18" s="188">
        <f t="shared" si="29"/>
        <v>0</v>
      </c>
      <c r="AQ18" s="189">
        <f t="shared" si="30"/>
        <v>1.3309098201268466E-3</v>
      </c>
      <c r="AR18" s="189">
        <f t="shared" si="31"/>
        <v>0</v>
      </c>
      <c r="AS18" s="190">
        <f t="shared" si="32"/>
        <v>1.7133630483643358E-3</v>
      </c>
      <c r="AT18" s="196">
        <f>IF(ISERROR(VLOOKUP(A18,Mandatory!A:A,1,FALSE)),0,1)</f>
        <v>1</v>
      </c>
    </row>
    <row r="19" spans="1:46">
      <c r="A19">
        <v>140</v>
      </c>
      <c r="B19" s="185">
        <f>VLOOKUP(A19,OPATT_Activities!A:J,3,FALSE)</f>
        <v>3712</v>
      </c>
      <c r="C19" s="186">
        <f>VLOOKUP(A19,OPATT_Activities!A:J,4,FALSE)</f>
        <v>355766</v>
      </c>
      <c r="D19" s="186">
        <f>VLOOKUP(A19,OPATT_Activities!A:J,5,FALSE)</f>
        <v>5954</v>
      </c>
      <c r="E19" s="187">
        <f>VLOOKUP(A19,OPATT_Activities!A:J,6,FALSE)</f>
        <v>369439</v>
      </c>
      <c r="F19" s="185">
        <f>VLOOKUP(A19,OPATT_Cost_Quantum!A:F,2,FALSE)</f>
        <v>624793.74301235494</v>
      </c>
      <c r="G19" s="186">
        <f>VLOOKUP(A19,OPATT_Cost_Quantum!A:F,3,FALSE)</f>
        <v>40760821.978819899</v>
      </c>
      <c r="H19" s="186">
        <f>VLOOKUP(A19,OPATT_Cost_Quantum!A:F,4,FALSE)</f>
        <v>881534.55827680801</v>
      </c>
      <c r="I19" s="187">
        <f>VLOOKUP(A19,OPATT_Cost_Quantum!A:F,5,FALSE)</f>
        <v>31493397.858015802</v>
      </c>
      <c r="J19" s="179">
        <f t="shared" si="12"/>
        <v>168.31727990634562</v>
      </c>
      <c r="K19" s="180">
        <f t="shared" si="2"/>
        <v>114.57199951321908</v>
      </c>
      <c r="L19" s="180">
        <f t="shared" si="2"/>
        <v>148.05753414121733</v>
      </c>
      <c r="M19" s="181">
        <f t="shared" si="2"/>
        <v>85.246543700085269</v>
      </c>
      <c r="N19" s="173">
        <f>IF(ISERROR(VLOOKUP($A19,'HRGs to TFCs % Split'!$A$8:$I$117,6,0)),0,VLOOKUP($A19,'HRGs to TFCs % Split'!$A$8:$I$117,6,0))</f>
        <v>0</v>
      </c>
      <c r="O19" s="174">
        <f>IF(ISERROR(VLOOKUP($A19,'HRGs to TFCs % Split'!$A$8:$I$117,6,0)),0,VLOOKUP($A19,'HRGs to TFCs % Split'!$A$8:$I$117,7,0))</f>
        <v>1.8475566395735998E-3</v>
      </c>
      <c r="P19" s="174">
        <f>IF(ISERROR(VLOOKUP($A19,'HRGs to TFCs % Split'!$A$8:$I$117,6,0)),0,VLOOKUP($A19,'HRGs to TFCs % Split'!$A$8:$I$117,8,0))</f>
        <v>0</v>
      </c>
      <c r="Q19" s="175">
        <f>IF(ISERROR(VLOOKUP($A19,'HRGs to TFCs % Split'!$A$8:$I$117,6,0)),0,VLOOKUP($A19,'HRGs to TFCs % Split'!$A$8:$I$117,9,0))</f>
        <v>5.999020839286941E-3</v>
      </c>
      <c r="R19" s="167">
        <f t="shared" si="3"/>
        <v>0</v>
      </c>
      <c r="S19" s="168">
        <f t="shared" si="4"/>
        <v>2916</v>
      </c>
      <c r="T19" s="168">
        <f t="shared" si="5"/>
        <v>0</v>
      </c>
      <c r="U19" s="169">
        <f t="shared" si="6"/>
        <v>9469</v>
      </c>
      <c r="V19" s="173">
        <f>IF(ISERROR(VLOOKUP($A19,'HRGs to TFCs % Split'!$A$8:$AA$117,6,0)),0,VLOOKUP($A19,'HRGs to TFCs % Split'!$A$8:$AA$117,14,0))</f>
        <v>0</v>
      </c>
      <c r="W19" s="174">
        <f>IF(ISERROR(VLOOKUP($A19,'HRGs to TFCs % Split'!$A$8:$AA$117,6,0)),0,VLOOKUP($A19,'HRGs to TFCs % Split'!$A$8:$AA$117,15,0))</f>
        <v>1.9275290325370688E-3</v>
      </c>
      <c r="X19" s="174">
        <f>IF(ISERROR(VLOOKUP($A19,'HRGs to TFCs % Split'!$A$8:$AA$117,6,0)),0,VLOOKUP($A19,'HRGs to TFCs % Split'!$A$8:$AA$117,16,0))</f>
        <v>0</v>
      </c>
      <c r="Y19" s="175">
        <f>IF(ISERROR(VLOOKUP($A19,'HRGs to TFCs % Split'!$A$8:$AA$117,6,0)),0,VLOOKUP($A19,'HRGs to TFCs % Split'!$A$8:$AA$117,17,0))</f>
        <v>5.6509496317325974E-3</v>
      </c>
      <c r="Z19" s="167">
        <f t="shared" si="13"/>
        <v>0</v>
      </c>
      <c r="AA19" s="168">
        <f t="shared" si="14"/>
        <v>340958.92691504915</v>
      </c>
      <c r="AB19" s="168">
        <f t="shared" si="15"/>
        <v>0</v>
      </c>
      <c r="AC19" s="169">
        <f t="shared" si="16"/>
        <v>999591.54438805324</v>
      </c>
      <c r="AD19" s="200">
        <f t="shared" si="17"/>
        <v>3712</v>
      </c>
      <c r="AE19" s="201">
        <f t="shared" si="18"/>
        <v>358682</v>
      </c>
      <c r="AF19" s="201">
        <f t="shared" si="19"/>
        <v>5954</v>
      </c>
      <c r="AG19" s="202">
        <f t="shared" si="20"/>
        <v>378908</v>
      </c>
      <c r="AH19" s="200">
        <f t="shared" si="21"/>
        <v>624793.74301235494</v>
      </c>
      <c r="AI19" s="201">
        <f t="shared" si="22"/>
        <v>41101780.905734949</v>
      </c>
      <c r="AJ19" s="201">
        <f t="shared" si="23"/>
        <v>881534.55827680801</v>
      </c>
      <c r="AK19" s="202">
        <f t="shared" si="24"/>
        <v>32492989.402403854</v>
      </c>
      <c r="AL19" s="194">
        <f t="shared" si="25"/>
        <v>168.31727990634562</v>
      </c>
      <c r="AM19" s="195">
        <f t="shared" si="26"/>
        <v>114.59114453955021</v>
      </c>
      <c r="AN19" s="195">
        <f t="shared" si="27"/>
        <v>148.05753414121733</v>
      </c>
      <c r="AO19" s="196">
        <f t="shared" si="28"/>
        <v>85.754297619485087</v>
      </c>
      <c r="AP19" s="188">
        <f t="shared" si="29"/>
        <v>0</v>
      </c>
      <c r="AQ19" s="189">
        <f t="shared" si="30"/>
        <v>1.6710039462064508E-4</v>
      </c>
      <c r="AR19" s="189">
        <f t="shared" si="31"/>
        <v>0</v>
      </c>
      <c r="AS19" s="190">
        <f t="shared" si="32"/>
        <v>5.9562991924482223E-3</v>
      </c>
      <c r="AT19" s="196">
        <f>IF(ISERROR(VLOOKUP(A19,Mandatory!A:A,1,FALSE)),0,1)</f>
        <v>1</v>
      </c>
    </row>
    <row r="20" spans="1:46">
      <c r="A20">
        <v>141</v>
      </c>
      <c r="B20" s="185">
        <f>VLOOKUP(A20,OPATT_Activities!A:J,3,FALSE)</f>
        <v>1004</v>
      </c>
      <c r="C20" s="186">
        <f>VLOOKUP(A20,OPATT_Activities!A:J,4,FALSE)</f>
        <v>67868</v>
      </c>
      <c r="D20" s="186">
        <f>VLOOKUP(A20,OPATT_Activities!A:J,5,FALSE)</f>
        <v>669</v>
      </c>
      <c r="E20" s="187">
        <f>VLOOKUP(A20,OPATT_Activities!A:J,6,FALSE)</f>
        <v>170449</v>
      </c>
      <c r="F20" s="185">
        <f>VLOOKUP(A20,OPATT_Cost_Quantum!A:F,2,FALSE)</f>
        <v>155848.78263827399</v>
      </c>
      <c r="G20" s="186">
        <f>VLOOKUP(A20,OPATT_Cost_Quantum!A:F,3,FALSE)</f>
        <v>6507527.8469190197</v>
      </c>
      <c r="H20" s="186">
        <f>VLOOKUP(A20,OPATT_Cost_Quantum!A:F,4,FALSE)</f>
        <v>66643.260984632201</v>
      </c>
      <c r="I20" s="187">
        <f>VLOOKUP(A20,OPATT_Cost_Quantum!A:F,5,FALSE)</f>
        <v>16495428.7185078</v>
      </c>
      <c r="J20" s="179">
        <f t="shared" si="12"/>
        <v>155.22787115365935</v>
      </c>
      <c r="K20" s="180">
        <f t="shared" si="2"/>
        <v>95.885068764646363</v>
      </c>
      <c r="L20" s="180">
        <f t="shared" si="2"/>
        <v>99.616234655653514</v>
      </c>
      <c r="M20" s="181">
        <f t="shared" si="2"/>
        <v>96.776330271857276</v>
      </c>
      <c r="N20" s="173">
        <f>IF(ISERROR(VLOOKUP($A20,'HRGs to TFCs % Split'!$A$8:$I$117,6,0)),0,VLOOKUP($A20,'HRGs to TFCs % Split'!$A$8:$I$117,6,0))</f>
        <v>0</v>
      </c>
      <c r="O20" s="174">
        <f>IF(ISERROR(VLOOKUP($A20,'HRGs to TFCs % Split'!$A$8:$I$117,6,0)),0,VLOOKUP($A20,'HRGs to TFCs % Split'!$A$8:$I$117,7,0))</f>
        <v>4.7998074169577933E-5</v>
      </c>
      <c r="P20" s="174">
        <f>IF(ISERROR(VLOOKUP($A20,'HRGs to TFCs % Split'!$A$8:$I$117,6,0)),0,VLOOKUP($A20,'HRGs to TFCs % Split'!$A$8:$I$117,8,0))</f>
        <v>0</v>
      </c>
      <c r="Q20" s="175">
        <f>IF(ISERROR(VLOOKUP($A20,'HRGs to TFCs % Split'!$A$8:$I$117,6,0)),0,VLOOKUP($A20,'HRGs to TFCs % Split'!$A$8:$I$117,9,0))</f>
        <v>5.8705336868945324E-4</v>
      </c>
      <c r="R20" s="167">
        <f t="shared" si="3"/>
        <v>0</v>
      </c>
      <c r="S20" s="168">
        <f t="shared" si="4"/>
        <v>76</v>
      </c>
      <c r="T20" s="168">
        <f t="shared" si="5"/>
        <v>0</v>
      </c>
      <c r="U20" s="169">
        <f t="shared" si="6"/>
        <v>927</v>
      </c>
      <c r="V20" s="173">
        <f>IF(ISERROR(VLOOKUP($A20,'HRGs to TFCs % Split'!$A$8:$AA$117,6,0)),0,VLOOKUP($A20,'HRGs to TFCs % Split'!$A$8:$AA$117,14,0))</f>
        <v>0</v>
      </c>
      <c r="W20" s="174">
        <f>IF(ISERROR(VLOOKUP($A20,'HRGs to TFCs % Split'!$A$8:$AA$117,6,0)),0,VLOOKUP($A20,'HRGs to TFCs % Split'!$A$8:$AA$117,15,0))</f>
        <v>4.5790070710523198E-5</v>
      </c>
      <c r="X20" s="174">
        <f>IF(ISERROR(VLOOKUP($A20,'HRGs to TFCs % Split'!$A$8:$AA$117,6,0)),0,VLOOKUP($A20,'HRGs to TFCs % Split'!$A$8:$AA$117,16,0))</f>
        <v>0</v>
      </c>
      <c r="Y20" s="175">
        <f>IF(ISERROR(VLOOKUP($A20,'HRGs to TFCs % Split'!$A$8:$AA$117,6,0)),0,VLOOKUP($A20,'HRGs to TFCs % Split'!$A$8:$AA$117,17,0))</f>
        <v>5.1524592491935877E-4</v>
      </c>
      <c r="Z20" s="167">
        <f t="shared" si="13"/>
        <v>0</v>
      </c>
      <c r="AA20" s="168">
        <f t="shared" si="14"/>
        <v>8099.7656114546562</v>
      </c>
      <c r="AB20" s="168">
        <f t="shared" si="15"/>
        <v>0</v>
      </c>
      <c r="AC20" s="169">
        <f t="shared" si="16"/>
        <v>91141.401604013474</v>
      </c>
      <c r="AD20" s="200">
        <f t="shared" si="17"/>
        <v>1004</v>
      </c>
      <c r="AE20" s="201">
        <f t="shared" si="18"/>
        <v>67944</v>
      </c>
      <c r="AF20" s="201">
        <f t="shared" si="19"/>
        <v>669</v>
      </c>
      <c r="AG20" s="202">
        <f t="shared" si="20"/>
        <v>171376</v>
      </c>
      <c r="AH20" s="200">
        <f t="shared" si="21"/>
        <v>155848.78263827399</v>
      </c>
      <c r="AI20" s="201">
        <f t="shared" si="22"/>
        <v>6515627.6125304746</v>
      </c>
      <c r="AJ20" s="201">
        <f t="shared" si="23"/>
        <v>66643.260984632201</v>
      </c>
      <c r="AK20" s="202">
        <f t="shared" si="24"/>
        <v>16586570.120111814</v>
      </c>
      <c r="AL20" s="194">
        <f t="shared" si="25"/>
        <v>155.22787115365935</v>
      </c>
      <c r="AM20" s="195">
        <f t="shared" si="26"/>
        <v>95.897027147805176</v>
      </c>
      <c r="AN20" s="195">
        <f t="shared" si="27"/>
        <v>99.616234655653514</v>
      </c>
      <c r="AO20" s="196">
        <f t="shared" si="28"/>
        <v>96.784673000372365</v>
      </c>
      <c r="AP20" s="188">
        <f t="shared" si="29"/>
        <v>0</v>
      </c>
      <c r="AQ20" s="189">
        <f t="shared" si="30"/>
        <v>1.247158010406757E-4</v>
      </c>
      <c r="AR20" s="189">
        <f t="shared" si="31"/>
        <v>0</v>
      </c>
      <c r="AS20" s="190">
        <f t="shared" si="32"/>
        <v>8.620629126609991E-5</v>
      </c>
      <c r="AT20" s="196">
        <f>IF(ISERROR(VLOOKUP(A20,Mandatory!A:A,1,FALSE)),0,1)</f>
        <v>0</v>
      </c>
    </row>
    <row r="21" spans="1:46">
      <c r="A21">
        <v>142</v>
      </c>
      <c r="B21" s="185">
        <f>VLOOKUP(A21,OPATT_Activities!A:J,3,FALSE)</f>
        <v>92</v>
      </c>
      <c r="C21" s="186">
        <f>VLOOKUP(A21,OPATT_Activities!A:J,4,FALSE)</f>
        <v>20893</v>
      </c>
      <c r="D21" s="186">
        <f>VLOOKUP(A21,OPATT_Activities!A:J,5,FALSE)</f>
        <v>198</v>
      </c>
      <c r="E21" s="187">
        <f>VLOOKUP(A21,OPATT_Activities!A:J,6,FALSE)</f>
        <v>48025</v>
      </c>
      <c r="F21" s="185">
        <f>VLOOKUP(A21,OPATT_Cost_Quantum!A:F,2,FALSE)</f>
        <v>8472.6468588610805</v>
      </c>
      <c r="G21" s="186">
        <f>VLOOKUP(A21,OPATT_Cost_Quantum!A:F,3,FALSE)</f>
        <v>2033076.4509796901</v>
      </c>
      <c r="H21" s="186">
        <f>VLOOKUP(A21,OPATT_Cost_Quantum!A:F,4,FALSE)</f>
        <v>10099.7980232276</v>
      </c>
      <c r="I21" s="187">
        <f>VLOOKUP(A21,OPATT_Cost_Quantum!A:F,5,FALSE)</f>
        <v>4303615.5522757499</v>
      </c>
      <c r="J21" s="179">
        <f t="shared" si="12"/>
        <v>92.093987596316097</v>
      </c>
      <c r="K21" s="180">
        <f t="shared" si="2"/>
        <v>97.308976737648493</v>
      </c>
      <c r="L21" s="180">
        <f t="shared" si="2"/>
        <v>51.00908092539192</v>
      </c>
      <c r="M21" s="181">
        <f t="shared" si="2"/>
        <v>89.611984430520565</v>
      </c>
      <c r="N21" s="173">
        <f>IF(ISERROR(VLOOKUP($A21,'HRGs to TFCs % Split'!$A$8:$I$117,6,0)),0,VLOOKUP($A21,'HRGs to TFCs % Split'!$A$8:$I$117,6,0))</f>
        <v>0</v>
      </c>
      <c r="O21" s="174">
        <f>IF(ISERROR(VLOOKUP($A21,'HRGs to TFCs % Split'!$A$8:$I$117,6,0)),0,VLOOKUP($A21,'HRGs to TFCs % Split'!$A$8:$I$117,7,0))</f>
        <v>2.7174294299084123E-4</v>
      </c>
      <c r="P21" s="174">
        <f>IF(ISERROR(VLOOKUP($A21,'HRGs to TFCs % Split'!$A$8:$I$117,6,0)),0,VLOOKUP($A21,'HRGs to TFCs % Split'!$A$8:$I$117,8,0))</f>
        <v>0</v>
      </c>
      <c r="Q21" s="175">
        <f>IF(ISERROR(VLOOKUP($A21,'HRGs to TFCs % Split'!$A$8:$I$117,6,0)),0,VLOOKUP($A21,'HRGs to TFCs % Split'!$A$8:$I$117,9,0))</f>
        <v>2.9190213414206395E-3</v>
      </c>
      <c r="R21" s="167">
        <f t="shared" si="3"/>
        <v>0</v>
      </c>
      <c r="S21" s="168">
        <f t="shared" si="4"/>
        <v>429</v>
      </c>
      <c r="T21" s="168">
        <f t="shared" si="5"/>
        <v>0</v>
      </c>
      <c r="U21" s="169">
        <f t="shared" si="6"/>
        <v>4607</v>
      </c>
      <c r="V21" s="173">
        <f>IF(ISERROR(VLOOKUP($A21,'HRGs to TFCs % Split'!$A$8:$AA$117,6,0)),0,VLOOKUP($A21,'HRGs to TFCs % Split'!$A$8:$AA$117,14,0))</f>
        <v>0</v>
      </c>
      <c r="W21" s="174">
        <f>IF(ISERROR(VLOOKUP($A21,'HRGs to TFCs % Split'!$A$8:$AA$117,6,0)),0,VLOOKUP($A21,'HRGs to TFCs % Split'!$A$8:$AA$117,15,0))</f>
        <v>2.1664121615328207E-4</v>
      </c>
      <c r="X21" s="174">
        <f>IF(ISERROR(VLOOKUP($A21,'HRGs to TFCs % Split'!$A$8:$AA$117,6,0)),0,VLOOKUP($A21,'HRGs to TFCs % Split'!$A$8:$AA$117,16,0))</f>
        <v>0</v>
      </c>
      <c r="Y21" s="175">
        <f>IF(ISERROR(VLOOKUP($A21,'HRGs to TFCs % Split'!$A$8:$AA$117,6,0)),0,VLOOKUP($A21,'HRGs to TFCs % Split'!$A$8:$AA$117,17,0))</f>
        <v>2.3680254004957556E-3</v>
      </c>
      <c r="Z21" s="167">
        <f t="shared" si="13"/>
        <v>0</v>
      </c>
      <c r="AA21" s="168">
        <f t="shared" si="14"/>
        <v>38321.475494441736</v>
      </c>
      <c r="AB21" s="168">
        <f t="shared" si="15"/>
        <v>0</v>
      </c>
      <c r="AC21" s="169">
        <f t="shared" si="16"/>
        <v>418877.94468023663</v>
      </c>
      <c r="AD21" s="200">
        <f t="shared" si="17"/>
        <v>92</v>
      </c>
      <c r="AE21" s="201">
        <f t="shared" si="18"/>
        <v>21322</v>
      </c>
      <c r="AF21" s="201">
        <f t="shared" si="19"/>
        <v>198</v>
      </c>
      <c r="AG21" s="202">
        <f t="shared" si="20"/>
        <v>52632</v>
      </c>
      <c r="AH21" s="200">
        <f t="shared" si="21"/>
        <v>8472.6468588610805</v>
      </c>
      <c r="AI21" s="201">
        <f t="shared" si="22"/>
        <v>2071397.9264741319</v>
      </c>
      <c r="AJ21" s="201">
        <f t="shared" si="23"/>
        <v>10099.7980232276</v>
      </c>
      <c r="AK21" s="202">
        <f t="shared" si="24"/>
        <v>4722493.4969559861</v>
      </c>
      <c r="AL21" s="194">
        <f t="shared" si="25"/>
        <v>92.093987596316097</v>
      </c>
      <c r="AM21" s="195">
        <f t="shared" si="26"/>
        <v>97.148387884538593</v>
      </c>
      <c r="AN21" s="195">
        <f t="shared" si="27"/>
        <v>51.00908092539192</v>
      </c>
      <c r="AO21" s="196">
        <f t="shared" si="28"/>
        <v>89.726658628894711</v>
      </c>
      <c r="AP21" s="188">
        <f t="shared" si="29"/>
        <v>0</v>
      </c>
      <c r="AQ21" s="189">
        <f t="shared" si="30"/>
        <v>-1.6502984461840287E-3</v>
      </c>
      <c r="AR21" s="189">
        <f t="shared" si="31"/>
        <v>0</v>
      </c>
      <c r="AS21" s="190">
        <f t="shared" si="32"/>
        <v>1.279674801343722E-3</v>
      </c>
      <c r="AT21" s="196">
        <f>IF(ISERROR(VLOOKUP(A21,Mandatory!A:A,1,FALSE)),0,1)</f>
        <v>0</v>
      </c>
    </row>
    <row r="22" spans="1:46">
      <c r="A22">
        <v>143</v>
      </c>
      <c r="B22" s="185">
        <f>VLOOKUP(A22,OPATT_Activities!A:J,3,FALSE)</f>
        <v>1365</v>
      </c>
      <c r="C22" s="186">
        <f>VLOOKUP(A22,OPATT_Activities!A:J,4,FALSE)</f>
        <v>65124</v>
      </c>
      <c r="D22" s="186">
        <f>VLOOKUP(A22,OPATT_Activities!A:J,5,FALSE)</f>
        <v>5219</v>
      </c>
      <c r="E22" s="187">
        <f>VLOOKUP(A22,OPATT_Activities!A:J,6,FALSE)</f>
        <v>244482</v>
      </c>
      <c r="F22" s="185">
        <f>VLOOKUP(A22,OPATT_Cost_Quantum!A:F,2,FALSE)</f>
        <v>228822.792156165</v>
      </c>
      <c r="G22" s="186">
        <f>VLOOKUP(A22,OPATT_Cost_Quantum!A:F,3,FALSE)</f>
        <v>8275448.0167526398</v>
      </c>
      <c r="H22" s="186">
        <f>VLOOKUP(A22,OPATT_Cost_Quantum!A:F,4,FALSE)</f>
        <v>643463.39292824396</v>
      </c>
      <c r="I22" s="187">
        <f>VLOOKUP(A22,OPATT_Cost_Quantum!A:F,5,FALSE)</f>
        <v>22018183.8549877</v>
      </c>
      <c r="J22" s="179">
        <f t="shared" si="12"/>
        <v>167.63574516935165</v>
      </c>
      <c r="K22" s="180">
        <f t="shared" si="2"/>
        <v>127.07217027136907</v>
      </c>
      <c r="L22" s="180">
        <f t="shared" si="2"/>
        <v>123.29246846680283</v>
      </c>
      <c r="M22" s="181">
        <f t="shared" si="2"/>
        <v>90.060551921972575</v>
      </c>
      <c r="N22" s="173">
        <f>IF(ISERROR(VLOOKUP($A22,'HRGs to TFCs % Split'!$A$8:$I$117,6,0)),0,VLOOKUP($A22,'HRGs to TFCs % Split'!$A$8:$I$117,6,0))</f>
        <v>0</v>
      </c>
      <c r="O22" s="174">
        <f>IF(ISERROR(VLOOKUP($A22,'HRGs to TFCs % Split'!$A$8:$I$117,6,0)),0,VLOOKUP($A22,'HRGs to TFCs % Split'!$A$8:$I$117,7,0))</f>
        <v>2.2891389219337168E-5</v>
      </c>
      <c r="P22" s="174">
        <f>IF(ISERROR(VLOOKUP($A22,'HRGs to TFCs % Split'!$A$8:$I$117,6,0)),0,VLOOKUP($A22,'HRGs to TFCs % Split'!$A$8:$I$117,8,0))</f>
        <v>0</v>
      </c>
      <c r="Q22" s="175">
        <f>IF(ISERROR(VLOOKUP($A22,'HRGs to TFCs % Split'!$A$8:$I$117,6,0)),0,VLOOKUP($A22,'HRGs to TFCs % Split'!$A$8:$I$117,9,0))</f>
        <v>3.7660027425361151E-4</v>
      </c>
      <c r="R22" s="167">
        <f t="shared" si="3"/>
        <v>0</v>
      </c>
      <c r="S22" s="168">
        <f t="shared" si="4"/>
        <v>36</v>
      </c>
      <c r="T22" s="168">
        <f t="shared" si="5"/>
        <v>0</v>
      </c>
      <c r="U22" s="169">
        <f t="shared" si="6"/>
        <v>594</v>
      </c>
      <c r="V22" s="173">
        <f>IF(ISERROR(VLOOKUP($A22,'HRGs to TFCs % Split'!$A$8:$AA$117,6,0)),0,VLOOKUP($A22,'HRGs to TFCs % Split'!$A$8:$AA$117,14,0))</f>
        <v>0</v>
      </c>
      <c r="W22" s="174">
        <f>IF(ISERROR(VLOOKUP($A22,'HRGs to TFCs % Split'!$A$8:$AA$117,6,0)),0,VLOOKUP($A22,'HRGs to TFCs % Split'!$A$8:$AA$117,15,0))</f>
        <v>2.5616303051201121E-5</v>
      </c>
      <c r="X22" s="174">
        <f>IF(ISERROR(VLOOKUP($A22,'HRGs to TFCs % Split'!$A$8:$AA$117,6,0)),0,VLOOKUP($A22,'HRGs to TFCs % Split'!$A$8:$AA$117,16,0))</f>
        <v>0</v>
      </c>
      <c r="Y22" s="175">
        <f>IF(ISERROR(VLOOKUP($A22,'HRGs to TFCs % Split'!$A$8:$AA$117,6,0)),0,VLOOKUP($A22,'HRGs to TFCs % Split'!$A$8:$AA$117,17,0))</f>
        <v>4.3465401362596432E-4</v>
      </c>
      <c r="Z22" s="167">
        <f t="shared" si="13"/>
        <v>0</v>
      </c>
      <c r="AA22" s="168">
        <f t="shared" si="14"/>
        <v>4531.2454714999294</v>
      </c>
      <c r="AB22" s="168">
        <f t="shared" si="15"/>
        <v>0</v>
      </c>
      <c r="AC22" s="169">
        <f t="shared" si="16"/>
        <v>76885.56881042874</v>
      </c>
      <c r="AD22" s="200">
        <f t="shared" si="17"/>
        <v>1365</v>
      </c>
      <c r="AE22" s="201">
        <f t="shared" si="18"/>
        <v>65160</v>
      </c>
      <c r="AF22" s="201">
        <f t="shared" si="19"/>
        <v>5219</v>
      </c>
      <c r="AG22" s="202">
        <f t="shared" si="20"/>
        <v>245076</v>
      </c>
      <c r="AH22" s="200">
        <f t="shared" si="21"/>
        <v>228822.792156165</v>
      </c>
      <c r="AI22" s="201">
        <f t="shared" si="22"/>
        <v>8279979.2622241396</v>
      </c>
      <c r="AJ22" s="201">
        <f t="shared" si="23"/>
        <v>643463.39292824396</v>
      </c>
      <c r="AK22" s="202">
        <f t="shared" si="24"/>
        <v>22095069.423798129</v>
      </c>
      <c r="AL22" s="194">
        <f t="shared" si="25"/>
        <v>167.63574516935165</v>
      </c>
      <c r="AM22" s="195">
        <f t="shared" si="26"/>
        <v>127.07150494512184</v>
      </c>
      <c r="AN22" s="195">
        <f t="shared" si="27"/>
        <v>123.29246846680283</v>
      </c>
      <c r="AO22" s="196">
        <f t="shared" si="28"/>
        <v>90.155990075723977</v>
      </c>
      <c r="AP22" s="188">
        <f t="shared" si="29"/>
        <v>0</v>
      </c>
      <c r="AQ22" s="189">
        <f t="shared" si="30"/>
        <v>-5.235813993031968E-6</v>
      </c>
      <c r="AR22" s="189">
        <f t="shared" si="31"/>
        <v>0</v>
      </c>
      <c r="AS22" s="190">
        <f t="shared" si="32"/>
        <v>1.0597109579573161E-3</v>
      </c>
      <c r="AT22" s="196">
        <f>IF(ISERROR(VLOOKUP(A22,Mandatory!A:A,1,FALSE)),0,1)</f>
        <v>1</v>
      </c>
    </row>
    <row r="23" spans="1:46">
      <c r="A23">
        <v>144</v>
      </c>
      <c r="B23" s="185">
        <f>VLOOKUP(A23,OPATT_Activities!A:J,3,FALSE)</f>
        <v>840</v>
      </c>
      <c r="C23" s="186">
        <f>VLOOKUP(A23,OPATT_Activities!A:J,4,FALSE)</f>
        <v>136672</v>
      </c>
      <c r="D23" s="186">
        <f>VLOOKUP(A23,OPATT_Activities!A:J,5,FALSE)</f>
        <v>4380</v>
      </c>
      <c r="E23" s="187">
        <f>VLOOKUP(A23,OPATT_Activities!A:J,6,FALSE)</f>
        <v>162075</v>
      </c>
      <c r="F23" s="185">
        <f>VLOOKUP(A23,OPATT_Cost_Quantum!A:F,2,FALSE)</f>
        <v>110807.71306543599</v>
      </c>
      <c r="G23" s="186">
        <f>VLOOKUP(A23,OPATT_Cost_Quantum!A:F,3,FALSE)</f>
        <v>13956747.8831807</v>
      </c>
      <c r="H23" s="186">
        <f>VLOOKUP(A23,OPATT_Cost_Quantum!A:F,4,FALSE)</f>
        <v>418780.70257738302</v>
      </c>
      <c r="I23" s="187">
        <f>VLOOKUP(A23,OPATT_Cost_Quantum!A:F,5,FALSE)</f>
        <v>13685256.284112301</v>
      </c>
      <c r="J23" s="179">
        <f t="shared" si="12"/>
        <v>131.91394412551904</v>
      </c>
      <c r="K23" s="180">
        <f t="shared" si="2"/>
        <v>102.11856037213694</v>
      </c>
      <c r="L23" s="180">
        <f t="shared" si="2"/>
        <v>95.612032551913927</v>
      </c>
      <c r="M23" s="181">
        <f t="shared" si="2"/>
        <v>84.437799069025459</v>
      </c>
      <c r="N23" s="173">
        <f>IF(ISERROR(VLOOKUP($A23,'HRGs to TFCs % Split'!$A$8:$I$117,6,0)),0,VLOOKUP($A23,'HRGs to TFCs % Split'!$A$8:$I$117,6,0))</f>
        <v>0</v>
      </c>
      <c r="O23" s="174">
        <f>IF(ISERROR(VLOOKUP($A23,'HRGs to TFCs % Split'!$A$8:$I$117,6,0)),0,VLOOKUP($A23,'HRGs to TFCs % Split'!$A$8:$I$117,7,0))</f>
        <v>4.7038112686186375E-4</v>
      </c>
      <c r="P23" s="174">
        <f>IF(ISERROR(VLOOKUP($A23,'HRGs to TFCs % Split'!$A$8:$I$117,6,0)),0,VLOOKUP($A23,'HRGs to TFCs % Split'!$A$8:$I$117,8,0))</f>
        <v>0</v>
      </c>
      <c r="Q23" s="175">
        <f>IF(ISERROR(VLOOKUP($A23,'HRGs to TFCs % Split'!$A$8:$I$117,6,0)),0,VLOOKUP($A23,'HRGs to TFCs % Split'!$A$8:$I$117,9,0))</f>
        <v>3.4521691806581054E-3</v>
      </c>
      <c r="R23" s="167">
        <f t="shared" si="3"/>
        <v>0</v>
      </c>
      <c r="S23" s="168">
        <f t="shared" si="4"/>
        <v>742</v>
      </c>
      <c r="T23" s="168">
        <f t="shared" si="5"/>
        <v>0</v>
      </c>
      <c r="U23" s="169">
        <f t="shared" si="6"/>
        <v>5449</v>
      </c>
      <c r="V23" s="173">
        <f>IF(ISERROR(VLOOKUP($A23,'HRGs to TFCs % Split'!$A$8:$AA$117,6,0)),0,VLOOKUP($A23,'HRGs to TFCs % Split'!$A$8:$AA$117,14,0))</f>
        <v>0</v>
      </c>
      <c r="W23" s="174">
        <f>IF(ISERROR(VLOOKUP($A23,'HRGs to TFCs % Split'!$A$8:$AA$117,6,0)),0,VLOOKUP($A23,'HRGs to TFCs % Split'!$A$8:$AA$117,15,0))</f>
        <v>4.2049521976041159E-4</v>
      </c>
      <c r="X23" s="174">
        <f>IF(ISERROR(VLOOKUP($A23,'HRGs to TFCs % Split'!$A$8:$AA$117,6,0)),0,VLOOKUP($A23,'HRGs to TFCs % Split'!$A$8:$AA$117,16,0))</f>
        <v>0</v>
      </c>
      <c r="Y23" s="175">
        <f>IF(ISERROR(VLOOKUP($A23,'HRGs to TFCs % Split'!$A$8:$AA$117,6,0)),0,VLOOKUP($A23,'HRGs to TFCs % Split'!$A$8:$AA$117,17,0))</f>
        <v>3.0750296505172815E-3</v>
      </c>
      <c r="Z23" s="167">
        <f t="shared" si="13"/>
        <v>0</v>
      </c>
      <c r="AA23" s="168">
        <f t="shared" si="14"/>
        <v>74381.032130918364</v>
      </c>
      <c r="AB23" s="168">
        <f t="shared" si="15"/>
        <v>0</v>
      </c>
      <c r="AC23" s="169">
        <f t="shared" si="16"/>
        <v>543939.30891526933</v>
      </c>
      <c r="AD23" s="200">
        <f t="shared" si="17"/>
        <v>840</v>
      </c>
      <c r="AE23" s="201">
        <f t="shared" si="18"/>
        <v>137414</v>
      </c>
      <c r="AF23" s="201">
        <f t="shared" si="19"/>
        <v>4380</v>
      </c>
      <c r="AG23" s="202">
        <f t="shared" si="20"/>
        <v>167524</v>
      </c>
      <c r="AH23" s="200">
        <f t="shared" si="21"/>
        <v>110807.71306543599</v>
      </c>
      <c r="AI23" s="201">
        <f t="shared" si="22"/>
        <v>14031128.915311618</v>
      </c>
      <c r="AJ23" s="201">
        <f t="shared" si="23"/>
        <v>418780.70257738302</v>
      </c>
      <c r="AK23" s="202">
        <f t="shared" si="24"/>
        <v>14229195.593027569</v>
      </c>
      <c r="AL23" s="194">
        <f t="shared" si="25"/>
        <v>131.91394412551904</v>
      </c>
      <c r="AM23" s="195">
        <f t="shared" si="26"/>
        <v>102.10843811628814</v>
      </c>
      <c r="AN23" s="195">
        <f t="shared" si="27"/>
        <v>95.612032551913927</v>
      </c>
      <c r="AO23" s="196">
        <f t="shared" si="28"/>
        <v>84.938251194023366</v>
      </c>
      <c r="AP23" s="188">
        <f t="shared" si="29"/>
        <v>0</v>
      </c>
      <c r="AQ23" s="189">
        <f t="shared" si="30"/>
        <v>-9.9122586647459876E-5</v>
      </c>
      <c r="AR23" s="189">
        <f t="shared" si="31"/>
        <v>0</v>
      </c>
      <c r="AS23" s="190">
        <f t="shared" si="32"/>
        <v>5.9268731600736757E-3</v>
      </c>
      <c r="AT23" s="196">
        <f>IF(ISERROR(VLOOKUP(A23,Mandatory!A:A,1,FALSE)),0,1)</f>
        <v>1</v>
      </c>
    </row>
    <row r="24" spans="1:46">
      <c r="A24">
        <v>150</v>
      </c>
      <c r="B24" s="185">
        <f>VLOOKUP(A24,OPATT_Activities!A:J,3,FALSE)</f>
        <v>4772</v>
      </c>
      <c r="C24" s="186">
        <f>VLOOKUP(A24,OPATT_Activities!A:J,4,FALSE)</f>
        <v>87202</v>
      </c>
      <c r="D24" s="186">
        <f>VLOOKUP(A24,OPATT_Activities!A:J,5,FALSE)</f>
        <v>5064</v>
      </c>
      <c r="E24" s="187">
        <f>VLOOKUP(A24,OPATT_Activities!A:J,6,FALSE)</f>
        <v>141817</v>
      </c>
      <c r="F24" s="185">
        <f>VLOOKUP(A24,OPATT_Cost_Quantum!A:F,2,FALSE)</f>
        <v>792256.89118983597</v>
      </c>
      <c r="G24" s="186">
        <f>VLOOKUP(A24,OPATT_Cost_Quantum!A:F,3,FALSE)</f>
        <v>13395935.5439064</v>
      </c>
      <c r="H24" s="186">
        <f>VLOOKUP(A24,OPATT_Cost_Quantum!A:F,4,FALSE)</f>
        <v>717816.45049910597</v>
      </c>
      <c r="I24" s="187">
        <f>VLOOKUP(A24,OPATT_Cost_Quantum!A:F,5,FALSE)</f>
        <v>19829494.657390401</v>
      </c>
      <c r="J24" s="179">
        <f t="shared" si="12"/>
        <v>166.02198055109722</v>
      </c>
      <c r="K24" s="180">
        <f t="shared" si="12"/>
        <v>153.61959065051718</v>
      </c>
      <c r="L24" s="180">
        <f t="shared" si="12"/>
        <v>141.74890412699565</v>
      </c>
      <c r="M24" s="181">
        <f t="shared" si="12"/>
        <v>139.824524968025</v>
      </c>
      <c r="N24" s="173">
        <f>IF(ISERROR(VLOOKUP($A24,'HRGs to TFCs % Split'!$A$8:$I$117,6,0)),0,VLOOKUP($A24,'HRGs to TFCs % Split'!$A$8:$I$117,6,0))</f>
        <v>0</v>
      </c>
      <c r="O24" s="174">
        <f>IF(ISERROR(VLOOKUP($A24,'HRGs to TFCs % Split'!$A$8:$I$117,6,0)),0,VLOOKUP($A24,'HRGs to TFCs % Split'!$A$8:$I$117,7,0))</f>
        <v>3.2491004053252753E-5</v>
      </c>
      <c r="P24" s="174">
        <f>IF(ISERROR(VLOOKUP($A24,'HRGs to TFCs % Split'!$A$8:$I$117,6,0)),0,VLOOKUP($A24,'HRGs to TFCs % Split'!$A$8:$I$117,8,0))</f>
        <v>0</v>
      </c>
      <c r="Q24" s="175">
        <f>IF(ISERROR(VLOOKUP($A24,'HRGs to TFCs % Split'!$A$8:$I$117,6,0)),0,VLOOKUP($A24,'HRGs to TFCs % Split'!$A$8:$I$117,9,0))</f>
        <v>6.8600324466981384E-4</v>
      </c>
      <c r="R24" s="167">
        <f t="shared" si="3"/>
        <v>0</v>
      </c>
      <c r="S24" s="168">
        <f t="shared" si="4"/>
        <v>51</v>
      </c>
      <c r="T24" s="168">
        <f t="shared" si="5"/>
        <v>0</v>
      </c>
      <c r="U24" s="169">
        <f t="shared" si="6"/>
        <v>1083</v>
      </c>
      <c r="V24" s="173">
        <f>IF(ISERROR(VLOOKUP($A24,'HRGs to TFCs % Split'!$A$8:$AA$117,6,0)),0,VLOOKUP($A24,'HRGs to TFCs % Split'!$A$8:$AA$117,14,0))</f>
        <v>0</v>
      </c>
      <c r="W24" s="174">
        <f>IF(ISERROR(VLOOKUP($A24,'HRGs to TFCs % Split'!$A$8:$AA$117,6,0)),0,VLOOKUP($A24,'HRGs to TFCs % Split'!$A$8:$AA$117,15,0))</f>
        <v>3.3253662233054535E-5</v>
      </c>
      <c r="X24" s="174">
        <f>IF(ISERROR(VLOOKUP($A24,'HRGs to TFCs % Split'!$A$8:$AA$117,6,0)),0,VLOOKUP($A24,'HRGs to TFCs % Split'!$A$8:$AA$117,16,0))</f>
        <v>0</v>
      </c>
      <c r="Y24" s="175">
        <f>IF(ISERROR(VLOOKUP($A24,'HRGs to TFCs % Split'!$A$8:$AA$117,6,0)),0,VLOOKUP($A24,'HRGs to TFCs % Split'!$A$8:$AA$117,17,0))</f>
        <v>7.6060060245961545E-4</v>
      </c>
      <c r="Z24" s="167">
        <f t="shared" si="13"/>
        <v>0</v>
      </c>
      <c r="AA24" s="168">
        <f t="shared" si="14"/>
        <v>5882.2112661276997</v>
      </c>
      <c r="AB24" s="168">
        <f t="shared" si="15"/>
        <v>0</v>
      </c>
      <c r="AC24" s="169">
        <f t="shared" si="16"/>
        <v>134541.97620267651</v>
      </c>
      <c r="AD24" s="200">
        <f t="shared" si="17"/>
        <v>4772</v>
      </c>
      <c r="AE24" s="201">
        <f t="shared" si="18"/>
        <v>87253</v>
      </c>
      <c r="AF24" s="201">
        <f t="shared" si="19"/>
        <v>5064</v>
      </c>
      <c r="AG24" s="202">
        <f t="shared" si="20"/>
        <v>142900</v>
      </c>
      <c r="AH24" s="200">
        <f t="shared" si="21"/>
        <v>792256.89118983597</v>
      </c>
      <c r="AI24" s="201">
        <f t="shared" si="22"/>
        <v>13401817.755172528</v>
      </c>
      <c r="AJ24" s="201">
        <f t="shared" si="23"/>
        <v>717816.45049910597</v>
      </c>
      <c r="AK24" s="202">
        <f t="shared" si="24"/>
        <v>19964036.633593079</v>
      </c>
      <c r="AL24" s="194">
        <f t="shared" si="25"/>
        <v>166.02198055109722</v>
      </c>
      <c r="AM24" s="195">
        <f t="shared" si="26"/>
        <v>153.5972144817087</v>
      </c>
      <c r="AN24" s="195">
        <f t="shared" si="27"/>
        <v>141.74890412699565</v>
      </c>
      <c r="AO24" s="196">
        <f t="shared" si="28"/>
        <v>139.70634453179201</v>
      </c>
      <c r="AP24" s="188">
        <f t="shared" si="29"/>
        <v>0</v>
      </c>
      <c r="AQ24" s="189">
        <f t="shared" si="30"/>
        <v>-1.4565960444057335E-4</v>
      </c>
      <c r="AR24" s="189">
        <f t="shared" si="31"/>
        <v>0</v>
      </c>
      <c r="AS24" s="190">
        <f t="shared" si="32"/>
        <v>-8.4520534763132815E-4</v>
      </c>
      <c r="AT24" s="196">
        <f>IF(ISERROR(VLOOKUP(A24,Mandatory!A:A,1,FALSE)),0,1)</f>
        <v>0</v>
      </c>
    </row>
    <row r="25" spans="1:46">
      <c r="A25">
        <v>160</v>
      </c>
      <c r="B25" s="185">
        <f>VLOOKUP(A25,OPATT_Activities!A:J,3,FALSE)</f>
        <v>4208</v>
      </c>
      <c r="C25" s="186">
        <f>VLOOKUP(A25,OPATT_Activities!A:J,4,FALSE)</f>
        <v>196056</v>
      </c>
      <c r="D25" s="186">
        <f>VLOOKUP(A25,OPATT_Activities!A:J,5,FALSE)</f>
        <v>10979</v>
      </c>
      <c r="E25" s="187">
        <f>VLOOKUP(A25,OPATT_Activities!A:J,6,FALSE)</f>
        <v>500595</v>
      </c>
      <c r="F25" s="185">
        <f>VLOOKUP(A25,OPATT_Cost_Quantum!A:F,2,FALSE)</f>
        <v>536514.36879774195</v>
      </c>
      <c r="G25" s="186">
        <f>VLOOKUP(A25,OPATT_Cost_Quantum!A:F,3,FALSE)</f>
        <v>19400107.723005801</v>
      </c>
      <c r="H25" s="186">
        <f>VLOOKUP(A25,OPATT_Cost_Quantum!A:F,4,FALSE)</f>
        <v>1279129.7825511899</v>
      </c>
      <c r="I25" s="187">
        <f>VLOOKUP(A25,OPATT_Cost_Quantum!A:F,5,FALSE)</f>
        <v>37254036.277381897</v>
      </c>
      <c r="J25" s="179">
        <f t="shared" si="12"/>
        <v>127.49866178653564</v>
      </c>
      <c r="K25" s="180">
        <f t="shared" si="12"/>
        <v>98.95186948119823</v>
      </c>
      <c r="L25" s="180">
        <f t="shared" si="12"/>
        <v>116.50694804182439</v>
      </c>
      <c r="M25" s="181">
        <f t="shared" si="12"/>
        <v>74.419513333896461</v>
      </c>
      <c r="N25" s="173">
        <f>IF(ISERROR(VLOOKUP($A25,'HRGs to TFCs % Split'!$A$8:$I$117,6,0)),0,VLOOKUP($A25,'HRGs to TFCs % Split'!$A$8:$I$117,6,0))</f>
        <v>0</v>
      </c>
      <c r="O25" s="174">
        <f>IF(ISERROR(VLOOKUP($A25,'HRGs to TFCs % Split'!$A$8:$I$117,6,0)),0,VLOOKUP($A25,'HRGs to TFCs % Split'!$A$8:$I$117,7,0))</f>
        <v>6.8814469720968737E-3</v>
      </c>
      <c r="P25" s="174">
        <f>IF(ISERROR(VLOOKUP($A25,'HRGs to TFCs % Split'!$A$8:$I$117,6,0)),0,VLOOKUP($A25,'HRGs to TFCs % Split'!$A$8:$I$117,8,0))</f>
        <v>0</v>
      </c>
      <c r="Q25" s="175">
        <f>IF(ISERROR(VLOOKUP($A25,'HRGs to TFCs % Split'!$A$8:$I$117,6,0)),0,VLOOKUP($A25,'HRGs to TFCs % Split'!$A$8:$I$117,9,0))</f>
        <v>2.9853325269656873E-2</v>
      </c>
      <c r="R25" s="167">
        <f t="shared" si="3"/>
        <v>0</v>
      </c>
      <c r="S25" s="168">
        <f t="shared" si="4"/>
        <v>10861</v>
      </c>
      <c r="T25" s="168">
        <f t="shared" si="5"/>
        <v>0</v>
      </c>
      <c r="U25" s="169">
        <f t="shared" si="6"/>
        <v>47119</v>
      </c>
      <c r="V25" s="173">
        <f>IF(ISERROR(VLOOKUP($A25,'HRGs to TFCs % Split'!$A$8:$AA$117,6,0)),0,VLOOKUP($A25,'HRGs to TFCs % Split'!$A$8:$AA$117,14,0))</f>
        <v>0</v>
      </c>
      <c r="W25" s="174">
        <f>IF(ISERROR(VLOOKUP($A25,'HRGs to TFCs % Split'!$A$8:$AA$117,6,0)),0,VLOOKUP($A25,'HRGs to TFCs % Split'!$A$8:$AA$117,15,0))</f>
        <v>5.6826171764545654E-3</v>
      </c>
      <c r="X25" s="174">
        <f>IF(ISERROR(VLOOKUP($A25,'HRGs to TFCs % Split'!$A$8:$AA$117,6,0)),0,VLOOKUP($A25,'HRGs to TFCs % Split'!$A$8:$AA$117,16,0))</f>
        <v>0</v>
      </c>
      <c r="Y25" s="175">
        <f>IF(ISERROR(VLOOKUP($A25,'HRGs to TFCs % Split'!$A$8:$AA$117,6,0)),0,VLOOKUP($A25,'HRGs to TFCs % Split'!$A$8:$AA$117,17,0))</f>
        <v>2.5264190895300017E-2</v>
      </c>
      <c r="Z25" s="167">
        <f t="shared" si="13"/>
        <v>0</v>
      </c>
      <c r="AA25" s="168">
        <f t="shared" si="14"/>
        <v>1005193.1887130805</v>
      </c>
      <c r="AB25" s="168">
        <f t="shared" si="15"/>
        <v>0</v>
      </c>
      <c r="AC25" s="169">
        <f t="shared" si="16"/>
        <v>4468960.659804116</v>
      </c>
      <c r="AD25" s="200">
        <f t="shared" si="17"/>
        <v>4208</v>
      </c>
      <c r="AE25" s="201">
        <f t="shared" si="18"/>
        <v>206917</v>
      </c>
      <c r="AF25" s="201">
        <f t="shared" si="19"/>
        <v>10979</v>
      </c>
      <c r="AG25" s="202">
        <f t="shared" si="20"/>
        <v>547714</v>
      </c>
      <c r="AH25" s="200">
        <f t="shared" si="21"/>
        <v>536514.36879774195</v>
      </c>
      <c r="AI25" s="201">
        <f t="shared" si="22"/>
        <v>20405300.911718883</v>
      </c>
      <c r="AJ25" s="201">
        <f t="shared" si="23"/>
        <v>1279129.7825511899</v>
      </c>
      <c r="AK25" s="202">
        <f t="shared" si="24"/>
        <v>41722996.93718601</v>
      </c>
      <c r="AL25" s="194">
        <f t="shared" si="25"/>
        <v>127.49866178653564</v>
      </c>
      <c r="AM25" s="195">
        <f t="shared" si="26"/>
        <v>98.615874537707782</v>
      </c>
      <c r="AN25" s="195">
        <f t="shared" si="27"/>
        <v>116.50694804182439</v>
      </c>
      <c r="AO25" s="196">
        <f t="shared" si="28"/>
        <v>76.176612131853503</v>
      </c>
      <c r="AP25" s="188">
        <f t="shared" si="29"/>
        <v>0</v>
      </c>
      <c r="AQ25" s="189">
        <f t="shared" si="30"/>
        <v>-3.3955391166641258E-3</v>
      </c>
      <c r="AR25" s="189">
        <f t="shared" si="31"/>
        <v>0</v>
      </c>
      <c r="AS25" s="190">
        <f t="shared" si="32"/>
        <v>2.361072680055698E-2</v>
      </c>
      <c r="AT25" s="196">
        <f>IF(ISERROR(VLOOKUP(A25,Mandatory!A:A,1,FALSE)),0,1)</f>
        <v>1</v>
      </c>
    </row>
    <row r="26" spans="1:46">
      <c r="A26">
        <v>161</v>
      </c>
      <c r="B26" s="185">
        <f>VLOOKUP(A26,OPATT_Activities!A:J,3,FALSE)</f>
        <v>0</v>
      </c>
      <c r="C26" s="186">
        <f>VLOOKUP(A26,OPATT_Activities!A:J,4,FALSE)</f>
        <v>10208</v>
      </c>
      <c r="D26" s="186">
        <f>VLOOKUP(A26,OPATT_Activities!A:J,5,FALSE)</f>
        <v>43</v>
      </c>
      <c r="E26" s="187">
        <f>VLOOKUP(A26,OPATT_Activities!A:J,6,FALSE)</f>
        <v>19715</v>
      </c>
      <c r="F26" s="185">
        <f>VLOOKUP(A26,OPATT_Cost_Quantum!A:F,2,FALSE)</f>
        <v>0</v>
      </c>
      <c r="G26" s="186">
        <f>VLOOKUP(A26,OPATT_Cost_Quantum!A:F,3,FALSE)</f>
        <v>1167132.6820241199</v>
      </c>
      <c r="H26" s="186">
        <f>VLOOKUP(A26,OPATT_Cost_Quantum!A:F,4,FALSE)</f>
        <v>18974.721112152401</v>
      </c>
      <c r="I26" s="187">
        <f>VLOOKUP(A26,OPATT_Cost_Quantum!A:F,5,FALSE)</f>
        <v>2027189.84849142</v>
      </c>
      <c r="J26" s="179">
        <f t="shared" si="12"/>
        <v>0</v>
      </c>
      <c r="K26" s="180">
        <f t="shared" si="12"/>
        <v>114.33509816067006</v>
      </c>
      <c r="L26" s="180">
        <f t="shared" si="12"/>
        <v>441.27258400354424</v>
      </c>
      <c r="M26" s="181">
        <f t="shared" si="12"/>
        <v>102.82474504141111</v>
      </c>
      <c r="N26" s="173">
        <f>IF(ISERROR(VLOOKUP($A26,'HRGs to TFCs % Split'!$A$8:$I$117,6,0)),0,VLOOKUP($A26,'HRGs to TFCs % Split'!$A$8:$I$117,6,0))</f>
        <v>0</v>
      </c>
      <c r="O26" s="174">
        <f>IF(ISERROR(VLOOKUP($A26,'HRGs to TFCs % Split'!$A$8:$I$117,6,0)),0,VLOOKUP($A26,'HRGs to TFCs % Split'!$A$8:$I$117,7,0))</f>
        <v>8.4181237774336691E-5</v>
      </c>
      <c r="P26" s="174">
        <f>IF(ISERROR(VLOOKUP($A26,'HRGs to TFCs % Split'!$A$8:$I$117,6,0)),0,VLOOKUP($A26,'HRGs to TFCs % Split'!$A$8:$I$117,8,0))</f>
        <v>0</v>
      </c>
      <c r="Q26" s="175">
        <f>IF(ISERROR(VLOOKUP($A26,'HRGs to TFCs % Split'!$A$8:$I$117,6,0)),0,VLOOKUP($A26,'HRGs to TFCs % Split'!$A$8:$I$117,9,0))</f>
        <v>2.5180528141270886E-4</v>
      </c>
      <c r="R26" s="167">
        <f t="shared" si="3"/>
        <v>0</v>
      </c>
      <c r="S26" s="168">
        <f t="shared" si="4"/>
        <v>133</v>
      </c>
      <c r="T26" s="168">
        <f t="shared" si="5"/>
        <v>0</v>
      </c>
      <c r="U26" s="169">
        <f t="shared" si="6"/>
        <v>397</v>
      </c>
      <c r="V26" s="173">
        <f>IF(ISERROR(VLOOKUP($A26,'HRGs to TFCs % Split'!$A$8:$AA$117,6,0)),0,VLOOKUP($A26,'HRGs to TFCs % Split'!$A$8:$AA$117,14,0))</f>
        <v>0</v>
      </c>
      <c r="W26" s="174">
        <f>IF(ISERROR(VLOOKUP($A26,'HRGs to TFCs % Split'!$A$8:$AA$117,6,0)),0,VLOOKUP($A26,'HRGs to TFCs % Split'!$A$8:$AA$117,15,0))</f>
        <v>7.7175692726320214E-5</v>
      </c>
      <c r="X26" s="174">
        <f>IF(ISERROR(VLOOKUP($A26,'HRGs to TFCs % Split'!$A$8:$AA$117,6,0)),0,VLOOKUP($A26,'HRGs to TFCs % Split'!$A$8:$AA$117,16,0))</f>
        <v>0</v>
      </c>
      <c r="Y26" s="175">
        <f>IF(ISERROR(VLOOKUP($A26,'HRGs to TFCs % Split'!$A$8:$AA$117,6,0)),0,VLOOKUP($A26,'HRGs to TFCs % Split'!$A$8:$AA$117,17,0))</f>
        <v>3.1793283883554236E-4</v>
      </c>
      <c r="Z26" s="167">
        <f t="shared" si="13"/>
        <v>0</v>
      </c>
      <c r="AA26" s="168">
        <f t="shared" si="14"/>
        <v>13651.540875240051</v>
      </c>
      <c r="AB26" s="168">
        <f t="shared" si="15"/>
        <v>0</v>
      </c>
      <c r="AC26" s="169">
        <f t="shared" si="16"/>
        <v>56238.862154900948</v>
      </c>
      <c r="AD26" s="200">
        <f t="shared" si="17"/>
        <v>0</v>
      </c>
      <c r="AE26" s="201">
        <f t="shared" si="18"/>
        <v>10341</v>
      </c>
      <c r="AF26" s="201">
        <f t="shared" si="19"/>
        <v>43</v>
      </c>
      <c r="AG26" s="202">
        <f t="shared" si="20"/>
        <v>20112</v>
      </c>
      <c r="AH26" s="200">
        <f t="shared" si="21"/>
        <v>0</v>
      </c>
      <c r="AI26" s="201">
        <f t="shared" si="22"/>
        <v>1180784.2228993599</v>
      </c>
      <c r="AJ26" s="201">
        <f t="shared" si="23"/>
        <v>18974.721112152401</v>
      </c>
      <c r="AK26" s="202">
        <f t="shared" si="24"/>
        <v>2083428.7106463211</v>
      </c>
      <c r="AL26" s="194">
        <f t="shared" si="25"/>
        <v>0</v>
      </c>
      <c r="AM26" s="195">
        <f t="shared" si="26"/>
        <v>114.18472322786576</v>
      </c>
      <c r="AN26" s="195">
        <f t="shared" si="27"/>
        <v>441.27258400354424</v>
      </c>
      <c r="AO26" s="196">
        <f t="shared" si="28"/>
        <v>103.5913241172594</v>
      </c>
      <c r="AP26" s="188">
        <f t="shared" si="29"/>
        <v>0</v>
      </c>
      <c r="AQ26" s="189">
        <f t="shared" si="30"/>
        <v>-1.3152123470693278E-3</v>
      </c>
      <c r="AR26" s="189">
        <f t="shared" si="31"/>
        <v>0</v>
      </c>
      <c r="AS26" s="190">
        <f t="shared" si="32"/>
        <v>7.4552003560968139E-3</v>
      </c>
      <c r="AT26" s="196">
        <f>IF(ISERROR(VLOOKUP(A26,Mandatory!A:A,1,FALSE)),0,1)</f>
        <v>0</v>
      </c>
    </row>
    <row r="27" spans="1:46">
      <c r="A27">
        <v>170</v>
      </c>
      <c r="B27" s="185">
        <f>VLOOKUP(A27,OPATT_Activities!A:J,3,FALSE)</f>
        <v>940</v>
      </c>
      <c r="C27" s="186">
        <f>VLOOKUP(A27,OPATT_Activities!A:J,4,FALSE)</f>
        <v>22495</v>
      </c>
      <c r="D27" s="186">
        <f>VLOOKUP(A27,OPATT_Activities!A:J,5,FALSE)</f>
        <v>600</v>
      </c>
      <c r="E27" s="187">
        <f>VLOOKUP(A27,OPATT_Activities!A:J,6,FALSE)</f>
        <v>36021</v>
      </c>
      <c r="F27" s="185">
        <f>VLOOKUP(A27,OPATT_Cost_Quantum!A:F,2,FALSE)</f>
        <v>145081.43242077099</v>
      </c>
      <c r="G27" s="186">
        <f>VLOOKUP(A27,OPATT_Cost_Quantum!A:F,3,FALSE)</f>
        <v>5423770.18537887</v>
      </c>
      <c r="H27" s="186">
        <f>VLOOKUP(A27,OPATT_Cost_Quantum!A:F,4,FALSE)</f>
        <v>143802.05320933901</v>
      </c>
      <c r="I27" s="187">
        <f>VLOOKUP(A27,OPATT_Cost_Quantum!A:F,5,FALSE)</f>
        <v>7399452.3035425302</v>
      </c>
      <c r="J27" s="179">
        <f t="shared" si="12"/>
        <v>154.34194938379892</v>
      </c>
      <c r="K27" s="180">
        <f t="shared" si="12"/>
        <v>241.11003269076994</v>
      </c>
      <c r="L27" s="180">
        <f t="shared" si="12"/>
        <v>239.67008868223166</v>
      </c>
      <c r="M27" s="181">
        <f t="shared" si="12"/>
        <v>205.42051313240972</v>
      </c>
      <c r="N27" s="173">
        <f>IF(ISERROR(VLOOKUP($A27,'HRGs to TFCs % Split'!$A$8:$I$117,6,0)),0,VLOOKUP($A27,'HRGs to TFCs % Split'!$A$8:$I$117,6,0))</f>
        <v>0</v>
      </c>
      <c r="O27" s="174">
        <f>IF(ISERROR(VLOOKUP($A27,'HRGs to TFCs % Split'!$A$8:$I$117,6,0)),0,VLOOKUP($A27,'HRGs to TFCs % Split'!$A$8:$I$117,7,0))</f>
        <v>1.7722365847228777E-5</v>
      </c>
      <c r="P27" s="174">
        <f>IF(ISERROR(VLOOKUP($A27,'HRGs to TFCs % Split'!$A$8:$I$117,6,0)),0,VLOOKUP($A27,'HRGs to TFCs % Split'!$A$8:$I$117,8,0))</f>
        <v>0</v>
      </c>
      <c r="Q27" s="175">
        <f>IF(ISERROR(VLOOKUP($A27,'HRGs to TFCs % Split'!$A$8:$I$117,6,0)),0,VLOOKUP($A27,'HRGs to TFCs % Split'!$A$8:$I$117,9,0))</f>
        <v>1.0928792272457745E-4</v>
      </c>
      <c r="R27" s="167">
        <f t="shared" si="3"/>
        <v>0</v>
      </c>
      <c r="S27" s="168">
        <f t="shared" si="4"/>
        <v>28</v>
      </c>
      <c r="T27" s="168">
        <f t="shared" si="5"/>
        <v>0</v>
      </c>
      <c r="U27" s="169">
        <f t="shared" si="6"/>
        <v>172</v>
      </c>
      <c r="V27" s="173">
        <f>IF(ISERROR(VLOOKUP($A27,'HRGs to TFCs % Split'!$A$8:$AA$117,6,0)),0,VLOOKUP($A27,'HRGs to TFCs % Split'!$A$8:$AA$117,14,0))</f>
        <v>0</v>
      </c>
      <c r="W27" s="174">
        <f>IF(ISERROR(VLOOKUP($A27,'HRGs to TFCs % Split'!$A$8:$AA$117,6,0)),0,VLOOKUP($A27,'HRGs to TFCs % Split'!$A$8:$AA$117,15,0))</f>
        <v>2.9360937802894585E-5</v>
      </c>
      <c r="X27" s="174">
        <f>IF(ISERROR(VLOOKUP($A27,'HRGs to TFCs % Split'!$A$8:$AA$117,6,0)),0,VLOOKUP($A27,'HRGs to TFCs % Split'!$A$8:$AA$117,16,0))</f>
        <v>0</v>
      </c>
      <c r="Y27" s="175">
        <f>IF(ISERROR(VLOOKUP($A27,'HRGs to TFCs % Split'!$A$8:$AA$117,6,0)),0,VLOOKUP($A27,'HRGs to TFCs % Split'!$A$8:$AA$117,17,0))</f>
        <v>1.4679089059589388E-4</v>
      </c>
      <c r="Z27" s="167">
        <f t="shared" si="13"/>
        <v>0</v>
      </c>
      <c r="AA27" s="168">
        <f t="shared" si="14"/>
        <v>5193.6306418782397</v>
      </c>
      <c r="AB27" s="168">
        <f t="shared" si="15"/>
        <v>0</v>
      </c>
      <c r="AC27" s="169">
        <f t="shared" si="16"/>
        <v>25965.712419181338</v>
      </c>
      <c r="AD27" s="200">
        <f t="shared" si="17"/>
        <v>940</v>
      </c>
      <c r="AE27" s="201">
        <f t="shared" si="18"/>
        <v>22523</v>
      </c>
      <c r="AF27" s="201">
        <f t="shared" si="19"/>
        <v>600</v>
      </c>
      <c r="AG27" s="202">
        <f t="shared" si="20"/>
        <v>36193</v>
      </c>
      <c r="AH27" s="200">
        <f t="shared" si="21"/>
        <v>145081.43242077099</v>
      </c>
      <c r="AI27" s="201">
        <f t="shared" si="22"/>
        <v>5428963.8160207486</v>
      </c>
      <c r="AJ27" s="201">
        <f t="shared" si="23"/>
        <v>143802.05320933901</v>
      </c>
      <c r="AK27" s="202">
        <f t="shared" si="24"/>
        <v>7425418.0159617113</v>
      </c>
      <c r="AL27" s="194">
        <f t="shared" si="25"/>
        <v>154.34194938379892</v>
      </c>
      <c r="AM27" s="195">
        <f t="shared" si="26"/>
        <v>241.0408833645939</v>
      </c>
      <c r="AN27" s="195">
        <f t="shared" si="27"/>
        <v>239.67008868223166</v>
      </c>
      <c r="AO27" s="196">
        <f t="shared" si="28"/>
        <v>205.16171679500764</v>
      </c>
      <c r="AP27" s="188">
        <f t="shared" si="29"/>
        <v>0</v>
      </c>
      <c r="AQ27" s="189">
        <f t="shared" si="30"/>
        <v>-2.8679572311585133E-4</v>
      </c>
      <c r="AR27" s="189">
        <f t="shared" si="31"/>
        <v>0</v>
      </c>
      <c r="AS27" s="190">
        <f t="shared" si="32"/>
        <v>-1.2598368753722333E-3</v>
      </c>
      <c r="AT27" s="196">
        <f>IF(ISERROR(VLOOKUP(A27,Mandatory!A:A,1,FALSE)),0,1)</f>
        <v>1</v>
      </c>
    </row>
    <row r="28" spans="1:46">
      <c r="A28">
        <v>171</v>
      </c>
      <c r="B28" s="185">
        <f>VLOOKUP(A28,OPATT_Activities!A:J,3,FALSE)</f>
        <v>963</v>
      </c>
      <c r="C28" s="186">
        <f>VLOOKUP(A28,OPATT_Activities!A:J,4,FALSE)</f>
        <v>48838</v>
      </c>
      <c r="D28" s="186">
        <f>VLOOKUP(A28,OPATT_Activities!A:J,5,FALSE)</f>
        <v>1794</v>
      </c>
      <c r="E28" s="187">
        <f>VLOOKUP(A28,OPATT_Activities!A:J,6,FALSE)</f>
        <v>73532</v>
      </c>
      <c r="F28" s="185">
        <f>VLOOKUP(A28,OPATT_Cost_Quantum!A:F,2,FALSE)</f>
        <v>128677.96935126001</v>
      </c>
      <c r="G28" s="186">
        <f>VLOOKUP(A28,OPATT_Cost_Quantum!A:F,3,FALSE)</f>
        <v>7635355.2899585897</v>
      </c>
      <c r="H28" s="186">
        <f>VLOOKUP(A28,OPATT_Cost_Quantum!A:F,4,FALSE)</f>
        <v>233411.10225117599</v>
      </c>
      <c r="I28" s="187">
        <f>VLOOKUP(A28,OPATT_Cost_Quantum!A:F,5,FALSE)</f>
        <v>8935008.3475816399</v>
      </c>
      <c r="J28" s="179">
        <f t="shared" si="12"/>
        <v>133.6219827115888</v>
      </c>
      <c r="K28" s="180">
        <f t="shared" si="12"/>
        <v>156.34045804411707</v>
      </c>
      <c r="L28" s="180">
        <f t="shared" si="12"/>
        <v>130.10652299396656</v>
      </c>
      <c r="M28" s="181">
        <f t="shared" si="12"/>
        <v>121.51183631047218</v>
      </c>
      <c r="N28" s="173">
        <f>IF(ISERROR(VLOOKUP($A28,'HRGs to TFCs % Split'!$A$8:$I$117,6,0)),0,VLOOKUP($A28,'HRGs to TFCs % Split'!$A$8:$I$117,6,0))</f>
        <v>0</v>
      </c>
      <c r="O28" s="174">
        <f>IF(ISERROR(VLOOKUP($A28,'HRGs to TFCs % Split'!$A$8:$I$117,6,0)),0,VLOOKUP($A28,'HRGs to TFCs % Split'!$A$8:$I$117,7,0))</f>
        <v>5.9074552824095919E-5</v>
      </c>
      <c r="P28" s="174">
        <f>IF(ISERROR(VLOOKUP($A28,'HRGs to TFCs % Split'!$A$8:$I$117,6,0)),0,VLOOKUP($A28,'HRGs to TFCs % Split'!$A$8:$I$117,8,0))</f>
        <v>0</v>
      </c>
      <c r="Q28" s="175">
        <f>IF(ISERROR(VLOOKUP($A28,'HRGs to TFCs % Split'!$A$8:$I$117,6,0)),0,VLOOKUP($A28,'HRGs to TFCs % Split'!$A$8:$I$117,9,0))</f>
        <v>4.4084385044981578E-4</v>
      </c>
      <c r="R28" s="167">
        <f t="shared" si="3"/>
        <v>0</v>
      </c>
      <c r="S28" s="168">
        <f t="shared" si="4"/>
        <v>93</v>
      </c>
      <c r="T28" s="168">
        <f t="shared" si="5"/>
        <v>0</v>
      </c>
      <c r="U28" s="169">
        <f t="shared" si="6"/>
        <v>696</v>
      </c>
      <c r="V28" s="173">
        <f>IF(ISERROR(VLOOKUP($A28,'HRGs to TFCs % Split'!$A$8:$AA$117,6,0)),0,VLOOKUP($A28,'HRGs to TFCs % Split'!$A$8:$AA$117,14,0))</f>
        <v>0</v>
      </c>
      <c r="W28" s="174">
        <f>IF(ISERROR(VLOOKUP($A28,'HRGs to TFCs % Split'!$A$8:$AA$117,6,0)),0,VLOOKUP($A28,'HRGs to TFCs % Split'!$A$8:$AA$117,15,0))</f>
        <v>2.8710189841283377E-4</v>
      </c>
      <c r="X28" s="174">
        <f>IF(ISERROR(VLOOKUP($A28,'HRGs to TFCs % Split'!$A$8:$AA$117,6,0)),0,VLOOKUP($A28,'HRGs to TFCs % Split'!$A$8:$AA$117,16,0))</f>
        <v>0</v>
      </c>
      <c r="Y28" s="175">
        <f>IF(ISERROR(VLOOKUP($A28,'HRGs to TFCs % Split'!$A$8:$AA$117,6,0)),0,VLOOKUP($A28,'HRGs to TFCs % Split'!$A$8:$AA$117,17,0))</f>
        <v>3.0382161825860871E-3</v>
      </c>
      <c r="Z28" s="167">
        <f t="shared" si="13"/>
        <v>0</v>
      </c>
      <c r="AA28" s="168">
        <f t="shared" si="14"/>
        <v>50785.204033615875</v>
      </c>
      <c r="AB28" s="168">
        <f t="shared" si="15"/>
        <v>0</v>
      </c>
      <c r="AC28" s="169">
        <f t="shared" si="16"/>
        <v>537427.40672860271</v>
      </c>
      <c r="AD28" s="200">
        <f t="shared" si="17"/>
        <v>963</v>
      </c>
      <c r="AE28" s="201">
        <f t="shared" si="18"/>
        <v>48931</v>
      </c>
      <c r="AF28" s="201">
        <f t="shared" si="19"/>
        <v>1794</v>
      </c>
      <c r="AG28" s="202">
        <f t="shared" si="20"/>
        <v>74228</v>
      </c>
      <c r="AH28" s="200">
        <f t="shared" si="21"/>
        <v>128677.96935126001</v>
      </c>
      <c r="AI28" s="201">
        <f t="shared" si="22"/>
        <v>7686140.4939922057</v>
      </c>
      <c r="AJ28" s="201">
        <f t="shared" si="23"/>
        <v>233411.10225117599</v>
      </c>
      <c r="AK28" s="202">
        <f t="shared" si="24"/>
        <v>9472435.7543102428</v>
      </c>
      <c r="AL28" s="194">
        <f t="shared" si="25"/>
        <v>133.6219827115888</v>
      </c>
      <c r="AM28" s="195">
        <f t="shared" si="26"/>
        <v>157.08120606552504</v>
      </c>
      <c r="AN28" s="195">
        <f t="shared" si="27"/>
        <v>130.10652299396656</v>
      </c>
      <c r="AO28" s="196">
        <f t="shared" si="28"/>
        <v>127.61270348534573</v>
      </c>
      <c r="AP28" s="188">
        <f t="shared" si="29"/>
        <v>0</v>
      </c>
      <c r="AQ28" s="189">
        <f t="shared" si="30"/>
        <v>4.7380443339812839E-3</v>
      </c>
      <c r="AR28" s="189">
        <f t="shared" si="31"/>
        <v>0</v>
      </c>
      <c r="AS28" s="190">
        <f t="shared" si="32"/>
        <v>5.0208007385267095E-2</v>
      </c>
      <c r="AT28" s="196">
        <f>IF(ISERROR(VLOOKUP(A28,Mandatory!A:A,1,FALSE)),0,1)</f>
        <v>1</v>
      </c>
    </row>
    <row r="29" spans="1:46">
      <c r="A29">
        <v>172</v>
      </c>
      <c r="B29" s="185">
        <f>VLOOKUP(A29,OPATT_Activities!A:J,3,FALSE)</f>
        <v>1333</v>
      </c>
      <c r="C29" s="186">
        <f>VLOOKUP(A29,OPATT_Activities!A:J,4,FALSE)</f>
        <v>15259</v>
      </c>
      <c r="D29" s="186">
        <f>VLOOKUP(A29,OPATT_Activities!A:J,5,FALSE)</f>
        <v>2834</v>
      </c>
      <c r="E29" s="187">
        <f>VLOOKUP(A29,OPATT_Activities!A:J,6,FALSE)</f>
        <v>26085</v>
      </c>
      <c r="F29" s="185">
        <f>VLOOKUP(A29,OPATT_Cost_Quantum!A:F,2,FALSE)</f>
        <v>146577.548299463</v>
      </c>
      <c r="G29" s="186">
        <f>VLOOKUP(A29,OPATT_Cost_Quantum!A:F,3,FALSE)</f>
        <v>4053649.9622035502</v>
      </c>
      <c r="H29" s="186">
        <f>VLOOKUP(A29,OPATT_Cost_Quantum!A:F,4,FALSE)</f>
        <v>420526.77059181599</v>
      </c>
      <c r="I29" s="187">
        <f>VLOOKUP(A29,OPATT_Cost_Quantum!A:F,5,FALSE)</f>
        <v>5793478.3482177202</v>
      </c>
      <c r="J29" s="179">
        <f t="shared" si="12"/>
        <v>109.96065138744412</v>
      </c>
      <c r="K29" s="180">
        <f t="shared" si="12"/>
        <v>265.65633148984534</v>
      </c>
      <c r="L29" s="180">
        <f t="shared" si="12"/>
        <v>148.38629872682287</v>
      </c>
      <c r="M29" s="181">
        <f t="shared" si="12"/>
        <v>222.09999418124286</v>
      </c>
      <c r="N29" s="173">
        <f>IF(ISERROR(VLOOKUP($A29,'HRGs to TFCs % Split'!$A$8:$I$117,6,0)),0,VLOOKUP($A29,'HRGs to TFCs % Split'!$A$8:$I$117,6,0))</f>
        <v>0</v>
      </c>
      <c r="O29" s="174">
        <f>IF(ISERROR(VLOOKUP($A29,'HRGs to TFCs % Split'!$A$8:$I$117,6,0)),0,VLOOKUP($A29,'HRGs to TFCs % Split'!$A$8:$I$117,7,0))</f>
        <v>7.3843191030119899E-6</v>
      </c>
      <c r="P29" s="174">
        <f>IF(ISERROR(VLOOKUP($A29,'HRGs to TFCs % Split'!$A$8:$I$117,6,0)),0,VLOOKUP($A29,'HRGs to TFCs % Split'!$A$8:$I$117,8,0))</f>
        <v>0</v>
      </c>
      <c r="Q29" s="175">
        <f>IF(ISERROR(VLOOKUP($A29,'HRGs to TFCs % Split'!$A$8:$I$117,6,0)),0,VLOOKUP($A29,'HRGs to TFCs % Split'!$A$8:$I$117,9,0))</f>
        <v>6.9264913186252463E-4</v>
      </c>
      <c r="R29" s="167">
        <f t="shared" si="3"/>
        <v>0</v>
      </c>
      <c r="S29" s="168">
        <f t="shared" si="4"/>
        <v>12</v>
      </c>
      <c r="T29" s="168">
        <f t="shared" si="5"/>
        <v>0</v>
      </c>
      <c r="U29" s="169">
        <f t="shared" si="6"/>
        <v>1093</v>
      </c>
      <c r="V29" s="173">
        <f>IF(ISERROR(VLOOKUP($A29,'HRGs to TFCs % Split'!$A$8:$AA$117,6,0)),0,VLOOKUP($A29,'HRGs to TFCs % Split'!$A$8:$AA$117,14,0))</f>
        <v>0</v>
      </c>
      <c r="W29" s="174">
        <f>IF(ISERROR(VLOOKUP($A29,'HRGs to TFCs % Split'!$A$8:$AA$117,6,0)),0,VLOOKUP($A29,'HRGs to TFCs % Split'!$A$8:$AA$117,15,0))</f>
        <v>6.5222557302631032E-6</v>
      </c>
      <c r="X29" s="174">
        <f>IF(ISERROR(VLOOKUP($A29,'HRGs to TFCs % Split'!$A$8:$AA$117,6,0)),0,VLOOKUP($A29,'HRGs to TFCs % Split'!$A$8:$AA$117,16,0))</f>
        <v>0</v>
      </c>
      <c r="Y29" s="175">
        <f>IF(ISERROR(VLOOKUP($A29,'HRGs to TFCs % Split'!$A$8:$AA$117,6,0)),0,VLOOKUP($A29,'HRGs to TFCs % Split'!$A$8:$AA$117,17,0))</f>
        <v>6.059410410600419E-4</v>
      </c>
      <c r="Z29" s="167">
        <f t="shared" si="13"/>
        <v>0</v>
      </c>
      <c r="AA29" s="168">
        <f t="shared" si="14"/>
        <v>1153.7161190921108</v>
      </c>
      <c r="AB29" s="168">
        <f t="shared" si="15"/>
        <v>0</v>
      </c>
      <c r="AC29" s="169">
        <f t="shared" si="16"/>
        <v>107184.38147812772</v>
      </c>
      <c r="AD29" s="200">
        <f t="shared" si="17"/>
        <v>1333</v>
      </c>
      <c r="AE29" s="201">
        <f t="shared" si="18"/>
        <v>15271</v>
      </c>
      <c r="AF29" s="201">
        <f t="shared" si="19"/>
        <v>2834</v>
      </c>
      <c r="AG29" s="202">
        <f t="shared" si="20"/>
        <v>27178</v>
      </c>
      <c r="AH29" s="200">
        <f t="shared" si="21"/>
        <v>146577.548299463</v>
      </c>
      <c r="AI29" s="201">
        <f t="shared" si="22"/>
        <v>4054803.6783226421</v>
      </c>
      <c r="AJ29" s="201">
        <f t="shared" si="23"/>
        <v>420526.77059181599</v>
      </c>
      <c r="AK29" s="202">
        <f t="shared" si="24"/>
        <v>5900662.7296958482</v>
      </c>
      <c r="AL29" s="194">
        <f t="shared" si="25"/>
        <v>109.96065138744412</v>
      </c>
      <c r="AM29" s="195">
        <f t="shared" si="26"/>
        <v>265.52312738672271</v>
      </c>
      <c r="AN29" s="195">
        <f t="shared" si="27"/>
        <v>148.38629872682287</v>
      </c>
      <c r="AO29" s="196">
        <f t="shared" si="28"/>
        <v>217.11173484788608</v>
      </c>
      <c r="AP29" s="188">
        <f t="shared" si="29"/>
        <v>0</v>
      </c>
      <c r="AQ29" s="189">
        <f t="shared" si="30"/>
        <v>-5.0141512673762545E-4</v>
      </c>
      <c r="AR29" s="189">
        <f t="shared" si="31"/>
        <v>0</v>
      </c>
      <c r="AS29" s="190">
        <f t="shared" si="32"/>
        <v>-2.245952032437315E-2</v>
      </c>
      <c r="AT29" s="196">
        <f>IF(ISERROR(VLOOKUP(A29,Mandatory!A:A,1,FALSE)),0,1)</f>
        <v>1</v>
      </c>
    </row>
    <row r="30" spans="1:46">
      <c r="A30">
        <v>173</v>
      </c>
      <c r="B30" s="185">
        <f>VLOOKUP(A30,OPATT_Activities!A:J,3,FALSE)</f>
        <v>46</v>
      </c>
      <c r="C30" s="186">
        <f>VLOOKUP(A30,OPATT_Activities!A:J,4,FALSE)</f>
        <v>9243</v>
      </c>
      <c r="D30" s="186">
        <f>VLOOKUP(A30,OPATT_Activities!A:J,5,FALSE)</f>
        <v>236</v>
      </c>
      <c r="E30" s="187">
        <f>VLOOKUP(A30,OPATT_Activities!A:J,6,FALSE)</f>
        <v>22113</v>
      </c>
      <c r="F30" s="185">
        <f>VLOOKUP(A30,OPATT_Cost_Quantum!A:F,2,FALSE)</f>
        <v>9670.9413392319093</v>
      </c>
      <c r="G30" s="186">
        <f>VLOOKUP(A30,OPATT_Cost_Quantum!A:F,3,FALSE)</f>
        <v>2241212.7075529601</v>
      </c>
      <c r="H30" s="186">
        <f>VLOOKUP(A30,OPATT_Cost_Quantum!A:F,4,FALSE)</f>
        <v>29083.772732122201</v>
      </c>
      <c r="I30" s="187">
        <f>VLOOKUP(A30,OPATT_Cost_Quantum!A:F,5,FALSE)</f>
        <v>4358750.1214842396</v>
      </c>
      <c r="J30" s="179">
        <f t="shared" si="12"/>
        <v>210.23785520069367</v>
      </c>
      <c r="K30" s="180">
        <f t="shared" si="12"/>
        <v>242.4767616091053</v>
      </c>
      <c r="L30" s="180">
        <f t="shared" si="12"/>
        <v>123.23632513611102</v>
      </c>
      <c r="M30" s="181">
        <f t="shared" si="12"/>
        <v>197.11256371746211</v>
      </c>
      <c r="N30" s="173">
        <f>IF(ISERROR(VLOOKUP($A30,'HRGs to TFCs % Split'!$A$8:$I$117,6,0)),0,VLOOKUP($A30,'HRGs to TFCs % Split'!$A$8:$I$117,6,0))</f>
        <v>0</v>
      </c>
      <c r="O30" s="174">
        <f>IF(ISERROR(VLOOKUP($A30,'HRGs to TFCs % Split'!$A$8:$I$117,6,0)),0,VLOOKUP($A30,'HRGs to TFCs % Split'!$A$8:$I$117,7,0))</f>
        <v>2.8798844501746759E-5</v>
      </c>
      <c r="P30" s="174">
        <f>IF(ISERROR(VLOOKUP($A30,'HRGs to TFCs % Split'!$A$8:$I$117,6,0)),0,VLOOKUP($A30,'HRGs to TFCs % Split'!$A$8:$I$117,8,0))</f>
        <v>0</v>
      </c>
      <c r="Q30" s="175">
        <f>IF(ISERROR(VLOOKUP($A30,'HRGs to TFCs % Split'!$A$8:$I$117,6,0)),0,VLOOKUP($A30,'HRGs to TFCs % Split'!$A$8:$I$117,9,0))</f>
        <v>4.7998074169577933E-5</v>
      </c>
      <c r="R30" s="167">
        <f t="shared" si="3"/>
        <v>0</v>
      </c>
      <c r="S30" s="168">
        <f t="shared" si="4"/>
        <v>45</v>
      </c>
      <c r="T30" s="168">
        <f t="shared" si="5"/>
        <v>0</v>
      </c>
      <c r="U30" s="169">
        <f t="shared" si="6"/>
        <v>76</v>
      </c>
      <c r="V30" s="173">
        <f>IF(ISERROR(VLOOKUP($A30,'HRGs to TFCs % Split'!$A$8:$AA$117,6,0)),0,VLOOKUP($A30,'HRGs to TFCs % Split'!$A$8:$AA$117,14,0))</f>
        <v>0</v>
      </c>
      <c r="W30" s="174">
        <f>IF(ISERROR(VLOOKUP($A30,'HRGs to TFCs % Split'!$A$8:$AA$117,6,0)),0,VLOOKUP($A30,'HRGs to TFCs % Split'!$A$8:$AA$117,15,0))</f>
        <v>1.9599109284186128E-5</v>
      </c>
      <c r="X30" s="174">
        <f>IF(ISERROR(VLOOKUP($A30,'HRGs to TFCs % Split'!$A$8:$AA$117,6,0)),0,VLOOKUP($A30,'HRGs to TFCs % Split'!$A$8:$AA$117,16,0))</f>
        <v>0</v>
      </c>
      <c r="Y30" s="175">
        <f>IF(ISERROR(VLOOKUP($A30,'HRGs to TFCs % Split'!$A$8:$AA$117,6,0)),0,VLOOKUP($A30,'HRGs to TFCs % Split'!$A$8:$AA$117,17,0))</f>
        <v>5.6293331997507073E-5</v>
      </c>
      <c r="Z30" s="167">
        <f t="shared" si="13"/>
        <v>0</v>
      </c>
      <c r="AA30" s="168">
        <f t="shared" si="14"/>
        <v>3466.8693219272518</v>
      </c>
      <c r="AB30" s="168">
        <f t="shared" si="15"/>
        <v>0</v>
      </c>
      <c r="AC30" s="169">
        <f t="shared" si="16"/>
        <v>9957.6783261621222</v>
      </c>
      <c r="AD30" s="200">
        <f t="shared" si="17"/>
        <v>46</v>
      </c>
      <c r="AE30" s="201">
        <f t="shared" si="18"/>
        <v>9288</v>
      </c>
      <c r="AF30" s="201">
        <f t="shared" si="19"/>
        <v>236</v>
      </c>
      <c r="AG30" s="202">
        <f t="shared" si="20"/>
        <v>22189</v>
      </c>
      <c r="AH30" s="200">
        <f t="shared" si="21"/>
        <v>9670.9413392319093</v>
      </c>
      <c r="AI30" s="201">
        <f t="shared" si="22"/>
        <v>2244679.5768748876</v>
      </c>
      <c r="AJ30" s="201">
        <f t="shared" si="23"/>
        <v>29083.772732122201</v>
      </c>
      <c r="AK30" s="202">
        <f t="shared" si="24"/>
        <v>4368707.7998104021</v>
      </c>
      <c r="AL30" s="194">
        <f t="shared" si="25"/>
        <v>210.23785520069367</v>
      </c>
      <c r="AM30" s="195">
        <f t="shared" si="26"/>
        <v>241.67523437498789</v>
      </c>
      <c r="AN30" s="195">
        <f t="shared" si="27"/>
        <v>123.23632513611102</v>
      </c>
      <c r="AO30" s="196">
        <f t="shared" si="28"/>
        <v>196.88619585427023</v>
      </c>
      <c r="AP30" s="188">
        <f t="shared" si="29"/>
        <v>0</v>
      </c>
      <c r="AQ30" s="189">
        <f t="shared" si="30"/>
        <v>-3.3055837136655164E-3</v>
      </c>
      <c r="AR30" s="189">
        <f t="shared" si="31"/>
        <v>0</v>
      </c>
      <c r="AS30" s="190">
        <f t="shared" si="32"/>
        <v>-1.1484192530535342E-3</v>
      </c>
      <c r="AT30" s="196">
        <f>IF(ISERROR(VLOOKUP(A30,Mandatory!A:A,1,FALSE)),0,1)</f>
        <v>1</v>
      </c>
    </row>
    <row r="31" spans="1:46">
      <c r="A31">
        <v>174</v>
      </c>
      <c r="B31" s="185">
        <f>VLOOKUP(A31,OPATT_Activities!A:J,3,FALSE)</f>
        <v>0</v>
      </c>
      <c r="C31" s="186">
        <f>VLOOKUP(A31,OPATT_Activities!A:J,4,FALSE)</f>
        <v>185</v>
      </c>
      <c r="D31" s="186">
        <f>VLOOKUP(A31,OPATT_Activities!A:J,5,FALSE)</f>
        <v>2803</v>
      </c>
      <c r="E31" s="187">
        <f>VLOOKUP(A31,OPATT_Activities!A:J,6,FALSE)</f>
        <v>5844</v>
      </c>
      <c r="F31" s="185">
        <f>VLOOKUP(A31,OPATT_Cost_Quantum!A:F,2,FALSE)</f>
        <v>0</v>
      </c>
      <c r="G31" s="186">
        <f>VLOOKUP(A31,OPATT_Cost_Quantum!A:F,3,FALSE)</f>
        <v>69712.545453045997</v>
      </c>
      <c r="H31" s="186">
        <f>VLOOKUP(A31,OPATT_Cost_Quantum!A:F,4,FALSE)</f>
        <v>655821.40706050198</v>
      </c>
      <c r="I31" s="187">
        <f>VLOOKUP(A31,OPATT_Cost_Quantum!A:F,5,FALSE)</f>
        <v>1298690.9332804999</v>
      </c>
      <c r="J31" s="179">
        <f t="shared" si="12"/>
        <v>0</v>
      </c>
      <c r="K31" s="180">
        <f t="shared" si="12"/>
        <v>376.82457001646486</v>
      </c>
      <c r="L31" s="180">
        <f t="shared" si="12"/>
        <v>233.97124761345057</v>
      </c>
      <c r="M31" s="181">
        <f t="shared" si="12"/>
        <v>222.22637462020873</v>
      </c>
      <c r="N31" s="173">
        <f>IF(ISERROR(VLOOKUP($A31,'HRGs to TFCs % Split'!$A$8:$I$117,6,0)),0,VLOOKUP($A31,'HRGs to TFCs % Split'!$A$8:$I$117,6,0))</f>
        <v>0</v>
      </c>
      <c r="O31" s="174">
        <f>IF(ISERROR(VLOOKUP($A31,'HRGs to TFCs % Split'!$A$8:$I$117,6,0)),0,VLOOKUP($A31,'HRGs to TFCs % Split'!$A$8:$I$117,7,0))</f>
        <v>0</v>
      </c>
      <c r="P31" s="174">
        <f>IF(ISERROR(VLOOKUP($A31,'HRGs to TFCs % Split'!$A$8:$I$117,6,0)),0,VLOOKUP($A31,'HRGs to TFCs % Split'!$A$8:$I$117,8,0))</f>
        <v>0</v>
      </c>
      <c r="Q31" s="175">
        <f>IF(ISERROR(VLOOKUP($A31,'HRGs to TFCs % Split'!$A$8:$I$117,6,0)),0,VLOOKUP($A31,'HRGs to TFCs % Split'!$A$8:$I$117,9,0))</f>
        <v>0</v>
      </c>
      <c r="R31" s="167">
        <f t="shared" si="3"/>
        <v>0</v>
      </c>
      <c r="S31" s="168">
        <f t="shared" si="4"/>
        <v>0</v>
      </c>
      <c r="T31" s="168">
        <f t="shared" si="5"/>
        <v>0</v>
      </c>
      <c r="U31" s="169">
        <f t="shared" si="6"/>
        <v>0</v>
      </c>
      <c r="V31" s="173">
        <f>IF(ISERROR(VLOOKUP($A31,'HRGs to TFCs % Split'!$A$8:$AA$117,6,0)),0,VLOOKUP($A31,'HRGs to TFCs % Split'!$A$8:$AA$117,14,0))</f>
        <v>0</v>
      </c>
      <c r="W31" s="174">
        <f>IF(ISERROR(VLOOKUP($A31,'HRGs to TFCs % Split'!$A$8:$AA$117,6,0)),0,VLOOKUP($A31,'HRGs to TFCs % Split'!$A$8:$AA$117,15,0))</f>
        <v>0</v>
      </c>
      <c r="X31" s="174">
        <f>IF(ISERROR(VLOOKUP($A31,'HRGs to TFCs % Split'!$A$8:$AA$117,6,0)),0,VLOOKUP($A31,'HRGs to TFCs % Split'!$A$8:$AA$117,16,0))</f>
        <v>0</v>
      </c>
      <c r="Y31" s="175">
        <f>IF(ISERROR(VLOOKUP($A31,'HRGs to TFCs % Split'!$A$8:$AA$117,6,0)),0,VLOOKUP($A31,'HRGs to TFCs % Split'!$A$8:$AA$117,17,0))</f>
        <v>0</v>
      </c>
      <c r="Z31" s="167">
        <f t="shared" si="13"/>
        <v>0</v>
      </c>
      <c r="AA31" s="168">
        <f t="shared" si="14"/>
        <v>0</v>
      </c>
      <c r="AB31" s="168">
        <f t="shared" si="15"/>
        <v>0</v>
      </c>
      <c r="AC31" s="169">
        <f t="shared" si="16"/>
        <v>0</v>
      </c>
      <c r="AD31" s="200">
        <f t="shared" si="17"/>
        <v>0</v>
      </c>
      <c r="AE31" s="201">
        <f t="shared" si="18"/>
        <v>185</v>
      </c>
      <c r="AF31" s="201">
        <f t="shared" si="19"/>
        <v>2803</v>
      </c>
      <c r="AG31" s="202">
        <f t="shared" si="20"/>
        <v>5844</v>
      </c>
      <c r="AH31" s="200">
        <f t="shared" si="21"/>
        <v>0</v>
      </c>
      <c r="AI31" s="201">
        <f t="shared" si="22"/>
        <v>69712.545453045997</v>
      </c>
      <c r="AJ31" s="201">
        <f t="shared" si="23"/>
        <v>655821.40706050198</v>
      </c>
      <c r="AK31" s="202">
        <f t="shared" si="24"/>
        <v>1298690.9332804999</v>
      </c>
      <c r="AL31" s="194">
        <f t="shared" si="25"/>
        <v>0</v>
      </c>
      <c r="AM31" s="195">
        <f t="shared" si="26"/>
        <v>376.82457001646486</v>
      </c>
      <c r="AN31" s="195">
        <f t="shared" si="27"/>
        <v>233.97124761345057</v>
      </c>
      <c r="AO31" s="196">
        <f t="shared" si="28"/>
        <v>222.22637462020873</v>
      </c>
      <c r="AP31" s="188">
        <f t="shared" si="29"/>
        <v>0</v>
      </c>
      <c r="AQ31" s="189">
        <f t="shared" si="30"/>
        <v>0</v>
      </c>
      <c r="AR31" s="189">
        <f t="shared" si="31"/>
        <v>0</v>
      </c>
      <c r="AS31" s="190">
        <f t="shared" si="32"/>
        <v>0</v>
      </c>
      <c r="AT31" s="196">
        <f>IF(ISERROR(VLOOKUP(A31,Mandatory!A:A,1,FALSE)),0,1)</f>
        <v>0</v>
      </c>
    </row>
    <row r="32" spans="1:46">
      <c r="A32">
        <v>180</v>
      </c>
      <c r="B32" s="185">
        <f>VLOOKUP(A32,OPATT_Activities!A:J,3,FALSE)</f>
        <v>93</v>
      </c>
      <c r="C32" s="186">
        <f>VLOOKUP(A32,OPATT_Activities!A:J,4,FALSE)</f>
        <v>150041</v>
      </c>
      <c r="D32" s="186">
        <f>VLOOKUP(A32,OPATT_Activities!A:J,5,FALSE)</f>
        <v>28</v>
      </c>
      <c r="E32" s="187">
        <f>VLOOKUP(A32,OPATT_Activities!A:J,6,FALSE)</f>
        <v>53286</v>
      </c>
      <c r="F32" s="185">
        <f>VLOOKUP(A32,OPATT_Cost_Quantum!A:F,2,FALSE)</f>
        <v>17420.167719329798</v>
      </c>
      <c r="G32" s="186">
        <f>VLOOKUP(A32,OPATT_Cost_Quantum!A:F,3,FALSE)</f>
        <v>17368999.402978599</v>
      </c>
      <c r="H32" s="186">
        <f>VLOOKUP(A32,OPATT_Cost_Quantum!A:F,4,FALSE)</f>
        <v>7476.5588795099102</v>
      </c>
      <c r="I32" s="187">
        <f>VLOOKUP(A32,OPATT_Cost_Quantum!A:F,5,FALSE)</f>
        <v>6059833.0377409104</v>
      </c>
      <c r="J32" s="179">
        <f t="shared" si="12"/>
        <v>187.313631390643</v>
      </c>
      <c r="K32" s="180">
        <f t="shared" si="12"/>
        <v>115.76168782518511</v>
      </c>
      <c r="L32" s="180">
        <f t="shared" si="12"/>
        <v>267.0199599824968</v>
      </c>
      <c r="M32" s="181">
        <f t="shared" si="12"/>
        <v>113.72279844125869</v>
      </c>
      <c r="N32" s="173">
        <f>IF(ISERROR(VLOOKUP($A32,'HRGs to TFCs % Split'!$A$8:$I$117,6,0)),0,VLOOKUP($A32,'HRGs to TFCs % Split'!$A$8:$I$117,6,0))</f>
        <v>0</v>
      </c>
      <c r="O32" s="174">
        <f>IF(ISERROR(VLOOKUP($A32,'HRGs to TFCs % Split'!$A$8:$I$117,6,0)),0,VLOOKUP($A32,'HRGs to TFCs % Split'!$A$8:$I$117,7,0))</f>
        <v>8.8759515618204118E-4</v>
      </c>
      <c r="P32" s="174">
        <f>IF(ISERROR(VLOOKUP($A32,'HRGs to TFCs % Split'!$A$8:$I$117,6,0)),0,VLOOKUP($A32,'HRGs to TFCs % Split'!$A$8:$I$117,8,0))</f>
        <v>0</v>
      </c>
      <c r="Q32" s="175">
        <f>IF(ISERROR(VLOOKUP($A32,'HRGs to TFCs % Split'!$A$8:$I$117,6,0)),0,VLOOKUP($A32,'HRGs to TFCs % Split'!$A$8:$I$117,9,0))</f>
        <v>6.4612792151354909E-4</v>
      </c>
      <c r="R32" s="167">
        <f t="shared" si="3"/>
        <v>0</v>
      </c>
      <c r="S32" s="168">
        <f t="shared" si="4"/>
        <v>1401</v>
      </c>
      <c r="T32" s="168">
        <f t="shared" si="5"/>
        <v>0</v>
      </c>
      <c r="U32" s="169">
        <f t="shared" si="6"/>
        <v>1020</v>
      </c>
      <c r="V32" s="173">
        <f>IF(ISERROR(VLOOKUP($A32,'HRGs to TFCs % Split'!$A$8:$AA$117,6,0)),0,VLOOKUP($A32,'HRGs to TFCs % Split'!$A$8:$AA$117,14,0))</f>
        <v>0</v>
      </c>
      <c r="W32" s="174">
        <f>IF(ISERROR(VLOOKUP($A32,'HRGs to TFCs % Split'!$A$8:$AA$117,6,0)),0,VLOOKUP($A32,'HRGs to TFCs % Split'!$A$8:$AA$117,15,0))</f>
        <v>7.2186102717977532E-4</v>
      </c>
      <c r="X32" s="174">
        <f>IF(ISERROR(VLOOKUP($A32,'HRGs to TFCs % Split'!$A$8:$AA$117,6,0)),0,VLOOKUP($A32,'HRGs to TFCs % Split'!$A$8:$AA$117,16,0))</f>
        <v>0</v>
      </c>
      <c r="Y32" s="175">
        <f>IF(ISERROR(VLOOKUP($A32,'HRGs to TFCs % Split'!$A$8:$AA$117,6,0)),0,VLOOKUP($A32,'HRGs to TFCs % Split'!$A$8:$AA$117,17,0))</f>
        <v>5.2759052114307974E-4</v>
      </c>
      <c r="Z32" s="167">
        <f t="shared" si="13"/>
        <v>0</v>
      </c>
      <c r="AA32" s="168">
        <f t="shared" si="14"/>
        <v>127689.36656951653</v>
      </c>
      <c r="AB32" s="168">
        <f t="shared" si="15"/>
        <v>0</v>
      </c>
      <c r="AC32" s="169">
        <f t="shared" si="16"/>
        <v>93325.026447318407</v>
      </c>
      <c r="AD32" s="200">
        <f t="shared" si="17"/>
        <v>93</v>
      </c>
      <c r="AE32" s="201">
        <f t="shared" si="18"/>
        <v>151442</v>
      </c>
      <c r="AF32" s="201">
        <f t="shared" si="19"/>
        <v>28</v>
      </c>
      <c r="AG32" s="202">
        <f t="shared" si="20"/>
        <v>54306</v>
      </c>
      <c r="AH32" s="200">
        <f t="shared" si="21"/>
        <v>17420.167719329798</v>
      </c>
      <c r="AI32" s="201">
        <f t="shared" si="22"/>
        <v>17496688.769548114</v>
      </c>
      <c r="AJ32" s="201">
        <f t="shared" si="23"/>
        <v>7476.5588795099102</v>
      </c>
      <c r="AK32" s="202">
        <f t="shared" si="24"/>
        <v>6153158.0641882289</v>
      </c>
      <c r="AL32" s="194">
        <f t="shared" si="25"/>
        <v>187.313631390643</v>
      </c>
      <c r="AM32" s="195">
        <f t="shared" si="26"/>
        <v>115.5339256583254</v>
      </c>
      <c r="AN32" s="195">
        <f t="shared" si="27"/>
        <v>267.0199599824968</v>
      </c>
      <c r="AO32" s="196">
        <f t="shared" si="28"/>
        <v>113.30530814621274</v>
      </c>
      <c r="AP32" s="188">
        <f t="shared" si="29"/>
        <v>0</v>
      </c>
      <c r="AQ32" s="189">
        <f t="shared" si="30"/>
        <v>-1.9675090363545644E-3</v>
      </c>
      <c r="AR32" s="189">
        <f t="shared" si="31"/>
        <v>0</v>
      </c>
      <c r="AS32" s="190">
        <f t="shared" si="32"/>
        <v>-3.6711222443369662E-3</v>
      </c>
      <c r="AT32" s="196">
        <f>IF(ISERROR(VLOOKUP(A32,Mandatory!A:A,1,FALSE)),0,1)</f>
        <v>0</v>
      </c>
    </row>
    <row r="33" spans="1:46">
      <c r="A33">
        <v>190</v>
      </c>
      <c r="B33" s="185">
        <f>VLOOKUP(A33,OPATT_Activities!A:J,3,FALSE)</f>
        <v>5</v>
      </c>
      <c r="C33" s="186">
        <f>VLOOKUP(A33,OPATT_Activities!A:J,4,FALSE)</f>
        <v>61923</v>
      </c>
      <c r="D33" s="186">
        <f>VLOOKUP(A33,OPATT_Activities!A:J,5,FALSE)</f>
        <v>1106</v>
      </c>
      <c r="E33" s="187">
        <f>VLOOKUP(A33,OPATT_Activities!A:J,6,FALSE)</f>
        <v>142869</v>
      </c>
      <c r="F33" s="185">
        <f>VLOOKUP(A33,OPATT_Cost_Quantum!A:F,2,FALSE)</f>
        <v>1388.3314759922901</v>
      </c>
      <c r="G33" s="186">
        <f>VLOOKUP(A33,OPATT_Cost_Quantum!A:F,3,FALSE)</f>
        <v>5077503.4276652699</v>
      </c>
      <c r="H33" s="186">
        <f>VLOOKUP(A33,OPATT_Cost_Quantum!A:F,4,FALSE)</f>
        <v>105765.21490812</v>
      </c>
      <c r="I33" s="187">
        <f>VLOOKUP(A33,OPATT_Cost_Quantum!A:F,5,FALSE)</f>
        <v>10012133.505862501</v>
      </c>
      <c r="J33" s="179">
        <f t="shared" si="12"/>
        <v>277.66629519845799</v>
      </c>
      <c r="K33" s="180">
        <f t="shared" si="12"/>
        <v>81.997051623229979</v>
      </c>
      <c r="L33" s="180">
        <f t="shared" si="12"/>
        <v>95.628584907884274</v>
      </c>
      <c r="M33" s="181">
        <f t="shared" si="12"/>
        <v>70.079117974245648</v>
      </c>
      <c r="N33" s="173">
        <f>IF(ISERROR(VLOOKUP($A33,'HRGs to TFCs % Split'!$A$8:$I$117,6,0)),0,VLOOKUP($A33,'HRGs to TFCs % Split'!$A$8:$I$117,6,0))</f>
        <v>0</v>
      </c>
      <c r="O33" s="174">
        <f>IF(ISERROR(VLOOKUP($A33,'HRGs to TFCs % Split'!$A$8:$I$117,6,0)),0,VLOOKUP($A33,'HRGs to TFCs % Split'!$A$8:$I$117,7,0))</f>
        <v>1.1445694609668585E-4</v>
      </c>
      <c r="P33" s="174">
        <f>IF(ISERROR(VLOOKUP($A33,'HRGs to TFCs % Split'!$A$8:$I$117,6,0)),0,VLOOKUP($A33,'HRGs to TFCs % Split'!$A$8:$I$117,8,0))</f>
        <v>0</v>
      </c>
      <c r="Q33" s="175">
        <f>IF(ISERROR(VLOOKUP($A33,'HRGs to TFCs % Split'!$A$8:$I$117,6,0)),0,VLOOKUP($A33,'HRGs to TFCs % Split'!$A$8:$I$117,9,0))</f>
        <v>1.4177892677783022E-4</v>
      </c>
      <c r="R33" s="167">
        <f t="shared" si="3"/>
        <v>0</v>
      </c>
      <c r="S33" s="168">
        <f t="shared" si="4"/>
        <v>181</v>
      </c>
      <c r="T33" s="168">
        <f t="shared" si="5"/>
        <v>0</v>
      </c>
      <c r="U33" s="169">
        <f t="shared" si="6"/>
        <v>224</v>
      </c>
      <c r="V33" s="173">
        <f>IF(ISERROR(VLOOKUP($A33,'HRGs to TFCs % Split'!$A$8:$AA$117,6,0)),0,VLOOKUP($A33,'HRGs to TFCs % Split'!$A$8:$AA$117,14,0))</f>
        <v>0</v>
      </c>
      <c r="W33" s="174">
        <f>IF(ISERROR(VLOOKUP($A33,'HRGs to TFCs % Split'!$A$8:$AA$117,6,0)),0,VLOOKUP($A33,'HRGs to TFCs % Split'!$A$8:$AA$117,15,0))</f>
        <v>1.1631540413764391E-4</v>
      </c>
      <c r="X33" s="174">
        <f>IF(ISERROR(VLOOKUP($A33,'HRGs to TFCs % Split'!$A$8:$AA$117,6,0)),0,VLOOKUP($A33,'HRGs to TFCs % Split'!$A$8:$AA$117,16,0))</f>
        <v>0</v>
      </c>
      <c r="Y33" s="175">
        <f>IF(ISERROR(VLOOKUP($A33,'HRGs to TFCs % Split'!$A$8:$AA$117,6,0)),0,VLOOKUP($A33,'HRGs to TFCs % Split'!$A$8:$AA$117,17,0))</f>
        <v>1.5055221689020811E-4</v>
      </c>
      <c r="Z33" s="167">
        <f t="shared" si="13"/>
        <v>0</v>
      </c>
      <c r="AA33" s="168">
        <f t="shared" si="14"/>
        <v>20574.930239188834</v>
      </c>
      <c r="AB33" s="168">
        <f t="shared" si="15"/>
        <v>0</v>
      </c>
      <c r="AC33" s="169">
        <f t="shared" si="16"/>
        <v>26631.050141954172</v>
      </c>
      <c r="AD33" s="200">
        <f t="shared" si="17"/>
        <v>5</v>
      </c>
      <c r="AE33" s="201">
        <f t="shared" si="18"/>
        <v>62104</v>
      </c>
      <c r="AF33" s="201">
        <f t="shared" si="19"/>
        <v>1106</v>
      </c>
      <c r="AG33" s="202">
        <f t="shared" si="20"/>
        <v>143093</v>
      </c>
      <c r="AH33" s="200">
        <f t="shared" si="21"/>
        <v>1388.3314759922901</v>
      </c>
      <c r="AI33" s="201">
        <f t="shared" si="22"/>
        <v>5098078.3579044584</v>
      </c>
      <c r="AJ33" s="201">
        <f t="shared" si="23"/>
        <v>105765.21490812</v>
      </c>
      <c r="AK33" s="202">
        <f t="shared" si="24"/>
        <v>10038764.556004455</v>
      </c>
      <c r="AL33" s="194">
        <f t="shared" si="25"/>
        <v>277.66629519845799</v>
      </c>
      <c r="AM33" s="195">
        <f t="shared" si="26"/>
        <v>82.089371987383402</v>
      </c>
      <c r="AN33" s="195">
        <f t="shared" si="27"/>
        <v>95.628584907884274</v>
      </c>
      <c r="AO33" s="196">
        <f t="shared" si="28"/>
        <v>70.155525120057973</v>
      </c>
      <c r="AP33" s="188">
        <f t="shared" si="29"/>
        <v>0</v>
      </c>
      <c r="AQ33" s="189">
        <f t="shared" si="30"/>
        <v>1.1258985820323808E-3</v>
      </c>
      <c r="AR33" s="189">
        <f t="shared" si="31"/>
        <v>0</v>
      </c>
      <c r="AS33" s="190">
        <f t="shared" si="32"/>
        <v>1.0902983373792807E-3</v>
      </c>
      <c r="AT33" s="196">
        <f>IF(ISERROR(VLOOKUP(A33,Mandatory!A:A,1,FALSE)),0,1)</f>
        <v>1</v>
      </c>
    </row>
    <row r="34" spans="1:46">
      <c r="A34">
        <v>191</v>
      </c>
      <c r="B34" s="185">
        <f>VLOOKUP(A34,OPATT_Activities!A:J,3,FALSE)</f>
        <v>4891</v>
      </c>
      <c r="C34" s="186">
        <f>VLOOKUP(A34,OPATT_Activities!A:J,4,FALSE)</f>
        <v>165464</v>
      </c>
      <c r="D34" s="186">
        <f>VLOOKUP(A34,OPATT_Activities!A:J,5,FALSE)</f>
        <v>7864</v>
      </c>
      <c r="E34" s="187">
        <f>VLOOKUP(A34,OPATT_Activities!A:J,6,FALSE)</f>
        <v>305527</v>
      </c>
      <c r="F34" s="185">
        <f>VLOOKUP(A34,OPATT_Cost_Quantum!A:F,2,FALSE)</f>
        <v>662020.59616155596</v>
      </c>
      <c r="G34" s="186">
        <f>VLOOKUP(A34,OPATT_Cost_Quantum!A:F,3,FALSE)</f>
        <v>25105594.007750601</v>
      </c>
      <c r="H34" s="186">
        <f>VLOOKUP(A34,OPATT_Cost_Quantum!A:F,4,FALSE)</f>
        <v>720747.65138732898</v>
      </c>
      <c r="I34" s="187">
        <f>VLOOKUP(A34,OPATT_Cost_Quantum!A:F,5,FALSE)</f>
        <v>32506125.8965303</v>
      </c>
      <c r="J34" s="179">
        <f t="shared" si="12"/>
        <v>135.35485507290042</v>
      </c>
      <c r="K34" s="180">
        <f t="shared" si="12"/>
        <v>151.72843644388266</v>
      </c>
      <c r="L34" s="180">
        <f t="shared" si="12"/>
        <v>91.651532475499621</v>
      </c>
      <c r="M34" s="181">
        <f t="shared" si="12"/>
        <v>106.39362772039885</v>
      </c>
      <c r="N34" s="173">
        <f>IF(ISERROR(VLOOKUP($A34,'HRGs to TFCs % Split'!$A$8:$I$117,6,0)),0,VLOOKUP($A34,'HRGs to TFCs % Split'!$A$8:$I$117,6,0))</f>
        <v>0</v>
      </c>
      <c r="O34" s="174">
        <f>IF(ISERROR(VLOOKUP($A34,'HRGs to TFCs % Split'!$A$8:$I$117,6,0)),0,VLOOKUP($A34,'HRGs to TFCs % Split'!$A$8:$I$117,7,0))</f>
        <v>6.1732907701180233E-4</v>
      </c>
      <c r="P34" s="174">
        <f>IF(ISERROR(VLOOKUP($A34,'HRGs to TFCs % Split'!$A$8:$I$117,6,0)),0,VLOOKUP($A34,'HRGs to TFCs % Split'!$A$8:$I$117,8,0))</f>
        <v>0</v>
      </c>
      <c r="Q34" s="175">
        <f>IF(ISERROR(VLOOKUP($A34,'HRGs to TFCs % Split'!$A$8:$I$117,6,0)),0,VLOOKUP($A34,'HRGs to TFCs % Split'!$A$8:$I$117,9,0))</f>
        <v>2.9123754542279287E-3</v>
      </c>
      <c r="R34" s="167">
        <f t="shared" si="3"/>
        <v>0</v>
      </c>
      <c r="S34" s="168">
        <f t="shared" si="4"/>
        <v>974</v>
      </c>
      <c r="T34" s="168">
        <f t="shared" si="5"/>
        <v>0</v>
      </c>
      <c r="U34" s="169">
        <f t="shared" si="6"/>
        <v>4597</v>
      </c>
      <c r="V34" s="173">
        <f>IF(ISERROR(VLOOKUP($A34,'HRGs to TFCs % Split'!$A$8:$AA$117,6,0)),0,VLOOKUP($A34,'HRGs to TFCs % Split'!$A$8:$AA$117,14,0))</f>
        <v>0</v>
      </c>
      <c r="W34" s="174">
        <f>IF(ISERROR(VLOOKUP($A34,'HRGs to TFCs % Split'!$A$8:$AA$117,6,0)),0,VLOOKUP($A34,'HRGs to TFCs % Split'!$A$8:$AA$117,15,0))</f>
        <v>7.6236251061143393E-4</v>
      </c>
      <c r="X34" s="174">
        <f>IF(ISERROR(VLOOKUP($A34,'HRGs to TFCs % Split'!$A$8:$AA$117,6,0)),0,VLOOKUP($A34,'HRGs to TFCs % Split'!$A$8:$AA$117,16,0))</f>
        <v>0</v>
      </c>
      <c r="Y34" s="175">
        <f>IF(ISERROR(VLOOKUP($A34,'HRGs to TFCs % Split'!$A$8:$AA$117,6,0)),0,VLOOKUP($A34,'HRGs to TFCs % Split'!$A$8:$AA$117,17,0))</f>
        <v>3.9123971920796263E-3</v>
      </c>
      <c r="Z34" s="167">
        <f t="shared" si="13"/>
        <v>0</v>
      </c>
      <c r="AA34" s="168">
        <f t="shared" si="14"/>
        <v>134853.63859666712</v>
      </c>
      <c r="AB34" s="168">
        <f t="shared" si="15"/>
        <v>0</v>
      </c>
      <c r="AC34" s="169">
        <f t="shared" si="16"/>
        <v>692060.52192174539</v>
      </c>
      <c r="AD34" s="200">
        <f t="shared" si="17"/>
        <v>4891</v>
      </c>
      <c r="AE34" s="201">
        <f t="shared" si="18"/>
        <v>166438</v>
      </c>
      <c r="AF34" s="201">
        <f t="shared" si="19"/>
        <v>7864</v>
      </c>
      <c r="AG34" s="202">
        <f t="shared" si="20"/>
        <v>310124</v>
      </c>
      <c r="AH34" s="200">
        <f t="shared" si="21"/>
        <v>662020.59616155596</v>
      </c>
      <c r="AI34" s="201">
        <f t="shared" si="22"/>
        <v>25240447.646347269</v>
      </c>
      <c r="AJ34" s="201">
        <f t="shared" si="23"/>
        <v>720747.65138732898</v>
      </c>
      <c r="AK34" s="202">
        <f t="shared" si="24"/>
        <v>33198186.418452047</v>
      </c>
      <c r="AL34" s="194">
        <f t="shared" si="25"/>
        <v>135.35485507290042</v>
      </c>
      <c r="AM34" s="195">
        <f t="shared" si="26"/>
        <v>151.65075070805506</v>
      </c>
      <c r="AN34" s="195">
        <f t="shared" si="27"/>
        <v>91.651532475499621</v>
      </c>
      <c r="AO34" s="196">
        <f t="shared" si="28"/>
        <v>107.04810468861503</v>
      </c>
      <c r="AP34" s="188">
        <f t="shared" si="29"/>
        <v>0</v>
      </c>
      <c r="AQ34" s="189">
        <f t="shared" si="30"/>
        <v>-5.1200511682814032E-4</v>
      </c>
      <c r="AR34" s="189">
        <f t="shared" si="31"/>
        <v>0</v>
      </c>
      <c r="AS34" s="190">
        <f t="shared" si="32"/>
        <v>6.151467735794558E-3</v>
      </c>
      <c r="AT34" s="196">
        <f>IF(ISERROR(VLOOKUP(A34,Mandatory!A:A,1,FALSE)),0,1)</f>
        <v>1</v>
      </c>
    </row>
    <row r="35" spans="1:46">
      <c r="A35">
        <v>192</v>
      </c>
      <c r="B35" s="185">
        <f>VLOOKUP(A35,OPATT_Activities!A:J,3,FALSE)</f>
        <v>0</v>
      </c>
      <c r="C35" s="186">
        <f>VLOOKUP(A35,OPATT_Activities!A:J,4,FALSE)</f>
        <v>276</v>
      </c>
      <c r="D35" s="186">
        <f>VLOOKUP(A35,OPATT_Activities!A:J,5,FALSE)</f>
        <v>0</v>
      </c>
      <c r="E35" s="187">
        <f>VLOOKUP(A35,OPATT_Activities!A:J,6,FALSE)</f>
        <v>839</v>
      </c>
      <c r="F35" s="185">
        <f>VLOOKUP(A35,OPATT_Cost_Quantum!A:F,2,FALSE)</f>
        <v>0</v>
      </c>
      <c r="G35" s="186">
        <f>VLOOKUP(A35,OPATT_Cost_Quantum!A:F,3,FALSE)</f>
        <v>96704.642184486496</v>
      </c>
      <c r="H35" s="186">
        <f>VLOOKUP(A35,OPATT_Cost_Quantum!A:F,4,FALSE)</f>
        <v>0</v>
      </c>
      <c r="I35" s="187">
        <f>VLOOKUP(A35,OPATT_Cost_Quantum!A:F,5,FALSE)</f>
        <v>169191.34104057599</v>
      </c>
      <c r="J35" s="179">
        <f t="shared" si="12"/>
        <v>0</v>
      </c>
      <c r="K35" s="180">
        <f t="shared" si="12"/>
        <v>350.37913834958874</v>
      </c>
      <c r="L35" s="180">
        <f t="shared" si="12"/>
        <v>0</v>
      </c>
      <c r="M35" s="181">
        <f t="shared" si="12"/>
        <v>201.65833258709893</v>
      </c>
      <c r="N35" s="173">
        <f>IF(ISERROR(VLOOKUP($A35,'HRGs to TFCs % Split'!$A$8:$I$117,6,0)),0,VLOOKUP($A35,'HRGs to TFCs % Split'!$A$8:$I$117,6,0))</f>
        <v>0</v>
      </c>
      <c r="O35" s="174">
        <f>IF(ISERROR(VLOOKUP($A35,'HRGs to TFCs % Split'!$A$8:$I$117,6,0)),0,VLOOKUP($A35,'HRGs to TFCs % Split'!$A$8:$I$117,7,0))</f>
        <v>0</v>
      </c>
      <c r="P35" s="174">
        <f>IF(ISERROR(VLOOKUP($A35,'HRGs to TFCs % Split'!$A$8:$I$117,6,0)),0,VLOOKUP($A35,'HRGs to TFCs % Split'!$A$8:$I$117,8,0))</f>
        <v>0</v>
      </c>
      <c r="Q35" s="175">
        <f>IF(ISERROR(VLOOKUP($A35,'HRGs to TFCs % Split'!$A$8:$I$117,6,0)),0,VLOOKUP($A35,'HRGs to TFCs % Split'!$A$8:$I$117,9,0))</f>
        <v>0</v>
      </c>
      <c r="R35" s="167">
        <f t="shared" si="3"/>
        <v>0</v>
      </c>
      <c r="S35" s="168">
        <f t="shared" si="4"/>
        <v>0</v>
      </c>
      <c r="T35" s="168">
        <f t="shared" si="5"/>
        <v>0</v>
      </c>
      <c r="U35" s="169">
        <f t="shared" si="6"/>
        <v>0</v>
      </c>
      <c r="V35" s="173">
        <f>IF(ISERROR(VLOOKUP($A35,'HRGs to TFCs % Split'!$A$8:$AA$117,6,0)),0,VLOOKUP($A35,'HRGs to TFCs % Split'!$A$8:$AA$117,14,0))</f>
        <v>0</v>
      </c>
      <c r="W35" s="174">
        <f>IF(ISERROR(VLOOKUP($A35,'HRGs to TFCs % Split'!$A$8:$AA$117,6,0)),0,VLOOKUP($A35,'HRGs to TFCs % Split'!$A$8:$AA$117,15,0))</f>
        <v>0</v>
      </c>
      <c r="X35" s="174">
        <f>IF(ISERROR(VLOOKUP($A35,'HRGs to TFCs % Split'!$A$8:$AA$117,6,0)),0,VLOOKUP($A35,'HRGs to TFCs % Split'!$A$8:$AA$117,16,0))</f>
        <v>0</v>
      </c>
      <c r="Y35" s="175">
        <f>IF(ISERROR(VLOOKUP($A35,'HRGs to TFCs % Split'!$A$8:$AA$117,6,0)),0,VLOOKUP($A35,'HRGs to TFCs % Split'!$A$8:$AA$117,17,0))</f>
        <v>0</v>
      </c>
      <c r="Z35" s="167">
        <f t="shared" si="13"/>
        <v>0</v>
      </c>
      <c r="AA35" s="168">
        <f t="shared" si="14"/>
        <v>0</v>
      </c>
      <c r="AB35" s="168">
        <f t="shared" si="15"/>
        <v>0</v>
      </c>
      <c r="AC35" s="169">
        <f t="shared" si="16"/>
        <v>0</v>
      </c>
      <c r="AD35" s="200">
        <f t="shared" si="17"/>
        <v>0</v>
      </c>
      <c r="AE35" s="201">
        <f t="shared" si="18"/>
        <v>276</v>
      </c>
      <c r="AF35" s="201">
        <f t="shared" si="19"/>
        <v>0</v>
      </c>
      <c r="AG35" s="202">
        <f t="shared" si="20"/>
        <v>839</v>
      </c>
      <c r="AH35" s="200">
        <f t="shared" si="21"/>
        <v>0</v>
      </c>
      <c r="AI35" s="201">
        <f t="shared" si="22"/>
        <v>96704.642184486496</v>
      </c>
      <c r="AJ35" s="201">
        <f t="shared" si="23"/>
        <v>0</v>
      </c>
      <c r="AK35" s="202">
        <f t="shared" si="24"/>
        <v>169191.34104057599</v>
      </c>
      <c r="AL35" s="194">
        <f t="shared" si="25"/>
        <v>0</v>
      </c>
      <c r="AM35" s="195">
        <f t="shared" si="26"/>
        <v>350.37913834958874</v>
      </c>
      <c r="AN35" s="195">
        <f t="shared" si="27"/>
        <v>0</v>
      </c>
      <c r="AO35" s="196">
        <f t="shared" si="28"/>
        <v>201.65833258709893</v>
      </c>
      <c r="AP35" s="188">
        <f t="shared" si="29"/>
        <v>0</v>
      </c>
      <c r="AQ35" s="189">
        <f t="shared" si="30"/>
        <v>0</v>
      </c>
      <c r="AR35" s="189">
        <f t="shared" si="31"/>
        <v>0</v>
      </c>
      <c r="AS35" s="190">
        <f t="shared" si="32"/>
        <v>0</v>
      </c>
      <c r="AT35" s="196">
        <f>IF(ISERROR(VLOOKUP(A35,Mandatory!A:A,1,FALSE)),0,1)</f>
        <v>0</v>
      </c>
    </row>
    <row r="36" spans="1:46">
      <c r="A36">
        <v>211</v>
      </c>
      <c r="B36" s="185">
        <f>VLOOKUP(A36,OPATT_Activities!A:J,3,FALSE)</f>
        <v>340</v>
      </c>
      <c r="C36" s="186">
        <f>VLOOKUP(A36,OPATT_Activities!A:J,4,FALSE)</f>
        <v>11755</v>
      </c>
      <c r="D36" s="186">
        <f>VLOOKUP(A36,OPATT_Activities!A:J,5,FALSE)</f>
        <v>861</v>
      </c>
      <c r="E36" s="187">
        <f>VLOOKUP(A36,OPATT_Activities!A:J,6,FALSE)</f>
        <v>21762</v>
      </c>
      <c r="F36" s="185">
        <f>VLOOKUP(A36,OPATT_Cost_Quantum!A:F,2,FALSE)</f>
        <v>86731.279687968796</v>
      </c>
      <c r="G36" s="186">
        <f>VLOOKUP(A36,OPATT_Cost_Quantum!A:F,3,FALSE)</f>
        <v>1476723.9795796501</v>
      </c>
      <c r="H36" s="186">
        <f>VLOOKUP(A36,OPATT_Cost_Quantum!A:F,4,FALSE)</f>
        <v>206128.49436163399</v>
      </c>
      <c r="I36" s="187">
        <f>VLOOKUP(A36,OPATT_Cost_Quantum!A:F,5,FALSE)</f>
        <v>2257447.6849611802</v>
      </c>
      <c r="J36" s="179">
        <f t="shared" si="12"/>
        <v>255.09199908226117</v>
      </c>
      <c r="K36" s="180">
        <f t="shared" si="12"/>
        <v>125.62517903697577</v>
      </c>
      <c r="L36" s="180">
        <f t="shared" si="12"/>
        <v>239.40591679632286</v>
      </c>
      <c r="M36" s="181">
        <f t="shared" si="12"/>
        <v>103.7334659020853</v>
      </c>
      <c r="N36" s="173">
        <f>IF(ISERROR(VLOOKUP($A36,'HRGs to TFCs % Split'!$A$8:$I$117,6,0)),0,VLOOKUP($A36,'HRGs to TFCs % Split'!$A$8:$I$117,6,0))</f>
        <v>0</v>
      </c>
      <c r="O36" s="174">
        <f>IF(ISERROR(VLOOKUP($A36,'HRGs to TFCs % Split'!$A$8:$I$117,6,0)),0,VLOOKUP($A36,'HRGs to TFCs % Split'!$A$8:$I$117,7,0))</f>
        <v>1.8239268184439615E-4</v>
      </c>
      <c r="P36" s="174">
        <f>IF(ISERROR(VLOOKUP($A36,'HRGs to TFCs % Split'!$A$8:$I$117,6,0)),0,VLOOKUP($A36,'HRGs to TFCs % Split'!$A$8:$I$117,8,0))</f>
        <v>0</v>
      </c>
      <c r="Q36" s="175">
        <f>IF(ISERROR(VLOOKUP($A36,'HRGs to TFCs % Split'!$A$8:$I$117,6,0)),0,VLOOKUP($A36,'HRGs to TFCs % Split'!$A$8:$I$117,9,0))</f>
        <v>1.095094522976678E-3</v>
      </c>
      <c r="R36" s="167">
        <f t="shared" si="3"/>
        <v>0</v>
      </c>
      <c r="S36" s="168">
        <f t="shared" si="4"/>
        <v>288</v>
      </c>
      <c r="T36" s="168">
        <f t="shared" si="5"/>
        <v>0</v>
      </c>
      <c r="U36" s="169">
        <f t="shared" si="6"/>
        <v>1728</v>
      </c>
      <c r="V36" s="173">
        <f>IF(ISERROR(VLOOKUP($A36,'HRGs to TFCs % Split'!$A$8:$AA$117,6,0)),0,VLOOKUP($A36,'HRGs to TFCs % Split'!$A$8:$AA$117,14,0))</f>
        <v>0</v>
      </c>
      <c r="W36" s="174">
        <f>IF(ISERROR(VLOOKUP($A36,'HRGs to TFCs % Split'!$A$8:$AA$117,6,0)),0,VLOOKUP($A36,'HRGs to TFCs % Split'!$A$8:$AA$117,15,0))</f>
        <v>1.6900678445733871E-3</v>
      </c>
      <c r="X36" s="174">
        <f>IF(ISERROR(VLOOKUP($A36,'HRGs to TFCs % Split'!$A$8:$AA$117,6,0)),0,VLOOKUP($A36,'HRGs to TFCs % Split'!$A$8:$AA$117,16,0))</f>
        <v>0</v>
      </c>
      <c r="Y36" s="175">
        <f>IF(ISERROR(VLOOKUP($A36,'HRGs to TFCs % Split'!$A$8:$AA$117,6,0)),0,VLOOKUP($A36,'HRGs to TFCs % Split'!$A$8:$AA$117,17,0))</f>
        <v>9.2965761148680413E-3</v>
      </c>
      <c r="Z36" s="167">
        <f t="shared" si="13"/>
        <v>0</v>
      </c>
      <c r="AA36" s="168">
        <f t="shared" si="14"/>
        <v>298954.62479281245</v>
      </c>
      <c r="AB36" s="168">
        <f t="shared" si="15"/>
        <v>0</v>
      </c>
      <c r="AC36" s="169">
        <f t="shared" si="16"/>
        <v>1644463.2286224854</v>
      </c>
      <c r="AD36" s="200">
        <f t="shared" si="17"/>
        <v>340</v>
      </c>
      <c r="AE36" s="201">
        <f t="shared" si="18"/>
        <v>12043</v>
      </c>
      <c r="AF36" s="201">
        <f t="shared" si="19"/>
        <v>861</v>
      </c>
      <c r="AG36" s="202">
        <f t="shared" si="20"/>
        <v>23490</v>
      </c>
      <c r="AH36" s="200">
        <f t="shared" si="21"/>
        <v>86731.279687968796</v>
      </c>
      <c r="AI36" s="201">
        <f t="shared" si="22"/>
        <v>1775678.6043724625</v>
      </c>
      <c r="AJ36" s="201">
        <f t="shared" si="23"/>
        <v>206128.49436163399</v>
      </c>
      <c r="AK36" s="202">
        <f t="shared" si="24"/>
        <v>3901910.9135836656</v>
      </c>
      <c r="AL36" s="194">
        <f t="shared" si="25"/>
        <v>255.09199908226117</v>
      </c>
      <c r="AM36" s="195">
        <f t="shared" si="26"/>
        <v>147.44487290313563</v>
      </c>
      <c r="AN36" s="195">
        <f t="shared" si="27"/>
        <v>239.40591679632286</v>
      </c>
      <c r="AO36" s="196">
        <f t="shared" si="28"/>
        <v>166.1094471512842</v>
      </c>
      <c r="AP36" s="188">
        <f t="shared" si="29"/>
        <v>0</v>
      </c>
      <c r="AQ36" s="189">
        <f t="shared" si="30"/>
        <v>0.17368885786612553</v>
      </c>
      <c r="AR36" s="189">
        <f t="shared" si="31"/>
        <v>0</v>
      </c>
      <c r="AS36" s="190">
        <f t="shared" si="32"/>
        <v>0.60131010476480173</v>
      </c>
      <c r="AT36" s="196">
        <f>IF(ISERROR(VLOOKUP(A36,Mandatory!A:A,1,FALSE)),0,1)</f>
        <v>1</v>
      </c>
    </row>
    <row r="37" spans="1:46">
      <c r="A37">
        <v>212</v>
      </c>
      <c r="B37" s="185">
        <f>VLOOKUP(A37,OPATT_Activities!A:J,3,FALSE)</f>
        <v>13</v>
      </c>
      <c r="C37" s="186">
        <f>VLOOKUP(A37,OPATT_Activities!A:J,4,FALSE)</f>
        <v>83</v>
      </c>
      <c r="D37" s="186">
        <f>VLOOKUP(A37,OPATT_Activities!A:J,5,FALSE)</f>
        <v>198</v>
      </c>
      <c r="E37" s="187">
        <f>VLOOKUP(A37,OPATT_Activities!A:J,6,FALSE)</f>
        <v>1007</v>
      </c>
      <c r="F37" s="185">
        <f>VLOOKUP(A37,OPATT_Cost_Quantum!A:F,2,FALSE)</f>
        <v>3300.4352067679001</v>
      </c>
      <c r="G37" s="186">
        <f>VLOOKUP(A37,OPATT_Cost_Quantum!A:F,3,FALSE)</f>
        <v>27500.394161993801</v>
      </c>
      <c r="H37" s="186">
        <f>VLOOKUP(A37,OPATT_Cost_Quantum!A:F,4,FALSE)</f>
        <v>46345.894016728002</v>
      </c>
      <c r="I37" s="187">
        <f>VLOOKUP(A37,OPATT_Cost_Quantum!A:F,5,FALSE)</f>
        <v>390773.210629048</v>
      </c>
      <c r="J37" s="179">
        <f t="shared" si="12"/>
        <v>253.87963128983847</v>
      </c>
      <c r="K37" s="180">
        <f t="shared" si="12"/>
        <v>331.33005014450362</v>
      </c>
      <c r="L37" s="180">
        <f t="shared" si="12"/>
        <v>234.07017180165658</v>
      </c>
      <c r="M37" s="181">
        <f t="shared" si="12"/>
        <v>388.05681293847863</v>
      </c>
      <c r="N37" s="173">
        <f>IF(ISERROR(VLOOKUP($A37,'HRGs to TFCs % Split'!$A$8:$I$117,6,0)),0,VLOOKUP($A37,'HRGs to TFCs % Split'!$A$8:$I$117,6,0))</f>
        <v>0</v>
      </c>
      <c r="O37" s="174">
        <f>IF(ISERROR(VLOOKUP($A37,'HRGs to TFCs % Split'!$A$8:$I$117,6,0)),0,VLOOKUP($A37,'HRGs to TFCs % Split'!$A$8:$I$117,7,0))</f>
        <v>0</v>
      </c>
      <c r="P37" s="174">
        <f>IF(ISERROR(VLOOKUP($A37,'HRGs to TFCs % Split'!$A$8:$I$117,6,0)),0,VLOOKUP($A37,'HRGs to TFCs % Split'!$A$8:$I$117,8,0))</f>
        <v>0</v>
      </c>
      <c r="Q37" s="175">
        <f>IF(ISERROR(VLOOKUP($A37,'HRGs to TFCs % Split'!$A$8:$I$117,6,0)),0,VLOOKUP($A37,'HRGs to TFCs % Split'!$A$8:$I$117,9,0))</f>
        <v>0</v>
      </c>
      <c r="R37" s="167">
        <f t="shared" si="3"/>
        <v>0</v>
      </c>
      <c r="S37" s="168">
        <f t="shared" si="4"/>
        <v>0</v>
      </c>
      <c r="T37" s="168">
        <f t="shared" si="5"/>
        <v>0</v>
      </c>
      <c r="U37" s="169">
        <f t="shared" si="6"/>
        <v>0</v>
      </c>
      <c r="V37" s="173">
        <f>IF(ISERROR(VLOOKUP($A37,'HRGs to TFCs % Split'!$A$8:$AA$117,6,0)),0,VLOOKUP($A37,'HRGs to TFCs % Split'!$A$8:$AA$117,14,0))</f>
        <v>0</v>
      </c>
      <c r="W37" s="174">
        <f>IF(ISERROR(VLOOKUP($A37,'HRGs to TFCs % Split'!$A$8:$AA$117,6,0)),0,VLOOKUP($A37,'HRGs to TFCs % Split'!$A$8:$AA$117,15,0))</f>
        <v>0</v>
      </c>
      <c r="X37" s="174">
        <f>IF(ISERROR(VLOOKUP($A37,'HRGs to TFCs % Split'!$A$8:$AA$117,6,0)),0,VLOOKUP($A37,'HRGs to TFCs % Split'!$A$8:$AA$117,16,0))</f>
        <v>0</v>
      </c>
      <c r="Y37" s="175">
        <f>IF(ISERROR(VLOOKUP($A37,'HRGs to TFCs % Split'!$A$8:$AA$117,6,0)),0,VLOOKUP($A37,'HRGs to TFCs % Split'!$A$8:$AA$117,17,0))</f>
        <v>0</v>
      </c>
      <c r="Z37" s="167">
        <f t="shared" si="13"/>
        <v>0</v>
      </c>
      <c r="AA37" s="168">
        <f t="shared" si="14"/>
        <v>0</v>
      </c>
      <c r="AB37" s="168">
        <f t="shared" si="15"/>
        <v>0</v>
      </c>
      <c r="AC37" s="169">
        <f t="shared" si="16"/>
        <v>0</v>
      </c>
      <c r="AD37" s="200">
        <f t="shared" si="17"/>
        <v>13</v>
      </c>
      <c r="AE37" s="201">
        <f t="shared" si="18"/>
        <v>83</v>
      </c>
      <c r="AF37" s="201">
        <f t="shared" si="19"/>
        <v>198</v>
      </c>
      <c r="AG37" s="202">
        <f t="shared" si="20"/>
        <v>1007</v>
      </c>
      <c r="AH37" s="200">
        <f t="shared" si="21"/>
        <v>3300.4352067679001</v>
      </c>
      <c r="AI37" s="201">
        <f t="shared" si="22"/>
        <v>27500.394161993801</v>
      </c>
      <c r="AJ37" s="201">
        <f t="shared" si="23"/>
        <v>46345.894016728002</v>
      </c>
      <c r="AK37" s="202">
        <f t="shared" si="24"/>
        <v>390773.210629048</v>
      </c>
      <c r="AL37" s="194">
        <f t="shared" si="25"/>
        <v>253.87963128983847</v>
      </c>
      <c r="AM37" s="195">
        <f t="shared" si="26"/>
        <v>331.33005014450362</v>
      </c>
      <c r="AN37" s="195">
        <f t="shared" si="27"/>
        <v>234.07017180165658</v>
      </c>
      <c r="AO37" s="196">
        <f t="shared" si="28"/>
        <v>388.05681293847863</v>
      </c>
      <c r="AP37" s="188">
        <f t="shared" si="29"/>
        <v>0</v>
      </c>
      <c r="AQ37" s="189">
        <f t="shared" si="30"/>
        <v>0</v>
      </c>
      <c r="AR37" s="189">
        <f t="shared" si="31"/>
        <v>0</v>
      </c>
      <c r="AS37" s="190">
        <f t="shared" si="32"/>
        <v>0</v>
      </c>
      <c r="AT37" s="196">
        <f>IF(ISERROR(VLOOKUP(A37,Mandatory!A:A,1,FALSE)),0,1)</f>
        <v>0</v>
      </c>
    </row>
    <row r="38" spans="1:46">
      <c r="A38">
        <v>213</v>
      </c>
      <c r="B38" s="185">
        <f>VLOOKUP(A38,OPATT_Activities!A:J,3,FALSE)</f>
        <v>0</v>
      </c>
      <c r="C38" s="186">
        <f>VLOOKUP(A38,OPATT_Activities!A:J,4,FALSE)</f>
        <v>22</v>
      </c>
      <c r="D38" s="186">
        <f>VLOOKUP(A38,OPATT_Activities!A:J,5,FALSE)</f>
        <v>23</v>
      </c>
      <c r="E38" s="187">
        <f>VLOOKUP(A38,OPATT_Activities!A:J,6,FALSE)</f>
        <v>22</v>
      </c>
      <c r="F38" s="185">
        <f>VLOOKUP(A38,OPATT_Cost_Quantum!A:F,2,FALSE)</f>
        <v>0</v>
      </c>
      <c r="G38" s="186">
        <f>VLOOKUP(A38,OPATT_Cost_Quantum!A:F,3,FALSE)</f>
        <v>1702.7843026442899</v>
      </c>
      <c r="H38" s="186">
        <f>VLOOKUP(A38,OPATT_Cost_Quantum!A:F,4,FALSE)</f>
        <v>2342.3468278001601</v>
      </c>
      <c r="I38" s="187">
        <f>VLOOKUP(A38,OPATT_Cost_Quantum!A:F,5,FALSE)</f>
        <v>1702.7843026442899</v>
      </c>
      <c r="J38" s="179">
        <f t="shared" si="12"/>
        <v>0</v>
      </c>
      <c r="K38" s="180">
        <f t="shared" si="12"/>
        <v>77.399286483831361</v>
      </c>
      <c r="L38" s="180">
        <f t="shared" si="12"/>
        <v>101.84116642609392</v>
      </c>
      <c r="M38" s="181">
        <f t="shared" si="12"/>
        <v>77.399286483831361</v>
      </c>
      <c r="N38" s="173">
        <f>IF(ISERROR(VLOOKUP($A38,'HRGs to TFCs % Split'!$A$8:$I$117,6,0)),0,VLOOKUP($A38,'HRGs to TFCs % Split'!$A$8:$I$117,6,0))</f>
        <v>0</v>
      </c>
      <c r="O38" s="174">
        <f>IF(ISERROR(VLOOKUP($A38,'HRGs to TFCs % Split'!$A$8:$I$117,6,0)),0,VLOOKUP($A38,'HRGs to TFCs % Split'!$A$8:$I$117,7,0))</f>
        <v>1.476863820602398E-6</v>
      </c>
      <c r="P38" s="174">
        <f>IF(ISERROR(VLOOKUP($A38,'HRGs to TFCs % Split'!$A$8:$I$117,6,0)),0,VLOOKUP($A38,'HRGs to TFCs % Split'!$A$8:$I$117,8,0))</f>
        <v>0</v>
      </c>
      <c r="Q38" s="175">
        <f>IF(ISERROR(VLOOKUP($A38,'HRGs to TFCs % Split'!$A$8:$I$117,6,0)),0,VLOOKUP($A38,'HRGs to TFCs % Split'!$A$8:$I$117,9,0))</f>
        <v>7.3843191030119901E-7</v>
      </c>
      <c r="R38" s="167">
        <f t="shared" si="3"/>
        <v>0</v>
      </c>
      <c r="S38" s="168">
        <f t="shared" si="4"/>
        <v>2</v>
      </c>
      <c r="T38" s="168">
        <f t="shared" si="5"/>
        <v>0</v>
      </c>
      <c r="U38" s="169">
        <f t="shared" si="6"/>
        <v>1</v>
      </c>
      <c r="V38" s="173">
        <f>IF(ISERROR(VLOOKUP($A38,'HRGs to TFCs % Split'!$A$8:$AA$117,6,0)),0,VLOOKUP($A38,'HRGs to TFCs % Split'!$A$8:$AA$117,14,0))</f>
        <v>0</v>
      </c>
      <c r="W38" s="174">
        <f>IF(ISERROR(VLOOKUP($A38,'HRGs to TFCs % Split'!$A$8:$AA$117,6,0)),0,VLOOKUP($A38,'HRGs to TFCs % Split'!$A$8:$AA$117,15,0))</f>
        <v>1.7929179907079805E-6</v>
      </c>
      <c r="X38" s="174">
        <f>IF(ISERROR(VLOOKUP($A38,'HRGs to TFCs % Split'!$A$8:$AA$117,6,0)),0,VLOOKUP($A38,'HRGs to TFCs % Split'!$A$8:$AA$117,16,0))</f>
        <v>0</v>
      </c>
      <c r="Y38" s="175">
        <f>IF(ISERROR(VLOOKUP($A38,'HRGs to TFCs % Split'!$A$8:$AA$117,6,0)),0,VLOOKUP($A38,'HRGs to TFCs % Split'!$A$8:$AA$117,17,0))</f>
        <v>8.5796190676460316E-7</v>
      </c>
      <c r="Z38" s="167">
        <f t="shared" si="13"/>
        <v>0</v>
      </c>
      <c r="AA38" s="168">
        <f t="shared" si="14"/>
        <v>317.14769730542196</v>
      </c>
      <c r="AB38" s="168">
        <f t="shared" si="15"/>
        <v>0</v>
      </c>
      <c r="AC38" s="169">
        <f t="shared" si="16"/>
        <v>151.76413227841891</v>
      </c>
      <c r="AD38" s="200">
        <f t="shared" si="17"/>
        <v>0</v>
      </c>
      <c r="AE38" s="201">
        <f t="shared" si="18"/>
        <v>24</v>
      </c>
      <c r="AF38" s="201">
        <f t="shared" si="19"/>
        <v>23</v>
      </c>
      <c r="AG38" s="202">
        <f t="shared" si="20"/>
        <v>23</v>
      </c>
      <c r="AH38" s="200">
        <f t="shared" si="21"/>
        <v>0</v>
      </c>
      <c r="AI38" s="201">
        <f t="shared" si="22"/>
        <v>2019.931999949712</v>
      </c>
      <c r="AJ38" s="201">
        <f t="shared" si="23"/>
        <v>2342.3468278001601</v>
      </c>
      <c r="AK38" s="202">
        <f t="shared" si="24"/>
        <v>1854.5484349227088</v>
      </c>
      <c r="AL38" s="194">
        <f t="shared" si="25"/>
        <v>0</v>
      </c>
      <c r="AM38" s="195">
        <f t="shared" si="26"/>
        <v>84.163833331237996</v>
      </c>
      <c r="AN38" s="195">
        <f t="shared" si="27"/>
        <v>101.84116642609392</v>
      </c>
      <c r="AO38" s="196">
        <f t="shared" si="28"/>
        <v>80.632540648813432</v>
      </c>
      <c r="AP38" s="188">
        <f t="shared" si="29"/>
        <v>0</v>
      </c>
      <c r="AQ38" s="189">
        <f t="shared" si="30"/>
        <v>8.739805177428539E-2</v>
      </c>
      <c r="AR38" s="189">
        <f t="shared" si="31"/>
        <v>0</v>
      </c>
      <c r="AS38" s="190">
        <f t="shared" si="32"/>
        <v>4.1773694718199916E-2</v>
      </c>
      <c r="AT38" s="196">
        <f>IF(ISERROR(VLOOKUP(A38,Mandatory!A:A,1,FALSE)),0,1)</f>
        <v>0</v>
      </c>
    </row>
    <row r="39" spans="1:46">
      <c r="A39">
        <v>214</v>
      </c>
      <c r="B39" s="185">
        <f>VLOOKUP(A39,OPATT_Activities!A:J,3,FALSE)</f>
        <v>3073</v>
      </c>
      <c r="C39" s="186">
        <f>VLOOKUP(A39,OPATT_Activities!A:J,4,FALSE)</f>
        <v>67698</v>
      </c>
      <c r="D39" s="186">
        <f>VLOOKUP(A39,OPATT_Activities!A:J,5,FALSE)</f>
        <v>6819</v>
      </c>
      <c r="E39" s="187">
        <f>VLOOKUP(A39,OPATT_Activities!A:J,6,FALSE)</f>
        <v>108434</v>
      </c>
      <c r="F39" s="185">
        <f>VLOOKUP(A39,OPATT_Cost_Quantum!A:F,2,FALSE)</f>
        <v>361357.75945626001</v>
      </c>
      <c r="G39" s="186">
        <f>VLOOKUP(A39,OPATT_Cost_Quantum!A:F,3,FALSE)</f>
        <v>9100901.67522588</v>
      </c>
      <c r="H39" s="186">
        <f>VLOOKUP(A39,OPATT_Cost_Quantum!A:F,4,FALSE)</f>
        <v>859825.44326008402</v>
      </c>
      <c r="I39" s="187">
        <f>VLOOKUP(A39,OPATT_Cost_Quantum!A:F,5,FALSE)</f>
        <v>11666171.010888999</v>
      </c>
      <c r="J39" s="179">
        <f t="shared" si="12"/>
        <v>117.59120060405468</v>
      </c>
      <c r="K39" s="180">
        <f t="shared" si="12"/>
        <v>134.43383372072853</v>
      </c>
      <c r="L39" s="180">
        <f t="shared" si="12"/>
        <v>126.09260056607772</v>
      </c>
      <c r="M39" s="181">
        <f t="shared" si="12"/>
        <v>107.58775855256653</v>
      </c>
      <c r="N39" s="173">
        <f>IF(ISERROR(VLOOKUP($A39,'HRGs to TFCs % Split'!$A$8:$I$117,6,0)),0,VLOOKUP($A39,'HRGs to TFCs % Split'!$A$8:$I$117,6,0))</f>
        <v>0</v>
      </c>
      <c r="O39" s="174">
        <f>IF(ISERROR(VLOOKUP($A39,'HRGs to TFCs % Split'!$A$8:$I$117,6,0)),0,VLOOKUP($A39,'HRGs to TFCs % Split'!$A$8:$I$117,7,0))</f>
        <v>1.7722365847228777E-4</v>
      </c>
      <c r="P39" s="174">
        <f>IF(ISERROR(VLOOKUP($A39,'HRGs to TFCs % Split'!$A$8:$I$117,6,0)),0,VLOOKUP($A39,'HRGs to TFCs % Split'!$A$8:$I$117,8,0))</f>
        <v>0</v>
      </c>
      <c r="Q39" s="175">
        <f>IF(ISERROR(VLOOKUP($A39,'HRGs to TFCs % Split'!$A$8:$I$117,6,0)),0,VLOOKUP($A39,'HRGs to TFCs % Split'!$A$8:$I$117,9,0))</f>
        <v>8.6913435842451124E-4</v>
      </c>
      <c r="R39" s="167">
        <f t="shared" si="3"/>
        <v>0</v>
      </c>
      <c r="S39" s="168">
        <f t="shared" si="4"/>
        <v>280</v>
      </c>
      <c r="T39" s="168">
        <f t="shared" si="5"/>
        <v>0</v>
      </c>
      <c r="U39" s="169">
        <f t="shared" si="6"/>
        <v>1372</v>
      </c>
      <c r="V39" s="173">
        <f>IF(ISERROR(VLOOKUP($A39,'HRGs to TFCs % Split'!$A$8:$AA$117,6,0)),0,VLOOKUP($A39,'HRGs to TFCs % Split'!$A$8:$AA$117,14,0))</f>
        <v>0</v>
      </c>
      <c r="W39" s="174">
        <f>IF(ISERROR(VLOOKUP($A39,'HRGs to TFCs % Split'!$A$8:$AA$117,6,0)),0,VLOOKUP($A39,'HRGs to TFCs % Split'!$A$8:$AA$117,15,0))</f>
        <v>1.9087871206126131E-4</v>
      </c>
      <c r="X39" s="174">
        <f>IF(ISERROR(VLOOKUP($A39,'HRGs to TFCs % Split'!$A$8:$AA$117,6,0)),0,VLOOKUP($A39,'HRGs to TFCs % Split'!$A$8:$AA$117,16,0))</f>
        <v>0</v>
      </c>
      <c r="Y39" s="175">
        <f>IF(ISERROR(VLOOKUP($A39,'HRGs to TFCs % Split'!$A$8:$AA$117,6,0)),0,VLOOKUP($A39,'HRGs to TFCs % Split'!$A$8:$AA$117,17,0))</f>
        <v>1.1884870668875543E-3</v>
      </c>
      <c r="Z39" s="167">
        <f t="shared" si="13"/>
        <v>0</v>
      </c>
      <c r="AA39" s="168">
        <f t="shared" si="14"/>
        <v>33764.368648534328</v>
      </c>
      <c r="AB39" s="168">
        <f t="shared" si="15"/>
        <v>0</v>
      </c>
      <c r="AC39" s="169">
        <f t="shared" si="16"/>
        <v>210230.43914675864</v>
      </c>
      <c r="AD39" s="200">
        <f t="shared" si="17"/>
        <v>3073</v>
      </c>
      <c r="AE39" s="201">
        <f t="shared" si="18"/>
        <v>67978</v>
      </c>
      <c r="AF39" s="201">
        <f t="shared" si="19"/>
        <v>6819</v>
      </c>
      <c r="AG39" s="202">
        <f t="shared" si="20"/>
        <v>109806</v>
      </c>
      <c r="AH39" s="200">
        <f t="shared" si="21"/>
        <v>361357.75945626001</v>
      </c>
      <c r="AI39" s="201">
        <f t="shared" si="22"/>
        <v>9134666.0438744146</v>
      </c>
      <c r="AJ39" s="201">
        <f t="shared" si="23"/>
        <v>859825.44326008402</v>
      </c>
      <c r="AK39" s="202">
        <f t="shared" si="24"/>
        <v>11876401.450035758</v>
      </c>
      <c r="AL39" s="194">
        <f t="shared" si="25"/>
        <v>117.59120060405468</v>
      </c>
      <c r="AM39" s="195">
        <f t="shared" si="26"/>
        <v>134.37679902136594</v>
      </c>
      <c r="AN39" s="195">
        <f t="shared" si="27"/>
        <v>126.09260056607772</v>
      </c>
      <c r="AO39" s="196">
        <f t="shared" si="28"/>
        <v>108.15803735711854</v>
      </c>
      <c r="AP39" s="188">
        <f t="shared" si="29"/>
        <v>0</v>
      </c>
      <c r="AQ39" s="189">
        <f t="shared" si="30"/>
        <v>-4.2425852022542898E-4</v>
      </c>
      <c r="AR39" s="189">
        <f t="shared" si="31"/>
        <v>0</v>
      </c>
      <c r="AS39" s="190">
        <f t="shared" si="32"/>
        <v>5.3005919281550185E-3</v>
      </c>
      <c r="AT39" s="196">
        <f>IF(ISERROR(VLOOKUP(A39,Mandatory!A:A,1,FALSE)),0,1)</f>
        <v>1</v>
      </c>
    </row>
    <row r="40" spans="1:46">
      <c r="A40">
        <v>215</v>
      </c>
      <c r="B40" s="185">
        <f>VLOOKUP(A40,OPATT_Activities!A:J,3,FALSE)</f>
        <v>2086</v>
      </c>
      <c r="C40" s="186">
        <f>VLOOKUP(A40,OPATT_Activities!A:J,4,FALSE)</f>
        <v>31498</v>
      </c>
      <c r="D40" s="186">
        <f>VLOOKUP(A40,OPATT_Activities!A:J,5,FALSE)</f>
        <v>3389</v>
      </c>
      <c r="E40" s="187">
        <f>VLOOKUP(A40,OPATT_Activities!A:J,6,FALSE)</f>
        <v>49667</v>
      </c>
      <c r="F40" s="185">
        <f>VLOOKUP(A40,OPATT_Cost_Quantum!A:F,2,FALSE)</f>
        <v>282088.14934839401</v>
      </c>
      <c r="G40" s="186">
        <f>VLOOKUP(A40,OPATT_Cost_Quantum!A:F,3,FALSE)</f>
        <v>2765762.6943875402</v>
      </c>
      <c r="H40" s="186">
        <f>VLOOKUP(A40,OPATT_Cost_Quantum!A:F,4,FALSE)</f>
        <v>355949.21852252999</v>
      </c>
      <c r="I40" s="187">
        <f>VLOOKUP(A40,OPATT_Cost_Quantum!A:F,5,FALSE)</f>
        <v>3545399.5963762798</v>
      </c>
      <c r="J40" s="179">
        <f t="shared" si="12"/>
        <v>135.22921828782071</v>
      </c>
      <c r="K40" s="180">
        <f t="shared" si="12"/>
        <v>87.807565381533436</v>
      </c>
      <c r="L40" s="180">
        <f t="shared" si="12"/>
        <v>105.03075199838595</v>
      </c>
      <c r="M40" s="181">
        <f t="shared" si="12"/>
        <v>71.383405407539811</v>
      </c>
      <c r="N40" s="173">
        <f>IF(ISERROR(VLOOKUP($A40,'HRGs to TFCs % Split'!$A$8:$I$117,6,0)),0,VLOOKUP($A40,'HRGs to TFCs % Split'!$A$8:$I$117,6,0))</f>
        <v>0</v>
      </c>
      <c r="O40" s="174">
        <f>IF(ISERROR(VLOOKUP($A40,'HRGs to TFCs % Split'!$A$8:$I$117,6,0)),0,VLOOKUP($A40,'HRGs to TFCs % Split'!$A$8:$I$117,7,0))</f>
        <v>9.5257716428854677E-5</v>
      </c>
      <c r="P40" s="174">
        <f>IF(ISERROR(VLOOKUP($A40,'HRGs to TFCs % Split'!$A$8:$I$117,6,0)),0,VLOOKUP($A40,'HRGs to TFCs % Split'!$A$8:$I$117,8,0))</f>
        <v>0</v>
      </c>
      <c r="Q40" s="175">
        <f>IF(ISERROR(VLOOKUP($A40,'HRGs to TFCs % Split'!$A$8:$I$117,6,0)),0,VLOOKUP($A40,'HRGs to TFCs % Split'!$A$8:$I$117,9,0))</f>
        <v>1.0854949081427625E-4</v>
      </c>
      <c r="R40" s="167">
        <f t="shared" ref="R40:R72" si="33">ROUND(N40*$R$3,0)</f>
        <v>0</v>
      </c>
      <c r="S40" s="168">
        <f t="shared" ref="S40:S72" si="34">ROUND(O40*$R$3,0)</f>
        <v>150</v>
      </c>
      <c r="T40" s="168">
        <f t="shared" ref="T40:T72" si="35">ROUND(P40*$R$3,0)</f>
        <v>0</v>
      </c>
      <c r="U40" s="169">
        <f t="shared" ref="U40:U72" si="36">ROUND(Q40*$R$3,0)</f>
        <v>171</v>
      </c>
      <c r="V40" s="173">
        <f>IF(ISERROR(VLOOKUP($A40,'HRGs to TFCs % Split'!$A$8:$AA$117,6,0)),0,VLOOKUP($A40,'HRGs to TFCs % Split'!$A$8:$AA$117,14,0))</f>
        <v>0</v>
      </c>
      <c r="W40" s="174">
        <f>IF(ISERROR(VLOOKUP($A40,'HRGs to TFCs % Split'!$A$8:$AA$117,6,0)),0,VLOOKUP($A40,'HRGs to TFCs % Split'!$A$8:$AA$117,15,0))</f>
        <v>8.4887166109934471E-5</v>
      </c>
      <c r="X40" s="174">
        <f>IF(ISERROR(VLOOKUP($A40,'HRGs to TFCs % Split'!$A$8:$AA$117,6,0)),0,VLOOKUP($A40,'HRGs to TFCs % Split'!$A$8:$AA$117,16,0))</f>
        <v>0</v>
      </c>
      <c r="Y40" s="175">
        <f>IF(ISERROR(VLOOKUP($A40,'HRGs to TFCs % Split'!$A$8:$AA$117,6,0)),0,VLOOKUP($A40,'HRGs to TFCs % Split'!$A$8:$AA$117,17,0))</f>
        <v>8.9930855539238264E-5</v>
      </c>
      <c r="Z40" s="167">
        <f t="shared" si="13"/>
        <v>0</v>
      </c>
      <c r="AA40" s="168">
        <f t="shared" si="14"/>
        <v>15015.616666280317</v>
      </c>
      <c r="AB40" s="168">
        <f t="shared" si="15"/>
        <v>0</v>
      </c>
      <c r="AC40" s="169">
        <f t="shared" si="16"/>
        <v>15907.790483887977</v>
      </c>
      <c r="AD40" s="200">
        <f t="shared" si="17"/>
        <v>2086</v>
      </c>
      <c r="AE40" s="201">
        <f t="shared" si="18"/>
        <v>31648</v>
      </c>
      <c r="AF40" s="201">
        <f t="shared" si="19"/>
        <v>3389</v>
      </c>
      <c r="AG40" s="202">
        <f t="shared" si="20"/>
        <v>49838</v>
      </c>
      <c r="AH40" s="200">
        <f t="shared" si="21"/>
        <v>282088.14934839401</v>
      </c>
      <c r="AI40" s="201">
        <f t="shared" si="22"/>
        <v>2780778.3110538204</v>
      </c>
      <c r="AJ40" s="201">
        <f t="shared" si="23"/>
        <v>355949.21852252999</v>
      </c>
      <c r="AK40" s="202">
        <f t="shared" si="24"/>
        <v>3561307.3868601676</v>
      </c>
      <c r="AL40" s="194">
        <f t="shared" si="25"/>
        <v>135.22921828782071</v>
      </c>
      <c r="AM40" s="195">
        <f t="shared" si="26"/>
        <v>87.865846532287051</v>
      </c>
      <c r="AN40" s="195">
        <f t="shared" si="27"/>
        <v>105.03075199838595</v>
      </c>
      <c r="AO40" s="196">
        <f t="shared" si="28"/>
        <v>71.45767058991467</v>
      </c>
      <c r="AP40" s="188">
        <f t="shared" si="29"/>
        <v>0</v>
      </c>
      <c r="AQ40" s="189">
        <f t="shared" si="30"/>
        <v>6.6373723608403878E-4</v>
      </c>
      <c r="AR40" s="189">
        <f t="shared" si="31"/>
        <v>0</v>
      </c>
      <c r="AS40" s="190">
        <f t="shared" si="32"/>
        <v>1.040370404730151E-3</v>
      </c>
      <c r="AT40" s="196">
        <f>IF(ISERROR(VLOOKUP(A40,Mandatory!A:A,1,FALSE)),0,1)</f>
        <v>1</v>
      </c>
    </row>
    <row r="41" spans="1:46">
      <c r="A41">
        <v>216</v>
      </c>
      <c r="B41" s="185">
        <f>VLOOKUP(A41,OPATT_Activities!A:J,3,FALSE)</f>
        <v>2635</v>
      </c>
      <c r="C41" s="186">
        <f>VLOOKUP(A41,OPATT_Activities!A:J,4,FALSE)</f>
        <v>42307</v>
      </c>
      <c r="D41" s="186">
        <f>VLOOKUP(A41,OPATT_Activities!A:J,5,FALSE)</f>
        <v>4607</v>
      </c>
      <c r="E41" s="187">
        <f>VLOOKUP(A41,OPATT_Activities!A:J,6,FALSE)</f>
        <v>111253</v>
      </c>
      <c r="F41" s="185">
        <f>VLOOKUP(A41,OPATT_Cost_Quantum!A:F,2,FALSE)</f>
        <v>381463.01393571799</v>
      </c>
      <c r="G41" s="186">
        <f>VLOOKUP(A41,OPATT_Cost_Quantum!A:F,3,FALSE)</f>
        <v>4922327.4221653296</v>
      </c>
      <c r="H41" s="186">
        <f>VLOOKUP(A41,OPATT_Cost_Quantum!A:F,4,FALSE)</f>
        <v>720705.69442347204</v>
      </c>
      <c r="I41" s="187">
        <f>VLOOKUP(A41,OPATT_Cost_Quantum!A:F,5,FALSE)</f>
        <v>10484830.1317748</v>
      </c>
      <c r="J41" s="179">
        <f t="shared" si="12"/>
        <v>144.76774722418139</v>
      </c>
      <c r="K41" s="180">
        <f t="shared" si="12"/>
        <v>116.34782476104024</v>
      </c>
      <c r="L41" s="180">
        <f t="shared" si="12"/>
        <v>156.43709451345171</v>
      </c>
      <c r="M41" s="181">
        <f t="shared" si="12"/>
        <v>94.243122718261972</v>
      </c>
      <c r="N41" s="173">
        <f>IF(ISERROR(VLOOKUP($A41,'HRGs to TFCs % Split'!$A$8:$I$117,6,0)),0,VLOOKUP($A41,'HRGs to TFCs % Split'!$A$8:$I$117,6,0))</f>
        <v>0</v>
      </c>
      <c r="O41" s="174">
        <f>IF(ISERROR(VLOOKUP($A41,'HRGs to TFCs % Split'!$A$8:$I$117,6,0)),0,VLOOKUP($A41,'HRGs to TFCs % Split'!$A$8:$I$117,7,0))</f>
        <v>1.3291774385421581E-5</v>
      </c>
      <c r="P41" s="174">
        <f>IF(ISERROR(VLOOKUP($A41,'HRGs to TFCs % Split'!$A$8:$I$117,6,0)),0,VLOOKUP($A41,'HRGs to TFCs % Split'!$A$8:$I$117,8,0))</f>
        <v>0</v>
      </c>
      <c r="Q41" s="175">
        <f>IF(ISERROR(VLOOKUP($A41,'HRGs to TFCs % Split'!$A$8:$I$117,6,0)),0,VLOOKUP($A41,'HRGs to TFCs % Split'!$A$8:$I$117,9,0))</f>
        <v>3.9136891245963545E-5</v>
      </c>
      <c r="R41" s="167">
        <f t="shared" si="33"/>
        <v>0</v>
      </c>
      <c r="S41" s="168">
        <f t="shared" si="34"/>
        <v>21</v>
      </c>
      <c r="T41" s="168">
        <f t="shared" si="35"/>
        <v>0</v>
      </c>
      <c r="U41" s="169">
        <f t="shared" si="36"/>
        <v>62</v>
      </c>
      <c r="V41" s="173">
        <f>IF(ISERROR(VLOOKUP($A41,'HRGs to TFCs % Split'!$A$8:$AA$117,6,0)),0,VLOOKUP($A41,'HRGs to TFCs % Split'!$A$8:$AA$117,14,0))</f>
        <v>0</v>
      </c>
      <c r="W41" s="174">
        <f>IF(ISERROR(VLOOKUP($A41,'HRGs to TFCs % Split'!$A$8:$AA$117,6,0)),0,VLOOKUP($A41,'HRGs to TFCs % Split'!$A$8:$AA$117,15,0))</f>
        <v>1.8818349234921308E-5</v>
      </c>
      <c r="X41" s="174">
        <f>IF(ISERROR(VLOOKUP($A41,'HRGs to TFCs % Split'!$A$8:$AA$117,6,0)),0,VLOOKUP($A41,'HRGs to TFCs % Split'!$A$8:$AA$117,16,0))</f>
        <v>0</v>
      </c>
      <c r="Y41" s="175">
        <f>IF(ISERROR(VLOOKUP($A41,'HRGs to TFCs % Split'!$A$8:$AA$117,6,0)),0,VLOOKUP($A41,'HRGs to TFCs % Split'!$A$8:$AA$117,17,0))</f>
        <v>3.1046352241268828E-5</v>
      </c>
      <c r="Z41" s="167">
        <f t="shared" si="13"/>
        <v>0</v>
      </c>
      <c r="AA41" s="168">
        <f t="shared" si="14"/>
        <v>3328.7613587879964</v>
      </c>
      <c r="AB41" s="168">
        <f t="shared" si="15"/>
        <v>0</v>
      </c>
      <c r="AC41" s="169">
        <f t="shared" si="16"/>
        <v>5491.7621297131245</v>
      </c>
      <c r="AD41" s="200">
        <f t="shared" si="17"/>
        <v>2635</v>
      </c>
      <c r="AE41" s="201">
        <f t="shared" si="18"/>
        <v>42328</v>
      </c>
      <c r="AF41" s="201">
        <f t="shared" si="19"/>
        <v>4607</v>
      </c>
      <c r="AG41" s="202">
        <f t="shared" si="20"/>
        <v>111315</v>
      </c>
      <c r="AH41" s="200">
        <f t="shared" si="21"/>
        <v>381463.01393571799</v>
      </c>
      <c r="AI41" s="201">
        <f t="shared" si="22"/>
        <v>4925656.1835241178</v>
      </c>
      <c r="AJ41" s="201">
        <f t="shared" si="23"/>
        <v>720705.69442347204</v>
      </c>
      <c r="AK41" s="202">
        <f t="shared" si="24"/>
        <v>10490321.893904513</v>
      </c>
      <c r="AL41" s="194">
        <f t="shared" si="25"/>
        <v>144.76774722418139</v>
      </c>
      <c r="AM41" s="195">
        <f t="shared" si="26"/>
        <v>116.36874370450099</v>
      </c>
      <c r="AN41" s="195">
        <f t="shared" si="27"/>
        <v>156.43709451345171</v>
      </c>
      <c r="AO41" s="196">
        <f t="shared" si="28"/>
        <v>94.239966706234668</v>
      </c>
      <c r="AP41" s="188">
        <f t="shared" si="29"/>
        <v>0</v>
      </c>
      <c r="AQ41" s="189">
        <f t="shared" si="30"/>
        <v>1.797966013004082E-4</v>
      </c>
      <c r="AR41" s="189">
        <f t="shared" si="31"/>
        <v>0</v>
      </c>
      <c r="AS41" s="190">
        <f t="shared" si="32"/>
        <v>-3.3487982319280185E-5</v>
      </c>
      <c r="AT41" s="196">
        <f>IF(ISERROR(VLOOKUP(A41,Mandatory!A:A,1,FALSE)),0,1)</f>
        <v>1</v>
      </c>
    </row>
    <row r="42" spans="1:46">
      <c r="A42">
        <v>217</v>
      </c>
      <c r="B42" s="185">
        <f>VLOOKUP(A42,OPATT_Activities!A:J,3,FALSE)</f>
        <v>481</v>
      </c>
      <c r="C42" s="186">
        <f>VLOOKUP(A42,OPATT_Activities!A:J,4,FALSE)</f>
        <v>1774</v>
      </c>
      <c r="D42" s="186">
        <f>VLOOKUP(A42,OPATT_Activities!A:J,5,FALSE)</f>
        <v>1251</v>
      </c>
      <c r="E42" s="187">
        <f>VLOOKUP(A42,OPATT_Activities!A:J,6,FALSE)</f>
        <v>1634</v>
      </c>
      <c r="F42" s="185">
        <f>VLOOKUP(A42,OPATT_Cost_Quantum!A:F,2,FALSE)</f>
        <v>79000.122124649803</v>
      </c>
      <c r="G42" s="186">
        <f>VLOOKUP(A42,OPATT_Cost_Quantum!A:F,3,FALSE)</f>
        <v>202487.40355072901</v>
      </c>
      <c r="H42" s="186">
        <f>VLOOKUP(A42,OPATT_Cost_Quantum!A:F,4,FALSE)</f>
        <v>271425.91295790998</v>
      </c>
      <c r="I42" s="187">
        <f>VLOOKUP(A42,OPATT_Cost_Quantum!A:F,5,FALSE)</f>
        <v>261629.860539588</v>
      </c>
      <c r="J42" s="179">
        <f t="shared" si="12"/>
        <v>164.24141813856508</v>
      </c>
      <c r="K42" s="180">
        <f t="shared" si="12"/>
        <v>114.1417156430265</v>
      </c>
      <c r="L42" s="180">
        <f t="shared" si="12"/>
        <v>216.96715664101518</v>
      </c>
      <c r="M42" s="181">
        <f t="shared" si="12"/>
        <v>160.1161937206781</v>
      </c>
      <c r="N42" s="173">
        <f>IF(ISERROR(VLOOKUP($A42,'HRGs to TFCs % Split'!$A$8:$I$117,6,0)),0,VLOOKUP($A42,'HRGs to TFCs % Split'!$A$8:$I$117,6,0))</f>
        <v>0</v>
      </c>
      <c r="O42" s="174">
        <f>IF(ISERROR(VLOOKUP($A42,'HRGs to TFCs % Split'!$A$8:$I$117,6,0)),0,VLOOKUP($A42,'HRGs to TFCs % Split'!$A$8:$I$117,7,0))</f>
        <v>4.7259642259276737E-5</v>
      </c>
      <c r="P42" s="174">
        <f>IF(ISERROR(VLOOKUP($A42,'HRGs to TFCs % Split'!$A$8:$I$117,6,0)),0,VLOOKUP($A42,'HRGs to TFCs % Split'!$A$8:$I$117,8,0))</f>
        <v>0</v>
      </c>
      <c r="Q42" s="175">
        <f>IF(ISERROR(VLOOKUP($A42,'HRGs to TFCs % Split'!$A$8:$I$117,6,0)),0,VLOOKUP($A42,'HRGs to TFCs % Split'!$A$8:$I$117,9,0))</f>
        <v>1.8903856903710695E-4</v>
      </c>
      <c r="R42" s="167">
        <f t="shared" si="33"/>
        <v>0</v>
      </c>
      <c r="S42" s="168">
        <f t="shared" si="34"/>
        <v>75</v>
      </c>
      <c r="T42" s="168">
        <f t="shared" si="35"/>
        <v>0</v>
      </c>
      <c r="U42" s="169">
        <f t="shared" si="36"/>
        <v>298</v>
      </c>
      <c r="V42" s="173">
        <f>IF(ISERROR(VLOOKUP($A42,'HRGs to TFCs % Split'!$A$8:$AA$117,6,0)),0,VLOOKUP($A42,'HRGs to TFCs % Split'!$A$8:$AA$117,14,0))</f>
        <v>0</v>
      </c>
      <c r="W42" s="174">
        <f>IF(ISERROR(VLOOKUP($A42,'HRGs to TFCs % Split'!$A$8:$AA$117,6,0)),0,VLOOKUP($A42,'HRGs to TFCs % Split'!$A$8:$AA$117,15,0))</f>
        <v>3.3697121025584146E-5</v>
      </c>
      <c r="X42" s="174">
        <f>IF(ISERROR(VLOOKUP($A42,'HRGs to TFCs % Split'!$A$8:$AA$117,6,0)),0,VLOOKUP($A42,'HRGs to TFCs % Split'!$A$8:$AA$117,16,0))</f>
        <v>0</v>
      </c>
      <c r="Y42" s="175">
        <f>IF(ISERROR(VLOOKUP($A42,'HRGs to TFCs % Split'!$A$8:$AA$117,6,0)),0,VLOOKUP($A42,'HRGs to TFCs % Split'!$A$8:$AA$117,17,0))</f>
        <v>1.9563001325270934E-4</v>
      </c>
      <c r="Z42" s="167">
        <f t="shared" si="13"/>
        <v>0</v>
      </c>
      <c r="AA42" s="168">
        <f t="shared" si="14"/>
        <v>5960.6543045876315</v>
      </c>
      <c r="AB42" s="168">
        <f t="shared" si="15"/>
        <v>0</v>
      </c>
      <c r="AC42" s="169">
        <f t="shared" si="16"/>
        <v>34604.822166141799</v>
      </c>
      <c r="AD42" s="200">
        <f t="shared" si="17"/>
        <v>481</v>
      </c>
      <c r="AE42" s="201">
        <f t="shared" si="18"/>
        <v>1849</v>
      </c>
      <c r="AF42" s="201">
        <f t="shared" si="19"/>
        <v>1251</v>
      </c>
      <c r="AG42" s="202">
        <f t="shared" si="20"/>
        <v>1932</v>
      </c>
      <c r="AH42" s="200">
        <f t="shared" si="21"/>
        <v>79000.122124649803</v>
      </c>
      <c r="AI42" s="201">
        <f t="shared" si="22"/>
        <v>208448.05785531664</v>
      </c>
      <c r="AJ42" s="201">
        <f t="shared" si="23"/>
        <v>271425.91295790998</v>
      </c>
      <c r="AK42" s="202">
        <f t="shared" si="24"/>
        <v>296234.68270572979</v>
      </c>
      <c r="AL42" s="194">
        <f t="shared" si="25"/>
        <v>164.24141813856508</v>
      </c>
      <c r="AM42" s="195">
        <f t="shared" si="26"/>
        <v>112.73556401044708</v>
      </c>
      <c r="AN42" s="195">
        <f t="shared" si="27"/>
        <v>216.96715664101518</v>
      </c>
      <c r="AO42" s="196">
        <f t="shared" si="28"/>
        <v>153.33058111062618</v>
      </c>
      <c r="AP42" s="188">
        <f t="shared" si="29"/>
        <v>0</v>
      </c>
      <c r="AQ42" s="189">
        <f t="shared" si="30"/>
        <v>-1.2319349018522718E-2</v>
      </c>
      <c r="AR42" s="189">
        <f t="shared" si="31"/>
        <v>0</v>
      </c>
      <c r="AS42" s="190">
        <f t="shared" si="32"/>
        <v>-4.2379302507586369E-2</v>
      </c>
      <c r="AT42" s="196">
        <f>IF(ISERROR(VLOOKUP(A42,Mandatory!A:A,1,FALSE)),0,1)</f>
        <v>1</v>
      </c>
    </row>
    <row r="43" spans="1:46">
      <c r="A43">
        <v>218</v>
      </c>
      <c r="B43" s="185">
        <f>VLOOKUP(A43,OPATT_Activities!A:J,3,FALSE)</f>
        <v>66</v>
      </c>
      <c r="C43" s="186">
        <f>VLOOKUP(A43,OPATT_Activities!A:J,4,FALSE)</f>
        <v>3396</v>
      </c>
      <c r="D43" s="186">
        <f>VLOOKUP(A43,OPATT_Activities!A:J,5,FALSE)</f>
        <v>249</v>
      </c>
      <c r="E43" s="187">
        <f>VLOOKUP(A43,OPATT_Activities!A:J,6,FALSE)</f>
        <v>11775</v>
      </c>
      <c r="F43" s="185">
        <f>VLOOKUP(A43,OPATT_Cost_Quantum!A:F,2,FALSE)</f>
        <v>22694.554160627998</v>
      </c>
      <c r="G43" s="186">
        <f>VLOOKUP(A43,OPATT_Cost_Quantum!A:F,3,FALSE)</f>
        <v>969800.73417078902</v>
      </c>
      <c r="H43" s="186">
        <f>VLOOKUP(A43,OPATT_Cost_Quantum!A:F,4,FALSE)</f>
        <v>56842.055152748697</v>
      </c>
      <c r="I43" s="187">
        <f>VLOOKUP(A43,OPATT_Cost_Quantum!A:F,5,FALSE)</f>
        <v>2926449.89310739</v>
      </c>
      <c r="J43" s="179">
        <f t="shared" si="12"/>
        <v>343.85688122163634</v>
      </c>
      <c r="K43" s="180">
        <f t="shared" si="12"/>
        <v>285.57147649316522</v>
      </c>
      <c r="L43" s="180">
        <f t="shared" si="12"/>
        <v>228.28134599497469</v>
      </c>
      <c r="M43" s="181">
        <f t="shared" si="12"/>
        <v>248.53077648470403</v>
      </c>
      <c r="N43" s="173">
        <f>IF(ISERROR(VLOOKUP($A43,'HRGs to TFCs % Split'!$A$8:$I$117,6,0)),0,VLOOKUP($A43,'HRGs to TFCs % Split'!$A$8:$I$117,6,0))</f>
        <v>0</v>
      </c>
      <c r="O43" s="174">
        <f>IF(ISERROR(VLOOKUP($A43,'HRGs to TFCs % Split'!$A$8:$I$117,6,0)),0,VLOOKUP($A43,'HRGs to TFCs % Split'!$A$8:$I$117,7,0))</f>
        <v>7.3843191030119901E-7</v>
      </c>
      <c r="P43" s="174">
        <f>IF(ISERROR(VLOOKUP($A43,'HRGs to TFCs % Split'!$A$8:$I$117,6,0)),0,VLOOKUP($A43,'HRGs to TFCs % Split'!$A$8:$I$117,8,0))</f>
        <v>0</v>
      </c>
      <c r="Q43" s="175">
        <f>IF(ISERROR(VLOOKUP($A43,'HRGs to TFCs % Split'!$A$8:$I$117,6,0)),0,VLOOKUP($A43,'HRGs to TFCs % Split'!$A$8:$I$117,9,0))</f>
        <v>1.476863820602398E-6</v>
      </c>
      <c r="R43" s="167">
        <f t="shared" si="33"/>
        <v>0</v>
      </c>
      <c r="S43" s="168">
        <f t="shared" si="34"/>
        <v>1</v>
      </c>
      <c r="T43" s="168">
        <f t="shared" si="35"/>
        <v>0</v>
      </c>
      <c r="U43" s="169">
        <f t="shared" si="36"/>
        <v>2</v>
      </c>
      <c r="V43" s="173">
        <f>IF(ISERROR(VLOOKUP($A43,'HRGs to TFCs % Split'!$A$8:$AA$117,6,0)),0,VLOOKUP($A43,'HRGs to TFCs % Split'!$A$8:$AA$117,14,0))</f>
        <v>0</v>
      </c>
      <c r="W43" s="174">
        <f>IF(ISERROR(VLOOKUP($A43,'HRGs to TFCs % Split'!$A$8:$AA$117,6,0)),0,VLOOKUP($A43,'HRGs to TFCs % Split'!$A$8:$AA$117,15,0))</f>
        <v>1.0407078451258827E-6</v>
      </c>
      <c r="X43" s="174">
        <f>IF(ISERROR(VLOOKUP($A43,'HRGs to TFCs % Split'!$A$8:$AA$117,6,0)),0,VLOOKUP($A43,'HRGs to TFCs % Split'!$A$8:$AA$117,16,0))</f>
        <v>0</v>
      </c>
      <c r="Y43" s="175">
        <f>IF(ISERROR(VLOOKUP($A43,'HRGs to TFCs % Split'!$A$8:$AA$117,6,0)),0,VLOOKUP($A43,'HRGs to TFCs % Split'!$A$8:$AA$117,17,0))</f>
        <v>1.1519447245865379E-6</v>
      </c>
      <c r="Z43" s="167">
        <f t="shared" si="13"/>
        <v>0</v>
      </c>
      <c r="AA43" s="168">
        <f t="shared" si="14"/>
        <v>184.08990169094645</v>
      </c>
      <c r="AB43" s="168">
        <f t="shared" si="15"/>
        <v>0</v>
      </c>
      <c r="AC43" s="169">
        <f t="shared" si="16"/>
        <v>203.76649613599241</v>
      </c>
      <c r="AD43" s="200">
        <f t="shared" si="17"/>
        <v>66</v>
      </c>
      <c r="AE43" s="201">
        <f t="shared" si="18"/>
        <v>3397</v>
      </c>
      <c r="AF43" s="201">
        <f t="shared" si="19"/>
        <v>249</v>
      </c>
      <c r="AG43" s="202">
        <f t="shared" si="20"/>
        <v>11777</v>
      </c>
      <c r="AH43" s="200">
        <f t="shared" si="21"/>
        <v>22694.554160627998</v>
      </c>
      <c r="AI43" s="201">
        <f t="shared" si="22"/>
        <v>969984.82407247997</v>
      </c>
      <c r="AJ43" s="201">
        <f t="shared" si="23"/>
        <v>56842.055152748697</v>
      </c>
      <c r="AK43" s="202">
        <f t="shared" si="24"/>
        <v>2926653.6596035259</v>
      </c>
      <c r="AL43" s="194">
        <f t="shared" si="25"/>
        <v>343.85688122163634</v>
      </c>
      <c r="AM43" s="195">
        <f t="shared" si="26"/>
        <v>285.54160261185751</v>
      </c>
      <c r="AN43" s="195">
        <f t="shared" si="27"/>
        <v>228.28134599497469</v>
      </c>
      <c r="AO43" s="196">
        <f t="shared" si="28"/>
        <v>248.50587242961075</v>
      </c>
      <c r="AP43" s="188">
        <f t="shared" si="29"/>
        <v>0</v>
      </c>
      <c r="AQ43" s="189">
        <f t="shared" si="30"/>
        <v>-1.0461087246727008E-4</v>
      </c>
      <c r="AR43" s="189">
        <f t="shared" si="31"/>
        <v>0</v>
      </c>
      <c r="AS43" s="190">
        <f t="shared" si="32"/>
        <v>-1.00205115219687E-4</v>
      </c>
      <c r="AT43" s="196">
        <f>IF(ISERROR(VLOOKUP(A43,Mandatory!A:A,1,FALSE)),0,1)</f>
        <v>0</v>
      </c>
    </row>
    <row r="44" spans="1:46">
      <c r="A44">
        <v>219</v>
      </c>
      <c r="B44" s="185">
        <f>VLOOKUP(A44,OPATT_Activities!A:J,3,FALSE)</f>
        <v>193</v>
      </c>
      <c r="C44" s="186">
        <f>VLOOKUP(A44,OPATT_Activities!A:J,4,FALSE)</f>
        <v>15389</v>
      </c>
      <c r="D44" s="186">
        <f>VLOOKUP(A44,OPATT_Activities!A:J,5,FALSE)</f>
        <v>586</v>
      </c>
      <c r="E44" s="187">
        <f>VLOOKUP(A44,OPATT_Activities!A:J,6,FALSE)</f>
        <v>40281</v>
      </c>
      <c r="F44" s="185">
        <f>VLOOKUP(A44,OPATT_Cost_Quantum!A:F,2,FALSE)</f>
        <v>33438.768920616101</v>
      </c>
      <c r="G44" s="186">
        <f>VLOOKUP(A44,OPATT_Cost_Quantum!A:F,3,FALSE)</f>
        <v>1701132.8444637</v>
      </c>
      <c r="H44" s="186">
        <f>VLOOKUP(A44,OPATT_Cost_Quantum!A:F,4,FALSE)</f>
        <v>53980.279973508601</v>
      </c>
      <c r="I44" s="187">
        <f>VLOOKUP(A44,OPATT_Cost_Quantum!A:F,5,FALSE)</f>
        <v>4896318.3930639401</v>
      </c>
      <c r="J44" s="179">
        <f t="shared" si="12"/>
        <v>173.2578700550057</v>
      </c>
      <c r="K44" s="180">
        <f t="shared" si="12"/>
        <v>110.54213038298134</v>
      </c>
      <c r="L44" s="180">
        <f t="shared" si="12"/>
        <v>92.116518726123886</v>
      </c>
      <c r="M44" s="181">
        <f t="shared" si="12"/>
        <v>121.55404267679403</v>
      </c>
      <c r="N44" s="173">
        <f>IF(ISERROR(VLOOKUP($A44,'HRGs to TFCs % Split'!$A$8:$I$117,6,0)),0,VLOOKUP($A44,'HRGs to TFCs % Split'!$A$8:$I$117,6,0))</f>
        <v>0</v>
      </c>
      <c r="O44" s="174">
        <f>IF(ISERROR(VLOOKUP($A44,'HRGs to TFCs % Split'!$A$8:$I$117,6,0)),0,VLOOKUP($A44,'HRGs to TFCs % Split'!$A$8:$I$117,7,0))</f>
        <v>6.7935735747710308E-5</v>
      </c>
      <c r="P44" s="174">
        <f>IF(ISERROR(VLOOKUP($A44,'HRGs to TFCs % Split'!$A$8:$I$117,6,0)),0,VLOOKUP($A44,'HRGs to TFCs % Split'!$A$8:$I$117,8,0))</f>
        <v>0</v>
      </c>
      <c r="Q44" s="175">
        <f>IF(ISERROR(VLOOKUP($A44,'HRGs to TFCs % Split'!$A$8:$I$117,6,0)),0,VLOOKUP($A44,'HRGs to TFCs % Split'!$A$8:$I$117,9,0))</f>
        <v>5.5456236463620045E-4</v>
      </c>
      <c r="R44" s="167">
        <f t="shared" si="33"/>
        <v>0</v>
      </c>
      <c r="S44" s="168">
        <f t="shared" si="34"/>
        <v>107</v>
      </c>
      <c r="T44" s="168">
        <f t="shared" si="35"/>
        <v>0</v>
      </c>
      <c r="U44" s="169">
        <f t="shared" si="36"/>
        <v>875</v>
      </c>
      <c r="V44" s="173">
        <f>IF(ISERROR(VLOOKUP($A44,'HRGs to TFCs % Split'!$A$8:$AA$117,6,0)),0,VLOOKUP($A44,'HRGs to TFCs % Split'!$A$8:$AA$117,14,0))</f>
        <v>0</v>
      </c>
      <c r="W44" s="174">
        <f>IF(ISERROR(VLOOKUP($A44,'HRGs to TFCs % Split'!$A$8:$AA$117,6,0)),0,VLOOKUP($A44,'HRGs to TFCs % Split'!$A$8:$AA$117,15,0))</f>
        <v>7.6541532724338246E-5</v>
      </c>
      <c r="X44" s="174">
        <f>IF(ISERROR(VLOOKUP($A44,'HRGs to TFCs % Split'!$A$8:$AA$117,6,0)),0,VLOOKUP($A44,'HRGs to TFCs % Split'!$A$8:$AA$117,16,0))</f>
        <v>0</v>
      </c>
      <c r="Y44" s="175">
        <f>IF(ISERROR(VLOOKUP($A44,'HRGs to TFCs % Split'!$A$8:$AA$117,6,0)),0,VLOOKUP($A44,'HRGs to TFCs % Split'!$A$8:$AA$117,17,0))</f>
        <v>5.884910184433223E-4</v>
      </c>
      <c r="Z44" s="167">
        <f t="shared" si="13"/>
        <v>0</v>
      </c>
      <c r="AA44" s="168">
        <f t="shared" si="14"/>
        <v>13539.364866413031</v>
      </c>
      <c r="AB44" s="168">
        <f t="shared" si="15"/>
        <v>0</v>
      </c>
      <c r="AC44" s="169">
        <f t="shared" si="16"/>
        <v>104097.6622196329</v>
      </c>
      <c r="AD44" s="200">
        <f t="shared" si="17"/>
        <v>193</v>
      </c>
      <c r="AE44" s="201">
        <f t="shared" si="18"/>
        <v>15496</v>
      </c>
      <c r="AF44" s="201">
        <f t="shared" si="19"/>
        <v>586</v>
      </c>
      <c r="AG44" s="202">
        <f t="shared" si="20"/>
        <v>41156</v>
      </c>
      <c r="AH44" s="200">
        <f t="shared" si="21"/>
        <v>33438.768920616101</v>
      </c>
      <c r="AI44" s="201">
        <f t="shared" si="22"/>
        <v>1714672.2093301129</v>
      </c>
      <c r="AJ44" s="201">
        <f t="shared" si="23"/>
        <v>53980.279973508601</v>
      </c>
      <c r="AK44" s="202">
        <f t="shared" si="24"/>
        <v>5000416.0552835735</v>
      </c>
      <c r="AL44" s="194">
        <f t="shared" si="25"/>
        <v>173.2578700550057</v>
      </c>
      <c r="AM44" s="195">
        <f t="shared" si="26"/>
        <v>110.65256900684776</v>
      </c>
      <c r="AN44" s="195">
        <f t="shared" si="27"/>
        <v>92.116518726123886</v>
      </c>
      <c r="AO44" s="196">
        <f t="shared" si="28"/>
        <v>121.49907802710598</v>
      </c>
      <c r="AP44" s="188">
        <f t="shared" si="29"/>
        <v>0</v>
      </c>
      <c r="AQ44" s="189">
        <f t="shared" si="30"/>
        <v>9.9906364644675172E-4</v>
      </c>
      <c r="AR44" s="189">
        <f t="shared" si="31"/>
        <v>0</v>
      </c>
      <c r="AS44" s="190">
        <f t="shared" si="32"/>
        <v>-4.5218281907899449E-4</v>
      </c>
      <c r="AT44" s="196">
        <f>IF(ISERROR(VLOOKUP(A44,Mandatory!A:A,1,FALSE)),0,1)</f>
        <v>1</v>
      </c>
    </row>
    <row r="45" spans="1:46">
      <c r="A45">
        <v>220</v>
      </c>
      <c r="B45" s="185">
        <f>VLOOKUP(A45,OPATT_Activities!A:J,3,FALSE)</f>
        <v>51</v>
      </c>
      <c r="C45" s="186">
        <f>VLOOKUP(A45,OPATT_Activities!A:J,4,FALSE)</f>
        <v>1184</v>
      </c>
      <c r="D45" s="186">
        <f>VLOOKUP(A45,OPATT_Activities!A:J,5,FALSE)</f>
        <v>319</v>
      </c>
      <c r="E45" s="187">
        <f>VLOOKUP(A45,OPATT_Activities!A:J,6,FALSE)</f>
        <v>6206</v>
      </c>
      <c r="F45" s="185">
        <f>VLOOKUP(A45,OPATT_Cost_Quantum!A:F,2,FALSE)</f>
        <v>11266.3163012655</v>
      </c>
      <c r="G45" s="186">
        <f>VLOOKUP(A45,OPATT_Cost_Quantum!A:F,3,FALSE)</f>
        <v>185654.26193926699</v>
      </c>
      <c r="H45" s="186">
        <f>VLOOKUP(A45,OPATT_Cost_Quantum!A:F,4,FALSE)</f>
        <v>45375.935283611601</v>
      </c>
      <c r="I45" s="187">
        <f>VLOOKUP(A45,OPATT_Cost_Quantum!A:F,5,FALSE)</f>
        <v>814673.41661168903</v>
      </c>
      <c r="J45" s="179">
        <f t="shared" si="12"/>
        <v>220.90816276991177</v>
      </c>
      <c r="K45" s="180">
        <f t="shared" si="12"/>
        <v>156.80258609735387</v>
      </c>
      <c r="L45" s="180">
        <f t="shared" si="12"/>
        <v>142.24431123389218</v>
      </c>
      <c r="M45" s="181">
        <f t="shared" si="12"/>
        <v>131.27190083978232</v>
      </c>
      <c r="N45" s="173">
        <f>IF(ISERROR(VLOOKUP($A45,'HRGs to TFCs % Split'!$A$8:$I$117,6,0)),0,VLOOKUP($A45,'HRGs to TFCs % Split'!$A$8:$I$117,6,0))</f>
        <v>0</v>
      </c>
      <c r="O45" s="174">
        <f>IF(ISERROR(VLOOKUP($A45,'HRGs to TFCs % Split'!$A$8:$I$117,6,0)),0,VLOOKUP($A45,'HRGs to TFCs % Split'!$A$8:$I$117,7,0))</f>
        <v>8.8611829236143885E-6</v>
      </c>
      <c r="P45" s="174">
        <f>IF(ISERROR(VLOOKUP($A45,'HRGs to TFCs % Split'!$A$8:$I$117,6,0)),0,VLOOKUP($A45,'HRGs to TFCs % Split'!$A$8:$I$117,8,0))</f>
        <v>0</v>
      </c>
      <c r="Q45" s="175">
        <f>IF(ISERROR(VLOOKUP($A45,'HRGs to TFCs % Split'!$A$8:$I$117,6,0)),0,VLOOKUP($A45,'HRGs to TFCs % Split'!$A$8:$I$117,9,0))</f>
        <v>3.3967867873855154E-5</v>
      </c>
      <c r="R45" s="167">
        <f t="shared" si="33"/>
        <v>0</v>
      </c>
      <c r="S45" s="168">
        <f t="shared" si="34"/>
        <v>14</v>
      </c>
      <c r="T45" s="168">
        <f t="shared" si="35"/>
        <v>0</v>
      </c>
      <c r="U45" s="169">
        <f t="shared" si="36"/>
        <v>54</v>
      </c>
      <c r="V45" s="173">
        <f>IF(ISERROR(VLOOKUP($A45,'HRGs to TFCs % Split'!$A$8:$AA$117,6,0)),0,VLOOKUP($A45,'HRGs to TFCs % Split'!$A$8:$AA$117,14,0))</f>
        <v>0</v>
      </c>
      <c r="W45" s="174">
        <f>IF(ISERROR(VLOOKUP($A45,'HRGs to TFCs % Split'!$A$8:$AA$117,6,0)),0,VLOOKUP($A45,'HRGs to TFCs % Split'!$A$8:$AA$117,15,0))</f>
        <v>6.9116683475192285E-6</v>
      </c>
      <c r="X45" s="174">
        <f>IF(ISERROR(VLOOKUP($A45,'HRGs to TFCs % Split'!$A$8:$AA$117,6,0)),0,VLOOKUP($A45,'HRGs to TFCs % Split'!$A$8:$AA$117,16,0))</f>
        <v>0</v>
      </c>
      <c r="Y45" s="175">
        <f>IF(ISERROR(VLOOKUP($A45,'HRGs to TFCs % Split'!$A$8:$AA$117,6,0)),0,VLOOKUP($A45,'HRGs to TFCs % Split'!$A$8:$AA$117,17,0))</f>
        <v>2.7240908701147013E-5</v>
      </c>
      <c r="Z45" s="167">
        <f t="shared" si="13"/>
        <v>0</v>
      </c>
      <c r="AA45" s="168">
        <f t="shared" si="14"/>
        <v>1222.5989768159545</v>
      </c>
      <c r="AB45" s="168">
        <f t="shared" si="15"/>
        <v>0</v>
      </c>
      <c r="AC45" s="169">
        <f t="shared" si="16"/>
        <v>4818.6205458647437</v>
      </c>
      <c r="AD45" s="200">
        <f t="shared" si="17"/>
        <v>51</v>
      </c>
      <c r="AE45" s="201">
        <f t="shared" si="18"/>
        <v>1198</v>
      </c>
      <c r="AF45" s="201">
        <f t="shared" si="19"/>
        <v>319</v>
      </c>
      <c r="AG45" s="202">
        <f t="shared" si="20"/>
        <v>6260</v>
      </c>
      <c r="AH45" s="200">
        <f t="shared" si="21"/>
        <v>11266.3163012655</v>
      </c>
      <c r="AI45" s="201">
        <f t="shared" si="22"/>
        <v>186876.86091608295</v>
      </c>
      <c r="AJ45" s="201">
        <f t="shared" si="23"/>
        <v>45375.935283611601</v>
      </c>
      <c r="AK45" s="202">
        <f t="shared" si="24"/>
        <v>819492.03715755371</v>
      </c>
      <c r="AL45" s="194">
        <f t="shared" si="25"/>
        <v>220.90816276991177</v>
      </c>
      <c r="AM45" s="195">
        <f t="shared" si="26"/>
        <v>155.99070193329129</v>
      </c>
      <c r="AN45" s="195">
        <f t="shared" si="27"/>
        <v>142.24431123389218</v>
      </c>
      <c r="AO45" s="196">
        <f t="shared" si="28"/>
        <v>130.90927111143031</v>
      </c>
      <c r="AP45" s="188">
        <f t="shared" si="29"/>
        <v>0</v>
      </c>
      <c r="AQ45" s="189">
        <f t="shared" si="30"/>
        <v>-5.1777472825511595E-3</v>
      </c>
      <c r="AR45" s="189">
        <f t="shared" si="31"/>
        <v>0</v>
      </c>
      <c r="AS45" s="190">
        <f t="shared" si="32"/>
        <v>-2.7624322191738271E-3</v>
      </c>
      <c r="AT45" s="196">
        <f>IF(ISERROR(VLOOKUP(A45,Mandatory!A:A,1,FALSE)),0,1)</f>
        <v>0</v>
      </c>
    </row>
    <row r="46" spans="1:46">
      <c r="A46">
        <v>221</v>
      </c>
      <c r="B46" s="185">
        <f>VLOOKUP(A46,OPATT_Activities!A:J,3,FALSE)</f>
        <v>0</v>
      </c>
      <c r="C46" s="186">
        <f>VLOOKUP(A46,OPATT_Activities!A:J,4,FALSE)</f>
        <v>790</v>
      </c>
      <c r="D46" s="186">
        <f>VLOOKUP(A46,OPATT_Activities!A:J,5,FALSE)</f>
        <v>63</v>
      </c>
      <c r="E46" s="187">
        <f>VLOOKUP(A46,OPATT_Activities!A:J,6,FALSE)</f>
        <v>630</v>
      </c>
      <c r="F46" s="185">
        <f>VLOOKUP(A46,OPATT_Cost_Quantum!A:F,2,FALSE)</f>
        <v>0</v>
      </c>
      <c r="G46" s="186">
        <f>VLOOKUP(A46,OPATT_Cost_Quantum!A:F,3,FALSE)</f>
        <v>228424.93549832801</v>
      </c>
      <c r="H46" s="186">
        <f>VLOOKUP(A46,OPATT_Cost_Quantum!A:F,4,FALSE)</f>
        <v>12043.5902281377</v>
      </c>
      <c r="I46" s="187">
        <f>VLOOKUP(A46,OPATT_Cost_Quantum!A:F,5,FALSE)</f>
        <v>275756.73612094001</v>
      </c>
      <c r="J46" s="179">
        <f t="shared" si="12"/>
        <v>0</v>
      </c>
      <c r="K46" s="180">
        <f t="shared" si="12"/>
        <v>289.14548797256708</v>
      </c>
      <c r="L46" s="180">
        <f t="shared" si="12"/>
        <v>191.16809885932858</v>
      </c>
      <c r="M46" s="181">
        <f t="shared" si="12"/>
        <v>437.70910495387301</v>
      </c>
      <c r="N46" s="173">
        <f>IF(ISERROR(VLOOKUP($A46,'HRGs to TFCs % Split'!$A$8:$I$117,6,0)),0,VLOOKUP($A46,'HRGs to TFCs % Split'!$A$8:$I$117,6,0))</f>
        <v>0</v>
      </c>
      <c r="O46" s="174">
        <f>IF(ISERROR(VLOOKUP($A46,'HRGs to TFCs % Split'!$A$8:$I$117,6,0)),0,VLOOKUP($A46,'HRGs to TFCs % Split'!$A$8:$I$117,7,0))</f>
        <v>0</v>
      </c>
      <c r="P46" s="174">
        <f>IF(ISERROR(VLOOKUP($A46,'HRGs to TFCs % Split'!$A$8:$I$117,6,0)),0,VLOOKUP($A46,'HRGs to TFCs % Split'!$A$8:$I$117,8,0))</f>
        <v>0</v>
      </c>
      <c r="Q46" s="175">
        <f>IF(ISERROR(VLOOKUP($A46,'HRGs to TFCs % Split'!$A$8:$I$117,6,0)),0,VLOOKUP($A46,'HRGs to TFCs % Split'!$A$8:$I$117,9,0))</f>
        <v>6.7935735747710308E-5</v>
      </c>
      <c r="R46" s="167">
        <f t="shared" si="33"/>
        <v>0</v>
      </c>
      <c r="S46" s="168">
        <f t="shared" si="34"/>
        <v>0</v>
      </c>
      <c r="T46" s="168">
        <f t="shared" si="35"/>
        <v>0</v>
      </c>
      <c r="U46" s="169">
        <f t="shared" si="36"/>
        <v>107</v>
      </c>
      <c r="V46" s="173">
        <f>IF(ISERROR(VLOOKUP($A46,'HRGs to TFCs % Split'!$A$8:$AA$117,6,0)),0,VLOOKUP($A46,'HRGs to TFCs % Split'!$A$8:$AA$117,14,0))</f>
        <v>0</v>
      </c>
      <c r="W46" s="174">
        <f>IF(ISERROR(VLOOKUP($A46,'HRGs to TFCs % Split'!$A$8:$AA$117,6,0)),0,VLOOKUP($A46,'HRGs to TFCs % Split'!$A$8:$AA$117,15,0))</f>
        <v>0</v>
      </c>
      <c r="X46" s="174">
        <f>IF(ISERROR(VLOOKUP($A46,'HRGs to TFCs % Split'!$A$8:$AA$117,6,0)),0,VLOOKUP($A46,'HRGs to TFCs % Split'!$A$8:$AA$117,16,0))</f>
        <v>0</v>
      </c>
      <c r="Y46" s="175">
        <f>IF(ISERROR(VLOOKUP($A46,'HRGs to TFCs % Split'!$A$8:$AA$117,6,0)),0,VLOOKUP($A46,'HRGs to TFCs % Split'!$A$8:$AA$117,17,0))</f>
        <v>7.5842164552343428E-5</v>
      </c>
      <c r="Z46" s="167">
        <f t="shared" si="13"/>
        <v>0</v>
      </c>
      <c r="AA46" s="168">
        <f t="shared" si="14"/>
        <v>0</v>
      </c>
      <c r="AB46" s="168">
        <f t="shared" si="15"/>
        <v>0</v>
      </c>
      <c r="AC46" s="169">
        <f t="shared" si="16"/>
        <v>13415.65424135021</v>
      </c>
      <c r="AD46" s="200">
        <f t="shared" si="17"/>
        <v>0</v>
      </c>
      <c r="AE46" s="201">
        <f t="shared" si="18"/>
        <v>790</v>
      </c>
      <c r="AF46" s="201">
        <f t="shared" si="19"/>
        <v>63</v>
      </c>
      <c r="AG46" s="202">
        <f t="shared" si="20"/>
        <v>737</v>
      </c>
      <c r="AH46" s="200">
        <f t="shared" si="21"/>
        <v>0</v>
      </c>
      <c r="AI46" s="201">
        <f t="shared" si="22"/>
        <v>228424.93549832801</v>
      </c>
      <c r="AJ46" s="201">
        <f t="shared" si="23"/>
        <v>12043.5902281377</v>
      </c>
      <c r="AK46" s="202">
        <f t="shared" si="24"/>
        <v>289172.3903622902</v>
      </c>
      <c r="AL46" s="194">
        <f t="shared" si="25"/>
        <v>0</v>
      </c>
      <c r="AM46" s="195">
        <f t="shared" si="26"/>
        <v>289.14548797256708</v>
      </c>
      <c r="AN46" s="195">
        <f t="shared" si="27"/>
        <v>191.16809885932858</v>
      </c>
      <c r="AO46" s="196">
        <f t="shared" si="28"/>
        <v>392.36416602753081</v>
      </c>
      <c r="AP46" s="188">
        <f t="shared" si="29"/>
        <v>0</v>
      </c>
      <c r="AQ46" s="189">
        <f t="shared" si="30"/>
        <v>0</v>
      </c>
      <c r="AR46" s="189">
        <f t="shared" si="31"/>
        <v>0</v>
      </c>
      <c r="AS46" s="190">
        <f t="shared" si="32"/>
        <v>-0.1035960605185966</v>
      </c>
      <c r="AT46" s="196">
        <f>IF(ISERROR(VLOOKUP(A46,Mandatory!A:A,1,FALSE)),0,1)</f>
        <v>0</v>
      </c>
    </row>
    <row r="47" spans="1:46">
      <c r="A47">
        <v>222</v>
      </c>
      <c r="B47" s="185">
        <f>VLOOKUP(A47,OPATT_Activities!A:J,3,FALSE)</f>
        <v>0</v>
      </c>
      <c r="C47" s="186">
        <f>VLOOKUP(A47,OPATT_Activities!A:J,4,FALSE)</f>
        <v>99</v>
      </c>
      <c r="D47" s="186">
        <f>VLOOKUP(A47,OPATT_Activities!A:J,5,FALSE)</f>
        <v>0</v>
      </c>
      <c r="E47" s="187">
        <f>VLOOKUP(A47,OPATT_Activities!A:J,6,FALSE)</f>
        <v>186</v>
      </c>
      <c r="F47" s="185">
        <f>VLOOKUP(A47,OPATT_Cost_Quantum!A:F,2,FALSE)</f>
        <v>0</v>
      </c>
      <c r="G47" s="186">
        <f>VLOOKUP(A47,OPATT_Cost_Quantum!A:F,3,FALSE)</f>
        <v>7030.2899230030098</v>
      </c>
      <c r="H47" s="186">
        <f>VLOOKUP(A47,OPATT_Cost_Quantum!A:F,4,FALSE)</f>
        <v>0</v>
      </c>
      <c r="I47" s="187">
        <f>VLOOKUP(A47,OPATT_Cost_Quantum!A:F,5,FALSE)</f>
        <v>11123.1622039793</v>
      </c>
      <c r="J47" s="179">
        <f t="shared" si="12"/>
        <v>0</v>
      </c>
      <c r="K47" s="180">
        <f t="shared" si="12"/>
        <v>71.013029525282931</v>
      </c>
      <c r="L47" s="180">
        <f t="shared" si="12"/>
        <v>0</v>
      </c>
      <c r="M47" s="181">
        <f t="shared" si="12"/>
        <v>59.801947333222046</v>
      </c>
      <c r="N47" s="173">
        <f>IF(ISERROR(VLOOKUP($A47,'HRGs to TFCs % Split'!$A$8:$I$117,6,0)),0,VLOOKUP($A47,'HRGs to TFCs % Split'!$A$8:$I$117,6,0))</f>
        <v>0</v>
      </c>
      <c r="O47" s="174">
        <f>IF(ISERROR(VLOOKUP($A47,'HRGs to TFCs % Split'!$A$8:$I$117,6,0)),0,VLOOKUP($A47,'HRGs to TFCs % Split'!$A$8:$I$117,7,0))</f>
        <v>0</v>
      </c>
      <c r="P47" s="174">
        <f>IF(ISERROR(VLOOKUP($A47,'HRGs to TFCs % Split'!$A$8:$I$117,6,0)),0,VLOOKUP($A47,'HRGs to TFCs % Split'!$A$8:$I$117,8,0))</f>
        <v>0</v>
      </c>
      <c r="Q47" s="175">
        <f>IF(ISERROR(VLOOKUP($A47,'HRGs to TFCs % Split'!$A$8:$I$117,6,0)),0,VLOOKUP($A47,'HRGs to TFCs % Split'!$A$8:$I$117,9,0))</f>
        <v>0</v>
      </c>
      <c r="R47" s="167">
        <f t="shared" si="33"/>
        <v>0</v>
      </c>
      <c r="S47" s="168">
        <f t="shared" si="34"/>
        <v>0</v>
      </c>
      <c r="T47" s="168">
        <f t="shared" si="35"/>
        <v>0</v>
      </c>
      <c r="U47" s="169">
        <f t="shared" si="36"/>
        <v>0</v>
      </c>
      <c r="V47" s="173">
        <f>IF(ISERROR(VLOOKUP($A47,'HRGs to TFCs % Split'!$A$8:$AA$117,6,0)),0,VLOOKUP($A47,'HRGs to TFCs % Split'!$A$8:$AA$117,14,0))</f>
        <v>0</v>
      </c>
      <c r="W47" s="174">
        <f>IF(ISERROR(VLOOKUP($A47,'HRGs to TFCs % Split'!$A$8:$AA$117,6,0)),0,VLOOKUP($A47,'HRGs to TFCs % Split'!$A$8:$AA$117,15,0))</f>
        <v>0</v>
      </c>
      <c r="X47" s="174">
        <f>IF(ISERROR(VLOOKUP($A47,'HRGs to TFCs % Split'!$A$8:$AA$117,6,0)),0,VLOOKUP($A47,'HRGs to TFCs % Split'!$A$8:$AA$117,16,0))</f>
        <v>0</v>
      </c>
      <c r="Y47" s="175">
        <f>IF(ISERROR(VLOOKUP($A47,'HRGs to TFCs % Split'!$A$8:$AA$117,6,0)),0,VLOOKUP($A47,'HRGs to TFCs % Split'!$A$8:$AA$117,17,0))</f>
        <v>0</v>
      </c>
      <c r="Z47" s="167">
        <f t="shared" si="13"/>
        <v>0</v>
      </c>
      <c r="AA47" s="168">
        <f t="shared" si="14"/>
        <v>0</v>
      </c>
      <c r="AB47" s="168">
        <f t="shared" si="15"/>
        <v>0</v>
      </c>
      <c r="AC47" s="169">
        <f t="shared" si="16"/>
        <v>0</v>
      </c>
      <c r="AD47" s="200">
        <f t="shared" si="17"/>
        <v>0</v>
      </c>
      <c r="AE47" s="201">
        <f t="shared" si="18"/>
        <v>99</v>
      </c>
      <c r="AF47" s="201">
        <f t="shared" si="19"/>
        <v>0</v>
      </c>
      <c r="AG47" s="202">
        <f t="shared" si="20"/>
        <v>186</v>
      </c>
      <c r="AH47" s="200">
        <f t="shared" si="21"/>
        <v>0</v>
      </c>
      <c r="AI47" s="201">
        <f t="shared" si="22"/>
        <v>7030.2899230030098</v>
      </c>
      <c r="AJ47" s="201">
        <f t="shared" si="23"/>
        <v>0</v>
      </c>
      <c r="AK47" s="202">
        <f t="shared" si="24"/>
        <v>11123.1622039793</v>
      </c>
      <c r="AL47" s="194">
        <f t="shared" si="25"/>
        <v>0</v>
      </c>
      <c r="AM47" s="195">
        <f t="shared" si="26"/>
        <v>71.013029525282931</v>
      </c>
      <c r="AN47" s="195">
        <f t="shared" si="27"/>
        <v>0</v>
      </c>
      <c r="AO47" s="196">
        <f t="shared" si="28"/>
        <v>59.801947333222046</v>
      </c>
      <c r="AP47" s="188">
        <f t="shared" si="29"/>
        <v>0</v>
      </c>
      <c r="AQ47" s="189">
        <f t="shared" si="30"/>
        <v>0</v>
      </c>
      <c r="AR47" s="189">
        <f t="shared" si="31"/>
        <v>0</v>
      </c>
      <c r="AS47" s="190">
        <f t="shared" si="32"/>
        <v>0</v>
      </c>
      <c r="AT47" s="196">
        <f>IF(ISERROR(VLOOKUP(A47,Mandatory!A:A,1,FALSE)),0,1)</f>
        <v>0</v>
      </c>
    </row>
    <row r="48" spans="1:46">
      <c r="A48">
        <v>241</v>
      </c>
      <c r="B48" s="185">
        <f>VLOOKUP(A48,OPATT_Activities!A:J,3,FALSE)</f>
        <v>0</v>
      </c>
      <c r="C48" s="186">
        <f>VLOOKUP(A48,OPATT_Activities!A:J,4,FALSE)</f>
        <v>221</v>
      </c>
      <c r="D48" s="186">
        <f>VLOOKUP(A48,OPATT_Activities!A:J,5,FALSE)</f>
        <v>0</v>
      </c>
      <c r="E48" s="187">
        <f>VLOOKUP(A48,OPATT_Activities!A:J,6,FALSE)</f>
        <v>496</v>
      </c>
      <c r="F48" s="185">
        <f>VLOOKUP(A48,OPATT_Cost_Quantum!A:F,2,FALSE)</f>
        <v>0</v>
      </c>
      <c r="G48" s="186">
        <f>VLOOKUP(A48,OPATT_Cost_Quantum!A:F,3,FALSE)</f>
        <v>195923.87175299501</v>
      </c>
      <c r="H48" s="186">
        <f>VLOOKUP(A48,OPATT_Cost_Quantum!A:F,4,FALSE)</f>
        <v>0</v>
      </c>
      <c r="I48" s="187">
        <f>VLOOKUP(A48,OPATT_Cost_Quantum!A:F,5,FALSE)</f>
        <v>309465.57718034397</v>
      </c>
      <c r="J48" s="179">
        <f t="shared" si="12"/>
        <v>0</v>
      </c>
      <c r="K48" s="180">
        <f t="shared" si="12"/>
        <v>886.53335634839368</v>
      </c>
      <c r="L48" s="180">
        <f t="shared" si="12"/>
        <v>0</v>
      </c>
      <c r="M48" s="181">
        <f t="shared" si="12"/>
        <v>623.92253463779025</v>
      </c>
      <c r="N48" s="173">
        <f>IF(ISERROR(VLOOKUP($A48,'HRGs to TFCs % Split'!$A$8:$I$117,6,0)),0,VLOOKUP($A48,'HRGs to TFCs % Split'!$A$8:$I$117,6,0))</f>
        <v>0</v>
      </c>
      <c r="O48" s="174">
        <f>IF(ISERROR(VLOOKUP($A48,'HRGs to TFCs % Split'!$A$8:$I$117,6,0)),0,VLOOKUP($A48,'HRGs to TFCs % Split'!$A$8:$I$117,7,0))</f>
        <v>0</v>
      </c>
      <c r="P48" s="174">
        <f>IF(ISERROR(VLOOKUP($A48,'HRGs to TFCs % Split'!$A$8:$I$117,6,0)),0,VLOOKUP($A48,'HRGs to TFCs % Split'!$A$8:$I$117,8,0))</f>
        <v>0</v>
      </c>
      <c r="Q48" s="175">
        <f>IF(ISERROR(VLOOKUP($A48,'HRGs to TFCs % Split'!$A$8:$I$117,6,0)),0,VLOOKUP($A48,'HRGs to TFCs % Split'!$A$8:$I$117,9,0))</f>
        <v>0</v>
      </c>
      <c r="R48" s="167">
        <f t="shared" si="33"/>
        <v>0</v>
      </c>
      <c r="S48" s="168">
        <f t="shared" si="34"/>
        <v>0</v>
      </c>
      <c r="T48" s="168">
        <f t="shared" si="35"/>
        <v>0</v>
      </c>
      <c r="U48" s="169">
        <f t="shared" si="36"/>
        <v>0</v>
      </c>
      <c r="V48" s="173">
        <f>IF(ISERROR(VLOOKUP($A48,'HRGs to TFCs % Split'!$A$8:$AA$117,6,0)),0,VLOOKUP($A48,'HRGs to TFCs % Split'!$A$8:$AA$117,14,0))</f>
        <v>0</v>
      </c>
      <c r="W48" s="174">
        <f>IF(ISERROR(VLOOKUP($A48,'HRGs to TFCs % Split'!$A$8:$AA$117,6,0)),0,VLOOKUP($A48,'HRGs to TFCs % Split'!$A$8:$AA$117,15,0))</f>
        <v>0</v>
      </c>
      <c r="X48" s="174">
        <f>IF(ISERROR(VLOOKUP($A48,'HRGs to TFCs % Split'!$A$8:$AA$117,6,0)),0,VLOOKUP($A48,'HRGs to TFCs % Split'!$A$8:$AA$117,16,0))</f>
        <v>0</v>
      </c>
      <c r="Y48" s="175">
        <f>IF(ISERROR(VLOOKUP($A48,'HRGs to TFCs % Split'!$A$8:$AA$117,6,0)),0,VLOOKUP($A48,'HRGs to TFCs % Split'!$A$8:$AA$117,17,0))</f>
        <v>0</v>
      </c>
      <c r="Z48" s="167">
        <f t="shared" si="13"/>
        <v>0</v>
      </c>
      <c r="AA48" s="168">
        <f t="shared" si="14"/>
        <v>0</v>
      </c>
      <c r="AB48" s="168">
        <f t="shared" si="15"/>
        <v>0</v>
      </c>
      <c r="AC48" s="169">
        <f t="shared" si="16"/>
        <v>0</v>
      </c>
      <c r="AD48" s="200">
        <f t="shared" si="17"/>
        <v>0</v>
      </c>
      <c r="AE48" s="201">
        <f t="shared" si="18"/>
        <v>221</v>
      </c>
      <c r="AF48" s="201">
        <f t="shared" si="19"/>
        <v>0</v>
      </c>
      <c r="AG48" s="202">
        <f t="shared" si="20"/>
        <v>496</v>
      </c>
      <c r="AH48" s="200">
        <f t="shared" si="21"/>
        <v>0</v>
      </c>
      <c r="AI48" s="201">
        <f t="shared" si="22"/>
        <v>195923.87175299501</v>
      </c>
      <c r="AJ48" s="201">
        <f t="shared" si="23"/>
        <v>0</v>
      </c>
      <c r="AK48" s="202">
        <f t="shared" si="24"/>
        <v>309465.57718034397</v>
      </c>
      <c r="AL48" s="194">
        <f t="shared" si="25"/>
        <v>0</v>
      </c>
      <c r="AM48" s="195">
        <f t="shared" si="26"/>
        <v>886.53335634839368</v>
      </c>
      <c r="AN48" s="195">
        <f t="shared" si="27"/>
        <v>0</v>
      </c>
      <c r="AO48" s="196">
        <f t="shared" si="28"/>
        <v>623.92253463779025</v>
      </c>
      <c r="AP48" s="188">
        <f t="shared" si="29"/>
        <v>0</v>
      </c>
      <c r="AQ48" s="189">
        <f t="shared" si="30"/>
        <v>0</v>
      </c>
      <c r="AR48" s="189">
        <f t="shared" si="31"/>
        <v>0</v>
      </c>
      <c r="AS48" s="190">
        <f t="shared" si="32"/>
        <v>0</v>
      </c>
      <c r="AT48" s="196">
        <f>IF(ISERROR(VLOOKUP(A48,Mandatory!A:A,1,FALSE)),0,1)</f>
        <v>0</v>
      </c>
    </row>
    <row r="49" spans="1:46">
      <c r="A49">
        <v>242</v>
      </c>
      <c r="B49" s="185">
        <f>VLOOKUP(A49,OPATT_Activities!A:J,3,FALSE)</f>
        <v>0</v>
      </c>
      <c r="C49" s="186">
        <f>VLOOKUP(A49,OPATT_Activities!A:J,4,FALSE)</f>
        <v>1</v>
      </c>
      <c r="D49" s="186">
        <f>VLOOKUP(A49,OPATT_Activities!A:J,5,FALSE)</f>
        <v>0</v>
      </c>
      <c r="E49" s="187">
        <f>VLOOKUP(A49,OPATT_Activities!A:J,6,FALSE)</f>
        <v>32</v>
      </c>
      <c r="F49" s="185">
        <f>VLOOKUP(A49,OPATT_Cost_Quantum!A:F,2,FALSE)</f>
        <v>0</v>
      </c>
      <c r="G49" s="186">
        <f>VLOOKUP(A49,OPATT_Cost_Quantum!A:F,3,FALSE)</f>
        <v>681.54564903777498</v>
      </c>
      <c r="H49" s="186">
        <f>VLOOKUP(A49,OPATT_Cost_Quantum!A:F,4,FALSE)</f>
        <v>0</v>
      </c>
      <c r="I49" s="187">
        <f>VLOOKUP(A49,OPATT_Cost_Quantum!A:F,5,FALSE)</f>
        <v>5002.3772569372304</v>
      </c>
      <c r="J49" s="179">
        <f t="shared" si="12"/>
        <v>0</v>
      </c>
      <c r="K49" s="180">
        <f t="shared" si="12"/>
        <v>681.54564903777498</v>
      </c>
      <c r="L49" s="180">
        <f t="shared" si="12"/>
        <v>0</v>
      </c>
      <c r="M49" s="181">
        <f t="shared" si="12"/>
        <v>156.32428927928845</v>
      </c>
      <c r="N49" s="173">
        <f>IF(ISERROR(VLOOKUP($A49,'HRGs to TFCs % Split'!$A$8:$I$117,6,0)),0,VLOOKUP($A49,'HRGs to TFCs % Split'!$A$8:$I$117,6,0))</f>
        <v>0</v>
      </c>
      <c r="O49" s="174">
        <f>IF(ISERROR(VLOOKUP($A49,'HRGs to TFCs % Split'!$A$8:$I$117,6,0)),0,VLOOKUP($A49,'HRGs to TFCs % Split'!$A$8:$I$117,7,0))</f>
        <v>0</v>
      </c>
      <c r="P49" s="174">
        <f>IF(ISERROR(VLOOKUP($A49,'HRGs to TFCs % Split'!$A$8:$I$117,6,0)),0,VLOOKUP($A49,'HRGs to TFCs % Split'!$A$8:$I$117,8,0))</f>
        <v>0</v>
      </c>
      <c r="Q49" s="175">
        <f>IF(ISERROR(VLOOKUP($A49,'HRGs to TFCs % Split'!$A$8:$I$117,6,0)),0,VLOOKUP($A49,'HRGs to TFCs % Split'!$A$8:$I$117,9,0))</f>
        <v>0</v>
      </c>
      <c r="R49" s="167">
        <f t="shared" si="33"/>
        <v>0</v>
      </c>
      <c r="S49" s="168">
        <f t="shared" si="34"/>
        <v>0</v>
      </c>
      <c r="T49" s="168">
        <f t="shared" si="35"/>
        <v>0</v>
      </c>
      <c r="U49" s="169">
        <f t="shared" si="36"/>
        <v>0</v>
      </c>
      <c r="V49" s="173">
        <f>IF(ISERROR(VLOOKUP($A49,'HRGs to TFCs % Split'!$A$8:$AA$117,6,0)),0,VLOOKUP($A49,'HRGs to TFCs % Split'!$A$8:$AA$117,14,0))</f>
        <v>0</v>
      </c>
      <c r="W49" s="174">
        <f>IF(ISERROR(VLOOKUP($A49,'HRGs to TFCs % Split'!$A$8:$AA$117,6,0)),0,VLOOKUP($A49,'HRGs to TFCs % Split'!$A$8:$AA$117,15,0))</f>
        <v>0</v>
      </c>
      <c r="X49" s="174">
        <f>IF(ISERROR(VLOOKUP($A49,'HRGs to TFCs % Split'!$A$8:$AA$117,6,0)),0,VLOOKUP($A49,'HRGs to TFCs % Split'!$A$8:$AA$117,16,0))</f>
        <v>0</v>
      </c>
      <c r="Y49" s="175">
        <f>IF(ISERROR(VLOOKUP($A49,'HRGs to TFCs % Split'!$A$8:$AA$117,6,0)),0,VLOOKUP($A49,'HRGs to TFCs % Split'!$A$8:$AA$117,17,0))</f>
        <v>0</v>
      </c>
      <c r="Z49" s="167">
        <f t="shared" si="13"/>
        <v>0</v>
      </c>
      <c r="AA49" s="168">
        <f t="shared" si="14"/>
        <v>0</v>
      </c>
      <c r="AB49" s="168">
        <f t="shared" si="15"/>
        <v>0</v>
      </c>
      <c r="AC49" s="169">
        <f t="shared" si="16"/>
        <v>0</v>
      </c>
      <c r="AD49" s="200">
        <f t="shared" si="17"/>
        <v>0</v>
      </c>
      <c r="AE49" s="201">
        <f t="shared" si="18"/>
        <v>1</v>
      </c>
      <c r="AF49" s="201">
        <f t="shared" si="19"/>
        <v>0</v>
      </c>
      <c r="AG49" s="202">
        <f t="shared" si="20"/>
        <v>32</v>
      </c>
      <c r="AH49" s="200">
        <f t="shared" si="21"/>
        <v>0</v>
      </c>
      <c r="AI49" s="201">
        <f t="shared" si="22"/>
        <v>681.54564903777498</v>
      </c>
      <c r="AJ49" s="201">
        <f t="shared" si="23"/>
        <v>0</v>
      </c>
      <c r="AK49" s="202">
        <f t="shared" si="24"/>
        <v>5002.3772569372304</v>
      </c>
      <c r="AL49" s="194">
        <f t="shared" si="25"/>
        <v>0</v>
      </c>
      <c r="AM49" s="195">
        <f t="shared" si="26"/>
        <v>681.54564903777498</v>
      </c>
      <c r="AN49" s="195">
        <f t="shared" si="27"/>
        <v>0</v>
      </c>
      <c r="AO49" s="196">
        <f t="shared" si="28"/>
        <v>156.32428927928845</v>
      </c>
      <c r="AP49" s="188">
        <f t="shared" si="29"/>
        <v>0</v>
      </c>
      <c r="AQ49" s="189">
        <f t="shared" si="30"/>
        <v>0</v>
      </c>
      <c r="AR49" s="189">
        <f t="shared" si="31"/>
        <v>0</v>
      </c>
      <c r="AS49" s="190">
        <f t="shared" si="32"/>
        <v>0</v>
      </c>
      <c r="AT49" s="196">
        <f>IF(ISERROR(VLOOKUP(A49,Mandatory!A:A,1,FALSE)),0,1)</f>
        <v>0</v>
      </c>
    </row>
    <row r="50" spans="1:46">
      <c r="A50">
        <v>251</v>
      </c>
      <c r="B50" s="185">
        <f>VLOOKUP(A50,OPATT_Activities!A:J,3,FALSE)</f>
        <v>1220</v>
      </c>
      <c r="C50" s="186">
        <f>VLOOKUP(A50,OPATT_Activities!A:J,4,FALSE)</f>
        <v>12872</v>
      </c>
      <c r="D50" s="186">
        <f>VLOOKUP(A50,OPATT_Activities!A:J,5,FALSE)</f>
        <v>4456</v>
      </c>
      <c r="E50" s="187">
        <f>VLOOKUP(A50,OPATT_Activities!A:J,6,FALSE)</f>
        <v>38643</v>
      </c>
      <c r="F50" s="185">
        <f>VLOOKUP(A50,OPATT_Cost_Quantum!A:F,2,FALSE)</f>
        <v>245765.798879699</v>
      </c>
      <c r="G50" s="186">
        <f>VLOOKUP(A50,OPATT_Cost_Quantum!A:F,3,FALSE)</f>
        <v>2770355.8840831998</v>
      </c>
      <c r="H50" s="186">
        <f>VLOOKUP(A50,OPATT_Cost_Quantum!A:F,4,FALSE)</f>
        <v>750173.31392146298</v>
      </c>
      <c r="I50" s="187">
        <f>VLOOKUP(A50,OPATT_Cost_Quantum!A:F,5,FALSE)</f>
        <v>6663803.5986974202</v>
      </c>
      <c r="J50" s="179">
        <f t="shared" si="12"/>
        <v>201.44737613090081</v>
      </c>
      <c r="K50" s="180">
        <f t="shared" si="12"/>
        <v>215.2234216969546</v>
      </c>
      <c r="L50" s="180">
        <f t="shared" si="12"/>
        <v>168.35128229835345</v>
      </c>
      <c r="M50" s="181">
        <f t="shared" si="12"/>
        <v>172.44529665650754</v>
      </c>
      <c r="N50" s="173">
        <f>IF(ISERROR(VLOOKUP($A50,'HRGs to TFCs % Split'!$A$8:$I$117,6,0)),0,VLOOKUP($A50,'HRGs to TFCs % Split'!$A$8:$I$117,6,0))</f>
        <v>0</v>
      </c>
      <c r="O50" s="174">
        <f>IF(ISERROR(VLOOKUP($A50,'HRGs to TFCs % Split'!$A$8:$I$117,6,0)),0,VLOOKUP($A50,'HRGs to TFCs % Split'!$A$8:$I$117,7,0))</f>
        <v>1.8460797757529974E-5</v>
      </c>
      <c r="P50" s="174">
        <f>IF(ISERROR(VLOOKUP($A50,'HRGs to TFCs % Split'!$A$8:$I$117,6,0)),0,VLOOKUP($A50,'HRGs to TFCs % Split'!$A$8:$I$117,8,0))</f>
        <v>0</v>
      </c>
      <c r="Q50" s="175">
        <f>IF(ISERROR(VLOOKUP($A50,'HRGs to TFCs % Split'!$A$8:$I$117,6,0)),0,VLOOKUP($A50,'HRGs to TFCs % Split'!$A$8:$I$117,9,0))</f>
        <v>4.7259642259276737E-5</v>
      </c>
      <c r="R50" s="167">
        <f t="shared" si="33"/>
        <v>0</v>
      </c>
      <c r="S50" s="168">
        <f t="shared" si="34"/>
        <v>29</v>
      </c>
      <c r="T50" s="168">
        <f t="shared" si="35"/>
        <v>0</v>
      </c>
      <c r="U50" s="169">
        <f t="shared" si="36"/>
        <v>75</v>
      </c>
      <c r="V50" s="173">
        <f>IF(ISERROR(VLOOKUP($A50,'HRGs to TFCs % Split'!$A$8:$AA$117,6,0)),0,VLOOKUP($A50,'HRGs to TFCs % Split'!$A$8:$AA$117,14,0))</f>
        <v>0</v>
      </c>
      <c r="W50" s="174">
        <f>IF(ISERROR(VLOOKUP($A50,'HRGs to TFCs % Split'!$A$8:$AA$117,6,0)),0,VLOOKUP($A50,'HRGs to TFCs % Split'!$A$8:$AA$117,15,0))</f>
        <v>2.08438009371854E-5</v>
      </c>
      <c r="X50" s="174">
        <f>IF(ISERROR(VLOOKUP($A50,'HRGs to TFCs % Split'!$A$8:$AA$117,6,0)),0,VLOOKUP($A50,'HRGs to TFCs % Split'!$A$8:$AA$117,16,0))</f>
        <v>0</v>
      </c>
      <c r="Y50" s="175">
        <f>IF(ISERROR(VLOOKUP($A50,'HRGs to TFCs % Split'!$A$8:$AA$117,6,0)),0,VLOOKUP($A50,'HRGs to TFCs % Split'!$A$8:$AA$117,17,0))</f>
        <v>7.3312511310925476E-5</v>
      </c>
      <c r="Z50" s="167">
        <f t="shared" si="13"/>
        <v>0</v>
      </c>
      <c r="AA50" s="168">
        <f t="shared" si="14"/>
        <v>3687.0417412179527</v>
      </c>
      <c r="AB50" s="168">
        <f t="shared" si="15"/>
        <v>0</v>
      </c>
      <c r="AC50" s="169">
        <f t="shared" si="16"/>
        <v>12968.186089067294</v>
      </c>
      <c r="AD50" s="200">
        <f t="shared" si="17"/>
        <v>1220</v>
      </c>
      <c r="AE50" s="201">
        <f t="shared" si="18"/>
        <v>12901</v>
      </c>
      <c r="AF50" s="201">
        <f t="shared" si="19"/>
        <v>4456</v>
      </c>
      <c r="AG50" s="202">
        <f t="shared" si="20"/>
        <v>38718</v>
      </c>
      <c r="AH50" s="200">
        <f t="shared" si="21"/>
        <v>245765.798879699</v>
      </c>
      <c r="AI50" s="201">
        <f t="shared" si="22"/>
        <v>2774042.9258244177</v>
      </c>
      <c r="AJ50" s="201">
        <f t="shared" si="23"/>
        <v>750173.31392146298</v>
      </c>
      <c r="AK50" s="202">
        <f t="shared" si="24"/>
        <v>6676771.7847864879</v>
      </c>
      <c r="AL50" s="194">
        <f t="shared" si="25"/>
        <v>201.44737613090081</v>
      </c>
      <c r="AM50" s="195">
        <f t="shared" si="26"/>
        <v>215.0254186361071</v>
      </c>
      <c r="AN50" s="195">
        <f t="shared" si="27"/>
        <v>168.35128229835345</v>
      </c>
      <c r="AO50" s="196">
        <f t="shared" si="28"/>
        <v>172.44619517502164</v>
      </c>
      <c r="AP50" s="188">
        <f t="shared" si="29"/>
        <v>0</v>
      </c>
      <c r="AQ50" s="189">
        <f t="shared" si="30"/>
        <v>-9.1998844403795577E-4</v>
      </c>
      <c r="AR50" s="189">
        <f t="shared" si="31"/>
        <v>0</v>
      </c>
      <c r="AS50" s="190">
        <f t="shared" si="32"/>
        <v>5.2104553243115248E-6</v>
      </c>
      <c r="AT50" s="196">
        <f>IF(ISERROR(VLOOKUP(A50,Mandatory!A:A,1,FALSE)),0,1)</f>
        <v>1</v>
      </c>
    </row>
    <row r="51" spans="1:46">
      <c r="A51">
        <v>252</v>
      </c>
      <c r="B51" s="185">
        <f>VLOOKUP(A51,OPATT_Activities!A:J,3,FALSE)</f>
        <v>915</v>
      </c>
      <c r="C51" s="186">
        <f>VLOOKUP(A51,OPATT_Activities!A:J,4,FALSE)</f>
        <v>8516</v>
      </c>
      <c r="D51" s="186">
        <f>VLOOKUP(A51,OPATT_Activities!A:J,5,FALSE)</f>
        <v>5478</v>
      </c>
      <c r="E51" s="187">
        <f>VLOOKUP(A51,OPATT_Activities!A:J,6,FALSE)</f>
        <v>33772</v>
      </c>
      <c r="F51" s="185">
        <f>VLOOKUP(A51,OPATT_Cost_Quantum!A:F,2,FALSE)</f>
        <v>181746.526212517</v>
      </c>
      <c r="G51" s="186">
        <f>VLOOKUP(A51,OPATT_Cost_Quantum!A:F,3,FALSE)</f>
        <v>2775401.2076065801</v>
      </c>
      <c r="H51" s="186">
        <f>VLOOKUP(A51,OPATT_Cost_Quantum!A:F,4,FALSE)</f>
        <v>1264476.6805070599</v>
      </c>
      <c r="I51" s="187">
        <f>VLOOKUP(A51,OPATT_Cost_Quantum!A:F,5,FALSE)</f>
        <v>7247122.9314443404</v>
      </c>
      <c r="J51" s="179">
        <f t="shared" si="12"/>
        <v>198.63008329236831</v>
      </c>
      <c r="K51" s="180">
        <f t="shared" si="12"/>
        <v>325.90432217080553</v>
      </c>
      <c r="L51" s="180">
        <f t="shared" si="12"/>
        <v>230.82816365590725</v>
      </c>
      <c r="M51" s="181">
        <f t="shared" si="12"/>
        <v>214.58968765380612</v>
      </c>
      <c r="N51" s="173">
        <f>IF(ISERROR(VLOOKUP($A51,'HRGs to TFCs % Split'!$A$8:$I$117,6,0)),0,VLOOKUP($A51,'HRGs to TFCs % Split'!$A$8:$I$117,6,0))</f>
        <v>0</v>
      </c>
      <c r="O51" s="174">
        <f>IF(ISERROR(VLOOKUP($A51,'HRGs to TFCs % Split'!$A$8:$I$117,6,0)),0,VLOOKUP($A51,'HRGs to TFCs % Split'!$A$8:$I$117,7,0))</f>
        <v>6.6458871927107905E-6</v>
      </c>
      <c r="P51" s="174">
        <f>IF(ISERROR(VLOOKUP($A51,'HRGs to TFCs % Split'!$A$8:$I$117,6,0)),0,VLOOKUP($A51,'HRGs to TFCs % Split'!$A$8:$I$117,8,0))</f>
        <v>0</v>
      </c>
      <c r="Q51" s="175">
        <f>IF(ISERROR(VLOOKUP($A51,'HRGs to TFCs % Split'!$A$8:$I$117,6,0)),0,VLOOKUP($A51,'HRGs to TFCs % Split'!$A$8:$I$117,9,0))</f>
        <v>2.8798844501746759E-5</v>
      </c>
      <c r="R51" s="167">
        <f t="shared" si="33"/>
        <v>0</v>
      </c>
      <c r="S51" s="168">
        <f t="shared" si="34"/>
        <v>10</v>
      </c>
      <c r="T51" s="168">
        <f t="shared" si="35"/>
        <v>0</v>
      </c>
      <c r="U51" s="169">
        <f t="shared" si="36"/>
        <v>45</v>
      </c>
      <c r="V51" s="173">
        <f>IF(ISERROR(VLOOKUP($A51,'HRGs to TFCs % Split'!$A$8:$AA$117,6,0)),0,VLOOKUP($A51,'HRGs to TFCs % Split'!$A$8:$AA$117,14,0))</f>
        <v>0</v>
      </c>
      <c r="W51" s="174">
        <f>IF(ISERROR(VLOOKUP($A51,'HRGs to TFCs % Split'!$A$8:$AA$117,6,0)),0,VLOOKUP($A51,'HRGs to TFCs % Split'!$A$8:$AA$117,15,0))</f>
        <v>1.7465067499404242E-5</v>
      </c>
      <c r="X51" s="174">
        <f>IF(ISERROR(VLOOKUP($A51,'HRGs to TFCs % Split'!$A$8:$AA$117,6,0)),0,VLOOKUP($A51,'HRGs to TFCs % Split'!$A$8:$AA$117,16,0))</f>
        <v>0</v>
      </c>
      <c r="Y51" s="175">
        <f>IF(ISERROR(VLOOKUP($A51,'HRGs to TFCs % Split'!$A$8:$AA$117,6,0)),0,VLOOKUP($A51,'HRGs to TFCs % Split'!$A$8:$AA$117,17,0))</f>
        <v>5.3849421640698659E-5</v>
      </c>
      <c r="Z51" s="167">
        <f t="shared" si="13"/>
        <v>0</v>
      </c>
      <c r="AA51" s="168">
        <f t="shared" si="14"/>
        <v>3089.3805346515587</v>
      </c>
      <c r="AB51" s="168">
        <f t="shared" si="15"/>
        <v>0</v>
      </c>
      <c r="AC51" s="169">
        <f t="shared" si="16"/>
        <v>9525.3771578434298</v>
      </c>
      <c r="AD51" s="200">
        <f t="shared" si="17"/>
        <v>915</v>
      </c>
      <c r="AE51" s="201">
        <f t="shared" si="18"/>
        <v>8526</v>
      </c>
      <c r="AF51" s="201">
        <f t="shared" si="19"/>
        <v>5478</v>
      </c>
      <c r="AG51" s="202">
        <f t="shared" si="20"/>
        <v>33817</v>
      </c>
      <c r="AH51" s="200">
        <f t="shared" si="21"/>
        <v>181746.526212517</v>
      </c>
      <c r="AI51" s="201">
        <f t="shared" si="22"/>
        <v>2778490.5881412318</v>
      </c>
      <c r="AJ51" s="201">
        <f t="shared" si="23"/>
        <v>1264476.6805070599</v>
      </c>
      <c r="AK51" s="202">
        <f t="shared" si="24"/>
        <v>7256648.3086021841</v>
      </c>
      <c r="AL51" s="194">
        <f t="shared" si="25"/>
        <v>198.63008329236831</v>
      </c>
      <c r="AM51" s="195">
        <f t="shared" si="26"/>
        <v>325.88442272357867</v>
      </c>
      <c r="AN51" s="195">
        <f t="shared" si="27"/>
        <v>230.82816365590725</v>
      </c>
      <c r="AO51" s="196">
        <f t="shared" si="28"/>
        <v>214.58580916705159</v>
      </c>
      <c r="AP51" s="188">
        <f t="shared" si="29"/>
        <v>0</v>
      </c>
      <c r="AQ51" s="189">
        <f t="shared" si="30"/>
        <v>-6.1059169434551919E-5</v>
      </c>
      <c r="AR51" s="189">
        <f t="shared" si="31"/>
        <v>0</v>
      </c>
      <c r="AS51" s="190">
        <f t="shared" si="32"/>
        <v>-1.8073966167375666E-5</v>
      </c>
      <c r="AT51" s="196">
        <f>IF(ISERROR(VLOOKUP(A51,Mandatory!A:A,1,FALSE)),0,1)</f>
        <v>1</v>
      </c>
    </row>
    <row r="52" spans="1:46">
      <c r="A52">
        <v>253</v>
      </c>
      <c r="B52" s="185">
        <f>VLOOKUP(A52,OPATT_Activities!A:J,3,FALSE)</f>
        <v>239</v>
      </c>
      <c r="C52" s="186">
        <f>VLOOKUP(A52,OPATT_Activities!A:J,4,FALSE)</f>
        <v>5363</v>
      </c>
      <c r="D52" s="186">
        <f>VLOOKUP(A52,OPATT_Activities!A:J,5,FALSE)</f>
        <v>1770</v>
      </c>
      <c r="E52" s="187">
        <f>VLOOKUP(A52,OPATT_Activities!A:J,6,FALSE)</f>
        <v>38293</v>
      </c>
      <c r="F52" s="185">
        <f>VLOOKUP(A52,OPATT_Cost_Quantum!A:F,2,FALSE)</f>
        <v>51851.552905742799</v>
      </c>
      <c r="G52" s="186">
        <f>VLOOKUP(A52,OPATT_Cost_Quantum!A:F,3,FALSE)</f>
        <v>1618914.88030745</v>
      </c>
      <c r="H52" s="186">
        <f>VLOOKUP(A52,OPATT_Cost_Quantum!A:F,4,FALSE)</f>
        <v>290010.06115968898</v>
      </c>
      <c r="I52" s="187">
        <f>VLOOKUP(A52,OPATT_Cost_Quantum!A:F,5,FALSE)</f>
        <v>9401357.69633184</v>
      </c>
      <c r="J52" s="179">
        <f t="shared" si="12"/>
        <v>216.95210420812887</v>
      </c>
      <c r="K52" s="180">
        <f t="shared" si="12"/>
        <v>301.86740263051462</v>
      </c>
      <c r="L52" s="180">
        <f t="shared" si="12"/>
        <v>163.84749218061523</v>
      </c>
      <c r="M52" s="181">
        <f t="shared" si="12"/>
        <v>245.51112987574334</v>
      </c>
      <c r="N52" s="173">
        <f>IF(ISERROR(VLOOKUP($A52,'HRGs to TFCs % Split'!$A$8:$I$117,6,0)),0,VLOOKUP($A52,'HRGs to TFCs % Split'!$A$8:$I$117,6,0))</f>
        <v>0</v>
      </c>
      <c r="O52" s="174">
        <f>IF(ISERROR(VLOOKUP($A52,'HRGs to TFCs % Split'!$A$8:$I$117,6,0)),0,VLOOKUP($A52,'HRGs to TFCs % Split'!$A$8:$I$117,7,0))</f>
        <v>1.476863820602398E-6</v>
      </c>
      <c r="P52" s="174">
        <f>IF(ISERROR(VLOOKUP($A52,'HRGs to TFCs % Split'!$A$8:$I$117,6,0)),0,VLOOKUP($A52,'HRGs to TFCs % Split'!$A$8:$I$117,8,0))</f>
        <v>0</v>
      </c>
      <c r="Q52" s="175">
        <f>IF(ISERROR(VLOOKUP($A52,'HRGs to TFCs % Split'!$A$8:$I$117,6,0)),0,VLOOKUP($A52,'HRGs to TFCs % Split'!$A$8:$I$117,9,0))</f>
        <v>6.7197303837409104E-5</v>
      </c>
      <c r="R52" s="167">
        <f t="shared" si="33"/>
        <v>0</v>
      </c>
      <c r="S52" s="168">
        <f t="shared" si="34"/>
        <v>2</v>
      </c>
      <c r="T52" s="168">
        <f t="shared" si="35"/>
        <v>0</v>
      </c>
      <c r="U52" s="169">
        <f t="shared" si="36"/>
        <v>106</v>
      </c>
      <c r="V52" s="173">
        <f>IF(ISERROR(VLOOKUP($A52,'HRGs to TFCs % Split'!$A$8:$AA$117,6,0)),0,VLOOKUP($A52,'HRGs to TFCs % Split'!$A$8:$AA$117,14,0))</f>
        <v>0</v>
      </c>
      <c r="W52" s="174">
        <f>IF(ISERROR(VLOOKUP($A52,'HRGs to TFCs % Split'!$A$8:$AA$117,6,0)),0,VLOOKUP($A52,'HRGs to TFCs % Split'!$A$8:$AA$117,15,0))</f>
        <v>1.2110330869042088E-6</v>
      </c>
      <c r="X52" s="174">
        <f>IF(ISERROR(VLOOKUP($A52,'HRGs to TFCs % Split'!$A$8:$AA$117,6,0)),0,VLOOKUP($A52,'HRGs to TFCs % Split'!$A$8:$AA$117,16,0))</f>
        <v>0</v>
      </c>
      <c r="Y52" s="175">
        <f>IF(ISERROR(VLOOKUP($A52,'HRGs to TFCs % Split'!$A$8:$AA$117,6,0)),0,VLOOKUP($A52,'HRGs to TFCs % Split'!$A$8:$AA$117,17,0))</f>
        <v>1.1066874922408001E-4</v>
      </c>
      <c r="Z52" s="167">
        <f t="shared" si="13"/>
        <v>0</v>
      </c>
      <c r="AA52" s="168">
        <f t="shared" si="14"/>
        <v>214.21858493409627</v>
      </c>
      <c r="AB52" s="168">
        <f t="shared" si="15"/>
        <v>0</v>
      </c>
      <c r="AC52" s="169">
        <f t="shared" si="16"/>
        <v>19576.09838374631</v>
      </c>
      <c r="AD52" s="200">
        <f t="shared" si="17"/>
        <v>239</v>
      </c>
      <c r="AE52" s="201">
        <f t="shared" si="18"/>
        <v>5365</v>
      </c>
      <c r="AF52" s="201">
        <f t="shared" si="19"/>
        <v>1770</v>
      </c>
      <c r="AG52" s="202">
        <f t="shared" si="20"/>
        <v>38399</v>
      </c>
      <c r="AH52" s="200">
        <f t="shared" si="21"/>
        <v>51851.552905742799</v>
      </c>
      <c r="AI52" s="201">
        <f t="shared" si="22"/>
        <v>1619129.098892384</v>
      </c>
      <c r="AJ52" s="201">
        <f t="shared" si="23"/>
        <v>290010.06115968898</v>
      </c>
      <c r="AK52" s="202">
        <f t="shared" si="24"/>
        <v>9420933.794715587</v>
      </c>
      <c r="AL52" s="194">
        <f t="shared" si="25"/>
        <v>216.95210420812887</v>
      </c>
      <c r="AM52" s="195">
        <f t="shared" si="26"/>
        <v>301.79479942076125</v>
      </c>
      <c r="AN52" s="195">
        <f t="shared" si="27"/>
        <v>163.84749218061523</v>
      </c>
      <c r="AO52" s="196">
        <f t="shared" si="28"/>
        <v>245.34320671672666</v>
      </c>
      <c r="AP52" s="188">
        <f t="shared" si="29"/>
        <v>0</v>
      </c>
      <c r="AQ52" s="189">
        <f t="shared" si="30"/>
        <v>-2.4051358020338309E-4</v>
      </c>
      <c r="AR52" s="189">
        <f t="shared" si="31"/>
        <v>0</v>
      </c>
      <c r="AS52" s="190">
        <f t="shared" si="32"/>
        <v>-6.8397371272610474E-4</v>
      </c>
      <c r="AT52" s="196">
        <f>IF(ISERROR(VLOOKUP(A52,Mandatory!A:A,1,FALSE)),0,1)</f>
        <v>1</v>
      </c>
    </row>
    <row r="53" spans="1:46">
      <c r="A53">
        <v>254</v>
      </c>
      <c r="B53" s="185">
        <f>VLOOKUP(A53,OPATT_Activities!A:J,3,FALSE)</f>
        <v>0</v>
      </c>
      <c r="C53" s="186">
        <f>VLOOKUP(A53,OPATT_Activities!A:J,4,FALSE)</f>
        <v>15577</v>
      </c>
      <c r="D53" s="186">
        <f>VLOOKUP(A53,OPATT_Activities!A:J,5,FALSE)</f>
        <v>0</v>
      </c>
      <c r="E53" s="187">
        <f>VLOOKUP(A53,OPATT_Activities!A:J,6,FALSE)</f>
        <v>20810</v>
      </c>
      <c r="F53" s="185">
        <f>VLOOKUP(A53,OPATT_Cost_Quantum!A:F,2,FALSE)</f>
        <v>0</v>
      </c>
      <c r="G53" s="186">
        <f>VLOOKUP(A53,OPATT_Cost_Quantum!A:F,3,FALSE)</f>
        <v>2487460.163127</v>
      </c>
      <c r="H53" s="186">
        <f>VLOOKUP(A53,OPATT_Cost_Quantum!A:F,4,FALSE)</f>
        <v>0</v>
      </c>
      <c r="I53" s="187">
        <f>VLOOKUP(A53,OPATT_Cost_Quantum!A:F,5,FALSE)</f>
        <v>3725272.7054657801</v>
      </c>
      <c r="J53" s="179">
        <f t="shared" si="12"/>
        <v>0</v>
      </c>
      <c r="K53" s="180">
        <f t="shared" si="12"/>
        <v>159.68801201303202</v>
      </c>
      <c r="L53" s="180">
        <f t="shared" si="12"/>
        <v>0</v>
      </c>
      <c r="M53" s="181">
        <f t="shared" si="12"/>
        <v>179.01358507764439</v>
      </c>
      <c r="N53" s="173">
        <f>IF(ISERROR(VLOOKUP($A53,'HRGs to TFCs % Split'!$A$8:$I$117,6,0)),0,VLOOKUP($A53,'HRGs to TFCs % Split'!$A$8:$I$117,6,0))</f>
        <v>0</v>
      </c>
      <c r="O53" s="174">
        <f>IF(ISERROR(VLOOKUP($A53,'HRGs to TFCs % Split'!$A$8:$I$117,6,0)),0,VLOOKUP($A53,'HRGs to TFCs % Split'!$A$8:$I$117,7,0))</f>
        <v>0</v>
      </c>
      <c r="P53" s="174">
        <f>IF(ISERROR(VLOOKUP($A53,'HRGs to TFCs % Split'!$A$8:$I$117,6,0)),0,VLOOKUP($A53,'HRGs to TFCs % Split'!$A$8:$I$117,8,0))</f>
        <v>0</v>
      </c>
      <c r="Q53" s="175">
        <f>IF(ISERROR(VLOOKUP($A53,'HRGs to TFCs % Split'!$A$8:$I$117,6,0)),0,VLOOKUP($A53,'HRGs to TFCs % Split'!$A$8:$I$117,9,0))</f>
        <v>0</v>
      </c>
      <c r="R53" s="167">
        <f t="shared" si="33"/>
        <v>0</v>
      </c>
      <c r="S53" s="168">
        <f t="shared" si="34"/>
        <v>0</v>
      </c>
      <c r="T53" s="168">
        <f t="shared" si="35"/>
        <v>0</v>
      </c>
      <c r="U53" s="169">
        <f t="shared" si="36"/>
        <v>0</v>
      </c>
      <c r="V53" s="173">
        <f>IF(ISERROR(VLOOKUP($A53,'HRGs to TFCs % Split'!$A$8:$AA$117,6,0)),0,VLOOKUP($A53,'HRGs to TFCs % Split'!$A$8:$AA$117,14,0))</f>
        <v>0</v>
      </c>
      <c r="W53" s="174">
        <f>IF(ISERROR(VLOOKUP($A53,'HRGs to TFCs % Split'!$A$8:$AA$117,6,0)),0,VLOOKUP($A53,'HRGs to TFCs % Split'!$A$8:$AA$117,15,0))</f>
        <v>0</v>
      </c>
      <c r="X53" s="174">
        <f>IF(ISERROR(VLOOKUP($A53,'HRGs to TFCs % Split'!$A$8:$AA$117,6,0)),0,VLOOKUP($A53,'HRGs to TFCs % Split'!$A$8:$AA$117,16,0))</f>
        <v>0</v>
      </c>
      <c r="Y53" s="175">
        <f>IF(ISERROR(VLOOKUP($A53,'HRGs to TFCs % Split'!$A$8:$AA$117,6,0)),0,VLOOKUP($A53,'HRGs to TFCs % Split'!$A$8:$AA$117,17,0))</f>
        <v>0</v>
      </c>
      <c r="Z53" s="167">
        <f t="shared" si="13"/>
        <v>0</v>
      </c>
      <c r="AA53" s="168">
        <f t="shared" si="14"/>
        <v>0</v>
      </c>
      <c r="AB53" s="168">
        <f t="shared" si="15"/>
        <v>0</v>
      </c>
      <c r="AC53" s="169">
        <f t="shared" si="16"/>
        <v>0</v>
      </c>
      <c r="AD53" s="200">
        <f t="shared" si="17"/>
        <v>0</v>
      </c>
      <c r="AE53" s="201">
        <f t="shared" si="18"/>
        <v>15577</v>
      </c>
      <c r="AF53" s="201">
        <f t="shared" si="19"/>
        <v>0</v>
      </c>
      <c r="AG53" s="202">
        <f t="shared" si="20"/>
        <v>20810</v>
      </c>
      <c r="AH53" s="200">
        <f t="shared" si="21"/>
        <v>0</v>
      </c>
      <c r="AI53" s="201">
        <f t="shared" si="22"/>
        <v>2487460.163127</v>
      </c>
      <c r="AJ53" s="201">
        <f t="shared" si="23"/>
        <v>0</v>
      </c>
      <c r="AK53" s="202">
        <f t="shared" si="24"/>
        <v>3725272.7054657801</v>
      </c>
      <c r="AL53" s="194">
        <f t="shared" si="25"/>
        <v>0</v>
      </c>
      <c r="AM53" s="195">
        <f t="shared" si="26"/>
        <v>159.68801201303202</v>
      </c>
      <c r="AN53" s="195">
        <f t="shared" si="27"/>
        <v>0</v>
      </c>
      <c r="AO53" s="196">
        <f t="shared" si="28"/>
        <v>179.01358507764439</v>
      </c>
      <c r="AP53" s="188">
        <f t="shared" si="29"/>
        <v>0</v>
      </c>
      <c r="AQ53" s="189">
        <f t="shared" si="30"/>
        <v>0</v>
      </c>
      <c r="AR53" s="189">
        <f t="shared" si="31"/>
        <v>0</v>
      </c>
      <c r="AS53" s="190">
        <f t="shared" si="32"/>
        <v>0</v>
      </c>
      <c r="AT53" s="196">
        <f>IF(ISERROR(VLOOKUP(A53,Mandatory!A:A,1,FALSE)),0,1)</f>
        <v>0</v>
      </c>
    </row>
    <row r="54" spans="1:46">
      <c r="A54">
        <v>255</v>
      </c>
      <c r="B54" s="185">
        <f>VLOOKUP(A54,OPATT_Activities!A:J,3,FALSE)</f>
        <v>851</v>
      </c>
      <c r="C54" s="186">
        <f>VLOOKUP(A54,OPATT_Activities!A:J,4,FALSE)</f>
        <v>8962</v>
      </c>
      <c r="D54" s="186">
        <f>VLOOKUP(A54,OPATT_Activities!A:J,5,FALSE)</f>
        <v>740</v>
      </c>
      <c r="E54" s="187">
        <f>VLOOKUP(A54,OPATT_Activities!A:J,6,FALSE)</f>
        <v>12568</v>
      </c>
      <c r="F54" s="185">
        <f>VLOOKUP(A54,OPATT_Cost_Quantum!A:F,2,FALSE)</f>
        <v>273958.82514780801</v>
      </c>
      <c r="G54" s="186">
        <f>VLOOKUP(A54,OPATT_Cost_Quantum!A:F,3,FALSE)</f>
        <v>2162717.81213137</v>
      </c>
      <c r="H54" s="186">
        <f>VLOOKUP(A54,OPATT_Cost_Quantum!A:F,4,FALSE)</f>
        <v>173659.91185025201</v>
      </c>
      <c r="I54" s="187">
        <f>VLOOKUP(A54,OPATT_Cost_Quantum!A:F,5,FALSE)</f>
        <v>2685083.69291774</v>
      </c>
      <c r="J54" s="179">
        <f t="shared" si="12"/>
        <v>321.92576398097299</v>
      </c>
      <c r="K54" s="180">
        <f t="shared" si="12"/>
        <v>241.32088954824479</v>
      </c>
      <c r="L54" s="180">
        <f t="shared" si="12"/>
        <v>234.6755565543946</v>
      </c>
      <c r="M54" s="181">
        <f t="shared" si="12"/>
        <v>213.64446951923455</v>
      </c>
      <c r="N54" s="173">
        <f>IF(ISERROR(VLOOKUP($A54,'HRGs to TFCs % Split'!$A$8:$I$117,6,0)),0,VLOOKUP($A54,'HRGs to TFCs % Split'!$A$8:$I$117,6,0))</f>
        <v>0</v>
      </c>
      <c r="O54" s="174">
        <f>IF(ISERROR(VLOOKUP($A54,'HRGs to TFCs % Split'!$A$8:$I$117,6,0)),0,VLOOKUP($A54,'HRGs to TFCs % Split'!$A$8:$I$117,7,0))</f>
        <v>1.7722365847228777E-5</v>
      </c>
      <c r="P54" s="174">
        <f>IF(ISERROR(VLOOKUP($A54,'HRGs to TFCs % Split'!$A$8:$I$117,6,0)),0,VLOOKUP($A54,'HRGs to TFCs % Split'!$A$8:$I$117,8,0))</f>
        <v>0</v>
      </c>
      <c r="Q54" s="175">
        <f>IF(ISERROR(VLOOKUP($A54,'HRGs to TFCs % Split'!$A$8:$I$117,6,0)),0,VLOOKUP($A54,'HRGs to TFCs % Split'!$A$8:$I$117,9,0))</f>
        <v>2.5106684950240765E-5</v>
      </c>
      <c r="R54" s="167">
        <f t="shared" si="33"/>
        <v>0</v>
      </c>
      <c r="S54" s="168">
        <f t="shared" si="34"/>
        <v>28</v>
      </c>
      <c r="T54" s="168">
        <f t="shared" si="35"/>
        <v>0</v>
      </c>
      <c r="U54" s="169">
        <f t="shared" si="36"/>
        <v>40</v>
      </c>
      <c r="V54" s="173">
        <f>IF(ISERROR(VLOOKUP($A54,'HRGs to TFCs % Split'!$A$8:$AA$117,6,0)),0,VLOOKUP($A54,'HRGs to TFCs % Split'!$A$8:$AA$117,14,0))</f>
        <v>0</v>
      </c>
      <c r="W54" s="174">
        <f>IF(ISERROR(VLOOKUP($A54,'HRGs to TFCs % Split'!$A$8:$AA$117,6,0)),0,VLOOKUP($A54,'HRGs to TFCs % Split'!$A$8:$AA$117,15,0))</f>
        <v>2.7146777133387411E-5</v>
      </c>
      <c r="X54" s="174">
        <f>IF(ISERROR(VLOOKUP($A54,'HRGs to TFCs % Split'!$A$8:$AA$117,6,0)),0,VLOOKUP($A54,'HRGs to TFCs % Split'!$A$8:$AA$117,16,0))</f>
        <v>0</v>
      </c>
      <c r="Y54" s="175">
        <f>IF(ISERROR(VLOOKUP($A54,'HRGs to TFCs % Split'!$A$8:$AA$117,6,0)),0,VLOOKUP($A54,'HRGs to TFCs % Split'!$A$8:$AA$117,17,0))</f>
        <v>3.9457462162623376E-5</v>
      </c>
      <c r="Z54" s="167">
        <f t="shared" si="13"/>
        <v>0</v>
      </c>
      <c r="AA54" s="168">
        <f t="shared" si="14"/>
        <v>4801.969695065417</v>
      </c>
      <c r="AB54" s="168">
        <f t="shared" si="15"/>
        <v>0</v>
      </c>
      <c r="AC54" s="169">
        <f t="shared" si="16"/>
        <v>6979.5960167985149</v>
      </c>
      <c r="AD54" s="200">
        <f t="shared" si="17"/>
        <v>851</v>
      </c>
      <c r="AE54" s="201">
        <f t="shared" si="18"/>
        <v>8990</v>
      </c>
      <c r="AF54" s="201">
        <f t="shared" si="19"/>
        <v>740</v>
      </c>
      <c r="AG54" s="202">
        <f t="shared" si="20"/>
        <v>12608</v>
      </c>
      <c r="AH54" s="200">
        <f t="shared" si="21"/>
        <v>273958.82514780801</v>
      </c>
      <c r="AI54" s="201">
        <f t="shared" si="22"/>
        <v>2167519.7818264356</v>
      </c>
      <c r="AJ54" s="201">
        <f t="shared" si="23"/>
        <v>173659.91185025201</v>
      </c>
      <c r="AK54" s="202">
        <f t="shared" si="24"/>
        <v>2692063.2889345386</v>
      </c>
      <c r="AL54" s="194">
        <f t="shared" si="25"/>
        <v>321.92576398097299</v>
      </c>
      <c r="AM54" s="195">
        <f t="shared" si="26"/>
        <v>241.10342400738995</v>
      </c>
      <c r="AN54" s="195">
        <f t="shared" si="27"/>
        <v>234.6755565543946</v>
      </c>
      <c r="AO54" s="196">
        <f t="shared" si="28"/>
        <v>213.52024817056937</v>
      </c>
      <c r="AP54" s="188">
        <f t="shared" si="29"/>
        <v>0</v>
      </c>
      <c r="AQ54" s="189">
        <f t="shared" si="30"/>
        <v>-9.0114677292107981E-4</v>
      </c>
      <c r="AR54" s="189">
        <f t="shared" si="31"/>
        <v>0</v>
      </c>
      <c r="AS54" s="190">
        <f t="shared" si="32"/>
        <v>-5.8143957081924214E-4</v>
      </c>
      <c r="AT54" s="196">
        <f>IF(ISERROR(VLOOKUP(A54,Mandatory!A:A,1,FALSE)),0,1)</f>
        <v>0</v>
      </c>
    </row>
    <row r="55" spans="1:46">
      <c r="A55">
        <v>256</v>
      </c>
      <c r="B55" s="185">
        <f>VLOOKUP(A55,OPATT_Activities!A:J,3,FALSE)</f>
        <v>3</v>
      </c>
      <c r="C55" s="186">
        <f>VLOOKUP(A55,OPATT_Activities!A:J,4,FALSE)</f>
        <v>1328</v>
      </c>
      <c r="D55" s="186">
        <f>VLOOKUP(A55,OPATT_Activities!A:J,5,FALSE)</f>
        <v>97</v>
      </c>
      <c r="E55" s="187">
        <f>VLOOKUP(A55,OPATT_Activities!A:J,6,FALSE)</f>
        <v>4686</v>
      </c>
      <c r="F55" s="185">
        <f>VLOOKUP(A55,OPATT_Cost_Quantum!A:F,2,FALSE)</f>
        <v>715.592227707961</v>
      </c>
      <c r="G55" s="186">
        <f>VLOOKUP(A55,OPATT_Cost_Quantum!A:F,3,FALSE)</f>
        <v>343398.35606517497</v>
      </c>
      <c r="H55" s="186">
        <f>VLOOKUP(A55,OPATT_Cost_Quantum!A:F,4,FALSE)</f>
        <v>13851.333278985199</v>
      </c>
      <c r="I55" s="187">
        <f>VLOOKUP(A55,OPATT_Cost_Quantum!A:F,5,FALSE)</f>
        <v>1382729.76320182</v>
      </c>
      <c r="J55" s="179">
        <f t="shared" si="12"/>
        <v>238.53074256932032</v>
      </c>
      <c r="K55" s="180">
        <f t="shared" si="12"/>
        <v>258.58309944666792</v>
      </c>
      <c r="L55" s="180">
        <f t="shared" si="12"/>
        <v>142.79725029881649</v>
      </c>
      <c r="M55" s="181">
        <f t="shared" si="12"/>
        <v>295.07677405075117</v>
      </c>
      <c r="N55" s="173">
        <f>IF(ISERROR(VLOOKUP($A55,'HRGs to TFCs % Split'!$A$8:$I$117,6,0)),0,VLOOKUP($A55,'HRGs to TFCs % Split'!$A$8:$I$117,6,0))</f>
        <v>0</v>
      </c>
      <c r="O55" s="174">
        <f>IF(ISERROR(VLOOKUP($A55,'HRGs to TFCs % Split'!$A$8:$I$117,6,0)),0,VLOOKUP($A55,'HRGs to TFCs % Split'!$A$8:$I$117,7,0))</f>
        <v>0</v>
      </c>
      <c r="P55" s="174">
        <f>IF(ISERROR(VLOOKUP($A55,'HRGs to TFCs % Split'!$A$8:$I$117,6,0)),0,VLOOKUP($A55,'HRGs to TFCs % Split'!$A$8:$I$117,8,0))</f>
        <v>0</v>
      </c>
      <c r="Q55" s="175">
        <f>IF(ISERROR(VLOOKUP($A55,'HRGs to TFCs % Split'!$A$8:$I$117,6,0)),0,VLOOKUP($A55,'HRGs to TFCs % Split'!$A$8:$I$117,9,0))</f>
        <v>0</v>
      </c>
      <c r="R55" s="167">
        <f t="shared" si="33"/>
        <v>0</v>
      </c>
      <c r="S55" s="168">
        <f t="shared" si="34"/>
        <v>0</v>
      </c>
      <c r="T55" s="168">
        <f t="shared" si="35"/>
        <v>0</v>
      </c>
      <c r="U55" s="169">
        <f t="shared" si="36"/>
        <v>0</v>
      </c>
      <c r="V55" s="173">
        <f>IF(ISERROR(VLOOKUP($A55,'HRGs to TFCs % Split'!$A$8:$AA$117,6,0)),0,VLOOKUP($A55,'HRGs to TFCs % Split'!$A$8:$AA$117,14,0))</f>
        <v>0</v>
      </c>
      <c r="W55" s="174">
        <f>IF(ISERROR(VLOOKUP($A55,'HRGs to TFCs % Split'!$A$8:$AA$117,6,0)),0,VLOOKUP($A55,'HRGs to TFCs % Split'!$A$8:$AA$117,15,0))</f>
        <v>0</v>
      </c>
      <c r="X55" s="174">
        <f>IF(ISERROR(VLOOKUP($A55,'HRGs to TFCs % Split'!$A$8:$AA$117,6,0)),0,VLOOKUP($A55,'HRGs to TFCs % Split'!$A$8:$AA$117,16,0))</f>
        <v>0</v>
      </c>
      <c r="Y55" s="175">
        <f>IF(ISERROR(VLOOKUP($A55,'HRGs to TFCs % Split'!$A$8:$AA$117,6,0)),0,VLOOKUP($A55,'HRGs to TFCs % Split'!$A$8:$AA$117,17,0))</f>
        <v>0</v>
      </c>
      <c r="Z55" s="167">
        <f t="shared" si="13"/>
        <v>0</v>
      </c>
      <c r="AA55" s="168">
        <f t="shared" si="14"/>
        <v>0</v>
      </c>
      <c r="AB55" s="168">
        <f t="shared" si="15"/>
        <v>0</v>
      </c>
      <c r="AC55" s="169">
        <f t="shared" si="16"/>
        <v>0</v>
      </c>
      <c r="AD55" s="200">
        <f t="shared" si="17"/>
        <v>3</v>
      </c>
      <c r="AE55" s="201">
        <f t="shared" si="18"/>
        <v>1328</v>
      </c>
      <c r="AF55" s="201">
        <f t="shared" si="19"/>
        <v>97</v>
      </c>
      <c r="AG55" s="202">
        <f t="shared" si="20"/>
        <v>4686</v>
      </c>
      <c r="AH55" s="200">
        <f t="shared" si="21"/>
        <v>715.592227707961</v>
      </c>
      <c r="AI55" s="201">
        <f t="shared" si="22"/>
        <v>343398.35606517497</v>
      </c>
      <c r="AJ55" s="201">
        <f t="shared" si="23"/>
        <v>13851.333278985199</v>
      </c>
      <c r="AK55" s="202">
        <f t="shared" si="24"/>
        <v>1382729.76320182</v>
      </c>
      <c r="AL55" s="194">
        <f t="shared" si="25"/>
        <v>238.53074256932032</v>
      </c>
      <c r="AM55" s="195">
        <f t="shared" si="26"/>
        <v>258.58309944666792</v>
      </c>
      <c r="AN55" s="195">
        <f t="shared" si="27"/>
        <v>142.79725029881649</v>
      </c>
      <c r="AO55" s="196">
        <f t="shared" si="28"/>
        <v>295.07677405075117</v>
      </c>
      <c r="AP55" s="188">
        <f t="shared" si="29"/>
        <v>0</v>
      </c>
      <c r="AQ55" s="189">
        <f t="shared" si="30"/>
        <v>0</v>
      </c>
      <c r="AR55" s="189">
        <f t="shared" si="31"/>
        <v>0</v>
      </c>
      <c r="AS55" s="190">
        <f t="shared" si="32"/>
        <v>0</v>
      </c>
      <c r="AT55" s="196">
        <f>IF(ISERROR(VLOOKUP(A55,Mandatory!A:A,1,FALSE)),0,1)</f>
        <v>0</v>
      </c>
    </row>
    <row r="56" spans="1:46">
      <c r="A56">
        <v>257</v>
      </c>
      <c r="B56" s="185">
        <f>VLOOKUP(A56,OPATT_Activities!A:J,3,FALSE)</f>
        <v>344</v>
      </c>
      <c r="C56" s="186">
        <f>VLOOKUP(A56,OPATT_Activities!A:J,4,FALSE)</f>
        <v>19723</v>
      </c>
      <c r="D56" s="186">
        <f>VLOOKUP(A56,OPATT_Activities!A:J,5,FALSE)</f>
        <v>452</v>
      </c>
      <c r="E56" s="187">
        <f>VLOOKUP(A56,OPATT_Activities!A:J,6,FALSE)</f>
        <v>32775</v>
      </c>
      <c r="F56" s="185">
        <f>VLOOKUP(A56,OPATT_Cost_Quantum!A:F,2,FALSE)</f>
        <v>63228.665604334397</v>
      </c>
      <c r="G56" s="186">
        <f>VLOOKUP(A56,OPATT_Cost_Quantum!A:F,3,FALSE)</f>
        <v>2302843.1081232401</v>
      </c>
      <c r="H56" s="186">
        <f>VLOOKUP(A56,OPATT_Cost_Quantum!A:F,4,FALSE)</f>
        <v>85666.143360691902</v>
      </c>
      <c r="I56" s="187">
        <f>VLOOKUP(A56,OPATT_Cost_Quantum!A:F,5,FALSE)</f>
        <v>3566122.4938558801</v>
      </c>
      <c r="J56" s="179">
        <f t="shared" si="12"/>
        <v>183.80426047771627</v>
      </c>
      <c r="K56" s="180">
        <f t="shared" si="12"/>
        <v>116.75927131385895</v>
      </c>
      <c r="L56" s="180">
        <f t="shared" si="12"/>
        <v>189.52686584223872</v>
      </c>
      <c r="M56" s="181">
        <f t="shared" si="12"/>
        <v>108.80617830223891</v>
      </c>
      <c r="N56" s="173">
        <f>IF(ISERROR(VLOOKUP($A56,'HRGs to TFCs % Split'!$A$8:$I$117,6,0)),0,VLOOKUP($A56,'HRGs to TFCs % Split'!$A$8:$I$117,6,0))</f>
        <v>0</v>
      </c>
      <c r="O56" s="174">
        <f>IF(ISERROR(VLOOKUP($A56,'HRGs to TFCs % Split'!$A$8:$I$117,6,0)),0,VLOOKUP($A56,'HRGs to TFCs % Split'!$A$8:$I$117,7,0))</f>
        <v>5.6120825182891125E-5</v>
      </c>
      <c r="P56" s="174">
        <f>IF(ISERROR(VLOOKUP($A56,'HRGs to TFCs % Split'!$A$8:$I$117,6,0)),0,VLOOKUP($A56,'HRGs to TFCs % Split'!$A$8:$I$117,8,0))</f>
        <v>0</v>
      </c>
      <c r="Q56" s="175">
        <f>IF(ISERROR(VLOOKUP($A56,'HRGs to TFCs % Split'!$A$8:$I$117,6,0)),0,VLOOKUP($A56,'HRGs to TFCs % Split'!$A$8:$I$117,9,0))</f>
        <v>3.4263240637975634E-4</v>
      </c>
      <c r="R56" s="167">
        <f t="shared" si="33"/>
        <v>0</v>
      </c>
      <c r="S56" s="168">
        <f t="shared" si="34"/>
        <v>89</v>
      </c>
      <c r="T56" s="168">
        <f t="shared" si="35"/>
        <v>0</v>
      </c>
      <c r="U56" s="169">
        <f t="shared" si="36"/>
        <v>541</v>
      </c>
      <c r="V56" s="173">
        <f>IF(ISERROR(VLOOKUP($A56,'HRGs to TFCs % Split'!$A$8:$AA$117,6,0)),0,VLOOKUP($A56,'HRGs to TFCs % Split'!$A$8:$AA$117,14,0))</f>
        <v>0</v>
      </c>
      <c r="W56" s="174">
        <f>IF(ISERROR(VLOOKUP($A56,'HRGs to TFCs % Split'!$A$8:$AA$117,6,0)),0,VLOOKUP($A56,'HRGs to TFCs % Split'!$A$8:$AA$117,15,0))</f>
        <v>4.5257883556321603E-5</v>
      </c>
      <c r="X56" s="174">
        <f>IF(ISERROR(VLOOKUP($A56,'HRGs to TFCs % Split'!$A$8:$AA$117,6,0)),0,VLOOKUP($A56,'HRGs to TFCs % Split'!$A$8:$AA$117,16,0))</f>
        <v>0</v>
      </c>
      <c r="Y56" s="175">
        <f>IF(ISERROR(VLOOKUP($A56,'HRGs to TFCs % Split'!$A$8:$AA$117,6,0)),0,VLOOKUP($A56,'HRGs to TFCs % Split'!$A$8:$AA$117,17,0))</f>
        <v>2.9562384223048849E-4</v>
      </c>
      <c r="Z56" s="167">
        <f t="shared" si="13"/>
        <v>0</v>
      </c>
      <c r="AA56" s="168">
        <f t="shared" si="14"/>
        <v>8005.6274906006656</v>
      </c>
      <c r="AB56" s="168">
        <f t="shared" si="15"/>
        <v>0</v>
      </c>
      <c r="AC56" s="169">
        <f t="shared" si="16"/>
        <v>52292.643231807051</v>
      </c>
      <c r="AD56" s="200">
        <f t="shared" si="17"/>
        <v>344</v>
      </c>
      <c r="AE56" s="201">
        <f t="shared" si="18"/>
        <v>19812</v>
      </c>
      <c r="AF56" s="201">
        <f t="shared" si="19"/>
        <v>452</v>
      </c>
      <c r="AG56" s="202">
        <f t="shared" si="20"/>
        <v>33316</v>
      </c>
      <c r="AH56" s="200">
        <f t="shared" si="21"/>
        <v>63228.665604334397</v>
      </c>
      <c r="AI56" s="201">
        <f t="shared" si="22"/>
        <v>2310848.7356138406</v>
      </c>
      <c r="AJ56" s="201">
        <f t="shared" si="23"/>
        <v>85666.143360691902</v>
      </c>
      <c r="AK56" s="202">
        <f t="shared" si="24"/>
        <v>3618415.1370876874</v>
      </c>
      <c r="AL56" s="194">
        <f t="shared" si="25"/>
        <v>183.80426047771627</v>
      </c>
      <c r="AM56" s="195">
        <f t="shared" si="26"/>
        <v>116.63884189450033</v>
      </c>
      <c r="AN56" s="195">
        <f t="shared" si="27"/>
        <v>189.52686584223872</v>
      </c>
      <c r="AO56" s="196">
        <f t="shared" si="28"/>
        <v>108.60893075662406</v>
      </c>
      <c r="AP56" s="188">
        <f t="shared" si="29"/>
        <v>0</v>
      </c>
      <c r="AQ56" s="189">
        <f t="shared" si="30"/>
        <v>-1.0314334613727993E-3</v>
      </c>
      <c r="AR56" s="189">
        <f t="shared" si="31"/>
        <v>0</v>
      </c>
      <c r="AS56" s="190">
        <f t="shared" si="32"/>
        <v>-1.8128340567843404E-3</v>
      </c>
      <c r="AT56" s="196">
        <f>IF(ISERROR(VLOOKUP(A56,Mandatory!A:A,1,FALSE)),0,1)</f>
        <v>1</v>
      </c>
    </row>
    <row r="57" spans="1:46">
      <c r="A57">
        <v>258</v>
      </c>
      <c r="B57" s="185">
        <f>VLOOKUP(A57,OPATT_Activities!A:J,3,FALSE)</f>
        <v>802</v>
      </c>
      <c r="C57" s="186">
        <f>VLOOKUP(A57,OPATT_Activities!A:J,4,FALSE)</f>
        <v>8371</v>
      </c>
      <c r="D57" s="186">
        <f>VLOOKUP(A57,OPATT_Activities!A:J,5,FALSE)</f>
        <v>2665</v>
      </c>
      <c r="E57" s="187">
        <f>VLOOKUP(A57,OPATT_Activities!A:J,6,FALSE)</f>
        <v>28918</v>
      </c>
      <c r="F57" s="185">
        <f>VLOOKUP(A57,OPATT_Cost_Quantum!A:F,2,FALSE)</f>
        <v>198099.43594508499</v>
      </c>
      <c r="G57" s="186">
        <f>VLOOKUP(A57,OPATT_Cost_Quantum!A:F,3,FALSE)</f>
        <v>2026020.60928499</v>
      </c>
      <c r="H57" s="186">
        <f>VLOOKUP(A57,OPATT_Cost_Quantum!A:F,4,FALSE)</f>
        <v>467911.20131647401</v>
      </c>
      <c r="I57" s="187">
        <f>VLOOKUP(A57,OPATT_Cost_Quantum!A:F,5,FALSE)</f>
        <v>5191602.7557239896</v>
      </c>
      <c r="J57" s="179">
        <f t="shared" si="12"/>
        <v>247.00677798639026</v>
      </c>
      <c r="K57" s="180">
        <f t="shared" si="12"/>
        <v>242.02850427487635</v>
      </c>
      <c r="L57" s="180">
        <f t="shared" si="12"/>
        <v>175.57643576603152</v>
      </c>
      <c r="M57" s="181">
        <f t="shared" si="12"/>
        <v>179.52841675510027</v>
      </c>
      <c r="N57" s="173">
        <f>IF(ISERROR(VLOOKUP($A57,'HRGs to TFCs % Split'!$A$8:$I$117,6,0)),0,VLOOKUP($A57,'HRGs to TFCs % Split'!$A$8:$I$117,6,0))</f>
        <v>0</v>
      </c>
      <c r="O57" s="174">
        <f>IF(ISERROR(VLOOKUP($A57,'HRGs to TFCs % Split'!$A$8:$I$117,6,0)),0,VLOOKUP($A57,'HRGs to TFCs % Split'!$A$8:$I$117,7,0))</f>
        <v>3.8029243380511749E-4</v>
      </c>
      <c r="P57" s="174">
        <f>IF(ISERROR(VLOOKUP($A57,'HRGs to TFCs % Split'!$A$8:$I$117,6,0)),0,VLOOKUP($A57,'HRGs to TFCs % Split'!$A$8:$I$117,8,0))</f>
        <v>0</v>
      </c>
      <c r="Q57" s="175">
        <f>IF(ISERROR(VLOOKUP($A57,'HRGs to TFCs % Split'!$A$8:$I$117,6,0)),0,VLOOKUP($A57,'HRGs to TFCs % Split'!$A$8:$I$117,9,0))</f>
        <v>1.914753943411009E-3</v>
      </c>
      <c r="R57" s="167">
        <f t="shared" si="33"/>
        <v>0</v>
      </c>
      <c r="S57" s="168">
        <f t="shared" si="34"/>
        <v>600</v>
      </c>
      <c r="T57" s="168">
        <f t="shared" si="35"/>
        <v>0</v>
      </c>
      <c r="U57" s="169">
        <f t="shared" si="36"/>
        <v>3022</v>
      </c>
      <c r="V57" s="173">
        <f>IF(ISERROR(VLOOKUP($A57,'HRGs to TFCs % Split'!$A$8:$AA$117,6,0)),0,VLOOKUP($A57,'HRGs to TFCs % Split'!$A$8:$AA$117,14,0))</f>
        <v>0</v>
      </c>
      <c r="W57" s="174">
        <f>IF(ISERROR(VLOOKUP($A57,'HRGs to TFCs % Split'!$A$8:$AA$117,6,0)),0,VLOOKUP($A57,'HRGs to TFCs % Split'!$A$8:$AA$117,15,0))</f>
        <v>3.9834182685436994E-4</v>
      </c>
      <c r="X57" s="174">
        <f>IF(ISERROR(VLOOKUP($A57,'HRGs to TFCs % Split'!$A$8:$AA$117,6,0)),0,VLOOKUP($A57,'HRGs to TFCs % Split'!$A$8:$AA$117,16,0))</f>
        <v>0</v>
      </c>
      <c r="Y57" s="175">
        <f>IF(ISERROR(VLOOKUP($A57,'HRGs to TFCs % Split'!$A$8:$AA$117,6,0)),0,VLOOKUP($A57,'HRGs to TFCs % Split'!$A$8:$AA$117,17,0))</f>
        <v>1.9940732410538256E-3</v>
      </c>
      <c r="Z57" s="167">
        <f t="shared" si="13"/>
        <v>0</v>
      </c>
      <c r="AA57" s="168">
        <f t="shared" si="14"/>
        <v>70462.337810226643</v>
      </c>
      <c r="AB57" s="168">
        <f t="shared" si="15"/>
        <v>0</v>
      </c>
      <c r="AC57" s="169">
        <f t="shared" si="16"/>
        <v>352729.87383480632</v>
      </c>
      <c r="AD57" s="200">
        <f t="shared" si="17"/>
        <v>802</v>
      </c>
      <c r="AE57" s="201">
        <f t="shared" si="18"/>
        <v>8971</v>
      </c>
      <c r="AF57" s="201">
        <f t="shared" si="19"/>
        <v>2665</v>
      </c>
      <c r="AG57" s="202">
        <f t="shared" si="20"/>
        <v>31940</v>
      </c>
      <c r="AH57" s="200">
        <f t="shared" si="21"/>
        <v>198099.43594508499</v>
      </c>
      <c r="AI57" s="201">
        <f t="shared" si="22"/>
        <v>2096482.9470952167</v>
      </c>
      <c r="AJ57" s="201">
        <f t="shared" si="23"/>
        <v>467911.20131647401</v>
      </c>
      <c r="AK57" s="202">
        <f t="shared" si="24"/>
        <v>5544332.6295587961</v>
      </c>
      <c r="AL57" s="194">
        <f t="shared" si="25"/>
        <v>247.00677798639026</v>
      </c>
      <c r="AM57" s="195">
        <f t="shared" si="26"/>
        <v>233.69556873204957</v>
      </c>
      <c r="AN57" s="195">
        <f t="shared" si="27"/>
        <v>175.57643576603152</v>
      </c>
      <c r="AO57" s="196">
        <f t="shared" si="28"/>
        <v>173.58586817654339</v>
      </c>
      <c r="AP57" s="188">
        <f t="shared" si="29"/>
        <v>0</v>
      </c>
      <c r="AQ57" s="189">
        <f t="shared" si="30"/>
        <v>-3.4429562616157483E-2</v>
      </c>
      <c r="AR57" s="189">
        <f t="shared" si="31"/>
        <v>0</v>
      </c>
      <c r="AS57" s="190">
        <f t="shared" si="32"/>
        <v>-3.3100879994186538E-2</v>
      </c>
      <c r="AT57" s="196">
        <f>IF(ISERROR(VLOOKUP(A57,Mandatory!A:A,1,FALSE)),0,1)</f>
        <v>1</v>
      </c>
    </row>
    <row r="58" spans="1:46">
      <c r="A58">
        <v>259</v>
      </c>
      <c r="B58" s="185">
        <f>VLOOKUP(A58,OPATT_Activities!A:J,3,FALSE)</f>
        <v>96</v>
      </c>
      <c r="C58" s="186">
        <f>VLOOKUP(A58,OPATT_Activities!A:J,4,FALSE)</f>
        <v>3978</v>
      </c>
      <c r="D58" s="186">
        <f>VLOOKUP(A58,OPATT_Activities!A:J,5,FALSE)</f>
        <v>2345</v>
      </c>
      <c r="E58" s="187">
        <f>VLOOKUP(A58,OPATT_Activities!A:J,6,FALSE)</f>
        <v>29513</v>
      </c>
      <c r="F58" s="185">
        <f>VLOOKUP(A58,OPATT_Cost_Quantum!A:F,2,FALSE)</f>
        <v>20878.964699611501</v>
      </c>
      <c r="G58" s="186">
        <f>VLOOKUP(A58,OPATT_Cost_Quantum!A:F,3,FALSE)</f>
        <v>1074307.08217369</v>
      </c>
      <c r="H58" s="186">
        <f>VLOOKUP(A58,OPATT_Cost_Quantum!A:F,4,FALSE)</f>
        <v>355743.50978437002</v>
      </c>
      <c r="I58" s="187">
        <f>VLOOKUP(A58,OPATT_Cost_Quantum!A:F,5,FALSE)</f>
        <v>6589349.4769638795</v>
      </c>
      <c r="J58" s="179">
        <f t="shared" si="12"/>
        <v>217.48921562095313</v>
      </c>
      <c r="K58" s="180">
        <f t="shared" si="12"/>
        <v>270.06211216030414</v>
      </c>
      <c r="L58" s="180">
        <f t="shared" si="12"/>
        <v>151.70298924706611</v>
      </c>
      <c r="M58" s="181">
        <f t="shared" si="12"/>
        <v>223.26938897990308</v>
      </c>
      <c r="N58" s="173">
        <f>IF(ISERROR(VLOOKUP($A58,'HRGs to TFCs % Split'!$A$8:$I$117,6,0)),0,VLOOKUP($A58,'HRGs to TFCs % Split'!$A$8:$I$117,6,0))</f>
        <v>0</v>
      </c>
      <c r="O58" s="174">
        <f>IF(ISERROR(VLOOKUP($A58,'HRGs to TFCs % Split'!$A$8:$I$117,6,0)),0,VLOOKUP($A58,'HRGs to TFCs % Split'!$A$8:$I$117,7,0))</f>
        <v>1.550707011632518E-5</v>
      </c>
      <c r="P58" s="174">
        <f>IF(ISERROR(VLOOKUP($A58,'HRGs to TFCs % Split'!$A$8:$I$117,6,0)),0,VLOOKUP($A58,'HRGs to TFCs % Split'!$A$8:$I$117,8,0))</f>
        <v>0</v>
      </c>
      <c r="Q58" s="175">
        <f>IF(ISERROR(VLOOKUP($A58,'HRGs to TFCs % Split'!$A$8:$I$117,6,0)),0,VLOOKUP($A58,'HRGs to TFCs % Split'!$A$8:$I$117,9,0))</f>
        <v>1.0190360362156545E-4</v>
      </c>
      <c r="R58" s="167">
        <f t="shared" si="33"/>
        <v>0</v>
      </c>
      <c r="S58" s="168">
        <f t="shared" si="34"/>
        <v>24</v>
      </c>
      <c r="T58" s="168">
        <f t="shared" si="35"/>
        <v>0</v>
      </c>
      <c r="U58" s="169">
        <f t="shared" si="36"/>
        <v>161</v>
      </c>
      <c r="V58" s="173">
        <f>IF(ISERROR(VLOOKUP($A58,'HRGs to TFCs % Split'!$A$8:$AA$117,6,0)),0,VLOOKUP($A58,'HRGs to TFCs % Split'!$A$8:$AA$117,14,0))</f>
        <v>0</v>
      </c>
      <c r="W58" s="174">
        <f>IF(ISERROR(VLOOKUP($A58,'HRGs to TFCs % Split'!$A$8:$AA$117,6,0)),0,VLOOKUP($A58,'HRGs to TFCs % Split'!$A$8:$AA$117,15,0))</f>
        <v>5.2194691059569935E-5</v>
      </c>
      <c r="X58" s="174">
        <f>IF(ISERROR(VLOOKUP($A58,'HRGs to TFCs % Split'!$A$8:$AA$117,6,0)),0,VLOOKUP($A58,'HRGs to TFCs % Split'!$A$8:$AA$117,16,0))</f>
        <v>0</v>
      </c>
      <c r="Y58" s="175">
        <f>IF(ISERROR(VLOOKUP($A58,'HRGs to TFCs % Split'!$A$8:$AA$117,6,0)),0,VLOOKUP($A58,'HRGs to TFCs % Split'!$A$8:$AA$117,17,0))</f>
        <v>3.6241250401752747E-4</v>
      </c>
      <c r="Z58" s="167">
        <f t="shared" si="13"/>
        <v>0</v>
      </c>
      <c r="AA58" s="168">
        <f t="shared" si="14"/>
        <v>9232.6733107150903</v>
      </c>
      <c r="AB58" s="168">
        <f t="shared" si="15"/>
        <v>0</v>
      </c>
      <c r="AC58" s="169">
        <f t="shared" si="16"/>
        <v>64106.831277020334</v>
      </c>
      <c r="AD58" s="200">
        <f t="shared" si="17"/>
        <v>96</v>
      </c>
      <c r="AE58" s="201">
        <f t="shared" si="18"/>
        <v>4002</v>
      </c>
      <c r="AF58" s="201">
        <f t="shared" si="19"/>
        <v>2345</v>
      </c>
      <c r="AG58" s="202">
        <f t="shared" si="20"/>
        <v>29674</v>
      </c>
      <c r="AH58" s="200">
        <f t="shared" si="21"/>
        <v>20878.964699611501</v>
      </c>
      <c r="AI58" s="201">
        <f t="shared" si="22"/>
        <v>1083539.755484405</v>
      </c>
      <c r="AJ58" s="201">
        <f t="shared" si="23"/>
        <v>355743.50978437002</v>
      </c>
      <c r="AK58" s="202">
        <f t="shared" si="24"/>
        <v>6653456.3082408998</v>
      </c>
      <c r="AL58" s="194">
        <f t="shared" si="25"/>
        <v>217.48921562095313</v>
      </c>
      <c r="AM58" s="195">
        <f t="shared" si="26"/>
        <v>270.74956408905672</v>
      </c>
      <c r="AN58" s="195">
        <f t="shared" si="27"/>
        <v>151.70298924706611</v>
      </c>
      <c r="AO58" s="196">
        <f t="shared" si="28"/>
        <v>224.21838337402775</v>
      </c>
      <c r="AP58" s="188">
        <f t="shared" si="29"/>
        <v>0</v>
      </c>
      <c r="AQ58" s="189">
        <f t="shared" si="30"/>
        <v>2.5455326674794776E-3</v>
      </c>
      <c r="AR58" s="189">
        <f t="shared" si="31"/>
        <v>0</v>
      </c>
      <c r="AS58" s="190">
        <f t="shared" si="32"/>
        <v>4.2504456094967225E-3</v>
      </c>
      <c r="AT58" s="196">
        <f>IF(ISERROR(VLOOKUP(A58,Mandatory!A:A,1,FALSE)),0,1)</f>
        <v>0</v>
      </c>
    </row>
    <row r="59" spans="1:46">
      <c r="A59">
        <v>260</v>
      </c>
      <c r="B59" s="185">
        <f>VLOOKUP(A59,OPATT_Activities!A:J,3,FALSE)</f>
        <v>226</v>
      </c>
      <c r="C59" s="186">
        <f>VLOOKUP(A59,OPATT_Activities!A:J,4,FALSE)</f>
        <v>2134</v>
      </c>
      <c r="D59" s="186">
        <f>VLOOKUP(A59,OPATT_Activities!A:J,5,FALSE)</f>
        <v>2390</v>
      </c>
      <c r="E59" s="187">
        <f>VLOOKUP(A59,OPATT_Activities!A:J,6,FALSE)</f>
        <v>30801</v>
      </c>
      <c r="F59" s="185">
        <f>VLOOKUP(A59,OPATT_Cost_Quantum!A:F,2,FALSE)</f>
        <v>65574.579055278693</v>
      </c>
      <c r="G59" s="186">
        <f>VLOOKUP(A59,OPATT_Cost_Quantum!A:F,3,FALSE)</f>
        <v>640073.03165131295</v>
      </c>
      <c r="H59" s="186">
        <f>VLOOKUP(A59,OPATT_Cost_Quantum!A:F,4,FALSE)</f>
        <v>620646.09968082199</v>
      </c>
      <c r="I59" s="187">
        <f>VLOOKUP(A59,OPATT_Cost_Quantum!A:F,5,FALSE)</f>
        <v>7144176.2063862197</v>
      </c>
      <c r="J59" s="179">
        <f t="shared" si="12"/>
        <v>290.15300466937475</v>
      </c>
      <c r="K59" s="180">
        <f t="shared" si="12"/>
        <v>299.94050217962183</v>
      </c>
      <c r="L59" s="180">
        <f t="shared" si="12"/>
        <v>259.68456053590876</v>
      </c>
      <c r="M59" s="181">
        <f t="shared" si="12"/>
        <v>231.94624221246778</v>
      </c>
      <c r="N59" s="173">
        <f>IF(ISERROR(VLOOKUP($A59,'HRGs to TFCs % Split'!$A$8:$I$117,6,0)),0,VLOOKUP($A59,'HRGs to TFCs % Split'!$A$8:$I$117,6,0))</f>
        <v>0</v>
      </c>
      <c r="O59" s="174">
        <f>IF(ISERROR(VLOOKUP($A59,'HRGs to TFCs % Split'!$A$8:$I$117,6,0)),0,VLOOKUP($A59,'HRGs to TFCs % Split'!$A$8:$I$117,7,0))</f>
        <v>7.3843191030119901E-7</v>
      </c>
      <c r="P59" s="174">
        <f>IF(ISERROR(VLOOKUP($A59,'HRGs to TFCs % Split'!$A$8:$I$117,6,0)),0,VLOOKUP($A59,'HRGs to TFCs % Split'!$A$8:$I$117,8,0))</f>
        <v>0</v>
      </c>
      <c r="Q59" s="175">
        <f>IF(ISERROR(VLOOKUP($A59,'HRGs to TFCs % Split'!$A$8:$I$117,6,0)),0,VLOOKUP($A59,'HRGs to TFCs % Split'!$A$8:$I$117,9,0))</f>
        <v>3.9136891245963545E-5</v>
      </c>
      <c r="R59" s="167">
        <f t="shared" si="33"/>
        <v>0</v>
      </c>
      <c r="S59" s="168">
        <f t="shared" si="34"/>
        <v>1</v>
      </c>
      <c r="T59" s="168">
        <f t="shared" si="35"/>
        <v>0</v>
      </c>
      <c r="U59" s="169">
        <f t="shared" si="36"/>
        <v>62</v>
      </c>
      <c r="V59" s="173">
        <f>IF(ISERROR(VLOOKUP($A59,'HRGs to TFCs % Split'!$A$8:$AA$117,6,0)),0,VLOOKUP($A59,'HRGs to TFCs % Split'!$A$8:$AA$117,14,0))</f>
        <v>0</v>
      </c>
      <c r="W59" s="174">
        <f>IF(ISERROR(VLOOKUP($A59,'HRGs to TFCs % Split'!$A$8:$AA$117,6,0)),0,VLOOKUP($A59,'HRGs to TFCs % Split'!$A$8:$AA$117,15,0))</f>
        <v>4.6634503894244871E-7</v>
      </c>
      <c r="X59" s="174">
        <f>IF(ISERROR(VLOOKUP($A59,'HRGs to TFCs % Split'!$A$8:$AA$117,6,0)),0,VLOOKUP($A59,'HRGs to TFCs % Split'!$A$8:$AA$117,16,0))</f>
        <v>0</v>
      </c>
      <c r="Y59" s="175">
        <f>IF(ISERROR(VLOOKUP($A59,'HRGs to TFCs % Split'!$A$8:$AA$117,6,0)),0,VLOOKUP($A59,'HRGs to TFCs % Split'!$A$8:$AA$117,17,0))</f>
        <v>4.4528649193419384E-5</v>
      </c>
      <c r="Z59" s="167">
        <f t="shared" si="13"/>
        <v>0</v>
      </c>
      <c r="AA59" s="168">
        <f t="shared" si="14"/>
        <v>82.491366597310261</v>
      </c>
      <c r="AB59" s="168">
        <f t="shared" si="15"/>
        <v>0</v>
      </c>
      <c r="AC59" s="169">
        <f t="shared" si="16"/>
        <v>7876.633861115638</v>
      </c>
      <c r="AD59" s="200">
        <f t="shared" si="17"/>
        <v>226</v>
      </c>
      <c r="AE59" s="201">
        <f t="shared" si="18"/>
        <v>2135</v>
      </c>
      <c r="AF59" s="201">
        <f t="shared" si="19"/>
        <v>2390</v>
      </c>
      <c r="AG59" s="202">
        <f t="shared" si="20"/>
        <v>30863</v>
      </c>
      <c r="AH59" s="200">
        <f t="shared" si="21"/>
        <v>65574.579055278693</v>
      </c>
      <c r="AI59" s="201">
        <f t="shared" si="22"/>
        <v>640155.52301791031</v>
      </c>
      <c r="AJ59" s="201">
        <f t="shared" si="23"/>
        <v>620646.09968082199</v>
      </c>
      <c r="AK59" s="202">
        <f t="shared" si="24"/>
        <v>7152052.8402473349</v>
      </c>
      <c r="AL59" s="194">
        <f t="shared" si="25"/>
        <v>290.15300466937475</v>
      </c>
      <c r="AM59" s="195">
        <f t="shared" si="26"/>
        <v>299.83865246740532</v>
      </c>
      <c r="AN59" s="195">
        <f t="shared" si="27"/>
        <v>259.68456053590876</v>
      </c>
      <c r="AO59" s="196">
        <f t="shared" si="28"/>
        <v>231.73550336154409</v>
      </c>
      <c r="AP59" s="188">
        <f t="shared" si="29"/>
        <v>0</v>
      </c>
      <c r="AQ59" s="189">
        <f t="shared" si="30"/>
        <v>-3.3956638558774177E-4</v>
      </c>
      <c r="AR59" s="189">
        <f t="shared" si="31"/>
        <v>0</v>
      </c>
      <c r="AS59" s="190">
        <f t="shared" si="32"/>
        <v>-9.0856764444002813E-4</v>
      </c>
      <c r="AT59" s="196">
        <f>IF(ISERROR(VLOOKUP(A59,Mandatory!A:A,1,FALSE)),0,1)</f>
        <v>0</v>
      </c>
    </row>
    <row r="60" spans="1:46">
      <c r="A60">
        <v>261</v>
      </c>
      <c r="B60" s="185">
        <f>VLOOKUP(A60,OPATT_Activities!A:J,3,FALSE)</f>
        <v>24</v>
      </c>
      <c r="C60" s="186">
        <f>VLOOKUP(A60,OPATT_Activities!A:J,4,FALSE)</f>
        <v>967</v>
      </c>
      <c r="D60" s="186">
        <f>VLOOKUP(A60,OPATT_Activities!A:J,5,FALSE)</f>
        <v>497</v>
      </c>
      <c r="E60" s="187">
        <f>VLOOKUP(A60,OPATT_Activities!A:J,6,FALSE)</f>
        <v>5098</v>
      </c>
      <c r="F60" s="185">
        <f>VLOOKUP(A60,OPATT_Cost_Quantum!A:F,2,FALSE)</f>
        <v>23867.4190016297</v>
      </c>
      <c r="G60" s="186">
        <f>VLOOKUP(A60,OPATT_Cost_Quantum!A:F,3,FALSE)</f>
        <v>846533.49647620704</v>
      </c>
      <c r="H60" s="186">
        <f>VLOOKUP(A60,OPATT_Cost_Quantum!A:F,4,FALSE)</f>
        <v>1251715.86239648</v>
      </c>
      <c r="I60" s="187">
        <f>VLOOKUP(A60,OPATT_Cost_Quantum!A:F,5,FALSE)</f>
        <v>3835622.8811138598</v>
      </c>
      <c r="J60" s="179">
        <f t="shared" si="12"/>
        <v>994.47579173457086</v>
      </c>
      <c r="K60" s="180">
        <f t="shared" si="12"/>
        <v>875.42243689369911</v>
      </c>
      <c r="L60" s="180">
        <f t="shared" si="12"/>
        <v>2518.5429826890945</v>
      </c>
      <c r="M60" s="181">
        <f t="shared" si="12"/>
        <v>752.37796804901132</v>
      </c>
      <c r="N60" s="173">
        <f>IF(ISERROR(VLOOKUP($A60,'HRGs to TFCs % Split'!$A$8:$I$117,6,0)),0,VLOOKUP($A60,'HRGs to TFCs % Split'!$A$8:$I$117,6,0))</f>
        <v>0</v>
      </c>
      <c r="O60" s="174">
        <f>IF(ISERROR(VLOOKUP($A60,'HRGs to TFCs % Split'!$A$8:$I$117,6,0)),0,VLOOKUP($A60,'HRGs to TFCs % Split'!$A$8:$I$117,7,0))</f>
        <v>0</v>
      </c>
      <c r="P60" s="174">
        <f>IF(ISERROR(VLOOKUP($A60,'HRGs to TFCs % Split'!$A$8:$I$117,6,0)),0,VLOOKUP($A60,'HRGs to TFCs % Split'!$A$8:$I$117,8,0))</f>
        <v>0</v>
      </c>
      <c r="Q60" s="175">
        <f>IF(ISERROR(VLOOKUP($A60,'HRGs to TFCs % Split'!$A$8:$I$117,6,0)),0,VLOOKUP($A60,'HRGs to TFCs % Split'!$A$8:$I$117,9,0))</f>
        <v>0</v>
      </c>
      <c r="R60" s="167">
        <f t="shared" si="33"/>
        <v>0</v>
      </c>
      <c r="S60" s="168">
        <f t="shared" si="34"/>
        <v>0</v>
      </c>
      <c r="T60" s="168">
        <f t="shared" si="35"/>
        <v>0</v>
      </c>
      <c r="U60" s="169">
        <f t="shared" si="36"/>
        <v>0</v>
      </c>
      <c r="V60" s="173">
        <f>IF(ISERROR(VLOOKUP($A60,'HRGs to TFCs % Split'!$A$8:$AA$117,6,0)),0,VLOOKUP($A60,'HRGs to TFCs % Split'!$A$8:$AA$117,14,0))</f>
        <v>0</v>
      </c>
      <c r="W60" s="174">
        <f>IF(ISERROR(VLOOKUP($A60,'HRGs to TFCs % Split'!$A$8:$AA$117,6,0)),0,VLOOKUP($A60,'HRGs to TFCs % Split'!$A$8:$AA$117,15,0))</f>
        <v>0</v>
      </c>
      <c r="X60" s="174">
        <f>IF(ISERROR(VLOOKUP($A60,'HRGs to TFCs % Split'!$A$8:$AA$117,6,0)),0,VLOOKUP($A60,'HRGs to TFCs % Split'!$A$8:$AA$117,16,0))</f>
        <v>0</v>
      </c>
      <c r="Y60" s="175">
        <f>IF(ISERROR(VLOOKUP($A60,'HRGs to TFCs % Split'!$A$8:$AA$117,6,0)),0,VLOOKUP($A60,'HRGs to TFCs % Split'!$A$8:$AA$117,17,0))</f>
        <v>0</v>
      </c>
      <c r="Z60" s="167">
        <f t="shared" si="13"/>
        <v>0</v>
      </c>
      <c r="AA60" s="168">
        <f t="shared" si="14"/>
        <v>0</v>
      </c>
      <c r="AB60" s="168">
        <f t="shared" si="15"/>
        <v>0</v>
      </c>
      <c r="AC60" s="169">
        <f t="shared" si="16"/>
        <v>0</v>
      </c>
      <c r="AD60" s="200">
        <f t="shared" si="17"/>
        <v>24</v>
      </c>
      <c r="AE60" s="201">
        <f t="shared" si="18"/>
        <v>967</v>
      </c>
      <c r="AF60" s="201">
        <f t="shared" si="19"/>
        <v>497</v>
      </c>
      <c r="AG60" s="202">
        <f t="shared" si="20"/>
        <v>5098</v>
      </c>
      <c r="AH60" s="200">
        <f t="shared" si="21"/>
        <v>23867.4190016297</v>
      </c>
      <c r="AI60" s="201">
        <f t="shared" si="22"/>
        <v>846533.49647620704</v>
      </c>
      <c r="AJ60" s="201">
        <f t="shared" si="23"/>
        <v>1251715.86239648</v>
      </c>
      <c r="AK60" s="202">
        <f t="shared" si="24"/>
        <v>3835622.8811138598</v>
      </c>
      <c r="AL60" s="194">
        <f t="shared" si="25"/>
        <v>994.47579173457086</v>
      </c>
      <c r="AM60" s="195">
        <f t="shared" si="26"/>
        <v>875.42243689369911</v>
      </c>
      <c r="AN60" s="195">
        <f t="shared" si="27"/>
        <v>2518.5429826890945</v>
      </c>
      <c r="AO60" s="196">
        <f t="shared" si="28"/>
        <v>752.37796804901132</v>
      </c>
      <c r="AP60" s="188">
        <f t="shared" si="29"/>
        <v>0</v>
      </c>
      <c r="AQ60" s="189">
        <f t="shared" si="30"/>
        <v>0</v>
      </c>
      <c r="AR60" s="189">
        <f t="shared" si="31"/>
        <v>0</v>
      </c>
      <c r="AS60" s="190">
        <f t="shared" si="32"/>
        <v>0</v>
      </c>
      <c r="AT60" s="196">
        <f>IF(ISERROR(VLOOKUP(A60,Mandatory!A:A,1,FALSE)),0,1)</f>
        <v>0</v>
      </c>
    </row>
    <row r="61" spans="1:46">
      <c r="A61">
        <v>262</v>
      </c>
      <c r="B61" s="185">
        <f>VLOOKUP(A61,OPATT_Activities!A:J,3,FALSE)</f>
        <v>604</v>
      </c>
      <c r="C61" s="186">
        <f>VLOOKUP(A61,OPATT_Activities!A:J,4,FALSE)</f>
        <v>4222</v>
      </c>
      <c r="D61" s="186">
        <f>VLOOKUP(A61,OPATT_Activities!A:J,5,FALSE)</f>
        <v>2137</v>
      </c>
      <c r="E61" s="187">
        <f>VLOOKUP(A61,OPATT_Activities!A:J,6,FALSE)</f>
        <v>15181</v>
      </c>
      <c r="F61" s="185">
        <f>VLOOKUP(A61,OPATT_Cost_Quantum!A:F,2,FALSE)</f>
        <v>204765.732056707</v>
      </c>
      <c r="G61" s="186">
        <f>VLOOKUP(A61,OPATT_Cost_Quantum!A:F,3,FALSE)</f>
        <v>1337694.8889514799</v>
      </c>
      <c r="H61" s="186">
        <f>VLOOKUP(A61,OPATT_Cost_Quantum!A:F,4,FALSE)</f>
        <v>678350.38512724405</v>
      </c>
      <c r="I61" s="187">
        <f>VLOOKUP(A61,OPATT_Cost_Quantum!A:F,5,FALSE)</f>
        <v>3392793.0015951302</v>
      </c>
      <c r="J61" s="179">
        <f t="shared" si="12"/>
        <v>339.01611267666721</v>
      </c>
      <c r="K61" s="180">
        <f t="shared" si="12"/>
        <v>316.83914944374226</v>
      </c>
      <c r="L61" s="180">
        <f t="shared" si="12"/>
        <v>317.4311582251961</v>
      </c>
      <c r="M61" s="181">
        <f t="shared" si="12"/>
        <v>223.48942767901522</v>
      </c>
      <c r="N61" s="173">
        <f>IF(ISERROR(VLOOKUP($A61,'HRGs to TFCs % Split'!$A$8:$I$117,6,0)),0,VLOOKUP($A61,'HRGs to TFCs % Split'!$A$8:$I$117,6,0))</f>
        <v>0</v>
      </c>
      <c r="O61" s="174">
        <f>IF(ISERROR(VLOOKUP($A61,'HRGs to TFCs % Split'!$A$8:$I$117,6,0)),0,VLOOKUP($A61,'HRGs to TFCs % Split'!$A$8:$I$117,7,0))</f>
        <v>1.2774872048210742E-4</v>
      </c>
      <c r="P61" s="174">
        <f>IF(ISERROR(VLOOKUP($A61,'HRGs to TFCs % Split'!$A$8:$I$117,6,0)),0,VLOOKUP($A61,'HRGs to TFCs % Split'!$A$8:$I$117,8,0))</f>
        <v>0</v>
      </c>
      <c r="Q61" s="175">
        <f>IF(ISERROR(VLOOKUP($A61,'HRGs to TFCs % Split'!$A$8:$I$117,6,0)),0,VLOOKUP($A61,'HRGs to TFCs % Split'!$A$8:$I$117,9,0))</f>
        <v>4.371516908983098E-4</v>
      </c>
      <c r="R61" s="167">
        <f t="shared" si="33"/>
        <v>0</v>
      </c>
      <c r="S61" s="168">
        <f t="shared" si="34"/>
        <v>202</v>
      </c>
      <c r="T61" s="168">
        <f t="shared" si="35"/>
        <v>0</v>
      </c>
      <c r="U61" s="169">
        <f t="shared" si="36"/>
        <v>690</v>
      </c>
      <c r="V61" s="173">
        <f>IF(ISERROR(VLOOKUP($A61,'HRGs to TFCs % Split'!$A$8:$AA$117,6,0)),0,VLOOKUP($A61,'HRGs to TFCs % Split'!$A$8:$AA$117,14,0))</f>
        <v>0</v>
      </c>
      <c r="W61" s="174">
        <f>IF(ISERROR(VLOOKUP($A61,'HRGs to TFCs % Split'!$A$8:$AA$117,6,0)),0,VLOOKUP($A61,'HRGs to TFCs % Split'!$A$8:$AA$117,15,0))</f>
        <v>3.6866879397770417E-4</v>
      </c>
      <c r="X61" s="174">
        <f>IF(ISERROR(VLOOKUP($A61,'HRGs to TFCs % Split'!$A$8:$AA$117,6,0)),0,VLOOKUP($A61,'HRGs to TFCs % Split'!$A$8:$AA$117,16,0))</f>
        <v>0</v>
      </c>
      <c r="Y61" s="175">
        <f>IF(ISERROR(VLOOKUP($A61,'HRGs to TFCs % Split'!$A$8:$AA$117,6,0)),0,VLOOKUP($A61,'HRGs to TFCs % Split'!$A$8:$AA$117,17,0))</f>
        <v>1.1207878575617144E-3</v>
      </c>
      <c r="Z61" s="167">
        <f t="shared" si="13"/>
        <v>0</v>
      </c>
      <c r="AA61" s="168">
        <f t="shared" si="14"/>
        <v>65213.500943356587</v>
      </c>
      <c r="AB61" s="168">
        <f t="shared" si="15"/>
        <v>0</v>
      </c>
      <c r="AC61" s="169">
        <f t="shared" si="16"/>
        <v>198255.18514274832</v>
      </c>
      <c r="AD61" s="200">
        <f t="shared" si="17"/>
        <v>604</v>
      </c>
      <c r="AE61" s="201">
        <f t="shared" si="18"/>
        <v>4424</v>
      </c>
      <c r="AF61" s="201">
        <f t="shared" si="19"/>
        <v>2137</v>
      </c>
      <c r="AG61" s="202">
        <f t="shared" si="20"/>
        <v>15871</v>
      </c>
      <c r="AH61" s="200">
        <f t="shared" si="21"/>
        <v>204765.732056707</v>
      </c>
      <c r="AI61" s="201">
        <f t="shared" si="22"/>
        <v>1402908.3898948366</v>
      </c>
      <c r="AJ61" s="201">
        <f t="shared" si="23"/>
        <v>678350.38512724405</v>
      </c>
      <c r="AK61" s="202">
        <f t="shared" si="24"/>
        <v>3591048.1867378787</v>
      </c>
      <c r="AL61" s="194">
        <f t="shared" si="25"/>
        <v>339.01611267666721</v>
      </c>
      <c r="AM61" s="195">
        <f t="shared" si="26"/>
        <v>317.11310802324516</v>
      </c>
      <c r="AN61" s="195">
        <f t="shared" si="27"/>
        <v>317.4311582251961</v>
      </c>
      <c r="AO61" s="196">
        <f t="shared" si="28"/>
        <v>226.26477139045295</v>
      </c>
      <c r="AP61" s="188">
        <f t="shared" si="29"/>
        <v>0</v>
      </c>
      <c r="AQ61" s="189">
        <f t="shared" si="30"/>
        <v>8.6466139043706036E-4</v>
      </c>
      <c r="AR61" s="189">
        <f t="shared" si="31"/>
        <v>0</v>
      </c>
      <c r="AS61" s="190">
        <f t="shared" si="32"/>
        <v>1.2418232666575157E-2</v>
      </c>
      <c r="AT61" s="196">
        <f>IF(ISERROR(VLOOKUP(A61,Mandatory!A:A,1,FALSE)),0,1)</f>
        <v>0</v>
      </c>
    </row>
    <row r="62" spans="1:46" s="255" customFormat="1">
      <c r="A62" s="255">
        <v>263</v>
      </c>
      <c r="B62" s="185">
        <f>VLOOKUP(A62,OPATT_Activities!A:J,3,FALSE)</f>
        <v>497</v>
      </c>
      <c r="C62" s="186">
        <f>VLOOKUP(A62,OPATT_Activities!A:J,4,FALSE)</f>
        <v>2264</v>
      </c>
      <c r="D62" s="186">
        <f>VLOOKUP(A62,OPATT_Activities!A:J,5,FALSE)</f>
        <v>3428</v>
      </c>
      <c r="E62" s="187">
        <f>VLOOKUP(A62,OPATT_Activities!A:J,6,FALSE)</f>
        <v>17682</v>
      </c>
      <c r="F62" s="185">
        <f>VLOOKUP(A62,OPATT_Cost_Quantum!A:F,2,FALSE)</f>
        <v>29193.466252020102</v>
      </c>
      <c r="G62" s="186">
        <f>VLOOKUP(A62,OPATT_Cost_Quantum!A:F,3,FALSE)</f>
        <v>249575.39786232801</v>
      </c>
      <c r="H62" s="186">
        <f>VLOOKUP(A62,OPATT_Cost_Quantum!A:F,4,FALSE)</f>
        <v>394950.76606085798</v>
      </c>
      <c r="I62" s="187">
        <f>VLOOKUP(A62,OPATT_Cost_Quantum!A:F,5,FALSE)</f>
        <v>1386677.89319639</v>
      </c>
      <c r="J62" s="179">
        <f t="shared" ref="J62:J65" si="37">IF(B62=0,0,F62/B62)</f>
        <v>58.739368716338234</v>
      </c>
      <c r="K62" s="180">
        <f t="shared" ref="K62:K65" si="38">IF(C62=0,0,G62/C62)</f>
        <v>110.23648315473852</v>
      </c>
      <c r="L62" s="180">
        <f t="shared" ref="L62:L65" si="39">IF(D62=0,0,H62/D62)</f>
        <v>115.21317563035531</v>
      </c>
      <c r="M62" s="181">
        <f t="shared" ref="M62:M65" si="40">IF(E62=0,0,I62/E62)</f>
        <v>78.423136138241716</v>
      </c>
      <c r="N62" s="173">
        <f>IF(ISERROR(VLOOKUP($A62,'HRGs to TFCs % Split'!$A$8:$I$117,6,0)),0,VLOOKUP($A62,'HRGs to TFCs % Split'!$A$8:$I$117,6,0))</f>
        <v>0</v>
      </c>
      <c r="O62" s="174">
        <f>IF(ISERROR(VLOOKUP($A62,'HRGs to TFCs % Split'!$A$8:$I$117,6,0)),0,VLOOKUP($A62,'HRGs to TFCs % Split'!$A$8:$I$117,7,0))</f>
        <v>0</v>
      </c>
      <c r="P62" s="174">
        <f>IF(ISERROR(VLOOKUP($A62,'HRGs to TFCs % Split'!$A$8:$I$117,6,0)),0,VLOOKUP($A62,'HRGs to TFCs % Split'!$A$8:$I$117,8,0))</f>
        <v>0</v>
      </c>
      <c r="Q62" s="175">
        <f>IF(ISERROR(VLOOKUP($A62,'HRGs to TFCs % Split'!$A$8:$I$117,6,0)),0,VLOOKUP($A62,'HRGs to TFCs % Split'!$A$8:$I$117,9,0))</f>
        <v>0</v>
      </c>
      <c r="R62" s="167">
        <f t="shared" ref="R62" si="41">ROUND(N62*$R$3,0)</f>
        <v>0</v>
      </c>
      <c r="S62" s="168">
        <f t="shared" ref="S62" si="42">ROUND(O62*$R$3,0)</f>
        <v>0</v>
      </c>
      <c r="T62" s="168">
        <f t="shared" ref="T62" si="43">ROUND(P62*$R$3,0)</f>
        <v>0</v>
      </c>
      <c r="U62" s="169">
        <f t="shared" ref="U62" si="44">ROUND(Q62*$R$3,0)</f>
        <v>0</v>
      </c>
      <c r="V62" s="173">
        <f>IF(ISERROR(VLOOKUP($A62,'HRGs to TFCs % Split'!$A$8:$AA$117,6,0)),0,VLOOKUP($A62,'HRGs to TFCs % Split'!$A$8:$AA$117,14,0))</f>
        <v>0</v>
      </c>
      <c r="W62" s="174">
        <f>IF(ISERROR(VLOOKUP($A62,'HRGs to TFCs % Split'!$A$8:$AA$117,6,0)),0,VLOOKUP($A62,'HRGs to TFCs % Split'!$A$8:$AA$117,15,0))</f>
        <v>0</v>
      </c>
      <c r="X62" s="174">
        <f>IF(ISERROR(VLOOKUP($A62,'HRGs to TFCs % Split'!$A$8:$AA$117,6,0)),0,VLOOKUP($A62,'HRGs to TFCs % Split'!$A$8:$AA$117,16,0))</f>
        <v>0</v>
      </c>
      <c r="Y62" s="175">
        <f>IF(ISERROR(VLOOKUP($A62,'HRGs to TFCs % Split'!$A$8:$AA$117,6,0)),0,VLOOKUP($A62,'HRGs to TFCs % Split'!$A$8:$AA$117,17,0))</f>
        <v>0</v>
      </c>
      <c r="Z62" s="167">
        <f t="shared" ref="Z62" si="45">V62*$Z$3</f>
        <v>0</v>
      </c>
      <c r="AA62" s="168">
        <f t="shared" ref="AA62" si="46">W62*$Z$3</f>
        <v>0</v>
      </c>
      <c r="AB62" s="168">
        <f t="shared" ref="AB62" si="47">X62*$Z$3</f>
        <v>0</v>
      </c>
      <c r="AC62" s="169">
        <f t="shared" ref="AC62" si="48">Y62*$Z$3</f>
        <v>0</v>
      </c>
      <c r="AD62" s="200">
        <f t="shared" ref="AD62" si="49">B62+R62</f>
        <v>497</v>
      </c>
      <c r="AE62" s="201">
        <f t="shared" ref="AE62" si="50">C62+S62</f>
        <v>2264</v>
      </c>
      <c r="AF62" s="201">
        <f t="shared" ref="AF62" si="51">D62+T62</f>
        <v>3428</v>
      </c>
      <c r="AG62" s="202">
        <f t="shared" ref="AG62" si="52">E62+U62</f>
        <v>17682</v>
      </c>
      <c r="AH62" s="200">
        <f t="shared" ref="AH62" si="53">F62+Z62</f>
        <v>29193.466252020102</v>
      </c>
      <c r="AI62" s="201">
        <f t="shared" ref="AI62" si="54">G62+AA62</f>
        <v>249575.39786232801</v>
      </c>
      <c r="AJ62" s="201">
        <f t="shared" ref="AJ62" si="55">H62+AB62</f>
        <v>394950.76606085798</v>
      </c>
      <c r="AK62" s="202">
        <f t="shared" ref="AK62" si="56">I62+AC62</f>
        <v>1386677.89319639</v>
      </c>
      <c r="AL62" s="194">
        <f t="shared" ref="AL62" si="57">IF(AD62=0,0,AH62/AD62)</f>
        <v>58.739368716338234</v>
      </c>
      <c r="AM62" s="195">
        <f t="shared" ref="AM62" si="58">IF(AE62=0,0,AI62/AE62)</f>
        <v>110.23648315473852</v>
      </c>
      <c r="AN62" s="195">
        <f t="shared" ref="AN62" si="59">IF(AF62=0,0,AJ62/AF62)</f>
        <v>115.21317563035531</v>
      </c>
      <c r="AO62" s="196">
        <f t="shared" ref="AO62" si="60">IF(AG62=0,0,AK62/AG62)</f>
        <v>78.423136138241716</v>
      </c>
      <c r="AP62" s="188">
        <f t="shared" ref="AP62" si="61">IF(J62=0,0,AL62/J62-1)</f>
        <v>0</v>
      </c>
      <c r="AQ62" s="189">
        <f t="shared" ref="AQ62" si="62">IF(K62=0,0,AM62/K62-1)</f>
        <v>0</v>
      </c>
      <c r="AR62" s="189">
        <f t="shared" ref="AR62" si="63">IF(L62=0,0,AN62/L62-1)</f>
        <v>0</v>
      </c>
      <c r="AS62" s="190">
        <f t="shared" ref="AS62" si="64">IF(M62=0,0,AO62/M62-1)</f>
        <v>0</v>
      </c>
      <c r="AT62" s="196">
        <f>IF(ISERROR(VLOOKUP(A62,Mandatory!A:A,1,FALSE)),0,1)</f>
        <v>1</v>
      </c>
    </row>
    <row r="63" spans="1:46">
      <c r="A63">
        <v>291</v>
      </c>
      <c r="B63" s="185">
        <f>VLOOKUP(A63,OPATT_Activities!A:J,3,FALSE)</f>
        <v>514</v>
      </c>
      <c r="C63" s="186">
        <f>VLOOKUP(A63,OPATT_Activities!A:J,4,FALSE)</f>
        <v>17723</v>
      </c>
      <c r="D63" s="186">
        <f>VLOOKUP(A63,OPATT_Activities!A:J,5,FALSE)</f>
        <v>1596</v>
      </c>
      <c r="E63" s="187">
        <f>VLOOKUP(A63,OPATT_Activities!A:J,6,FALSE)</f>
        <v>34655</v>
      </c>
      <c r="F63" s="185">
        <f>VLOOKUP(A63,OPATT_Cost_Quantum!A:F,2,FALSE)</f>
        <v>763403.276713753</v>
      </c>
      <c r="G63" s="186">
        <f>VLOOKUP(A63,OPATT_Cost_Quantum!A:F,3,FALSE)</f>
        <v>7258422.6659142496</v>
      </c>
      <c r="H63" s="186">
        <f>VLOOKUP(A63,OPATT_Cost_Quantum!A:F,4,FALSE)</f>
        <v>1188002.0982375101</v>
      </c>
      <c r="I63" s="187">
        <f>VLOOKUP(A63,OPATT_Cost_Quantum!A:F,5,FALSE)</f>
        <v>9853935.6442035306</v>
      </c>
      <c r="J63" s="179">
        <f t="shared" si="37"/>
        <v>1485.2203827115818</v>
      </c>
      <c r="K63" s="180">
        <f t="shared" si="38"/>
        <v>409.54819533455111</v>
      </c>
      <c r="L63" s="180">
        <f t="shared" si="39"/>
        <v>744.36221694079575</v>
      </c>
      <c r="M63" s="181">
        <f t="shared" si="40"/>
        <v>284.34383621998359</v>
      </c>
      <c r="N63" s="173">
        <f>IF(ISERROR(VLOOKUP($A63,'HRGs to TFCs % Split'!$A$8:$I$117,6,0)),0,VLOOKUP($A63,'HRGs to TFCs % Split'!$A$8:$I$117,6,0))</f>
        <v>0</v>
      </c>
      <c r="O63" s="174">
        <f>IF(ISERROR(VLOOKUP($A63,'HRGs to TFCs % Split'!$A$8:$I$117,6,0)),0,VLOOKUP($A63,'HRGs to TFCs % Split'!$A$8:$I$117,7,0))</f>
        <v>0</v>
      </c>
      <c r="P63" s="174">
        <f>IF(ISERROR(VLOOKUP($A63,'HRGs to TFCs % Split'!$A$8:$I$117,6,0)),0,VLOOKUP($A63,'HRGs to TFCs % Split'!$A$8:$I$117,8,0))</f>
        <v>0</v>
      </c>
      <c r="Q63" s="175">
        <f>IF(ISERROR(VLOOKUP($A63,'HRGs to TFCs % Split'!$A$8:$I$117,6,0)),0,VLOOKUP($A63,'HRGs to TFCs % Split'!$A$8:$I$117,9,0))</f>
        <v>0</v>
      </c>
      <c r="R63" s="167">
        <f t="shared" si="33"/>
        <v>0</v>
      </c>
      <c r="S63" s="168">
        <f t="shared" si="34"/>
        <v>0</v>
      </c>
      <c r="T63" s="168">
        <f t="shared" si="35"/>
        <v>0</v>
      </c>
      <c r="U63" s="169">
        <f t="shared" si="36"/>
        <v>0</v>
      </c>
      <c r="V63" s="173">
        <f>IF(ISERROR(VLOOKUP($A63,'HRGs to TFCs % Split'!$A$8:$AA$117,6,0)),0,VLOOKUP($A63,'HRGs to TFCs % Split'!$A$8:$AA$117,14,0))</f>
        <v>0</v>
      </c>
      <c r="W63" s="174">
        <f>IF(ISERROR(VLOOKUP($A63,'HRGs to TFCs % Split'!$A$8:$AA$117,6,0)),0,VLOOKUP($A63,'HRGs to TFCs % Split'!$A$8:$AA$117,15,0))</f>
        <v>0</v>
      </c>
      <c r="X63" s="174">
        <f>IF(ISERROR(VLOOKUP($A63,'HRGs to TFCs % Split'!$A$8:$AA$117,6,0)),0,VLOOKUP($A63,'HRGs to TFCs % Split'!$A$8:$AA$117,16,0))</f>
        <v>0</v>
      </c>
      <c r="Y63" s="175">
        <f>IF(ISERROR(VLOOKUP($A63,'HRGs to TFCs % Split'!$A$8:$AA$117,6,0)),0,VLOOKUP($A63,'HRGs to TFCs % Split'!$A$8:$AA$117,17,0))</f>
        <v>0</v>
      </c>
      <c r="Z63" s="167">
        <f t="shared" si="13"/>
        <v>0</v>
      </c>
      <c r="AA63" s="168">
        <f t="shared" si="14"/>
        <v>0</v>
      </c>
      <c r="AB63" s="168">
        <f t="shared" si="15"/>
        <v>0</v>
      </c>
      <c r="AC63" s="169">
        <f t="shared" si="16"/>
        <v>0</v>
      </c>
      <c r="AD63" s="200">
        <f t="shared" si="17"/>
        <v>514</v>
      </c>
      <c r="AE63" s="201">
        <f t="shared" si="18"/>
        <v>17723</v>
      </c>
      <c r="AF63" s="201">
        <f t="shared" si="19"/>
        <v>1596</v>
      </c>
      <c r="AG63" s="202">
        <f t="shared" si="20"/>
        <v>34655</v>
      </c>
      <c r="AH63" s="200">
        <f t="shared" si="21"/>
        <v>763403.276713753</v>
      </c>
      <c r="AI63" s="201">
        <f t="shared" si="22"/>
        <v>7258422.6659142496</v>
      </c>
      <c r="AJ63" s="201">
        <f t="shared" si="23"/>
        <v>1188002.0982375101</v>
      </c>
      <c r="AK63" s="202">
        <f t="shared" si="24"/>
        <v>9853935.6442035306</v>
      </c>
      <c r="AL63" s="194">
        <f t="shared" si="25"/>
        <v>1485.2203827115818</v>
      </c>
      <c r="AM63" s="195">
        <f t="shared" si="26"/>
        <v>409.54819533455111</v>
      </c>
      <c r="AN63" s="195">
        <f t="shared" si="27"/>
        <v>744.36221694079575</v>
      </c>
      <c r="AO63" s="196">
        <f t="shared" si="28"/>
        <v>284.34383621998359</v>
      </c>
      <c r="AP63" s="188">
        <f t="shared" si="29"/>
        <v>0</v>
      </c>
      <c r="AQ63" s="189">
        <f t="shared" si="30"/>
        <v>0</v>
      </c>
      <c r="AR63" s="189">
        <f t="shared" si="31"/>
        <v>0</v>
      </c>
      <c r="AS63" s="190">
        <f t="shared" si="32"/>
        <v>0</v>
      </c>
      <c r="AT63" s="196">
        <f>IF(ISERROR(VLOOKUP(A63,Mandatory!A:A,1,FALSE)),0,1)</f>
        <v>0</v>
      </c>
    </row>
    <row r="64" spans="1:46">
      <c r="A64">
        <v>300</v>
      </c>
      <c r="B64" s="185">
        <f>VLOOKUP(A64,OPATT_Activities!A:J,3,FALSE)</f>
        <v>3833</v>
      </c>
      <c r="C64" s="186">
        <f>VLOOKUP(A64,OPATT_Activities!A:J,4,FALSE)</f>
        <v>352982</v>
      </c>
      <c r="D64" s="186">
        <f>VLOOKUP(A64,OPATT_Activities!A:J,5,FALSE)</f>
        <v>11253</v>
      </c>
      <c r="E64" s="187">
        <f>VLOOKUP(A64,OPATT_Activities!A:J,6,FALSE)</f>
        <v>608574</v>
      </c>
      <c r="F64" s="185">
        <f>VLOOKUP(A64,OPATT_Cost_Quantum!A:F,2,FALSE)</f>
        <v>875118.96417331696</v>
      </c>
      <c r="G64" s="186">
        <f>VLOOKUP(A64,OPATT_Cost_Quantum!A:F,3,FALSE)</f>
        <v>63555659.929519102</v>
      </c>
      <c r="H64" s="186">
        <f>VLOOKUP(A64,OPATT_Cost_Quantum!A:F,4,FALSE)</f>
        <v>1747845.76590576</v>
      </c>
      <c r="I64" s="187">
        <f>VLOOKUP(A64,OPATT_Cost_Quantum!A:F,5,FALSE)</f>
        <v>83324212.135400504</v>
      </c>
      <c r="J64" s="179">
        <f t="shared" si="37"/>
        <v>228.31175689363866</v>
      </c>
      <c r="K64" s="180">
        <f t="shared" si="38"/>
        <v>180.05354360709356</v>
      </c>
      <c r="L64" s="180">
        <f t="shared" si="39"/>
        <v>155.32264870752331</v>
      </c>
      <c r="M64" s="181">
        <f t="shared" si="40"/>
        <v>136.91714094818462</v>
      </c>
      <c r="N64" s="173">
        <f>IF(ISERROR(VLOOKUP($A64,'HRGs to TFCs % Split'!$A$8:$I$117,6,0)),0,VLOOKUP($A64,'HRGs to TFCs % Split'!$A$8:$I$117,6,0))</f>
        <v>0</v>
      </c>
      <c r="O64" s="174">
        <f>IF(ISERROR(VLOOKUP($A64,'HRGs to TFCs % Split'!$A$8:$I$117,6,0)),0,VLOOKUP($A64,'HRGs to TFCs % Split'!$A$8:$I$117,7,0))</f>
        <v>5.1047797959121888E-3</v>
      </c>
      <c r="P64" s="174">
        <f>IF(ISERROR(VLOOKUP($A64,'HRGs to TFCs % Split'!$A$8:$I$117,6,0)),0,VLOOKUP($A64,'HRGs to TFCs % Split'!$A$8:$I$117,8,0))</f>
        <v>0</v>
      </c>
      <c r="Q64" s="175">
        <f>IF(ISERROR(VLOOKUP($A64,'HRGs to TFCs % Split'!$A$8:$I$117,6,0)),0,VLOOKUP($A64,'HRGs to TFCs % Split'!$A$8:$I$117,9,0))</f>
        <v>9.3943307628518539E-3</v>
      </c>
      <c r="R64" s="167">
        <f t="shared" si="33"/>
        <v>0</v>
      </c>
      <c r="S64" s="168">
        <f t="shared" si="34"/>
        <v>8057</v>
      </c>
      <c r="T64" s="168">
        <f t="shared" si="35"/>
        <v>0</v>
      </c>
      <c r="U64" s="169">
        <f t="shared" si="36"/>
        <v>14828</v>
      </c>
      <c r="V64" s="173">
        <f>IF(ISERROR(VLOOKUP($A64,'HRGs to TFCs % Split'!$A$8:$AA$117,6,0)),0,VLOOKUP($A64,'HRGs to TFCs % Split'!$A$8:$AA$117,14,0))</f>
        <v>0</v>
      </c>
      <c r="W64" s="174">
        <f>IF(ISERROR(VLOOKUP($A64,'HRGs to TFCs % Split'!$A$8:$AA$117,6,0)),0,VLOOKUP($A64,'HRGs to TFCs % Split'!$A$8:$AA$117,15,0))</f>
        <v>6.5978558528319549E-3</v>
      </c>
      <c r="X64" s="174">
        <f>IF(ISERROR(VLOOKUP($A64,'HRGs to TFCs % Split'!$A$8:$AA$117,6,0)),0,VLOOKUP($A64,'HRGs to TFCs % Split'!$A$8:$AA$117,16,0))</f>
        <v>0</v>
      </c>
      <c r="Y64" s="175">
        <f>IF(ISERROR(VLOOKUP($A64,'HRGs to TFCs % Split'!$A$8:$AA$117,6,0)),0,VLOOKUP($A64,'HRGs to TFCs % Split'!$A$8:$AA$117,17,0))</f>
        <v>1.0944308731631328E-2</v>
      </c>
      <c r="Z64" s="167">
        <f t="shared" si="13"/>
        <v>0</v>
      </c>
      <c r="AA64" s="168">
        <f t="shared" si="14"/>
        <v>1167088.958738419</v>
      </c>
      <c r="AB64" s="168">
        <f t="shared" si="15"/>
        <v>0</v>
      </c>
      <c r="AC64" s="169">
        <f t="shared" si="16"/>
        <v>1935929.2119467766</v>
      </c>
      <c r="AD64" s="200">
        <f t="shared" si="17"/>
        <v>3833</v>
      </c>
      <c r="AE64" s="201">
        <f t="shared" si="18"/>
        <v>361039</v>
      </c>
      <c r="AF64" s="201">
        <f t="shared" si="19"/>
        <v>11253</v>
      </c>
      <c r="AG64" s="202">
        <f t="shared" si="20"/>
        <v>623402</v>
      </c>
      <c r="AH64" s="200">
        <f t="shared" si="21"/>
        <v>875118.96417331696</v>
      </c>
      <c r="AI64" s="201">
        <f t="shared" si="22"/>
        <v>64722748.888257518</v>
      </c>
      <c r="AJ64" s="201">
        <f t="shared" si="23"/>
        <v>1747845.76590576</v>
      </c>
      <c r="AK64" s="202">
        <f t="shared" si="24"/>
        <v>85260141.347347274</v>
      </c>
      <c r="AL64" s="194">
        <f t="shared" si="25"/>
        <v>228.31175689363866</v>
      </c>
      <c r="AM64" s="195">
        <f t="shared" si="26"/>
        <v>179.2680261363939</v>
      </c>
      <c r="AN64" s="195">
        <f t="shared" si="27"/>
        <v>155.32264870752331</v>
      </c>
      <c r="AO64" s="196">
        <f t="shared" si="28"/>
        <v>136.76590923248125</v>
      </c>
      <c r="AP64" s="188">
        <f t="shared" si="29"/>
        <v>0</v>
      </c>
      <c r="AQ64" s="189">
        <f t="shared" si="30"/>
        <v>-4.362688203536802E-3</v>
      </c>
      <c r="AR64" s="189">
        <f t="shared" si="31"/>
        <v>0</v>
      </c>
      <c r="AS64" s="190">
        <f t="shared" si="32"/>
        <v>-1.1045491795699247E-3</v>
      </c>
      <c r="AT64" s="196">
        <f>IF(ISERROR(VLOOKUP(A64,Mandatory!A:A,1,FALSE)),0,1)</f>
        <v>1</v>
      </c>
    </row>
    <row r="65" spans="1:46">
      <c r="A65">
        <v>301</v>
      </c>
      <c r="B65" s="185">
        <f>VLOOKUP(A65,OPATT_Activities!A:J,3,FALSE)</f>
        <v>3302</v>
      </c>
      <c r="C65" s="186">
        <f>VLOOKUP(A65,OPATT_Activities!A:J,4,FALSE)</f>
        <v>355575</v>
      </c>
      <c r="D65" s="186">
        <f>VLOOKUP(A65,OPATT_Activities!A:J,5,FALSE)</f>
        <v>9663</v>
      </c>
      <c r="E65" s="187">
        <f>VLOOKUP(A65,OPATT_Activities!A:J,6,FALSE)</f>
        <v>664147</v>
      </c>
      <c r="F65" s="185">
        <f>VLOOKUP(A65,OPATT_Cost_Quantum!A:F,2,FALSE)</f>
        <v>498216.91323707899</v>
      </c>
      <c r="G65" s="186">
        <f>VLOOKUP(A65,OPATT_Cost_Quantum!A:F,3,FALSE)</f>
        <v>53586370.59973</v>
      </c>
      <c r="H65" s="186">
        <f>VLOOKUP(A65,OPATT_Cost_Quantum!A:F,4,FALSE)</f>
        <v>935873.744401854</v>
      </c>
      <c r="I65" s="187">
        <f>VLOOKUP(A65,OPATT_Cost_Quantum!A:F,5,FALSE)</f>
        <v>70403921.353507504</v>
      </c>
      <c r="J65" s="179">
        <f t="shared" si="37"/>
        <v>150.88337772170775</v>
      </c>
      <c r="K65" s="180">
        <f t="shared" si="38"/>
        <v>150.70342571814666</v>
      </c>
      <c r="L65" s="180">
        <f t="shared" si="39"/>
        <v>96.851261968524682</v>
      </c>
      <c r="M65" s="181">
        <f t="shared" si="40"/>
        <v>106.0065337244729</v>
      </c>
      <c r="N65" s="173">
        <f>IF(ISERROR(VLOOKUP($A65,'HRGs to TFCs % Split'!$A$8:$I$117,6,0)),0,VLOOKUP($A65,'HRGs to TFCs % Split'!$A$8:$I$117,6,0))</f>
        <v>0</v>
      </c>
      <c r="O65" s="174">
        <f>IF(ISERROR(VLOOKUP($A65,'HRGs to TFCs % Split'!$A$8:$I$117,6,0)),0,VLOOKUP($A65,'HRGs to TFCs % Split'!$A$8:$I$117,7,0))</f>
        <v>1.0655572465646302E-3</v>
      </c>
      <c r="P65" s="174">
        <f>IF(ISERROR(VLOOKUP($A65,'HRGs to TFCs % Split'!$A$8:$I$117,6,0)),0,VLOOKUP($A65,'HRGs to TFCs % Split'!$A$8:$I$117,8,0))</f>
        <v>0</v>
      </c>
      <c r="Q65" s="175">
        <f>IF(ISERROR(VLOOKUP($A65,'HRGs to TFCs % Split'!$A$8:$I$117,6,0)),0,VLOOKUP($A65,'HRGs to TFCs % Split'!$A$8:$I$117,9,0))</f>
        <v>1.2464730645884239E-3</v>
      </c>
      <c r="R65" s="167">
        <f t="shared" si="33"/>
        <v>0</v>
      </c>
      <c r="S65" s="168">
        <f t="shared" si="34"/>
        <v>1682</v>
      </c>
      <c r="T65" s="168">
        <f t="shared" si="35"/>
        <v>0</v>
      </c>
      <c r="U65" s="169">
        <f t="shared" si="36"/>
        <v>1967</v>
      </c>
      <c r="V65" s="173">
        <f>IF(ISERROR(VLOOKUP($A65,'HRGs to TFCs % Split'!$A$8:$AA$117,6,0)),0,VLOOKUP($A65,'HRGs to TFCs % Split'!$A$8:$AA$117,14,0))</f>
        <v>0</v>
      </c>
      <c r="W65" s="174">
        <f>IF(ISERROR(VLOOKUP($A65,'HRGs to TFCs % Split'!$A$8:$AA$117,6,0)),0,VLOOKUP($A65,'HRGs to TFCs % Split'!$A$8:$AA$117,15,0))</f>
        <v>2.7273282395552123E-3</v>
      </c>
      <c r="X65" s="174">
        <f>IF(ISERROR(VLOOKUP($A65,'HRGs to TFCs % Split'!$A$8:$AA$117,6,0)),0,VLOOKUP($A65,'HRGs to TFCs % Split'!$A$8:$AA$117,16,0))</f>
        <v>0</v>
      </c>
      <c r="Y65" s="175">
        <f>IF(ISERROR(VLOOKUP($A65,'HRGs to TFCs % Split'!$A$8:$AA$117,6,0)),0,VLOOKUP($A65,'HRGs to TFCs % Split'!$A$8:$AA$117,17,0))</f>
        <v>2.2434009618087212E-3</v>
      </c>
      <c r="Z65" s="167">
        <f t="shared" si="13"/>
        <v>0</v>
      </c>
      <c r="AA65" s="168">
        <f t="shared" si="14"/>
        <v>482434.71003904165</v>
      </c>
      <c r="AB65" s="168">
        <f t="shared" si="15"/>
        <v>0</v>
      </c>
      <c r="AC65" s="169">
        <f t="shared" si="16"/>
        <v>396833.23657734873</v>
      </c>
      <c r="AD65" s="200">
        <f t="shared" si="17"/>
        <v>3302</v>
      </c>
      <c r="AE65" s="201">
        <f t="shared" si="18"/>
        <v>357257</v>
      </c>
      <c r="AF65" s="201">
        <f t="shared" si="19"/>
        <v>9663</v>
      </c>
      <c r="AG65" s="202">
        <f t="shared" si="20"/>
        <v>666114</v>
      </c>
      <c r="AH65" s="200">
        <f t="shared" si="21"/>
        <v>498216.91323707899</v>
      </c>
      <c r="AI65" s="201">
        <f t="shared" si="22"/>
        <v>54068805.309769042</v>
      </c>
      <c r="AJ65" s="201">
        <f t="shared" si="23"/>
        <v>935873.744401854</v>
      </c>
      <c r="AK65" s="202">
        <f t="shared" si="24"/>
        <v>70800754.590084851</v>
      </c>
      <c r="AL65" s="194">
        <f t="shared" si="25"/>
        <v>150.88337772170775</v>
      </c>
      <c r="AM65" s="195">
        <f t="shared" si="26"/>
        <v>151.34428523379259</v>
      </c>
      <c r="AN65" s="195">
        <f t="shared" si="27"/>
        <v>96.851261968524682</v>
      </c>
      <c r="AO65" s="196">
        <f t="shared" si="28"/>
        <v>106.28924566978753</v>
      </c>
      <c r="AP65" s="188">
        <f t="shared" si="29"/>
        <v>0</v>
      </c>
      <c r="AQ65" s="189">
        <f t="shared" si="30"/>
        <v>4.2524548635309856E-3</v>
      </c>
      <c r="AR65" s="189">
        <f t="shared" si="31"/>
        <v>0</v>
      </c>
      <c r="AS65" s="190">
        <f t="shared" si="32"/>
        <v>2.6669294370991192E-3</v>
      </c>
      <c r="AT65" s="196">
        <f>IF(ISERROR(VLOOKUP(A65,Mandatory!A:A,1,FALSE)),0,1)</f>
        <v>1</v>
      </c>
    </row>
    <row r="66" spans="1:46">
      <c r="A66">
        <v>302</v>
      </c>
      <c r="B66" s="185">
        <f>VLOOKUP(A66,OPATT_Activities!A:J,3,FALSE)</f>
        <v>2435</v>
      </c>
      <c r="C66" s="186">
        <f>VLOOKUP(A66,OPATT_Activities!A:J,4,FALSE)</f>
        <v>93414</v>
      </c>
      <c r="D66" s="186">
        <f>VLOOKUP(A66,OPATT_Activities!A:J,5,FALSE)</f>
        <v>8588</v>
      </c>
      <c r="E66" s="187">
        <f>VLOOKUP(A66,OPATT_Activities!A:J,6,FALSE)</f>
        <v>319108</v>
      </c>
      <c r="F66" s="185">
        <f>VLOOKUP(A66,OPATT_Cost_Quantum!A:F,2,FALSE)</f>
        <v>347079.20236960897</v>
      </c>
      <c r="G66" s="186">
        <f>VLOOKUP(A66,OPATT_Cost_Quantum!A:F,3,FALSE)</f>
        <v>14854778.899341701</v>
      </c>
      <c r="H66" s="186">
        <f>VLOOKUP(A66,OPATT_Cost_Quantum!A:F,4,FALSE)</f>
        <v>1050481.72846208</v>
      </c>
      <c r="I66" s="187">
        <f>VLOOKUP(A66,OPATT_Cost_Quantum!A:F,5,FALSE)</f>
        <v>35298153.1138632</v>
      </c>
      <c r="J66" s="179">
        <f t="shared" si="12"/>
        <v>142.53766011072238</v>
      </c>
      <c r="K66" s="180">
        <f t="shared" si="12"/>
        <v>159.02090585288823</v>
      </c>
      <c r="L66" s="180">
        <f t="shared" si="12"/>
        <v>122.3197168679646</v>
      </c>
      <c r="M66" s="181">
        <f t="shared" si="12"/>
        <v>110.61506798282463</v>
      </c>
      <c r="N66" s="173">
        <f>IF(ISERROR(VLOOKUP($A66,'HRGs to TFCs % Split'!$A$8:$I$117,6,0)),0,VLOOKUP($A66,'HRGs to TFCs % Split'!$A$8:$I$117,6,0))</f>
        <v>0</v>
      </c>
      <c r="O66" s="174">
        <f>IF(ISERROR(VLOOKUP($A66,'HRGs to TFCs % Split'!$A$8:$I$117,6,0)),0,VLOOKUP($A66,'HRGs to TFCs % Split'!$A$8:$I$117,7,0))</f>
        <v>1.1298008227608344E-4</v>
      </c>
      <c r="P66" s="174">
        <f>IF(ISERROR(VLOOKUP($A66,'HRGs to TFCs % Split'!$A$8:$I$117,6,0)),0,VLOOKUP($A66,'HRGs to TFCs % Split'!$A$8:$I$117,8,0))</f>
        <v>0</v>
      </c>
      <c r="Q66" s="175">
        <f>IF(ISERROR(VLOOKUP($A66,'HRGs to TFCs % Split'!$A$8:$I$117,6,0)),0,VLOOKUP($A66,'HRGs to TFCs % Split'!$A$8:$I$117,9,0))</f>
        <v>2.207911411800585E-4</v>
      </c>
      <c r="R66" s="167">
        <f t="shared" si="33"/>
        <v>0</v>
      </c>
      <c r="S66" s="168">
        <f t="shared" si="34"/>
        <v>178</v>
      </c>
      <c r="T66" s="168">
        <f t="shared" si="35"/>
        <v>0</v>
      </c>
      <c r="U66" s="169">
        <f t="shared" si="36"/>
        <v>348</v>
      </c>
      <c r="V66" s="173">
        <f>IF(ISERROR(VLOOKUP($A66,'HRGs to TFCs % Split'!$A$8:$AA$117,6,0)),0,VLOOKUP($A66,'HRGs to TFCs % Split'!$A$8:$AA$117,14,0))</f>
        <v>0</v>
      </c>
      <c r="W66" s="174">
        <f>IF(ISERROR(VLOOKUP($A66,'HRGs to TFCs % Split'!$A$8:$AA$117,6,0)),0,VLOOKUP($A66,'HRGs to TFCs % Split'!$A$8:$AA$117,15,0))</f>
        <v>2.4449153956080896E-4</v>
      </c>
      <c r="X66" s="174">
        <f>IF(ISERROR(VLOOKUP($A66,'HRGs to TFCs % Split'!$A$8:$AA$117,6,0)),0,VLOOKUP($A66,'HRGs to TFCs % Split'!$A$8:$AA$117,16,0))</f>
        <v>0</v>
      </c>
      <c r="Y66" s="175">
        <f>IF(ISERROR(VLOOKUP($A66,'HRGs to TFCs % Split'!$A$8:$AA$117,6,0)),0,VLOOKUP($A66,'HRGs to TFCs % Split'!$A$8:$AA$117,17,0))</f>
        <v>5.0002409335192153E-4</v>
      </c>
      <c r="Z66" s="167">
        <f t="shared" si="13"/>
        <v>0</v>
      </c>
      <c r="AA66" s="168">
        <f t="shared" si="14"/>
        <v>43247.894875408871</v>
      </c>
      <c r="AB66" s="168">
        <f t="shared" si="15"/>
        <v>0</v>
      </c>
      <c r="AC66" s="169">
        <f t="shared" si="16"/>
        <v>88448.825113954721</v>
      </c>
      <c r="AD66" s="200">
        <f t="shared" si="17"/>
        <v>2435</v>
      </c>
      <c r="AE66" s="201">
        <f t="shared" si="18"/>
        <v>93592</v>
      </c>
      <c r="AF66" s="201">
        <f t="shared" si="19"/>
        <v>8588</v>
      </c>
      <c r="AG66" s="202">
        <f t="shared" si="20"/>
        <v>319456</v>
      </c>
      <c r="AH66" s="200">
        <f t="shared" si="21"/>
        <v>347079.20236960897</v>
      </c>
      <c r="AI66" s="201">
        <f t="shared" si="22"/>
        <v>14898026.79421711</v>
      </c>
      <c r="AJ66" s="201">
        <f t="shared" si="23"/>
        <v>1050481.72846208</v>
      </c>
      <c r="AK66" s="202">
        <f t="shared" si="24"/>
        <v>35386601.938977152</v>
      </c>
      <c r="AL66" s="194">
        <f t="shared" si="25"/>
        <v>142.53766011072238</v>
      </c>
      <c r="AM66" s="195">
        <f t="shared" si="26"/>
        <v>159.18055810557644</v>
      </c>
      <c r="AN66" s="195">
        <f t="shared" si="27"/>
        <v>122.3197168679646</v>
      </c>
      <c r="AO66" s="196">
        <f t="shared" si="28"/>
        <v>110.77144251157327</v>
      </c>
      <c r="AP66" s="188">
        <f t="shared" si="29"/>
        <v>0</v>
      </c>
      <c r="AQ66" s="189">
        <f t="shared" si="30"/>
        <v>1.0039702127964123E-3</v>
      </c>
      <c r="AR66" s="189">
        <f t="shared" si="31"/>
        <v>0</v>
      </c>
      <c r="AS66" s="190">
        <f t="shared" si="32"/>
        <v>1.4136819838408421E-3</v>
      </c>
      <c r="AT66" s="196">
        <f>IF(ISERROR(VLOOKUP(A66,Mandatory!A:A,1,FALSE)),0,1)</f>
        <v>1</v>
      </c>
    </row>
    <row r="67" spans="1:46">
      <c r="A67">
        <v>303</v>
      </c>
      <c r="B67" s="185">
        <f>VLOOKUP(A67,OPATT_Activities!A:J,3,FALSE)</f>
        <v>4066</v>
      </c>
      <c r="C67" s="186">
        <f>VLOOKUP(A67,OPATT_Activities!A:J,4,FALSE)</f>
        <v>152570</v>
      </c>
      <c r="D67" s="186">
        <f>VLOOKUP(A67,OPATT_Activities!A:J,5,FALSE)</f>
        <v>40872</v>
      </c>
      <c r="E67" s="187">
        <f>VLOOKUP(A67,OPATT_Activities!A:J,6,FALSE)</f>
        <v>1028228</v>
      </c>
      <c r="F67" s="185">
        <f>VLOOKUP(A67,OPATT_Cost_Quantum!A:F,2,FALSE)</f>
        <v>1307919.23074096</v>
      </c>
      <c r="G67" s="186">
        <f>VLOOKUP(A67,OPATT_Cost_Quantum!A:F,3,FALSE)</f>
        <v>31326184.516971301</v>
      </c>
      <c r="H67" s="186">
        <f>VLOOKUP(A67,OPATT_Cost_Quantum!A:F,4,FALSE)</f>
        <v>10202330.826974001</v>
      </c>
      <c r="I67" s="187">
        <f>VLOOKUP(A67,OPATT_Cost_Quantum!A:F,5,FALSE)</f>
        <v>142749496.678155</v>
      </c>
      <c r="J67" s="179">
        <f t="shared" si="12"/>
        <v>321.67221611927204</v>
      </c>
      <c r="K67" s="180">
        <f t="shared" si="12"/>
        <v>205.32335660333814</v>
      </c>
      <c r="L67" s="180">
        <f t="shared" si="12"/>
        <v>249.61662818002546</v>
      </c>
      <c r="M67" s="181">
        <f t="shared" si="12"/>
        <v>138.83058687193406</v>
      </c>
      <c r="N67" s="173">
        <f>IF(ISERROR(VLOOKUP($A67,'HRGs to TFCs % Split'!$A$8:$I$117,6,0)),0,VLOOKUP($A67,'HRGs to TFCs % Split'!$A$8:$I$117,6,0))</f>
        <v>0</v>
      </c>
      <c r="O67" s="174">
        <f>IF(ISERROR(VLOOKUP($A67,'HRGs to TFCs % Split'!$A$8:$I$117,6,0)),0,VLOOKUP($A67,'HRGs to TFCs % Split'!$A$8:$I$117,7,0))</f>
        <v>4.6078151202794815E-4</v>
      </c>
      <c r="P67" s="174">
        <f>IF(ISERROR(VLOOKUP($A67,'HRGs to TFCs % Split'!$A$8:$I$117,6,0)),0,VLOOKUP($A67,'HRGs to TFCs % Split'!$A$8:$I$117,8,0))</f>
        <v>0</v>
      </c>
      <c r="Q67" s="175">
        <f>IF(ISERROR(VLOOKUP($A67,'HRGs to TFCs % Split'!$A$8:$I$117,6,0)),0,VLOOKUP($A67,'HRGs to TFCs % Split'!$A$8:$I$117,9,0))</f>
        <v>4.1462951763412319E-3</v>
      </c>
      <c r="R67" s="167">
        <f t="shared" si="33"/>
        <v>0</v>
      </c>
      <c r="S67" s="168">
        <f t="shared" si="34"/>
        <v>727</v>
      </c>
      <c r="T67" s="168">
        <f t="shared" si="35"/>
        <v>0</v>
      </c>
      <c r="U67" s="169">
        <f t="shared" si="36"/>
        <v>6544</v>
      </c>
      <c r="V67" s="173">
        <f>IF(ISERROR(VLOOKUP($A67,'HRGs to TFCs % Split'!$A$8:$AA$117,6,0)),0,VLOOKUP($A67,'HRGs to TFCs % Split'!$A$8:$AA$117,14,0))</f>
        <v>0</v>
      </c>
      <c r="W67" s="174">
        <f>IF(ISERROR(VLOOKUP($A67,'HRGs to TFCs % Split'!$A$8:$AA$117,6,0)),0,VLOOKUP($A67,'HRGs to TFCs % Split'!$A$8:$AA$117,15,0))</f>
        <v>7.951623705470121E-4</v>
      </c>
      <c r="X67" s="174">
        <f>IF(ISERROR(VLOOKUP($A67,'HRGs to TFCs % Split'!$A$8:$AA$117,6,0)),0,VLOOKUP($A67,'HRGs to TFCs % Split'!$A$8:$AA$117,16,0))</f>
        <v>0</v>
      </c>
      <c r="Y67" s="175">
        <f>IF(ISERROR(VLOOKUP($A67,'HRGs to TFCs % Split'!$A$8:$AA$117,6,0)),0,VLOOKUP($A67,'HRGs to TFCs % Split'!$A$8:$AA$117,17,0))</f>
        <v>6.6832621009156705E-3</v>
      </c>
      <c r="Z67" s="167">
        <f t="shared" si="13"/>
        <v>0</v>
      </c>
      <c r="AA67" s="168">
        <f t="shared" si="14"/>
        <v>140655.57717077967</v>
      </c>
      <c r="AB67" s="168">
        <f t="shared" si="15"/>
        <v>0</v>
      </c>
      <c r="AC67" s="169">
        <f t="shared" si="16"/>
        <v>1182196.3953616358</v>
      </c>
      <c r="AD67" s="200">
        <f t="shared" si="17"/>
        <v>4066</v>
      </c>
      <c r="AE67" s="201">
        <f t="shared" si="18"/>
        <v>153297</v>
      </c>
      <c r="AF67" s="201">
        <f t="shared" si="19"/>
        <v>40872</v>
      </c>
      <c r="AG67" s="202">
        <f t="shared" si="20"/>
        <v>1034772</v>
      </c>
      <c r="AH67" s="200">
        <f t="shared" si="21"/>
        <v>1307919.23074096</v>
      </c>
      <c r="AI67" s="201">
        <f t="shared" si="22"/>
        <v>31466840.094142079</v>
      </c>
      <c r="AJ67" s="201">
        <f t="shared" si="23"/>
        <v>10202330.826974001</v>
      </c>
      <c r="AK67" s="202">
        <f t="shared" si="24"/>
        <v>143931693.07351664</v>
      </c>
      <c r="AL67" s="194">
        <f t="shared" si="25"/>
        <v>321.67221611927204</v>
      </c>
      <c r="AM67" s="195">
        <f t="shared" si="26"/>
        <v>205.26716174577507</v>
      </c>
      <c r="AN67" s="195">
        <f t="shared" si="27"/>
        <v>249.61662818002546</v>
      </c>
      <c r="AO67" s="196">
        <f t="shared" si="28"/>
        <v>139.09507898698132</v>
      </c>
      <c r="AP67" s="188">
        <f t="shared" si="29"/>
        <v>0</v>
      </c>
      <c r="AQ67" s="189">
        <f t="shared" si="30"/>
        <v>-2.7368955238560311E-4</v>
      </c>
      <c r="AR67" s="189">
        <f t="shared" si="31"/>
        <v>0</v>
      </c>
      <c r="AS67" s="190">
        <f t="shared" si="32"/>
        <v>1.9051429588152757E-3</v>
      </c>
      <c r="AT67" s="196">
        <f>IF(ISERROR(VLOOKUP(A67,Mandatory!A:A,1,FALSE)),0,1)</f>
        <v>1</v>
      </c>
    </row>
    <row r="68" spans="1:46">
      <c r="A68">
        <v>304</v>
      </c>
      <c r="B68" s="185">
        <f>VLOOKUP(A68,OPATT_Activities!A:J,3,FALSE)</f>
        <v>1</v>
      </c>
      <c r="C68" s="186">
        <f>VLOOKUP(A68,OPATT_Activities!A:J,4,FALSE)</f>
        <v>8425</v>
      </c>
      <c r="D68" s="186">
        <f>VLOOKUP(A68,OPATT_Activities!A:J,5,FALSE)</f>
        <v>0</v>
      </c>
      <c r="E68" s="187">
        <f>VLOOKUP(A68,OPATT_Activities!A:J,6,FALSE)</f>
        <v>13820</v>
      </c>
      <c r="F68" s="185">
        <f>VLOOKUP(A68,OPATT_Cost_Quantum!A:F,2,FALSE)</f>
        <v>73.325639826787594</v>
      </c>
      <c r="G68" s="186">
        <f>VLOOKUP(A68,OPATT_Cost_Quantum!A:F,3,FALSE)</f>
        <v>1284978.3130961801</v>
      </c>
      <c r="H68" s="186">
        <f>VLOOKUP(A68,OPATT_Cost_Quantum!A:F,4,FALSE)</f>
        <v>0</v>
      </c>
      <c r="I68" s="187">
        <f>VLOOKUP(A68,OPATT_Cost_Quantum!A:F,5,FALSE)</f>
        <v>848435.19638970599</v>
      </c>
      <c r="J68" s="179">
        <f t="shared" si="12"/>
        <v>73.325639826787594</v>
      </c>
      <c r="K68" s="180">
        <f t="shared" si="12"/>
        <v>152.5196810796653</v>
      </c>
      <c r="L68" s="180">
        <f t="shared" si="12"/>
        <v>0</v>
      </c>
      <c r="M68" s="181">
        <f t="shared" si="12"/>
        <v>61.391837654826773</v>
      </c>
      <c r="N68" s="173">
        <f>IF(ISERROR(VLOOKUP($A68,'HRGs to TFCs % Split'!$A$8:$I$117,6,0)),0,VLOOKUP($A68,'HRGs to TFCs % Split'!$A$8:$I$117,6,0))</f>
        <v>0</v>
      </c>
      <c r="O68" s="174">
        <f>IF(ISERROR(VLOOKUP($A68,'HRGs to TFCs % Split'!$A$8:$I$117,6,0)),0,VLOOKUP($A68,'HRGs to TFCs % Split'!$A$8:$I$117,7,0))</f>
        <v>1.6134737240081198E-3</v>
      </c>
      <c r="P68" s="174">
        <f>IF(ISERROR(VLOOKUP($A68,'HRGs to TFCs % Split'!$A$8:$I$117,6,0)),0,VLOOKUP($A68,'HRGs to TFCs % Split'!$A$8:$I$117,8,0))</f>
        <v>0</v>
      </c>
      <c r="Q68" s="175">
        <f>IF(ISERROR(VLOOKUP($A68,'HRGs to TFCs % Split'!$A$8:$I$117,6,0)),0,VLOOKUP($A68,'HRGs to TFCs % Split'!$A$8:$I$117,9,0))</f>
        <v>1.0862333400530636E-3</v>
      </c>
      <c r="R68" s="167">
        <f t="shared" si="33"/>
        <v>0</v>
      </c>
      <c r="S68" s="168">
        <f t="shared" si="34"/>
        <v>2547</v>
      </c>
      <c r="T68" s="168">
        <f t="shared" si="35"/>
        <v>0</v>
      </c>
      <c r="U68" s="169">
        <f t="shared" si="36"/>
        <v>1714</v>
      </c>
      <c r="V68" s="173">
        <f>IF(ISERROR(VLOOKUP($A68,'HRGs to TFCs % Split'!$A$8:$AA$117,6,0)),0,VLOOKUP($A68,'HRGs to TFCs % Split'!$A$8:$AA$117,14,0))</f>
        <v>0</v>
      </c>
      <c r="W68" s="174">
        <f>IF(ISERROR(VLOOKUP($A68,'HRGs to TFCs % Split'!$A$8:$AA$117,6,0)),0,VLOOKUP($A68,'HRGs to TFCs % Split'!$A$8:$AA$117,15,0))</f>
        <v>2.1756610675251259E-3</v>
      </c>
      <c r="X68" s="174">
        <f>IF(ISERROR(VLOOKUP($A68,'HRGs to TFCs % Split'!$A$8:$AA$117,6,0)),0,VLOOKUP($A68,'HRGs to TFCs % Split'!$A$8:$AA$117,16,0))</f>
        <v>0</v>
      </c>
      <c r="Y68" s="175">
        <f>IF(ISERROR(VLOOKUP($A68,'HRGs to TFCs % Split'!$A$8:$AA$117,6,0)),0,VLOOKUP($A68,'HRGs to TFCs % Split'!$A$8:$AA$117,17,0))</f>
        <v>1.3135158491085499E-3</v>
      </c>
      <c r="Z68" s="167">
        <f t="shared" si="13"/>
        <v>0</v>
      </c>
      <c r="AA68" s="168">
        <f t="shared" si="14"/>
        <v>384850.78584669839</v>
      </c>
      <c r="AB68" s="168">
        <f t="shared" si="15"/>
        <v>0</v>
      </c>
      <c r="AC68" s="169">
        <f t="shared" si="16"/>
        <v>232346.67122418451</v>
      </c>
      <c r="AD68" s="200">
        <f t="shared" si="17"/>
        <v>1</v>
      </c>
      <c r="AE68" s="201">
        <f t="shared" si="18"/>
        <v>10972</v>
      </c>
      <c r="AF68" s="201">
        <f t="shared" si="19"/>
        <v>0</v>
      </c>
      <c r="AG68" s="202">
        <f t="shared" si="20"/>
        <v>15534</v>
      </c>
      <c r="AH68" s="200">
        <f t="shared" si="21"/>
        <v>73.325639826787594</v>
      </c>
      <c r="AI68" s="201">
        <f t="shared" si="22"/>
        <v>1669829.0989428784</v>
      </c>
      <c r="AJ68" s="201">
        <f t="shared" si="23"/>
        <v>0</v>
      </c>
      <c r="AK68" s="202">
        <f t="shared" si="24"/>
        <v>1080781.8676138904</v>
      </c>
      <c r="AL68" s="194">
        <f t="shared" si="25"/>
        <v>73.325639826787594</v>
      </c>
      <c r="AM68" s="195">
        <f t="shared" si="26"/>
        <v>152.19003818290909</v>
      </c>
      <c r="AN68" s="195">
        <f t="shared" si="27"/>
        <v>0</v>
      </c>
      <c r="AO68" s="196">
        <f t="shared" si="28"/>
        <v>69.575245758587002</v>
      </c>
      <c r="AP68" s="188">
        <f t="shared" si="29"/>
        <v>0</v>
      </c>
      <c r="AQ68" s="189">
        <f t="shared" si="30"/>
        <v>-2.1613138345341065E-3</v>
      </c>
      <c r="AR68" s="189">
        <f t="shared" si="31"/>
        <v>0</v>
      </c>
      <c r="AS68" s="190">
        <f t="shared" si="32"/>
        <v>0.13329798253916292</v>
      </c>
      <c r="AT68" s="196">
        <f>IF(ISERROR(VLOOKUP(A68,Mandatory!A:A,1,FALSE)),0,1)</f>
        <v>0</v>
      </c>
    </row>
    <row r="69" spans="1:46">
      <c r="A69">
        <v>305</v>
      </c>
      <c r="B69" s="185">
        <f>VLOOKUP(A69,OPATT_Activities!A:J,3,FALSE)</f>
        <v>2</v>
      </c>
      <c r="C69" s="186">
        <f>VLOOKUP(A69,OPATT_Activities!A:J,4,FALSE)</f>
        <v>1914</v>
      </c>
      <c r="D69" s="186">
        <f>VLOOKUP(A69,OPATT_Activities!A:J,5,FALSE)</f>
        <v>10</v>
      </c>
      <c r="E69" s="187">
        <f>VLOOKUP(A69,OPATT_Activities!A:J,6,FALSE)</f>
        <v>10751</v>
      </c>
      <c r="F69" s="185">
        <f>VLOOKUP(A69,OPATT_Cost_Quantum!A:F,2,FALSE)</f>
        <v>305.65456341239297</v>
      </c>
      <c r="G69" s="186">
        <f>VLOOKUP(A69,OPATT_Cost_Quantum!A:F,3,FALSE)</f>
        <v>274625.40647622198</v>
      </c>
      <c r="H69" s="186">
        <f>VLOOKUP(A69,OPATT_Cost_Quantum!A:F,4,FALSE)</f>
        <v>1374.2621212014801</v>
      </c>
      <c r="I69" s="187">
        <f>VLOOKUP(A69,OPATT_Cost_Quantum!A:F,5,FALSE)</f>
        <v>1181384.4599762501</v>
      </c>
      <c r="J69" s="179">
        <f t="shared" si="12"/>
        <v>152.82728170619649</v>
      </c>
      <c r="K69" s="180">
        <f t="shared" si="12"/>
        <v>143.48244852467187</v>
      </c>
      <c r="L69" s="180">
        <f t="shared" si="12"/>
        <v>137.42621212014802</v>
      </c>
      <c r="M69" s="181">
        <f t="shared" si="12"/>
        <v>109.88600688087155</v>
      </c>
      <c r="N69" s="173">
        <f>IF(ISERROR(VLOOKUP($A69,'HRGs to TFCs % Split'!$A$8:$I$117,6,0)),0,VLOOKUP($A69,'HRGs to TFCs % Split'!$A$8:$I$117,6,0))</f>
        <v>0</v>
      </c>
      <c r="O69" s="174">
        <f>IF(ISERROR(VLOOKUP($A69,'HRGs to TFCs % Split'!$A$8:$I$117,6,0)),0,VLOOKUP($A69,'HRGs to TFCs % Split'!$A$8:$I$117,7,0))</f>
        <v>0</v>
      </c>
      <c r="P69" s="174">
        <f>IF(ISERROR(VLOOKUP($A69,'HRGs to TFCs % Split'!$A$8:$I$117,6,0)),0,VLOOKUP($A69,'HRGs to TFCs % Split'!$A$8:$I$117,8,0))</f>
        <v>0</v>
      </c>
      <c r="Q69" s="175">
        <f>IF(ISERROR(VLOOKUP($A69,'HRGs to TFCs % Split'!$A$8:$I$117,6,0)),0,VLOOKUP($A69,'HRGs to TFCs % Split'!$A$8:$I$117,9,0))</f>
        <v>0</v>
      </c>
      <c r="R69" s="167">
        <f t="shared" si="33"/>
        <v>0</v>
      </c>
      <c r="S69" s="168">
        <f t="shared" si="34"/>
        <v>0</v>
      </c>
      <c r="T69" s="168">
        <f t="shared" si="35"/>
        <v>0</v>
      </c>
      <c r="U69" s="169">
        <f t="shared" si="36"/>
        <v>0</v>
      </c>
      <c r="V69" s="173">
        <f>IF(ISERROR(VLOOKUP($A69,'HRGs to TFCs % Split'!$A$8:$AA$117,6,0)),0,VLOOKUP($A69,'HRGs to TFCs % Split'!$A$8:$AA$117,14,0))</f>
        <v>0</v>
      </c>
      <c r="W69" s="174">
        <f>IF(ISERROR(VLOOKUP($A69,'HRGs to TFCs % Split'!$A$8:$AA$117,6,0)),0,VLOOKUP($A69,'HRGs to TFCs % Split'!$A$8:$AA$117,15,0))</f>
        <v>0</v>
      </c>
      <c r="X69" s="174">
        <f>IF(ISERROR(VLOOKUP($A69,'HRGs to TFCs % Split'!$A$8:$AA$117,6,0)),0,VLOOKUP($A69,'HRGs to TFCs % Split'!$A$8:$AA$117,16,0))</f>
        <v>0</v>
      </c>
      <c r="Y69" s="175">
        <f>IF(ISERROR(VLOOKUP($A69,'HRGs to TFCs % Split'!$A$8:$AA$117,6,0)),0,VLOOKUP($A69,'HRGs to TFCs % Split'!$A$8:$AA$117,17,0))</f>
        <v>0</v>
      </c>
      <c r="Z69" s="167">
        <f t="shared" si="13"/>
        <v>0</v>
      </c>
      <c r="AA69" s="168">
        <f t="shared" si="14"/>
        <v>0</v>
      </c>
      <c r="AB69" s="168">
        <f t="shared" si="15"/>
        <v>0</v>
      </c>
      <c r="AC69" s="169">
        <f t="shared" si="16"/>
        <v>0</v>
      </c>
      <c r="AD69" s="200">
        <f t="shared" si="17"/>
        <v>2</v>
      </c>
      <c r="AE69" s="201">
        <f t="shared" si="18"/>
        <v>1914</v>
      </c>
      <c r="AF69" s="201">
        <f t="shared" si="19"/>
        <v>10</v>
      </c>
      <c r="AG69" s="202">
        <f t="shared" si="20"/>
        <v>10751</v>
      </c>
      <c r="AH69" s="200">
        <f t="shared" si="21"/>
        <v>305.65456341239297</v>
      </c>
      <c r="AI69" s="201">
        <f t="shared" si="22"/>
        <v>274625.40647622198</v>
      </c>
      <c r="AJ69" s="201">
        <f t="shared" si="23"/>
        <v>1374.2621212014801</v>
      </c>
      <c r="AK69" s="202">
        <f t="shared" si="24"/>
        <v>1181384.4599762501</v>
      </c>
      <c r="AL69" s="194">
        <f t="shared" si="25"/>
        <v>152.82728170619649</v>
      </c>
      <c r="AM69" s="195">
        <f t="shared" si="26"/>
        <v>143.48244852467187</v>
      </c>
      <c r="AN69" s="195">
        <f t="shared" si="27"/>
        <v>137.42621212014802</v>
      </c>
      <c r="AO69" s="196">
        <f t="shared" si="28"/>
        <v>109.88600688087155</v>
      </c>
      <c r="AP69" s="188">
        <f t="shared" si="29"/>
        <v>0</v>
      </c>
      <c r="AQ69" s="189">
        <f t="shared" si="30"/>
        <v>0</v>
      </c>
      <c r="AR69" s="189">
        <f t="shared" si="31"/>
        <v>0</v>
      </c>
      <c r="AS69" s="190">
        <f t="shared" si="32"/>
        <v>0</v>
      </c>
      <c r="AT69" s="196">
        <f>IF(ISERROR(VLOOKUP(A69,Mandatory!A:A,1,FALSE)),0,1)</f>
        <v>0</v>
      </c>
    </row>
    <row r="70" spans="1:46">
      <c r="A70">
        <v>306</v>
      </c>
      <c r="B70" s="185">
        <f>VLOOKUP(A70,OPATT_Activities!A:J,3,FALSE)</f>
        <v>2821</v>
      </c>
      <c r="C70" s="186">
        <f>VLOOKUP(A70,OPATT_Activities!A:J,4,FALSE)</f>
        <v>22694</v>
      </c>
      <c r="D70" s="186">
        <f>VLOOKUP(A70,OPATT_Activities!A:J,5,FALSE)</f>
        <v>17274</v>
      </c>
      <c r="E70" s="187">
        <f>VLOOKUP(A70,OPATT_Activities!A:J,6,FALSE)</f>
        <v>102753</v>
      </c>
      <c r="F70" s="185">
        <f>VLOOKUP(A70,OPATT_Cost_Quantum!A:F,2,FALSE)</f>
        <v>695702.650014324</v>
      </c>
      <c r="G70" s="186">
        <f>VLOOKUP(A70,OPATT_Cost_Quantum!A:F,3,FALSE)</f>
        <v>4403969.6658115303</v>
      </c>
      <c r="H70" s="186">
        <f>VLOOKUP(A70,OPATT_Cost_Quantum!A:F,4,FALSE)</f>
        <v>3377369.4586889301</v>
      </c>
      <c r="I70" s="187">
        <f>VLOOKUP(A70,OPATT_Cost_Quantum!A:F,5,FALSE)</f>
        <v>17254627.4729724</v>
      </c>
      <c r="J70" s="179">
        <f t="shared" si="12"/>
        <v>246.61561503520878</v>
      </c>
      <c r="K70" s="180">
        <f t="shared" si="12"/>
        <v>194.05876733108005</v>
      </c>
      <c r="L70" s="180">
        <f t="shared" si="12"/>
        <v>195.51750947602929</v>
      </c>
      <c r="M70" s="181">
        <f t="shared" si="12"/>
        <v>167.92334504075211</v>
      </c>
      <c r="N70" s="173">
        <f>IF(ISERROR(VLOOKUP($A70,'HRGs to TFCs % Split'!$A$8:$I$117,6,0)),0,VLOOKUP($A70,'HRGs to TFCs % Split'!$A$8:$I$117,6,0))</f>
        <v>0</v>
      </c>
      <c r="O70" s="174">
        <f>IF(ISERROR(VLOOKUP($A70,'HRGs to TFCs % Split'!$A$8:$I$117,6,0)),0,VLOOKUP($A70,'HRGs to TFCs % Split'!$A$8:$I$117,7,0))</f>
        <v>5.3167097541686324E-5</v>
      </c>
      <c r="P70" s="174">
        <f>IF(ISERROR(VLOOKUP($A70,'HRGs to TFCs % Split'!$A$8:$I$117,6,0)),0,VLOOKUP($A70,'HRGs to TFCs % Split'!$A$8:$I$117,8,0))</f>
        <v>0</v>
      </c>
      <c r="Q70" s="175">
        <f>IF(ISERROR(VLOOKUP($A70,'HRGs to TFCs % Split'!$A$8:$I$117,6,0)),0,VLOOKUP($A70,'HRGs to TFCs % Split'!$A$8:$I$117,9,0))</f>
        <v>4.1647559740987621E-4</v>
      </c>
      <c r="R70" s="167">
        <f t="shared" si="33"/>
        <v>0</v>
      </c>
      <c r="S70" s="168">
        <f t="shared" si="34"/>
        <v>84</v>
      </c>
      <c r="T70" s="168">
        <f t="shared" si="35"/>
        <v>0</v>
      </c>
      <c r="U70" s="169">
        <f t="shared" si="36"/>
        <v>657</v>
      </c>
      <c r="V70" s="173">
        <f>IF(ISERROR(VLOOKUP($A70,'HRGs to TFCs % Split'!$A$8:$AA$117,6,0)),0,VLOOKUP($A70,'HRGs to TFCs % Split'!$A$8:$AA$117,14,0))</f>
        <v>0</v>
      </c>
      <c r="W70" s="174">
        <f>IF(ISERROR(VLOOKUP($A70,'HRGs to TFCs % Split'!$A$8:$AA$117,6,0)),0,VLOOKUP($A70,'HRGs to TFCs % Split'!$A$8:$AA$117,15,0))</f>
        <v>1.2441597176354689E-4</v>
      </c>
      <c r="X70" s="174">
        <f>IF(ISERROR(VLOOKUP($A70,'HRGs to TFCs % Split'!$A$8:$AA$117,6,0)),0,VLOOKUP($A70,'HRGs to TFCs % Split'!$A$8:$AA$117,16,0))</f>
        <v>0</v>
      </c>
      <c r="Y70" s="175">
        <f>IF(ISERROR(VLOOKUP($A70,'HRGs to TFCs % Split'!$A$8:$AA$117,6,0)),0,VLOOKUP($A70,'HRGs to TFCs % Split'!$A$8:$AA$117,17,0))</f>
        <v>1.1789330290224477E-3</v>
      </c>
      <c r="Z70" s="167">
        <f t="shared" si="13"/>
        <v>0</v>
      </c>
      <c r="AA70" s="168">
        <f t="shared" si="14"/>
        <v>22007.832570883053</v>
      </c>
      <c r="AB70" s="168">
        <f t="shared" si="15"/>
        <v>0</v>
      </c>
      <c r="AC70" s="169">
        <f t="shared" si="16"/>
        <v>208540.4337340231</v>
      </c>
      <c r="AD70" s="200">
        <f t="shared" si="17"/>
        <v>2821</v>
      </c>
      <c r="AE70" s="201">
        <f t="shared" si="18"/>
        <v>22778</v>
      </c>
      <c r="AF70" s="201">
        <f t="shared" si="19"/>
        <v>17274</v>
      </c>
      <c r="AG70" s="202">
        <f t="shared" si="20"/>
        <v>103410</v>
      </c>
      <c r="AH70" s="200">
        <f t="shared" si="21"/>
        <v>695702.650014324</v>
      </c>
      <c r="AI70" s="201">
        <f t="shared" si="22"/>
        <v>4425977.4983824138</v>
      </c>
      <c r="AJ70" s="201">
        <f t="shared" si="23"/>
        <v>3377369.4586889301</v>
      </c>
      <c r="AK70" s="202">
        <f t="shared" si="24"/>
        <v>17463167.906706423</v>
      </c>
      <c r="AL70" s="194">
        <f t="shared" si="25"/>
        <v>246.61561503520878</v>
      </c>
      <c r="AM70" s="195">
        <f t="shared" si="26"/>
        <v>194.30931154545675</v>
      </c>
      <c r="AN70" s="195">
        <f t="shared" si="27"/>
        <v>195.51750947602929</v>
      </c>
      <c r="AO70" s="196">
        <f t="shared" si="28"/>
        <v>168.87310614743663</v>
      </c>
      <c r="AP70" s="188">
        <f t="shared" si="29"/>
        <v>0</v>
      </c>
      <c r="AQ70" s="189">
        <f t="shared" si="30"/>
        <v>1.2910739247831149E-3</v>
      </c>
      <c r="AR70" s="189">
        <f t="shared" si="31"/>
        <v>0</v>
      </c>
      <c r="AS70" s="190">
        <f t="shared" si="32"/>
        <v>5.6559206014745733E-3</v>
      </c>
      <c r="AT70" s="196">
        <f>IF(ISERROR(VLOOKUP(A70,Mandatory!A:A,1,FALSE)),0,1)</f>
        <v>1</v>
      </c>
    </row>
    <row r="71" spans="1:46">
      <c r="A71">
        <v>307</v>
      </c>
      <c r="B71" s="185">
        <f>VLOOKUP(A71,OPATT_Activities!A:J,3,FALSE)</f>
        <v>11275</v>
      </c>
      <c r="C71" s="186">
        <f>VLOOKUP(A71,OPATT_Activities!A:J,4,FALSE)</f>
        <v>100999</v>
      </c>
      <c r="D71" s="186">
        <f>VLOOKUP(A71,OPATT_Activities!A:J,5,FALSE)</f>
        <v>51643</v>
      </c>
      <c r="E71" s="187">
        <f>VLOOKUP(A71,OPATT_Activities!A:J,6,FALSE)</f>
        <v>559918</v>
      </c>
      <c r="F71" s="185">
        <f>VLOOKUP(A71,OPATT_Cost_Quantum!A:F,2,FALSE)</f>
        <v>1790806.2466442301</v>
      </c>
      <c r="G71" s="186">
        <f>VLOOKUP(A71,OPATT_Cost_Quantum!A:F,3,FALSE)</f>
        <v>15286477.6381317</v>
      </c>
      <c r="H71" s="186">
        <f>VLOOKUP(A71,OPATT_Cost_Quantum!A:F,4,FALSE)</f>
        <v>6679681.8700626697</v>
      </c>
      <c r="I71" s="187">
        <f>VLOOKUP(A71,OPATT_Cost_Quantum!A:F,5,FALSE)</f>
        <v>61660190.754759401</v>
      </c>
      <c r="J71" s="179">
        <f t="shared" si="12"/>
        <v>158.82982231877872</v>
      </c>
      <c r="K71" s="180">
        <f t="shared" si="12"/>
        <v>151.35276228607907</v>
      </c>
      <c r="L71" s="180">
        <f t="shared" si="12"/>
        <v>129.34341285484325</v>
      </c>
      <c r="M71" s="181">
        <f t="shared" si="12"/>
        <v>110.12360873334917</v>
      </c>
      <c r="N71" s="173">
        <f>IF(ISERROR(VLOOKUP($A71,'HRGs to TFCs % Split'!$A$8:$I$117,6,0)),0,VLOOKUP($A71,'HRGs to TFCs % Split'!$A$8:$I$117,6,0))</f>
        <v>0</v>
      </c>
      <c r="O71" s="174">
        <f>IF(ISERROR(VLOOKUP($A71,'HRGs to TFCs % Split'!$A$8:$I$117,6,0)),0,VLOOKUP($A71,'HRGs to TFCs % Split'!$A$8:$I$117,7,0))</f>
        <v>4.0835284639656304E-4</v>
      </c>
      <c r="P71" s="174">
        <f>IF(ISERROR(VLOOKUP($A71,'HRGs to TFCs % Split'!$A$8:$I$117,6,0)),0,VLOOKUP($A71,'HRGs to TFCs % Split'!$A$8:$I$117,8,0))</f>
        <v>0</v>
      </c>
      <c r="Q71" s="175">
        <f>IF(ISERROR(VLOOKUP($A71,'HRGs to TFCs % Split'!$A$8:$I$117,6,0)),0,VLOOKUP($A71,'HRGs to TFCs % Split'!$A$8:$I$117,9,0))</f>
        <v>3.2483619734149745E-3</v>
      </c>
      <c r="R71" s="167">
        <f t="shared" si="33"/>
        <v>0</v>
      </c>
      <c r="S71" s="168">
        <f t="shared" si="34"/>
        <v>645</v>
      </c>
      <c r="T71" s="168">
        <f t="shared" si="35"/>
        <v>0</v>
      </c>
      <c r="U71" s="169">
        <f t="shared" si="36"/>
        <v>5127</v>
      </c>
      <c r="V71" s="173">
        <f>IF(ISERROR(VLOOKUP($A71,'HRGs to TFCs % Split'!$A$8:$AA$117,6,0)),0,VLOOKUP($A71,'HRGs to TFCs % Split'!$A$8:$AA$117,14,0))</f>
        <v>0</v>
      </c>
      <c r="W71" s="174">
        <f>IF(ISERROR(VLOOKUP($A71,'HRGs to TFCs % Split'!$A$8:$AA$117,6,0)),0,VLOOKUP($A71,'HRGs to TFCs % Split'!$A$8:$AA$117,15,0))</f>
        <v>4.6674934927595313E-4</v>
      </c>
      <c r="X71" s="174">
        <f>IF(ISERROR(VLOOKUP($A71,'HRGs to TFCs % Split'!$A$8:$AA$117,6,0)),0,VLOOKUP($A71,'HRGs to TFCs % Split'!$A$8:$AA$117,16,0))</f>
        <v>0</v>
      </c>
      <c r="Y71" s="175">
        <f>IF(ISERROR(VLOOKUP($A71,'HRGs to TFCs % Split'!$A$8:$AA$117,6,0)),0,VLOOKUP($A71,'HRGs to TFCs % Split'!$A$8:$AA$117,17,0))</f>
        <v>3.375965444739247E-3</v>
      </c>
      <c r="Z71" s="167">
        <f t="shared" si="13"/>
        <v>0</v>
      </c>
      <c r="AA71" s="168">
        <f t="shared" si="14"/>
        <v>82562.884699048474</v>
      </c>
      <c r="AB71" s="168">
        <f t="shared" si="15"/>
        <v>0</v>
      </c>
      <c r="AC71" s="169">
        <f t="shared" si="16"/>
        <v>597171.57869498595</v>
      </c>
      <c r="AD71" s="200">
        <f t="shared" si="17"/>
        <v>11275</v>
      </c>
      <c r="AE71" s="201">
        <f t="shared" si="18"/>
        <v>101644</v>
      </c>
      <c r="AF71" s="201">
        <f t="shared" si="19"/>
        <v>51643</v>
      </c>
      <c r="AG71" s="202">
        <f t="shared" si="20"/>
        <v>565045</v>
      </c>
      <c r="AH71" s="200">
        <f t="shared" si="21"/>
        <v>1790806.2466442301</v>
      </c>
      <c r="AI71" s="201">
        <f t="shared" si="22"/>
        <v>15369040.522830749</v>
      </c>
      <c r="AJ71" s="201">
        <f t="shared" si="23"/>
        <v>6679681.8700626697</v>
      </c>
      <c r="AK71" s="202">
        <f t="shared" si="24"/>
        <v>62257362.333454385</v>
      </c>
      <c r="AL71" s="194">
        <f t="shared" si="25"/>
        <v>158.82982231877872</v>
      </c>
      <c r="AM71" s="195">
        <f t="shared" si="26"/>
        <v>151.20460157835927</v>
      </c>
      <c r="AN71" s="195">
        <f t="shared" si="27"/>
        <v>129.34341285484325</v>
      </c>
      <c r="AO71" s="196">
        <f t="shared" si="28"/>
        <v>110.18124633162736</v>
      </c>
      <c r="AP71" s="188">
        <f t="shared" si="29"/>
        <v>0</v>
      </c>
      <c r="AQ71" s="189">
        <f t="shared" si="30"/>
        <v>-9.7890983608051041E-4</v>
      </c>
      <c r="AR71" s="189">
        <f t="shared" si="31"/>
        <v>0</v>
      </c>
      <c r="AS71" s="190">
        <f t="shared" si="32"/>
        <v>5.233900245473766E-4</v>
      </c>
      <c r="AT71" s="196">
        <f>IF(ISERROR(VLOOKUP(A71,Mandatory!A:A,1,FALSE)),0,1)</f>
        <v>1</v>
      </c>
    </row>
    <row r="72" spans="1:46">
      <c r="A72">
        <v>309</v>
      </c>
      <c r="B72" s="185">
        <f>VLOOKUP(A72,OPATT_Activities!A:J,3,FALSE)</f>
        <v>209</v>
      </c>
      <c r="C72" s="186">
        <f>VLOOKUP(A72,OPATT_Activities!A:J,4,FALSE)</f>
        <v>4127</v>
      </c>
      <c r="D72" s="186">
        <f>VLOOKUP(A72,OPATT_Activities!A:J,5,FALSE)</f>
        <v>714</v>
      </c>
      <c r="E72" s="187">
        <f>VLOOKUP(A72,OPATT_Activities!A:J,6,FALSE)</f>
        <v>18180</v>
      </c>
      <c r="F72" s="185">
        <f>VLOOKUP(A72,OPATT_Cost_Quantum!A:F,2,FALSE)</f>
        <v>92798.959147329995</v>
      </c>
      <c r="G72" s="186">
        <f>VLOOKUP(A72,OPATT_Cost_Quantum!A:F,3,FALSE)</f>
        <v>3407385.40972248</v>
      </c>
      <c r="H72" s="186">
        <f>VLOOKUP(A72,OPATT_Cost_Quantum!A:F,4,FALSE)</f>
        <v>433470.921028123</v>
      </c>
      <c r="I72" s="187">
        <f>VLOOKUP(A72,OPATT_Cost_Quantum!A:F,5,FALSE)</f>
        <v>11378765.592990899</v>
      </c>
      <c r="J72" s="179">
        <f t="shared" si="12"/>
        <v>444.01415859966505</v>
      </c>
      <c r="K72" s="180">
        <f t="shared" si="12"/>
        <v>825.63251992306277</v>
      </c>
      <c r="L72" s="180">
        <f t="shared" si="12"/>
        <v>607.10213029148883</v>
      </c>
      <c r="M72" s="181">
        <f t="shared" si="12"/>
        <v>625.89469708420791</v>
      </c>
      <c r="N72" s="173">
        <f>IF(ISERROR(VLOOKUP($A72,'HRGs to TFCs % Split'!$A$8:$I$117,6,0)),0,VLOOKUP($A72,'HRGs to TFCs % Split'!$A$8:$I$117,6,0))</f>
        <v>0</v>
      </c>
      <c r="O72" s="174">
        <f>IF(ISERROR(VLOOKUP($A72,'HRGs to TFCs % Split'!$A$8:$I$117,6,0)),0,VLOOKUP($A72,'HRGs to TFCs % Split'!$A$8:$I$117,7,0))</f>
        <v>0</v>
      </c>
      <c r="P72" s="174">
        <f>IF(ISERROR(VLOOKUP($A72,'HRGs to TFCs % Split'!$A$8:$I$117,6,0)),0,VLOOKUP($A72,'HRGs to TFCs % Split'!$A$8:$I$117,8,0))</f>
        <v>0</v>
      </c>
      <c r="Q72" s="175">
        <f>IF(ISERROR(VLOOKUP($A72,'HRGs to TFCs % Split'!$A$8:$I$117,6,0)),0,VLOOKUP($A72,'HRGs to TFCs % Split'!$A$8:$I$117,9,0))</f>
        <v>0</v>
      </c>
      <c r="R72" s="167">
        <f t="shared" si="33"/>
        <v>0</v>
      </c>
      <c r="S72" s="168">
        <f t="shared" si="34"/>
        <v>0</v>
      </c>
      <c r="T72" s="168">
        <f t="shared" si="35"/>
        <v>0</v>
      </c>
      <c r="U72" s="169">
        <f t="shared" si="36"/>
        <v>0</v>
      </c>
      <c r="V72" s="173">
        <f>IF(ISERROR(VLOOKUP($A72,'HRGs to TFCs % Split'!$A$8:$AA$117,6,0)),0,VLOOKUP($A72,'HRGs to TFCs % Split'!$A$8:$AA$117,14,0))</f>
        <v>0</v>
      </c>
      <c r="W72" s="174">
        <f>IF(ISERROR(VLOOKUP($A72,'HRGs to TFCs % Split'!$A$8:$AA$117,6,0)),0,VLOOKUP($A72,'HRGs to TFCs % Split'!$A$8:$AA$117,15,0))</f>
        <v>0</v>
      </c>
      <c r="X72" s="174">
        <f>IF(ISERROR(VLOOKUP($A72,'HRGs to TFCs % Split'!$A$8:$AA$117,6,0)),0,VLOOKUP($A72,'HRGs to TFCs % Split'!$A$8:$AA$117,16,0))</f>
        <v>0</v>
      </c>
      <c r="Y72" s="175">
        <f>IF(ISERROR(VLOOKUP($A72,'HRGs to TFCs % Split'!$A$8:$AA$117,6,0)),0,VLOOKUP($A72,'HRGs to TFCs % Split'!$A$8:$AA$117,17,0))</f>
        <v>0</v>
      </c>
      <c r="Z72" s="167">
        <f t="shared" si="13"/>
        <v>0</v>
      </c>
      <c r="AA72" s="168">
        <f t="shared" si="14"/>
        <v>0</v>
      </c>
      <c r="AB72" s="168">
        <f t="shared" si="15"/>
        <v>0</v>
      </c>
      <c r="AC72" s="169">
        <f t="shared" si="16"/>
        <v>0</v>
      </c>
      <c r="AD72" s="200">
        <f t="shared" si="17"/>
        <v>209</v>
      </c>
      <c r="AE72" s="201">
        <f t="shared" si="18"/>
        <v>4127</v>
      </c>
      <c r="AF72" s="201">
        <f t="shared" si="19"/>
        <v>714</v>
      </c>
      <c r="AG72" s="202">
        <f t="shared" si="20"/>
        <v>18180</v>
      </c>
      <c r="AH72" s="200">
        <f t="shared" si="21"/>
        <v>92798.959147329995</v>
      </c>
      <c r="AI72" s="201">
        <f t="shared" si="22"/>
        <v>3407385.40972248</v>
      </c>
      <c r="AJ72" s="201">
        <f t="shared" si="23"/>
        <v>433470.921028123</v>
      </c>
      <c r="AK72" s="202">
        <f t="shared" si="24"/>
        <v>11378765.592990899</v>
      </c>
      <c r="AL72" s="194">
        <f t="shared" si="25"/>
        <v>444.01415859966505</v>
      </c>
      <c r="AM72" s="195">
        <f t="shared" si="26"/>
        <v>825.63251992306277</v>
      </c>
      <c r="AN72" s="195">
        <f t="shared" si="27"/>
        <v>607.10213029148883</v>
      </c>
      <c r="AO72" s="196">
        <f t="shared" si="28"/>
        <v>625.89469708420791</v>
      </c>
      <c r="AP72" s="188">
        <f t="shared" si="29"/>
        <v>0</v>
      </c>
      <c r="AQ72" s="189">
        <f t="shared" si="30"/>
        <v>0</v>
      </c>
      <c r="AR72" s="189">
        <f t="shared" si="31"/>
        <v>0</v>
      </c>
      <c r="AS72" s="190">
        <f t="shared" si="32"/>
        <v>0</v>
      </c>
      <c r="AT72" s="196">
        <f>IF(ISERROR(VLOOKUP(A72,Mandatory!A:A,1,FALSE)),0,1)</f>
        <v>0</v>
      </c>
    </row>
    <row r="73" spans="1:46">
      <c r="A73">
        <v>310</v>
      </c>
      <c r="B73" s="185">
        <f>VLOOKUP(A73,OPATT_Activities!A:J,3,FALSE)</f>
        <v>7</v>
      </c>
      <c r="C73" s="186">
        <f>VLOOKUP(A73,OPATT_Activities!A:J,4,FALSE)</f>
        <v>40116</v>
      </c>
      <c r="D73" s="186">
        <f>VLOOKUP(A73,OPATT_Activities!A:J,5,FALSE)</f>
        <v>4</v>
      </c>
      <c r="E73" s="187">
        <f>VLOOKUP(A73,OPATT_Activities!A:J,6,FALSE)</f>
        <v>34939</v>
      </c>
      <c r="F73" s="185">
        <f>VLOOKUP(A73,OPATT_Cost_Quantum!A:F,2,FALSE)</f>
        <v>731.75920349402998</v>
      </c>
      <c r="G73" s="186">
        <f>VLOOKUP(A73,OPATT_Cost_Quantum!A:F,3,FALSE)</f>
        <v>3066297.2420989699</v>
      </c>
      <c r="H73" s="186">
        <f>VLOOKUP(A73,OPATT_Cost_Quantum!A:F,4,FALSE)</f>
        <v>548.56447950639199</v>
      </c>
      <c r="I73" s="187">
        <f>VLOOKUP(A73,OPATT_Cost_Quantum!A:F,5,FALSE)</f>
        <v>3490450.2505506198</v>
      </c>
      <c r="J73" s="179">
        <f t="shared" ref="J73:M117" si="65">IF(B73=0,0,F73/B73)</f>
        <v>104.53702907057571</v>
      </c>
      <c r="K73" s="180">
        <f t="shared" si="65"/>
        <v>76.435767327225292</v>
      </c>
      <c r="L73" s="180">
        <f t="shared" si="65"/>
        <v>137.141119876598</v>
      </c>
      <c r="M73" s="181">
        <f t="shared" si="65"/>
        <v>99.901263646659032</v>
      </c>
      <c r="N73" s="173">
        <f>IF(ISERROR(VLOOKUP($A73,'HRGs to TFCs % Split'!$A$8:$I$117,6,0)),0,VLOOKUP($A73,'HRGs to TFCs % Split'!$A$8:$I$117,6,0))</f>
        <v>0</v>
      </c>
      <c r="O73" s="174">
        <f>IF(ISERROR(VLOOKUP($A73,'HRGs to TFCs % Split'!$A$8:$I$117,6,0)),0,VLOOKUP($A73,'HRGs to TFCs % Split'!$A$8:$I$117,7,0))</f>
        <v>0</v>
      </c>
      <c r="P73" s="174">
        <f>IF(ISERROR(VLOOKUP($A73,'HRGs to TFCs % Split'!$A$8:$I$117,6,0)),0,VLOOKUP($A73,'HRGs to TFCs % Split'!$A$8:$I$117,8,0))</f>
        <v>0</v>
      </c>
      <c r="Q73" s="175">
        <f>IF(ISERROR(VLOOKUP($A73,'HRGs to TFCs % Split'!$A$8:$I$117,6,0)),0,VLOOKUP($A73,'HRGs to TFCs % Split'!$A$8:$I$117,9,0))</f>
        <v>0</v>
      </c>
      <c r="R73" s="167">
        <f t="shared" ref="R73:R104" si="66">ROUND(N73*$R$3,0)</f>
        <v>0</v>
      </c>
      <c r="S73" s="168">
        <f t="shared" ref="S73:S104" si="67">ROUND(O73*$R$3,0)</f>
        <v>0</v>
      </c>
      <c r="T73" s="168">
        <f t="shared" ref="T73:T104" si="68">ROUND(P73*$R$3,0)</f>
        <v>0</v>
      </c>
      <c r="U73" s="169">
        <f t="shared" ref="U73:U104" si="69">ROUND(Q73*$R$3,0)</f>
        <v>0</v>
      </c>
      <c r="V73" s="173">
        <f>IF(ISERROR(VLOOKUP($A73,'HRGs to TFCs % Split'!$A$8:$AA$117,6,0)),0,VLOOKUP($A73,'HRGs to TFCs % Split'!$A$8:$AA$117,14,0))</f>
        <v>0</v>
      </c>
      <c r="W73" s="174">
        <f>IF(ISERROR(VLOOKUP($A73,'HRGs to TFCs % Split'!$A$8:$AA$117,6,0)),0,VLOOKUP($A73,'HRGs to TFCs % Split'!$A$8:$AA$117,15,0))</f>
        <v>0</v>
      </c>
      <c r="X73" s="174">
        <f>IF(ISERROR(VLOOKUP($A73,'HRGs to TFCs % Split'!$A$8:$AA$117,6,0)),0,VLOOKUP($A73,'HRGs to TFCs % Split'!$A$8:$AA$117,16,0))</f>
        <v>0</v>
      </c>
      <c r="Y73" s="175">
        <f>IF(ISERROR(VLOOKUP($A73,'HRGs to TFCs % Split'!$A$8:$AA$117,6,0)),0,VLOOKUP($A73,'HRGs to TFCs % Split'!$A$8:$AA$117,17,0))</f>
        <v>0</v>
      </c>
      <c r="Z73" s="167">
        <f t="shared" si="13"/>
        <v>0</v>
      </c>
      <c r="AA73" s="168">
        <f t="shared" si="14"/>
        <v>0</v>
      </c>
      <c r="AB73" s="168">
        <f t="shared" si="15"/>
        <v>0</v>
      </c>
      <c r="AC73" s="169">
        <f t="shared" si="16"/>
        <v>0</v>
      </c>
      <c r="AD73" s="200">
        <f t="shared" ref="AD73:AD117" si="70">B73+R73</f>
        <v>7</v>
      </c>
      <c r="AE73" s="201">
        <f t="shared" ref="AE73:AE117" si="71">C73+S73</f>
        <v>40116</v>
      </c>
      <c r="AF73" s="201">
        <f t="shared" ref="AF73:AF117" si="72">D73+T73</f>
        <v>4</v>
      </c>
      <c r="AG73" s="202">
        <f t="shared" ref="AG73:AG117" si="73">E73+U73</f>
        <v>34939</v>
      </c>
      <c r="AH73" s="200">
        <f t="shared" ref="AH73:AH117" si="74">F73+Z73</f>
        <v>731.75920349402998</v>
      </c>
      <c r="AI73" s="201">
        <f t="shared" ref="AI73:AI117" si="75">G73+AA73</f>
        <v>3066297.2420989699</v>
      </c>
      <c r="AJ73" s="201">
        <f t="shared" ref="AJ73:AJ117" si="76">H73+AB73</f>
        <v>548.56447950639199</v>
      </c>
      <c r="AK73" s="202">
        <f t="shared" ref="AK73:AK117" si="77">I73+AC73</f>
        <v>3490450.2505506198</v>
      </c>
      <c r="AL73" s="194">
        <f t="shared" ref="AL73:AL117" si="78">IF(AD73=0,0,AH73/AD73)</f>
        <v>104.53702907057571</v>
      </c>
      <c r="AM73" s="195">
        <f t="shared" ref="AM73:AM117" si="79">IF(AE73=0,0,AI73/AE73)</f>
        <v>76.435767327225292</v>
      </c>
      <c r="AN73" s="195">
        <f t="shared" ref="AN73:AN117" si="80">IF(AF73=0,0,AJ73/AF73)</f>
        <v>137.141119876598</v>
      </c>
      <c r="AO73" s="196">
        <f t="shared" ref="AO73:AO117" si="81">IF(AG73=0,0,AK73/AG73)</f>
        <v>99.901263646659032</v>
      </c>
      <c r="AP73" s="188">
        <f t="shared" si="29"/>
        <v>0</v>
      </c>
      <c r="AQ73" s="189">
        <f t="shared" si="30"/>
        <v>0</v>
      </c>
      <c r="AR73" s="189">
        <f t="shared" si="31"/>
        <v>0</v>
      </c>
      <c r="AS73" s="190">
        <f t="shared" si="32"/>
        <v>0</v>
      </c>
      <c r="AT73" s="196">
        <f>IF(ISERROR(VLOOKUP(A73,Mandatory!A:A,1,FALSE)),0,1)</f>
        <v>0</v>
      </c>
    </row>
    <row r="74" spans="1:46">
      <c r="A74">
        <v>311</v>
      </c>
      <c r="B74" s="185">
        <f>VLOOKUP(A74,OPATT_Activities!A:J,3,FALSE)</f>
        <v>22</v>
      </c>
      <c r="C74" s="186">
        <f>VLOOKUP(A74,OPATT_Activities!A:J,4,FALSE)</f>
        <v>42502</v>
      </c>
      <c r="D74" s="186">
        <f>VLOOKUP(A74,OPATT_Activities!A:J,5,FALSE)</f>
        <v>66</v>
      </c>
      <c r="E74" s="187">
        <f>VLOOKUP(A74,OPATT_Activities!A:J,6,FALSE)</f>
        <v>23418</v>
      </c>
      <c r="F74" s="185">
        <f>VLOOKUP(A74,OPATT_Cost_Quantum!A:F,2,FALSE)</f>
        <v>5325.3453675753299</v>
      </c>
      <c r="G74" s="186">
        <f>VLOOKUP(A74,OPATT_Cost_Quantum!A:F,3,FALSE)</f>
        <v>25817408.449224699</v>
      </c>
      <c r="H74" s="186">
        <f>VLOOKUP(A74,OPATT_Cost_Quantum!A:F,4,FALSE)</f>
        <v>11553.2703629799</v>
      </c>
      <c r="I74" s="187">
        <f>VLOOKUP(A74,OPATT_Cost_Quantum!A:F,5,FALSE)</f>
        <v>11724345.293827699</v>
      </c>
      <c r="J74" s="179">
        <f t="shared" si="65"/>
        <v>242.0611530716059</v>
      </c>
      <c r="K74" s="180">
        <f t="shared" si="65"/>
        <v>607.43984869476026</v>
      </c>
      <c r="L74" s="180">
        <f t="shared" si="65"/>
        <v>175.04955095424091</v>
      </c>
      <c r="M74" s="181">
        <f t="shared" si="65"/>
        <v>500.65527772771799</v>
      </c>
      <c r="N74" s="173">
        <f>IF(ISERROR(VLOOKUP($A74,'HRGs to TFCs % Split'!$A$8:$I$117,6,0)),0,VLOOKUP($A74,'HRGs to TFCs % Split'!$A$8:$I$117,6,0))</f>
        <v>0</v>
      </c>
      <c r="O74" s="174">
        <f>IF(ISERROR(VLOOKUP($A74,'HRGs to TFCs % Split'!$A$8:$I$117,6,0)),0,VLOOKUP($A74,'HRGs to TFCs % Split'!$A$8:$I$117,7,0))</f>
        <v>0</v>
      </c>
      <c r="P74" s="174">
        <f>IF(ISERROR(VLOOKUP($A74,'HRGs to TFCs % Split'!$A$8:$I$117,6,0)),0,VLOOKUP($A74,'HRGs to TFCs % Split'!$A$8:$I$117,8,0))</f>
        <v>0</v>
      </c>
      <c r="Q74" s="175">
        <f>IF(ISERROR(VLOOKUP($A74,'HRGs to TFCs % Split'!$A$8:$I$117,6,0)),0,VLOOKUP($A74,'HRGs to TFCs % Split'!$A$8:$I$117,9,0))</f>
        <v>0</v>
      </c>
      <c r="R74" s="167">
        <f t="shared" si="66"/>
        <v>0</v>
      </c>
      <c r="S74" s="168">
        <f t="shared" si="67"/>
        <v>0</v>
      </c>
      <c r="T74" s="168">
        <f t="shared" si="68"/>
        <v>0</v>
      </c>
      <c r="U74" s="169">
        <f t="shared" si="69"/>
        <v>0</v>
      </c>
      <c r="V74" s="173">
        <f>IF(ISERROR(VLOOKUP($A74,'HRGs to TFCs % Split'!$A$8:$AA$117,6,0)),0,VLOOKUP($A74,'HRGs to TFCs % Split'!$A$8:$AA$117,14,0))</f>
        <v>0</v>
      </c>
      <c r="W74" s="174">
        <f>IF(ISERROR(VLOOKUP($A74,'HRGs to TFCs % Split'!$A$8:$AA$117,6,0)),0,VLOOKUP($A74,'HRGs to TFCs % Split'!$A$8:$AA$117,15,0))</f>
        <v>0</v>
      </c>
      <c r="X74" s="174">
        <f>IF(ISERROR(VLOOKUP($A74,'HRGs to TFCs % Split'!$A$8:$AA$117,6,0)),0,VLOOKUP($A74,'HRGs to TFCs % Split'!$A$8:$AA$117,16,0))</f>
        <v>0</v>
      </c>
      <c r="Y74" s="175">
        <f>IF(ISERROR(VLOOKUP($A74,'HRGs to TFCs % Split'!$A$8:$AA$117,6,0)),0,VLOOKUP($A74,'HRGs to TFCs % Split'!$A$8:$AA$117,17,0))</f>
        <v>0</v>
      </c>
      <c r="Z74" s="167">
        <f t="shared" ref="Z74:Z117" si="82">V74*$Z$3</f>
        <v>0</v>
      </c>
      <c r="AA74" s="168">
        <f t="shared" ref="AA74:AA117" si="83">W74*$Z$3</f>
        <v>0</v>
      </c>
      <c r="AB74" s="168">
        <f t="shared" ref="AB74:AB117" si="84">X74*$Z$3</f>
        <v>0</v>
      </c>
      <c r="AC74" s="169">
        <f t="shared" ref="AC74:AC117" si="85">Y74*$Z$3</f>
        <v>0</v>
      </c>
      <c r="AD74" s="200">
        <f t="shared" si="70"/>
        <v>22</v>
      </c>
      <c r="AE74" s="201">
        <f t="shared" si="71"/>
        <v>42502</v>
      </c>
      <c r="AF74" s="201">
        <f t="shared" si="72"/>
        <v>66</v>
      </c>
      <c r="AG74" s="202">
        <f t="shared" si="73"/>
        <v>23418</v>
      </c>
      <c r="AH74" s="200">
        <f t="shared" si="74"/>
        <v>5325.3453675753299</v>
      </c>
      <c r="AI74" s="201">
        <f t="shared" si="75"/>
        <v>25817408.449224699</v>
      </c>
      <c r="AJ74" s="201">
        <f t="shared" si="76"/>
        <v>11553.2703629799</v>
      </c>
      <c r="AK74" s="202">
        <f t="shared" si="77"/>
        <v>11724345.293827699</v>
      </c>
      <c r="AL74" s="194">
        <f t="shared" si="78"/>
        <v>242.0611530716059</v>
      </c>
      <c r="AM74" s="195">
        <f t="shared" si="79"/>
        <v>607.43984869476026</v>
      </c>
      <c r="AN74" s="195">
        <f t="shared" si="80"/>
        <v>175.04955095424091</v>
      </c>
      <c r="AO74" s="196">
        <f t="shared" si="81"/>
        <v>500.65527772771799</v>
      </c>
      <c r="AP74" s="188">
        <f t="shared" ref="AP74:AP117" si="86">IF(J74=0,0,AL74/J74-1)</f>
        <v>0</v>
      </c>
      <c r="AQ74" s="189">
        <f t="shared" ref="AQ74:AQ117" si="87">IF(K74=0,0,AM74/K74-1)</f>
        <v>0</v>
      </c>
      <c r="AR74" s="189">
        <f t="shared" ref="AR74:AR117" si="88">IF(L74=0,0,AN74/L74-1)</f>
        <v>0</v>
      </c>
      <c r="AS74" s="190">
        <f t="shared" ref="AS74:AS117" si="89">IF(M74=0,0,AO74/M74-1)</f>
        <v>0</v>
      </c>
      <c r="AT74" s="196">
        <f>IF(ISERROR(VLOOKUP(A74,Mandatory!A:A,1,FALSE)),0,1)</f>
        <v>0</v>
      </c>
    </row>
    <row r="75" spans="1:46">
      <c r="A75">
        <v>313</v>
      </c>
      <c r="B75" s="185">
        <f>VLOOKUP(A75,OPATT_Activities!A:J,3,FALSE)</f>
        <v>822</v>
      </c>
      <c r="C75" s="186">
        <f>VLOOKUP(A75,OPATT_Activities!A:J,4,FALSE)</f>
        <v>11680</v>
      </c>
      <c r="D75" s="186">
        <f>VLOOKUP(A75,OPATT_Activities!A:J,5,FALSE)</f>
        <v>1535</v>
      </c>
      <c r="E75" s="187">
        <f>VLOOKUP(A75,OPATT_Activities!A:J,6,FALSE)</f>
        <v>20418</v>
      </c>
      <c r="F75" s="185">
        <f>VLOOKUP(A75,OPATT_Cost_Quantum!A:F,2,FALSE)</f>
        <v>324384.281402227</v>
      </c>
      <c r="G75" s="186">
        <f>VLOOKUP(A75,OPATT_Cost_Quantum!A:F,3,FALSE)</f>
        <v>2143040.6894788598</v>
      </c>
      <c r="H75" s="186">
        <f>VLOOKUP(A75,OPATT_Cost_Quantum!A:F,4,FALSE)</f>
        <v>185124.048383254</v>
      </c>
      <c r="I75" s="187">
        <f>VLOOKUP(A75,OPATT_Cost_Quantum!A:F,5,FALSE)</f>
        <v>3126245.4189967802</v>
      </c>
      <c r="J75" s="179">
        <f t="shared" si="65"/>
        <v>394.62807956475302</v>
      </c>
      <c r="K75" s="180">
        <f t="shared" si="65"/>
        <v>183.47951108551882</v>
      </c>
      <c r="L75" s="180">
        <f t="shared" si="65"/>
        <v>120.60198591742932</v>
      </c>
      <c r="M75" s="181">
        <f t="shared" si="65"/>
        <v>153.11222543818101</v>
      </c>
      <c r="N75" s="173">
        <f>IF(ISERROR(VLOOKUP($A75,'HRGs to TFCs % Split'!$A$8:$I$117,6,0)),0,VLOOKUP($A75,'HRGs to TFCs % Split'!$A$8:$I$117,6,0))</f>
        <v>0</v>
      </c>
      <c r="O75" s="174">
        <f>IF(ISERROR(VLOOKUP($A75,'HRGs to TFCs % Split'!$A$8:$I$117,6,0)),0,VLOOKUP($A75,'HRGs to TFCs % Split'!$A$8:$I$117,7,0))</f>
        <v>4.0613755066565945E-5</v>
      </c>
      <c r="P75" s="174">
        <f>IF(ISERROR(VLOOKUP($A75,'HRGs to TFCs % Split'!$A$8:$I$117,6,0)),0,VLOOKUP($A75,'HRGs to TFCs % Split'!$A$8:$I$117,8,0))</f>
        <v>0</v>
      </c>
      <c r="Q75" s="175">
        <f>IF(ISERROR(VLOOKUP($A75,'HRGs to TFCs % Split'!$A$8:$I$117,6,0)),0,VLOOKUP($A75,'HRGs to TFCs % Split'!$A$8:$I$117,9,0))</f>
        <v>5.3905529451987527E-4</v>
      </c>
      <c r="R75" s="167">
        <f t="shared" si="66"/>
        <v>0</v>
      </c>
      <c r="S75" s="168">
        <f t="shared" si="67"/>
        <v>64</v>
      </c>
      <c r="T75" s="168">
        <f t="shared" si="68"/>
        <v>0</v>
      </c>
      <c r="U75" s="169">
        <f t="shared" si="69"/>
        <v>851</v>
      </c>
      <c r="V75" s="173">
        <f>IF(ISERROR(VLOOKUP($A75,'HRGs to TFCs % Split'!$A$8:$AA$117,6,0)),0,VLOOKUP($A75,'HRGs to TFCs % Split'!$A$8:$AA$117,14,0))</f>
        <v>0</v>
      </c>
      <c r="W75" s="174">
        <f>IF(ISERROR(VLOOKUP($A75,'HRGs to TFCs % Split'!$A$8:$AA$117,6,0)),0,VLOOKUP($A75,'HRGs to TFCs % Split'!$A$8:$AA$117,15,0))</f>
        <v>4.3341516189905717E-5</v>
      </c>
      <c r="X75" s="174">
        <f>IF(ISERROR(VLOOKUP($A75,'HRGs to TFCs % Split'!$A$8:$AA$117,6,0)),0,VLOOKUP($A75,'HRGs to TFCs % Split'!$A$8:$AA$117,16,0))</f>
        <v>0</v>
      </c>
      <c r="Y75" s="175">
        <f>IF(ISERROR(VLOOKUP($A75,'HRGs to TFCs % Split'!$A$8:$AA$117,6,0)),0,VLOOKUP($A75,'HRGs to TFCs % Split'!$A$8:$AA$117,17,0))</f>
        <v>5.7058158548258897E-4</v>
      </c>
      <c r="Z75" s="167">
        <f t="shared" si="82"/>
        <v>0</v>
      </c>
      <c r="AA75" s="168">
        <f t="shared" si="83"/>
        <v>7666.6429410563442</v>
      </c>
      <c r="AB75" s="168">
        <f t="shared" si="84"/>
        <v>0</v>
      </c>
      <c r="AC75" s="169">
        <f t="shared" si="85"/>
        <v>100929.67826666942</v>
      </c>
      <c r="AD75" s="200">
        <f t="shared" si="70"/>
        <v>822</v>
      </c>
      <c r="AE75" s="201">
        <f t="shared" si="71"/>
        <v>11744</v>
      </c>
      <c r="AF75" s="201">
        <f t="shared" si="72"/>
        <v>1535</v>
      </c>
      <c r="AG75" s="202">
        <f t="shared" si="73"/>
        <v>21269</v>
      </c>
      <c r="AH75" s="200">
        <f t="shared" si="74"/>
        <v>324384.281402227</v>
      </c>
      <c r="AI75" s="201">
        <f t="shared" si="75"/>
        <v>2150707.3324199161</v>
      </c>
      <c r="AJ75" s="201">
        <f t="shared" si="76"/>
        <v>185124.048383254</v>
      </c>
      <c r="AK75" s="202">
        <f t="shared" si="77"/>
        <v>3227175.0972634498</v>
      </c>
      <c r="AL75" s="194">
        <f t="shared" si="78"/>
        <v>394.62807956475302</v>
      </c>
      <c r="AM75" s="195">
        <f t="shared" si="79"/>
        <v>183.1324363436577</v>
      </c>
      <c r="AN75" s="195">
        <f t="shared" si="80"/>
        <v>120.60198591742932</v>
      </c>
      <c r="AO75" s="196">
        <f t="shared" si="81"/>
        <v>151.73139768035404</v>
      </c>
      <c r="AP75" s="188">
        <f t="shared" si="86"/>
        <v>0</v>
      </c>
      <c r="AQ75" s="189">
        <f t="shared" si="87"/>
        <v>-1.8916266988490138E-3</v>
      </c>
      <c r="AR75" s="189">
        <f t="shared" si="88"/>
        <v>0</v>
      </c>
      <c r="AS75" s="190">
        <f t="shared" si="89"/>
        <v>-9.0184030300342055E-3</v>
      </c>
      <c r="AT75" s="196">
        <f>IF(ISERROR(VLOOKUP(A75,Mandatory!A:A,1,FALSE)),0,1)</f>
        <v>0</v>
      </c>
    </row>
    <row r="76" spans="1:46">
      <c r="A76">
        <v>314</v>
      </c>
      <c r="B76" s="185">
        <f>VLOOKUP(A76,OPATT_Activities!A:J,3,FALSE)</f>
        <v>1949</v>
      </c>
      <c r="C76" s="186">
        <f>VLOOKUP(A76,OPATT_Activities!A:J,4,FALSE)</f>
        <v>23743</v>
      </c>
      <c r="D76" s="186">
        <f>VLOOKUP(A76,OPATT_Activities!A:J,5,FALSE)</f>
        <v>2187</v>
      </c>
      <c r="E76" s="187">
        <f>VLOOKUP(A76,OPATT_Activities!A:J,6,FALSE)</f>
        <v>41740</v>
      </c>
      <c r="F76" s="185">
        <f>VLOOKUP(A76,OPATT_Cost_Quantum!A:F,2,FALSE)</f>
        <v>422422.56457641401</v>
      </c>
      <c r="G76" s="186">
        <f>VLOOKUP(A76,OPATT_Cost_Quantum!A:F,3,FALSE)</f>
        <v>4193092.71023132</v>
      </c>
      <c r="H76" s="186">
        <f>VLOOKUP(A76,OPATT_Cost_Quantum!A:F,4,FALSE)</f>
        <v>408521.24891880603</v>
      </c>
      <c r="I76" s="187">
        <f>VLOOKUP(A76,OPATT_Cost_Quantum!A:F,5,FALSE)</f>
        <v>6723667.32213715</v>
      </c>
      <c r="J76" s="179">
        <f t="shared" si="65"/>
        <v>216.73810393864238</v>
      </c>
      <c r="K76" s="180">
        <f t="shared" si="65"/>
        <v>176.60332351561809</v>
      </c>
      <c r="L76" s="180">
        <f t="shared" si="65"/>
        <v>186.79526699533884</v>
      </c>
      <c r="M76" s="181">
        <f t="shared" si="65"/>
        <v>161.08450699897341</v>
      </c>
      <c r="N76" s="173">
        <f>IF(ISERROR(VLOOKUP($A76,'HRGs to TFCs % Split'!$A$8:$I$117,6,0)),0,VLOOKUP($A76,'HRGs to TFCs % Split'!$A$8:$I$117,6,0))</f>
        <v>0</v>
      </c>
      <c r="O76" s="174">
        <f>IF(ISERROR(VLOOKUP($A76,'HRGs to TFCs % Split'!$A$8:$I$117,6,0)),0,VLOOKUP($A76,'HRGs to TFCs % Split'!$A$8:$I$117,7,0))</f>
        <v>1.6836247554867338E-4</v>
      </c>
      <c r="P76" s="174">
        <f>IF(ISERROR(VLOOKUP($A76,'HRGs to TFCs % Split'!$A$8:$I$117,6,0)),0,VLOOKUP($A76,'HRGs to TFCs % Split'!$A$8:$I$117,8,0))</f>
        <v>0</v>
      </c>
      <c r="Q76" s="175">
        <f>IF(ISERROR(VLOOKUP($A76,'HRGs to TFCs % Split'!$A$8:$I$117,6,0)),0,VLOOKUP($A76,'HRGs to TFCs % Split'!$A$8:$I$117,9,0))</f>
        <v>4.6225837584855058E-4</v>
      </c>
      <c r="R76" s="167">
        <f t="shared" si="66"/>
        <v>0</v>
      </c>
      <c r="S76" s="168">
        <f t="shared" si="67"/>
        <v>266</v>
      </c>
      <c r="T76" s="168">
        <f t="shared" si="68"/>
        <v>0</v>
      </c>
      <c r="U76" s="169">
        <f t="shared" si="69"/>
        <v>730</v>
      </c>
      <c r="V76" s="173">
        <f>IF(ISERROR(VLOOKUP($A76,'HRGs to TFCs % Split'!$A$8:$AA$117,6,0)),0,VLOOKUP($A76,'HRGs to TFCs % Split'!$A$8:$AA$117,14,0))</f>
        <v>0</v>
      </c>
      <c r="W76" s="174">
        <f>IF(ISERROR(VLOOKUP($A76,'HRGs to TFCs % Split'!$A$8:$AA$117,6,0)),0,VLOOKUP($A76,'HRGs to TFCs % Split'!$A$8:$AA$117,15,0))</f>
        <v>1.3339996141341007E-4</v>
      </c>
      <c r="X76" s="174">
        <f>IF(ISERROR(VLOOKUP($A76,'HRGs to TFCs % Split'!$A$8:$AA$117,6,0)),0,VLOOKUP($A76,'HRGs to TFCs % Split'!$A$8:$AA$117,16,0))</f>
        <v>0</v>
      </c>
      <c r="Y76" s="175">
        <f>IF(ISERROR(VLOOKUP($A76,'HRGs to TFCs % Split'!$A$8:$AA$117,6,0)),0,VLOOKUP($A76,'HRGs to TFCs % Split'!$A$8:$AA$117,17,0))</f>
        <v>5.1869386861776363E-4</v>
      </c>
      <c r="Z76" s="167">
        <f t="shared" si="82"/>
        <v>0</v>
      </c>
      <c r="AA76" s="168">
        <f t="shared" si="83"/>
        <v>23597.002652747618</v>
      </c>
      <c r="AB76" s="168">
        <f t="shared" si="84"/>
        <v>0</v>
      </c>
      <c r="AC76" s="169">
        <f t="shared" si="85"/>
        <v>91751.305353128089</v>
      </c>
      <c r="AD76" s="200">
        <f t="shared" si="70"/>
        <v>1949</v>
      </c>
      <c r="AE76" s="201">
        <f t="shared" si="71"/>
        <v>24009</v>
      </c>
      <c r="AF76" s="201">
        <f t="shared" si="72"/>
        <v>2187</v>
      </c>
      <c r="AG76" s="202">
        <f t="shared" si="73"/>
        <v>42470</v>
      </c>
      <c r="AH76" s="200">
        <f t="shared" si="74"/>
        <v>422422.56457641401</v>
      </c>
      <c r="AI76" s="201">
        <f t="shared" si="75"/>
        <v>4216689.7128840676</v>
      </c>
      <c r="AJ76" s="201">
        <f t="shared" si="76"/>
        <v>408521.24891880603</v>
      </c>
      <c r="AK76" s="202">
        <f t="shared" si="77"/>
        <v>6815418.6274902783</v>
      </c>
      <c r="AL76" s="194">
        <f t="shared" si="78"/>
        <v>216.73810393864238</v>
      </c>
      <c r="AM76" s="195">
        <f t="shared" si="79"/>
        <v>175.62954362464356</v>
      </c>
      <c r="AN76" s="195">
        <f t="shared" si="80"/>
        <v>186.79526699533884</v>
      </c>
      <c r="AO76" s="196">
        <f t="shared" si="81"/>
        <v>160.47606845986056</v>
      </c>
      <c r="AP76" s="188">
        <f t="shared" si="86"/>
        <v>0</v>
      </c>
      <c r="AQ76" s="189">
        <f t="shared" si="87"/>
        <v>-5.513938648433192E-3</v>
      </c>
      <c r="AR76" s="189">
        <f t="shared" si="88"/>
        <v>0</v>
      </c>
      <c r="AS76" s="190">
        <f t="shared" si="89"/>
        <v>-3.7771387853999805E-3</v>
      </c>
      <c r="AT76" s="196">
        <f>IF(ISERROR(VLOOKUP(A76,Mandatory!A:A,1,FALSE)),0,1)</f>
        <v>0</v>
      </c>
    </row>
    <row r="77" spans="1:46">
      <c r="A77">
        <v>315</v>
      </c>
      <c r="B77" s="185">
        <f>VLOOKUP(A77,OPATT_Activities!A:J,3,FALSE)</f>
        <v>29</v>
      </c>
      <c r="C77" s="186">
        <f>VLOOKUP(A77,OPATT_Activities!A:J,4,FALSE)</f>
        <v>5023</v>
      </c>
      <c r="D77" s="186">
        <f>VLOOKUP(A77,OPATT_Activities!A:J,5,FALSE)</f>
        <v>64</v>
      </c>
      <c r="E77" s="187">
        <f>VLOOKUP(A77,OPATT_Activities!A:J,6,FALSE)</f>
        <v>12640</v>
      </c>
      <c r="F77" s="185">
        <f>VLOOKUP(A77,OPATT_Cost_Quantum!A:F,2,FALSE)</f>
        <v>13189.385164330401</v>
      </c>
      <c r="G77" s="186">
        <f>VLOOKUP(A77,OPATT_Cost_Quantum!A:F,3,FALSE)</f>
        <v>1206754.5576963699</v>
      </c>
      <c r="H77" s="186">
        <f>VLOOKUP(A77,OPATT_Cost_Quantum!A:F,4,FALSE)</f>
        <v>30106.100837496298</v>
      </c>
      <c r="I77" s="187">
        <f>VLOOKUP(A77,OPATT_Cost_Quantum!A:F,5,FALSE)</f>
        <v>3038335.10308532</v>
      </c>
      <c r="J77" s="179">
        <f t="shared" si="65"/>
        <v>454.80638497691035</v>
      </c>
      <c r="K77" s="180">
        <f t="shared" si="65"/>
        <v>240.24578094691816</v>
      </c>
      <c r="L77" s="180">
        <f t="shared" si="65"/>
        <v>470.40782558587966</v>
      </c>
      <c r="M77" s="181">
        <f t="shared" si="65"/>
        <v>240.37461258586393</v>
      </c>
      <c r="N77" s="173">
        <f>IF(ISERROR(VLOOKUP($A77,'HRGs to TFCs % Split'!$A$8:$I$117,6,0)),0,VLOOKUP($A77,'HRGs to TFCs % Split'!$A$8:$I$117,6,0))</f>
        <v>0</v>
      </c>
      <c r="O77" s="174">
        <f>IF(ISERROR(VLOOKUP($A77,'HRGs to TFCs % Split'!$A$8:$I$117,6,0)),0,VLOOKUP($A77,'HRGs to TFCs % Split'!$A$8:$I$117,7,0))</f>
        <v>0</v>
      </c>
      <c r="P77" s="174">
        <f>IF(ISERROR(VLOOKUP($A77,'HRGs to TFCs % Split'!$A$8:$I$117,6,0)),0,VLOOKUP($A77,'HRGs to TFCs % Split'!$A$8:$I$117,8,0))</f>
        <v>0</v>
      </c>
      <c r="Q77" s="175">
        <f>IF(ISERROR(VLOOKUP($A77,'HRGs to TFCs % Split'!$A$8:$I$117,6,0)),0,VLOOKUP($A77,'HRGs to TFCs % Split'!$A$8:$I$117,9,0))</f>
        <v>0</v>
      </c>
      <c r="R77" s="167">
        <f t="shared" si="66"/>
        <v>0</v>
      </c>
      <c r="S77" s="168">
        <f t="shared" si="67"/>
        <v>0</v>
      </c>
      <c r="T77" s="168">
        <f t="shared" si="68"/>
        <v>0</v>
      </c>
      <c r="U77" s="169">
        <f t="shared" si="69"/>
        <v>0</v>
      </c>
      <c r="V77" s="173">
        <f>IF(ISERROR(VLOOKUP($A77,'HRGs to TFCs % Split'!$A$8:$AA$117,6,0)),0,VLOOKUP($A77,'HRGs to TFCs % Split'!$A$8:$AA$117,14,0))</f>
        <v>0</v>
      </c>
      <c r="W77" s="174">
        <f>IF(ISERROR(VLOOKUP($A77,'HRGs to TFCs % Split'!$A$8:$AA$117,6,0)),0,VLOOKUP($A77,'HRGs to TFCs % Split'!$A$8:$AA$117,15,0))</f>
        <v>0</v>
      </c>
      <c r="X77" s="174">
        <f>IF(ISERROR(VLOOKUP($A77,'HRGs to TFCs % Split'!$A$8:$AA$117,6,0)),0,VLOOKUP($A77,'HRGs to TFCs % Split'!$A$8:$AA$117,16,0))</f>
        <v>0</v>
      </c>
      <c r="Y77" s="175">
        <f>IF(ISERROR(VLOOKUP($A77,'HRGs to TFCs % Split'!$A$8:$AA$117,6,0)),0,VLOOKUP($A77,'HRGs to TFCs % Split'!$A$8:$AA$117,17,0))</f>
        <v>0</v>
      </c>
      <c r="Z77" s="167">
        <f t="shared" si="82"/>
        <v>0</v>
      </c>
      <c r="AA77" s="168">
        <f t="shared" si="83"/>
        <v>0</v>
      </c>
      <c r="AB77" s="168">
        <f t="shared" si="84"/>
        <v>0</v>
      </c>
      <c r="AC77" s="169">
        <f t="shared" si="85"/>
        <v>0</v>
      </c>
      <c r="AD77" s="200">
        <f t="shared" si="70"/>
        <v>29</v>
      </c>
      <c r="AE77" s="201">
        <f t="shared" si="71"/>
        <v>5023</v>
      </c>
      <c r="AF77" s="201">
        <f t="shared" si="72"/>
        <v>64</v>
      </c>
      <c r="AG77" s="202">
        <f t="shared" si="73"/>
        <v>12640</v>
      </c>
      <c r="AH77" s="200">
        <f t="shared" si="74"/>
        <v>13189.385164330401</v>
      </c>
      <c r="AI77" s="201">
        <f t="shared" si="75"/>
        <v>1206754.5576963699</v>
      </c>
      <c r="AJ77" s="201">
        <f t="shared" si="76"/>
        <v>30106.100837496298</v>
      </c>
      <c r="AK77" s="202">
        <f t="shared" si="77"/>
        <v>3038335.10308532</v>
      </c>
      <c r="AL77" s="194">
        <f t="shared" si="78"/>
        <v>454.80638497691035</v>
      </c>
      <c r="AM77" s="195">
        <f t="shared" si="79"/>
        <v>240.24578094691816</v>
      </c>
      <c r="AN77" s="195">
        <f t="shared" si="80"/>
        <v>470.40782558587966</v>
      </c>
      <c r="AO77" s="196">
        <f t="shared" si="81"/>
        <v>240.37461258586393</v>
      </c>
      <c r="AP77" s="188">
        <f t="shared" si="86"/>
        <v>0</v>
      </c>
      <c r="AQ77" s="189">
        <f t="shared" si="87"/>
        <v>0</v>
      </c>
      <c r="AR77" s="189">
        <f t="shared" si="88"/>
        <v>0</v>
      </c>
      <c r="AS77" s="190">
        <f t="shared" si="89"/>
        <v>0</v>
      </c>
      <c r="AT77" s="196">
        <f>IF(ISERROR(VLOOKUP(A77,Mandatory!A:A,1,FALSE)),0,1)</f>
        <v>0</v>
      </c>
    </row>
    <row r="78" spans="1:46">
      <c r="A78">
        <v>316</v>
      </c>
      <c r="B78" s="185">
        <f>VLOOKUP(A78,OPATT_Activities!A:J,3,FALSE)</f>
        <v>608</v>
      </c>
      <c r="C78" s="186">
        <f>VLOOKUP(A78,OPATT_Activities!A:J,4,FALSE)</f>
        <v>4485</v>
      </c>
      <c r="D78" s="186">
        <f>VLOOKUP(A78,OPATT_Activities!A:J,5,FALSE)</f>
        <v>1554</v>
      </c>
      <c r="E78" s="187">
        <f>VLOOKUP(A78,OPATT_Activities!A:J,6,FALSE)</f>
        <v>10460</v>
      </c>
      <c r="F78" s="185">
        <f>VLOOKUP(A78,OPATT_Cost_Quantum!A:F,2,FALSE)</f>
        <v>173016.813988398</v>
      </c>
      <c r="G78" s="186">
        <f>VLOOKUP(A78,OPATT_Cost_Quantum!A:F,3,FALSE)</f>
        <v>1091728.17150365</v>
      </c>
      <c r="H78" s="186">
        <f>VLOOKUP(A78,OPATT_Cost_Quantum!A:F,4,FALSE)</f>
        <v>311614.63594934199</v>
      </c>
      <c r="I78" s="187">
        <f>VLOOKUP(A78,OPATT_Cost_Quantum!A:F,5,FALSE)</f>
        <v>2012472.9584945899</v>
      </c>
      <c r="J78" s="179">
        <f t="shared" si="65"/>
        <v>284.56712827039144</v>
      </c>
      <c r="K78" s="180">
        <f t="shared" si="65"/>
        <v>243.41765250917504</v>
      </c>
      <c r="L78" s="180">
        <f t="shared" si="65"/>
        <v>200.52421875762033</v>
      </c>
      <c r="M78" s="181">
        <f t="shared" si="65"/>
        <v>192.39703236085944</v>
      </c>
      <c r="N78" s="173">
        <f>IF(ISERROR(VLOOKUP($A78,'HRGs to TFCs % Split'!$A$8:$I$117,6,0)),0,VLOOKUP($A78,'HRGs to TFCs % Split'!$A$8:$I$117,6,0))</f>
        <v>0</v>
      </c>
      <c r="O78" s="174">
        <f>IF(ISERROR(VLOOKUP($A78,'HRGs to TFCs % Split'!$A$8:$I$117,6,0)),0,VLOOKUP($A78,'HRGs to TFCs % Split'!$A$8:$I$117,7,0))</f>
        <v>1.3291774385421581E-5</v>
      </c>
      <c r="P78" s="174">
        <f>IF(ISERROR(VLOOKUP($A78,'HRGs to TFCs % Split'!$A$8:$I$117,6,0)),0,VLOOKUP($A78,'HRGs to TFCs % Split'!$A$8:$I$117,8,0))</f>
        <v>0</v>
      </c>
      <c r="Q78" s="175">
        <f>IF(ISERROR(VLOOKUP($A78,'HRGs to TFCs % Split'!$A$8:$I$117,6,0)),0,VLOOKUP($A78,'HRGs to TFCs % Split'!$A$8:$I$117,9,0))</f>
        <v>3.3229435963553957E-5</v>
      </c>
      <c r="R78" s="167">
        <f t="shared" si="66"/>
        <v>0</v>
      </c>
      <c r="S78" s="168">
        <f t="shared" si="67"/>
        <v>21</v>
      </c>
      <c r="T78" s="168">
        <f t="shared" si="68"/>
        <v>0</v>
      </c>
      <c r="U78" s="169">
        <f t="shared" si="69"/>
        <v>52</v>
      </c>
      <c r="V78" s="173">
        <f>IF(ISERROR(VLOOKUP($A78,'HRGs to TFCs % Split'!$A$8:$AA$117,6,0)),0,VLOOKUP($A78,'HRGs to TFCs % Split'!$A$8:$AA$117,14,0))</f>
        <v>0</v>
      </c>
      <c r="W78" s="174">
        <f>IF(ISERROR(VLOOKUP($A78,'HRGs to TFCs % Split'!$A$8:$AA$117,6,0)),0,VLOOKUP($A78,'HRGs to TFCs % Split'!$A$8:$AA$117,15,0))</f>
        <v>1.2527017046549819E-5</v>
      </c>
      <c r="X78" s="174">
        <f>IF(ISERROR(VLOOKUP($A78,'HRGs to TFCs % Split'!$A$8:$AA$117,6,0)),0,VLOOKUP($A78,'HRGs to TFCs % Split'!$A$8:$AA$117,16,0))</f>
        <v>0</v>
      </c>
      <c r="Y78" s="175">
        <f>IF(ISERROR(VLOOKUP($A78,'HRGs to TFCs % Split'!$A$8:$AA$117,6,0)),0,VLOOKUP($A78,'HRGs to TFCs % Split'!$A$8:$AA$117,17,0))</f>
        <v>3.8306455837662703E-5</v>
      </c>
      <c r="Z78" s="167">
        <f t="shared" si="82"/>
        <v>0</v>
      </c>
      <c r="AA78" s="168">
        <f t="shared" si="83"/>
        <v>2215.8931033149115</v>
      </c>
      <c r="AB78" s="168">
        <f t="shared" si="84"/>
        <v>0</v>
      </c>
      <c r="AC78" s="169">
        <f t="shared" si="85"/>
        <v>6775.9955133526728</v>
      </c>
      <c r="AD78" s="200">
        <f t="shared" si="70"/>
        <v>608</v>
      </c>
      <c r="AE78" s="201">
        <f t="shared" si="71"/>
        <v>4506</v>
      </c>
      <c r="AF78" s="201">
        <f t="shared" si="72"/>
        <v>1554</v>
      </c>
      <c r="AG78" s="202">
        <f t="shared" si="73"/>
        <v>10512</v>
      </c>
      <c r="AH78" s="200">
        <f t="shared" si="74"/>
        <v>173016.813988398</v>
      </c>
      <c r="AI78" s="201">
        <f t="shared" si="75"/>
        <v>1093944.0646069648</v>
      </c>
      <c r="AJ78" s="201">
        <f t="shared" si="76"/>
        <v>311614.63594934199</v>
      </c>
      <c r="AK78" s="202">
        <f t="shared" si="77"/>
        <v>2019248.9540079425</v>
      </c>
      <c r="AL78" s="194">
        <f t="shared" si="78"/>
        <v>284.56712827039144</v>
      </c>
      <c r="AM78" s="195">
        <f t="shared" si="79"/>
        <v>242.7749810490379</v>
      </c>
      <c r="AN78" s="195">
        <f t="shared" si="80"/>
        <v>200.52421875762033</v>
      </c>
      <c r="AO78" s="196">
        <f t="shared" si="81"/>
        <v>192.08989288507823</v>
      </c>
      <c r="AP78" s="188">
        <f t="shared" si="86"/>
        <v>0</v>
      </c>
      <c r="AQ78" s="189">
        <f t="shared" si="87"/>
        <v>-2.6402007147485751E-3</v>
      </c>
      <c r="AR78" s="189">
        <f t="shared" si="88"/>
        <v>0</v>
      </c>
      <c r="AS78" s="190">
        <f t="shared" si="89"/>
        <v>-1.596383644863808E-3</v>
      </c>
      <c r="AT78" s="196">
        <f>IF(ISERROR(VLOOKUP(A78,Mandatory!A:A,1,FALSE)),0,1)</f>
        <v>0</v>
      </c>
    </row>
    <row r="79" spans="1:46">
      <c r="A79">
        <v>317</v>
      </c>
      <c r="B79" s="185">
        <f>VLOOKUP(A79,OPATT_Activities!A:J,3,FALSE)</f>
        <v>20</v>
      </c>
      <c r="C79" s="186">
        <f>VLOOKUP(A79,OPATT_Activities!A:J,4,FALSE)</f>
        <v>13089</v>
      </c>
      <c r="D79" s="186">
        <f>VLOOKUP(A79,OPATT_Activities!A:J,5,FALSE)</f>
        <v>76</v>
      </c>
      <c r="E79" s="187">
        <f>VLOOKUP(A79,OPATT_Activities!A:J,6,FALSE)</f>
        <v>15385</v>
      </c>
      <c r="F79" s="185">
        <f>VLOOKUP(A79,OPATT_Cost_Quantum!A:F,2,FALSE)</f>
        <v>3386.95008130409</v>
      </c>
      <c r="G79" s="186">
        <f>VLOOKUP(A79,OPATT_Cost_Quantum!A:F,3,FALSE)</f>
        <v>1773659.68190081</v>
      </c>
      <c r="H79" s="186">
        <f>VLOOKUP(A79,OPATT_Cost_Quantum!A:F,4,FALSE)</f>
        <v>17988.577479289499</v>
      </c>
      <c r="I79" s="187">
        <f>VLOOKUP(A79,OPATT_Cost_Quantum!A:F,5,FALSE)</f>
        <v>1754310.4712338201</v>
      </c>
      <c r="J79" s="179">
        <f t="shared" si="65"/>
        <v>169.3475040652045</v>
      </c>
      <c r="K79" s="180">
        <f t="shared" si="65"/>
        <v>135.50765390028343</v>
      </c>
      <c r="L79" s="180">
        <f t="shared" si="65"/>
        <v>236.69180893801973</v>
      </c>
      <c r="M79" s="181">
        <f t="shared" si="65"/>
        <v>114.02732994694964</v>
      </c>
      <c r="N79" s="173">
        <f>IF(ISERROR(VLOOKUP($A79,'HRGs to TFCs % Split'!$A$8:$I$117,6,0)),0,VLOOKUP($A79,'HRGs to TFCs % Split'!$A$8:$I$117,6,0))</f>
        <v>0</v>
      </c>
      <c r="O79" s="174">
        <f>IF(ISERROR(VLOOKUP($A79,'HRGs to TFCs % Split'!$A$8:$I$117,6,0)),0,VLOOKUP($A79,'HRGs to TFCs % Split'!$A$8:$I$117,7,0))</f>
        <v>0</v>
      </c>
      <c r="P79" s="174">
        <f>IF(ISERROR(VLOOKUP($A79,'HRGs to TFCs % Split'!$A$8:$I$117,6,0)),0,VLOOKUP($A79,'HRGs to TFCs % Split'!$A$8:$I$117,8,0))</f>
        <v>0</v>
      </c>
      <c r="Q79" s="175">
        <f>IF(ISERROR(VLOOKUP($A79,'HRGs to TFCs % Split'!$A$8:$I$117,6,0)),0,VLOOKUP($A79,'HRGs to TFCs % Split'!$A$8:$I$117,9,0))</f>
        <v>0</v>
      </c>
      <c r="R79" s="167">
        <f t="shared" si="66"/>
        <v>0</v>
      </c>
      <c r="S79" s="168">
        <f t="shared" si="67"/>
        <v>0</v>
      </c>
      <c r="T79" s="168">
        <f t="shared" si="68"/>
        <v>0</v>
      </c>
      <c r="U79" s="169">
        <f t="shared" si="69"/>
        <v>0</v>
      </c>
      <c r="V79" s="173">
        <f>IF(ISERROR(VLOOKUP($A79,'HRGs to TFCs % Split'!$A$8:$AA$117,6,0)),0,VLOOKUP($A79,'HRGs to TFCs % Split'!$A$8:$AA$117,14,0))</f>
        <v>0</v>
      </c>
      <c r="W79" s="174">
        <f>IF(ISERROR(VLOOKUP($A79,'HRGs to TFCs % Split'!$A$8:$AA$117,6,0)),0,VLOOKUP($A79,'HRGs to TFCs % Split'!$A$8:$AA$117,15,0))</f>
        <v>0</v>
      </c>
      <c r="X79" s="174">
        <f>IF(ISERROR(VLOOKUP($A79,'HRGs to TFCs % Split'!$A$8:$AA$117,6,0)),0,VLOOKUP($A79,'HRGs to TFCs % Split'!$A$8:$AA$117,16,0))</f>
        <v>0</v>
      </c>
      <c r="Y79" s="175">
        <f>IF(ISERROR(VLOOKUP($A79,'HRGs to TFCs % Split'!$A$8:$AA$117,6,0)),0,VLOOKUP($A79,'HRGs to TFCs % Split'!$A$8:$AA$117,17,0))</f>
        <v>0</v>
      </c>
      <c r="Z79" s="167">
        <f t="shared" si="82"/>
        <v>0</v>
      </c>
      <c r="AA79" s="168">
        <f t="shared" si="83"/>
        <v>0</v>
      </c>
      <c r="AB79" s="168">
        <f t="shared" si="84"/>
        <v>0</v>
      </c>
      <c r="AC79" s="169">
        <f t="shared" si="85"/>
        <v>0</v>
      </c>
      <c r="AD79" s="200">
        <f t="shared" si="70"/>
        <v>20</v>
      </c>
      <c r="AE79" s="201">
        <f t="shared" si="71"/>
        <v>13089</v>
      </c>
      <c r="AF79" s="201">
        <f t="shared" si="72"/>
        <v>76</v>
      </c>
      <c r="AG79" s="202">
        <f t="shared" si="73"/>
        <v>15385</v>
      </c>
      <c r="AH79" s="200">
        <f t="shared" si="74"/>
        <v>3386.95008130409</v>
      </c>
      <c r="AI79" s="201">
        <f t="shared" si="75"/>
        <v>1773659.68190081</v>
      </c>
      <c r="AJ79" s="201">
        <f t="shared" si="76"/>
        <v>17988.577479289499</v>
      </c>
      <c r="AK79" s="202">
        <f t="shared" si="77"/>
        <v>1754310.4712338201</v>
      </c>
      <c r="AL79" s="194">
        <f t="shared" si="78"/>
        <v>169.3475040652045</v>
      </c>
      <c r="AM79" s="195">
        <f t="shared" si="79"/>
        <v>135.50765390028343</v>
      </c>
      <c r="AN79" s="195">
        <f t="shared" si="80"/>
        <v>236.69180893801973</v>
      </c>
      <c r="AO79" s="196">
        <f t="shared" si="81"/>
        <v>114.02732994694964</v>
      </c>
      <c r="AP79" s="188">
        <f t="shared" si="86"/>
        <v>0</v>
      </c>
      <c r="AQ79" s="189">
        <f t="shared" si="87"/>
        <v>0</v>
      </c>
      <c r="AR79" s="189">
        <f t="shared" si="88"/>
        <v>0</v>
      </c>
      <c r="AS79" s="190">
        <f t="shared" si="89"/>
        <v>0</v>
      </c>
      <c r="AT79" s="196">
        <f>IF(ISERROR(VLOOKUP(A79,Mandatory!A:A,1,FALSE)),0,1)</f>
        <v>0</v>
      </c>
    </row>
    <row r="80" spans="1:46">
      <c r="A80">
        <v>320</v>
      </c>
      <c r="B80" s="185">
        <f>VLOOKUP(A80,OPATT_Activities!A:J,3,FALSE)</f>
        <v>14302</v>
      </c>
      <c r="C80" s="186">
        <f>VLOOKUP(A80,OPATT_Activities!A:J,4,FALSE)</f>
        <v>605181</v>
      </c>
      <c r="D80" s="186">
        <f>VLOOKUP(A80,OPATT_Activities!A:J,5,FALSE)</f>
        <v>24071</v>
      </c>
      <c r="E80" s="187">
        <f>VLOOKUP(A80,OPATT_Activities!A:J,6,FALSE)</f>
        <v>981096</v>
      </c>
      <c r="F80" s="185">
        <f>VLOOKUP(A80,OPATT_Cost_Quantum!A:F,2,FALSE)</f>
        <v>3009107.2051619799</v>
      </c>
      <c r="G80" s="186">
        <f>VLOOKUP(A80,OPATT_Cost_Quantum!A:F,3,FALSE)</f>
        <v>94033289.128395796</v>
      </c>
      <c r="H80" s="186">
        <f>VLOOKUP(A80,OPATT_Cost_Quantum!A:F,4,FALSE)</f>
        <v>4110510.33599868</v>
      </c>
      <c r="I80" s="187">
        <f>VLOOKUP(A80,OPATT_Cost_Quantum!A:F,5,FALSE)</f>
        <v>109218516.094129</v>
      </c>
      <c r="J80" s="179">
        <f t="shared" si="65"/>
        <v>210.39765103915397</v>
      </c>
      <c r="K80" s="180">
        <f t="shared" si="65"/>
        <v>155.38043846121374</v>
      </c>
      <c r="L80" s="180">
        <f t="shared" si="65"/>
        <v>170.76608101028955</v>
      </c>
      <c r="M80" s="181">
        <f t="shared" si="65"/>
        <v>111.32296543266816</v>
      </c>
      <c r="N80" s="173">
        <f>IF(ISERROR(VLOOKUP($A80,'HRGs to TFCs % Split'!$A$8:$I$117,6,0)),0,VLOOKUP($A80,'HRGs to TFCs % Split'!$A$8:$I$117,6,0))</f>
        <v>0</v>
      </c>
      <c r="O80" s="174">
        <f>IF(ISERROR(VLOOKUP($A80,'HRGs to TFCs % Split'!$A$8:$I$117,6,0)),0,VLOOKUP($A80,'HRGs to TFCs % Split'!$A$8:$I$117,7,0))</f>
        <v>6.0499726410977233E-3</v>
      </c>
      <c r="P80" s="174">
        <f>IF(ISERROR(VLOOKUP($A80,'HRGs to TFCs % Split'!$A$8:$I$117,6,0)),0,VLOOKUP($A80,'HRGs to TFCs % Split'!$A$8:$I$117,8,0))</f>
        <v>0</v>
      </c>
      <c r="Q80" s="175">
        <f>IF(ISERROR(VLOOKUP($A80,'HRGs to TFCs % Split'!$A$8:$I$117,6,0)),0,VLOOKUP($A80,'HRGs to TFCs % Split'!$A$8:$I$117,9,0))</f>
        <v>7.4936070257365676E-3</v>
      </c>
      <c r="R80" s="167">
        <f t="shared" si="66"/>
        <v>0</v>
      </c>
      <c r="S80" s="168">
        <f t="shared" si="67"/>
        <v>9549</v>
      </c>
      <c r="T80" s="168">
        <f t="shared" si="68"/>
        <v>0</v>
      </c>
      <c r="U80" s="169">
        <f t="shared" si="69"/>
        <v>11828</v>
      </c>
      <c r="V80" s="173">
        <f>IF(ISERROR(VLOOKUP($A80,'HRGs to TFCs % Split'!$A$8:$AA$117,6,0)),0,VLOOKUP($A80,'HRGs to TFCs % Split'!$A$8:$AA$117,14,0))</f>
        <v>0</v>
      </c>
      <c r="W80" s="174">
        <f>IF(ISERROR(VLOOKUP($A80,'HRGs to TFCs % Split'!$A$8:$AA$117,6,0)),0,VLOOKUP($A80,'HRGs to TFCs % Split'!$A$8:$AA$117,15,0))</f>
        <v>5.0394079319301894E-3</v>
      </c>
      <c r="X80" s="174">
        <f>IF(ISERROR(VLOOKUP($A80,'HRGs to TFCs % Split'!$A$8:$AA$117,6,0)),0,VLOOKUP($A80,'HRGs to TFCs % Split'!$A$8:$AA$117,16,0))</f>
        <v>0</v>
      </c>
      <c r="Y80" s="175">
        <f>IF(ISERROR(VLOOKUP($A80,'HRGs to TFCs % Split'!$A$8:$AA$117,6,0)),0,VLOOKUP($A80,'HRGs to TFCs % Split'!$A$8:$AA$117,17,0))</f>
        <v>6.4301530851420905E-3</v>
      </c>
      <c r="Z80" s="167">
        <f t="shared" si="82"/>
        <v>0</v>
      </c>
      <c r="AA80" s="168">
        <f t="shared" si="83"/>
        <v>891416.46727702953</v>
      </c>
      <c r="AB80" s="168">
        <f t="shared" si="84"/>
        <v>0</v>
      </c>
      <c r="AC80" s="169">
        <f t="shared" si="85"/>
        <v>1137424.162646109</v>
      </c>
      <c r="AD80" s="200">
        <f t="shared" si="70"/>
        <v>14302</v>
      </c>
      <c r="AE80" s="201">
        <f t="shared" si="71"/>
        <v>614730</v>
      </c>
      <c r="AF80" s="201">
        <f t="shared" si="72"/>
        <v>24071</v>
      </c>
      <c r="AG80" s="202">
        <f t="shared" si="73"/>
        <v>992924</v>
      </c>
      <c r="AH80" s="200">
        <f t="shared" si="74"/>
        <v>3009107.2051619799</v>
      </c>
      <c r="AI80" s="201">
        <f t="shared" si="75"/>
        <v>94924705.595672831</v>
      </c>
      <c r="AJ80" s="201">
        <f t="shared" si="76"/>
        <v>4110510.33599868</v>
      </c>
      <c r="AK80" s="202">
        <f t="shared" si="77"/>
        <v>110355940.25677511</v>
      </c>
      <c r="AL80" s="194">
        <f t="shared" si="78"/>
        <v>210.39765103915397</v>
      </c>
      <c r="AM80" s="195">
        <f t="shared" si="79"/>
        <v>154.41690757840487</v>
      </c>
      <c r="AN80" s="195">
        <f t="shared" si="80"/>
        <v>170.76608101028955</v>
      </c>
      <c r="AO80" s="196">
        <f t="shared" si="81"/>
        <v>111.14238376429124</v>
      </c>
      <c r="AP80" s="188">
        <f t="shared" si="86"/>
        <v>0</v>
      </c>
      <c r="AQ80" s="189">
        <f t="shared" si="87"/>
        <v>-6.2011080181717526E-3</v>
      </c>
      <c r="AR80" s="189">
        <f t="shared" si="88"/>
        <v>0</v>
      </c>
      <c r="AS80" s="190">
        <f t="shared" si="89"/>
        <v>-1.622142095075052E-3</v>
      </c>
      <c r="AT80" s="196">
        <f>IF(ISERROR(VLOOKUP(A80,Mandatory!A:A,1,FALSE)),0,1)</f>
        <v>1</v>
      </c>
    </row>
    <row r="81" spans="1:46">
      <c r="A81">
        <v>321</v>
      </c>
      <c r="B81" s="185">
        <f>VLOOKUP(A81,OPATT_Activities!A:J,3,FALSE)</f>
        <v>2694</v>
      </c>
      <c r="C81" s="186">
        <f>VLOOKUP(A81,OPATT_Activities!A:J,4,FALSE)</f>
        <v>24477</v>
      </c>
      <c r="D81" s="186">
        <f>VLOOKUP(A81,OPATT_Activities!A:J,5,FALSE)</f>
        <v>3893</v>
      </c>
      <c r="E81" s="187">
        <f>VLOOKUP(A81,OPATT_Activities!A:J,6,FALSE)</f>
        <v>65671</v>
      </c>
      <c r="F81" s="185">
        <f>VLOOKUP(A81,OPATT_Cost_Quantum!A:F,2,FALSE)</f>
        <v>574011.31165441405</v>
      </c>
      <c r="G81" s="186">
        <f>VLOOKUP(A81,OPATT_Cost_Quantum!A:F,3,FALSE)</f>
        <v>5024393.7115240302</v>
      </c>
      <c r="H81" s="186">
        <f>VLOOKUP(A81,OPATT_Cost_Quantum!A:F,4,FALSE)</f>
        <v>748563.875540643</v>
      </c>
      <c r="I81" s="187">
        <f>VLOOKUP(A81,OPATT_Cost_Quantum!A:F,5,FALSE)</f>
        <v>9550838.4780397993</v>
      </c>
      <c r="J81" s="179">
        <f t="shared" si="65"/>
        <v>213.07027158664218</v>
      </c>
      <c r="K81" s="180">
        <f t="shared" si="65"/>
        <v>205.26999679388936</v>
      </c>
      <c r="L81" s="180">
        <f t="shared" si="65"/>
        <v>192.28458143864449</v>
      </c>
      <c r="M81" s="181">
        <f t="shared" si="65"/>
        <v>145.43464357235004</v>
      </c>
      <c r="N81" s="173">
        <f>IF(ISERROR(VLOOKUP($A81,'HRGs to TFCs % Split'!$A$8:$I$117,6,0)),0,VLOOKUP($A81,'HRGs to TFCs % Split'!$A$8:$I$117,6,0))</f>
        <v>0</v>
      </c>
      <c r="O81" s="174">
        <f>IF(ISERROR(VLOOKUP($A81,'HRGs to TFCs % Split'!$A$8:$I$117,6,0)),0,VLOOKUP($A81,'HRGs to TFCs % Split'!$A$8:$I$117,7,0))</f>
        <v>5.7597689003493525E-4</v>
      </c>
      <c r="P81" s="174">
        <f>IF(ISERROR(VLOOKUP($A81,'HRGs to TFCs % Split'!$A$8:$I$117,6,0)),0,VLOOKUP($A81,'HRGs to TFCs % Split'!$A$8:$I$117,8,0))</f>
        <v>0</v>
      </c>
      <c r="Q81" s="175">
        <f>IF(ISERROR(VLOOKUP($A81,'HRGs to TFCs % Split'!$A$8:$I$117,6,0)),0,VLOOKUP($A81,'HRGs to TFCs % Split'!$A$8:$I$117,9,0))</f>
        <v>5.619466837392124E-4</v>
      </c>
      <c r="R81" s="167">
        <f t="shared" si="66"/>
        <v>0</v>
      </c>
      <c r="S81" s="168">
        <f t="shared" si="67"/>
        <v>909</v>
      </c>
      <c r="T81" s="168">
        <f t="shared" si="68"/>
        <v>0</v>
      </c>
      <c r="U81" s="169">
        <f t="shared" si="69"/>
        <v>887</v>
      </c>
      <c r="V81" s="173">
        <f>IF(ISERROR(VLOOKUP($A81,'HRGs to TFCs % Split'!$A$8:$AA$117,6,0)),0,VLOOKUP($A81,'HRGs to TFCs % Split'!$A$8:$AA$117,14,0))</f>
        <v>0</v>
      </c>
      <c r="W81" s="174">
        <f>IF(ISERROR(VLOOKUP($A81,'HRGs to TFCs % Split'!$A$8:$AA$117,6,0)),0,VLOOKUP($A81,'HRGs to TFCs % Split'!$A$8:$AA$117,15,0))</f>
        <v>2.9386880822210223E-4</v>
      </c>
      <c r="X81" s="174">
        <f>IF(ISERROR(VLOOKUP($A81,'HRGs to TFCs % Split'!$A$8:$AA$117,6,0)),0,VLOOKUP($A81,'HRGs to TFCs % Split'!$A$8:$AA$117,16,0))</f>
        <v>0</v>
      </c>
      <c r="Y81" s="175">
        <f>IF(ISERROR(VLOOKUP($A81,'HRGs to TFCs % Split'!$A$8:$AA$117,6,0)),0,VLOOKUP($A81,'HRGs to TFCs % Split'!$A$8:$AA$117,17,0))</f>
        <v>2.929666343662791E-4</v>
      </c>
      <c r="Z81" s="167">
        <f t="shared" si="82"/>
        <v>0</v>
      </c>
      <c r="AA81" s="168">
        <f t="shared" si="83"/>
        <v>51982.19679904377</v>
      </c>
      <c r="AB81" s="168">
        <f t="shared" si="84"/>
        <v>0</v>
      </c>
      <c r="AC81" s="169">
        <f t="shared" si="85"/>
        <v>51822.612053714467</v>
      </c>
      <c r="AD81" s="200">
        <f t="shared" si="70"/>
        <v>2694</v>
      </c>
      <c r="AE81" s="201">
        <f t="shared" si="71"/>
        <v>25386</v>
      </c>
      <c r="AF81" s="201">
        <f t="shared" si="72"/>
        <v>3893</v>
      </c>
      <c r="AG81" s="202">
        <f t="shared" si="73"/>
        <v>66558</v>
      </c>
      <c r="AH81" s="200">
        <f t="shared" si="74"/>
        <v>574011.31165441405</v>
      </c>
      <c r="AI81" s="201">
        <f t="shared" si="75"/>
        <v>5076375.9083230738</v>
      </c>
      <c r="AJ81" s="201">
        <f t="shared" si="76"/>
        <v>748563.875540643</v>
      </c>
      <c r="AK81" s="202">
        <f t="shared" si="77"/>
        <v>9602661.090093514</v>
      </c>
      <c r="AL81" s="194">
        <f t="shared" si="78"/>
        <v>213.07027158664218</v>
      </c>
      <c r="AM81" s="195">
        <f t="shared" si="79"/>
        <v>199.96753755310303</v>
      </c>
      <c r="AN81" s="195">
        <f t="shared" si="80"/>
        <v>192.28458143864449</v>
      </c>
      <c r="AO81" s="196">
        <f t="shared" si="81"/>
        <v>144.27508473952815</v>
      </c>
      <c r="AP81" s="188">
        <f t="shared" si="86"/>
        <v>0</v>
      </c>
      <c r="AQ81" s="189">
        <f t="shared" si="87"/>
        <v>-2.5831633086205508E-2</v>
      </c>
      <c r="AR81" s="189">
        <f t="shared" si="88"/>
        <v>0</v>
      </c>
      <c r="AS81" s="190">
        <f t="shared" si="89"/>
        <v>-7.9730578928055573E-3</v>
      </c>
      <c r="AT81" s="196">
        <f>IF(ISERROR(VLOOKUP(A81,Mandatory!A:A,1,FALSE)),0,1)</f>
        <v>1</v>
      </c>
    </row>
    <row r="82" spans="1:46">
      <c r="A82">
        <v>322</v>
      </c>
      <c r="B82" s="185">
        <f>VLOOKUP(A82,OPATT_Activities!A:J,3,FALSE)</f>
        <v>0</v>
      </c>
      <c r="C82" s="186">
        <f>VLOOKUP(A82,OPATT_Activities!A:J,4,FALSE)</f>
        <v>233</v>
      </c>
      <c r="D82" s="186">
        <f>VLOOKUP(A82,OPATT_Activities!A:J,5,FALSE)</f>
        <v>0</v>
      </c>
      <c r="E82" s="187">
        <f>VLOOKUP(A82,OPATT_Activities!A:J,6,FALSE)</f>
        <v>394</v>
      </c>
      <c r="F82" s="185">
        <f>VLOOKUP(A82,OPATT_Cost_Quantum!A:F,2,FALSE)</f>
        <v>0</v>
      </c>
      <c r="G82" s="186">
        <f>VLOOKUP(A82,OPATT_Cost_Quantum!A:F,3,FALSE)</f>
        <v>46151.771639220096</v>
      </c>
      <c r="H82" s="186">
        <f>VLOOKUP(A82,OPATT_Cost_Quantum!A:F,4,FALSE)</f>
        <v>0</v>
      </c>
      <c r="I82" s="187">
        <f>VLOOKUP(A82,OPATT_Cost_Quantum!A:F,5,FALSE)</f>
        <v>47472.806730472403</v>
      </c>
      <c r="J82" s="179">
        <f t="shared" si="65"/>
        <v>0</v>
      </c>
      <c r="K82" s="180">
        <f t="shared" si="65"/>
        <v>198.07627312969998</v>
      </c>
      <c r="L82" s="180">
        <f t="shared" si="65"/>
        <v>0</v>
      </c>
      <c r="M82" s="181">
        <f t="shared" si="65"/>
        <v>120.48935718394011</v>
      </c>
      <c r="N82" s="173">
        <f>IF(ISERROR(VLOOKUP($A82,'HRGs to TFCs % Split'!$A$8:$I$117,6,0)),0,VLOOKUP($A82,'HRGs to TFCs % Split'!$A$8:$I$117,6,0))</f>
        <v>0</v>
      </c>
      <c r="O82" s="174">
        <f>IF(ISERROR(VLOOKUP($A82,'HRGs to TFCs % Split'!$A$8:$I$117,6,0)),0,VLOOKUP($A82,'HRGs to TFCs % Split'!$A$8:$I$117,7,0))</f>
        <v>0</v>
      </c>
      <c r="P82" s="174">
        <f>IF(ISERROR(VLOOKUP($A82,'HRGs to TFCs % Split'!$A$8:$I$117,6,0)),0,VLOOKUP($A82,'HRGs to TFCs % Split'!$A$8:$I$117,8,0))</f>
        <v>0</v>
      </c>
      <c r="Q82" s="175">
        <f>IF(ISERROR(VLOOKUP($A82,'HRGs to TFCs % Split'!$A$8:$I$117,6,0)),0,VLOOKUP($A82,'HRGs to TFCs % Split'!$A$8:$I$117,9,0))</f>
        <v>0</v>
      </c>
      <c r="R82" s="167">
        <f t="shared" si="66"/>
        <v>0</v>
      </c>
      <c r="S82" s="168">
        <f t="shared" si="67"/>
        <v>0</v>
      </c>
      <c r="T82" s="168">
        <f t="shared" si="68"/>
        <v>0</v>
      </c>
      <c r="U82" s="169">
        <f t="shared" si="69"/>
        <v>0</v>
      </c>
      <c r="V82" s="173">
        <f>IF(ISERROR(VLOOKUP($A82,'HRGs to TFCs % Split'!$A$8:$AA$117,6,0)),0,VLOOKUP($A82,'HRGs to TFCs % Split'!$A$8:$AA$117,14,0))</f>
        <v>0</v>
      </c>
      <c r="W82" s="174">
        <f>IF(ISERROR(VLOOKUP($A82,'HRGs to TFCs % Split'!$A$8:$AA$117,6,0)),0,VLOOKUP($A82,'HRGs to TFCs % Split'!$A$8:$AA$117,15,0))</f>
        <v>0</v>
      </c>
      <c r="X82" s="174">
        <f>IF(ISERROR(VLOOKUP($A82,'HRGs to TFCs % Split'!$A$8:$AA$117,6,0)),0,VLOOKUP($A82,'HRGs to TFCs % Split'!$A$8:$AA$117,16,0))</f>
        <v>0</v>
      </c>
      <c r="Y82" s="175">
        <f>IF(ISERROR(VLOOKUP($A82,'HRGs to TFCs % Split'!$A$8:$AA$117,6,0)),0,VLOOKUP($A82,'HRGs to TFCs % Split'!$A$8:$AA$117,17,0))</f>
        <v>0</v>
      </c>
      <c r="Z82" s="167">
        <f t="shared" si="82"/>
        <v>0</v>
      </c>
      <c r="AA82" s="168">
        <f t="shared" si="83"/>
        <v>0</v>
      </c>
      <c r="AB82" s="168">
        <f t="shared" si="84"/>
        <v>0</v>
      </c>
      <c r="AC82" s="169">
        <f t="shared" si="85"/>
        <v>0</v>
      </c>
      <c r="AD82" s="200">
        <f t="shared" si="70"/>
        <v>0</v>
      </c>
      <c r="AE82" s="201">
        <f t="shared" si="71"/>
        <v>233</v>
      </c>
      <c r="AF82" s="201">
        <f t="shared" si="72"/>
        <v>0</v>
      </c>
      <c r="AG82" s="202">
        <f t="shared" si="73"/>
        <v>394</v>
      </c>
      <c r="AH82" s="200">
        <f t="shared" si="74"/>
        <v>0</v>
      </c>
      <c r="AI82" s="201">
        <f t="shared" si="75"/>
        <v>46151.771639220096</v>
      </c>
      <c r="AJ82" s="201">
        <f t="shared" si="76"/>
        <v>0</v>
      </c>
      <c r="AK82" s="202">
        <f t="shared" si="77"/>
        <v>47472.806730472403</v>
      </c>
      <c r="AL82" s="194">
        <f t="shared" si="78"/>
        <v>0</v>
      </c>
      <c r="AM82" s="195">
        <f t="shared" si="79"/>
        <v>198.07627312969998</v>
      </c>
      <c r="AN82" s="195">
        <f t="shared" si="80"/>
        <v>0</v>
      </c>
      <c r="AO82" s="196">
        <f t="shared" si="81"/>
        <v>120.48935718394011</v>
      </c>
      <c r="AP82" s="188">
        <f t="shared" si="86"/>
        <v>0</v>
      </c>
      <c r="AQ82" s="189">
        <f t="shared" si="87"/>
        <v>0</v>
      </c>
      <c r="AR82" s="189">
        <f t="shared" si="88"/>
        <v>0</v>
      </c>
      <c r="AS82" s="190">
        <f t="shared" si="89"/>
        <v>0</v>
      </c>
      <c r="AT82" s="196">
        <f>IF(ISERROR(VLOOKUP(A82,Mandatory!A:A,1,FALSE)),0,1)</f>
        <v>0</v>
      </c>
    </row>
    <row r="83" spans="1:46">
      <c r="A83">
        <v>323</v>
      </c>
      <c r="B83" s="185">
        <f>VLOOKUP(A83,OPATT_Activities!A:J,3,FALSE)</f>
        <v>3</v>
      </c>
      <c r="C83" s="186">
        <f>VLOOKUP(A83,OPATT_Activities!A:J,4,FALSE)</f>
        <v>1137</v>
      </c>
      <c r="D83" s="186">
        <f>VLOOKUP(A83,OPATT_Activities!A:J,5,FALSE)</f>
        <v>66</v>
      </c>
      <c r="E83" s="187">
        <f>VLOOKUP(A83,OPATT_Activities!A:J,6,FALSE)</f>
        <v>14047</v>
      </c>
      <c r="F83" s="185">
        <f>VLOOKUP(A83,OPATT_Cost_Quantum!A:F,2,FALSE)</f>
        <v>1310.0343476022699</v>
      </c>
      <c r="G83" s="186">
        <f>VLOOKUP(A83,OPATT_Cost_Quantum!A:F,3,FALSE)</f>
        <v>471966.10214564099</v>
      </c>
      <c r="H83" s="186">
        <f>VLOOKUP(A83,OPATT_Cost_Quantum!A:F,4,FALSE)</f>
        <v>14568.5968361337</v>
      </c>
      <c r="I83" s="187">
        <f>VLOOKUP(A83,OPATT_Cost_Quantum!A:F,5,FALSE)</f>
        <v>4539379.5953970104</v>
      </c>
      <c r="J83" s="179">
        <f t="shared" si="65"/>
        <v>436.67811586742329</v>
      </c>
      <c r="K83" s="180">
        <f t="shared" si="65"/>
        <v>415.09771516767017</v>
      </c>
      <c r="L83" s="180">
        <f t="shared" si="65"/>
        <v>220.73631569899544</v>
      </c>
      <c r="M83" s="181">
        <f t="shared" si="65"/>
        <v>323.15651707816693</v>
      </c>
      <c r="N83" s="173">
        <f>IF(ISERROR(VLOOKUP($A83,'HRGs to TFCs % Split'!$A$8:$I$117,6,0)),0,VLOOKUP($A83,'HRGs to TFCs % Split'!$A$8:$I$117,6,0))</f>
        <v>0</v>
      </c>
      <c r="O83" s="174">
        <f>IF(ISERROR(VLOOKUP($A83,'HRGs to TFCs % Split'!$A$8:$I$117,6,0)),0,VLOOKUP($A83,'HRGs to TFCs % Split'!$A$8:$I$117,7,0))</f>
        <v>1.550707011632518E-5</v>
      </c>
      <c r="P83" s="174">
        <f>IF(ISERROR(VLOOKUP($A83,'HRGs to TFCs % Split'!$A$8:$I$117,6,0)),0,VLOOKUP($A83,'HRGs to TFCs % Split'!$A$8:$I$117,8,0))</f>
        <v>0</v>
      </c>
      <c r="Q83" s="175">
        <f>IF(ISERROR(VLOOKUP($A83,'HRGs to TFCs % Split'!$A$8:$I$117,6,0)),0,VLOOKUP($A83,'HRGs to TFCs % Split'!$A$8:$I$117,9,0))</f>
        <v>5.8926866442035684E-4</v>
      </c>
      <c r="R83" s="167">
        <f t="shared" si="66"/>
        <v>0</v>
      </c>
      <c r="S83" s="168">
        <f t="shared" si="67"/>
        <v>24</v>
      </c>
      <c r="T83" s="168">
        <f t="shared" si="68"/>
        <v>0</v>
      </c>
      <c r="U83" s="169">
        <f t="shared" si="69"/>
        <v>930</v>
      </c>
      <c r="V83" s="173">
        <f>IF(ISERROR(VLOOKUP($A83,'HRGs to TFCs % Split'!$A$8:$AA$117,6,0)),0,VLOOKUP($A83,'HRGs to TFCs % Split'!$A$8:$AA$117,14,0))</f>
        <v>0</v>
      </c>
      <c r="W83" s="174">
        <f>IF(ISERROR(VLOOKUP($A83,'HRGs to TFCs % Split'!$A$8:$AA$117,6,0)),0,VLOOKUP($A83,'HRGs to TFCs % Split'!$A$8:$AA$117,15,0))</f>
        <v>1.4309944702659097E-5</v>
      </c>
      <c r="X83" s="174">
        <f>IF(ISERROR(VLOOKUP($A83,'HRGs to TFCs % Split'!$A$8:$AA$117,6,0)),0,VLOOKUP($A83,'HRGs to TFCs % Split'!$A$8:$AA$117,16,0))</f>
        <v>0</v>
      </c>
      <c r="Y83" s="175">
        <f>IF(ISERROR(VLOOKUP($A83,'HRGs to TFCs % Split'!$A$8:$AA$117,6,0)),0,VLOOKUP($A83,'HRGs to TFCs % Split'!$A$8:$AA$117,17,0))</f>
        <v>6.2227430354351403E-4</v>
      </c>
      <c r="Z83" s="167">
        <f t="shared" si="82"/>
        <v>0</v>
      </c>
      <c r="AA83" s="168">
        <f t="shared" si="83"/>
        <v>2531.2736190594869</v>
      </c>
      <c r="AB83" s="168">
        <f t="shared" si="84"/>
        <v>0</v>
      </c>
      <c r="AC83" s="169">
        <f t="shared" si="85"/>
        <v>110073.55801211561</v>
      </c>
      <c r="AD83" s="200">
        <f t="shared" si="70"/>
        <v>3</v>
      </c>
      <c r="AE83" s="201">
        <f t="shared" si="71"/>
        <v>1161</v>
      </c>
      <c r="AF83" s="201">
        <f t="shared" si="72"/>
        <v>66</v>
      </c>
      <c r="AG83" s="202">
        <f t="shared" si="73"/>
        <v>14977</v>
      </c>
      <c r="AH83" s="200">
        <f t="shared" si="74"/>
        <v>1310.0343476022699</v>
      </c>
      <c r="AI83" s="201">
        <f t="shared" si="75"/>
        <v>474497.37576470047</v>
      </c>
      <c r="AJ83" s="201">
        <f t="shared" si="76"/>
        <v>14568.5968361337</v>
      </c>
      <c r="AK83" s="202">
        <f t="shared" si="77"/>
        <v>4649453.1534091262</v>
      </c>
      <c r="AL83" s="194">
        <f t="shared" si="78"/>
        <v>436.67811586742329</v>
      </c>
      <c r="AM83" s="195">
        <f t="shared" si="79"/>
        <v>408.6971367482347</v>
      </c>
      <c r="AN83" s="195">
        <f t="shared" si="80"/>
        <v>220.73631569899544</v>
      </c>
      <c r="AO83" s="196">
        <f t="shared" si="81"/>
        <v>310.43955087194541</v>
      </c>
      <c r="AP83" s="188">
        <f t="shared" si="86"/>
        <v>0</v>
      </c>
      <c r="AQ83" s="189">
        <f t="shared" si="87"/>
        <v>-1.5419449892298487E-2</v>
      </c>
      <c r="AR83" s="189">
        <f t="shared" si="88"/>
        <v>0</v>
      </c>
      <c r="AS83" s="190">
        <f t="shared" si="89"/>
        <v>-3.935234332020443E-2</v>
      </c>
      <c r="AT83" s="196">
        <f>IF(ISERROR(VLOOKUP(A83,Mandatory!A:A,1,FALSE)),0,1)</f>
        <v>0</v>
      </c>
    </row>
    <row r="84" spans="1:46">
      <c r="A84">
        <v>324</v>
      </c>
      <c r="B84" s="185">
        <f>VLOOKUP(A84,OPATT_Activities!A:J,3,FALSE)</f>
        <v>690</v>
      </c>
      <c r="C84" s="186">
        <f>VLOOKUP(A84,OPATT_Activities!A:J,4,FALSE)</f>
        <v>147295</v>
      </c>
      <c r="D84" s="186">
        <f>VLOOKUP(A84,OPATT_Activities!A:J,5,FALSE)</f>
        <v>335</v>
      </c>
      <c r="E84" s="187">
        <f>VLOOKUP(A84,OPATT_Activities!A:J,6,FALSE)</f>
        <v>1404501</v>
      </c>
      <c r="F84" s="185">
        <f>VLOOKUP(A84,OPATT_Cost_Quantum!A:F,2,FALSE)</f>
        <v>27286.194509413701</v>
      </c>
      <c r="G84" s="186">
        <f>VLOOKUP(A84,OPATT_Cost_Quantum!A:F,3,FALSE)</f>
        <v>3983690.8561728299</v>
      </c>
      <c r="H84" s="186">
        <f>VLOOKUP(A84,OPATT_Cost_Quantum!A:F,4,FALSE)</f>
        <v>8291.3597639061409</v>
      </c>
      <c r="I84" s="187">
        <f>VLOOKUP(A84,OPATT_Cost_Quantum!A:F,5,FALSE)</f>
        <v>29497219.271999199</v>
      </c>
      <c r="J84" s="179">
        <f t="shared" si="65"/>
        <v>39.545209433932897</v>
      </c>
      <c r="K84" s="180">
        <f t="shared" si="65"/>
        <v>27.045662488019484</v>
      </c>
      <c r="L84" s="180">
        <f t="shared" si="65"/>
        <v>24.750327653451166</v>
      </c>
      <c r="M84" s="181">
        <f t="shared" si="65"/>
        <v>21.00192116061092</v>
      </c>
      <c r="N84" s="173">
        <f>IF(ISERROR(VLOOKUP($A84,'HRGs to TFCs % Split'!$A$8:$I$117,6,0)),0,VLOOKUP($A84,'HRGs to TFCs % Split'!$A$8:$I$117,6,0))</f>
        <v>0</v>
      </c>
      <c r="O84" s="174">
        <f>IF(ISERROR(VLOOKUP($A84,'HRGs to TFCs % Split'!$A$8:$I$117,6,0)),0,VLOOKUP($A84,'HRGs to TFCs % Split'!$A$8:$I$117,7,0))</f>
        <v>1.476863820602398E-6</v>
      </c>
      <c r="P84" s="174">
        <f>IF(ISERROR(VLOOKUP($A84,'HRGs to TFCs % Split'!$A$8:$I$117,6,0)),0,VLOOKUP($A84,'HRGs to TFCs % Split'!$A$8:$I$117,8,0))</f>
        <v>0</v>
      </c>
      <c r="Q84" s="175">
        <f>IF(ISERROR(VLOOKUP($A84,'HRGs to TFCs % Split'!$A$8:$I$117,6,0)),0,VLOOKUP($A84,'HRGs to TFCs % Split'!$A$8:$I$117,9,0))</f>
        <v>3.9136891245963545E-5</v>
      </c>
      <c r="R84" s="167">
        <f t="shared" si="66"/>
        <v>0</v>
      </c>
      <c r="S84" s="168">
        <f t="shared" si="67"/>
        <v>2</v>
      </c>
      <c r="T84" s="168">
        <f t="shared" si="68"/>
        <v>0</v>
      </c>
      <c r="U84" s="169">
        <f t="shared" si="69"/>
        <v>62</v>
      </c>
      <c r="V84" s="173">
        <f>IF(ISERROR(VLOOKUP($A84,'HRGs to TFCs % Split'!$A$8:$AA$117,6,0)),0,VLOOKUP($A84,'HRGs to TFCs % Split'!$A$8:$AA$117,14,0))</f>
        <v>0</v>
      </c>
      <c r="W84" s="174">
        <f>IF(ISERROR(VLOOKUP($A84,'HRGs to TFCs % Split'!$A$8:$AA$117,6,0)),0,VLOOKUP($A84,'HRGs to TFCs % Split'!$A$8:$AA$117,15,0))</f>
        <v>1.8354359037912075E-6</v>
      </c>
      <c r="X84" s="174">
        <f>IF(ISERROR(VLOOKUP($A84,'HRGs to TFCs % Split'!$A$8:$AA$117,6,0)),0,VLOOKUP($A84,'HRGs to TFCs % Split'!$A$8:$AA$117,16,0))</f>
        <v>0</v>
      </c>
      <c r="Y84" s="175">
        <f>IF(ISERROR(VLOOKUP($A84,'HRGs to TFCs % Split'!$A$8:$AA$117,6,0)),0,VLOOKUP($A84,'HRGs to TFCs % Split'!$A$8:$AA$117,17,0))</f>
        <v>3.8299712907249009E-5</v>
      </c>
      <c r="Z84" s="167">
        <f t="shared" si="82"/>
        <v>0</v>
      </c>
      <c r="AA84" s="168">
        <f t="shared" si="83"/>
        <v>324.66865381233549</v>
      </c>
      <c r="AB84" s="168">
        <f t="shared" si="84"/>
        <v>0</v>
      </c>
      <c r="AC84" s="169">
        <f t="shared" si="85"/>
        <v>6774.8027622815825</v>
      </c>
      <c r="AD84" s="200">
        <f t="shared" si="70"/>
        <v>690</v>
      </c>
      <c r="AE84" s="201">
        <f t="shared" si="71"/>
        <v>147297</v>
      </c>
      <c r="AF84" s="201">
        <f t="shared" si="72"/>
        <v>335</v>
      </c>
      <c r="AG84" s="202">
        <f t="shared" si="73"/>
        <v>1404563</v>
      </c>
      <c r="AH84" s="200">
        <f t="shared" si="74"/>
        <v>27286.194509413701</v>
      </c>
      <c r="AI84" s="201">
        <f t="shared" si="75"/>
        <v>3984015.5248266421</v>
      </c>
      <c r="AJ84" s="201">
        <f t="shared" si="76"/>
        <v>8291.3597639061409</v>
      </c>
      <c r="AK84" s="202">
        <f t="shared" si="77"/>
        <v>29503994.07476148</v>
      </c>
      <c r="AL84" s="194">
        <f t="shared" si="78"/>
        <v>39.545209433932897</v>
      </c>
      <c r="AM84" s="195">
        <f t="shared" si="79"/>
        <v>27.047499438730199</v>
      </c>
      <c r="AN84" s="195">
        <f t="shared" si="80"/>
        <v>24.750327653451166</v>
      </c>
      <c r="AO84" s="196">
        <f t="shared" si="81"/>
        <v>21.005817521009366</v>
      </c>
      <c r="AP84" s="188">
        <f t="shared" si="86"/>
        <v>0</v>
      </c>
      <c r="AQ84" s="189">
        <f t="shared" si="87"/>
        <v>6.7920344400063115E-5</v>
      </c>
      <c r="AR84" s="189">
        <f t="shared" si="88"/>
        <v>0</v>
      </c>
      <c r="AS84" s="190">
        <f t="shared" si="89"/>
        <v>1.8552399890703342E-4</v>
      </c>
      <c r="AT84" s="196">
        <f>IF(ISERROR(VLOOKUP(A84,Mandatory!A:A,1,FALSE)),0,1)</f>
        <v>0</v>
      </c>
    </row>
    <row r="85" spans="1:46" s="255" customFormat="1">
      <c r="A85" s="255">
        <v>329</v>
      </c>
      <c r="B85" s="185">
        <f>VLOOKUP(A85,OPATT_Activities!A:J,3,FALSE)</f>
        <v>1648</v>
      </c>
      <c r="C85" s="186">
        <f>VLOOKUP(A85,OPATT_Activities!A:J,4,FALSE)</f>
        <v>8772</v>
      </c>
      <c r="D85" s="186">
        <f>VLOOKUP(A85,OPATT_Activities!A:J,5,FALSE)</f>
        <v>15</v>
      </c>
      <c r="E85" s="187">
        <f>VLOOKUP(A85,OPATT_Activities!A:J,6,FALSE)</f>
        <v>3340</v>
      </c>
      <c r="F85" s="185">
        <f>VLOOKUP(A85,OPATT_Cost_Quantum!A:F,2,FALSE)</f>
        <v>682604.36025791301</v>
      </c>
      <c r="G85" s="186">
        <f>VLOOKUP(A85,OPATT_Cost_Quantum!A:F,3,FALSE)</f>
        <v>1723667.0197802801</v>
      </c>
      <c r="H85" s="186">
        <f>VLOOKUP(A85,OPATT_Cost_Quantum!A:F,4,FALSE)</f>
        <v>6874.3538605923004</v>
      </c>
      <c r="I85" s="187">
        <f>VLOOKUP(A85,OPATT_Cost_Quantum!A:F,5,FALSE)</f>
        <v>559142.24610990798</v>
      </c>
      <c r="J85" s="179">
        <f t="shared" ref="J85" si="90">IF(B85=0,0,F85/B85)</f>
        <v>414.20167491378214</v>
      </c>
      <c r="K85" s="180">
        <f t="shared" ref="K85" si="91">IF(C85=0,0,G85/C85)</f>
        <v>196.49646828320567</v>
      </c>
      <c r="L85" s="180">
        <f t="shared" ref="L85" si="92">IF(D85=0,0,H85/D85)</f>
        <v>458.29025737282001</v>
      </c>
      <c r="M85" s="181">
        <f t="shared" ref="M85" si="93">IF(E85=0,0,I85/E85)</f>
        <v>167.40785811673891</v>
      </c>
      <c r="N85" s="173">
        <f>IF(ISERROR(VLOOKUP($A85,'HRGs to TFCs % Split'!$A$8:$I$117,6,0)),0,VLOOKUP($A85,'HRGs to TFCs % Split'!$A$8:$I$117,6,0))</f>
        <v>0</v>
      </c>
      <c r="O85" s="174">
        <f>IF(ISERROR(VLOOKUP($A85,'HRGs to TFCs % Split'!$A$8:$I$117,6,0)),0,VLOOKUP($A85,'HRGs to TFCs % Split'!$A$8:$I$117,7,0))</f>
        <v>0</v>
      </c>
      <c r="P85" s="174">
        <f>IF(ISERROR(VLOOKUP($A85,'HRGs to TFCs % Split'!$A$8:$I$117,6,0)),0,VLOOKUP($A85,'HRGs to TFCs % Split'!$A$8:$I$117,8,0))</f>
        <v>0</v>
      </c>
      <c r="Q85" s="175">
        <f>IF(ISERROR(VLOOKUP($A85,'HRGs to TFCs % Split'!$A$8:$I$117,6,0)),0,VLOOKUP($A85,'HRGs to TFCs % Split'!$A$8:$I$117,9,0))</f>
        <v>0</v>
      </c>
      <c r="R85" s="167">
        <f t="shared" ref="R85" si="94">ROUND(N85*$R$3,0)</f>
        <v>0</v>
      </c>
      <c r="S85" s="168">
        <f t="shared" ref="S85" si="95">ROUND(O85*$R$3,0)</f>
        <v>0</v>
      </c>
      <c r="T85" s="168">
        <f t="shared" ref="T85" si="96">ROUND(P85*$R$3,0)</f>
        <v>0</v>
      </c>
      <c r="U85" s="169">
        <f t="shared" ref="U85" si="97">ROUND(Q85*$R$3,0)</f>
        <v>0</v>
      </c>
      <c r="V85" s="173">
        <f>IF(ISERROR(VLOOKUP($A85,'HRGs to TFCs % Split'!$A$8:$AA$117,6,0)),0,VLOOKUP($A85,'HRGs to TFCs % Split'!$A$8:$AA$117,14,0))</f>
        <v>0</v>
      </c>
      <c r="W85" s="174">
        <f>IF(ISERROR(VLOOKUP($A85,'HRGs to TFCs % Split'!$A$8:$AA$117,6,0)),0,VLOOKUP($A85,'HRGs to TFCs % Split'!$A$8:$AA$117,15,0))</f>
        <v>0</v>
      </c>
      <c r="X85" s="174">
        <f>IF(ISERROR(VLOOKUP($A85,'HRGs to TFCs % Split'!$A$8:$AA$117,6,0)),0,VLOOKUP($A85,'HRGs to TFCs % Split'!$A$8:$AA$117,16,0))</f>
        <v>0</v>
      </c>
      <c r="Y85" s="175">
        <f>IF(ISERROR(VLOOKUP($A85,'HRGs to TFCs % Split'!$A$8:$AA$117,6,0)),0,VLOOKUP($A85,'HRGs to TFCs % Split'!$A$8:$AA$117,17,0))</f>
        <v>0</v>
      </c>
      <c r="Z85" s="167">
        <f t="shared" ref="Z85" si="98">V85*$Z$3</f>
        <v>0</v>
      </c>
      <c r="AA85" s="168">
        <f t="shared" ref="AA85" si="99">W85*$Z$3</f>
        <v>0</v>
      </c>
      <c r="AB85" s="168">
        <f t="shared" ref="AB85" si="100">X85*$Z$3</f>
        <v>0</v>
      </c>
      <c r="AC85" s="169">
        <f t="shared" ref="AC85" si="101">Y85*$Z$3</f>
        <v>0</v>
      </c>
      <c r="AD85" s="200">
        <f t="shared" ref="AD85" si="102">B85+R85</f>
        <v>1648</v>
      </c>
      <c r="AE85" s="201">
        <f t="shared" ref="AE85" si="103">C85+S85</f>
        <v>8772</v>
      </c>
      <c r="AF85" s="201">
        <f t="shared" ref="AF85" si="104">D85+T85</f>
        <v>15</v>
      </c>
      <c r="AG85" s="202">
        <f t="shared" ref="AG85" si="105">E85+U85</f>
        <v>3340</v>
      </c>
      <c r="AH85" s="200">
        <f t="shared" ref="AH85" si="106">F85+Z85</f>
        <v>682604.36025791301</v>
      </c>
      <c r="AI85" s="201">
        <f t="shared" ref="AI85" si="107">G85+AA85</f>
        <v>1723667.0197802801</v>
      </c>
      <c r="AJ85" s="201">
        <f t="shared" ref="AJ85" si="108">H85+AB85</f>
        <v>6874.3538605923004</v>
      </c>
      <c r="AK85" s="202">
        <f t="shared" ref="AK85" si="109">I85+AC85</f>
        <v>559142.24610990798</v>
      </c>
      <c r="AL85" s="194">
        <f t="shared" ref="AL85" si="110">IF(AD85=0,0,AH85/AD85)</f>
        <v>414.20167491378214</v>
      </c>
      <c r="AM85" s="195">
        <f t="shared" ref="AM85" si="111">IF(AE85=0,0,AI85/AE85)</f>
        <v>196.49646828320567</v>
      </c>
      <c r="AN85" s="195">
        <f t="shared" ref="AN85" si="112">IF(AF85=0,0,AJ85/AF85)</f>
        <v>458.29025737282001</v>
      </c>
      <c r="AO85" s="196">
        <f t="shared" ref="AO85" si="113">IF(AG85=0,0,AK85/AG85)</f>
        <v>167.40785811673891</v>
      </c>
      <c r="AP85" s="188">
        <f t="shared" ref="AP85" si="114">IF(J85=0,0,AL85/J85-1)</f>
        <v>0</v>
      </c>
      <c r="AQ85" s="189">
        <f t="shared" ref="AQ85" si="115">IF(K85=0,0,AM85/K85-1)</f>
        <v>0</v>
      </c>
      <c r="AR85" s="189">
        <f t="shared" ref="AR85" si="116">IF(L85=0,0,AN85/L85-1)</f>
        <v>0</v>
      </c>
      <c r="AS85" s="190">
        <f t="shared" ref="AS85" si="117">IF(M85=0,0,AO85/M85-1)</f>
        <v>0</v>
      </c>
      <c r="AT85" s="196">
        <f>IF(ISERROR(VLOOKUP(A85,Mandatory!A:A,1,FALSE)),0,1)</f>
        <v>1</v>
      </c>
    </row>
    <row r="86" spans="1:46">
      <c r="A86">
        <v>330</v>
      </c>
      <c r="B86" s="185">
        <f>VLOOKUP(A86,OPATT_Activities!A:J,3,FALSE)</f>
        <v>5153</v>
      </c>
      <c r="C86" s="186">
        <f>VLOOKUP(A86,OPATT_Activities!A:J,4,FALSE)</f>
        <v>686888</v>
      </c>
      <c r="D86" s="186">
        <f>VLOOKUP(A86,OPATT_Activities!A:J,5,FALSE)</f>
        <v>11805</v>
      </c>
      <c r="E86" s="187">
        <f>VLOOKUP(A86,OPATT_Activities!A:J,6,FALSE)</f>
        <v>1221706</v>
      </c>
      <c r="F86" s="185">
        <f>VLOOKUP(A86,OPATT_Cost_Quantum!A:F,2,FALSE)</f>
        <v>553423.86118130398</v>
      </c>
      <c r="G86" s="186">
        <f>VLOOKUP(A86,OPATT_Cost_Quantum!A:F,3,FALSE)</f>
        <v>66499444.534847297</v>
      </c>
      <c r="H86" s="186">
        <f>VLOOKUP(A86,OPATT_Cost_Quantum!A:F,4,FALSE)</f>
        <v>1048231.0511404</v>
      </c>
      <c r="I86" s="187">
        <f>VLOOKUP(A86,OPATT_Cost_Quantum!A:F,5,FALSE)</f>
        <v>98155833.567430198</v>
      </c>
      <c r="J86" s="179">
        <f t="shared" si="65"/>
        <v>107.39838175457092</v>
      </c>
      <c r="K86" s="180">
        <f t="shared" si="65"/>
        <v>96.812645634873945</v>
      </c>
      <c r="L86" s="180">
        <f t="shared" si="65"/>
        <v>88.795514709055482</v>
      </c>
      <c r="M86" s="181">
        <f t="shared" si="65"/>
        <v>80.343252441610503</v>
      </c>
      <c r="N86" s="173">
        <f>IF(ISERROR(VLOOKUP($A86,'HRGs to TFCs % Split'!$A$8:$I$117,6,0)),0,VLOOKUP($A86,'HRGs to TFCs % Split'!$A$8:$I$117,6,0))</f>
        <v>0</v>
      </c>
      <c r="O86" s="174">
        <f>IF(ISERROR(VLOOKUP($A86,'HRGs to TFCs % Split'!$A$8:$I$117,6,0)),0,VLOOKUP($A86,'HRGs to TFCs % Split'!$A$8:$I$117,7,0))</f>
        <v>4.5302797696978557E-3</v>
      </c>
      <c r="P86" s="174">
        <f>IF(ISERROR(VLOOKUP($A86,'HRGs to TFCs % Split'!$A$8:$I$117,6,0)),0,VLOOKUP($A86,'HRGs to TFCs % Split'!$A$8:$I$117,8,0))</f>
        <v>0</v>
      </c>
      <c r="Q86" s="175">
        <f>IF(ISERROR(VLOOKUP($A86,'HRGs to TFCs % Split'!$A$8:$I$117,6,0)),0,VLOOKUP($A86,'HRGs to TFCs % Split'!$A$8:$I$117,9,0))</f>
        <v>3.3941284325084309E-2</v>
      </c>
      <c r="R86" s="167">
        <f t="shared" si="66"/>
        <v>0</v>
      </c>
      <c r="S86" s="168">
        <f t="shared" si="67"/>
        <v>7150</v>
      </c>
      <c r="T86" s="168">
        <f t="shared" si="68"/>
        <v>0</v>
      </c>
      <c r="U86" s="169">
        <f t="shared" si="69"/>
        <v>53571</v>
      </c>
      <c r="V86" s="173">
        <f>IF(ISERROR(VLOOKUP($A86,'HRGs to TFCs % Split'!$A$8:$AA$117,6,0)),0,VLOOKUP($A86,'HRGs to TFCs % Split'!$A$8:$AA$117,14,0))</f>
        <v>0</v>
      </c>
      <c r="W86" s="174">
        <f>IF(ISERROR(VLOOKUP($A86,'HRGs to TFCs % Split'!$A$8:$AA$117,6,0)),0,VLOOKUP($A86,'HRGs to TFCs % Split'!$A$8:$AA$117,15,0))</f>
        <v>3.9548634627933274E-3</v>
      </c>
      <c r="X86" s="174">
        <f>IF(ISERROR(VLOOKUP($A86,'HRGs to TFCs % Split'!$A$8:$AA$117,6,0)),0,VLOOKUP($A86,'HRGs to TFCs % Split'!$A$8:$AA$117,16,0))</f>
        <v>0</v>
      </c>
      <c r="Y86" s="175">
        <f>IF(ISERROR(VLOOKUP($A86,'HRGs to TFCs % Split'!$A$8:$AA$117,6,0)),0,VLOOKUP($A86,'HRGs to TFCs % Split'!$A$8:$AA$117,17,0))</f>
        <v>2.7559823013069602E-2</v>
      </c>
      <c r="Z86" s="167">
        <f t="shared" si="82"/>
        <v>0</v>
      </c>
      <c r="AA86" s="168">
        <f t="shared" si="83"/>
        <v>699572.34345502185</v>
      </c>
      <c r="AB86" s="168">
        <f t="shared" si="84"/>
        <v>0</v>
      </c>
      <c r="AC86" s="169">
        <f t="shared" si="85"/>
        <v>4875033.019936719</v>
      </c>
      <c r="AD86" s="200">
        <f t="shared" si="70"/>
        <v>5153</v>
      </c>
      <c r="AE86" s="201">
        <f t="shared" si="71"/>
        <v>694038</v>
      </c>
      <c r="AF86" s="201">
        <f t="shared" si="72"/>
        <v>11805</v>
      </c>
      <c r="AG86" s="202">
        <f t="shared" si="73"/>
        <v>1275277</v>
      </c>
      <c r="AH86" s="200">
        <f t="shared" si="74"/>
        <v>553423.86118130398</v>
      </c>
      <c r="AI86" s="201">
        <f t="shared" si="75"/>
        <v>67199016.878302321</v>
      </c>
      <c r="AJ86" s="201">
        <f t="shared" si="76"/>
        <v>1048231.0511404</v>
      </c>
      <c r="AK86" s="202">
        <f t="shared" si="77"/>
        <v>103030866.58736692</v>
      </c>
      <c r="AL86" s="194">
        <f t="shared" si="78"/>
        <v>107.39838175457092</v>
      </c>
      <c r="AM86" s="195">
        <f t="shared" si="79"/>
        <v>96.823253018281889</v>
      </c>
      <c r="AN86" s="195">
        <f t="shared" si="80"/>
        <v>88.795514709055482</v>
      </c>
      <c r="AO86" s="196">
        <f t="shared" si="81"/>
        <v>80.790970579228613</v>
      </c>
      <c r="AP86" s="188">
        <f t="shared" si="86"/>
        <v>0</v>
      </c>
      <c r="AQ86" s="189">
        <f t="shared" si="87"/>
        <v>1.0956609375134541E-4</v>
      </c>
      <c r="AR86" s="189">
        <f t="shared" si="88"/>
        <v>0</v>
      </c>
      <c r="AS86" s="190">
        <f t="shared" si="89"/>
        <v>5.5725667559138881E-3</v>
      </c>
      <c r="AT86" s="196">
        <f>IF(ISERROR(VLOOKUP(A86,Mandatory!A:A,1,FALSE)),0,1)</f>
        <v>1</v>
      </c>
    </row>
    <row r="87" spans="1:46">
      <c r="A87">
        <v>340</v>
      </c>
      <c r="B87" s="185">
        <f>VLOOKUP(A87,OPATT_Activities!A:J,3,FALSE)</f>
        <v>9124</v>
      </c>
      <c r="C87" s="186">
        <f>VLOOKUP(A87,OPATT_Activities!A:J,4,FALSE)</f>
        <v>291606</v>
      </c>
      <c r="D87" s="186">
        <f>VLOOKUP(A87,OPATT_Activities!A:J,5,FALSE)</f>
        <v>27773</v>
      </c>
      <c r="E87" s="187">
        <f>VLOOKUP(A87,OPATT_Activities!A:J,6,FALSE)</f>
        <v>664905</v>
      </c>
      <c r="F87" s="185">
        <f>VLOOKUP(A87,OPATT_Cost_Quantum!A:F,2,FALSE)</f>
        <v>2065543.7893082399</v>
      </c>
      <c r="G87" s="186">
        <f>VLOOKUP(A87,OPATT_Cost_Quantum!A:F,3,FALSE)</f>
        <v>49785641.439245097</v>
      </c>
      <c r="H87" s="186">
        <f>VLOOKUP(A87,OPATT_Cost_Quantum!A:F,4,FALSE)</f>
        <v>5624606.8995471504</v>
      </c>
      <c r="I87" s="187">
        <f>VLOOKUP(A87,OPATT_Cost_Quantum!A:F,5,FALSE)</f>
        <v>81325772.013189301</v>
      </c>
      <c r="J87" s="179">
        <f t="shared" si="65"/>
        <v>226.38577261160017</v>
      </c>
      <c r="K87" s="180">
        <f t="shared" si="65"/>
        <v>170.72913945270363</v>
      </c>
      <c r="L87" s="180">
        <f t="shared" si="65"/>
        <v>202.52068194099127</v>
      </c>
      <c r="M87" s="181">
        <f t="shared" si="65"/>
        <v>122.31186712867147</v>
      </c>
      <c r="N87" s="173">
        <f>IF(ISERROR(VLOOKUP($A87,'HRGs to TFCs % Split'!$A$8:$I$117,6,0)),0,VLOOKUP($A87,'HRGs to TFCs % Split'!$A$8:$I$117,6,0))</f>
        <v>0</v>
      </c>
      <c r="O87" s="174">
        <f>IF(ISERROR(VLOOKUP($A87,'HRGs to TFCs % Split'!$A$8:$I$117,6,0)),0,VLOOKUP($A87,'HRGs to TFCs % Split'!$A$8:$I$117,7,0))</f>
        <v>3.5928404595704837E-2</v>
      </c>
      <c r="P87" s="174">
        <f>IF(ISERROR(VLOOKUP($A87,'HRGs to TFCs % Split'!$A$8:$I$117,6,0)),0,VLOOKUP($A87,'HRGs to TFCs % Split'!$A$8:$I$117,8,0))</f>
        <v>0</v>
      </c>
      <c r="Q87" s="175">
        <f>IF(ISERROR(VLOOKUP($A87,'HRGs to TFCs % Split'!$A$8:$I$117,6,0)),0,VLOOKUP($A87,'HRGs to TFCs % Split'!$A$8:$I$117,9,0))</f>
        <v>5.8812409495938994E-2</v>
      </c>
      <c r="R87" s="167">
        <f t="shared" si="66"/>
        <v>0</v>
      </c>
      <c r="S87" s="168">
        <f t="shared" si="67"/>
        <v>56708</v>
      </c>
      <c r="T87" s="168">
        <f t="shared" si="68"/>
        <v>0</v>
      </c>
      <c r="U87" s="169">
        <f t="shared" si="69"/>
        <v>92827</v>
      </c>
      <c r="V87" s="173">
        <f>IF(ISERROR(VLOOKUP($A87,'HRGs to TFCs % Split'!$A$8:$AA$117,6,0)),0,VLOOKUP($A87,'HRGs to TFCs % Split'!$A$8:$AA$117,14,0))</f>
        <v>0</v>
      </c>
      <c r="W87" s="174">
        <f>IF(ISERROR(VLOOKUP($A87,'HRGs to TFCs % Split'!$A$8:$AA$117,6,0)),0,VLOOKUP($A87,'HRGs to TFCs % Split'!$A$8:$AA$117,15,0))</f>
        <v>3.8441578518581612E-2</v>
      </c>
      <c r="X87" s="174">
        <f>IF(ISERROR(VLOOKUP($A87,'HRGs to TFCs % Split'!$A$8:$AA$117,6,0)),0,VLOOKUP($A87,'HRGs to TFCs % Split'!$A$8:$AA$117,16,0))</f>
        <v>0</v>
      </c>
      <c r="Y87" s="175">
        <f>IF(ISERROR(VLOOKUP($A87,'HRGs to TFCs % Split'!$A$8:$AA$117,6,0)),0,VLOOKUP($A87,'HRGs to TFCs % Split'!$A$8:$AA$117,17,0))</f>
        <v>6.178325806940195E-2</v>
      </c>
      <c r="Z87" s="167">
        <f t="shared" si="82"/>
        <v>0</v>
      </c>
      <c r="AA87" s="168">
        <f t="shared" si="83"/>
        <v>6799897.2463539941</v>
      </c>
      <c r="AB87" s="168">
        <f t="shared" si="84"/>
        <v>0</v>
      </c>
      <c r="AC87" s="169">
        <f t="shared" si="85"/>
        <v>10928786.553700702</v>
      </c>
      <c r="AD87" s="200">
        <f t="shared" si="70"/>
        <v>9124</v>
      </c>
      <c r="AE87" s="201">
        <f t="shared" si="71"/>
        <v>348314</v>
      </c>
      <c r="AF87" s="201">
        <f t="shared" si="72"/>
        <v>27773</v>
      </c>
      <c r="AG87" s="202">
        <f t="shared" si="73"/>
        <v>757732</v>
      </c>
      <c r="AH87" s="200">
        <f t="shared" si="74"/>
        <v>2065543.7893082399</v>
      </c>
      <c r="AI87" s="201">
        <f t="shared" si="75"/>
        <v>56585538.685599089</v>
      </c>
      <c r="AJ87" s="201">
        <f t="shared" si="76"/>
        <v>5624606.8995471504</v>
      </c>
      <c r="AK87" s="202">
        <f t="shared" si="77"/>
        <v>92254558.566890001</v>
      </c>
      <c r="AL87" s="194">
        <f t="shared" si="78"/>
        <v>226.38577261160017</v>
      </c>
      <c r="AM87" s="195">
        <f t="shared" si="79"/>
        <v>162.4555392134657</v>
      </c>
      <c r="AN87" s="195">
        <f t="shared" si="80"/>
        <v>202.52068194099127</v>
      </c>
      <c r="AO87" s="196">
        <f t="shared" si="81"/>
        <v>121.75090740115239</v>
      </c>
      <c r="AP87" s="188">
        <f t="shared" si="86"/>
        <v>0</v>
      </c>
      <c r="AQ87" s="189">
        <f t="shared" si="87"/>
        <v>-4.8460387405220517E-2</v>
      </c>
      <c r="AR87" s="189">
        <f t="shared" si="88"/>
        <v>0</v>
      </c>
      <c r="AS87" s="190">
        <f t="shared" si="89"/>
        <v>-4.5863066331000013E-3</v>
      </c>
      <c r="AT87" s="196">
        <f>IF(ISERROR(VLOOKUP(A87,Mandatory!A:A,1,FALSE)),0,1)</f>
        <v>1</v>
      </c>
    </row>
    <row r="88" spans="1:46">
      <c r="A88">
        <v>341</v>
      </c>
      <c r="B88" s="185">
        <f>VLOOKUP(A88,OPATT_Activities!A:J,3,FALSE)</f>
        <v>237</v>
      </c>
      <c r="C88" s="186">
        <f>VLOOKUP(A88,OPATT_Activities!A:J,4,FALSE)</f>
        <v>19987</v>
      </c>
      <c r="D88" s="186">
        <f>VLOOKUP(A88,OPATT_Activities!A:J,5,FALSE)</f>
        <v>132</v>
      </c>
      <c r="E88" s="187">
        <f>VLOOKUP(A88,OPATT_Activities!A:J,6,FALSE)</f>
        <v>49091</v>
      </c>
      <c r="F88" s="185">
        <f>VLOOKUP(A88,OPATT_Cost_Quantum!A:F,2,FALSE)</f>
        <v>129325.694112679</v>
      </c>
      <c r="G88" s="186">
        <f>VLOOKUP(A88,OPATT_Cost_Quantum!A:F,3,FALSE)</f>
        <v>2735894.0435794401</v>
      </c>
      <c r="H88" s="186">
        <f>VLOOKUP(A88,OPATT_Cost_Quantum!A:F,4,FALSE)</f>
        <v>77126.305535062798</v>
      </c>
      <c r="I88" s="187">
        <f>VLOOKUP(A88,OPATT_Cost_Quantum!A:F,5,FALSE)</f>
        <v>7912039.8044507401</v>
      </c>
      <c r="J88" s="179">
        <f t="shared" si="65"/>
        <v>545.67803423071314</v>
      </c>
      <c r="K88" s="180">
        <f t="shared" si="65"/>
        <v>136.88367656874169</v>
      </c>
      <c r="L88" s="180">
        <f t="shared" si="65"/>
        <v>584.2901934474454</v>
      </c>
      <c r="M88" s="181">
        <f t="shared" si="65"/>
        <v>161.17088273717667</v>
      </c>
      <c r="N88" s="173">
        <f>IF(ISERROR(VLOOKUP($A88,'HRGs to TFCs % Split'!$A$8:$I$117,6,0)),0,VLOOKUP($A88,'HRGs to TFCs % Split'!$A$8:$I$117,6,0))</f>
        <v>0</v>
      </c>
      <c r="O88" s="174">
        <f>IF(ISERROR(VLOOKUP($A88,'HRGs to TFCs % Split'!$A$8:$I$117,6,0)),0,VLOOKUP($A88,'HRGs to TFCs % Split'!$A$8:$I$117,7,0))</f>
        <v>1.863063709689925E-3</v>
      </c>
      <c r="P88" s="174">
        <f>IF(ISERROR(VLOOKUP($A88,'HRGs to TFCs % Split'!$A$8:$I$117,6,0)),0,VLOOKUP($A88,'HRGs to TFCs % Split'!$A$8:$I$117,8,0))</f>
        <v>0</v>
      </c>
      <c r="Q88" s="175">
        <f>IF(ISERROR(VLOOKUP($A88,'HRGs to TFCs % Split'!$A$8:$I$117,6,0)),0,VLOOKUP($A88,'HRGs to TFCs % Split'!$A$8:$I$117,9,0))</f>
        <v>3.2047944907072036E-3</v>
      </c>
      <c r="R88" s="167">
        <f t="shared" si="66"/>
        <v>0</v>
      </c>
      <c r="S88" s="168">
        <f t="shared" si="67"/>
        <v>2941</v>
      </c>
      <c r="T88" s="168">
        <f t="shared" si="68"/>
        <v>0</v>
      </c>
      <c r="U88" s="169">
        <f t="shared" si="69"/>
        <v>5058</v>
      </c>
      <c r="V88" s="173">
        <f>IF(ISERROR(VLOOKUP($A88,'HRGs to TFCs % Split'!$A$8:$AA$117,6,0)),0,VLOOKUP($A88,'HRGs to TFCs % Split'!$A$8:$AA$117,14,0))</f>
        <v>0</v>
      </c>
      <c r="W88" s="174">
        <f>IF(ISERROR(VLOOKUP($A88,'HRGs to TFCs % Split'!$A$8:$AA$117,6,0)),0,VLOOKUP($A88,'HRGs to TFCs % Split'!$A$8:$AA$117,15,0))</f>
        <v>1.8848687631533639E-3</v>
      </c>
      <c r="X88" s="174">
        <f>IF(ISERROR(VLOOKUP($A88,'HRGs to TFCs % Split'!$A$8:$AA$117,6,0)),0,VLOOKUP($A88,'HRGs to TFCs % Split'!$A$8:$AA$117,16,0))</f>
        <v>0</v>
      </c>
      <c r="Y88" s="175">
        <f>IF(ISERROR(VLOOKUP($A88,'HRGs to TFCs % Split'!$A$8:$AA$117,6,0)),0,VLOOKUP($A88,'HRGs to TFCs % Split'!$A$8:$AA$117,17,0))</f>
        <v>3.3757507605719009E-3</v>
      </c>
      <c r="Z88" s="167">
        <f t="shared" si="82"/>
        <v>0</v>
      </c>
      <c r="AA88" s="168">
        <f t="shared" si="83"/>
        <v>333412.7891264889</v>
      </c>
      <c r="AB88" s="168">
        <f t="shared" si="84"/>
        <v>0</v>
      </c>
      <c r="AC88" s="169">
        <f t="shared" si="85"/>
        <v>597133.60340014554</v>
      </c>
      <c r="AD88" s="200">
        <f t="shared" si="70"/>
        <v>237</v>
      </c>
      <c r="AE88" s="201">
        <f t="shared" si="71"/>
        <v>22928</v>
      </c>
      <c r="AF88" s="201">
        <f t="shared" si="72"/>
        <v>132</v>
      </c>
      <c r="AG88" s="202">
        <f t="shared" si="73"/>
        <v>54149</v>
      </c>
      <c r="AH88" s="200">
        <f t="shared" si="74"/>
        <v>129325.694112679</v>
      </c>
      <c r="AI88" s="201">
        <f t="shared" si="75"/>
        <v>3069306.8327059289</v>
      </c>
      <c r="AJ88" s="201">
        <f t="shared" si="76"/>
        <v>77126.305535062798</v>
      </c>
      <c r="AK88" s="202">
        <f t="shared" si="77"/>
        <v>8509173.4078508858</v>
      </c>
      <c r="AL88" s="194">
        <f t="shared" si="78"/>
        <v>545.67803423071314</v>
      </c>
      <c r="AM88" s="195">
        <f t="shared" si="79"/>
        <v>133.86718565535278</v>
      </c>
      <c r="AN88" s="195">
        <f t="shared" si="80"/>
        <v>584.2901934474454</v>
      </c>
      <c r="AO88" s="196">
        <f t="shared" si="81"/>
        <v>157.14368516225389</v>
      </c>
      <c r="AP88" s="188">
        <f t="shared" si="86"/>
        <v>0</v>
      </c>
      <c r="AQ88" s="189">
        <f t="shared" si="87"/>
        <v>-2.2036892849484846E-2</v>
      </c>
      <c r="AR88" s="189">
        <f t="shared" si="88"/>
        <v>0</v>
      </c>
      <c r="AS88" s="190">
        <f t="shared" si="89"/>
        <v>-2.4987128608645603E-2</v>
      </c>
      <c r="AT88" s="196">
        <f>IF(ISERROR(VLOOKUP(A88,Mandatory!A:A,1,FALSE)),0,1)</f>
        <v>1</v>
      </c>
    </row>
    <row r="89" spans="1:46">
      <c r="A89">
        <v>350</v>
      </c>
      <c r="B89" s="185">
        <f>VLOOKUP(A89,OPATT_Activities!A:J,3,FALSE)</f>
        <v>750</v>
      </c>
      <c r="C89" s="186">
        <f>VLOOKUP(A89,OPATT_Activities!A:J,4,FALSE)</f>
        <v>18748</v>
      </c>
      <c r="D89" s="186">
        <f>VLOOKUP(A89,OPATT_Activities!A:J,5,FALSE)</f>
        <v>3740</v>
      </c>
      <c r="E89" s="187">
        <f>VLOOKUP(A89,OPATT_Activities!A:J,6,FALSE)</f>
        <v>58106</v>
      </c>
      <c r="F89" s="185">
        <f>VLOOKUP(A89,OPATT_Cost_Quantum!A:F,2,FALSE)</f>
        <v>180181.88846755601</v>
      </c>
      <c r="G89" s="186">
        <f>VLOOKUP(A89,OPATT_Cost_Quantum!A:F,3,FALSE)</f>
        <v>4859718.2490760898</v>
      </c>
      <c r="H89" s="186">
        <f>VLOOKUP(A89,OPATT_Cost_Quantum!A:F,4,FALSE)</f>
        <v>745106.16601444595</v>
      </c>
      <c r="I89" s="187">
        <f>VLOOKUP(A89,OPATT_Cost_Quantum!A:F,5,FALSE)</f>
        <v>14147380.596648701</v>
      </c>
      <c r="J89" s="179">
        <f t="shared" si="65"/>
        <v>240.24251795674135</v>
      </c>
      <c r="K89" s="180">
        <f t="shared" si="65"/>
        <v>259.21262263047203</v>
      </c>
      <c r="L89" s="180">
        <f t="shared" si="65"/>
        <v>199.22624759744545</v>
      </c>
      <c r="M89" s="181">
        <f t="shared" si="65"/>
        <v>243.47538286319315</v>
      </c>
      <c r="N89" s="173">
        <f>IF(ISERROR(VLOOKUP($A89,'HRGs to TFCs % Split'!$A$8:$I$117,6,0)),0,VLOOKUP($A89,'HRGs to TFCs % Split'!$A$8:$I$117,6,0))</f>
        <v>0</v>
      </c>
      <c r="O89" s="174">
        <f>IF(ISERROR(VLOOKUP($A89,'HRGs to TFCs % Split'!$A$8:$I$117,6,0)),0,VLOOKUP($A89,'HRGs to TFCs % Split'!$A$8:$I$117,7,0))</f>
        <v>4.1352186976867142E-5</v>
      </c>
      <c r="P89" s="174">
        <f>IF(ISERROR(VLOOKUP($A89,'HRGs to TFCs % Split'!$A$8:$I$117,6,0)),0,VLOOKUP($A89,'HRGs to TFCs % Split'!$A$8:$I$117,8,0))</f>
        <v>0</v>
      </c>
      <c r="Q89" s="175">
        <f>IF(ISERROR(VLOOKUP($A89,'HRGs to TFCs % Split'!$A$8:$I$117,6,0)),0,VLOOKUP($A89,'HRGs to TFCs % Split'!$A$8:$I$117,9,0))</f>
        <v>1.9642288814011893E-4</v>
      </c>
      <c r="R89" s="167">
        <f t="shared" si="66"/>
        <v>0</v>
      </c>
      <c r="S89" s="168">
        <f t="shared" si="67"/>
        <v>65</v>
      </c>
      <c r="T89" s="168">
        <f t="shared" si="68"/>
        <v>0</v>
      </c>
      <c r="U89" s="169">
        <f t="shared" si="69"/>
        <v>310</v>
      </c>
      <c r="V89" s="173">
        <f>IF(ISERROR(VLOOKUP($A89,'HRGs to TFCs % Split'!$A$8:$AA$117,6,0)),0,VLOOKUP($A89,'HRGs to TFCs % Split'!$A$8:$AA$117,14,0))</f>
        <v>0</v>
      </c>
      <c r="W89" s="174">
        <f>IF(ISERROR(VLOOKUP($A89,'HRGs to TFCs % Split'!$A$8:$AA$117,6,0)),0,VLOOKUP($A89,'HRGs to TFCs % Split'!$A$8:$AA$117,15,0))</f>
        <v>1.0583845380168793E-4</v>
      </c>
      <c r="X89" s="174">
        <f>IF(ISERROR(VLOOKUP($A89,'HRGs to TFCs % Split'!$A$8:$AA$117,6,0)),0,VLOOKUP($A89,'HRGs to TFCs % Split'!$A$8:$AA$117,16,0))</f>
        <v>0</v>
      </c>
      <c r="Y89" s="175">
        <f>IF(ISERROR(VLOOKUP($A89,'HRGs to TFCs % Split'!$A$8:$AA$117,6,0)),0,VLOOKUP($A89,'HRGs to TFCs % Split'!$A$8:$AA$117,17,0))</f>
        <v>4.7317349926438446E-4</v>
      </c>
      <c r="Z89" s="167">
        <f t="shared" si="82"/>
        <v>0</v>
      </c>
      <c r="AA89" s="168">
        <f t="shared" si="83"/>
        <v>18721.67164562671</v>
      </c>
      <c r="AB89" s="168">
        <f t="shared" si="84"/>
        <v>0</v>
      </c>
      <c r="AC89" s="169">
        <f t="shared" si="85"/>
        <v>83699.246979160976</v>
      </c>
      <c r="AD89" s="200">
        <f t="shared" si="70"/>
        <v>750</v>
      </c>
      <c r="AE89" s="201">
        <f t="shared" si="71"/>
        <v>18813</v>
      </c>
      <c r="AF89" s="201">
        <f t="shared" si="72"/>
        <v>3740</v>
      </c>
      <c r="AG89" s="202">
        <f t="shared" si="73"/>
        <v>58416</v>
      </c>
      <c r="AH89" s="200">
        <f t="shared" si="74"/>
        <v>180181.88846755601</v>
      </c>
      <c r="AI89" s="201">
        <f t="shared" si="75"/>
        <v>4878439.9207217162</v>
      </c>
      <c r="AJ89" s="201">
        <f t="shared" si="76"/>
        <v>745106.16601444595</v>
      </c>
      <c r="AK89" s="202">
        <f t="shared" si="77"/>
        <v>14231079.843627861</v>
      </c>
      <c r="AL89" s="194">
        <f t="shared" si="78"/>
        <v>240.24251795674135</v>
      </c>
      <c r="AM89" s="195">
        <f t="shared" si="79"/>
        <v>259.31217353541257</v>
      </c>
      <c r="AN89" s="195">
        <f t="shared" si="80"/>
        <v>199.22624759744545</v>
      </c>
      <c r="AO89" s="196">
        <f t="shared" si="81"/>
        <v>243.61612988954843</v>
      </c>
      <c r="AP89" s="188">
        <f t="shared" si="86"/>
        <v>0</v>
      </c>
      <c r="AQ89" s="189">
        <f t="shared" si="87"/>
        <v>3.84051146623543E-4</v>
      </c>
      <c r="AR89" s="189">
        <f t="shared" si="88"/>
        <v>0</v>
      </c>
      <c r="AS89" s="190">
        <f t="shared" si="89"/>
        <v>5.7807497702699884E-4</v>
      </c>
      <c r="AT89" s="196">
        <f>IF(ISERROR(VLOOKUP(A89,Mandatory!A:A,1,FALSE)),0,1)</f>
        <v>1</v>
      </c>
    </row>
    <row r="90" spans="1:46">
      <c r="A90">
        <v>352</v>
      </c>
      <c r="B90" s="185">
        <f>VLOOKUP(A90,OPATT_Activities!A:J,3,FALSE)</f>
        <v>1423</v>
      </c>
      <c r="C90" s="186">
        <f>VLOOKUP(A90,OPATT_Activities!A:J,4,FALSE)</f>
        <v>2672</v>
      </c>
      <c r="D90" s="186">
        <f>VLOOKUP(A90,OPATT_Activities!A:J,5,FALSE)</f>
        <v>47</v>
      </c>
      <c r="E90" s="187">
        <f>VLOOKUP(A90,OPATT_Activities!A:J,6,FALSE)</f>
        <v>1670</v>
      </c>
      <c r="F90" s="185">
        <f>VLOOKUP(A90,OPATT_Cost_Quantum!A:F,2,FALSE)</f>
        <v>331939.21060021297</v>
      </c>
      <c r="G90" s="186">
        <f>VLOOKUP(A90,OPATT_Cost_Quantum!A:F,3,FALSE)</f>
        <v>600552.90312262299</v>
      </c>
      <c r="H90" s="186">
        <f>VLOOKUP(A90,OPATT_Cost_Quantum!A:F,4,FALSE)</f>
        <v>8828.3928709111005</v>
      </c>
      <c r="I90" s="187">
        <f>VLOOKUP(A90,OPATT_Cost_Quantum!A:F,5,FALSE)</f>
        <v>314902.27762290702</v>
      </c>
      <c r="J90" s="179">
        <f t="shared" si="65"/>
        <v>233.26718945903934</v>
      </c>
      <c r="K90" s="180">
        <f t="shared" si="65"/>
        <v>224.75782302493374</v>
      </c>
      <c r="L90" s="180">
        <f t="shared" si="65"/>
        <v>187.83814618959789</v>
      </c>
      <c r="M90" s="181">
        <f t="shared" si="65"/>
        <v>188.56423809754912</v>
      </c>
      <c r="N90" s="173">
        <f>IF(ISERROR(VLOOKUP($A90,'HRGs to TFCs % Split'!$A$8:$I$117,6,0)),0,VLOOKUP($A90,'HRGs to TFCs % Split'!$A$8:$I$117,6,0))</f>
        <v>0</v>
      </c>
      <c r="O90" s="174">
        <f>IF(ISERROR(VLOOKUP($A90,'HRGs to TFCs % Split'!$A$8:$I$117,6,0)),0,VLOOKUP($A90,'HRGs to TFCs % Split'!$A$8:$I$117,7,0))</f>
        <v>0</v>
      </c>
      <c r="P90" s="174">
        <f>IF(ISERROR(VLOOKUP($A90,'HRGs to TFCs % Split'!$A$8:$I$117,6,0)),0,VLOOKUP($A90,'HRGs to TFCs % Split'!$A$8:$I$117,8,0))</f>
        <v>0</v>
      </c>
      <c r="Q90" s="175">
        <f>IF(ISERROR(VLOOKUP($A90,'HRGs to TFCs % Split'!$A$8:$I$117,6,0)),0,VLOOKUP($A90,'HRGs to TFCs % Split'!$A$8:$I$117,9,0))</f>
        <v>0</v>
      </c>
      <c r="R90" s="167">
        <f t="shared" si="66"/>
        <v>0</v>
      </c>
      <c r="S90" s="168">
        <f t="shared" si="67"/>
        <v>0</v>
      </c>
      <c r="T90" s="168">
        <f t="shared" si="68"/>
        <v>0</v>
      </c>
      <c r="U90" s="169">
        <f t="shared" si="69"/>
        <v>0</v>
      </c>
      <c r="V90" s="173">
        <f>IF(ISERROR(VLOOKUP($A90,'HRGs to TFCs % Split'!$A$8:$AA$117,6,0)),0,VLOOKUP($A90,'HRGs to TFCs % Split'!$A$8:$AA$117,14,0))</f>
        <v>0</v>
      </c>
      <c r="W90" s="174">
        <f>IF(ISERROR(VLOOKUP($A90,'HRGs to TFCs % Split'!$A$8:$AA$117,6,0)),0,VLOOKUP($A90,'HRGs to TFCs % Split'!$A$8:$AA$117,15,0))</f>
        <v>0</v>
      </c>
      <c r="X90" s="174">
        <f>IF(ISERROR(VLOOKUP($A90,'HRGs to TFCs % Split'!$A$8:$AA$117,6,0)),0,VLOOKUP($A90,'HRGs to TFCs % Split'!$A$8:$AA$117,16,0))</f>
        <v>0</v>
      </c>
      <c r="Y90" s="175">
        <f>IF(ISERROR(VLOOKUP($A90,'HRGs to TFCs % Split'!$A$8:$AA$117,6,0)),0,VLOOKUP($A90,'HRGs to TFCs % Split'!$A$8:$AA$117,17,0))</f>
        <v>0</v>
      </c>
      <c r="Z90" s="167">
        <f t="shared" si="82"/>
        <v>0</v>
      </c>
      <c r="AA90" s="168">
        <f t="shared" si="83"/>
        <v>0</v>
      </c>
      <c r="AB90" s="168">
        <f t="shared" si="84"/>
        <v>0</v>
      </c>
      <c r="AC90" s="169">
        <f t="shared" si="85"/>
        <v>0</v>
      </c>
      <c r="AD90" s="200">
        <f t="shared" si="70"/>
        <v>1423</v>
      </c>
      <c r="AE90" s="201">
        <f t="shared" si="71"/>
        <v>2672</v>
      </c>
      <c r="AF90" s="201">
        <f t="shared" si="72"/>
        <v>47</v>
      </c>
      <c r="AG90" s="202">
        <f t="shared" si="73"/>
        <v>1670</v>
      </c>
      <c r="AH90" s="200">
        <f t="shared" si="74"/>
        <v>331939.21060021297</v>
      </c>
      <c r="AI90" s="201">
        <f t="shared" si="75"/>
        <v>600552.90312262299</v>
      </c>
      <c r="AJ90" s="201">
        <f t="shared" si="76"/>
        <v>8828.3928709111005</v>
      </c>
      <c r="AK90" s="202">
        <f t="shared" si="77"/>
        <v>314902.27762290702</v>
      </c>
      <c r="AL90" s="194">
        <f t="shared" si="78"/>
        <v>233.26718945903934</v>
      </c>
      <c r="AM90" s="195">
        <f t="shared" si="79"/>
        <v>224.75782302493374</v>
      </c>
      <c r="AN90" s="195">
        <f t="shared" si="80"/>
        <v>187.83814618959789</v>
      </c>
      <c r="AO90" s="196">
        <f t="shared" si="81"/>
        <v>188.56423809754912</v>
      </c>
      <c r="AP90" s="188">
        <f t="shared" si="86"/>
        <v>0</v>
      </c>
      <c r="AQ90" s="189">
        <f t="shared" si="87"/>
        <v>0</v>
      </c>
      <c r="AR90" s="189">
        <f t="shared" si="88"/>
        <v>0</v>
      </c>
      <c r="AS90" s="190">
        <f t="shared" si="89"/>
        <v>0</v>
      </c>
      <c r="AT90" s="196">
        <f>IF(ISERROR(VLOOKUP(A90,Mandatory!A:A,1,FALSE)),0,1)</f>
        <v>0</v>
      </c>
    </row>
    <row r="91" spans="1:46">
      <c r="A91">
        <v>360</v>
      </c>
      <c r="B91" s="185">
        <f>VLOOKUP(A91,OPATT_Activities!A:J,3,FALSE)</f>
        <v>35862</v>
      </c>
      <c r="C91" s="186">
        <f>VLOOKUP(A91,OPATT_Activities!A:J,4,FALSE)</f>
        <v>1093998</v>
      </c>
      <c r="D91" s="186">
        <f>VLOOKUP(A91,OPATT_Activities!A:J,5,FALSE)</f>
        <v>20909</v>
      </c>
      <c r="E91" s="187">
        <f>VLOOKUP(A91,OPATT_Activities!A:J,6,FALSE)</f>
        <v>687388</v>
      </c>
      <c r="F91" s="185">
        <f>VLOOKUP(A91,OPATT_Cost_Quantum!A:F,2,FALSE)</f>
        <v>4317735.8156021005</v>
      </c>
      <c r="G91" s="186">
        <f>VLOOKUP(A91,OPATT_Cost_Quantum!A:F,3,FALSE)</f>
        <v>146725285.027738</v>
      </c>
      <c r="H91" s="186">
        <f>VLOOKUP(A91,OPATT_Cost_Quantum!A:F,4,FALSE)</f>
        <v>2181605.9479288599</v>
      </c>
      <c r="I91" s="187">
        <f>VLOOKUP(A91,OPATT_Cost_Quantum!A:F,5,FALSE)</f>
        <v>84356994.734581903</v>
      </c>
      <c r="J91" s="179">
        <f t="shared" si="65"/>
        <v>120.39863408627797</v>
      </c>
      <c r="K91" s="180">
        <f t="shared" si="65"/>
        <v>134.1184216312443</v>
      </c>
      <c r="L91" s="180">
        <f t="shared" si="65"/>
        <v>104.33812941455162</v>
      </c>
      <c r="M91" s="181">
        <f t="shared" si="65"/>
        <v>122.72107562916709</v>
      </c>
      <c r="N91" s="173">
        <f>IF(ISERROR(VLOOKUP($A91,'HRGs to TFCs % Split'!$A$8:$I$117,6,0)),0,VLOOKUP($A91,'HRGs to TFCs % Split'!$A$8:$I$117,6,0))</f>
        <v>0</v>
      </c>
      <c r="O91" s="174">
        <f>IF(ISERROR(VLOOKUP($A91,'HRGs to TFCs % Split'!$A$8:$I$117,6,0)),0,VLOOKUP($A91,'HRGs to TFCs % Split'!$A$8:$I$117,7,0))</f>
        <v>0</v>
      </c>
      <c r="P91" s="174">
        <f>IF(ISERROR(VLOOKUP($A91,'HRGs to TFCs % Split'!$A$8:$I$117,6,0)),0,VLOOKUP($A91,'HRGs to TFCs % Split'!$A$8:$I$117,8,0))</f>
        <v>0</v>
      </c>
      <c r="Q91" s="175">
        <f>IF(ISERROR(VLOOKUP($A91,'HRGs to TFCs % Split'!$A$8:$I$117,6,0)),0,VLOOKUP($A91,'HRGs to TFCs % Split'!$A$8:$I$117,9,0))</f>
        <v>0</v>
      </c>
      <c r="R91" s="167">
        <f t="shared" si="66"/>
        <v>0</v>
      </c>
      <c r="S91" s="168">
        <f t="shared" si="67"/>
        <v>0</v>
      </c>
      <c r="T91" s="168">
        <f t="shared" si="68"/>
        <v>0</v>
      </c>
      <c r="U91" s="169">
        <f t="shared" si="69"/>
        <v>0</v>
      </c>
      <c r="V91" s="173">
        <f>IF(ISERROR(VLOOKUP($A91,'HRGs to TFCs % Split'!$A$8:$AA$117,6,0)),0,VLOOKUP($A91,'HRGs to TFCs % Split'!$A$8:$AA$117,14,0))</f>
        <v>0</v>
      </c>
      <c r="W91" s="174">
        <f>IF(ISERROR(VLOOKUP($A91,'HRGs to TFCs % Split'!$A$8:$AA$117,6,0)),0,VLOOKUP($A91,'HRGs to TFCs % Split'!$A$8:$AA$117,15,0))</f>
        <v>0</v>
      </c>
      <c r="X91" s="174">
        <f>IF(ISERROR(VLOOKUP($A91,'HRGs to TFCs % Split'!$A$8:$AA$117,6,0)),0,VLOOKUP($A91,'HRGs to TFCs % Split'!$A$8:$AA$117,16,0))</f>
        <v>0</v>
      </c>
      <c r="Y91" s="175">
        <f>IF(ISERROR(VLOOKUP($A91,'HRGs to TFCs % Split'!$A$8:$AA$117,6,0)),0,VLOOKUP($A91,'HRGs to TFCs % Split'!$A$8:$AA$117,17,0))</f>
        <v>0</v>
      </c>
      <c r="Z91" s="167">
        <f t="shared" si="82"/>
        <v>0</v>
      </c>
      <c r="AA91" s="168">
        <f t="shared" si="83"/>
        <v>0</v>
      </c>
      <c r="AB91" s="168">
        <f t="shared" si="84"/>
        <v>0</v>
      </c>
      <c r="AC91" s="169">
        <f t="shared" si="85"/>
        <v>0</v>
      </c>
      <c r="AD91" s="200">
        <f t="shared" si="70"/>
        <v>35862</v>
      </c>
      <c r="AE91" s="201">
        <f t="shared" si="71"/>
        <v>1093998</v>
      </c>
      <c r="AF91" s="201">
        <f t="shared" si="72"/>
        <v>20909</v>
      </c>
      <c r="AG91" s="202">
        <f t="shared" si="73"/>
        <v>687388</v>
      </c>
      <c r="AH91" s="200">
        <f t="shared" si="74"/>
        <v>4317735.8156021005</v>
      </c>
      <c r="AI91" s="201">
        <f t="shared" si="75"/>
        <v>146725285.027738</v>
      </c>
      <c r="AJ91" s="201">
        <f t="shared" si="76"/>
        <v>2181605.9479288599</v>
      </c>
      <c r="AK91" s="202">
        <f t="shared" si="77"/>
        <v>84356994.734581903</v>
      </c>
      <c r="AL91" s="194">
        <f t="shared" si="78"/>
        <v>120.39863408627797</v>
      </c>
      <c r="AM91" s="195">
        <f t="shared" si="79"/>
        <v>134.1184216312443</v>
      </c>
      <c r="AN91" s="195">
        <f t="shared" si="80"/>
        <v>104.33812941455162</v>
      </c>
      <c r="AO91" s="196">
        <f t="shared" si="81"/>
        <v>122.72107562916709</v>
      </c>
      <c r="AP91" s="188">
        <f t="shared" si="86"/>
        <v>0</v>
      </c>
      <c r="AQ91" s="189">
        <f t="shared" si="87"/>
        <v>0</v>
      </c>
      <c r="AR91" s="189">
        <f t="shared" si="88"/>
        <v>0</v>
      </c>
      <c r="AS91" s="190">
        <f t="shared" si="89"/>
        <v>0</v>
      </c>
      <c r="AT91" s="196">
        <f>IF(ISERROR(VLOOKUP(A91,Mandatory!A:A,1,FALSE)),0,1)</f>
        <v>1</v>
      </c>
    </row>
    <row r="92" spans="1:46">
      <c r="A92">
        <v>361</v>
      </c>
      <c r="B92" s="185">
        <f>VLOOKUP(A92,OPATT_Activities!A:J,3,FALSE)</f>
        <v>1454</v>
      </c>
      <c r="C92" s="186">
        <f>VLOOKUP(A92,OPATT_Activities!A:J,4,FALSE)</f>
        <v>70421</v>
      </c>
      <c r="D92" s="186">
        <f>VLOOKUP(A92,OPATT_Activities!A:J,5,FALSE)</f>
        <v>15040</v>
      </c>
      <c r="E92" s="187">
        <f>VLOOKUP(A92,OPATT_Activities!A:J,6,FALSE)</f>
        <v>581036</v>
      </c>
      <c r="F92" s="185">
        <f>VLOOKUP(A92,OPATT_Cost_Quantum!A:F,2,FALSE)</f>
        <v>315339.05164084001</v>
      </c>
      <c r="G92" s="186">
        <f>VLOOKUP(A92,OPATT_Cost_Quantum!A:F,3,FALSE)</f>
        <v>13123572.267750699</v>
      </c>
      <c r="H92" s="186">
        <f>VLOOKUP(A92,OPATT_Cost_Quantum!A:F,4,FALSE)</f>
        <v>2589689.42117415</v>
      </c>
      <c r="I92" s="187">
        <f>VLOOKUP(A92,OPATT_Cost_Quantum!A:F,5,FALSE)</f>
        <v>86334491.348999396</v>
      </c>
      <c r="J92" s="179">
        <f t="shared" si="65"/>
        <v>216.8769268506465</v>
      </c>
      <c r="K92" s="180">
        <f t="shared" si="65"/>
        <v>186.35878882365628</v>
      </c>
      <c r="L92" s="180">
        <f t="shared" si="65"/>
        <v>172.18679662062166</v>
      </c>
      <c r="M92" s="181">
        <f t="shared" si="65"/>
        <v>148.58716387452654</v>
      </c>
      <c r="N92" s="173">
        <f>IF(ISERROR(VLOOKUP($A92,'HRGs to TFCs % Split'!$A$8:$I$117,6,0)),0,VLOOKUP($A92,'HRGs to TFCs % Split'!$A$8:$I$117,6,0))</f>
        <v>0</v>
      </c>
      <c r="O92" s="174">
        <f>IF(ISERROR(VLOOKUP($A92,'HRGs to TFCs % Split'!$A$8:$I$117,6,0)),0,VLOOKUP($A92,'HRGs to TFCs % Split'!$A$8:$I$117,7,0))</f>
        <v>2.3629821129638368E-5</v>
      </c>
      <c r="P92" s="174">
        <f>IF(ISERROR(VLOOKUP($A92,'HRGs to TFCs % Split'!$A$8:$I$117,6,0)),0,VLOOKUP($A92,'HRGs to TFCs % Split'!$A$8:$I$117,8,0))</f>
        <v>0</v>
      </c>
      <c r="Q92" s="175">
        <f>IF(ISERROR(VLOOKUP($A92,'HRGs to TFCs % Split'!$A$8:$I$117,6,0)),0,VLOOKUP($A92,'HRGs to TFCs % Split'!$A$8:$I$117,9,0))</f>
        <v>5.4939334126409209E-4</v>
      </c>
      <c r="R92" s="167">
        <f t="shared" si="66"/>
        <v>0</v>
      </c>
      <c r="S92" s="168">
        <f t="shared" si="67"/>
        <v>37</v>
      </c>
      <c r="T92" s="168">
        <f t="shared" si="68"/>
        <v>0</v>
      </c>
      <c r="U92" s="169">
        <f t="shared" si="69"/>
        <v>867</v>
      </c>
      <c r="V92" s="173">
        <f>IF(ISERROR(VLOOKUP($A92,'HRGs to TFCs % Split'!$A$8:$AA$117,6,0)),0,VLOOKUP($A92,'HRGs to TFCs % Split'!$A$8:$AA$117,14,0))</f>
        <v>0</v>
      </c>
      <c r="W92" s="174">
        <f>IF(ISERROR(VLOOKUP($A92,'HRGs to TFCs % Split'!$A$8:$AA$117,6,0)),0,VLOOKUP($A92,'HRGs to TFCs % Split'!$A$8:$AA$117,15,0))</f>
        <v>2.6225414806631495E-5</v>
      </c>
      <c r="X92" s="174">
        <f>IF(ISERROR(VLOOKUP($A92,'HRGs to TFCs % Split'!$A$8:$AA$117,6,0)),0,VLOOKUP($A92,'HRGs to TFCs % Split'!$A$8:$AA$117,16,0))</f>
        <v>0</v>
      </c>
      <c r="Y92" s="175">
        <f>IF(ISERROR(VLOOKUP($A92,'HRGs to TFCs % Split'!$A$8:$AA$117,6,0)),0,VLOOKUP($A92,'HRGs to TFCs % Split'!$A$8:$AA$117,17,0))</f>
        <v>6.2059891622418927E-4</v>
      </c>
      <c r="Z92" s="167">
        <f t="shared" si="82"/>
        <v>0</v>
      </c>
      <c r="AA92" s="168">
        <f t="shared" si="83"/>
        <v>4638.990717873482</v>
      </c>
      <c r="AB92" s="168">
        <f t="shared" si="84"/>
        <v>0</v>
      </c>
      <c r="AC92" s="169">
        <f t="shared" si="85"/>
        <v>109777.20021261094</v>
      </c>
      <c r="AD92" s="200">
        <f t="shared" si="70"/>
        <v>1454</v>
      </c>
      <c r="AE92" s="201">
        <f t="shared" si="71"/>
        <v>70458</v>
      </c>
      <c r="AF92" s="201">
        <f t="shared" si="72"/>
        <v>15040</v>
      </c>
      <c r="AG92" s="202">
        <f t="shared" si="73"/>
        <v>581903</v>
      </c>
      <c r="AH92" s="200">
        <f t="shared" si="74"/>
        <v>315339.05164084001</v>
      </c>
      <c r="AI92" s="201">
        <f t="shared" si="75"/>
        <v>13128211.258468572</v>
      </c>
      <c r="AJ92" s="201">
        <f t="shared" si="76"/>
        <v>2589689.42117415</v>
      </c>
      <c r="AK92" s="202">
        <f t="shared" si="77"/>
        <v>86444268.549212009</v>
      </c>
      <c r="AL92" s="194">
        <f t="shared" si="78"/>
        <v>216.8769268506465</v>
      </c>
      <c r="AM92" s="195">
        <f t="shared" si="79"/>
        <v>186.32676571104165</v>
      </c>
      <c r="AN92" s="195">
        <f t="shared" si="80"/>
        <v>172.18679662062166</v>
      </c>
      <c r="AO92" s="196">
        <f t="shared" si="81"/>
        <v>148.55443011844244</v>
      </c>
      <c r="AP92" s="188">
        <f t="shared" si="86"/>
        <v>0</v>
      </c>
      <c r="AQ92" s="189">
        <f t="shared" si="87"/>
        <v>-1.7183580563484568E-4</v>
      </c>
      <c r="AR92" s="189">
        <f t="shared" si="88"/>
        <v>0</v>
      </c>
      <c r="AS92" s="190">
        <f t="shared" si="89"/>
        <v>-2.2030002612971611E-4</v>
      </c>
      <c r="AT92" s="196">
        <f>IF(ISERROR(VLOOKUP(A92,Mandatory!A:A,1,FALSE)),0,1)</f>
        <v>1</v>
      </c>
    </row>
    <row r="93" spans="1:46">
      <c r="A93">
        <v>370</v>
      </c>
      <c r="B93" s="185">
        <f>VLOOKUP(A93,OPATT_Activities!A:J,3,FALSE)</f>
        <v>6332</v>
      </c>
      <c r="C93" s="186">
        <f>VLOOKUP(A93,OPATT_Activities!A:J,4,FALSE)</f>
        <v>83819</v>
      </c>
      <c r="D93" s="186">
        <f>VLOOKUP(A93,OPATT_Activities!A:J,5,FALSE)</f>
        <v>36408</v>
      </c>
      <c r="E93" s="187">
        <f>VLOOKUP(A93,OPATT_Activities!A:J,6,FALSE)</f>
        <v>604185</v>
      </c>
      <c r="F93" s="185">
        <f>VLOOKUP(A93,OPATT_Cost_Quantum!A:F,2,FALSE)</f>
        <v>1076940.30055272</v>
      </c>
      <c r="G93" s="186">
        <f>VLOOKUP(A93,OPATT_Cost_Quantum!A:F,3,FALSE)</f>
        <v>12836081.5452093</v>
      </c>
      <c r="H93" s="186">
        <f>VLOOKUP(A93,OPATT_Cost_Quantum!A:F,4,FALSE)</f>
        <v>5013444.8825266799</v>
      </c>
      <c r="I93" s="187">
        <f>VLOOKUP(A93,OPATT_Cost_Quantum!A:F,5,FALSE)</f>
        <v>67702191.670221299</v>
      </c>
      <c r="J93" s="179">
        <f t="shared" si="65"/>
        <v>170.07901145810487</v>
      </c>
      <c r="K93" s="180">
        <f t="shared" si="65"/>
        <v>153.14047584926209</v>
      </c>
      <c r="L93" s="180">
        <f t="shared" si="65"/>
        <v>137.70173814894198</v>
      </c>
      <c r="M93" s="181">
        <f t="shared" si="65"/>
        <v>112.0553997040994</v>
      </c>
      <c r="N93" s="173">
        <f>IF(ISERROR(VLOOKUP($A93,'HRGs to TFCs % Split'!$A$8:$I$117,6,0)),0,VLOOKUP($A93,'HRGs to TFCs % Split'!$A$8:$I$117,6,0))</f>
        <v>0</v>
      </c>
      <c r="O93" s="174">
        <f>IF(ISERROR(VLOOKUP($A93,'HRGs to TFCs % Split'!$A$8:$I$117,6,0)),0,VLOOKUP($A93,'HRGs to TFCs % Split'!$A$8:$I$117,7,0))</f>
        <v>7.6058486761023493E-5</v>
      </c>
      <c r="P93" s="174">
        <f>IF(ISERROR(VLOOKUP($A93,'HRGs to TFCs % Split'!$A$8:$I$117,6,0)),0,VLOOKUP($A93,'HRGs to TFCs % Split'!$A$8:$I$117,8,0))</f>
        <v>0</v>
      </c>
      <c r="Q93" s="175">
        <f>IF(ISERROR(VLOOKUP($A93,'HRGs to TFCs % Split'!$A$8:$I$117,6,0)),0,VLOOKUP($A93,'HRGs to TFCs % Split'!$A$8:$I$117,9,0))</f>
        <v>8.5805787976999325E-4</v>
      </c>
      <c r="R93" s="167">
        <f t="shared" si="66"/>
        <v>0</v>
      </c>
      <c r="S93" s="168">
        <f t="shared" si="67"/>
        <v>120</v>
      </c>
      <c r="T93" s="168">
        <f t="shared" si="68"/>
        <v>0</v>
      </c>
      <c r="U93" s="169">
        <f t="shared" si="69"/>
        <v>1354</v>
      </c>
      <c r="V93" s="173">
        <f>IF(ISERROR(VLOOKUP($A93,'HRGs to TFCs % Split'!$A$8:$AA$117,6,0)),0,VLOOKUP($A93,'HRGs to TFCs % Split'!$A$8:$AA$117,14,0))</f>
        <v>0</v>
      </c>
      <c r="W93" s="174">
        <f>IF(ISERROR(VLOOKUP($A93,'HRGs to TFCs % Split'!$A$8:$AA$117,6,0)),0,VLOOKUP($A93,'HRGs to TFCs % Split'!$A$8:$AA$117,15,0))</f>
        <v>1.1209181301293728E-4</v>
      </c>
      <c r="X93" s="174">
        <f>IF(ISERROR(VLOOKUP($A93,'HRGs to TFCs % Split'!$A$8:$AA$117,6,0)),0,VLOOKUP($A93,'HRGs to TFCs % Split'!$A$8:$AA$117,16,0))</f>
        <v>0</v>
      </c>
      <c r="Y93" s="175">
        <f>IF(ISERROR(VLOOKUP($A93,'HRGs to TFCs % Split'!$A$8:$AA$117,6,0)),0,VLOOKUP($A93,'HRGs to TFCs % Split'!$A$8:$AA$117,17,0))</f>
        <v>1.5764342349792123E-3</v>
      </c>
      <c r="Z93" s="167">
        <f t="shared" si="82"/>
        <v>0</v>
      </c>
      <c r="AA93" s="168">
        <f t="shared" si="83"/>
        <v>19827.822894345143</v>
      </c>
      <c r="AB93" s="168">
        <f t="shared" si="84"/>
        <v>0</v>
      </c>
      <c r="AC93" s="169">
        <f t="shared" si="85"/>
        <v>278854.07484793459</v>
      </c>
      <c r="AD93" s="200">
        <f t="shared" si="70"/>
        <v>6332</v>
      </c>
      <c r="AE93" s="201">
        <f t="shared" si="71"/>
        <v>83939</v>
      </c>
      <c r="AF93" s="201">
        <f t="shared" si="72"/>
        <v>36408</v>
      </c>
      <c r="AG93" s="202">
        <f t="shared" si="73"/>
        <v>605539</v>
      </c>
      <c r="AH93" s="200">
        <f t="shared" si="74"/>
        <v>1076940.30055272</v>
      </c>
      <c r="AI93" s="201">
        <f t="shared" si="75"/>
        <v>12855909.368103646</v>
      </c>
      <c r="AJ93" s="201">
        <f t="shared" si="76"/>
        <v>5013444.8825266799</v>
      </c>
      <c r="AK93" s="202">
        <f t="shared" si="77"/>
        <v>67981045.745069236</v>
      </c>
      <c r="AL93" s="194">
        <f t="shared" si="78"/>
        <v>170.07901145810487</v>
      </c>
      <c r="AM93" s="195">
        <f t="shared" si="79"/>
        <v>153.15776180444902</v>
      </c>
      <c r="AN93" s="195">
        <f t="shared" si="80"/>
        <v>137.70173814894198</v>
      </c>
      <c r="AO93" s="196">
        <f t="shared" si="81"/>
        <v>112.26534664995853</v>
      </c>
      <c r="AP93" s="188">
        <f t="shared" si="86"/>
        <v>0</v>
      </c>
      <c r="AQ93" s="189">
        <f t="shared" si="87"/>
        <v>1.1287646254909411E-4</v>
      </c>
      <c r="AR93" s="189">
        <f t="shared" si="88"/>
        <v>0</v>
      </c>
      <c r="AS93" s="190">
        <f t="shared" si="89"/>
        <v>1.8735995446317322E-3</v>
      </c>
      <c r="AT93" s="196">
        <f>IF(ISERROR(VLOOKUP(A93,Mandatory!A:A,1,FALSE)),0,1)</f>
        <v>1</v>
      </c>
    </row>
    <row r="94" spans="1:46">
      <c r="A94">
        <v>371</v>
      </c>
      <c r="B94" s="185">
        <f>VLOOKUP(A94,OPATT_Activities!A:J,3,FALSE)</f>
        <v>0</v>
      </c>
      <c r="C94" s="186">
        <f>VLOOKUP(A94,OPATT_Activities!A:J,4,FALSE)</f>
        <v>2388</v>
      </c>
      <c r="D94" s="186">
        <f>VLOOKUP(A94,OPATT_Activities!A:J,5,FALSE)</f>
        <v>0</v>
      </c>
      <c r="E94" s="187">
        <f>VLOOKUP(A94,OPATT_Activities!A:J,6,FALSE)</f>
        <v>4514</v>
      </c>
      <c r="F94" s="185">
        <f>VLOOKUP(A94,OPATT_Cost_Quantum!A:F,2,FALSE)</f>
        <v>0</v>
      </c>
      <c r="G94" s="186">
        <f>VLOOKUP(A94,OPATT_Cost_Quantum!A:F,3,FALSE)</f>
        <v>497933.629004755</v>
      </c>
      <c r="H94" s="186">
        <f>VLOOKUP(A94,OPATT_Cost_Quantum!A:F,4,FALSE)</f>
        <v>0</v>
      </c>
      <c r="I94" s="187">
        <f>VLOOKUP(A94,OPATT_Cost_Quantum!A:F,5,FALSE)</f>
        <v>314521.63925091003</v>
      </c>
      <c r="J94" s="179">
        <f t="shared" si="65"/>
        <v>0</v>
      </c>
      <c r="K94" s="180">
        <f t="shared" si="65"/>
        <v>208.51492001874163</v>
      </c>
      <c r="L94" s="180">
        <f t="shared" si="65"/>
        <v>0</v>
      </c>
      <c r="M94" s="181">
        <f t="shared" si="65"/>
        <v>69.676924955895004</v>
      </c>
      <c r="N94" s="173">
        <f>IF(ISERROR(VLOOKUP($A94,'HRGs to TFCs % Split'!$A$8:$I$117,6,0)),0,VLOOKUP($A94,'HRGs to TFCs % Split'!$A$8:$I$117,6,0))</f>
        <v>0</v>
      </c>
      <c r="O94" s="174">
        <f>IF(ISERROR(VLOOKUP($A94,'HRGs to TFCs % Split'!$A$8:$I$117,6,0)),0,VLOOKUP($A94,'HRGs to TFCs % Split'!$A$8:$I$117,7,0))</f>
        <v>2.2152957309035971E-6</v>
      </c>
      <c r="P94" s="174">
        <f>IF(ISERROR(VLOOKUP($A94,'HRGs to TFCs % Split'!$A$8:$I$117,6,0)),0,VLOOKUP($A94,'HRGs to TFCs % Split'!$A$8:$I$117,8,0))</f>
        <v>0</v>
      </c>
      <c r="Q94" s="175">
        <f>IF(ISERROR(VLOOKUP($A94,'HRGs to TFCs % Split'!$A$8:$I$117,6,0)),0,VLOOKUP($A94,'HRGs to TFCs % Split'!$A$8:$I$117,9,0))</f>
        <v>7.3843191030119901E-7</v>
      </c>
      <c r="R94" s="167">
        <f t="shared" si="66"/>
        <v>0</v>
      </c>
      <c r="S94" s="168">
        <f t="shared" si="67"/>
        <v>3</v>
      </c>
      <c r="T94" s="168">
        <f t="shared" si="68"/>
        <v>0</v>
      </c>
      <c r="U94" s="169">
        <f t="shared" si="69"/>
        <v>1</v>
      </c>
      <c r="V94" s="173">
        <f>IF(ISERROR(VLOOKUP($A94,'HRGs to TFCs % Split'!$A$8:$AA$117,6,0)),0,VLOOKUP($A94,'HRGs to TFCs % Split'!$A$8:$AA$117,14,0))</f>
        <v>0</v>
      </c>
      <c r="W94" s="174">
        <f>IF(ISERROR(VLOOKUP($A94,'HRGs to TFCs % Split'!$A$8:$AA$117,6,0)),0,VLOOKUP($A94,'HRGs to TFCs % Split'!$A$8:$AA$117,15,0))</f>
        <v>2.3653156800816554E-6</v>
      </c>
      <c r="X94" s="174">
        <f>IF(ISERROR(VLOOKUP($A94,'HRGs to TFCs % Split'!$A$8:$AA$117,6,0)),0,VLOOKUP($A94,'HRGs to TFCs % Split'!$A$8:$AA$117,16,0))</f>
        <v>0</v>
      </c>
      <c r="Y94" s="175">
        <f>IF(ISERROR(VLOOKUP($A94,'HRGs to TFCs % Split'!$A$8:$AA$117,6,0)),0,VLOOKUP($A94,'HRGs to TFCs % Split'!$A$8:$AA$117,17,0))</f>
        <v>7.884385600272184E-7</v>
      </c>
      <c r="Z94" s="167">
        <f t="shared" si="82"/>
        <v>0</v>
      </c>
      <c r="AA94" s="168">
        <f t="shared" si="83"/>
        <v>418.39862460306233</v>
      </c>
      <c r="AB94" s="168">
        <f t="shared" si="84"/>
        <v>0</v>
      </c>
      <c r="AC94" s="169">
        <f t="shared" si="85"/>
        <v>139.46620820102075</v>
      </c>
      <c r="AD94" s="200">
        <f t="shared" si="70"/>
        <v>0</v>
      </c>
      <c r="AE94" s="201">
        <f t="shared" si="71"/>
        <v>2391</v>
      </c>
      <c r="AF94" s="201">
        <f t="shared" si="72"/>
        <v>0</v>
      </c>
      <c r="AG94" s="202">
        <f t="shared" si="73"/>
        <v>4515</v>
      </c>
      <c r="AH94" s="200">
        <f t="shared" si="74"/>
        <v>0</v>
      </c>
      <c r="AI94" s="201">
        <f t="shared" si="75"/>
        <v>498352.02762935805</v>
      </c>
      <c r="AJ94" s="201">
        <f t="shared" si="76"/>
        <v>0</v>
      </c>
      <c r="AK94" s="202">
        <f t="shared" si="77"/>
        <v>314661.10545911104</v>
      </c>
      <c r="AL94" s="194">
        <f t="shared" si="78"/>
        <v>0</v>
      </c>
      <c r="AM94" s="195">
        <f t="shared" si="79"/>
        <v>208.42828424481726</v>
      </c>
      <c r="AN94" s="195">
        <f t="shared" si="80"/>
        <v>0</v>
      </c>
      <c r="AO94" s="196">
        <f t="shared" si="81"/>
        <v>69.692382161486393</v>
      </c>
      <c r="AP94" s="188">
        <f t="shared" si="86"/>
        <v>0</v>
      </c>
      <c r="AQ94" s="189">
        <f t="shared" si="87"/>
        <v>-4.1548956744474896E-4</v>
      </c>
      <c r="AR94" s="189">
        <f t="shared" si="88"/>
        <v>0</v>
      </c>
      <c r="AS94" s="190">
        <f t="shared" si="89"/>
        <v>2.2184109877376734E-4</v>
      </c>
      <c r="AT94" s="196">
        <f>IF(ISERROR(VLOOKUP(A94,Mandatory!A:A,1,FALSE)),0,1)</f>
        <v>0</v>
      </c>
    </row>
    <row r="95" spans="1:46">
      <c r="A95">
        <v>400</v>
      </c>
      <c r="B95" s="185">
        <f>VLOOKUP(A95,OPATT_Activities!A:J,3,FALSE)</f>
        <v>2313</v>
      </c>
      <c r="C95" s="186">
        <f>VLOOKUP(A95,OPATT_Activities!A:J,4,FALSE)</f>
        <v>396481</v>
      </c>
      <c r="D95" s="186">
        <f>VLOOKUP(A95,OPATT_Activities!A:J,5,FALSE)</f>
        <v>7354</v>
      </c>
      <c r="E95" s="187">
        <f>VLOOKUP(A95,OPATT_Activities!A:J,6,FALSE)</f>
        <v>572207</v>
      </c>
      <c r="F95" s="185">
        <f>VLOOKUP(A95,OPATT_Cost_Quantum!A:F,2,FALSE)</f>
        <v>671819.56487963803</v>
      </c>
      <c r="G95" s="186">
        <f>VLOOKUP(A95,OPATT_Cost_Quantum!A:F,3,FALSE)</f>
        <v>73817457.882149905</v>
      </c>
      <c r="H95" s="186">
        <f>VLOOKUP(A95,OPATT_Cost_Quantum!A:F,4,FALSE)</f>
        <v>1152694.0214952501</v>
      </c>
      <c r="I95" s="187">
        <f>VLOOKUP(A95,OPATT_Cost_Quantum!A:F,5,FALSE)</f>
        <v>76513130.949026093</v>
      </c>
      <c r="J95" s="179">
        <f t="shared" si="65"/>
        <v>290.45376778194469</v>
      </c>
      <c r="K95" s="180">
        <f t="shared" si="65"/>
        <v>186.18157713017749</v>
      </c>
      <c r="L95" s="180">
        <f t="shared" si="65"/>
        <v>156.74381581387681</v>
      </c>
      <c r="M95" s="181">
        <f t="shared" si="65"/>
        <v>133.71582477849117</v>
      </c>
      <c r="N95" s="173">
        <f>IF(ISERROR(VLOOKUP($A95,'HRGs to TFCs % Split'!$A$8:$I$117,6,0)),0,VLOOKUP($A95,'HRGs to TFCs % Split'!$A$8:$I$117,6,0))</f>
        <v>0</v>
      </c>
      <c r="O95" s="174">
        <f>IF(ISERROR(VLOOKUP($A95,'HRGs to TFCs % Split'!$A$8:$I$117,6,0)),0,VLOOKUP($A95,'HRGs to TFCs % Split'!$A$8:$I$117,7,0))</f>
        <v>1.5315077819646867E-3</v>
      </c>
      <c r="P95" s="174">
        <f>IF(ISERROR(VLOOKUP($A95,'HRGs to TFCs % Split'!$A$8:$I$117,6,0)),0,VLOOKUP($A95,'HRGs to TFCs % Split'!$A$8:$I$117,8,0))</f>
        <v>0</v>
      </c>
      <c r="Q95" s="175">
        <f>IF(ISERROR(VLOOKUP($A95,'HRGs to TFCs % Split'!$A$8:$I$117,6,0)),0,VLOOKUP($A95,'HRGs to TFCs % Split'!$A$8:$I$117,9,0))</f>
        <v>8.7578024561722203E-4</v>
      </c>
      <c r="R95" s="167">
        <f t="shared" si="66"/>
        <v>0</v>
      </c>
      <c r="S95" s="168">
        <f t="shared" si="67"/>
        <v>2417</v>
      </c>
      <c r="T95" s="168">
        <f t="shared" si="68"/>
        <v>0</v>
      </c>
      <c r="U95" s="169">
        <f t="shared" si="69"/>
        <v>1382</v>
      </c>
      <c r="V95" s="173">
        <f>IF(ISERROR(VLOOKUP($A95,'HRGs to TFCs % Split'!$A$8:$AA$117,6,0)),0,VLOOKUP($A95,'HRGs to TFCs % Split'!$A$8:$AA$117,14,0))</f>
        <v>0</v>
      </c>
      <c r="W95" s="174">
        <f>IF(ISERROR(VLOOKUP($A95,'HRGs to TFCs % Split'!$A$8:$AA$117,6,0)),0,VLOOKUP($A95,'HRGs to TFCs % Split'!$A$8:$AA$117,15,0))</f>
        <v>1.6237292238160761E-3</v>
      </c>
      <c r="X95" s="174">
        <f>IF(ISERROR(VLOOKUP($A95,'HRGs to TFCs % Split'!$A$8:$AA$117,6,0)),0,VLOOKUP($A95,'HRGs to TFCs % Split'!$A$8:$AA$117,16,0))</f>
        <v>0</v>
      </c>
      <c r="Y95" s="175">
        <f>IF(ISERROR(VLOOKUP($A95,'HRGs to TFCs % Split'!$A$8:$AA$117,6,0)),0,VLOOKUP($A95,'HRGs to TFCs % Split'!$A$8:$AA$117,17,0))</f>
        <v>1.2241095905683552E-3</v>
      </c>
      <c r="Z95" s="167">
        <f t="shared" si="82"/>
        <v>0</v>
      </c>
      <c r="AA95" s="168">
        <f t="shared" si="83"/>
        <v>287220.04411224765</v>
      </c>
      <c r="AB95" s="168">
        <f t="shared" si="84"/>
        <v>0</v>
      </c>
      <c r="AC95" s="169">
        <f t="shared" si="85"/>
        <v>216531.67624523444</v>
      </c>
      <c r="AD95" s="200">
        <f t="shared" si="70"/>
        <v>2313</v>
      </c>
      <c r="AE95" s="201">
        <f t="shared" si="71"/>
        <v>398898</v>
      </c>
      <c r="AF95" s="201">
        <f t="shared" si="72"/>
        <v>7354</v>
      </c>
      <c r="AG95" s="202">
        <f t="shared" si="73"/>
        <v>573589</v>
      </c>
      <c r="AH95" s="200">
        <f t="shared" si="74"/>
        <v>671819.56487963803</v>
      </c>
      <c r="AI95" s="201">
        <f t="shared" si="75"/>
        <v>74104677.926262155</v>
      </c>
      <c r="AJ95" s="201">
        <f t="shared" si="76"/>
        <v>1152694.0214952501</v>
      </c>
      <c r="AK95" s="202">
        <f t="shared" si="77"/>
        <v>76729662.62527132</v>
      </c>
      <c r="AL95" s="194">
        <f t="shared" si="78"/>
        <v>290.45376778194469</v>
      </c>
      <c r="AM95" s="195">
        <f t="shared" si="79"/>
        <v>185.77350081038801</v>
      </c>
      <c r="AN95" s="195">
        <f t="shared" si="80"/>
        <v>156.74381581387681</v>
      </c>
      <c r="AO95" s="196">
        <f t="shared" si="81"/>
        <v>133.77115430259528</v>
      </c>
      <c r="AP95" s="188">
        <f t="shared" si="86"/>
        <v>0</v>
      </c>
      <c r="AQ95" s="189">
        <f t="shared" si="87"/>
        <v>-2.1918190085162825E-3</v>
      </c>
      <c r="AR95" s="189">
        <f t="shared" si="88"/>
        <v>0</v>
      </c>
      <c r="AS95" s="190">
        <f t="shared" si="89"/>
        <v>4.1378441329409377E-4</v>
      </c>
      <c r="AT95" s="196">
        <f>IF(ISERROR(VLOOKUP(A95,Mandatory!A:A,1,FALSE)),0,1)</f>
        <v>0</v>
      </c>
    </row>
    <row r="96" spans="1:46">
      <c r="A96">
        <v>401</v>
      </c>
      <c r="B96" s="185">
        <f>VLOOKUP(A96,OPATT_Activities!A:J,3,FALSE)</f>
        <v>706</v>
      </c>
      <c r="C96" s="186">
        <f>VLOOKUP(A96,OPATT_Activities!A:J,4,FALSE)</f>
        <v>61547</v>
      </c>
      <c r="D96" s="186">
        <f>VLOOKUP(A96,OPATT_Activities!A:J,5,FALSE)</f>
        <v>60</v>
      </c>
      <c r="E96" s="187">
        <f>VLOOKUP(A96,OPATT_Activities!A:J,6,FALSE)</f>
        <v>4560</v>
      </c>
      <c r="F96" s="185">
        <f>VLOOKUP(A96,OPATT_Cost_Quantum!A:F,2,FALSE)</f>
        <v>362501.64875709498</v>
      </c>
      <c r="G96" s="186">
        <f>VLOOKUP(A96,OPATT_Cost_Quantum!A:F,3,FALSE)</f>
        <v>9814065.0577464197</v>
      </c>
      <c r="H96" s="186">
        <f>VLOOKUP(A96,OPATT_Cost_Quantum!A:F,4,FALSE)</f>
        <v>13992.4226787428</v>
      </c>
      <c r="I96" s="187">
        <f>VLOOKUP(A96,OPATT_Cost_Quantum!A:F,5,FALSE)</f>
        <v>727696.10089425102</v>
      </c>
      <c r="J96" s="179">
        <f t="shared" si="65"/>
        <v>513.45842600155095</v>
      </c>
      <c r="K96" s="180">
        <f t="shared" si="65"/>
        <v>159.4564326083549</v>
      </c>
      <c r="L96" s="180">
        <f t="shared" si="65"/>
        <v>233.20704464571332</v>
      </c>
      <c r="M96" s="181">
        <f t="shared" si="65"/>
        <v>159.58247826628312</v>
      </c>
      <c r="N96" s="173">
        <f>IF(ISERROR(VLOOKUP($A96,'HRGs to TFCs % Split'!$A$8:$I$117,6,0)),0,VLOOKUP($A96,'HRGs to TFCs % Split'!$A$8:$I$117,6,0))</f>
        <v>0</v>
      </c>
      <c r="O96" s="174">
        <f>IF(ISERROR(VLOOKUP($A96,'HRGs to TFCs % Split'!$A$8:$I$117,6,0)),0,VLOOKUP($A96,'HRGs to TFCs % Split'!$A$8:$I$117,7,0))</f>
        <v>9.8654503216240178E-4</v>
      </c>
      <c r="P96" s="174">
        <f>IF(ISERROR(VLOOKUP($A96,'HRGs to TFCs % Split'!$A$8:$I$117,6,0)),0,VLOOKUP($A96,'HRGs to TFCs % Split'!$A$8:$I$117,8,0))</f>
        <v>0</v>
      </c>
      <c r="Q96" s="175">
        <f>IF(ISERROR(VLOOKUP($A96,'HRGs to TFCs % Split'!$A$8:$I$117,6,0)),0,VLOOKUP($A96,'HRGs to TFCs % Split'!$A$8:$I$117,9,0))</f>
        <v>4.5044346528373139E-5</v>
      </c>
      <c r="R96" s="167">
        <f t="shared" si="66"/>
        <v>0</v>
      </c>
      <c r="S96" s="168">
        <f t="shared" si="67"/>
        <v>1557</v>
      </c>
      <c r="T96" s="168">
        <f t="shared" si="68"/>
        <v>0</v>
      </c>
      <c r="U96" s="169">
        <f t="shared" si="69"/>
        <v>71</v>
      </c>
      <c r="V96" s="173">
        <f>IF(ISERROR(VLOOKUP($A96,'HRGs to TFCs % Split'!$A$8:$AA$117,6,0)),0,VLOOKUP($A96,'HRGs to TFCs % Split'!$A$8:$AA$117,14,0))</f>
        <v>0</v>
      </c>
      <c r="W96" s="174">
        <f>IF(ISERROR(VLOOKUP($A96,'HRGs to TFCs % Split'!$A$8:$AA$117,6,0)),0,VLOOKUP($A96,'HRGs to TFCs % Split'!$A$8:$AA$117,15,0))</f>
        <v>9.7471866075923277E-4</v>
      </c>
      <c r="X96" s="174">
        <f>IF(ISERROR(VLOOKUP($A96,'HRGs to TFCs % Split'!$A$8:$AA$117,6,0)),0,VLOOKUP($A96,'HRGs to TFCs % Split'!$A$8:$AA$117,16,0))</f>
        <v>0</v>
      </c>
      <c r="Y96" s="175">
        <f>IF(ISERROR(VLOOKUP($A96,'HRGs to TFCs % Split'!$A$8:$AA$117,6,0)),0,VLOOKUP($A96,'HRGs to TFCs % Split'!$A$8:$AA$117,17,0))</f>
        <v>4.4420605754982916E-5</v>
      </c>
      <c r="Z96" s="167">
        <f t="shared" si="82"/>
        <v>0</v>
      </c>
      <c r="AA96" s="168">
        <f t="shared" si="83"/>
        <v>172417.13250830144</v>
      </c>
      <c r="AB96" s="168">
        <f t="shared" si="84"/>
        <v>0</v>
      </c>
      <c r="AC96" s="169">
        <f t="shared" si="85"/>
        <v>7857.5221516639658</v>
      </c>
      <c r="AD96" s="200">
        <f t="shared" si="70"/>
        <v>706</v>
      </c>
      <c r="AE96" s="201">
        <f t="shared" si="71"/>
        <v>63104</v>
      </c>
      <c r="AF96" s="201">
        <f t="shared" si="72"/>
        <v>60</v>
      </c>
      <c r="AG96" s="202">
        <f t="shared" si="73"/>
        <v>4631</v>
      </c>
      <c r="AH96" s="200">
        <f t="shared" si="74"/>
        <v>362501.64875709498</v>
      </c>
      <c r="AI96" s="201">
        <f t="shared" si="75"/>
        <v>9986482.1902547218</v>
      </c>
      <c r="AJ96" s="201">
        <f t="shared" si="76"/>
        <v>13992.4226787428</v>
      </c>
      <c r="AK96" s="202">
        <f t="shared" si="77"/>
        <v>735553.62304591504</v>
      </c>
      <c r="AL96" s="194">
        <f t="shared" si="78"/>
        <v>513.45842600155095</v>
      </c>
      <c r="AM96" s="195">
        <f t="shared" si="79"/>
        <v>158.25434505347874</v>
      </c>
      <c r="AN96" s="195">
        <f t="shared" si="80"/>
        <v>233.20704464571332</v>
      </c>
      <c r="AO96" s="196">
        <f t="shared" si="81"/>
        <v>158.83256813774886</v>
      </c>
      <c r="AP96" s="188">
        <f t="shared" si="86"/>
        <v>0</v>
      </c>
      <c r="AQ96" s="189">
        <f t="shared" si="87"/>
        <v>-7.5386582730634366E-3</v>
      </c>
      <c r="AR96" s="189">
        <f t="shared" si="88"/>
        <v>0</v>
      </c>
      <c r="AS96" s="190">
        <f t="shared" si="89"/>
        <v>-4.6992009190566231E-3</v>
      </c>
      <c r="AT96" s="196">
        <f>IF(ISERROR(VLOOKUP(A96,Mandatory!A:A,1,FALSE)),0,1)</f>
        <v>0</v>
      </c>
    </row>
    <row r="97" spans="1:46">
      <c r="A97">
        <v>410</v>
      </c>
      <c r="B97" s="185">
        <f>VLOOKUP(A97,OPATT_Activities!A:J,3,FALSE)</f>
        <v>4256</v>
      </c>
      <c r="C97" s="186">
        <f>VLOOKUP(A97,OPATT_Activities!A:J,4,FALSE)</f>
        <v>283365</v>
      </c>
      <c r="D97" s="186">
        <f>VLOOKUP(A97,OPATT_Activities!A:J,5,FALSE)</f>
        <v>12294</v>
      </c>
      <c r="E97" s="187">
        <f>VLOOKUP(A97,OPATT_Activities!A:J,6,FALSE)</f>
        <v>1196206</v>
      </c>
      <c r="F97" s="185">
        <f>VLOOKUP(A97,OPATT_Cost_Quantum!A:F,2,FALSE)</f>
        <v>852415.94784972898</v>
      </c>
      <c r="G97" s="186">
        <f>VLOOKUP(A97,OPATT_Cost_Quantum!A:F,3,FALSE)</f>
        <v>51989729.266012996</v>
      </c>
      <c r="H97" s="186">
        <f>VLOOKUP(A97,OPATT_Cost_Quantum!A:F,4,FALSE)</f>
        <v>2336463.0028054798</v>
      </c>
      <c r="I97" s="187">
        <f>VLOOKUP(A97,OPATT_Cost_Quantum!A:F,5,FALSE)</f>
        <v>141645475.74443299</v>
      </c>
      <c r="J97" s="179">
        <f t="shared" si="65"/>
        <v>200.28570203236114</v>
      </c>
      <c r="K97" s="180">
        <f t="shared" si="65"/>
        <v>183.47265634786581</v>
      </c>
      <c r="L97" s="180">
        <f t="shared" si="65"/>
        <v>190.04904854445093</v>
      </c>
      <c r="M97" s="181">
        <f t="shared" si="65"/>
        <v>118.41227660154939</v>
      </c>
      <c r="N97" s="173">
        <f>IF(ISERROR(VLOOKUP($A97,'HRGs to TFCs % Split'!$A$8:$I$117,6,0)),0,VLOOKUP($A97,'HRGs to TFCs % Split'!$A$8:$I$117,6,0))</f>
        <v>0</v>
      </c>
      <c r="O97" s="174">
        <f>IF(ISERROR(VLOOKUP($A97,'HRGs to TFCs % Split'!$A$8:$I$117,6,0)),0,VLOOKUP($A97,'HRGs to TFCs % Split'!$A$8:$I$117,7,0))</f>
        <v>1.7345765572975163E-3</v>
      </c>
      <c r="P97" s="174">
        <f>IF(ISERROR(VLOOKUP($A97,'HRGs to TFCs % Split'!$A$8:$I$117,6,0)),0,VLOOKUP($A97,'HRGs to TFCs % Split'!$A$8:$I$117,8,0))</f>
        <v>0</v>
      </c>
      <c r="Q97" s="175">
        <f>IF(ISERROR(VLOOKUP($A97,'HRGs to TFCs % Split'!$A$8:$I$117,6,0)),0,VLOOKUP($A97,'HRGs to TFCs % Split'!$A$8:$I$117,9,0))</f>
        <v>8.0747529391436111E-3</v>
      </c>
      <c r="R97" s="167">
        <f t="shared" si="66"/>
        <v>0</v>
      </c>
      <c r="S97" s="168">
        <f t="shared" si="67"/>
        <v>2738</v>
      </c>
      <c r="T97" s="168">
        <f t="shared" si="68"/>
        <v>0</v>
      </c>
      <c r="U97" s="169">
        <f t="shared" si="69"/>
        <v>12745</v>
      </c>
      <c r="V97" s="173">
        <f>IF(ISERROR(VLOOKUP($A97,'HRGs to TFCs % Split'!$A$8:$AA$117,6,0)),0,VLOOKUP($A97,'HRGs to TFCs % Split'!$A$8:$AA$117,14,0))</f>
        <v>0</v>
      </c>
      <c r="W97" s="174">
        <f>IF(ISERROR(VLOOKUP($A97,'HRGs to TFCs % Split'!$A$8:$AA$117,6,0)),0,VLOOKUP($A97,'HRGs to TFCs % Split'!$A$8:$AA$117,15,0))</f>
        <v>3.1102453398945693E-3</v>
      </c>
      <c r="X97" s="174">
        <f>IF(ISERROR(VLOOKUP($A97,'HRGs to TFCs % Split'!$A$8:$AA$117,6,0)),0,VLOOKUP($A97,'HRGs to TFCs % Split'!$A$8:$AA$117,16,0))</f>
        <v>0</v>
      </c>
      <c r="Y97" s="175">
        <f>IF(ISERROR(VLOOKUP($A97,'HRGs to TFCs % Split'!$A$8:$AA$117,6,0)),0,VLOOKUP($A97,'HRGs to TFCs % Split'!$A$8:$AA$117,17,0))</f>
        <v>1.4897207533241015E-2</v>
      </c>
      <c r="Z97" s="167">
        <f t="shared" si="82"/>
        <v>0</v>
      </c>
      <c r="AA97" s="168">
        <f t="shared" si="83"/>
        <v>550168.58144915674</v>
      </c>
      <c r="AB97" s="168">
        <f t="shared" si="84"/>
        <v>0</v>
      </c>
      <c r="AC97" s="169">
        <f t="shared" si="85"/>
        <v>2635154.0282011088</v>
      </c>
      <c r="AD97" s="200">
        <f t="shared" si="70"/>
        <v>4256</v>
      </c>
      <c r="AE97" s="201">
        <f t="shared" si="71"/>
        <v>286103</v>
      </c>
      <c r="AF97" s="201">
        <f t="shared" si="72"/>
        <v>12294</v>
      </c>
      <c r="AG97" s="202">
        <f t="shared" si="73"/>
        <v>1208951</v>
      </c>
      <c r="AH97" s="200">
        <f t="shared" si="74"/>
        <v>852415.94784972898</v>
      </c>
      <c r="AI97" s="201">
        <f t="shared" si="75"/>
        <v>52539897.847462155</v>
      </c>
      <c r="AJ97" s="201">
        <f t="shared" si="76"/>
        <v>2336463.0028054798</v>
      </c>
      <c r="AK97" s="202">
        <f t="shared" si="77"/>
        <v>144280629.77263409</v>
      </c>
      <c r="AL97" s="194">
        <f t="shared" si="78"/>
        <v>200.28570203236114</v>
      </c>
      <c r="AM97" s="195">
        <f t="shared" si="79"/>
        <v>183.63980051751346</v>
      </c>
      <c r="AN97" s="195">
        <f t="shared" si="80"/>
        <v>190.04904854445093</v>
      </c>
      <c r="AO97" s="196">
        <f t="shared" si="81"/>
        <v>119.34365393852529</v>
      </c>
      <c r="AP97" s="188">
        <f t="shared" si="86"/>
        <v>0</v>
      </c>
      <c r="AQ97" s="189">
        <f t="shared" si="87"/>
        <v>9.1100315967929113E-4</v>
      </c>
      <c r="AR97" s="189">
        <f t="shared" si="88"/>
        <v>0</v>
      </c>
      <c r="AS97" s="190">
        <f t="shared" si="89"/>
        <v>7.8655470843613795E-3</v>
      </c>
      <c r="AT97" s="196">
        <f>IF(ISERROR(VLOOKUP(A97,Mandatory!A:A,1,FALSE)),0,1)</f>
        <v>1</v>
      </c>
    </row>
    <row r="98" spans="1:46">
      <c r="A98">
        <v>420</v>
      </c>
      <c r="B98" s="185">
        <f>VLOOKUP(A98,OPATT_Activities!A:J,3,FALSE)</f>
        <v>10863</v>
      </c>
      <c r="C98" s="186">
        <f>VLOOKUP(A98,OPATT_Activities!A:J,4,FALSE)</f>
        <v>544639</v>
      </c>
      <c r="D98" s="186">
        <f>VLOOKUP(A98,OPATT_Activities!A:J,5,FALSE)</f>
        <v>24569</v>
      </c>
      <c r="E98" s="187">
        <f>VLOOKUP(A98,OPATT_Activities!A:J,6,FALSE)</f>
        <v>829976</v>
      </c>
      <c r="F98" s="185">
        <f>VLOOKUP(A98,OPATT_Cost_Quantum!A:F,2,FALSE)</f>
        <v>2211833.72313555</v>
      </c>
      <c r="G98" s="186">
        <f>VLOOKUP(A98,OPATT_Cost_Quantum!A:F,3,FALSE)</f>
        <v>112685738.95124</v>
      </c>
      <c r="H98" s="186">
        <f>VLOOKUP(A98,OPATT_Cost_Quantum!A:F,4,FALSE)</f>
        <v>4425166.7579693403</v>
      </c>
      <c r="I98" s="187">
        <f>VLOOKUP(A98,OPATT_Cost_Quantum!A:F,5,FALSE)</f>
        <v>129493138.24613599</v>
      </c>
      <c r="J98" s="179">
        <f t="shared" si="65"/>
        <v>203.61168398559789</v>
      </c>
      <c r="K98" s="180">
        <f t="shared" si="65"/>
        <v>206.89987120136459</v>
      </c>
      <c r="L98" s="180">
        <f t="shared" si="65"/>
        <v>180.11179771131671</v>
      </c>
      <c r="M98" s="181">
        <f t="shared" si="65"/>
        <v>156.02034064374874</v>
      </c>
      <c r="N98" s="173">
        <f>IF(ISERROR(VLOOKUP($A98,'HRGs to TFCs % Split'!$A$8:$I$117,6,0)),0,VLOOKUP($A98,'HRGs to TFCs % Split'!$A$8:$I$117,6,0))</f>
        <v>0</v>
      </c>
      <c r="O98" s="174">
        <f>IF(ISERROR(VLOOKUP($A98,'HRGs to TFCs % Split'!$A$8:$I$117,6,0)),0,VLOOKUP($A98,'HRGs to TFCs % Split'!$A$8:$I$117,7,0))</f>
        <v>1.1098631611827022E-3</v>
      </c>
      <c r="P98" s="174">
        <f>IF(ISERROR(VLOOKUP($A98,'HRGs to TFCs % Split'!$A$8:$I$117,6,0)),0,VLOOKUP($A98,'HRGs to TFCs % Split'!$A$8:$I$117,8,0))</f>
        <v>0</v>
      </c>
      <c r="Q98" s="175">
        <f>IF(ISERROR(VLOOKUP($A98,'HRGs to TFCs % Split'!$A$8:$I$117,6,0)),0,VLOOKUP($A98,'HRGs to TFCs % Split'!$A$8:$I$117,9,0))</f>
        <v>3.9764558369719564E-3</v>
      </c>
      <c r="R98" s="167">
        <f t="shared" si="66"/>
        <v>0</v>
      </c>
      <c r="S98" s="168">
        <f t="shared" si="67"/>
        <v>1752</v>
      </c>
      <c r="T98" s="168">
        <f t="shared" si="68"/>
        <v>0</v>
      </c>
      <c r="U98" s="169">
        <f t="shared" si="69"/>
        <v>6276</v>
      </c>
      <c r="V98" s="173">
        <f>IF(ISERROR(VLOOKUP($A98,'HRGs to TFCs % Split'!$A$8:$AA$117,6,0)),0,VLOOKUP($A98,'HRGs to TFCs % Split'!$A$8:$AA$117,14,0))</f>
        <v>0</v>
      </c>
      <c r="W98" s="174">
        <f>IF(ISERROR(VLOOKUP($A98,'HRGs to TFCs % Split'!$A$8:$AA$117,6,0)),0,VLOOKUP($A98,'HRGs to TFCs % Split'!$A$8:$AA$117,15,0))</f>
        <v>1.2592429245787944E-3</v>
      </c>
      <c r="X98" s="174">
        <f>IF(ISERROR(VLOOKUP($A98,'HRGs to TFCs % Split'!$A$8:$AA$117,6,0)),0,VLOOKUP($A98,'HRGs to TFCs % Split'!$A$8:$AA$117,16,0))</f>
        <v>0</v>
      </c>
      <c r="Y98" s="175">
        <f>IF(ISERROR(VLOOKUP($A98,'HRGs to TFCs % Split'!$A$8:$AA$117,6,0)),0,VLOOKUP($A98,'HRGs to TFCs % Split'!$A$8:$AA$117,17,0))</f>
        <v>4.3241971086672298E-3</v>
      </c>
      <c r="Z98" s="167">
        <f t="shared" si="82"/>
        <v>0</v>
      </c>
      <c r="AA98" s="168">
        <f t="shared" si="83"/>
        <v>222746.38101021547</v>
      </c>
      <c r="AB98" s="168">
        <f t="shared" si="84"/>
        <v>0</v>
      </c>
      <c r="AC98" s="169">
        <f t="shared" si="85"/>
        <v>764903.44946956483</v>
      </c>
      <c r="AD98" s="200">
        <f t="shared" si="70"/>
        <v>10863</v>
      </c>
      <c r="AE98" s="201">
        <f t="shared" si="71"/>
        <v>546391</v>
      </c>
      <c r="AF98" s="201">
        <f t="shared" si="72"/>
        <v>24569</v>
      </c>
      <c r="AG98" s="202">
        <f t="shared" si="73"/>
        <v>836252</v>
      </c>
      <c r="AH98" s="200">
        <f t="shared" si="74"/>
        <v>2211833.72313555</v>
      </c>
      <c r="AI98" s="201">
        <f t="shared" si="75"/>
        <v>112908485.33225022</v>
      </c>
      <c r="AJ98" s="201">
        <f t="shared" si="76"/>
        <v>4425166.7579693403</v>
      </c>
      <c r="AK98" s="202">
        <f t="shared" si="77"/>
        <v>130258041.69560556</v>
      </c>
      <c r="AL98" s="194">
        <f t="shared" si="78"/>
        <v>203.61168398559789</v>
      </c>
      <c r="AM98" s="195">
        <f t="shared" si="79"/>
        <v>206.64411626884453</v>
      </c>
      <c r="AN98" s="195">
        <f t="shared" si="80"/>
        <v>180.11179771131671</v>
      </c>
      <c r="AO98" s="196">
        <f t="shared" si="81"/>
        <v>155.76410184442676</v>
      </c>
      <c r="AP98" s="188">
        <f t="shared" si="86"/>
        <v>0</v>
      </c>
      <c r="AQ98" s="189">
        <f t="shared" si="87"/>
        <v>-1.2361290078868326E-3</v>
      </c>
      <c r="AR98" s="189">
        <f t="shared" si="88"/>
        <v>0</v>
      </c>
      <c r="AS98" s="190">
        <f t="shared" si="89"/>
        <v>-1.6423422629685547E-3</v>
      </c>
      <c r="AT98" s="196">
        <f>IF(ISERROR(VLOOKUP(A98,Mandatory!A:A,1,FALSE)),0,1)</f>
        <v>1</v>
      </c>
    </row>
    <row r="99" spans="1:46">
      <c r="A99">
        <v>421</v>
      </c>
      <c r="B99" s="185">
        <f>VLOOKUP(A99,OPATT_Activities!A:J,3,FALSE)</f>
        <v>1083</v>
      </c>
      <c r="C99" s="186">
        <f>VLOOKUP(A99,OPATT_Activities!A:J,4,FALSE)</f>
        <v>16436</v>
      </c>
      <c r="D99" s="186">
        <f>VLOOKUP(A99,OPATT_Activities!A:J,5,FALSE)</f>
        <v>3012</v>
      </c>
      <c r="E99" s="187">
        <f>VLOOKUP(A99,OPATT_Activities!A:J,6,FALSE)</f>
        <v>37624</v>
      </c>
      <c r="F99" s="185">
        <f>VLOOKUP(A99,OPATT_Cost_Quantum!A:F,2,FALSE)</f>
        <v>323630.40257683501</v>
      </c>
      <c r="G99" s="186">
        <f>VLOOKUP(A99,OPATT_Cost_Quantum!A:F,3,FALSE)</f>
        <v>5710712.6729919398</v>
      </c>
      <c r="H99" s="186">
        <f>VLOOKUP(A99,OPATT_Cost_Quantum!A:F,4,FALSE)</f>
        <v>718461.99176653801</v>
      </c>
      <c r="I99" s="187">
        <f>VLOOKUP(A99,OPATT_Cost_Quantum!A:F,5,FALSE)</f>
        <v>9610110.0722796209</v>
      </c>
      <c r="J99" s="179">
        <f t="shared" si="65"/>
        <v>298.82770321037395</v>
      </c>
      <c r="K99" s="180">
        <f t="shared" si="65"/>
        <v>347.45148898709783</v>
      </c>
      <c r="L99" s="180">
        <f t="shared" si="65"/>
        <v>238.53319779765539</v>
      </c>
      <c r="M99" s="181">
        <f t="shared" si="65"/>
        <v>255.42499660534821</v>
      </c>
      <c r="N99" s="173">
        <f>IF(ISERROR(VLOOKUP($A99,'HRGs to TFCs % Split'!$A$8:$I$117,6,0)),0,VLOOKUP($A99,'HRGs to TFCs % Split'!$A$8:$I$117,6,0))</f>
        <v>0</v>
      </c>
      <c r="O99" s="174">
        <f>IF(ISERROR(VLOOKUP($A99,'HRGs to TFCs % Split'!$A$8:$I$117,6,0)),0,VLOOKUP($A99,'HRGs to TFCs % Split'!$A$8:$I$117,7,0))</f>
        <v>4.7998074169577933E-5</v>
      </c>
      <c r="P99" s="174">
        <f>IF(ISERROR(VLOOKUP($A99,'HRGs to TFCs % Split'!$A$8:$I$117,6,0)),0,VLOOKUP($A99,'HRGs to TFCs % Split'!$A$8:$I$117,8,0))</f>
        <v>0</v>
      </c>
      <c r="Q99" s="175">
        <f>IF(ISERROR(VLOOKUP($A99,'HRGs to TFCs % Split'!$A$8:$I$117,6,0)),0,VLOOKUP($A99,'HRGs to TFCs % Split'!$A$8:$I$117,9,0))</f>
        <v>4.5782778438674336E-5</v>
      </c>
      <c r="R99" s="167">
        <f t="shared" si="66"/>
        <v>0</v>
      </c>
      <c r="S99" s="168">
        <f t="shared" si="67"/>
        <v>76</v>
      </c>
      <c r="T99" s="168">
        <f t="shared" si="68"/>
        <v>0</v>
      </c>
      <c r="U99" s="169">
        <f t="shared" si="69"/>
        <v>72</v>
      </c>
      <c r="V99" s="173">
        <f>IF(ISERROR(VLOOKUP($A99,'HRGs to TFCs % Split'!$A$8:$AA$117,6,0)),0,VLOOKUP($A99,'HRGs to TFCs % Split'!$A$8:$AA$117,14,0))</f>
        <v>0</v>
      </c>
      <c r="W99" s="174">
        <f>IF(ISERROR(VLOOKUP($A99,'HRGs to TFCs % Split'!$A$8:$AA$117,6,0)),0,VLOOKUP($A99,'HRGs to TFCs % Split'!$A$8:$AA$117,15,0))</f>
        <v>6.0316336328667414E-5</v>
      </c>
      <c r="X99" s="174">
        <f>IF(ISERROR(VLOOKUP($A99,'HRGs to TFCs % Split'!$A$8:$AA$117,6,0)),0,VLOOKUP($A99,'HRGs to TFCs % Split'!$A$8:$AA$117,16,0))</f>
        <v>0</v>
      </c>
      <c r="Y99" s="175">
        <f>IF(ISERROR(VLOOKUP($A99,'HRGs to TFCs % Split'!$A$8:$AA$117,6,0)),0,VLOOKUP($A99,'HRGs to TFCs % Split'!$A$8:$AA$117,17,0))</f>
        <v>8.5444157120964179E-5</v>
      </c>
      <c r="Z99" s="167">
        <f t="shared" si="82"/>
        <v>0</v>
      </c>
      <c r="AA99" s="168">
        <f t="shared" si="83"/>
        <v>10669.304048303167</v>
      </c>
      <c r="AB99" s="168">
        <f t="shared" si="84"/>
        <v>0</v>
      </c>
      <c r="AC99" s="169">
        <f t="shared" si="85"/>
        <v>15114.142319703056</v>
      </c>
      <c r="AD99" s="200">
        <f t="shared" si="70"/>
        <v>1083</v>
      </c>
      <c r="AE99" s="201">
        <f t="shared" si="71"/>
        <v>16512</v>
      </c>
      <c r="AF99" s="201">
        <f t="shared" si="72"/>
        <v>3012</v>
      </c>
      <c r="AG99" s="202">
        <f t="shared" si="73"/>
        <v>37696</v>
      </c>
      <c r="AH99" s="200">
        <f t="shared" si="74"/>
        <v>323630.40257683501</v>
      </c>
      <c r="AI99" s="201">
        <f t="shared" si="75"/>
        <v>5721381.9770402433</v>
      </c>
      <c r="AJ99" s="201">
        <f t="shared" si="76"/>
        <v>718461.99176653801</v>
      </c>
      <c r="AK99" s="202">
        <f t="shared" si="77"/>
        <v>9625224.2145993244</v>
      </c>
      <c r="AL99" s="194">
        <f t="shared" si="78"/>
        <v>298.82770321037395</v>
      </c>
      <c r="AM99" s="195">
        <f t="shared" si="79"/>
        <v>346.49842399710775</v>
      </c>
      <c r="AN99" s="195">
        <f t="shared" si="80"/>
        <v>238.53319779765539</v>
      </c>
      <c r="AO99" s="196">
        <f t="shared" si="81"/>
        <v>255.33807869798716</v>
      </c>
      <c r="AP99" s="188">
        <f t="shared" si="86"/>
        <v>0</v>
      </c>
      <c r="AQ99" s="189">
        <f t="shared" si="87"/>
        <v>-2.7430159898537143E-3</v>
      </c>
      <c r="AR99" s="189">
        <f t="shared" si="88"/>
        <v>0</v>
      </c>
      <c r="AS99" s="190">
        <f t="shared" si="89"/>
        <v>-3.4028739753821924E-4</v>
      </c>
      <c r="AT99" s="196">
        <f>IF(ISERROR(VLOOKUP(A99,Mandatory!A:A,1,FALSE)),0,1)</f>
        <v>0</v>
      </c>
    </row>
    <row r="100" spans="1:46">
      <c r="A100">
        <v>422</v>
      </c>
      <c r="B100" s="185">
        <f>VLOOKUP(A100,OPATT_Activities!A:J,3,FALSE)</f>
        <v>132</v>
      </c>
      <c r="C100" s="186">
        <f>VLOOKUP(A100,OPATT_Activities!A:J,4,FALSE)</f>
        <v>10676</v>
      </c>
      <c r="D100" s="186">
        <f>VLOOKUP(A100,OPATT_Activities!A:J,5,FALSE)</f>
        <v>516</v>
      </c>
      <c r="E100" s="187">
        <f>VLOOKUP(A100,OPATT_Activities!A:J,6,FALSE)</f>
        <v>18607</v>
      </c>
      <c r="F100" s="185">
        <f>VLOOKUP(A100,OPATT_Cost_Quantum!A:F,2,FALSE)</f>
        <v>31130.8134929404</v>
      </c>
      <c r="G100" s="186">
        <f>VLOOKUP(A100,OPATT_Cost_Quantum!A:F,3,FALSE)</f>
        <v>1973072.70016772</v>
      </c>
      <c r="H100" s="186">
        <f>VLOOKUP(A100,OPATT_Cost_Quantum!A:F,4,FALSE)</f>
        <v>158756.65644093399</v>
      </c>
      <c r="I100" s="187">
        <f>VLOOKUP(A100,OPATT_Cost_Quantum!A:F,5,FALSE)</f>
        <v>2821649.1380133601</v>
      </c>
      <c r="J100" s="179">
        <f t="shared" si="65"/>
        <v>235.83949615863941</v>
      </c>
      <c r="K100" s="180">
        <f t="shared" si="65"/>
        <v>184.81385351889472</v>
      </c>
      <c r="L100" s="180">
        <f t="shared" si="65"/>
        <v>307.66793883901937</v>
      </c>
      <c r="M100" s="181">
        <f t="shared" si="65"/>
        <v>151.64449605059173</v>
      </c>
      <c r="N100" s="173">
        <f>IF(ISERROR(VLOOKUP($A100,'HRGs to TFCs % Split'!$A$8:$I$117,6,0)),0,VLOOKUP($A100,'HRGs to TFCs % Split'!$A$8:$I$117,6,0))</f>
        <v>0</v>
      </c>
      <c r="O100" s="174">
        <f>IF(ISERROR(VLOOKUP($A100,'HRGs to TFCs % Split'!$A$8:$I$117,6,0)),0,VLOOKUP($A100,'HRGs to TFCs % Split'!$A$8:$I$117,7,0))</f>
        <v>0</v>
      </c>
      <c r="P100" s="174">
        <f>IF(ISERROR(VLOOKUP($A100,'HRGs to TFCs % Split'!$A$8:$I$117,6,0)),0,VLOOKUP($A100,'HRGs to TFCs % Split'!$A$8:$I$117,8,0))</f>
        <v>0</v>
      </c>
      <c r="Q100" s="175">
        <f>IF(ISERROR(VLOOKUP($A100,'HRGs to TFCs % Split'!$A$8:$I$117,6,0)),0,VLOOKUP($A100,'HRGs to TFCs % Split'!$A$8:$I$117,9,0))</f>
        <v>0</v>
      </c>
      <c r="R100" s="167">
        <f t="shared" si="66"/>
        <v>0</v>
      </c>
      <c r="S100" s="168">
        <f t="shared" si="67"/>
        <v>0</v>
      </c>
      <c r="T100" s="168">
        <f t="shared" si="68"/>
        <v>0</v>
      </c>
      <c r="U100" s="169">
        <f t="shared" si="69"/>
        <v>0</v>
      </c>
      <c r="V100" s="173">
        <f>IF(ISERROR(VLOOKUP($A100,'HRGs to TFCs % Split'!$A$8:$AA$117,6,0)),0,VLOOKUP($A100,'HRGs to TFCs % Split'!$A$8:$AA$117,14,0))</f>
        <v>0</v>
      </c>
      <c r="W100" s="174">
        <f>IF(ISERROR(VLOOKUP($A100,'HRGs to TFCs % Split'!$A$8:$AA$117,6,0)),0,VLOOKUP($A100,'HRGs to TFCs % Split'!$A$8:$AA$117,15,0))</f>
        <v>0</v>
      </c>
      <c r="X100" s="174">
        <f>IF(ISERROR(VLOOKUP($A100,'HRGs to TFCs % Split'!$A$8:$AA$117,6,0)),0,VLOOKUP($A100,'HRGs to TFCs % Split'!$A$8:$AA$117,16,0))</f>
        <v>0</v>
      </c>
      <c r="Y100" s="175">
        <f>IF(ISERROR(VLOOKUP($A100,'HRGs to TFCs % Split'!$A$8:$AA$117,6,0)),0,VLOOKUP($A100,'HRGs to TFCs % Split'!$A$8:$AA$117,17,0))</f>
        <v>0</v>
      </c>
      <c r="Z100" s="167">
        <f t="shared" si="82"/>
        <v>0</v>
      </c>
      <c r="AA100" s="168">
        <f t="shared" si="83"/>
        <v>0</v>
      </c>
      <c r="AB100" s="168">
        <f t="shared" si="84"/>
        <v>0</v>
      </c>
      <c r="AC100" s="169">
        <f t="shared" si="85"/>
        <v>0</v>
      </c>
      <c r="AD100" s="200">
        <f t="shared" si="70"/>
        <v>132</v>
      </c>
      <c r="AE100" s="201">
        <f t="shared" si="71"/>
        <v>10676</v>
      </c>
      <c r="AF100" s="201">
        <f t="shared" si="72"/>
        <v>516</v>
      </c>
      <c r="AG100" s="202">
        <f t="shared" si="73"/>
        <v>18607</v>
      </c>
      <c r="AH100" s="200">
        <f t="shared" si="74"/>
        <v>31130.8134929404</v>
      </c>
      <c r="AI100" s="201">
        <f t="shared" si="75"/>
        <v>1973072.70016772</v>
      </c>
      <c r="AJ100" s="201">
        <f t="shared" si="76"/>
        <v>158756.65644093399</v>
      </c>
      <c r="AK100" s="202">
        <f t="shared" si="77"/>
        <v>2821649.1380133601</v>
      </c>
      <c r="AL100" s="194">
        <f t="shared" si="78"/>
        <v>235.83949615863941</v>
      </c>
      <c r="AM100" s="195">
        <f t="shared" si="79"/>
        <v>184.81385351889472</v>
      </c>
      <c r="AN100" s="195">
        <f t="shared" si="80"/>
        <v>307.66793883901937</v>
      </c>
      <c r="AO100" s="196">
        <f t="shared" si="81"/>
        <v>151.64449605059173</v>
      </c>
      <c r="AP100" s="188">
        <f t="shared" si="86"/>
        <v>0</v>
      </c>
      <c r="AQ100" s="189">
        <f t="shared" si="87"/>
        <v>0</v>
      </c>
      <c r="AR100" s="189">
        <f t="shared" si="88"/>
        <v>0</v>
      </c>
      <c r="AS100" s="190">
        <f t="shared" si="89"/>
        <v>0</v>
      </c>
      <c r="AT100" s="196">
        <f>IF(ISERROR(VLOOKUP(A100,Mandatory!A:A,1,FALSE)),0,1)</f>
        <v>0</v>
      </c>
    </row>
    <row r="101" spans="1:46">
      <c r="A101">
        <v>430</v>
      </c>
      <c r="B101" s="185">
        <f>VLOOKUP(A101,OPATT_Activities!A:J,3,FALSE)</f>
        <v>4676</v>
      </c>
      <c r="C101" s="186">
        <f>VLOOKUP(A101,OPATT_Activities!A:J,4,FALSE)</f>
        <v>172195</v>
      </c>
      <c r="D101" s="186">
        <f>VLOOKUP(A101,OPATT_Activities!A:J,5,FALSE)</f>
        <v>6145</v>
      </c>
      <c r="E101" s="187">
        <f>VLOOKUP(A101,OPATT_Activities!A:J,6,FALSE)</f>
        <v>253980</v>
      </c>
      <c r="F101" s="185">
        <f>VLOOKUP(A101,OPATT_Cost_Quantum!A:F,2,FALSE)</f>
        <v>889826.65469672403</v>
      </c>
      <c r="G101" s="186">
        <f>VLOOKUP(A101,OPATT_Cost_Quantum!A:F,3,FALSE)</f>
        <v>39794075.403171703</v>
      </c>
      <c r="H101" s="186">
        <f>VLOOKUP(A101,OPATT_Cost_Quantum!A:F,4,FALSE)</f>
        <v>868086.52457540506</v>
      </c>
      <c r="I101" s="187">
        <f>VLOOKUP(A101,OPATT_Cost_Quantum!A:F,5,FALSE)</f>
        <v>40279054.575345397</v>
      </c>
      <c r="J101" s="179">
        <f t="shared" si="65"/>
        <v>190.29654719775962</v>
      </c>
      <c r="K101" s="180">
        <f t="shared" si="65"/>
        <v>231.09890184483697</v>
      </c>
      <c r="L101" s="180">
        <f t="shared" si="65"/>
        <v>141.2671317453873</v>
      </c>
      <c r="M101" s="181">
        <f t="shared" si="65"/>
        <v>158.59144253620519</v>
      </c>
      <c r="N101" s="173">
        <f>IF(ISERROR(VLOOKUP($A101,'HRGs to TFCs % Split'!$A$8:$I$117,6,0)),0,VLOOKUP($A101,'HRGs to TFCs % Split'!$A$8:$I$117,6,0))</f>
        <v>0</v>
      </c>
      <c r="O101" s="174">
        <f>IF(ISERROR(VLOOKUP($A101,'HRGs to TFCs % Split'!$A$8:$I$117,6,0)),0,VLOOKUP($A101,'HRGs to TFCs % Split'!$A$8:$I$117,7,0))</f>
        <v>7.4581622940421096E-4</v>
      </c>
      <c r="P101" s="174">
        <f>IF(ISERROR(VLOOKUP($A101,'HRGs to TFCs % Split'!$A$8:$I$117,6,0)),0,VLOOKUP($A101,'HRGs to TFCs % Split'!$A$8:$I$117,8,0))</f>
        <v>0</v>
      </c>
      <c r="Q101" s="175">
        <f>IF(ISERROR(VLOOKUP($A101,'HRGs to TFCs % Split'!$A$8:$I$117,6,0)),0,VLOOKUP($A101,'HRGs to TFCs % Split'!$A$8:$I$117,9,0))</f>
        <v>5.9148396015126043E-4</v>
      </c>
      <c r="R101" s="167">
        <f t="shared" si="66"/>
        <v>0</v>
      </c>
      <c r="S101" s="168">
        <f t="shared" si="67"/>
        <v>1177</v>
      </c>
      <c r="T101" s="168">
        <f t="shared" si="68"/>
        <v>0</v>
      </c>
      <c r="U101" s="169">
        <f t="shared" si="69"/>
        <v>934</v>
      </c>
      <c r="V101" s="173">
        <f>IF(ISERROR(VLOOKUP($A101,'HRGs to TFCs % Split'!$A$8:$AA$117,6,0)),0,VLOOKUP($A101,'HRGs to TFCs % Split'!$A$8:$AA$117,14,0))</f>
        <v>0</v>
      </c>
      <c r="W101" s="174">
        <f>IF(ISERROR(VLOOKUP($A101,'HRGs to TFCs % Split'!$A$8:$AA$117,6,0)),0,VLOOKUP($A101,'HRGs to TFCs % Split'!$A$8:$AA$117,15,0))</f>
        <v>2.146236909048126E-3</v>
      </c>
      <c r="X101" s="174">
        <f>IF(ISERROR(VLOOKUP($A101,'HRGs to TFCs % Split'!$A$8:$AA$117,6,0)),0,VLOOKUP($A101,'HRGs to TFCs % Split'!$A$8:$AA$117,16,0))</f>
        <v>0</v>
      </c>
      <c r="Y101" s="175">
        <f>IF(ISERROR(VLOOKUP($A101,'HRGs to TFCs % Split'!$A$8:$AA$117,6,0)),0,VLOOKUP($A101,'HRGs to TFCs % Split'!$A$8:$AA$117,17,0))</f>
        <v>1.5207645912762519E-3</v>
      </c>
      <c r="Z101" s="167">
        <f t="shared" si="82"/>
        <v>0</v>
      </c>
      <c r="AA101" s="168">
        <f t="shared" si="83"/>
        <v>379645.97215499944</v>
      </c>
      <c r="AB101" s="168">
        <f t="shared" si="84"/>
        <v>0</v>
      </c>
      <c r="AC101" s="169">
        <f t="shared" si="85"/>
        <v>269006.72019941802</v>
      </c>
      <c r="AD101" s="200">
        <f t="shared" si="70"/>
        <v>4676</v>
      </c>
      <c r="AE101" s="201">
        <f t="shared" si="71"/>
        <v>173372</v>
      </c>
      <c r="AF101" s="201">
        <f t="shared" si="72"/>
        <v>6145</v>
      </c>
      <c r="AG101" s="202">
        <f t="shared" si="73"/>
        <v>254914</v>
      </c>
      <c r="AH101" s="200">
        <f t="shared" si="74"/>
        <v>889826.65469672403</v>
      </c>
      <c r="AI101" s="201">
        <f t="shared" si="75"/>
        <v>40173721.375326701</v>
      </c>
      <c r="AJ101" s="201">
        <f t="shared" si="76"/>
        <v>868086.52457540506</v>
      </c>
      <c r="AK101" s="202">
        <f t="shared" si="77"/>
        <v>40548061.295544818</v>
      </c>
      <c r="AL101" s="194">
        <f t="shared" si="78"/>
        <v>190.29654719775962</v>
      </c>
      <c r="AM101" s="195">
        <f t="shared" si="79"/>
        <v>231.7197781379156</v>
      </c>
      <c r="AN101" s="195">
        <f t="shared" si="80"/>
        <v>141.2671317453873</v>
      </c>
      <c r="AO101" s="196">
        <f t="shared" si="81"/>
        <v>159.06565075101727</v>
      </c>
      <c r="AP101" s="188">
        <f t="shared" si="86"/>
        <v>0</v>
      </c>
      <c r="AQ101" s="189">
        <f t="shared" si="87"/>
        <v>2.6866258910027696E-3</v>
      </c>
      <c r="AR101" s="189">
        <f t="shared" si="88"/>
        <v>0</v>
      </c>
      <c r="AS101" s="190">
        <f t="shared" si="89"/>
        <v>2.9901248593777741E-3</v>
      </c>
      <c r="AT101" s="196">
        <f>IF(ISERROR(VLOOKUP(A101,Mandatory!A:A,1,FALSE)),0,1)</f>
        <v>1</v>
      </c>
    </row>
    <row r="102" spans="1:46">
      <c r="A102">
        <v>450</v>
      </c>
      <c r="B102" s="185">
        <f>VLOOKUP(A102,OPATT_Activities!A:J,3,FALSE)</f>
        <v>20</v>
      </c>
      <c r="C102" s="186">
        <f>VLOOKUP(A102,OPATT_Activities!A:J,4,FALSE)</f>
        <v>21147</v>
      </c>
      <c r="D102" s="186">
        <f>VLOOKUP(A102,OPATT_Activities!A:J,5,FALSE)</f>
        <v>62</v>
      </c>
      <c r="E102" s="187">
        <f>VLOOKUP(A102,OPATT_Activities!A:J,6,FALSE)</f>
        <v>23928</v>
      </c>
      <c r="F102" s="185">
        <f>VLOOKUP(A102,OPATT_Cost_Quantum!A:F,2,FALSE)</f>
        <v>4134.1724510568502</v>
      </c>
      <c r="G102" s="186">
        <f>VLOOKUP(A102,OPATT_Cost_Quantum!A:F,3,FALSE)</f>
        <v>2128792.3610637099</v>
      </c>
      <c r="H102" s="186">
        <f>VLOOKUP(A102,OPATT_Cost_Quantum!A:F,4,FALSE)</f>
        <v>6066.9552166929798</v>
      </c>
      <c r="I102" s="187">
        <f>VLOOKUP(A102,OPATT_Cost_Quantum!A:F,5,FALSE)</f>
        <v>2081992.94387608</v>
      </c>
      <c r="J102" s="179">
        <f t="shared" si="65"/>
        <v>206.70862255284251</v>
      </c>
      <c r="K102" s="180">
        <f t="shared" si="65"/>
        <v>100.66640001247032</v>
      </c>
      <c r="L102" s="180">
        <f t="shared" si="65"/>
        <v>97.854116398273874</v>
      </c>
      <c r="M102" s="181">
        <f t="shared" si="65"/>
        <v>87.01073820946506</v>
      </c>
      <c r="N102" s="173">
        <f>IF(ISERROR(VLOOKUP($A102,'HRGs to TFCs % Split'!$A$8:$I$117,6,0)),0,VLOOKUP($A102,'HRGs to TFCs % Split'!$A$8:$I$117,6,0))</f>
        <v>0</v>
      </c>
      <c r="O102" s="174">
        <f>IF(ISERROR(VLOOKUP($A102,'HRGs to TFCs % Split'!$A$8:$I$117,6,0)),0,VLOOKUP($A102,'HRGs to TFCs % Split'!$A$8:$I$117,7,0))</f>
        <v>0</v>
      </c>
      <c r="P102" s="174">
        <f>IF(ISERROR(VLOOKUP($A102,'HRGs to TFCs % Split'!$A$8:$I$117,6,0)),0,VLOOKUP($A102,'HRGs to TFCs % Split'!$A$8:$I$117,8,0))</f>
        <v>0</v>
      </c>
      <c r="Q102" s="175">
        <f>IF(ISERROR(VLOOKUP($A102,'HRGs to TFCs % Split'!$A$8:$I$117,6,0)),0,VLOOKUP($A102,'HRGs to TFCs % Split'!$A$8:$I$117,9,0))</f>
        <v>0</v>
      </c>
      <c r="R102" s="167">
        <f t="shared" si="66"/>
        <v>0</v>
      </c>
      <c r="S102" s="168">
        <f t="shared" si="67"/>
        <v>0</v>
      </c>
      <c r="T102" s="168">
        <f t="shared" si="68"/>
        <v>0</v>
      </c>
      <c r="U102" s="169">
        <f t="shared" si="69"/>
        <v>0</v>
      </c>
      <c r="V102" s="173">
        <f>IF(ISERROR(VLOOKUP($A102,'HRGs to TFCs % Split'!$A$8:$AA$117,6,0)),0,VLOOKUP($A102,'HRGs to TFCs % Split'!$A$8:$AA$117,14,0))</f>
        <v>0</v>
      </c>
      <c r="W102" s="174">
        <f>IF(ISERROR(VLOOKUP($A102,'HRGs to TFCs % Split'!$A$8:$AA$117,6,0)),0,VLOOKUP($A102,'HRGs to TFCs % Split'!$A$8:$AA$117,15,0))</f>
        <v>0</v>
      </c>
      <c r="X102" s="174">
        <f>IF(ISERROR(VLOOKUP($A102,'HRGs to TFCs % Split'!$A$8:$AA$117,6,0)),0,VLOOKUP($A102,'HRGs to TFCs % Split'!$A$8:$AA$117,16,0))</f>
        <v>0</v>
      </c>
      <c r="Y102" s="175">
        <f>IF(ISERROR(VLOOKUP($A102,'HRGs to TFCs % Split'!$A$8:$AA$117,6,0)),0,VLOOKUP($A102,'HRGs to TFCs % Split'!$A$8:$AA$117,17,0))</f>
        <v>0</v>
      </c>
      <c r="Z102" s="167">
        <f t="shared" si="82"/>
        <v>0</v>
      </c>
      <c r="AA102" s="168">
        <f t="shared" si="83"/>
        <v>0</v>
      </c>
      <c r="AB102" s="168">
        <f t="shared" si="84"/>
        <v>0</v>
      </c>
      <c r="AC102" s="169">
        <f t="shared" si="85"/>
        <v>0</v>
      </c>
      <c r="AD102" s="200">
        <f t="shared" si="70"/>
        <v>20</v>
      </c>
      <c r="AE102" s="201">
        <f t="shared" si="71"/>
        <v>21147</v>
      </c>
      <c r="AF102" s="201">
        <f t="shared" si="72"/>
        <v>62</v>
      </c>
      <c r="AG102" s="202">
        <f t="shared" si="73"/>
        <v>23928</v>
      </c>
      <c r="AH102" s="200">
        <f t="shared" si="74"/>
        <v>4134.1724510568502</v>
      </c>
      <c r="AI102" s="201">
        <f t="shared" si="75"/>
        <v>2128792.3610637099</v>
      </c>
      <c r="AJ102" s="201">
        <f t="shared" si="76"/>
        <v>6066.9552166929798</v>
      </c>
      <c r="AK102" s="202">
        <f t="shared" si="77"/>
        <v>2081992.94387608</v>
      </c>
      <c r="AL102" s="194">
        <f t="shared" si="78"/>
        <v>206.70862255284251</v>
      </c>
      <c r="AM102" s="195">
        <f t="shared" si="79"/>
        <v>100.66640001247032</v>
      </c>
      <c r="AN102" s="195">
        <f t="shared" si="80"/>
        <v>97.854116398273874</v>
      </c>
      <c r="AO102" s="196">
        <f t="shared" si="81"/>
        <v>87.01073820946506</v>
      </c>
      <c r="AP102" s="188">
        <f t="shared" si="86"/>
        <v>0</v>
      </c>
      <c r="AQ102" s="189">
        <f t="shared" si="87"/>
        <v>0</v>
      </c>
      <c r="AR102" s="189">
        <f t="shared" si="88"/>
        <v>0</v>
      </c>
      <c r="AS102" s="190">
        <f t="shared" si="89"/>
        <v>0</v>
      </c>
      <c r="AT102" s="196">
        <f>IF(ISERROR(VLOOKUP(A102,Mandatory!A:A,1,FALSE)),0,1)</f>
        <v>0</v>
      </c>
    </row>
    <row r="103" spans="1:46">
      <c r="A103">
        <v>460</v>
      </c>
      <c r="B103" s="185">
        <f>VLOOKUP(A103,OPATT_Activities!A:J,3,FALSE)</f>
        <v>101</v>
      </c>
      <c r="C103" s="186">
        <f>VLOOKUP(A103,OPATT_Activities!A:J,4,FALSE)</f>
        <v>5010</v>
      </c>
      <c r="D103" s="186">
        <f>VLOOKUP(A103,OPATT_Activities!A:J,5,FALSE)</f>
        <v>722</v>
      </c>
      <c r="E103" s="187">
        <f>VLOOKUP(A103,OPATT_Activities!A:J,6,FALSE)</f>
        <v>18192</v>
      </c>
      <c r="F103" s="185">
        <f>VLOOKUP(A103,OPATT_Cost_Quantum!A:F,2,FALSE)</f>
        <v>6327.9176445742596</v>
      </c>
      <c r="G103" s="186">
        <f>VLOOKUP(A103,OPATT_Cost_Quantum!A:F,3,FALSE)</f>
        <v>490934.13369404699</v>
      </c>
      <c r="H103" s="186">
        <f>VLOOKUP(A103,OPATT_Cost_Quantum!A:F,4,FALSE)</f>
        <v>83890.415785628997</v>
      </c>
      <c r="I103" s="187">
        <f>VLOOKUP(A103,OPATT_Cost_Quantum!A:F,5,FALSE)</f>
        <v>1270310.3475369101</v>
      </c>
      <c r="J103" s="179">
        <f t="shared" si="65"/>
        <v>62.652649946279801</v>
      </c>
      <c r="K103" s="180">
        <f t="shared" si="65"/>
        <v>97.990845048711975</v>
      </c>
      <c r="L103" s="180">
        <f t="shared" si="65"/>
        <v>116.1917116144446</v>
      </c>
      <c r="M103" s="181">
        <f t="shared" si="65"/>
        <v>69.82796545387589</v>
      </c>
      <c r="N103" s="173">
        <f>IF(ISERROR(VLOOKUP($A103,'HRGs to TFCs % Split'!$A$8:$I$117,6,0)),0,VLOOKUP($A103,'HRGs to TFCs % Split'!$A$8:$I$117,6,0))</f>
        <v>0</v>
      </c>
      <c r="O103" s="174">
        <f>IF(ISERROR(VLOOKUP($A103,'HRGs to TFCs % Split'!$A$8:$I$117,6,0)),0,VLOOKUP($A103,'HRGs to TFCs % Split'!$A$8:$I$117,7,0))</f>
        <v>5.1690233721083927E-6</v>
      </c>
      <c r="P103" s="174">
        <f>IF(ISERROR(VLOOKUP($A103,'HRGs to TFCs % Split'!$A$8:$I$117,6,0)),0,VLOOKUP($A103,'HRGs to TFCs % Split'!$A$8:$I$117,8,0))</f>
        <v>0</v>
      </c>
      <c r="Q103" s="175">
        <f>IF(ISERROR(VLOOKUP($A103,'HRGs to TFCs % Split'!$A$8:$I$117,6,0)),0,VLOOKUP($A103,'HRGs to TFCs % Split'!$A$8:$I$117,9,0))</f>
        <v>2.2891389219337168E-5</v>
      </c>
      <c r="R103" s="167">
        <f t="shared" si="66"/>
        <v>0</v>
      </c>
      <c r="S103" s="168">
        <f t="shared" si="67"/>
        <v>8</v>
      </c>
      <c r="T103" s="168">
        <f t="shared" si="68"/>
        <v>0</v>
      </c>
      <c r="U103" s="169">
        <f t="shared" si="69"/>
        <v>36</v>
      </c>
      <c r="V103" s="173">
        <f>IF(ISERROR(VLOOKUP($A103,'HRGs to TFCs % Split'!$A$8:$AA$117,6,0)),0,VLOOKUP($A103,'HRGs to TFCs % Split'!$A$8:$AA$117,14,0))</f>
        <v>0</v>
      </c>
      <c r="W103" s="174">
        <f>IF(ISERROR(VLOOKUP($A103,'HRGs to TFCs % Split'!$A$8:$AA$117,6,0)),0,VLOOKUP($A103,'HRGs to TFCs % Split'!$A$8:$AA$117,15,0))</f>
        <v>1.7277806378142903E-5</v>
      </c>
      <c r="X103" s="174">
        <f>IF(ISERROR(VLOOKUP($A103,'HRGs to TFCs % Split'!$A$8:$AA$117,6,0)),0,VLOOKUP($A103,'HRGs to TFCs % Split'!$A$8:$AA$117,16,0))</f>
        <v>0</v>
      </c>
      <c r="Y103" s="175">
        <f>IF(ISERROR(VLOOKUP($A103,'HRGs to TFCs % Split'!$A$8:$AA$117,6,0)),0,VLOOKUP($A103,'HRGs to TFCs % Split'!$A$8:$AA$117,17,0))</f>
        <v>3.7246852469798299E-5</v>
      </c>
      <c r="Z103" s="167">
        <f t="shared" si="82"/>
        <v>0</v>
      </c>
      <c r="AA103" s="168">
        <f t="shared" si="83"/>
        <v>3056.2560784797438</v>
      </c>
      <c r="AB103" s="168">
        <f t="shared" si="84"/>
        <v>0</v>
      </c>
      <c r="AC103" s="169">
        <f t="shared" si="85"/>
        <v>6588.5631991492955</v>
      </c>
      <c r="AD103" s="200">
        <f t="shared" si="70"/>
        <v>101</v>
      </c>
      <c r="AE103" s="201">
        <f t="shared" si="71"/>
        <v>5018</v>
      </c>
      <c r="AF103" s="201">
        <f t="shared" si="72"/>
        <v>722</v>
      </c>
      <c r="AG103" s="202">
        <f t="shared" si="73"/>
        <v>18228</v>
      </c>
      <c r="AH103" s="200">
        <f t="shared" si="74"/>
        <v>6327.9176445742596</v>
      </c>
      <c r="AI103" s="201">
        <f t="shared" si="75"/>
        <v>493990.38977252675</v>
      </c>
      <c r="AJ103" s="201">
        <f t="shared" si="76"/>
        <v>83890.415785628997</v>
      </c>
      <c r="AK103" s="202">
        <f t="shared" si="77"/>
        <v>1276898.9107360593</v>
      </c>
      <c r="AL103" s="194">
        <f t="shared" si="78"/>
        <v>62.652649946279801</v>
      </c>
      <c r="AM103" s="195">
        <f t="shared" si="79"/>
        <v>98.443680703971054</v>
      </c>
      <c r="AN103" s="195">
        <f t="shared" si="80"/>
        <v>116.1917116144446</v>
      </c>
      <c r="AO103" s="196">
        <f t="shared" si="81"/>
        <v>70.051509256970562</v>
      </c>
      <c r="AP103" s="188">
        <f t="shared" si="86"/>
        <v>0</v>
      </c>
      <c r="AQ103" s="189">
        <f t="shared" si="87"/>
        <v>4.6212036954469404E-3</v>
      </c>
      <c r="AR103" s="189">
        <f t="shared" si="88"/>
        <v>0</v>
      </c>
      <c r="AS103" s="190">
        <f t="shared" si="89"/>
        <v>3.201350657170865E-3</v>
      </c>
      <c r="AT103" s="196">
        <f>IF(ISERROR(VLOOKUP(A103,Mandatory!A:A,1,FALSE)),0,1)</f>
        <v>0</v>
      </c>
    </row>
    <row r="104" spans="1:46">
      <c r="A104">
        <v>501</v>
      </c>
      <c r="B104" s="185">
        <f>VLOOKUP(A104,OPATT_Activities!A:J,3,FALSE)</f>
        <v>37561</v>
      </c>
      <c r="C104" s="186">
        <f>VLOOKUP(A104,OPATT_Activities!A:J,4,FALSE)</f>
        <v>742291</v>
      </c>
      <c r="D104" s="186">
        <f>VLOOKUP(A104,OPATT_Activities!A:J,5,FALSE)</f>
        <v>112461</v>
      </c>
      <c r="E104" s="187">
        <f>VLOOKUP(A104,OPATT_Activities!A:J,6,FALSE)</f>
        <v>1838252</v>
      </c>
      <c r="F104" s="185">
        <f>VLOOKUP(A104,OPATT_Cost_Quantum!A:F,2,FALSE)</f>
        <v>5406410.7697079396</v>
      </c>
      <c r="G104" s="186">
        <f>VLOOKUP(A104,OPATT_Cost_Quantum!A:F,3,FALSE)</f>
        <v>102275846.205081</v>
      </c>
      <c r="H104" s="186">
        <f>VLOOKUP(A104,OPATT_Cost_Quantum!A:F,4,FALSE)</f>
        <v>12074590.1909863</v>
      </c>
      <c r="I104" s="187">
        <f>VLOOKUP(A104,OPATT_Cost_Quantum!A:F,5,FALSE)</f>
        <v>166739209.74683201</v>
      </c>
      <c r="J104" s="179">
        <f t="shared" si="65"/>
        <v>143.93681663714864</v>
      </c>
      <c r="K104" s="180">
        <f t="shared" si="65"/>
        <v>137.78403106743986</v>
      </c>
      <c r="L104" s="180">
        <f t="shared" si="65"/>
        <v>107.36691111573167</v>
      </c>
      <c r="M104" s="181">
        <f t="shared" si="65"/>
        <v>90.705305772457749</v>
      </c>
      <c r="N104" s="173">
        <f>IF(ISERROR(VLOOKUP($A104,'HRGs to TFCs % Split'!$A$8:$I$117,6,0)),0,VLOOKUP($A104,'HRGs to TFCs % Split'!$A$8:$I$117,6,0))</f>
        <v>0</v>
      </c>
      <c r="O104" s="174">
        <f>IF(ISERROR(VLOOKUP($A104,'HRGs to TFCs % Split'!$A$8:$I$117,6,0)),0,VLOOKUP($A104,'HRGs to TFCs % Split'!$A$8:$I$117,7,0))</f>
        <v>0.12194095350758849</v>
      </c>
      <c r="P104" s="174">
        <f>IF(ISERROR(VLOOKUP($A104,'HRGs to TFCs % Split'!$A$8:$I$117,6,0)),0,VLOOKUP($A104,'HRGs to TFCs % Split'!$A$8:$I$117,8,0))</f>
        <v>0</v>
      </c>
      <c r="Q104" s="175">
        <f>IF(ISERROR(VLOOKUP($A104,'HRGs to TFCs % Split'!$A$8:$I$117,6,0)),0,VLOOKUP($A104,'HRGs to TFCs % Split'!$A$8:$I$117,9,0))</f>
        <v>0.22402178078762625</v>
      </c>
      <c r="R104" s="167">
        <f t="shared" si="66"/>
        <v>0</v>
      </c>
      <c r="S104" s="168">
        <f t="shared" si="67"/>
        <v>192465</v>
      </c>
      <c r="T104" s="168">
        <f t="shared" si="68"/>
        <v>0</v>
      </c>
      <c r="U104" s="169">
        <f t="shared" si="69"/>
        <v>353585</v>
      </c>
      <c r="V104" s="173">
        <f>IF(ISERROR(VLOOKUP($A104,'HRGs to TFCs % Split'!$A$8:$AA$117,6,0)),0,VLOOKUP($A104,'HRGs to TFCs % Split'!$A$8:$AA$117,14,0))</f>
        <v>0</v>
      </c>
      <c r="W104" s="174">
        <f>IF(ISERROR(VLOOKUP($A104,'HRGs to TFCs % Split'!$A$8:$AA$117,6,0)),0,VLOOKUP($A104,'HRGs to TFCs % Split'!$A$8:$AA$117,15,0))</f>
        <v>0.11626988406837133</v>
      </c>
      <c r="X104" s="174">
        <f>IF(ISERROR(VLOOKUP($A104,'HRGs to TFCs % Split'!$A$8:$AA$117,6,0)),0,VLOOKUP($A104,'HRGs to TFCs % Split'!$A$8:$AA$117,16,0))</f>
        <v>0</v>
      </c>
      <c r="Y104" s="175">
        <f>IF(ISERROR(VLOOKUP($A104,'HRGs to TFCs % Split'!$A$8:$AA$117,6,0)),0,VLOOKUP($A104,'HRGs to TFCs % Split'!$A$8:$AA$117,17,0))</f>
        <v>0.20083520755564049</v>
      </c>
      <c r="Z104" s="167">
        <f t="shared" si="82"/>
        <v>0</v>
      </c>
      <c r="AA104" s="168">
        <f t="shared" si="83"/>
        <v>20566878.233895898</v>
      </c>
      <c r="AB104" s="168">
        <f t="shared" si="84"/>
        <v>0</v>
      </c>
      <c r="AC104" s="169">
        <f t="shared" si="85"/>
        <v>35525564.439774767</v>
      </c>
      <c r="AD104" s="200">
        <f t="shared" si="70"/>
        <v>37561</v>
      </c>
      <c r="AE104" s="201">
        <f t="shared" si="71"/>
        <v>934756</v>
      </c>
      <c r="AF104" s="201">
        <f t="shared" si="72"/>
        <v>112461</v>
      </c>
      <c r="AG104" s="202">
        <f t="shared" si="73"/>
        <v>2191837</v>
      </c>
      <c r="AH104" s="200">
        <f t="shared" si="74"/>
        <v>5406410.7697079396</v>
      </c>
      <c r="AI104" s="201">
        <f t="shared" si="75"/>
        <v>122842724.4389769</v>
      </c>
      <c r="AJ104" s="201">
        <f t="shared" si="76"/>
        <v>12074590.1909863</v>
      </c>
      <c r="AK104" s="202">
        <f t="shared" si="77"/>
        <v>202264774.18660676</v>
      </c>
      <c r="AL104" s="194">
        <f t="shared" si="78"/>
        <v>143.93681663714864</v>
      </c>
      <c r="AM104" s="195">
        <f t="shared" si="79"/>
        <v>131.41688787124863</v>
      </c>
      <c r="AN104" s="195">
        <f t="shared" si="80"/>
        <v>107.36691111573167</v>
      </c>
      <c r="AO104" s="196">
        <f t="shared" si="81"/>
        <v>92.280937946848582</v>
      </c>
      <c r="AP104" s="188">
        <f t="shared" si="86"/>
        <v>0</v>
      </c>
      <c r="AQ104" s="189">
        <f t="shared" si="87"/>
        <v>-4.6211038731148402E-2</v>
      </c>
      <c r="AR104" s="189">
        <f t="shared" si="88"/>
        <v>0</v>
      </c>
      <c r="AS104" s="190">
        <f t="shared" si="89"/>
        <v>1.7370893146465338E-2</v>
      </c>
      <c r="AT104" s="196">
        <f>IF(ISERROR(VLOOKUP(A104,Mandatory!A:A,1,FALSE)),0,1)</f>
        <v>1</v>
      </c>
    </row>
    <row r="105" spans="1:46">
      <c r="A105">
        <v>502</v>
      </c>
      <c r="B105" s="185">
        <f>VLOOKUP(A105,OPATT_Activities!A:J,3,FALSE)</f>
        <v>27132</v>
      </c>
      <c r="C105" s="186">
        <f>VLOOKUP(A105,OPATT_Activities!A:J,4,FALSE)</f>
        <v>792846</v>
      </c>
      <c r="D105" s="186">
        <f>VLOOKUP(A105,OPATT_Activities!A:J,5,FALSE)</f>
        <v>29684</v>
      </c>
      <c r="E105" s="187">
        <f>VLOOKUP(A105,OPATT_Activities!A:J,6,FALSE)</f>
        <v>1029592</v>
      </c>
      <c r="F105" s="185">
        <f>VLOOKUP(A105,OPATT_Cost_Quantum!A:F,2,FALSE)</f>
        <v>3879201.35991784</v>
      </c>
      <c r="G105" s="186">
        <f>VLOOKUP(A105,OPATT_Cost_Quantum!A:F,3,FALSE)</f>
        <v>105970554.503262</v>
      </c>
      <c r="H105" s="186">
        <f>VLOOKUP(A105,OPATT_Cost_Quantum!A:F,4,FALSE)</f>
        <v>3608827.3420241699</v>
      </c>
      <c r="I105" s="187">
        <f>VLOOKUP(A105,OPATT_Cost_Quantum!A:F,5,FALSE)</f>
        <v>105572077.332426</v>
      </c>
      <c r="J105" s="179">
        <f t="shared" si="65"/>
        <v>142.97513489303552</v>
      </c>
      <c r="K105" s="180">
        <f t="shared" si="65"/>
        <v>133.65843367219108</v>
      </c>
      <c r="L105" s="180">
        <f t="shared" si="65"/>
        <v>121.57483297480697</v>
      </c>
      <c r="M105" s="181">
        <f t="shared" si="65"/>
        <v>102.53777936544378</v>
      </c>
      <c r="N105" s="173">
        <f>IF(ISERROR(VLOOKUP($A105,'HRGs to TFCs % Split'!$A$8:$I$117,6,0)),0,VLOOKUP($A105,'HRGs to TFCs % Split'!$A$8:$I$117,6,0))</f>
        <v>0</v>
      </c>
      <c r="O105" s="174">
        <f>IF(ISERROR(VLOOKUP($A105,'HRGs to TFCs % Split'!$A$8:$I$117,6,0)),0,VLOOKUP($A105,'HRGs to TFCs % Split'!$A$8:$I$117,7,0))</f>
        <v>5.6642896543474069E-2</v>
      </c>
      <c r="P105" s="174">
        <f>IF(ISERROR(VLOOKUP($A105,'HRGs to TFCs % Split'!$A$8:$I$117,6,0)),0,VLOOKUP($A105,'HRGs to TFCs % Split'!$A$8:$I$117,8,0))</f>
        <v>0</v>
      </c>
      <c r="Q105" s="175">
        <f>IF(ISERROR(VLOOKUP($A105,'HRGs to TFCs % Split'!$A$8:$I$117,6,0)),0,VLOOKUP($A105,'HRGs to TFCs % Split'!$A$8:$I$117,9,0))</f>
        <v>3.0000273219806813E-2</v>
      </c>
      <c r="R105" s="167">
        <f t="shared" ref="R105:R117" si="118">ROUND(N105*$R$3,0)</f>
        <v>0</v>
      </c>
      <c r="S105" s="168">
        <f t="shared" ref="S105:S117" si="119">ROUND(O105*$R$3,0)</f>
        <v>89402</v>
      </c>
      <c r="T105" s="168">
        <f t="shared" ref="T105:T117" si="120">ROUND(P105*$R$3,0)</f>
        <v>0</v>
      </c>
      <c r="U105" s="169">
        <f t="shared" ref="U105:U117" si="121">ROUND(Q105*$R$3,0)</f>
        <v>47351</v>
      </c>
      <c r="V105" s="173">
        <f>IF(ISERROR(VLOOKUP($A105,'HRGs to TFCs % Split'!$A$8:$AA$117,6,0)),0,VLOOKUP($A105,'HRGs to TFCs % Split'!$A$8:$AA$117,14,0))</f>
        <v>0</v>
      </c>
      <c r="W105" s="174">
        <f>IF(ISERROR(VLOOKUP($A105,'HRGs to TFCs % Split'!$A$8:$AA$117,6,0)),0,VLOOKUP($A105,'HRGs to TFCs % Split'!$A$8:$AA$117,15,0))</f>
        <v>5.3559610739102002E-2</v>
      </c>
      <c r="X105" s="174">
        <f>IF(ISERROR(VLOOKUP($A105,'HRGs to TFCs % Split'!$A$8:$AA$117,6,0)),0,VLOOKUP($A105,'HRGs to TFCs % Split'!$A$8:$AA$117,16,0))</f>
        <v>0</v>
      </c>
      <c r="Y105" s="175">
        <f>IF(ISERROR(VLOOKUP($A105,'HRGs to TFCs % Split'!$A$8:$AA$117,6,0)),0,VLOOKUP($A105,'HRGs to TFCs % Split'!$A$8:$AA$117,17,0))</f>
        <v>2.9342352634587076E-2</v>
      </c>
      <c r="Z105" s="167">
        <f t="shared" si="82"/>
        <v>0</v>
      </c>
      <c r="AA105" s="168">
        <f t="shared" si="83"/>
        <v>9474112.7606028765</v>
      </c>
      <c r="AB105" s="168">
        <f t="shared" si="84"/>
        <v>0</v>
      </c>
      <c r="AC105" s="169">
        <f t="shared" si="85"/>
        <v>5190343.1276900237</v>
      </c>
      <c r="AD105" s="200">
        <f t="shared" si="70"/>
        <v>27132</v>
      </c>
      <c r="AE105" s="201">
        <f t="shared" si="71"/>
        <v>882248</v>
      </c>
      <c r="AF105" s="201">
        <f t="shared" si="72"/>
        <v>29684</v>
      </c>
      <c r="AG105" s="202">
        <f t="shared" si="73"/>
        <v>1076943</v>
      </c>
      <c r="AH105" s="200">
        <f t="shared" si="74"/>
        <v>3879201.35991784</v>
      </c>
      <c r="AI105" s="201">
        <f t="shared" si="75"/>
        <v>115444667.26386487</v>
      </c>
      <c r="AJ105" s="201">
        <f t="shared" si="76"/>
        <v>3608827.3420241699</v>
      </c>
      <c r="AK105" s="202">
        <f t="shared" si="77"/>
        <v>110762420.46011601</v>
      </c>
      <c r="AL105" s="194">
        <f t="shared" si="78"/>
        <v>142.97513489303552</v>
      </c>
      <c r="AM105" s="195">
        <f t="shared" si="79"/>
        <v>130.8528523316175</v>
      </c>
      <c r="AN105" s="195">
        <f t="shared" si="80"/>
        <v>121.57483297480697</v>
      </c>
      <c r="AO105" s="196">
        <f t="shared" si="81"/>
        <v>102.84891629372773</v>
      </c>
      <c r="AP105" s="188">
        <f t="shared" si="86"/>
        <v>0</v>
      </c>
      <c r="AQ105" s="189">
        <f t="shared" si="87"/>
        <v>-2.0990679476721286E-2</v>
      </c>
      <c r="AR105" s="189">
        <f t="shared" si="88"/>
        <v>0</v>
      </c>
      <c r="AS105" s="190">
        <f t="shared" si="89"/>
        <v>3.0343638238454762E-3</v>
      </c>
      <c r="AT105" s="196">
        <f>IF(ISERROR(VLOOKUP(A105,Mandatory!A:A,1,FALSE)),0,1)</f>
        <v>1</v>
      </c>
    </row>
    <row r="106" spans="1:46">
      <c r="A106">
        <v>503</v>
      </c>
      <c r="B106" s="185">
        <f>VLOOKUP(A106,OPATT_Activities!A:J,3,FALSE)</f>
        <v>2136</v>
      </c>
      <c r="C106" s="186">
        <f>VLOOKUP(A106,OPATT_Activities!A:J,4,FALSE)</f>
        <v>26270</v>
      </c>
      <c r="D106" s="186">
        <f>VLOOKUP(A106,OPATT_Activities!A:J,5,FALSE)</f>
        <v>7239</v>
      </c>
      <c r="E106" s="187">
        <f>VLOOKUP(A106,OPATT_Activities!A:J,6,FALSE)</f>
        <v>53057</v>
      </c>
      <c r="F106" s="185">
        <f>VLOOKUP(A106,OPATT_Cost_Quantum!A:F,2,FALSE)</f>
        <v>359371.79976506601</v>
      </c>
      <c r="G106" s="186">
        <f>VLOOKUP(A106,OPATT_Cost_Quantum!A:F,3,FALSE)</f>
        <v>3778644.8996444698</v>
      </c>
      <c r="H106" s="186">
        <f>VLOOKUP(A106,OPATT_Cost_Quantum!A:F,4,FALSE)</f>
        <v>904971.08885575004</v>
      </c>
      <c r="I106" s="187">
        <f>VLOOKUP(A106,OPATT_Cost_Quantum!A:F,5,FALSE)</f>
        <v>5840281.2698802697</v>
      </c>
      <c r="J106" s="179">
        <f t="shared" si="65"/>
        <v>168.24522460911331</v>
      </c>
      <c r="K106" s="180">
        <f t="shared" si="65"/>
        <v>143.83878567356186</v>
      </c>
      <c r="L106" s="180">
        <f t="shared" si="65"/>
        <v>125.01327377479625</v>
      </c>
      <c r="M106" s="181">
        <f t="shared" si="65"/>
        <v>110.0756030284462</v>
      </c>
      <c r="N106" s="173">
        <f>IF(ISERROR(VLOOKUP($A106,'HRGs to TFCs % Split'!$A$8:$I$117,6,0)),0,VLOOKUP($A106,'HRGs to TFCs % Split'!$A$8:$I$117,6,0))</f>
        <v>0</v>
      </c>
      <c r="O106" s="174">
        <f>IF(ISERROR(VLOOKUP($A106,'HRGs to TFCs % Split'!$A$8:$I$117,6,0)),0,VLOOKUP($A106,'HRGs to TFCs % Split'!$A$8:$I$117,7,0))</f>
        <v>7.9012214402228293E-5</v>
      </c>
      <c r="P106" s="174">
        <f>IF(ISERROR(VLOOKUP($A106,'HRGs to TFCs % Split'!$A$8:$I$117,6,0)),0,VLOOKUP($A106,'HRGs to TFCs % Split'!$A$8:$I$117,8,0))</f>
        <v>0</v>
      </c>
      <c r="Q106" s="175">
        <f>IF(ISERROR(VLOOKUP($A106,'HRGs to TFCs % Split'!$A$8:$I$117,6,0)),0,VLOOKUP($A106,'HRGs to TFCs % Split'!$A$8:$I$117,9,0))</f>
        <v>1.2701028857180623E-4</v>
      </c>
      <c r="R106" s="167">
        <f t="shared" si="118"/>
        <v>0</v>
      </c>
      <c r="S106" s="168">
        <f t="shared" si="119"/>
        <v>125</v>
      </c>
      <c r="T106" s="168">
        <f t="shared" si="120"/>
        <v>0</v>
      </c>
      <c r="U106" s="169">
        <f t="shared" si="121"/>
        <v>200</v>
      </c>
      <c r="V106" s="173">
        <f>IF(ISERROR(VLOOKUP($A106,'HRGs to TFCs % Split'!$A$8:$AA$117,6,0)),0,VLOOKUP($A106,'HRGs to TFCs % Split'!$A$8:$AA$117,14,0))</f>
        <v>0</v>
      </c>
      <c r="W106" s="174">
        <f>IF(ISERROR(VLOOKUP($A106,'HRGs to TFCs % Split'!$A$8:$AA$117,6,0)),0,VLOOKUP($A106,'HRGs to TFCs % Split'!$A$8:$AA$117,15,0))</f>
        <v>1.0282195576056634E-4</v>
      </c>
      <c r="X106" s="174">
        <f>IF(ISERROR(VLOOKUP($A106,'HRGs to TFCs % Split'!$A$8:$AA$117,6,0)),0,VLOOKUP($A106,'HRGs to TFCs % Split'!$A$8:$AA$117,16,0))</f>
        <v>0</v>
      </c>
      <c r="Y106" s="175">
        <f>IF(ISERROR(VLOOKUP($A106,'HRGs to TFCs % Split'!$A$8:$AA$117,6,0)),0,VLOOKUP($A106,'HRGs to TFCs % Split'!$A$8:$AA$117,17,0))</f>
        <v>1.6230920940406632E-4</v>
      </c>
      <c r="Z106" s="167">
        <f t="shared" si="82"/>
        <v>0</v>
      </c>
      <c r="AA106" s="168">
        <f t="shared" si="83"/>
        <v>18188.085941971483</v>
      </c>
      <c r="AB106" s="168">
        <f t="shared" si="84"/>
        <v>0</v>
      </c>
      <c r="AC106" s="169">
        <f t="shared" si="85"/>
        <v>28710.734278279248</v>
      </c>
      <c r="AD106" s="200">
        <f t="shared" si="70"/>
        <v>2136</v>
      </c>
      <c r="AE106" s="201">
        <f t="shared" si="71"/>
        <v>26395</v>
      </c>
      <c r="AF106" s="201">
        <f t="shared" si="72"/>
        <v>7239</v>
      </c>
      <c r="AG106" s="202">
        <f t="shared" si="73"/>
        <v>53257</v>
      </c>
      <c r="AH106" s="200">
        <f t="shared" si="74"/>
        <v>359371.79976506601</v>
      </c>
      <c r="AI106" s="201">
        <f t="shared" si="75"/>
        <v>3796832.9855864411</v>
      </c>
      <c r="AJ106" s="201">
        <f t="shared" si="76"/>
        <v>904971.08885575004</v>
      </c>
      <c r="AK106" s="202">
        <f t="shared" si="77"/>
        <v>5868992.004158549</v>
      </c>
      <c r="AL106" s="194">
        <f t="shared" si="78"/>
        <v>168.24522460911331</v>
      </c>
      <c r="AM106" s="195">
        <f t="shared" si="79"/>
        <v>143.84667496065319</v>
      </c>
      <c r="AN106" s="195">
        <f t="shared" si="80"/>
        <v>125.01327377479625</v>
      </c>
      <c r="AO106" s="196">
        <f t="shared" si="81"/>
        <v>110.20132572541729</v>
      </c>
      <c r="AP106" s="188">
        <f t="shared" si="86"/>
        <v>0</v>
      </c>
      <c r="AQ106" s="189">
        <f t="shared" si="87"/>
        <v>5.4848120792927446E-5</v>
      </c>
      <c r="AR106" s="189">
        <f t="shared" si="88"/>
        <v>0</v>
      </c>
      <c r="AS106" s="190">
        <f t="shared" si="89"/>
        <v>1.1421486097933364E-3</v>
      </c>
      <c r="AT106" s="196">
        <f>IF(ISERROR(VLOOKUP(A106,Mandatory!A:A,1,FALSE)),0,1)</f>
        <v>1</v>
      </c>
    </row>
    <row r="107" spans="1:46">
      <c r="A107">
        <v>560</v>
      </c>
      <c r="B107" s="185">
        <f>VLOOKUP(A107,OPATT_Activities!A:J,3,FALSE)</f>
        <v>6587</v>
      </c>
      <c r="C107" s="186">
        <f>VLOOKUP(A107,OPATT_Activities!A:J,4,FALSE)</f>
        <v>486748</v>
      </c>
      <c r="D107" s="186">
        <f>VLOOKUP(A107,OPATT_Activities!A:J,5,FALSE)</f>
        <v>26022</v>
      </c>
      <c r="E107" s="187">
        <f>VLOOKUP(A107,OPATT_Activities!A:J,6,FALSE)</f>
        <v>2088550</v>
      </c>
      <c r="F107" s="185">
        <f>VLOOKUP(A107,OPATT_Cost_Quantum!A:F,2,FALSE)</f>
        <v>470471.14899170498</v>
      </c>
      <c r="G107" s="186">
        <f>VLOOKUP(A107,OPATT_Cost_Quantum!A:F,3,FALSE)</f>
        <v>44834309.580389298</v>
      </c>
      <c r="H107" s="186">
        <f>VLOOKUP(A107,OPATT_Cost_Quantum!A:F,4,FALSE)</f>
        <v>819105.79177951999</v>
      </c>
      <c r="I107" s="187">
        <f>VLOOKUP(A107,OPATT_Cost_Quantum!A:F,5,FALSE)</f>
        <v>100224911.477547</v>
      </c>
      <c r="J107" s="179">
        <f t="shared" si="65"/>
        <v>71.424191436420983</v>
      </c>
      <c r="K107" s="180">
        <f t="shared" si="65"/>
        <v>92.109899949027621</v>
      </c>
      <c r="L107" s="180">
        <f t="shared" si="65"/>
        <v>31.477434162613172</v>
      </c>
      <c r="M107" s="181">
        <f t="shared" si="65"/>
        <v>47.987796067868622</v>
      </c>
      <c r="N107" s="173">
        <f>IF(ISERROR(VLOOKUP($A107,'HRGs to TFCs % Split'!$A$8:$I$117,6,0)),0,VLOOKUP($A107,'HRGs to TFCs % Split'!$A$8:$I$117,6,0))</f>
        <v>0</v>
      </c>
      <c r="O107" s="174">
        <f>IF(ISERROR(VLOOKUP($A107,'HRGs to TFCs % Split'!$A$8:$I$117,6,0)),0,VLOOKUP($A107,'HRGs to TFCs % Split'!$A$8:$I$117,7,0))</f>
        <v>3.0849469916653192E-2</v>
      </c>
      <c r="P107" s="174">
        <f>IF(ISERROR(VLOOKUP($A107,'HRGs to TFCs % Split'!$A$8:$I$117,6,0)),0,VLOOKUP($A107,'HRGs to TFCs % Split'!$A$8:$I$117,8,0))</f>
        <v>0</v>
      </c>
      <c r="Q107" s="175">
        <f>IF(ISERROR(VLOOKUP($A107,'HRGs to TFCs % Split'!$A$8:$I$117,6,0)),0,VLOOKUP($A107,'HRGs to TFCs % Split'!$A$8:$I$117,9,0))</f>
        <v>7.6413672509878378E-2</v>
      </c>
      <c r="R107" s="167">
        <f t="shared" si="118"/>
        <v>0</v>
      </c>
      <c r="S107" s="168">
        <f t="shared" si="119"/>
        <v>48691</v>
      </c>
      <c r="T107" s="168">
        <f t="shared" si="120"/>
        <v>0</v>
      </c>
      <c r="U107" s="169">
        <f t="shared" si="121"/>
        <v>120607</v>
      </c>
      <c r="V107" s="173">
        <f>IF(ISERROR(VLOOKUP($A107,'HRGs to TFCs % Split'!$A$8:$AA$117,6,0)),0,VLOOKUP($A107,'HRGs to TFCs % Split'!$A$8:$AA$117,14,0))</f>
        <v>0</v>
      </c>
      <c r="W107" s="174">
        <f>IF(ISERROR(VLOOKUP($A107,'HRGs to TFCs % Split'!$A$8:$AA$117,6,0)),0,VLOOKUP($A107,'HRGs to TFCs % Split'!$A$8:$AA$117,15,0))</f>
        <v>2.9395204829377575E-2</v>
      </c>
      <c r="X107" s="174">
        <f>IF(ISERROR(VLOOKUP($A107,'HRGs to TFCs % Split'!$A$8:$AA$117,6,0)),0,VLOOKUP($A107,'HRGs to TFCs % Split'!$A$8:$AA$117,16,0))</f>
        <v>0</v>
      </c>
      <c r="Y107" s="175">
        <f>IF(ISERROR(VLOOKUP($A107,'HRGs to TFCs % Split'!$A$8:$AA$117,6,0)),0,VLOOKUP($A107,'HRGs to TFCs % Split'!$A$8:$AA$117,17,0))</f>
        <v>6.616714268442854E-2</v>
      </c>
      <c r="Z107" s="167">
        <f t="shared" si="82"/>
        <v>0</v>
      </c>
      <c r="AA107" s="168">
        <f t="shared" si="83"/>
        <v>5199692.1062613893</v>
      </c>
      <c r="AB107" s="168">
        <f t="shared" si="84"/>
        <v>0</v>
      </c>
      <c r="AC107" s="169">
        <f t="shared" si="85"/>
        <v>11704248.074034568</v>
      </c>
      <c r="AD107" s="200">
        <f t="shared" si="70"/>
        <v>6587</v>
      </c>
      <c r="AE107" s="201">
        <f t="shared" si="71"/>
        <v>535439</v>
      </c>
      <c r="AF107" s="201">
        <f t="shared" si="72"/>
        <v>26022</v>
      </c>
      <c r="AG107" s="202">
        <f t="shared" si="73"/>
        <v>2209157</v>
      </c>
      <c r="AH107" s="200">
        <f t="shared" si="74"/>
        <v>470471.14899170498</v>
      </c>
      <c r="AI107" s="201">
        <f t="shared" si="75"/>
        <v>50034001.686650686</v>
      </c>
      <c r="AJ107" s="201">
        <f t="shared" si="76"/>
        <v>819105.79177951999</v>
      </c>
      <c r="AK107" s="202">
        <f t="shared" si="77"/>
        <v>111929159.55158158</v>
      </c>
      <c r="AL107" s="194">
        <f t="shared" si="78"/>
        <v>71.424191436420983</v>
      </c>
      <c r="AM107" s="195">
        <f t="shared" si="79"/>
        <v>93.44482132726732</v>
      </c>
      <c r="AN107" s="195">
        <f t="shared" si="80"/>
        <v>31.477434162613172</v>
      </c>
      <c r="AO107" s="196">
        <f t="shared" si="81"/>
        <v>50.666004974558881</v>
      </c>
      <c r="AP107" s="188">
        <f t="shared" si="86"/>
        <v>0</v>
      </c>
      <c r="AQ107" s="189">
        <f t="shared" si="87"/>
        <v>1.4492702510570776E-2</v>
      </c>
      <c r="AR107" s="189">
        <f t="shared" si="88"/>
        <v>0</v>
      </c>
      <c r="AS107" s="190">
        <f t="shared" si="89"/>
        <v>5.5810208555993945E-2</v>
      </c>
      <c r="AT107" s="196">
        <f>IF(ISERROR(VLOOKUP(A107,Mandatory!A:A,1,FALSE)),0,1)</f>
        <v>1</v>
      </c>
    </row>
    <row r="108" spans="1:46">
      <c r="A108">
        <v>650</v>
      </c>
      <c r="B108" s="185">
        <f>VLOOKUP(A108,OPATT_Activities!A:J,3,FALSE)</f>
        <v>1323</v>
      </c>
      <c r="C108" s="186">
        <f>VLOOKUP(A108,OPATT_Activities!A:J,4,FALSE)</f>
        <v>142328</v>
      </c>
      <c r="D108" s="186">
        <f>VLOOKUP(A108,OPATT_Activities!A:J,5,FALSE)</f>
        <v>15416</v>
      </c>
      <c r="E108" s="187">
        <f>VLOOKUP(A108,OPATT_Activities!A:J,6,FALSE)</f>
        <v>505071</v>
      </c>
      <c r="F108" s="185">
        <f>VLOOKUP(A108,OPATT_Cost_Quantum!A:F,2,FALSE)</f>
        <v>55635.123341608603</v>
      </c>
      <c r="G108" s="186">
        <f>VLOOKUP(A108,OPATT_Cost_Quantum!A:F,3,FALSE)</f>
        <v>6341829.6229592804</v>
      </c>
      <c r="H108" s="186">
        <f>VLOOKUP(A108,OPATT_Cost_Quantum!A:F,4,FALSE)</f>
        <v>695012.154459132</v>
      </c>
      <c r="I108" s="187">
        <f>VLOOKUP(A108,OPATT_Cost_Quantum!A:F,5,FALSE)</f>
        <v>19448809.582513399</v>
      </c>
      <c r="J108" s="179">
        <f t="shared" ref="J108:J112" si="122">IF(B108=0,0,F108/B108)</f>
        <v>42.05224742374044</v>
      </c>
      <c r="K108" s="180">
        <f t="shared" ref="K108:K112" si="123">IF(C108=0,0,G108/C108)</f>
        <v>44.557849635765841</v>
      </c>
      <c r="L108" s="180">
        <f t="shared" ref="L108:L112" si="124">IF(D108=0,0,H108/D108)</f>
        <v>45.083819048983656</v>
      </c>
      <c r="M108" s="181">
        <f t="shared" ref="M108:M112" si="125">IF(E108=0,0,I108/E108)</f>
        <v>38.507080356055681</v>
      </c>
      <c r="N108" s="173">
        <f>IF(ISERROR(VLOOKUP($A108,'HRGs to TFCs % Split'!$A$8:$I$117,6,0)),0,VLOOKUP($A108,'HRGs to TFCs % Split'!$A$8:$I$117,6,0))</f>
        <v>0</v>
      </c>
      <c r="O108" s="174">
        <f>IF(ISERROR(VLOOKUP($A108,'HRGs to TFCs % Split'!$A$8:$I$117,6,0)),0,VLOOKUP($A108,'HRGs to TFCs % Split'!$A$8:$I$117,7,0))</f>
        <v>8.7873397325842682E-5</v>
      </c>
      <c r="P108" s="174">
        <f>IF(ISERROR(VLOOKUP($A108,'HRGs to TFCs % Split'!$A$8:$I$117,6,0)),0,VLOOKUP($A108,'HRGs to TFCs % Split'!$A$8:$I$117,8,0))</f>
        <v>0</v>
      </c>
      <c r="Q108" s="175">
        <f>IF(ISERROR(VLOOKUP($A108,'HRGs to TFCs % Split'!$A$8:$I$117,6,0)),0,VLOOKUP($A108,'HRGs to TFCs % Split'!$A$8:$I$117,9,0))</f>
        <v>1.209551469073364E-3</v>
      </c>
      <c r="R108" s="167">
        <f t="shared" si="118"/>
        <v>0</v>
      </c>
      <c r="S108" s="168">
        <f t="shared" si="119"/>
        <v>139</v>
      </c>
      <c r="T108" s="168">
        <f t="shared" si="120"/>
        <v>0</v>
      </c>
      <c r="U108" s="169">
        <f t="shared" si="121"/>
        <v>1909</v>
      </c>
      <c r="V108" s="173">
        <f>IF(ISERROR(VLOOKUP($A108,'HRGs to TFCs % Split'!$A$8:$AA$117,6,0)),0,VLOOKUP($A108,'HRGs to TFCs % Split'!$A$8:$AA$117,14,0))</f>
        <v>0</v>
      </c>
      <c r="W108" s="174">
        <f>IF(ISERROR(VLOOKUP($A108,'HRGs to TFCs % Split'!$A$8:$AA$117,6,0)),0,VLOOKUP($A108,'HRGs to TFCs % Split'!$A$8:$AA$117,15,0))</f>
        <v>8.0983162990860534E-5</v>
      </c>
      <c r="X108" s="174">
        <f>IF(ISERROR(VLOOKUP($A108,'HRGs to TFCs % Split'!$A$8:$AA$117,6,0)),0,VLOOKUP($A108,'HRGs to TFCs % Split'!$A$8:$AA$117,16,0))</f>
        <v>0</v>
      </c>
      <c r="Y108" s="175">
        <f>IF(ISERROR(VLOOKUP($A108,'HRGs to TFCs % Split'!$A$8:$AA$117,6,0)),0,VLOOKUP($A108,'HRGs to TFCs % Split'!$A$8:$AA$117,17,0))</f>
        <v>1.0576966952259375E-3</v>
      </c>
      <c r="Z108" s="167">
        <f t="shared" si="82"/>
        <v>0</v>
      </c>
      <c r="AA108" s="168">
        <f t="shared" si="83"/>
        <v>14325.040964600526</v>
      </c>
      <c r="AB108" s="168">
        <f t="shared" si="84"/>
        <v>0</v>
      </c>
      <c r="AC108" s="169">
        <f t="shared" si="85"/>
        <v>187095.04454579158</v>
      </c>
      <c r="AD108" s="200">
        <f t="shared" si="70"/>
        <v>1323</v>
      </c>
      <c r="AE108" s="201">
        <f t="shared" si="71"/>
        <v>142467</v>
      </c>
      <c r="AF108" s="201">
        <f t="shared" si="72"/>
        <v>15416</v>
      </c>
      <c r="AG108" s="202">
        <f t="shared" si="73"/>
        <v>506980</v>
      </c>
      <c r="AH108" s="200">
        <f t="shared" si="74"/>
        <v>55635.123341608603</v>
      </c>
      <c r="AI108" s="201">
        <f t="shared" si="75"/>
        <v>6356154.663923881</v>
      </c>
      <c r="AJ108" s="201">
        <f t="shared" si="76"/>
        <v>695012.154459132</v>
      </c>
      <c r="AK108" s="202">
        <f t="shared" si="77"/>
        <v>19635904.627059191</v>
      </c>
      <c r="AL108" s="194">
        <f t="shared" si="78"/>
        <v>42.05224742374044</v>
      </c>
      <c r="AM108" s="195">
        <f t="shared" si="79"/>
        <v>44.614926010401575</v>
      </c>
      <c r="AN108" s="195">
        <f t="shared" si="80"/>
        <v>45.083819048983656</v>
      </c>
      <c r="AO108" s="196">
        <f t="shared" si="81"/>
        <v>38.731122780108073</v>
      </c>
      <c r="AP108" s="188">
        <f t="shared" si="86"/>
        <v>0</v>
      </c>
      <c r="AQ108" s="189">
        <f t="shared" si="87"/>
        <v>1.2809499359214271E-3</v>
      </c>
      <c r="AR108" s="189">
        <f t="shared" si="88"/>
        <v>0</v>
      </c>
      <c r="AS108" s="190">
        <f t="shared" si="89"/>
        <v>5.8182137409739099E-3</v>
      </c>
      <c r="AT108" s="196">
        <f>IF(ISERROR(VLOOKUP(A108,Mandatory!A:A,1,FALSE)),0,1)</f>
        <v>0</v>
      </c>
    </row>
    <row r="109" spans="1:46">
      <c r="A109">
        <v>651</v>
      </c>
      <c r="B109" s="185">
        <f>VLOOKUP(A109,OPATT_Activities!A:J,3,FALSE)</f>
        <v>147</v>
      </c>
      <c r="C109" s="186">
        <f>VLOOKUP(A109,OPATT_Activities!A:J,4,FALSE)</f>
        <v>11998</v>
      </c>
      <c r="D109" s="186">
        <f>VLOOKUP(A109,OPATT_Activities!A:J,5,FALSE)</f>
        <v>590</v>
      </c>
      <c r="E109" s="187">
        <f>VLOOKUP(A109,OPATT_Activities!A:J,6,FALSE)</f>
        <v>49236</v>
      </c>
      <c r="F109" s="185">
        <f>VLOOKUP(A109,OPATT_Cost_Quantum!A:F,2,FALSE)</f>
        <v>4320.3889808778804</v>
      </c>
      <c r="G109" s="186">
        <f>VLOOKUP(A109,OPATT_Cost_Quantum!A:F,3,FALSE)</f>
        <v>627858.52083007304</v>
      </c>
      <c r="H109" s="186">
        <f>VLOOKUP(A109,OPATT_Cost_Quantum!A:F,4,FALSE)</f>
        <v>18033.559577980999</v>
      </c>
      <c r="I109" s="187">
        <f>VLOOKUP(A109,OPATT_Cost_Quantum!A:F,5,FALSE)</f>
        <v>2232065.5073392601</v>
      </c>
      <c r="J109" s="179">
        <f t="shared" si="122"/>
        <v>29.390401230461773</v>
      </c>
      <c r="K109" s="180">
        <f t="shared" si="123"/>
        <v>52.330265113358315</v>
      </c>
      <c r="L109" s="180">
        <f t="shared" si="124"/>
        <v>30.565355216916949</v>
      </c>
      <c r="M109" s="181">
        <f t="shared" si="125"/>
        <v>45.334013878854094</v>
      </c>
      <c r="N109" s="173">
        <f>IF(ISERROR(VLOOKUP($A109,'HRGs to TFCs % Split'!$A$8:$I$117,6,0)),0,VLOOKUP($A109,'HRGs to TFCs % Split'!$A$8:$I$117,6,0))</f>
        <v>0</v>
      </c>
      <c r="O109" s="174">
        <f>IF(ISERROR(VLOOKUP($A109,'HRGs to TFCs % Split'!$A$8:$I$117,6,0)),0,VLOOKUP($A109,'HRGs to TFCs % Split'!$A$8:$I$117,7,0))</f>
        <v>2.4146723466849206E-4</v>
      </c>
      <c r="P109" s="174">
        <f>IF(ISERROR(VLOOKUP($A109,'HRGs to TFCs % Split'!$A$8:$I$117,6,0)),0,VLOOKUP($A109,'HRGs to TFCs % Split'!$A$8:$I$117,8,0))</f>
        <v>0</v>
      </c>
      <c r="Q109" s="175">
        <f>IF(ISERROR(VLOOKUP($A109,'HRGs to TFCs % Split'!$A$8:$I$117,6,0)),0,VLOOKUP($A109,'HRGs to TFCs % Split'!$A$8:$I$117,9,0))</f>
        <v>2.0454563915343213E-4</v>
      </c>
      <c r="R109" s="167">
        <f t="shared" si="118"/>
        <v>0</v>
      </c>
      <c r="S109" s="168">
        <f t="shared" si="119"/>
        <v>381</v>
      </c>
      <c r="T109" s="168">
        <f t="shared" si="120"/>
        <v>0</v>
      </c>
      <c r="U109" s="169">
        <f t="shared" si="121"/>
        <v>323</v>
      </c>
      <c r="V109" s="173">
        <f>IF(ISERROR(VLOOKUP($A109,'HRGs to TFCs % Split'!$A$8:$AA$117,6,0)),0,VLOOKUP($A109,'HRGs to TFCs % Split'!$A$8:$AA$117,14,0))</f>
        <v>0</v>
      </c>
      <c r="W109" s="174">
        <f>IF(ISERROR(VLOOKUP($A109,'HRGs to TFCs % Split'!$A$8:$AA$117,6,0)),0,VLOOKUP($A109,'HRGs to TFCs % Split'!$A$8:$AA$117,15,0))</f>
        <v>1.9771041557677869E-4</v>
      </c>
      <c r="X109" s="174">
        <f>IF(ISERROR(VLOOKUP($A109,'HRGs to TFCs % Split'!$A$8:$AA$117,6,0)),0,VLOOKUP($A109,'HRGs to TFCs % Split'!$A$8:$AA$117,16,0))</f>
        <v>0</v>
      </c>
      <c r="Y109" s="175">
        <f>IF(ISERROR(VLOOKUP($A109,'HRGs to TFCs % Split'!$A$8:$AA$117,6,0)),0,VLOOKUP($A109,'HRGs to TFCs % Split'!$A$8:$AA$117,17,0))</f>
        <v>1.7528144364541961E-4</v>
      </c>
      <c r="Z109" s="167">
        <f t="shared" si="82"/>
        <v>0</v>
      </c>
      <c r="AA109" s="168">
        <f t="shared" si="83"/>
        <v>34972.822716064838</v>
      </c>
      <c r="AB109" s="168">
        <f t="shared" si="84"/>
        <v>0</v>
      </c>
      <c r="AC109" s="169">
        <f t="shared" si="85"/>
        <v>31005.381462296395</v>
      </c>
      <c r="AD109" s="200">
        <f t="shared" si="70"/>
        <v>147</v>
      </c>
      <c r="AE109" s="201">
        <f t="shared" si="71"/>
        <v>12379</v>
      </c>
      <c r="AF109" s="201">
        <f t="shared" si="72"/>
        <v>590</v>
      </c>
      <c r="AG109" s="202">
        <f t="shared" si="73"/>
        <v>49559</v>
      </c>
      <c r="AH109" s="200">
        <f t="shared" si="74"/>
        <v>4320.3889808778804</v>
      </c>
      <c r="AI109" s="201">
        <f t="shared" si="75"/>
        <v>662831.34354613791</v>
      </c>
      <c r="AJ109" s="201">
        <f t="shared" si="76"/>
        <v>18033.559577980999</v>
      </c>
      <c r="AK109" s="202">
        <f t="shared" si="77"/>
        <v>2263070.8888015565</v>
      </c>
      <c r="AL109" s="194">
        <f t="shared" si="78"/>
        <v>29.390401230461773</v>
      </c>
      <c r="AM109" s="195">
        <f t="shared" si="79"/>
        <v>53.544821354401641</v>
      </c>
      <c r="AN109" s="195">
        <f t="shared" si="80"/>
        <v>30.565355216916949</v>
      </c>
      <c r="AO109" s="196">
        <f t="shared" si="81"/>
        <v>45.664175806645744</v>
      </c>
      <c r="AP109" s="188">
        <f t="shared" si="86"/>
        <v>0</v>
      </c>
      <c r="AQ109" s="189">
        <f t="shared" si="87"/>
        <v>2.3209441771646633E-2</v>
      </c>
      <c r="AR109" s="189">
        <f t="shared" si="88"/>
        <v>0</v>
      </c>
      <c r="AS109" s="190">
        <f t="shared" si="89"/>
        <v>7.2828743705319887E-3</v>
      </c>
      <c r="AT109" s="196">
        <f>IF(ISERROR(VLOOKUP(A109,Mandatory!A:A,1,FALSE)),0,1)</f>
        <v>0</v>
      </c>
    </row>
    <row r="110" spans="1:46">
      <c r="A110">
        <v>652</v>
      </c>
      <c r="B110" s="185">
        <f>VLOOKUP(A110,OPATT_Activities!A:J,3,FALSE)</f>
        <v>0</v>
      </c>
      <c r="C110" s="186">
        <f>VLOOKUP(A110,OPATT_Activities!A:J,4,FALSE)</f>
        <v>4204</v>
      </c>
      <c r="D110" s="186">
        <f>VLOOKUP(A110,OPATT_Activities!A:J,5,FALSE)</f>
        <v>1197</v>
      </c>
      <c r="E110" s="187">
        <f>VLOOKUP(A110,OPATT_Activities!A:J,6,FALSE)</f>
        <v>13121</v>
      </c>
      <c r="F110" s="185">
        <f>VLOOKUP(A110,OPATT_Cost_Quantum!A:F,2,FALSE)</f>
        <v>0</v>
      </c>
      <c r="G110" s="186">
        <f>VLOOKUP(A110,OPATT_Cost_Quantum!A:F,3,FALSE)</f>
        <v>373684.93685361702</v>
      </c>
      <c r="H110" s="186">
        <f>VLOOKUP(A110,OPATT_Cost_Quantum!A:F,4,FALSE)</f>
        <v>22777.778090669799</v>
      </c>
      <c r="I110" s="187">
        <f>VLOOKUP(A110,OPATT_Cost_Quantum!A:F,5,FALSE)</f>
        <v>833837.13712577405</v>
      </c>
      <c r="J110" s="179">
        <f t="shared" si="122"/>
        <v>0</v>
      </c>
      <c r="K110" s="180">
        <f t="shared" si="123"/>
        <v>88.887948823410326</v>
      </c>
      <c r="L110" s="180">
        <f t="shared" si="124"/>
        <v>19.029054378170258</v>
      </c>
      <c r="M110" s="181">
        <f t="shared" si="125"/>
        <v>63.549816105919824</v>
      </c>
      <c r="N110" s="173">
        <f>IF(ISERROR(VLOOKUP($A110,'HRGs to TFCs % Split'!$A$8:$I$117,6,0)),0,VLOOKUP($A110,'HRGs to TFCs % Split'!$A$8:$I$117,6,0))</f>
        <v>0</v>
      </c>
      <c r="O110" s="174">
        <f>IF(ISERROR(VLOOKUP($A110,'HRGs to TFCs % Split'!$A$8:$I$117,6,0)),0,VLOOKUP($A110,'HRGs to TFCs % Split'!$A$8:$I$117,7,0))</f>
        <v>4.4305914618071943E-6</v>
      </c>
      <c r="P110" s="174">
        <f>IF(ISERROR(VLOOKUP($A110,'HRGs to TFCs % Split'!$A$8:$I$117,6,0)),0,VLOOKUP($A110,'HRGs to TFCs % Split'!$A$8:$I$117,8,0))</f>
        <v>0</v>
      </c>
      <c r="Q110" s="175">
        <f>IF(ISERROR(VLOOKUP($A110,'HRGs to TFCs % Split'!$A$8:$I$117,6,0)),0,VLOOKUP($A110,'HRGs to TFCs % Split'!$A$8:$I$117,9,0))</f>
        <v>5.5382393272589922E-5</v>
      </c>
      <c r="R110" s="167">
        <f t="shared" si="118"/>
        <v>0</v>
      </c>
      <c r="S110" s="168">
        <f t="shared" si="119"/>
        <v>7</v>
      </c>
      <c r="T110" s="168">
        <f t="shared" si="120"/>
        <v>0</v>
      </c>
      <c r="U110" s="169">
        <f t="shared" si="121"/>
        <v>87</v>
      </c>
      <c r="V110" s="173">
        <f>IF(ISERROR(VLOOKUP($A110,'HRGs to TFCs % Split'!$A$8:$AA$117,6,0)),0,VLOOKUP($A110,'HRGs to TFCs % Split'!$A$8:$AA$117,14,0))</f>
        <v>0</v>
      </c>
      <c r="W110" s="174">
        <f>IF(ISERROR(VLOOKUP($A110,'HRGs to TFCs % Split'!$A$8:$AA$117,6,0)),0,VLOOKUP($A110,'HRGs to TFCs % Split'!$A$8:$AA$117,15,0))</f>
        <v>3.5639417443474365E-6</v>
      </c>
      <c r="X110" s="174">
        <f>IF(ISERROR(VLOOKUP($A110,'HRGs to TFCs % Split'!$A$8:$AA$117,6,0)),0,VLOOKUP($A110,'HRGs to TFCs % Split'!$A$8:$AA$117,16,0))</f>
        <v>0</v>
      </c>
      <c r="Y110" s="175">
        <f>IF(ISERROR(VLOOKUP($A110,'HRGs to TFCs % Split'!$A$8:$AA$117,6,0)),0,VLOOKUP($A110,'HRGs to TFCs % Split'!$A$8:$AA$117,17,0))</f>
        <v>4.3833627302942662E-5</v>
      </c>
      <c r="Z110" s="167">
        <f t="shared" si="82"/>
        <v>0</v>
      </c>
      <c r="AA110" s="168">
        <f t="shared" si="83"/>
        <v>630.42254213988417</v>
      </c>
      <c r="AB110" s="168">
        <f t="shared" si="84"/>
        <v>0</v>
      </c>
      <c r="AC110" s="169">
        <f t="shared" si="85"/>
        <v>7753.6920459941812</v>
      </c>
      <c r="AD110" s="200">
        <f t="shared" si="70"/>
        <v>0</v>
      </c>
      <c r="AE110" s="201">
        <f t="shared" si="71"/>
        <v>4211</v>
      </c>
      <c r="AF110" s="201">
        <f t="shared" si="72"/>
        <v>1197</v>
      </c>
      <c r="AG110" s="202">
        <f t="shared" si="73"/>
        <v>13208</v>
      </c>
      <c r="AH110" s="200">
        <f t="shared" si="74"/>
        <v>0</v>
      </c>
      <c r="AI110" s="201">
        <f t="shared" si="75"/>
        <v>374315.35939575691</v>
      </c>
      <c r="AJ110" s="201">
        <f t="shared" si="76"/>
        <v>22777.778090669799</v>
      </c>
      <c r="AK110" s="202">
        <f t="shared" si="77"/>
        <v>841590.82917176827</v>
      </c>
      <c r="AL110" s="194">
        <f t="shared" si="78"/>
        <v>0</v>
      </c>
      <c r="AM110" s="195">
        <f t="shared" si="79"/>
        <v>88.889897742996183</v>
      </c>
      <c r="AN110" s="195">
        <f t="shared" si="80"/>
        <v>19.029054378170258</v>
      </c>
      <c r="AO110" s="196">
        <f t="shared" si="81"/>
        <v>63.718263868244115</v>
      </c>
      <c r="AP110" s="188">
        <f t="shared" si="86"/>
        <v>0</v>
      </c>
      <c r="AQ110" s="189">
        <f t="shared" si="87"/>
        <v>2.1925577220027748E-5</v>
      </c>
      <c r="AR110" s="189">
        <f t="shared" si="88"/>
        <v>0</v>
      </c>
      <c r="AS110" s="190">
        <f t="shared" si="89"/>
        <v>2.650641223627348E-3</v>
      </c>
      <c r="AT110" s="196">
        <f>IF(ISERROR(VLOOKUP(A110,Mandatory!A:A,1,FALSE)),0,1)</f>
        <v>0</v>
      </c>
    </row>
    <row r="111" spans="1:46">
      <c r="A111">
        <v>653</v>
      </c>
      <c r="B111" s="185">
        <f>VLOOKUP(A111,OPATT_Activities!A:J,3,FALSE)</f>
        <v>370</v>
      </c>
      <c r="C111" s="186">
        <f>VLOOKUP(A111,OPATT_Activities!A:J,4,FALSE)</f>
        <v>13380</v>
      </c>
      <c r="D111" s="186">
        <f>VLOOKUP(A111,OPATT_Activities!A:J,5,FALSE)</f>
        <v>3242</v>
      </c>
      <c r="E111" s="187">
        <f>VLOOKUP(A111,OPATT_Activities!A:J,6,FALSE)</f>
        <v>81161</v>
      </c>
      <c r="F111" s="185">
        <f>VLOOKUP(A111,OPATT_Cost_Quantum!A:F,2,FALSE)</f>
        <v>88523.033789847395</v>
      </c>
      <c r="G111" s="186">
        <f>VLOOKUP(A111,OPATT_Cost_Quantum!A:F,3,FALSE)</f>
        <v>1578652.64041916</v>
      </c>
      <c r="H111" s="186">
        <f>VLOOKUP(A111,OPATT_Cost_Quantum!A:F,4,FALSE)</f>
        <v>586834.06628674199</v>
      </c>
      <c r="I111" s="187">
        <f>VLOOKUP(A111,OPATT_Cost_Quantum!A:F,5,FALSE)</f>
        <v>4216195.6021762397</v>
      </c>
      <c r="J111" s="179">
        <f t="shared" si="122"/>
        <v>239.25144267526323</v>
      </c>
      <c r="K111" s="180">
        <f t="shared" si="123"/>
        <v>117.98599704179074</v>
      </c>
      <c r="L111" s="180">
        <f t="shared" si="124"/>
        <v>181.00989089658913</v>
      </c>
      <c r="M111" s="181">
        <f t="shared" si="125"/>
        <v>51.948541814125498</v>
      </c>
      <c r="N111" s="173">
        <f>IF(ISERROR(VLOOKUP($A111,'HRGs to TFCs % Split'!$A$8:$I$117,6,0)),0,VLOOKUP($A111,'HRGs to TFCs % Split'!$A$8:$I$117,6,0))</f>
        <v>0</v>
      </c>
      <c r="O111" s="174">
        <f>IF(ISERROR(VLOOKUP($A111,'HRGs to TFCs % Split'!$A$8:$I$117,6,0)),0,VLOOKUP($A111,'HRGs to TFCs % Split'!$A$8:$I$117,7,0))</f>
        <v>4.2829050797469542E-5</v>
      </c>
      <c r="P111" s="174">
        <f>IF(ISERROR(VLOOKUP($A111,'HRGs to TFCs % Split'!$A$8:$I$117,6,0)),0,VLOOKUP($A111,'HRGs to TFCs % Split'!$A$8:$I$117,8,0))</f>
        <v>0</v>
      </c>
      <c r="Q111" s="175">
        <f>IF(ISERROR(VLOOKUP($A111,'HRGs to TFCs % Split'!$A$8:$I$117,6,0)),0,VLOOKUP($A111,'HRGs to TFCs % Split'!$A$8:$I$117,9,0))</f>
        <v>1.1142937526445094E-3</v>
      </c>
      <c r="R111" s="167">
        <f t="shared" si="118"/>
        <v>0</v>
      </c>
      <c r="S111" s="168">
        <f t="shared" si="119"/>
        <v>68</v>
      </c>
      <c r="T111" s="168">
        <f t="shared" si="120"/>
        <v>0</v>
      </c>
      <c r="U111" s="169">
        <f t="shared" si="121"/>
        <v>1759</v>
      </c>
      <c r="V111" s="173">
        <f>IF(ISERROR(VLOOKUP($A111,'HRGs to TFCs % Split'!$A$8:$AA$117,6,0)),0,VLOOKUP($A111,'HRGs to TFCs % Split'!$A$8:$AA$117,14,0))</f>
        <v>0</v>
      </c>
      <c r="W111" s="174">
        <f>IF(ISERROR(VLOOKUP($A111,'HRGs to TFCs % Split'!$A$8:$AA$117,6,0)),0,VLOOKUP($A111,'HRGs to TFCs % Split'!$A$8:$AA$117,15,0))</f>
        <v>5.7573998464013399E-5</v>
      </c>
      <c r="X111" s="174">
        <f>IF(ISERROR(VLOOKUP($A111,'HRGs to TFCs % Split'!$A$8:$AA$117,6,0)),0,VLOOKUP($A111,'HRGs to TFCs % Split'!$A$8:$AA$117,16,0))</f>
        <v>0</v>
      </c>
      <c r="Y111" s="175">
        <f>IF(ISERROR(VLOOKUP($A111,'HRGs to TFCs % Split'!$A$8:$AA$117,6,0)),0,VLOOKUP($A111,'HRGs to TFCs % Split'!$A$8:$AA$117,17,0))</f>
        <v>1.1261855853150883E-3</v>
      </c>
      <c r="Z111" s="167">
        <f t="shared" si="82"/>
        <v>0</v>
      </c>
      <c r="AA111" s="168">
        <f t="shared" si="83"/>
        <v>10184.214298790946</v>
      </c>
      <c r="AB111" s="168">
        <f t="shared" si="84"/>
        <v>0</v>
      </c>
      <c r="AC111" s="169">
        <f t="shared" si="85"/>
        <v>199209.98449025673</v>
      </c>
      <c r="AD111" s="200">
        <f t="shared" si="70"/>
        <v>370</v>
      </c>
      <c r="AE111" s="201">
        <f t="shared" si="71"/>
        <v>13448</v>
      </c>
      <c r="AF111" s="201">
        <f t="shared" si="72"/>
        <v>3242</v>
      </c>
      <c r="AG111" s="202">
        <f t="shared" si="73"/>
        <v>82920</v>
      </c>
      <c r="AH111" s="200">
        <f t="shared" si="74"/>
        <v>88523.033789847395</v>
      </c>
      <c r="AI111" s="201">
        <f t="shared" si="75"/>
        <v>1588836.854717951</v>
      </c>
      <c r="AJ111" s="201">
        <f t="shared" si="76"/>
        <v>586834.06628674199</v>
      </c>
      <c r="AK111" s="202">
        <f t="shared" si="77"/>
        <v>4415405.5866664965</v>
      </c>
      <c r="AL111" s="194">
        <f t="shared" si="78"/>
        <v>239.25144267526323</v>
      </c>
      <c r="AM111" s="195">
        <f t="shared" si="79"/>
        <v>118.14670246266739</v>
      </c>
      <c r="AN111" s="195">
        <f t="shared" si="80"/>
        <v>181.00989089658913</v>
      </c>
      <c r="AO111" s="196">
        <f t="shared" si="81"/>
        <v>53.248981990671687</v>
      </c>
      <c r="AP111" s="188">
        <f t="shared" si="86"/>
        <v>0</v>
      </c>
      <c r="AQ111" s="189">
        <f t="shared" si="87"/>
        <v>1.3620719823195238E-3</v>
      </c>
      <c r="AR111" s="189">
        <f t="shared" si="88"/>
        <v>0</v>
      </c>
      <c r="AS111" s="190">
        <f t="shared" si="89"/>
        <v>2.503323733704077E-2</v>
      </c>
      <c r="AT111" s="196">
        <f>IF(ISERROR(VLOOKUP(A111,Mandatory!A:A,1,FALSE)),0,1)</f>
        <v>0</v>
      </c>
    </row>
    <row r="112" spans="1:46">
      <c r="A112">
        <v>654</v>
      </c>
      <c r="B112" s="185">
        <f>VLOOKUP(A112,OPATT_Activities!A:J,3,FALSE)</f>
        <v>400</v>
      </c>
      <c r="C112" s="186">
        <f>VLOOKUP(A112,OPATT_Activities!A:J,4,FALSE)</f>
        <v>12111</v>
      </c>
      <c r="D112" s="186">
        <f>VLOOKUP(A112,OPATT_Activities!A:J,5,FALSE)</f>
        <v>3216</v>
      </c>
      <c r="E112" s="187">
        <f>VLOOKUP(A112,OPATT_Activities!A:J,6,FALSE)</f>
        <v>19712</v>
      </c>
      <c r="F112" s="185">
        <f>VLOOKUP(A112,OPATT_Cost_Quantum!A:F,2,FALSE)</f>
        <v>7207.0369435065004</v>
      </c>
      <c r="G112" s="186">
        <f>VLOOKUP(A112,OPATT_Cost_Quantum!A:F,3,FALSE)</f>
        <v>1031188.4712899</v>
      </c>
      <c r="H112" s="186">
        <f>VLOOKUP(A112,OPATT_Cost_Quantum!A:F,4,FALSE)</f>
        <v>50949.738461381203</v>
      </c>
      <c r="I112" s="187">
        <f>VLOOKUP(A112,OPATT_Cost_Quantum!A:F,5,FALSE)</f>
        <v>1722050.1700655599</v>
      </c>
      <c r="J112" s="179">
        <f t="shared" si="122"/>
        <v>18.017592358766251</v>
      </c>
      <c r="K112" s="180">
        <f t="shared" si="123"/>
        <v>85.144783361398723</v>
      </c>
      <c r="L112" s="180">
        <f t="shared" si="124"/>
        <v>15.842580367344901</v>
      </c>
      <c r="M112" s="181">
        <f t="shared" si="125"/>
        <v>87.360499698942775</v>
      </c>
      <c r="N112" s="173">
        <f>IF(ISERROR(VLOOKUP($A112,'HRGs to TFCs % Split'!$A$8:$I$117,6,0)),0,VLOOKUP($A112,'HRGs to TFCs % Split'!$A$8:$I$117,6,0))</f>
        <v>0</v>
      </c>
      <c r="O112" s="174">
        <f>IF(ISERROR(VLOOKUP($A112,'HRGs to TFCs % Split'!$A$8:$I$117,6,0)),0,VLOOKUP($A112,'HRGs to TFCs % Split'!$A$8:$I$117,7,0))</f>
        <v>2.2152957309035971E-6</v>
      </c>
      <c r="P112" s="174">
        <f>IF(ISERROR(VLOOKUP($A112,'HRGs to TFCs % Split'!$A$8:$I$117,6,0)),0,VLOOKUP($A112,'HRGs to TFCs % Split'!$A$8:$I$117,8,0))</f>
        <v>0</v>
      </c>
      <c r="Q112" s="175">
        <f>IF(ISERROR(VLOOKUP($A112,'HRGs to TFCs % Split'!$A$8:$I$117,6,0)),0,VLOOKUP($A112,'HRGs to TFCs % Split'!$A$8:$I$117,9,0))</f>
        <v>5.9074552824095921E-6</v>
      </c>
      <c r="R112" s="167">
        <f t="shared" si="118"/>
        <v>0</v>
      </c>
      <c r="S112" s="168">
        <f t="shared" si="119"/>
        <v>3</v>
      </c>
      <c r="T112" s="168">
        <f t="shared" si="120"/>
        <v>0</v>
      </c>
      <c r="U112" s="169">
        <f t="shared" si="121"/>
        <v>9</v>
      </c>
      <c r="V112" s="173">
        <f>IF(ISERROR(VLOOKUP($A112,'HRGs to TFCs % Split'!$A$8:$AA$117,6,0)),0,VLOOKUP($A112,'HRGs to TFCs % Split'!$A$8:$AA$117,14,0))</f>
        <v>0</v>
      </c>
      <c r="W112" s="174">
        <f>IF(ISERROR(VLOOKUP($A112,'HRGs to TFCs % Split'!$A$8:$AA$117,6,0)),0,VLOOKUP($A112,'HRGs to TFCs % Split'!$A$8:$AA$117,15,0))</f>
        <v>3.0620890723839885E-6</v>
      </c>
      <c r="X112" s="174">
        <f>IF(ISERROR(VLOOKUP($A112,'HRGs to TFCs % Split'!$A$8:$AA$117,6,0)),0,VLOOKUP($A112,'HRGs to TFCs % Split'!$A$8:$AA$117,16,0))</f>
        <v>0</v>
      </c>
      <c r="Y112" s="175">
        <f>IF(ISERROR(VLOOKUP($A112,'HRGs to TFCs % Split'!$A$8:$AA$117,6,0)),0,VLOOKUP($A112,'HRGs to TFCs % Split'!$A$8:$AA$117,17,0))</f>
        <v>4.9561604580879106E-6</v>
      </c>
      <c r="Z112" s="167">
        <f t="shared" si="82"/>
        <v>0</v>
      </c>
      <c r="AA112" s="168">
        <f t="shared" si="83"/>
        <v>541.65026135255619</v>
      </c>
      <c r="AB112" s="168">
        <f t="shared" si="84"/>
        <v>0</v>
      </c>
      <c r="AC112" s="169">
        <f t="shared" si="85"/>
        <v>876.69089434374291</v>
      </c>
      <c r="AD112" s="200">
        <f t="shared" si="70"/>
        <v>400</v>
      </c>
      <c r="AE112" s="201">
        <f t="shared" si="71"/>
        <v>12114</v>
      </c>
      <c r="AF112" s="201">
        <f t="shared" si="72"/>
        <v>3216</v>
      </c>
      <c r="AG112" s="202">
        <f t="shared" si="73"/>
        <v>19721</v>
      </c>
      <c r="AH112" s="200">
        <f t="shared" si="74"/>
        <v>7207.0369435065004</v>
      </c>
      <c r="AI112" s="201">
        <f t="shared" si="75"/>
        <v>1031730.1215512526</v>
      </c>
      <c r="AJ112" s="201">
        <f t="shared" si="76"/>
        <v>50949.738461381203</v>
      </c>
      <c r="AK112" s="202">
        <f t="shared" si="77"/>
        <v>1722926.8609599036</v>
      </c>
      <c r="AL112" s="194">
        <f t="shared" si="78"/>
        <v>18.017592358766251</v>
      </c>
      <c r="AM112" s="195">
        <f t="shared" si="79"/>
        <v>85.168410232066421</v>
      </c>
      <c r="AN112" s="195">
        <f t="shared" si="80"/>
        <v>15.842580367344901</v>
      </c>
      <c r="AO112" s="196">
        <f t="shared" si="81"/>
        <v>87.365085997662575</v>
      </c>
      <c r="AP112" s="188">
        <f t="shared" si="86"/>
        <v>0</v>
      </c>
      <c r="AQ112" s="189">
        <f t="shared" si="87"/>
        <v>2.7749052537262564E-4</v>
      </c>
      <c r="AR112" s="189">
        <f t="shared" si="88"/>
        <v>0</v>
      </c>
      <c r="AS112" s="190">
        <f t="shared" si="89"/>
        <v>5.2498540365597535E-5</v>
      </c>
      <c r="AT112" s="196">
        <f>IF(ISERROR(VLOOKUP(A112,Mandatory!A:A,1,FALSE)),0,1)</f>
        <v>0</v>
      </c>
    </row>
    <row r="113" spans="1:46">
      <c r="A113">
        <v>655</v>
      </c>
      <c r="B113" s="185">
        <f>VLOOKUP(A113,OPATT_Activities!A:J,3,FALSE)</f>
        <v>8</v>
      </c>
      <c r="C113" s="186">
        <f>VLOOKUP(A113,OPATT_Activities!A:J,4,FALSE)</f>
        <v>17668</v>
      </c>
      <c r="D113" s="186">
        <f>VLOOKUP(A113,OPATT_Activities!A:J,5,FALSE)</f>
        <v>203</v>
      </c>
      <c r="E113" s="187">
        <f>VLOOKUP(A113,OPATT_Activities!A:J,6,FALSE)</f>
        <v>103235</v>
      </c>
      <c r="F113" s="185">
        <f>VLOOKUP(A113,OPATT_Cost_Quantum!A:F,2,FALSE)</f>
        <v>1234.7998897263401</v>
      </c>
      <c r="G113" s="186">
        <f>VLOOKUP(A113,OPATT_Cost_Quantum!A:F,3,FALSE)</f>
        <v>1383989.95597891</v>
      </c>
      <c r="H113" s="186">
        <f>VLOOKUP(A113,OPATT_Cost_Quantum!A:F,4,FALSE)</f>
        <v>32898.401688679201</v>
      </c>
      <c r="I113" s="187">
        <f>VLOOKUP(A113,OPATT_Cost_Quantum!A:F,5,FALSE)</f>
        <v>5536576.9431364704</v>
      </c>
      <c r="J113" s="179">
        <f t="shared" si="65"/>
        <v>154.34998621579251</v>
      </c>
      <c r="K113" s="180">
        <f t="shared" si="65"/>
        <v>78.333142176755146</v>
      </c>
      <c r="L113" s="180">
        <f t="shared" si="65"/>
        <v>162.06109206245912</v>
      </c>
      <c r="M113" s="181">
        <f t="shared" si="65"/>
        <v>53.630812642383596</v>
      </c>
      <c r="N113" s="173">
        <f>IF(ISERROR(VLOOKUP($A113,'HRGs to TFCs % Split'!$A$8:$I$117,6,0)),0,VLOOKUP($A113,'HRGs to TFCs % Split'!$A$8:$I$117,6,0))</f>
        <v>0</v>
      </c>
      <c r="O113" s="174">
        <f>IF(ISERROR(VLOOKUP($A113,'HRGs to TFCs % Split'!$A$8:$I$117,6,0)),0,VLOOKUP($A113,'HRGs to TFCs % Split'!$A$8:$I$117,7,0))</f>
        <v>7.3843191030119901E-7</v>
      </c>
      <c r="P113" s="174">
        <f>IF(ISERROR(VLOOKUP($A113,'HRGs to TFCs % Split'!$A$8:$I$117,6,0)),0,VLOOKUP($A113,'HRGs to TFCs % Split'!$A$8:$I$117,8,0))</f>
        <v>0</v>
      </c>
      <c r="Q113" s="175">
        <f>IF(ISERROR(VLOOKUP($A113,'HRGs to TFCs % Split'!$A$8:$I$117,6,0)),0,VLOOKUP($A113,'HRGs to TFCs % Split'!$A$8:$I$117,9,0))</f>
        <v>1.476863820602398E-6</v>
      </c>
      <c r="R113" s="167">
        <f t="shared" si="118"/>
        <v>0</v>
      </c>
      <c r="S113" s="168">
        <f t="shared" si="119"/>
        <v>1</v>
      </c>
      <c r="T113" s="168">
        <f t="shared" si="120"/>
        <v>0</v>
      </c>
      <c r="U113" s="169">
        <f t="shared" si="121"/>
        <v>2</v>
      </c>
      <c r="V113" s="173">
        <f>IF(ISERROR(VLOOKUP($A113,'HRGs to TFCs % Split'!$A$8:$AA$117,6,0)),0,VLOOKUP($A113,'HRGs to TFCs % Split'!$A$8:$AA$117,14,0))</f>
        <v>0</v>
      </c>
      <c r="W113" s="174">
        <f>IF(ISERROR(VLOOKUP($A113,'HRGs to TFCs % Split'!$A$8:$AA$117,6,0)),0,VLOOKUP($A113,'HRGs to TFCs % Split'!$A$8:$AA$117,15,0))</f>
        <v>4.6091349773149063E-6</v>
      </c>
      <c r="X113" s="174">
        <f>IF(ISERROR(VLOOKUP($A113,'HRGs to TFCs % Split'!$A$8:$AA$117,6,0)),0,VLOOKUP($A113,'HRGs to TFCs % Split'!$A$8:$AA$117,16,0))</f>
        <v>0</v>
      </c>
      <c r="Y113" s="175">
        <f>IF(ISERROR(VLOOKUP($A113,'HRGs to TFCs % Split'!$A$8:$AA$117,6,0)),0,VLOOKUP($A113,'HRGs to TFCs % Split'!$A$8:$AA$117,17,0))</f>
        <v>1.286511892426108E-6</v>
      </c>
      <c r="Z113" s="167">
        <f t="shared" si="82"/>
        <v>0</v>
      </c>
      <c r="AA113" s="168">
        <f t="shared" si="83"/>
        <v>815.30586016825009</v>
      </c>
      <c r="AB113" s="168">
        <f t="shared" si="84"/>
        <v>0</v>
      </c>
      <c r="AC113" s="169">
        <f t="shared" si="85"/>
        <v>227.56996491393662</v>
      </c>
      <c r="AD113" s="200">
        <f t="shared" si="70"/>
        <v>8</v>
      </c>
      <c r="AE113" s="201">
        <f t="shared" si="71"/>
        <v>17669</v>
      </c>
      <c r="AF113" s="201">
        <f t="shared" si="72"/>
        <v>203</v>
      </c>
      <c r="AG113" s="202">
        <f t="shared" si="73"/>
        <v>103237</v>
      </c>
      <c r="AH113" s="200">
        <f t="shared" si="74"/>
        <v>1234.7998897263401</v>
      </c>
      <c r="AI113" s="201">
        <f t="shared" si="75"/>
        <v>1384805.2618390783</v>
      </c>
      <c r="AJ113" s="201">
        <f t="shared" si="76"/>
        <v>32898.401688679201</v>
      </c>
      <c r="AK113" s="202">
        <f t="shared" si="77"/>
        <v>5536804.513101384</v>
      </c>
      <c r="AL113" s="194">
        <f t="shared" si="78"/>
        <v>154.34998621579251</v>
      </c>
      <c r="AM113" s="195">
        <f t="shared" si="79"/>
        <v>78.374852104764173</v>
      </c>
      <c r="AN113" s="195">
        <f t="shared" si="80"/>
        <v>162.06109206245912</v>
      </c>
      <c r="AO113" s="196">
        <f t="shared" si="81"/>
        <v>53.631978003054954</v>
      </c>
      <c r="AP113" s="188">
        <f t="shared" si="86"/>
        <v>0</v>
      </c>
      <c r="AQ113" s="189">
        <f t="shared" si="87"/>
        <v>5.3246846545373927E-4</v>
      </c>
      <c r="AR113" s="189">
        <f t="shared" si="88"/>
        <v>0</v>
      </c>
      <c r="AS113" s="190">
        <f t="shared" si="89"/>
        <v>2.1729312198459638E-5</v>
      </c>
      <c r="AT113" s="196">
        <f>IF(ISERROR(VLOOKUP(A113,Mandatory!A:A,1,FALSE)),0,1)</f>
        <v>0</v>
      </c>
    </row>
    <row r="114" spans="1:46">
      <c r="A114">
        <v>800</v>
      </c>
      <c r="B114" s="185">
        <f>VLOOKUP(A114,OPATT_Activities!A:J,3,FALSE)</f>
        <v>11208</v>
      </c>
      <c r="C114" s="186">
        <f>VLOOKUP(A114,OPATT_Activities!A:J,4,FALSE)</f>
        <v>132302</v>
      </c>
      <c r="D114" s="186">
        <f>VLOOKUP(A114,OPATT_Activities!A:J,5,FALSE)</f>
        <v>51082</v>
      </c>
      <c r="E114" s="187">
        <f>VLOOKUP(A114,OPATT_Activities!A:J,6,FALSE)</f>
        <v>818710</v>
      </c>
      <c r="F114" s="185">
        <f>VLOOKUP(A114,OPATT_Cost_Quantum!A:F,2,FALSE)</f>
        <v>1326672.5160852601</v>
      </c>
      <c r="G114" s="186">
        <f>VLOOKUP(A114,OPATT_Cost_Quantum!A:F,3,FALSE)</f>
        <v>19660575.837998901</v>
      </c>
      <c r="H114" s="186">
        <f>VLOOKUP(A114,OPATT_Cost_Quantum!A:F,4,FALSE)</f>
        <v>4697648.5302695502</v>
      </c>
      <c r="I114" s="187">
        <f>VLOOKUP(A114,OPATT_Cost_Quantum!A:F,5,FALSE)</f>
        <v>86030349.404770494</v>
      </c>
      <c r="J114" s="179">
        <f t="shared" si="65"/>
        <v>118.3683543973287</v>
      </c>
      <c r="K114" s="180">
        <f t="shared" si="65"/>
        <v>148.60376893772505</v>
      </c>
      <c r="L114" s="180">
        <f t="shared" si="65"/>
        <v>91.962893588143572</v>
      </c>
      <c r="M114" s="181">
        <f t="shared" si="65"/>
        <v>105.08036961167018</v>
      </c>
      <c r="N114" s="173">
        <f>IF(ISERROR(VLOOKUP($A114,'HRGs to TFCs % Split'!$A$8:$I$117,6,0)),0,VLOOKUP($A114,'HRGs to TFCs % Split'!$A$8:$I$117,6,0))</f>
        <v>0</v>
      </c>
      <c r="O114" s="174">
        <f>IF(ISERROR(VLOOKUP($A114,'HRGs to TFCs % Split'!$A$8:$I$117,6,0)),0,VLOOKUP($A114,'HRGs to TFCs % Split'!$A$8:$I$117,7,0))</f>
        <v>1.7943895420319137E-4</v>
      </c>
      <c r="P114" s="174">
        <f>IF(ISERROR(VLOOKUP($A114,'HRGs to TFCs % Split'!$A$8:$I$117,6,0)),0,VLOOKUP($A114,'HRGs to TFCs % Split'!$A$8:$I$117,8,0))</f>
        <v>0</v>
      </c>
      <c r="Q114" s="175">
        <f>IF(ISERROR(VLOOKUP($A114,'HRGs to TFCs % Split'!$A$8:$I$117,6,0)),0,VLOOKUP($A114,'HRGs to TFCs % Split'!$A$8:$I$117,9,0))</f>
        <v>6.1289848554999513E-4</v>
      </c>
      <c r="R114" s="167">
        <f t="shared" si="118"/>
        <v>0</v>
      </c>
      <c r="S114" s="168">
        <f t="shared" si="119"/>
        <v>283</v>
      </c>
      <c r="T114" s="168">
        <f t="shared" si="120"/>
        <v>0</v>
      </c>
      <c r="U114" s="169">
        <f t="shared" si="121"/>
        <v>967</v>
      </c>
      <c r="V114" s="173">
        <f>IF(ISERROR(VLOOKUP($A114,'HRGs to TFCs % Split'!$A$8:$AA$117,6,0)),0,VLOOKUP($A114,'HRGs to TFCs % Split'!$A$8:$AA$117,14,0))</f>
        <v>0</v>
      </c>
      <c r="W114" s="174">
        <f>IF(ISERROR(VLOOKUP($A114,'HRGs to TFCs % Split'!$A$8:$AA$117,6,0)),0,VLOOKUP($A114,'HRGs to TFCs % Split'!$A$8:$AA$117,15,0))</f>
        <v>1.4119223597220765E-4</v>
      </c>
      <c r="X114" s="174">
        <f>IF(ISERROR(VLOOKUP($A114,'HRGs to TFCs % Split'!$A$8:$AA$117,6,0)),0,VLOOKUP($A114,'HRGs to TFCs % Split'!$A$8:$AA$117,16,0))</f>
        <v>0</v>
      </c>
      <c r="Y114" s="175">
        <f>IF(ISERROR(VLOOKUP($A114,'HRGs to TFCs % Split'!$A$8:$AA$117,6,0)),0,VLOOKUP($A114,'HRGs to TFCs % Split'!$A$8:$AA$117,17,0))</f>
        <v>5.6684398651134075E-4</v>
      </c>
      <c r="Z114" s="167">
        <f t="shared" si="82"/>
        <v>0</v>
      </c>
      <c r="AA114" s="168">
        <f t="shared" si="83"/>
        <v>24975.37129308817</v>
      </c>
      <c r="AB114" s="168">
        <f t="shared" si="84"/>
        <v>0</v>
      </c>
      <c r="AC114" s="169">
        <f t="shared" si="85"/>
        <v>100268.53764934848</v>
      </c>
      <c r="AD114" s="200">
        <f t="shared" si="70"/>
        <v>11208</v>
      </c>
      <c r="AE114" s="201">
        <f t="shared" si="71"/>
        <v>132585</v>
      </c>
      <c r="AF114" s="201">
        <f t="shared" si="72"/>
        <v>51082</v>
      </c>
      <c r="AG114" s="202">
        <f t="shared" si="73"/>
        <v>819677</v>
      </c>
      <c r="AH114" s="200">
        <f t="shared" si="74"/>
        <v>1326672.5160852601</v>
      </c>
      <c r="AI114" s="201">
        <f t="shared" si="75"/>
        <v>19685551.209291987</v>
      </c>
      <c r="AJ114" s="201">
        <f t="shared" si="76"/>
        <v>4697648.5302695502</v>
      </c>
      <c r="AK114" s="202">
        <f t="shared" si="77"/>
        <v>86130617.942419842</v>
      </c>
      <c r="AL114" s="194">
        <f t="shared" si="78"/>
        <v>118.3683543973287</v>
      </c>
      <c r="AM114" s="195">
        <f t="shared" si="79"/>
        <v>148.47494972502159</v>
      </c>
      <c r="AN114" s="195">
        <f t="shared" si="80"/>
        <v>91.962893588143572</v>
      </c>
      <c r="AO114" s="196">
        <f t="shared" si="81"/>
        <v>105.07872972209766</v>
      </c>
      <c r="AP114" s="188">
        <f t="shared" si="86"/>
        <v>0</v>
      </c>
      <c r="AQ114" s="189">
        <f t="shared" si="87"/>
        <v>-8.6686369817068343E-4</v>
      </c>
      <c r="AR114" s="189">
        <f t="shared" si="88"/>
        <v>0</v>
      </c>
      <c r="AS114" s="190">
        <f t="shared" si="89"/>
        <v>-1.5606050669414451E-5</v>
      </c>
      <c r="AT114" s="196">
        <f>IF(ISERROR(VLOOKUP(A114,Mandatory!A:A,1,FALSE)),0,1)</f>
        <v>1</v>
      </c>
    </row>
    <row r="115" spans="1:46">
      <c r="A115">
        <v>812</v>
      </c>
      <c r="B115" s="185">
        <f>VLOOKUP(A115,OPATT_Activities!A:J,3,FALSE)</f>
        <v>0</v>
      </c>
      <c r="C115" s="186">
        <f>VLOOKUP(A115,OPATT_Activities!A:J,4,FALSE)</f>
        <v>52186</v>
      </c>
      <c r="D115" s="186">
        <f>VLOOKUP(A115,OPATT_Activities!A:J,5,FALSE)</f>
        <v>2</v>
      </c>
      <c r="E115" s="187">
        <f>VLOOKUP(A115,OPATT_Activities!A:J,6,FALSE)</f>
        <v>43829</v>
      </c>
      <c r="F115" s="185">
        <f>VLOOKUP(A115,OPATT_Cost_Quantum!A:F,2,FALSE)</f>
        <v>0</v>
      </c>
      <c r="G115" s="186">
        <f>VLOOKUP(A115,OPATT_Cost_Quantum!A:F,3,FALSE)</f>
        <v>1357160.8343487</v>
      </c>
      <c r="H115" s="186">
        <f>VLOOKUP(A115,OPATT_Cost_Quantum!A:F,4,FALSE)</f>
        <v>192.276122212465</v>
      </c>
      <c r="I115" s="187">
        <f>VLOOKUP(A115,OPATT_Cost_Quantum!A:F,5,FALSE)</f>
        <v>1848446.6404273801</v>
      </c>
      <c r="J115" s="179">
        <f t="shared" si="65"/>
        <v>0</v>
      </c>
      <c r="K115" s="180">
        <f t="shared" si="65"/>
        <v>26.006224549662743</v>
      </c>
      <c r="L115" s="180">
        <f t="shared" si="65"/>
        <v>96.138061106232499</v>
      </c>
      <c r="M115" s="181">
        <f t="shared" si="65"/>
        <v>42.174054631120491</v>
      </c>
      <c r="N115" s="173">
        <f>IF(ISERROR(VLOOKUP($A115,'HRGs to TFCs % Split'!$A$8:$I$117,6,0)),0,VLOOKUP($A115,'HRGs to TFCs % Split'!$A$8:$I$117,6,0))</f>
        <v>0</v>
      </c>
      <c r="O115" s="174">
        <f>IF(ISERROR(VLOOKUP($A115,'HRGs to TFCs % Split'!$A$8:$I$117,6,0)),0,VLOOKUP($A115,'HRGs to TFCs % Split'!$A$8:$I$117,7,0))</f>
        <v>0</v>
      </c>
      <c r="P115" s="174">
        <f>IF(ISERROR(VLOOKUP($A115,'HRGs to TFCs % Split'!$A$8:$I$117,6,0)),0,VLOOKUP($A115,'HRGs to TFCs % Split'!$A$8:$I$117,8,0))</f>
        <v>0</v>
      </c>
      <c r="Q115" s="175">
        <f>IF(ISERROR(VLOOKUP($A115,'HRGs to TFCs % Split'!$A$8:$I$117,6,0)),0,VLOOKUP($A115,'HRGs to TFCs % Split'!$A$8:$I$117,9,0))</f>
        <v>0</v>
      </c>
      <c r="R115" s="167">
        <f t="shared" si="118"/>
        <v>0</v>
      </c>
      <c r="S115" s="168">
        <f t="shared" si="119"/>
        <v>0</v>
      </c>
      <c r="T115" s="168">
        <f t="shared" si="120"/>
        <v>0</v>
      </c>
      <c r="U115" s="169">
        <f t="shared" si="121"/>
        <v>0</v>
      </c>
      <c r="V115" s="173">
        <f>IF(ISERROR(VLOOKUP($A115,'HRGs to TFCs % Split'!$A$8:$AA$117,6,0)),0,VLOOKUP($A115,'HRGs to TFCs % Split'!$A$8:$AA$117,14,0))</f>
        <v>0</v>
      </c>
      <c r="W115" s="174">
        <f>IF(ISERROR(VLOOKUP($A115,'HRGs to TFCs % Split'!$A$8:$AA$117,6,0)),0,VLOOKUP($A115,'HRGs to TFCs % Split'!$A$8:$AA$117,15,0))</f>
        <v>0</v>
      </c>
      <c r="X115" s="174">
        <f>IF(ISERROR(VLOOKUP($A115,'HRGs to TFCs % Split'!$A$8:$AA$117,6,0)),0,VLOOKUP($A115,'HRGs to TFCs % Split'!$A$8:$AA$117,16,0))</f>
        <v>0</v>
      </c>
      <c r="Y115" s="175">
        <f>IF(ISERROR(VLOOKUP($A115,'HRGs to TFCs % Split'!$A$8:$AA$117,6,0)),0,VLOOKUP($A115,'HRGs to TFCs % Split'!$A$8:$AA$117,17,0))</f>
        <v>0</v>
      </c>
      <c r="Z115" s="167">
        <f t="shared" si="82"/>
        <v>0</v>
      </c>
      <c r="AA115" s="168">
        <f t="shared" si="83"/>
        <v>0</v>
      </c>
      <c r="AB115" s="168">
        <f t="shared" si="84"/>
        <v>0</v>
      </c>
      <c r="AC115" s="169">
        <f t="shared" si="85"/>
        <v>0</v>
      </c>
      <c r="AD115" s="200">
        <f t="shared" si="70"/>
        <v>0</v>
      </c>
      <c r="AE115" s="201">
        <f t="shared" si="71"/>
        <v>52186</v>
      </c>
      <c r="AF115" s="201">
        <f t="shared" si="72"/>
        <v>2</v>
      </c>
      <c r="AG115" s="202">
        <f t="shared" si="73"/>
        <v>43829</v>
      </c>
      <c r="AH115" s="200">
        <f t="shared" si="74"/>
        <v>0</v>
      </c>
      <c r="AI115" s="201">
        <f t="shared" si="75"/>
        <v>1357160.8343487</v>
      </c>
      <c r="AJ115" s="201">
        <f t="shared" si="76"/>
        <v>192.276122212465</v>
      </c>
      <c r="AK115" s="202">
        <f t="shared" si="77"/>
        <v>1848446.6404273801</v>
      </c>
      <c r="AL115" s="194">
        <f t="shared" si="78"/>
        <v>0</v>
      </c>
      <c r="AM115" s="195">
        <f t="shared" si="79"/>
        <v>26.006224549662743</v>
      </c>
      <c r="AN115" s="195">
        <f t="shared" si="80"/>
        <v>96.138061106232499</v>
      </c>
      <c r="AO115" s="196">
        <f t="shared" si="81"/>
        <v>42.174054631120491</v>
      </c>
      <c r="AP115" s="188">
        <f t="shared" si="86"/>
        <v>0</v>
      </c>
      <c r="AQ115" s="189">
        <f t="shared" si="87"/>
        <v>0</v>
      </c>
      <c r="AR115" s="189">
        <f t="shared" si="88"/>
        <v>0</v>
      </c>
      <c r="AS115" s="190">
        <f t="shared" si="89"/>
        <v>0</v>
      </c>
      <c r="AT115" s="196">
        <f>IF(ISERROR(VLOOKUP(A115,Mandatory!A:A,1,FALSE)),0,1)</f>
        <v>0</v>
      </c>
    </row>
    <row r="116" spans="1:46">
      <c r="A116">
        <v>822</v>
      </c>
      <c r="B116" s="185">
        <f>VLOOKUP(A116,OPATT_Activities!A:J,3,FALSE)</f>
        <v>145</v>
      </c>
      <c r="C116" s="186">
        <f>VLOOKUP(A116,OPATT_Activities!A:J,4,FALSE)</f>
        <v>16901</v>
      </c>
      <c r="D116" s="186">
        <f>VLOOKUP(A116,OPATT_Activities!A:J,5,FALSE)</f>
        <v>638</v>
      </c>
      <c r="E116" s="187">
        <f>VLOOKUP(A116,OPATT_Activities!A:J,6,FALSE)</f>
        <v>40289</v>
      </c>
      <c r="F116" s="185">
        <f>VLOOKUP(A116,OPATT_Cost_Quantum!A:F,2,FALSE)</f>
        <v>24426.704049189801</v>
      </c>
      <c r="G116" s="186">
        <f>VLOOKUP(A116,OPATT_Cost_Quantum!A:F,3,FALSE)</f>
        <v>1111592.9759243301</v>
      </c>
      <c r="H116" s="186">
        <f>VLOOKUP(A116,OPATT_Cost_Quantum!A:F,4,FALSE)</f>
        <v>83663.328070584699</v>
      </c>
      <c r="I116" s="187">
        <f>VLOOKUP(A116,OPATT_Cost_Quantum!A:F,5,FALSE)</f>
        <v>2349928.1810625698</v>
      </c>
      <c r="J116" s="179">
        <f t="shared" si="65"/>
        <v>168.46002792544689</v>
      </c>
      <c r="K116" s="180">
        <f t="shared" si="65"/>
        <v>65.770840537502522</v>
      </c>
      <c r="L116" s="180">
        <f t="shared" si="65"/>
        <v>131.1337430573428</v>
      </c>
      <c r="M116" s="181">
        <f t="shared" si="65"/>
        <v>58.326793443931841</v>
      </c>
      <c r="N116" s="173">
        <f>IF(ISERROR(VLOOKUP($A116,'HRGs to TFCs % Split'!$A$8:$I$117,6,0)),0,VLOOKUP($A116,'HRGs to TFCs % Split'!$A$8:$I$117,6,0))</f>
        <v>0</v>
      </c>
      <c r="O116" s="174">
        <f>IF(ISERROR(VLOOKUP($A116,'HRGs to TFCs % Split'!$A$8:$I$117,6,0)),0,VLOOKUP($A116,'HRGs to TFCs % Split'!$A$8:$I$117,7,0))</f>
        <v>1.550707011632518E-5</v>
      </c>
      <c r="P116" s="174">
        <f>IF(ISERROR(VLOOKUP($A116,'HRGs to TFCs % Split'!$A$8:$I$117,6,0)),0,VLOOKUP($A116,'HRGs to TFCs % Split'!$A$8:$I$117,8,0))</f>
        <v>0</v>
      </c>
      <c r="Q116" s="175">
        <f>IF(ISERROR(VLOOKUP($A116,'HRGs to TFCs % Split'!$A$8:$I$117,6,0)),0,VLOOKUP($A116,'HRGs to TFCs % Split'!$A$8:$I$117,9,0))</f>
        <v>2.953727641204796E-6</v>
      </c>
      <c r="R116" s="167">
        <f t="shared" si="118"/>
        <v>0</v>
      </c>
      <c r="S116" s="168">
        <f t="shared" si="119"/>
        <v>24</v>
      </c>
      <c r="T116" s="168">
        <f t="shared" si="120"/>
        <v>0</v>
      </c>
      <c r="U116" s="169">
        <f t="shared" si="121"/>
        <v>5</v>
      </c>
      <c r="V116" s="173">
        <f>IF(ISERROR(VLOOKUP($A116,'HRGs to TFCs % Split'!$A$8:$AA$117,6,0)),0,VLOOKUP($A116,'HRGs to TFCs % Split'!$A$8:$AA$117,14,0))</f>
        <v>0</v>
      </c>
      <c r="W116" s="174">
        <f>IF(ISERROR(VLOOKUP($A116,'HRGs to TFCs % Split'!$A$8:$AA$117,6,0)),0,VLOOKUP($A116,'HRGs to TFCs % Split'!$A$8:$AA$117,15,0))</f>
        <v>2.1201563087641336E-5</v>
      </c>
      <c r="X116" s="174">
        <f>IF(ISERROR(VLOOKUP($A116,'HRGs to TFCs % Split'!$A$8:$AA$117,6,0)),0,VLOOKUP($A116,'HRGs to TFCs % Split'!$A$8:$AA$117,16,0))</f>
        <v>0</v>
      </c>
      <c r="Y116" s="175">
        <f>IF(ISERROR(VLOOKUP($A116,'HRGs to TFCs % Split'!$A$8:$AA$117,6,0)),0,VLOOKUP($A116,'HRGs to TFCs % Split'!$A$8:$AA$117,17,0))</f>
        <v>7.6160543860712526E-6</v>
      </c>
      <c r="Z116" s="167">
        <f t="shared" si="82"/>
        <v>0</v>
      </c>
      <c r="AA116" s="168">
        <f t="shared" si="83"/>
        <v>3750.3259755154354</v>
      </c>
      <c r="AB116" s="168">
        <f t="shared" si="84"/>
        <v>0</v>
      </c>
      <c r="AC116" s="169">
        <f t="shared" si="85"/>
        <v>1347.1972079110922</v>
      </c>
      <c r="AD116" s="200">
        <f t="shared" si="70"/>
        <v>145</v>
      </c>
      <c r="AE116" s="201">
        <f t="shared" si="71"/>
        <v>16925</v>
      </c>
      <c r="AF116" s="201">
        <f t="shared" si="72"/>
        <v>638</v>
      </c>
      <c r="AG116" s="202">
        <f t="shared" si="73"/>
        <v>40294</v>
      </c>
      <c r="AH116" s="200">
        <f t="shared" si="74"/>
        <v>24426.704049189801</v>
      </c>
      <c r="AI116" s="201">
        <f t="shared" si="75"/>
        <v>1115343.3018998455</v>
      </c>
      <c r="AJ116" s="201">
        <f t="shared" si="76"/>
        <v>83663.328070584699</v>
      </c>
      <c r="AK116" s="202">
        <f t="shared" si="77"/>
        <v>2351275.3782704808</v>
      </c>
      <c r="AL116" s="194">
        <f t="shared" si="78"/>
        <v>168.46002792544689</v>
      </c>
      <c r="AM116" s="195">
        <f t="shared" si="79"/>
        <v>65.899161116682151</v>
      </c>
      <c r="AN116" s="195">
        <f t="shared" si="80"/>
        <v>131.1337430573428</v>
      </c>
      <c r="AO116" s="196">
        <f t="shared" si="81"/>
        <v>58.352989980406036</v>
      </c>
      <c r="AP116" s="188">
        <f t="shared" si="86"/>
        <v>0</v>
      </c>
      <c r="AQ116" s="189">
        <f t="shared" si="87"/>
        <v>1.9510253804109201E-3</v>
      </c>
      <c r="AR116" s="189">
        <f t="shared" si="88"/>
        <v>0</v>
      </c>
      <c r="AS116" s="190">
        <f t="shared" si="89"/>
        <v>4.4913383588252032E-4</v>
      </c>
      <c r="AT116" s="196">
        <f>IF(ISERROR(VLOOKUP(A116,Mandatory!A:A,1,FALSE)),0,1)</f>
        <v>0</v>
      </c>
    </row>
    <row r="117" spans="1:46" ht="15.75" thickBot="1">
      <c r="A117">
        <v>840</v>
      </c>
      <c r="B117" s="212">
        <f>VLOOKUP(A117,OPATT_Activities!A:J,3,FALSE)</f>
        <v>24</v>
      </c>
      <c r="C117" s="213">
        <f>VLOOKUP(A117,OPATT_Activities!A:J,4,FALSE)</f>
        <v>5743</v>
      </c>
      <c r="D117" s="213">
        <f>VLOOKUP(A117,OPATT_Activities!A:J,5,FALSE)</f>
        <v>13</v>
      </c>
      <c r="E117" s="214">
        <f>VLOOKUP(A117,OPATT_Activities!A:J,6,FALSE)</f>
        <v>22674</v>
      </c>
      <c r="F117" s="212">
        <f>VLOOKUP(A117,OPATT_Cost_Quantum!A:F,2,FALSE)</f>
        <v>257.486829651383</v>
      </c>
      <c r="G117" s="213">
        <f>VLOOKUP(A117,OPATT_Cost_Quantum!A:F,3,FALSE)</f>
        <v>514925.66965537902</v>
      </c>
      <c r="H117" s="213">
        <f>VLOOKUP(A117,OPATT_Cost_Quantum!A:F,4,FALSE)</f>
        <v>227.186379804659</v>
      </c>
      <c r="I117" s="214">
        <f>VLOOKUP(A117,OPATT_Cost_Quantum!A:F,5,FALSE)</f>
        <v>1504760.66688025</v>
      </c>
      <c r="J117" s="215">
        <f t="shared" si="65"/>
        <v>10.728617902140959</v>
      </c>
      <c r="K117" s="216">
        <f t="shared" si="65"/>
        <v>89.661443436423298</v>
      </c>
      <c r="L117" s="216">
        <f t="shared" si="65"/>
        <v>17.475875369589154</v>
      </c>
      <c r="M117" s="217">
        <f t="shared" si="65"/>
        <v>66.365028970638178</v>
      </c>
      <c r="N117" s="218">
        <f>IF(ISERROR(VLOOKUP($A117,'HRGs to TFCs % Split'!$A$8:$I$117,6,0)),0,VLOOKUP($A117,'HRGs to TFCs % Split'!$A$8:$I$117,6,0))</f>
        <v>0</v>
      </c>
      <c r="O117" s="219">
        <f>IF(ISERROR(VLOOKUP($A117,'HRGs to TFCs % Split'!$A$8:$I$117,6,0)),0,VLOOKUP($A117,'HRGs to TFCs % Split'!$A$8:$I$117,7,0))</f>
        <v>1.8091581802379376E-3</v>
      </c>
      <c r="P117" s="219">
        <f>IF(ISERROR(VLOOKUP($A117,'HRGs to TFCs % Split'!$A$8:$I$117,6,0)),0,VLOOKUP($A117,'HRGs to TFCs % Split'!$A$8:$I$117,8,0))</f>
        <v>0</v>
      </c>
      <c r="Q117" s="220">
        <f>IF(ISERROR(VLOOKUP($A117,'HRGs to TFCs % Split'!$A$8:$I$117,6,0)),0,VLOOKUP($A117,'HRGs to TFCs % Split'!$A$8:$I$117,9,0))</f>
        <v>7.001072941565668E-3</v>
      </c>
      <c r="R117" s="284">
        <f t="shared" si="118"/>
        <v>0</v>
      </c>
      <c r="S117" s="285">
        <f t="shared" si="119"/>
        <v>2855</v>
      </c>
      <c r="T117" s="285">
        <f t="shared" si="120"/>
        <v>0</v>
      </c>
      <c r="U117" s="286">
        <f t="shared" si="121"/>
        <v>11050</v>
      </c>
      <c r="V117" s="218">
        <f>IF(ISERROR(VLOOKUP($A117,'HRGs to TFCs % Split'!$A$8:$AA$117,6,0)),0,VLOOKUP($A117,'HRGs to TFCs % Split'!$A$8:$AA$117,14,0))</f>
        <v>0</v>
      </c>
      <c r="W117" s="219">
        <f>IF(ISERROR(VLOOKUP($A117,'HRGs to TFCs % Split'!$A$8:$AA$117,6,0)),0,VLOOKUP($A117,'HRGs to TFCs % Split'!$A$8:$AA$117,15,0))</f>
        <v>3.9012917100699602E-4</v>
      </c>
      <c r="X117" s="219">
        <f>IF(ISERROR(VLOOKUP($A117,'HRGs to TFCs % Split'!$A$8:$AA$117,6,0)),0,VLOOKUP($A117,'HRGs to TFCs % Split'!$A$8:$AA$117,16,0))</f>
        <v>0</v>
      </c>
      <c r="Y117" s="220">
        <f>IF(ISERROR(VLOOKUP($A117,'HRGs to TFCs % Split'!$A$8:$AA$117,6,0)),0,VLOOKUP($A117,'HRGs to TFCs % Split'!$A$8:$AA$117,17,0))</f>
        <v>8.7019041267816276E-4</v>
      </c>
      <c r="Z117" s="284">
        <f t="shared" si="82"/>
        <v>0</v>
      </c>
      <c r="AA117" s="285">
        <f t="shared" si="83"/>
        <v>69009.608290942808</v>
      </c>
      <c r="AB117" s="285">
        <f t="shared" si="84"/>
        <v>0</v>
      </c>
      <c r="AC117" s="286">
        <f t="shared" si="85"/>
        <v>153927.22200816151</v>
      </c>
      <c r="AD117" s="221">
        <f t="shared" si="70"/>
        <v>24</v>
      </c>
      <c r="AE117" s="222">
        <f t="shared" si="71"/>
        <v>8598</v>
      </c>
      <c r="AF117" s="222">
        <f t="shared" si="72"/>
        <v>13</v>
      </c>
      <c r="AG117" s="223">
        <f t="shared" si="73"/>
        <v>33724</v>
      </c>
      <c r="AH117" s="221">
        <f t="shared" si="74"/>
        <v>257.486829651383</v>
      </c>
      <c r="AI117" s="222">
        <f t="shared" si="75"/>
        <v>583935.27794632188</v>
      </c>
      <c r="AJ117" s="222">
        <f t="shared" si="76"/>
        <v>227.186379804659</v>
      </c>
      <c r="AK117" s="223">
        <f t="shared" si="77"/>
        <v>1658687.8888884115</v>
      </c>
      <c r="AL117" s="224">
        <f t="shared" si="78"/>
        <v>10.728617902140959</v>
      </c>
      <c r="AM117" s="225">
        <f t="shared" si="79"/>
        <v>67.915245167053016</v>
      </c>
      <c r="AN117" s="225">
        <f t="shared" si="80"/>
        <v>17.475875369589154</v>
      </c>
      <c r="AO117" s="226">
        <f t="shared" si="81"/>
        <v>49.184197867643562</v>
      </c>
      <c r="AP117" s="227">
        <f t="shared" si="86"/>
        <v>0</v>
      </c>
      <c r="AQ117" s="228">
        <f t="shared" si="87"/>
        <v>-0.24253678544434731</v>
      </c>
      <c r="AR117" s="228">
        <f t="shared" si="88"/>
        <v>0</v>
      </c>
      <c r="AS117" s="229">
        <f t="shared" si="89"/>
        <v>-0.25888380325420968</v>
      </c>
      <c r="AT117" s="226">
        <f>IF(ISERROR(VLOOKUP(A117,Mandatory!A:A,1,FALSE)),0,1)</f>
        <v>0</v>
      </c>
    </row>
    <row r="119" spans="1:46">
      <c r="J119" s="283"/>
    </row>
  </sheetData>
  <mergeCells count="15">
    <mergeCell ref="AD5:AO5"/>
    <mergeCell ref="B5:M5"/>
    <mergeCell ref="N5:U5"/>
    <mergeCell ref="V5:AC5"/>
    <mergeCell ref="V6:Y6"/>
    <mergeCell ref="Z6:AC6"/>
    <mergeCell ref="AL6:AO6"/>
    <mergeCell ref="AP6:AS6"/>
    <mergeCell ref="B6:E6"/>
    <mergeCell ref="F6:I6"/>
    <mergeCell ref="J6:M6"/>
    <mergeCell ref="N6:Q6"/>
    <mergeCell ref="R6:U6"/>
    <mergeCell ref="AH6:AK6"/>
    <mergeCell ref="AD6:AG6"/>
  </mergeCell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249977111117893"/>
  </sheetPr>
  <dimension ref="A1:AG118"/>
  <sheetViews>
    <sheetView showGridLines="0" zoomScale="90" zoomScaleNormal="90" workbookViewId="0"/>
  </sheetViews>
  <sheetFormatPr defaultRowHeight="15"/>
  <cols>
    <col min="1" max="1" width="12.7109375" customWidth="1"/>
    <col min="2" max="2" width="9.28515625" bestFit="1" customWidth="1"/>
    <col min="3" max="3" width="11.42578125" customWidth="1"/>
    <col min="4" max="4" width="10.28515625" customWidth="1"/>
    <col min="5" max="5" width="11.42578125" customWidth="1"/>
    <col min="6" max="6" width="11.140625" customWidth="1"/>
    <col min="7" max="7" width="14" customWidth="1"/>
    <col min="8" max="8" width="12.85546875" customWidth="1"/>
    <col min="9" max="9" width="13.85546875" customWidth="1"/>
    <col min="15" max="16" width="9.140625" customWidth="1"/>
    <col min="18" max="18" width="10.140625" customWidth="1"/>
    <col min="19" max="19" width="10.28515625" customWidth="1"/>
    <col min="20" max="20" width="10.140625" customWidth="1"/>
    <col min="22" max="22" width="12" customWidth="1"/>
    <col min="23" max="25" width="14.28515625" customWidth="1"/>
  </cols>
  <sheetData>
    <row r="1" spans="1:33">
      <c r="O1" s="262" t="s">
        <v>665</v>
      </c>
      <c r="P1" s="262" t="s">
        <v>666</v>
      </c>
      <c r="Y1" s="741">
        <f>Y2/SUM(V4:Y4)</f>
        <v>-1.1311846929987178E-3</v>
      </c>
      <c r="Z1" t="s">
        <v>978</v>
      </c>
    </row>
    <row r="2" spans="1:33">
      <c r="A2" s="699" t="s">
        <v>974</v>
      </c>
      <c r="D2" s="71"/>
      <c r="E2" s="70"/>
      <c r="I2" s="70"/>
      <c r="O2" s="317" t="s">
        <v>668</v>
      </c>
      <c r="P2" s="317" t="s">
        <v>667</v>
      </c>
      <c r="Y2" s="742">
        <f>SUM(V4:Y4)-SUM(F4:I4)</f>
        <v>-6454888.9134626389</v>
      </c>
      <c r="Z2" t="s">
        <v>977</v>
      </c>
    </row>
    <row r="3" spans="1:33" ht="15.75" thickBot="1">
      <c r="O3" s="743" t="s">
        <v>669</v>
      </c>
      <c r="P3" s="743" t="s">
        <v>670</v>
      </c>
      <c r="R3" s="63"/>
      <c r="S3" s="63"/>
      <c r="T3" s="63"/>
      <c r="V3" s="740">
        <f>V4/F4-1</f>
        <v>0.18601154878494541</v>
      </c>
      <c r="W3" s="740">
        <f t="shared" ref="W3:Y3" si="0">W4/G4-1</f>
        <v>0.15207217303522635</v>
      </c>
      <c r="X3" s="740">
        <f t="shared" si="0"/>
        <v>-0.10000000000000031</v>
      </c>
      <c r="Y3" s="740">
        <f t="shared" si="0"/>
        <v>-9.9999999999999534E-2</v>
      </c>
      <c r="Z3" s="736" t="s">
        <v>976</v>
      </c>
    </row>
    <row r="4" spans="1:33" ht="15.75" thickBot="1">
      <c r="B4" s="66">
        <f t="shared" ref="B4:I4" si="1">SUM(B9:B118)</f>
        <v>397725</v>
      </c>
      <c r="C4" s="67">
        <f t="shared" si="1"/>
        <v>16226733</v>
      </c>
      <c r="D4" s="67">
        <f t="shared" si="1"/>
        <v>944545</v>
      </c>
      <c r="E4" s="68">
        <f t="shared" si="1"/>
        <v>34568242</v>
      </c>
      <c r="F4" s="66">
        <f t="shared" si="1"/>
        <v>62889528.695879057</v>
      </c>
      <c r="G4" s="67">
        <f t="shared" si="1"/>
        <v>2169356178.349546</v>
      </c>
      <c r="H4" s="67">
        <f t="shared" si="1"/>
        <v>128131919.86514536</v>
      </c>
      <c r="I4" s="68">
        <f t="shared" si="1"/>
        <v>3352385836.910346</v>
      </c>
      <c r="O4" s="160">
        <v>0.1</v>
      </c>
      <c r="P4" s="17">
        <f>1-$O$4</f>
        <v>0.9</v>
      </c>
      <c r="R4" s="53"/>
      <c r="S4" s="160">
        <v>1.5</v>
      </c>
      <c r="T4" s="63"/>
      <c r="U4" s="63"/>
      <c r="V4" s="737">
        <f>SUM(V9:V118)</f>
        <v>74587707.33095479</v>
      </c>
      <c r="W4" s="738">
        <f>SUM(W9:W118)</f>
        <v>2499254886.4785557</v>
      </c>
      <c r="X4" s="738">
        <f>SUM(X9:X118)</f>
        <v>115318727.87863079</v>
      </c>
      <c r="Y4" s="739">
        <f>SUM(Y9:Y118)</f>
        <v>3017147253.2193131</v>
      </c>
    </row>
    <row r="5" spans="1:33" ht="15.75" thickBot="1">
      <c r="A5">
        <v>1</v>
      </c>
      <c r="B5">
        <f>A5+1</f>
        <v>2</v>
      </c>
      <c r="C5" s="154">
        <f t="shared" ref="C5:AG5" si="2">B5+1</f>
        <v>3</v>
      </c>
      <c r="D5" s="154">
        <f t="shared" si="2"/>
        <v>4</v>
      </c>
      <c r="E5" s="154">
        <f t="shared" si="2"/>
        <v>5</v>
      </c>
      <c r="F5" s="154">
        <f t="shared" si="2"/>
        <v>6</v>
      </c>
      <c r="G5" s="154">
        <f t="shared" si="2"/>
        <v>7</v>
      </c>
      <c r="H5" s="154">
        <f t="shared" si="2"/>
        <v>8</v>
      </c>
      <c r="I5" s="154">
        <f t="shared" si="2"/>
        <v>9</v>
      </c>
      <c r="J5" s="154">
        <f t="shared" si="2"/>
        <v>10</v>
      </c>
      <c r="K5" s="154">
        <f t="shared" si="2"/>
        <v>11</v>
      </c>
      <c r="L5" s="154">
        <f t="shared" si="2"/>
        <v>12</v>
      </c>
      <c r="M5" s="154">
        <f t="shared" si="2"/>
        <v>13</v>
      </c>
      <c r="N5" s="154">
        <f t="shared" si="2"/>
        <v>14</v>
      </c>
      <c r="O5" s="154">
        <f t="shared" si="2"/>
        <v>15</v>
      </c>
      <c r="P5" s="154">
        <f t="shared" si="2"/>
        <v>16</v>
      </c>
      <c r="Q5" s="154">
        <f t="shared" si="2"/>
        <v>17</v>
      </c>
      <c r="R5" s="154">
        <f t="shared" si="2"/>
        <v>18</v>
      </c>
      <c r="S5" s="154">
        <f t="shared" si="2"/>
        <v>19</v>
      </c>
      <c r="T5" s="154">
        <f t="shared" si="2"/>
        <v>20</v>
      </c>
      <c r="U5" s="154">
        <f t="shared" si="2"/>
        <v>21</v>
      </c>
      <c r="V5" s="154">
        <f t="shared" si="2"/>
        <v>22</v>
      </c>
      <c r="W5" s="154">
        <f t="shared" si="2"/>
        <v>23</v>
      </c>
      <c r="X5" s="154">
        <f t="shared" si="2"/>
        <v>24</v>
      </c>
      <c r="Y5" s="154">
        <f t="shared" si="2"/>
        <v>25</v>
      </c>
      <c r="Z5" s="154">
        <f t="shared" si="2"/>
        <v>26</v>
      </c>
      <c r="AA5" s="154">
        <f t="shared" si="2"/>
        <v>27</v>
      </c>
      <c r="AB5" s="154">
        <f t="shared" si="2"/>
        <v>28</v>
      </c>
      <c r="AC5" s="154">
        <f t="shared" si="2"/>
        <v>29</v>
      </c>
      <c r="AD5" s="154">
        <f t="shared" si="2"/>
        <v>30</v>
      </c>
      <c r="AE5" s="154">
        <f t="shared" si="2"/>
        <v>31</v>
      </c>
      <c r="AF5" s="154">
        <f t="shared" si="2"/>
        <v>32</v>
      </c>
      <c r="AG5" s="154">
        <f t="shared" si="2"/>
        <v>33</v>
      </c>
    </row>
    <row r="6" spans="1:33" ht="15.75" thickBot="1">
      <c r="B6" s="799" t="s">
        <v>415</v>
      </c>
      <c r="C6" s="800"/>
      <c r="D6" s="800"/>
      <c r="E6" s="800"/>
      <c r="F6" s="800"/>
      <c r="G6" s="800"/>
      <c r="H6" s="800"/>
      <c r="I6" s="800"/>
      <c r="J6" s="800"/>
      <c r="K6" s="800"/>
      <c r="L6" s="800"/>
      <c r="M6" s="801"/>
      <c r="N6" s="799" t="str">
        <f>IF(S4="no limit","FRONT LOADING &amp; NO LIMIT TO COST INCREASE","FRONT LOADING &amp; LIMITING COSTS INCREASE TO "&amp;S4*100&amp;"%")</f>
        <v>FRONT LOADING &amp; LIMITING COSTS INCREASE TO 150%</v>
      </c>
      <c r="O6" s="800"/>
      <c r="P6" s="800"/>
      <c r="Q6" s="800"/>
      <c r="R6" s="800"/>
      <c r="S6" s="800"/>
      <c r="T6" s="800"/>
      <c r="U6" s="800"/>
      <c r="V6" s="800"/>
      <c r="W6" s="800"/>
      <c r="X6" s="800"/>
      <c r="Y6" s="801"/>
      <c r="Z6" s="799" t="s">
        <v>419</v>
      </c>
      <c r="AA6" s="800"/>
      <c r="AB6" s="800"/>
      <c r="AC6" s="800"/>
      <c r="AD6" s="800"/>
      <c r="AE6" s="800"/>
      <c r="AF6" s="800"/>
      <c r="AG6" s="801"/>
    </row>
    <row r="7" spans="1:33" ht="15.75" thickBot="1">
      <c r="B7" s="793" t="s">
        <v>374</v>
      </c>
      <c r="C7" s="794"/>
      <c r="D7" s="794"/>
      <c r="E7" s="795"/>
      <c r="F7" s="793" t="s">
        <v>672</v>
      </c>
      <c r="G7" s="794"/>
      <c r="H7" s="794"/>
      <c r="I7" s="795"/>
      <c r="J7" s="793" t="s">
        <v>370</v>
      </c>
      <c r="K7" s="794"/>
      <c r="L7" s="794"/>
      <c r="M7" s="795"/>
      <c r="N7" s="318" t="str">
        <f>O4*100&amp;"% Frontloading"</f>
        <v>10% Frontloading</v>
      </c>
      <c r="O7" s="319"/>
      <c r="P7" s="319"/>
      <c r="Q7" s="320"/>
      <c r="R7" s="161" t="s">
        <v>505</v>
      </c>
      <c r="S7" s="162"/>
      <c r="T7" s="162"/>
      <c r="U7" s="163">
        <f>S4</f>
        <v>1.5</v>
      </c>
      <c r="V7" s="796" t="s">
        <v>671</v>
      </c>
      <c r="W7" s="797"/>
      <c r="X7" s="797"/>
      <c r="Y7" s="798"/>
      <c r="Z7" s="790" t="s">
        <v>370</v>
      </c>
      <c r="AA7" s="791"/>
      <c r="AB7" s="791"/>
      <c r="AC7" s="792"/>
      <c r="AD7" s="790" t="s">
        <v>377</v>
      </c>
      <c r="AE7" s="791"/>
      <c r="AF7" s="791"/>
      <c r="AG7" s="792"/>
    </row>
    <row r="8" spans="1:33" ht="15.75" thickBot="1">
      <c r="A8" t="s">
        <v>0</v>
      </c>
      <c r="B8" s="391" t="s">
        <v>66</v>
      </c>
      <c r="C8" s="392" t="s">
        <v>67</v>
      </c>
      <c r="D8" s="392" t="s">
        <v>68</v>
      </c>
      <c r="E8" s="393" t="s">
        <v>69</v>
      </c>
      <c r="F8" s="391" t="s">
        <v>66</v>
      </c>
      <c r="G8" s="392" t="s">
        <v>67</v>
      </c>
      <c r="H8" s="392" t="s">
        <v>68</v>
      </c>
      <c r="I8" s="393" t="s">
        <v>69</v>
      </c>
      <c r="J8" s="391" t="s">
        <v>66</v>
      </c>
      <c r="K8" s="392" t="s">
        <v>67</v>
      </c>
      <c r="L8" s="392" t="s">
        <v>68</v>
      </c>
      <c r="M8" s="393" t="s">
        <v>69</v>
      </c>
      <c r="N8" s="394" t="s">
        <v>66</v>
      </c>
      <c r="O8" s="395" t="s">
        <v>67</v>
      </c>
      <c r="P8" s="395" t="s">
        <v>68</v>
      </c>
      <c r="Q8" s="396" t="s">
        <v>69</v>
      </c>
      <c r="R8" s="394" t="s">
        <v>66</v>
      </c>
      <c r="S8" s="395" t="s">
        <v>67</v>
      </c>
      <c r="T8" s="395" t="s">
        <v>68</v>
      </c>
      <c r="U8" s="396" t="s">
        <v>69</v>
      </c>
      <c r="V8" s="394" t="s">
        <v>66</v>
      </c>
      <c r="W8" s="395" t="s">
        <v>67</v>
      </c>
      <c r="X8" s="395" t="s">
        <v>68</v>
      </c>
      <c r="Y8" s="396" t="s">
        <v>69</v>
      </c>
      <c r="Z8" s="397" t="s">
        <v>66</v>
      </c>
      <c r="AA8" s="398" t="s">
        <v>67</v>
      </c>
      <c r="AB8" s="398" t="s">
        <v>68</v>
      </c>
      <c r="AC8" s="399" t="s">
        <v>69</v>
      </c>
      <c r="AD8" s="397" t="s">
        <v>66</v>
      </c>
      <c r="AE8" s="398" t="s">
        <v>67</v>
      </c>
      <c r="AF8" s="398" t="s">
        <v>68</v>
      </c>
      <c r="AG8" s="399" t="s">
        <v>69</v>
      </c>
    </row>
    <row r="9" spans="1:33">
      <c r="A9">
        <v>100</v>
      </c>
      <c r="B9" s="185">
        <f>VLOOKUP($A9,'Allocate OPROC cost'!$A:$AO,30,FALSE)</f>
        <v>16535</v>
      </c>
      <c r="C9" s="186">
        <f>VLOOKUP($A9,'Allocate OPROC cost'!$A:$AO,31,FALSE)</f>
        <v>694397</v>
      </c>
      <c r="D9" s="186">
        <f>VLOOKUP($A9,'Allocate OPROC cost'!$A:$AO,32,FALSE)</f>
        <v>32120</v>
      </c>
      <c r="E9" s="187">
        <f>VLOOKUP($A9,'Allocate OPROC cost'!$A:$AO,33,FALSE)</f>
        <v>1051987</v>
      </c>
      <c r="F9" s="185">
        <f>VLOOKUP($A9,'Allocate OPROC cost'!$A:$AO,34,FALSE)</f>
        <v>3374037.54629535</v>
      </c>
      <c r="G9" s="186">
        <f>VLOOKUP($A9,'Allocate OPROC cost'!$A:$AO,35,FALSE)</f>
        <v>93144314.647047266</v>
      </c>
      <c r="H9" s="186">
        <f>VLOOKUP($A9,'Allocate OPROC cost'!$A:$AO,36,FALSE)</f>
        <v>4764564.5204327004</v>
      </c>
      <c r="I9" s="187">
        <f>VLOOKUP($A9,'Allocate OPROC cost'!$A:$AO,37,FALSE)</f>
        <v>107351332.83162214</v>
      </c>
      <c r="J9" s="179">
        <f>IF(B9=0,0,F9/B9)</f>
        <v>204.0542816023798</v>
      </c>
      <c r="K9" s="180">
        <f t="shared" ref="K9:M24" si="3">IF(C9=0,0,G9/C9)</f>
        <v>134.13697733003926</v>
      </c>
      <c r="L9" s="180">
        <f t="shared" si="3"/>
        <v>148.33637983912516</v>
      </c>
      <c r="M9" s="181">
        <f t="shared" si="3"/>
        <v>102.04625421380885</v>
      </c>
      <c r="N9" s="173">
        <f>IF(F9=0,1,1+(H9*$O$4)/F9)</f>
        <v>1.1412125518776202</v>
      </c>
      <c r="O9" s="174">
        <f>IF(G9=0,1,1+(I9*$O$4)/G9)</f>
        <v>1.1152526949587955</v>
      </c>
      <c r="P9" s="174">
        <f>$P$4</f>
        <v>0.9</v>
      </c>
      <c r="Q9" s="175">
        <f>$P$4</f>
        <v>0.9</v>
      </c>
      <c r="R9" s="173">
        <f>IF($S$4="No limit",N9,IF(N9&gt;$S$4,$S$4,N9))</f>
        <v>1.1412125518776202</v>
      </c>
      <c r="S9" s="174">
        <f>IF($S$4="No limit",O9,IF(O9&gt;$S$4,$S$4,O9))</f>
        <v>1.1152526949587955</v>
      </c>
      <c r="T9" s="174">
        <f>$P$9</f>
        <v>0.9</v>
      </c>
      <c r="U9" s="175">
        <f>$Q$9</f>
        <v>0.9</v>
      </c>
      <c r="V9" s="167">
        <f>R9*F9</f>
        <v>3850493.9983386202</v>
      </c>
      <c r="W9" s="168">
        <f t="shared" ref="W9:Y9" si="4">S9*G9</f>
        <v>103879447.93020947</v>
      </c>
      <c r="X9" s="168">
        <f t="shared" si="4"/>
        <v>4288108.0683894306</v>
      </c>
      <c r="Y9" s="169">
        <f t="shared" si="4"/>
        <v>96616199.548459932</v>
      </c>
      <c r="Z9" s="194">
        <f>IF(B9=0,0,V9/B9)</f>
        <v>232.86930742900637</v>
      </c>
      <c r="AA9" s="195">
        <f t="shared" ref="AA9:AC9" si="5">IF(C9=0,0,W9/C9)</f>
        <v>149.59662546095313</v>
      </c>
      <c r="AB9" s="195">
        <f t="shared" si="5"/>
        <v>133.50274185521266</v>
      </c>
      <c r="AC9" s="196">
        <f t="shared" si="5"/>
        <v>91.841628792427983</v>
      </c>
      <c r="AD9" s="188">
        <f t="shared" ref="AD9:AD40" si="6">IF(J9=0,0,Z9/J9-1)</f>
        <v>0.14121255187762016</v>
      </c>
      <c r="AE9" s="189">
        <f t="shared" ref="AE9:AE40" si="7">IF(K9=0,0,AA9/K9-1)</f>
        <v>0.11525269495879553</v>
      </c>
      <c r="AF9" s="189">
        <f t="shared" ref="AF9:AF40" si="8">IF(L9=0,0,AB9/L9-1)</f>
        <v>-9.9999999999999867E-2</v>
      </c>
      <c r="AG9" s="190">
        <f t="shared" ref="AG9:AG40" si="9">IF(M9=0,0,AC9/M9-1)</f>
        <v>-9.9999999999999867E-2</v>
      </c>
    </row>
    <row r="10" spans="1:33">
      <c r="A10">
        <v>101</v>
      </c>
      <c r="B10" s="185">
        <f>VLOOKUP($A10,'Allocate OPROC cost'!$A:$AO,30,FALSE)</f>
        <v>5080</v>
      </c>
      <c r="C10" s="186">
        <f>VLOOKUP($A10,'Allocate OPROC cost'!$A:$AO,31,FALSE)</f>
        <v>491052</v>
      </c>
      <c r="D10" s="186">
        <f>VLOOKUP($A10,'Allocate OPROC cost'!$A:$AO,32,FALSE)</f>
        <v>18312</v>
      </c>
      <c r="E10" s="187">
        <f>VLOOKUP($A10,'Allocate OPROC cost'!$A:$AO,33,FALSE)</f>
        <v>1042490</v>
      </c>
      <c r="F10" s="185">
        <f>VLOOKUP($A10,'Allocate OPROC cost'!$A:$AO,34,FALSE)</f>
        <v>850846.66468784702</v>
      </c>
      <c r="G10" s="186">
        <f>VLOOKUP($A10,'Allocate OPROC cost'!$A:$AO,35,FALSE)</f>
        <v>58597592.559809737</v>
      </c>
      <c r="H10" s="186">
        <f>VLOOKUP($A10,'Allocate OPROC cost'!$A:$AO,36,FALSE)</f>
        <v>2225681.4495186801</v>
      </c>
      <c r="I10" s="187">
        <f>VLOOKUP($A10,'Allocate OPROC cost'!$A:$AO,37,FALSE)</f>
        <v>91112053.390404329</v>
      </c>
      <c r="J10" s="179">
        <f t="shared" ref="J10:M73" si="10">IF(B10=0,0,F10/B10)</f>
        <v>167.48950092280452</v>
      </c>
      <c r="K10" s="180">
        <f t="shared" si="3"/>
        <v>119.33072782477159</v>
      </c>
      <c r="L10" s="180">
        <f t="shared" si="3"/>
        <v>121.5422373044277</v>
      </c>
      <c r="M10" s="181">
        <f t="shared" si="3"/>
        <v>87.398491487116743</v>
      </c>
      <c r="N10" s="173">
        <f t="shared" ref="N10:N74" si="11">IF(F10=0,1,1+(H10*$O$4)/F10)</f>
        <v>1.2615843185252684</v>
      </c>
      <c r="O10" s="174">
        <f t="shared" ref="O10:O74" si="12">IF(G10=0,1,1+(I10*$O$4)/G10)</f>
        <v>1.1554877076176937</v>
      </c>
      <c r="P10" s="174">
        <f t="shared" ref="P10:Q41" si="13">$P$4</f>
        <v>0.9</v>
      </c>
      <c r="Q10" s="175">
        <f t="shared" si="13"/>
        <v>0.9</v>
      </c>
      <c r="R10" s="173">
        <f t="shared" ref="R10:R74" si="14">IF($S$4="No limit",N10,IF(N10&gt;$S$4,$S$4,N10))</f>
        <v>1.2615843185252684</v>
      </c>
      <c r="S10" s="174">
        <f t="shared" ref="S10:S74" si="15">IF($S$4="No limit",O10,IF(O10&gt;$S$4,$S$4,O10))</f>
        <v>1.1554877076176937</v>
      </c>
      <c r="T10" s="174">
        <f t="shared" ref="T10:T74" si="16">$P$9</f>
        <v>0.9</v>
      </c>
      <c r="U10" s="175">
        <f t="shared" ref="U10:U74" si="17">$Q$9</f>
        <v>0.9</v>
      </c>
      <c r="V10" s="167">
        <f t="shared" ref="V10:V74" si="18">R10*F10</f>
        <v>1073414.8096397151</v>
      </c>
      <c r="W10" s="168">
        <f t="shared" ref="W10:W74" si="19">S10*G10</f>
        <v>67708797.898850173</v>
      </c>
      <c r="X10" s="168">
        <f t="shared" ref="X10:X74" si="20">T10*H10</f>
        <v>2003113.3045668122</v>
      </c>
      <c r="Y10" s="169">
        <f t="shared" ref="Y10:Y74" si="21">U10*I10</f>
        <v>82000848.0513639</v>
      </c>
      <c r="Z10" s="194">
        <f t="shared" ref="Z10:Z74" si="22">IF(B10=0,0,V10/B10)</f>
        <v>211.30212788183368</v>
      </c>
      <c r="AA10" s="195">
        <f t="shared" ref="AA10:AA74" si="23">IF(C10=0,0,W10/C10)</f>
        <v>137.88518914259626</v>
      </c>
      <c r="AB10" s="195">
        <f t="shared" ref="AB10:AB74" si="24">IF(D10=0,0,X10/D10)</f>
        <v>109.38801357398494</v>
      </c>
      <c r="AC10" s="196">
        <f t="shared" ref="AC10:AC74" si="25">IF(E10=0,0,Y10/E10)</f>
        <v>78.658642338405073</v>
      </c>
      <c r="AD10" s="188">
        <f t="shared" si="6"/>
        <v>0.26158431852526864</v>
      </c>
      <c r="AE10" s="189">
        <f t="shared" si="7"/>
        <v>0.1554877076176937</v>
      </c>
      <c r="AF10" s="189">
        <f t="shared" si="8"/>
        <v>-9.9999999999999978E-2</v>
      </c>
      <c r="AG10" s="190">
        <f t="shared" si="9"/>
        <v>-9.9999999999999978E-2</v>
      </c>
    </row>
    <row r="11" spans="1:33">
      <c r="A11">
        <v>102</v>
      </c>
      <c r="B11" s="185">
        <f>VLOOKUP($A11,'Allocate OPROC cost'!$A:$AO,30,FALSE)</f>
        <v>338</v>
      </c>
      <c r="C11" s="186">
        <f>VLOOKUP($A11,'Allocate OPROC cost'!$A:$AO,31,FALSE)</f>
        <v>4607</v>
      </c>
      <c r="D11" s="186">
        <f>VLOOKUP($A11,'Allocate OPROC cost'!$A:$AO,32,FALSE)</f>
        <v>8920</v>
      </c>
      <c r="E11" s="187">
        <f>VLOOKUP($A11,'Allocate OPROC cost'!$A:$AO,33,FALSE)</f>
        <v>69927</v>
      </c>
      <c r="F11" s="185">
        <f>VLOOKUP($A11,'Allocate OPROC cost'!$A:$AO,34,FALSE)</f>
        <v>113644.85892317</v>
      </c>
      <c r="G11" s="186">
        <f>VLOOKUP($A11,'Allocate OPROC cost'!$A:$AO,35,FALSE)</f>
        <v>1457410.7300328058</v>
      </c>
      <c r="H11" s="186">
        <f>VLOOKUP($A11,'Allocate OPROC cost'!$A:$AO,36,FALSE)</f>
        <v>3212435.70693389</v>
      </c>
      <c r="I11" s="187">
        <f>VLOOKUP($A11,'Allocate OPROC cost'!$A:$AO,37,FALSE)</f>
        <v>16464099.328807095</v>
      </c>
      <c r="J11" s="179">
        <f t="shared" si="10"/>
        <v>336.22739326381657</v>
      </c>
      <c r="K11" s="180">
        <f t="shared" si="3"/>
        <v>316.34702193028124</v>
      </c>
      <c r="L11" s="180">
        <f t="shared" si="3"/>
        <v>360.13853216747646</v>
      </c>
      <c r="M11" s="181">
        <f t="shared" si="3"/>
        <v>235.44695652333283</v>
      </c>
      <c r="N11" s="173">
        <f t="shared" si="11"/>
        <v>3.8267320997825944</v>
      </c>
      <c r="O11" s="174">
        <f t="shared" si="12"/>
        <v>2.1296814953761523</v>
      </c>
      <c r="P11" s="174">
        <f t="shared" si="13"/>
        <v>0.9</v>
      </c>
      <c r="Q11" s="175">
        <f t="shared" si="13"/>
        <v>0.9</v>
      </c>
      <c r="R11" s="173">
        <f t="shared" si="14"/>
        <v>1.5</v>
      </c>
      <c r="S11" s="174">
        <f t="shared" si="15"/>
        <v>1.5</v>
      </c>
      <c r="T11" s="174">
        <f t="shared" si="16"/>
        <v>0.9</v>
      </c>
      <c r="U11" s="175">
        <f t="shared" si="17"/>
        <v>0.9</v>
      </c>
      <c r="V11" s="167">
        <f t="shared" si="18"/>
        <v>170467.288384755</v>
      </c>
      <c r="W11" s="168">
        <f t="shared" si="19"/>
        <v>2186116.095049209</v>
      </c>
      <c r="X11" s="168">
        <f t="shared" si="20"/>
        <v>2891192.136240501</v>
      </c>
      <c r="Y11" s="169">
        <f t="shared" si="21"/>
        <v>14817689.395926386</v>
      </c>
      <c r="Z11" s="194">
        <f t="shared" si="22"/>
        <v>504.34108989572485</v>
      </c>
      <c r="AA11" s="195">
        <f t="shared" si="23"/>
        <v>474.52053289542198</v>
      </c>
      <c r="AB11" s="195">
        <f t="shared" si="24"/>
        <v>324.12467895072882</v>
      </c>
      <c r="AC11" s="196">
        <f t="shared" si="25"/>
        <v>211.90226087099956</v>
      </c>
      <c r="AD11" s="188">
        <f t="shared" si="6"/>
        <v>0.5</v>
      </c>
      <c r="AE11" s="189">
        <f t="shared" si="7"/>
        <v>0.50000000000000044</v>
      </c>
      <c r="AF11" s="189">
        <f t="shared" si="8"/>
        <v>-9.9999999999999978E-2</v>
      </c>
      <c r="AG11" s="190">
        <f t="shared" si="9"/>
        <v>-9.9999999999999978E-2</v>
      </c>
    </row>
    <row r="12" spans="1:33">
      <c r="A12">
        <v>103</v>
      </c>
      <c r="B12" s="185">
        <f>VLOOKUP($A12,'Allocate OPROC cost'!$A:$AO,30,FALSE)</f>
        <v>34052</v>
      </c>
      <c r="C12" s="186">
        <f>VLOOKUP($A12,'Allocate OPROC cost'!$A:$AO,31,FALSE)</f>
        <v>266623</v>
      </c>
      <c r="D12" s="186">
        <f>VLOOKUP($A12,'Allocate OPROC cost'!$A:$AO,32,FALSE)</f>
        <v>31220</v>
      </c>
      <c r="E12" s="187">
        <f>VLOOKUP($A12,'Allocate OPROC cost'!$A:$AO,33,FALSE)</f>
        <v>404078</v>
      </c>
      <c r="F12" s="185">
        <f>VLOOKUP($A12,'Allocate OPROC cost'!$A:$AO,34,FALSE)</f>
        <v>5286323.1015788103</v>
      </c>
      <c r="G12" s="186">
        <f>VLOOKUP($A12,'Allocate OPROC cost'!$A:$AO,35,FALSE)</f>
        <v>42271880.300683677</v>
      </c>
      <c r="H12" s="186">
        <f>VLOOKUP($A12,'Allocate OPROC cost'!$A:$AO,36,FALSE)</f>
        <v>3283421.8006849498</v>
      </c>
      <c r="I12" s="187">
        <f>VLOOKUP($A12,'Allocate OPROC cost'!$A:$AO,37,FALSE)</f>
        <v>45001411.977676079</v>
      </c>
      <c r="J12" s="179">
        <f t="shared" si="10"/>
        <v>155.24266127037501</v>
      </c>
      <c r="K12" s="180">
        <f t="shared" si="3"/>
        <v>158.54551295531022</v>
      </c>
      <c r="L12" s="180">
        <f t="shared" si="3"/>
        <v>105.17046126473254</v>
      </c>
      <c r="M12" s="181">
        <f t="shared" si="3"/>
        <v>111.36813184008058</v>
      </c>
      <c r="N12" s="173">
        <f t="shared" si="11"/>
        <v>1.0621116367197518</v>
      </c>
      <c r="O12" s="174">
        <f t="shared" si="12"/>
        <v>1.1064570860287666</v>
      </c>
      <c r="P12" s="174">
        <f t="shared" si="13"/>
        <v>0.9</v>
      </c>
      <c r="Q12" s="175">
        <f t="shared" si="13"/>
        <v>0.9</v>
      </c>
      <c r="R12" s="173">
        <f t="shared" si="14"/>
        <v>1.0621116367197518</v>
      </c>
      <c r="S12" s="174">
        <f t="shared" si="15"/>
        <v>1.1064570860287666</v>
      </c>
      <c r="T12" s="174">
        <f t="shared" si="16"/>
        <v>0.9</v>
      </c>
      <c r="U12" s="175">
        <f t="shared" si="17"/>
        <v>0.9</v>
      </c>
      <c r="V12" s="167">
        <f t="shared" si="18"/>
        <v>5614665.281647305</v>
      </c>
      <c r="W12" s="168">
        <f t="shared" si="19"/>
        <v>46772021.498451285</v>
      </c>
      <c r="X12" s="168">
        <f t="shared" si="20"/>
        <v>2955079.6206164551</v>
      </c>
      <c r="Y12" s="169">
        <f t="shared" si="21"/>
        <v>40501270.779908471</v>
      </c>
      <c r="Z12" s="194">
        <f t="shared" si="22"/>
        <v>164.88503705060805</v>
      </c>
      <c r="AA12" s="195">
        <f t="shared" si="23"/>
        <v>175.42380626746862</v>
      </c>
      <c r="AB12" s="195">
        <f t="shared" si="24"/>
        <v>94.653415138259291</v>
      </c>
      <c r="AC12" s="196">
        <f t="shared" si="25"/>
        <v>100.23131865607252</v>
      </c>
      <c r="AD12" s="188">
        <f t="shared" si="6"/>
        <v>6.2111636719752061E-2</v>
      </c>
      <c r="AE12" s="189">
        <f t="shared" si="7"/>
        <v>0.1064570860287668</v>
      </c>
      <c r="AF12" s="189">
        <f t="shared" si="8"/>
        <v>-9.9999999999999978E-2</v>
      </c>
      <c r="AG12" s="190">
        <f t="shared" si="9"/>
        <v>-0.10000000000000009</v>
      </c>
    </row>
    <row r="13" spans="1:33">
      <c r="A13">
        <v>104</v>
      </c>
      <c r="B13" s="185">
        <f>VLOOKUP($A13,'Allocate OPROC cost'!$A:$AO,30,FALSE)</f>
        <v>1127</v>
      </c>
      <c r="C13" s="186">
        <f>VLOOKUP($A13,'Allocate OPROC cost'!$A:$AO,31,FALSE)</f>
        <v>157148</v>
      </c>
      <c r="D13" s="186">
        <f>VLOOKUP($A13,'Allocate OPROC cost'!$A:$AO,32,FALSE)</f>
        <v>2377</v>
      </c>
      <c r="E13" s="187">
        <f>VLOOKUP($A13,'Allocate OPROC cost'!$A:$AO,33,FALSE)</f>
        <v>192025</v>
      </c>
      <c r="F13" s="185">
        <f>VLOOKUP($A13,'Allocate OPROC cost'!$A:$AO,34,FALSE)</f>
        <v>123253.03710354101</v>
      </c>
      <c r="G13" s="186">
        <f>VLOOKUP($A13,'Allocate OPROC cost'!$A:$AO,35,FALSE)</f>
        <v>18034698.476608109</v>
      </c>
      <c r="H13" s="186">
        <f>VLOOKUP($A13,'Allocate OPROC cost'!$A:$AO,36,FALSE)</f>
        <v>278738.92216115003</v>
      </c>
      <c r="I13" s="187">
        <f>VLOOKUP($A13,'Allocate OPROC cost'!$A:$AO,37,FALSE)</f>
        <v>16687758.326237861</v>
      </c>
      <c r="J13" s="179">
        <f t="shared" si="10"/>
        <v>109.36383061538687</v>
      </c>
      <c r="K13" s="180">
        <f t="shared" si="3"/>
        <v>114.7625071690897</v>
      </c>
      <c r="L13" s="180">
        <f t="shared" si="3"/>
        <v>117.26500721966765</v>
      </c>
      <c r="M13" s="181">
        <f t="shared" si="3"/>
        <v>86.904092312135717</v>
      </c>
      <c r="N13" s="173">
        <f t="shared" si="11"/>
        <v>1.2261517677061298</v>
      </c>
      <c r="O13" s="174">
        <f t="shared" si="12"/>
        <v>1.0925313963406857</v>
      </c>
      <c r="P13" s="174">
        <f t="shared" si="13"/>
        <v>0.9</v>
      </c>
      <c r="Q13" s="175">
        <f t="shared" si="13"/>
        <v>0.9</v>
      </c>
      <c r="R13" s="173">
        <f t="shared" si="14"/>
        <v>1.2261517677061298</v>
      </c>
      <c r="S13" s="174">
        <f t="shared" si="15"/>
        <v>1.0925313963406857</v>
      </c>
      <c r="T13" s="174">
        <f t="shared" si="16"/>
        <v>0.9</v>
      </c>
      <c r="U13" s="175">
        <f t="shared" si="17"/>
        <v>0.9</v>
      </c>
      <c r="V13" s="167">
        <f t="shared" si="18"/>
        <v>151126.92931965602</v>
      </c>
      <c r="W13" s="168">
        <f t="shared" si="19"/>
        <v>19703474.309231896</v>
      </c>
      <c r="X13" s="168">
        <f t="shared" si="20"/>
        <v>250865.02994503503</v>
      </c>
      <c r="Y13" s="169">
        <f t="shared" si="21"/>
        <v>15018982.493614076</v>
      </c>
      <c r="Z13" s="194">
        <f t="shared" si="22"/>
        <v>134.09665423217038</v>
      </c>
      <c r="AA13" s="195">
        <f t="shared" si="23"/>
        <v>125.38164220500354</v>
      </c>
      <c r="AB13" s="195">
        <f t="shared" si="24"/>
        <v>105.53850649770089</v>
      </c>
      <c r="AC13" s="196">
        <f t="shared" si="25"/>
        <v>78.213683080922152</v>
      </c>
      <c r="AD13" s="188">
        <f t="shared" si="6"/>
        <v>0.22615176770612977</v>
      </c>
      <c r="AE13" s="189">
        <f t="shared" si="7"/>
        <v>9.2531396340685967E-2</v>
      </c>
      <c r="AF13" s="189">
        <f t="shared" si="8"/>
        <v>-9.9999999999999978E-2</v>
      </c>
      <c r="AG13" s="190">
        <f t="shared" si="9"/>
        <v>-9.9999999999999867E-2</v>
      </c>
    </row>
    <row r="14" spans="1:33">
      <c r="A14">
        <v>105</v>
      </c>
      <c r="B14" s="185">
        <f>VLOOKUP($A14,'Allocate OPROC cost'!$A:$AO,30,FALSE)</f>
        <v>1417</v>
      </c>
      <c r="C14" s="186">
        <f>VLOOKUP($A14,'Allocate OPROC cost'!$A:$AO,31,FALSE)</f>
        <v>10162</v>
      </c>
      <c r="D14" s="186">
        <f>VLOOKUP($A14,'Allocate OPROC cost'!$A:$AO,32,FALSE)</f>
        <v>3455</v>
      </c>
      <c r="E14" s="187">
        <f>VLOOKUP($A14,'Allocate OPROC cost'!$A:$AO,33,FALSE)</f>
        <v>24207</v>
      </c>
      <c r="F14" s="185">
        <f>VLOOKUP($A14,'Allocate OPROC cost'!$A:$AO,34,FALSE)</f>
        <v>250140.65487043301</v>
      </c>
      <c r="G14" s="186">
        <f>VLOOKUP($A14,'Allocate OPROC cost'!$A:$AO,35,FALSE)</f>
        <v>1642303.0946616819</v>
      </c>
      <c r="H14" s="186">
        <f>VLOOKUP($A14,'Allocate OPROC cost'!$A:$AO,36,FALSE)</f>
        <v>561991.09142008703</v>
      </c>
      <c r="I14" s="187">
        <f>VLOOKUP($A14,'Allocate OPROC cost'!$A:$AO,37,FALSE)</f>
        <v>3357561.1645172364</v>
      </c>
      <c r="J14" s="179">
        <f t="shared" si="10"/>
        <v>176.52833794667114</v>
      </c>
      <c r="K14" s="180">
        <f t="shared" si="3"/>
        <v>161.61219195647331</v>
      </c>
      <c r="L14" s="180">
        <f t="shared" si="3"/>
        <v>162.6602290651482</v>
      </c>
      <c r="M14" s="181">
        <f t="shared" si="3"/>
        <v>138.70207644554205</v>
      </c>
      <c r="N14" s="173">
        <f t="shared" si="11"/>
        <v>1.2246700328306028</v>
      </c>
      <c r="O14" s="174">
        <f t="shared" si="12"/>
        <v>1.2044422357499669</v>
      </c>
      <c r="P14" s="174">
        <f t="shared" si="13"/>
        <v>0.9</v>
      </c>
      <c r="Q14" s="175">
        <f t="shared" si="13"/>
        <v>0.9</v>
      </c>
      <c r="R14" s="173">
        <f t="shared" si="14"/>
        <v>1.2246700328306028</v>
      </c>
      <c r="S14" s="174">
        <f t="shared" si="15"/>
        <v>1.2044422357499669</v>
      </c>
      <c r="T14" s="174">
        <f t="shared" si="16"/>
        <v>0.9</v>
      </c>
      <c r="U14" s="175">
        <f t="shared" si="17"/>
        <v>0.9</v>
      </c>
      <c r="V14" s="167">
        <f t="shared" si="18"/>
        <v>306339.76401244168</v>
      </c>
      <c r="W14" s="168">
        <f t="shared" si="19"/>
        <v>1978059.2111134056</v>
      </c>
      <c r="X14" s="168">
        <f t="shared" si="20"/>
        <v>505791.98227807833</v>
      </c>
      <c r="Y14" s="169">
        <f t="shared" si="21"/>
        <v>3021805.0480655129</v>
      </c>
      <c r="Z14" s="194">
        <f t="shared" si="22"/>
        <v>216.18896542868148</v>
      </c>
      <c r="AA14" s="195">
        <f t="shared" si="23"/>
        <v>194.65254980450754</v>
      </c>
      <c r="AB14" s="195">
        <f t="shared" si="24"/>
        <v>146.39420615863338</v>
      </c>
      <c r="AC14" s="196">
        <f t="shared" si="25"/>
        <v>124.83186880098785</v>
      </c>
      <c r="AD14" s="188">
        <f t="shared" si="6"/>
        <v>0.22467003283060283</v>
      </c>
      <c r="AE14" s="189">
        <f t="shared" si="7"/>
        <v>0.20444223574996689</v>
      </c>
      <c r="AF14" s="189">
        <f t="shared" si="8"/>
        <v>-9.9999999999999978E-2</v>
      </c>
      <c r="AG14" s="190">
        <f t="shared" si="9"/>
        <v>-9.9999999999999978E-2</v>
      </c>
    </row>
    <row r="15" spans="1:33">
      <c r="A15">
        <v>106</v>
      </c>
      <c r="B15" s="185">
        <f>VLOOKUP($A15,'Allocate OPROC cost'!$A:$AO,30,FALSE)</f>
        <v>540</v>
      </c>
      <c r="C15" s="186">
        <f>VLOOKUP($A15,'Allocate OPROC cost'!$A:$AO,31,FALSE)</f>
        <v>46307</v>
      </c>
      <c r="D15" s="186">
        <f>VLOOKUP($A15,'Allocate OPROC cost'!$A:$AO,32,FALSE)</f>
        <v>879</v>
      </c>
      <c r="E15" s="187">
        <f>VLOOKUP($A15,'Allocate OPROC cost'!$A:$AO,33,FALSE)</f>
        <v>53717</v>
      </c>
      <c r="F15" s="185">
        <f>VLOOKUP($A15,'Allocate OPROC cost'!$A:$AO,34,FALSE)</f>
        <v>70761.861975488006</v>
      </c>
      <c r="G15" s="186">
        <f>VLOOKUP($A15,'Allocate OPROC cost'!$A:$AO,35,FALSE)</f>
        <v>4960400.2287505064</v>
      </c>
      <c r="H15" s="186">
        <f>VLOOKUP($A15,'Allocate OPROC cost'!$A:$AO,36,FALSE)</f>
        <v>102453.406276618</v>
      </c>
      <c r="I15" s="187">
        <f>VLOOKUP($A15,'Allocate OPROC cost'!$A:$AO,37,FALSE)</f>
        <v>5018832.6950383596</v>
      </c>
      <c r="J15" s="179">
        <f t="shared" si="10"/>
        <v>131.04048513979259</v>
      </c>
      <c r="K15" s="180">
        <f t="shared" si="3"/>
        <v>107.11987882502659</v>
      </c>
      <c r="L15" s="180">
        <f t="shared" si="3"/>
        <v>116.55677619637997</v>
      </c>
      <c r="M15" s="181">
        <f t="shared" si="3"/>
        <v>93.43099382017536</v>
      </c>
      <c r="N15" s="173">
        <f t="shared" si="11"/>
        <v>1.1447861933199384</v>
      </c>
      <c r="O15" s="174">
        <f t="shared" si="12"/>
        <v>1.1011779788644711</v>
      </c>
      <c r="P15" s="174">
        <f t="shared" si="13"/>
        <v>0.9</v>
      </c>
      <c r="Q15" s="175">
        <f t="shared" si="13"/>
        <v>0.9</v>
      </c>
      <c r="R15" s="173">
        <f t="shared" si="14"/>
        <v>1.1447861933199384</v>
      </c>
      <c r="S15" s="174">
        <f t="shared" si="15"/>
        <v>1.1011779788644711</v>
      </c>
      <c r="T15" s="174">
        <f t="shared" si="16"/>
        <v>0.9</v>
      </c>
      <c r="U15" s="175">
        <f t="shared" si="17"/>
        <v>0.9</v>
      </c>
      <c r="V15" s="167">
        <f t="shared" si="18"/>
        <v>81007.20260314981</v>
      </c>
      <c r="W15" s="168">
        <f t="shared" si="19"/>
        <v>5462283.4982543429</v>
      </c>
      <c r="X15" s="168">
        <f t="shared" si="20"/>
        <v>92208.065648956195</v>
      </c>
      <c r="Y15" s="169">
        <f t="shared" si="21"/>
        <v>4516949.425534524</v>
      </c>
      <c r="Z15" s="194">
        <f t="shared" si="22"/>
        <v>150.01333815398112</v>
      </c>
      <c r="AA15" s="195">
        <f t="shared" si="23"/>
        <v>117.95805166074985</v>
      </c>
      <c r="AB15" s="195">
        <f t="shared" si="24"/>
        <v>104.90109857674197</v>
      </c>
      <c r="AC15" s="196">
        <f t="shared" si="25"/>
        <v>84.087894438157832</v>
      </c>
      <c r="AD15" s="188">
        <f t="shared" si="6"/>
        <v>0.14478619331993836</v>
      </c>
      <c r="AE15" s="189">
        <f t="shared" si="7"/>
        <v>0.10117797886447111</v>
      </c>
      <c r="AF15" s="189">
        <f t="shared" si="8"/>
        <v>-9.9999999999999978E-2</v>
      </c>
      <c r="AG15" s="190">
        <f t="shared" si="9"/>
        <v>-9.9999999999999867E-2</v>
      </c>
    </row>
    <row r="16" spans="1:33">
      <c r="A16">
        <v>107</v>
      </c>
      <c r="B16" s="185">
        <f>VLOOKUP($A16,'Allocate OPROC cost'!$A:$AO,30,FALSE)</f>
        <v>1338</v>
      </c>
      <c r="C16" s="186">
        <f>VLOOKUP($A16,'Allocate OPROC cost'!$A:$AO,31,FALSE)</f>
        <v>135496</v>
      </c>
      <c r="D16" s="186">
        <f>VLOOKUP($A16,'Allocate OPROC cost'!$A:$AO,32,FALSE)</f>
        <v>2516</v>
      </c>
      <c r="E16" s="187">
        <f>VLOOKUP($A16,'Allocate OPROC cost'!$A:$AO,33,FALSE)</f>
        <v>197345</v>
      </c>
      <c r="F16" s="185">
        <f>VLOOKUP($A16,'Allocate OPROC cost'!$A:$AO,34,FALSE)</f>
        <v>211489.93640106599</v>
      </c>
      <c r="G16" s="186">
        <f>VLOOKUP($A16,'Allocate OPROC cost'!$A:$AO,35,FALSE)</f>
        <v>20861229.782716081</v>
      </c>
      <c r="H16" s="186">
        <f>VLOOKUP($A16,'Allocate OPROC cost'!$A:$AO,36,FALSE)</f>
        <v>347172.62229546899</v>
      </c>
      <c r="I16" s="187">
        <f>VLOOKUP($A16,'Allocate OPROC cost'!$A:$AO,37,FALSE)</f>
        <v>23842060.747880884</v>
      </c>
      <c r="J16" s="179">
        <f t="shared" si="10"/>
        <v>158.06422750453362</v>
      </c>
      <c r="K16" s="180">
        <f t="shared" si="3"/>
        <v>153.96196037311861</v>
      </c>
      <c r="L16" s="180">
        <f t="shared" si="3"/>
        <v>137.98593890916891</v>
      </c>
      <c r="M16" s="181">
        <f t="shared" si="3"/>
        <v>120.81411106377604</v>
      </c>
      <c r="N16" s="173">
        <f t="shared" si="11"/>
        <v>1.1641556228174832</v>
      </c>
      <c r="O16" s="174">
        <f t="shared" si="12"/>
        <v>1.1142888554328396</v>
      </c>
      <c r="P16" s="174">
        <f t="shared" si="13"/>
        <v>0.9</v>
      </c>
      <c r="Q16" s="175">
        <f t="shared" si="13"/>
        <v>0.9</v>
      </c>
      <c r="R16" s="173">
        <f t="shared" si="14"/>
        <v>1.1641556228174832</v>
      </c>
      <c r="S16" s="174">
        <f t="shared" si="15"/>
        <v>1.1142888554328396</v>
      </c>
      <c r="T16" s="174">
        <f t="shared" si="16"/>
        <v>0.9</v>
      </c>
      <c r="U16" s="175">
        <f t="shared" si="17"/>
        <v>0.9</v>
      </c>
      <c r="V16" s="167">
        <f t="shared" si="18"/>
        <v>246207.1986306129</v>
      </c>
      <c r="W16" s="168">
        <f t="shared" si="19"/>
        <v>23245435.857504167</v>
      </c>
      <c r="X16" s="168">
        <f t="shared" si="20"/>
        <v>312455.36006592208</v>
      </c>
      <c r="Y16" s="169">
        <f t="shared" si="21"/>
        <v>21457854.673092797</v>
      </c>
      <c r="Z16" s="194">
        <f t="shared" si="22"/>
        <v>184.01135921570472</v>
      </c>
      <c r="AA16" s="195">
        <f t="shared" si="23"/>
        <v>171.55809660435855</v>
      </c>
      <c r="AB16" s="195">
        <f t="shared" si="24"/>
        <v>124.18734501825202</v>
      </c>
      <c r="AC16" s="196">
        <f t="shared" si="25"/>
        <v>108.73269995739845</v>
      </c>
      <c r="AD16" s="188">
        <f t="shared" si="6"/>
        <v>0.16415562281748342</v>
      </c>
      <c r="AE16" s="189">
        <f t="shared" si="7"/>
        <v>0.11428885543283962</v>
      </c>
      <c r="AF16" s="189">
        <f t="shared" si="8"/>
        <v>-9.9999999999999978E-2</v>
      </c>
      <c r="AG16" s="190">
        <f t="shared" si="9"/>
        <v>-9.9999999999999867E-2</v>
      </c>
    </row>
    <row r="17" spans="1:33">
      <c r="A17">
        <v>110</v>
      </c>
      <c r="B17" s="185">
        <f>VLOOKUP($A17,'Allocate OPROC cost'!$A:$AO,30,FALSE)</f>
        <v>37608</v>
      </c>
      <c r="C17" s="186">
        <f>VLOOKUP($A17,'Allocate OPROC cost'!$A:$AO,31,FALSE)</f>
        <v>2068047</v>
      </c>
      <c r="D17" s="186">
        <f>VLOOKUP($A17,'Allocate OPROC cost'!$A:$AO,32,FALSE)</f>
        <v>70215</v>
      </c>
      <c r="E17" s="187">
        <f>VLOOKUP($A17,'Allocate OPROC cost'!$A:$AO,33,FALSE)</f>
        <v>3834515</v>
      </c>
      <c r="F17" s="185">
        <f>VLOOKUP($A17,'Allocate OPROC cost'!$A:$AO,34,FALSE)</f>
        <v>4430859.1025239797</v>
      </c>
      <c r="G17" s="186">
        <f>VLOOKUP($A17,'Allocate OPROC cost'!$A:$AO,35,FALSE)</f>
        <v>244608644.40173399</v>
      </c>
      <c r="H17" s="186">
        <f>VLOOKUP($A17,'Allocate OPROC cost'!$A:$AO,36,FALSE)</f>
        <v>6930835.7917264802</v>
      </c>
      <c r="I17" s="187">
        <f>VLOOKUP($A17,'Allocate OPROC cost'!$A:$AO,37,FALSE)</f>
        <v>337821156.71335793</v>
      </c>
      <c r="J17" s="179">
        <f t="shared" si="10"/>
        <v>117.81692997564294</v>
      </c>
      <c r="K17" s="180">
        <f t="shared" si="3"/>
        <v>118.28002187655019</v>
      </c>
      <c r="L17" s="180">
        <f t="shared" si="3"/>
        <v>98.708762966979705</v>
      </c>
      <c r="M17" s="181">
        <f t="shared" si="3"/>
        <v>88.100100459473467</v>
      </c>
      <c r="N17" s="173">
        <f t="shared" si="11"/>
        <v>1.1564219405617846</v>
      </c>
      <c r="O17" s="174">
        <f t="shared" si="12"/>
        <v>1.138106794034039</v>
      </c>
      <c r="P17" s="174">
        <f t="shared" si="13"/>
        <v>0.9</v>
      </c>
      <c r="Q17" s="175">
        <f t="shared" si="13"/>
        <v>0.9</v>
      </c>
      <c r="R17" s="173">
        <f t="shared" si="14"/>
        <v>1.1564219405617846</v>
      </c>
      <c r="S17" s="174">
        <f t="shared" si="15"/>
        <v>1.138106794034039</v>
      </c>
      <c r="T17" s="174">
        <f t="shared" si="16"/>
        <v>0.9</v>
      </c>
      <c r="U17" s="175">
        <f t="shared" si="17"/>
        <v>0.9</v>
      </c>
      <c r="V17" s="167">
        <f t="shared" si="18"/>
        <v>5123942.6816966282</v>
      </c>
      <c r="W17" s="168">
        <f t="shared" si="19"/>
        <v>278390760.07306975</v>
      </c>
      <c r="X17" s="168">
        <f t="shared" si="20"/>
        <v>6237752.2125538327</v>
      </c>
      <c r="Y17" s="169">
        <f t="shared" si="21"/>
        <v>304039041.04202217</v>
      </c>
      <c r="Z17" s="194">
        <f t="shared" si="22"/>
        <v>136.24608279346489</v>
      </c>
      <c r="AA17" s="195">
        <f t="shared" si="23"/>
        <v>134.61529649619652</v>
      </c>
      <c r="AB17" s="195">
        <f t="shared" si="24"/>
        <v>88.837886670281748</v>
      </c>
      <c r="AC17" s="196">
        <f t="shared" si="25"/>
        <v>79.29009041352613</v>
      </c>
      <c r="AD17" s="188">
        <f t="shared" si="6"/>
        <v>0.1564219405617846</v>
      </c>
      <c r="AE17" s="189">
        <f t="shared" si="7"/>
        <v>0.1381067940340388</v>
      </c>
      <c r="AF17" s="189">
        <f t="shared" si="8"/>
        <v>-9.9999999999999867E-2</v>
      </c>
      <c r="AG17" s="190">
        <f t="shared" si="9"/>
        <v>-9.9999999999999867E-2</v>
      </c>
    </row>
    <row r="18" spans="1:33">
      <c r="A18">
        <v>120</v>
      </c>
      <c r="B18" s="185">
        <f>VLOOKUP($A18,'Allocate OPROC cost'!$A:$AO,30,FALSE)</f>
        <v>7813</v>
      </c>
      <c r="C18" s="186">
        <f>VLOOKUP($A18,'Allocate OPROC cost'!$A:$AO,31,FALSE)</f>
        <v>619482</v>
      </c>
      <c r="D18" s="186">
        <f>VLOOKUP($A18,'Allocate OPROC cost'!$A:$AO,32,FALSE)</f>
        <v>17865</v>
      </c>
      <c r="E18" s="187">
        <f>VLOOKUP($A18,'Allocate OPROC cost'!$A:$AO,33,FALSE)</f>
        <v>926757</v>
      </c>
      <c r="F18" s="185">
        <f>VLOOKUP($A18,'Allocate OPROC cost'!$A:$AO,34,FALSE)</f>
        <v>1215430.0952586001</v>
      </c>
      <c r="G18" s="186">
        <f>VLOOKUP($A18,'Allocate OPROC cost'!$A:$AO,35,FALSE)</f>
        <v>62326191.611951314</v>
      </c>
      <c r="H18" s="186">
        <f>VLOOKUP($A18,'Allocate OPROC cost'!$A:$AO,36,FALSE)</f>
        <v>1893711.4209733</v>
      </c>
      <c r="I18" s="187">
        <f>VLOOKUP($A18,'Allocate OPROC cost'!$A:$AO,37,FALSE)</f>
        <v>71003915.269466847</v>
      </c>
      <c r="J18" s="179">
        <f t="shared" si="10"/>
        <v>155.56509602695508</v>
      </c>
      <c r="K18" s="180">
        <f t="shared" si="3"/>
        <v>100.61017368051262</v>
      </c>
      <c r="L18" s="180">
        <f t="shared" si="3"/>
        <v>106.00119904692416</v>
      </c>
      <c r="M18" s="181">
        <f t="shared" si="3"/>
        <v>76.615461517384645</v>
      </c>
      <c r="N18" s="173">
        <f t="shared" si="11"/>
        <v>1.155805868915101</v>
      </c>
      <c r="O18" s="174">
        <f t="shared" si="12"/>
        <v>1.1139230770131823</v>
      </c>
      <c r="P18" s="174">
        <f t="shared" si="13"/>
        <v>0.9</v>
      </c>
      <c r="Q18" s="175">
        <f t="shared" si="13"/>
        <v>0.9</v>
      </c>
      <c r="R18" s="173">
        <f t="shared" si="14"/>
        <v>1.155805868915101</v>
      </c>
      <c r="S18" s="174">
        <f t="shared" si="15"/>
        <v>1.1139230770131823</v>
      </c>
      <c r="T18" s="174">
        <f t="shared" si="16"/>
        <v>0.9</v>
      </c>
      <c r="U18" s="175">
        <f t="shared" si="17"/>
        <v>0.9</v>
      </c>
      <c r="V18" s="167">
        <f t="shared" si="18"/>
        <v>1404801.2373559303</v>
      </c>
      <c r="W18" s="168">
        <f t="shared" si="19"/>
        <v>69426583.138898</v>
      </c>
      <c r="X18" s="168">
        <f t="shared" si="20"/>
        <v>1704340.27887597</v>
      </c>
      <c r="Y18" s="169">
        <f t="shared" si="21"/>
        <v>63903523.742520161</v>
      </c>
      <c r="Z18" s="194">
        <f t="shared" si="22"/>
        <v>179.80305098629594</v>
      </c>
      <c r="AA18" s="195">
        <f t="shared" si="23"/>
        <v>112.0719942450273</v>
      </c>
      <c r="AB18" s="195">
        <f t="shared" si="24"/>
        <v>95.401079142231737</v>
      </c>
      <c r="AC18" s="196">
        <f t="shared" si="25"/>
        <v>68.953915365646182</v>
      </c>
      <c r="AD18" s="188">
        <f t="shared" si="6"/>
        <v>0.15580586891510095</v>
      </c>
      <c r="AE18" s="189">
        <f t="shared" si="7"/>
        <v>0.11392307701318227</v>
      </c>
      <c r="AF18" s="189">
        <f t="shared" si="8"/>
        <v>-0.10000000000000009</v>
      </c>
      <c r="AG18" s="190">
        <f t="shared" si="9"/>
        <v>-9.9999999999999978E-2</v>
      </c>
    </row>
    <row r="19" spans="1:33">
      <c r="A19">
        <v>130</v>
      </c>
      <c r="B19" s="185">
        <f>VLOOKUP($A19,'Allocate OPROC cost'!$A:$AO,30,FALSE)</f>
        <v>30076</v>
      </c>
      <c r="C19" s="186">
        <f>VLOOKUP($A19,'Allocate OPROC cost'!$A:$AO,31,FALSE)</f>
        <v>1316401</v>
      </c>
      <c r="D19" s="186">
        <f>VLOOKUP($A19,'Allocate OPROC cost'!$A:$AO,32,FALSE)</f>
        <v>65003</v>
      </c>
      <c r="E19" s="187">
        <f>VLOOKUP($A19,'Allocate OPROC cost'!$A:$AO,33,FALSE)</f>
        <v>3416985</v>
      </c>
      <c r="F19" s="185">
        <f>VLOOKUP($A19,'Allocate OPROC cost'!$A:$AO,34,FALSE)</f>
        <v>3217417.7004431598</v>
      </c>
      <c r="G19" s="186">
        <f>VLOOKUP($A19,'Allocate OPROC cost'!$A:$AO,35,FALSE)</f>
        <v>129142466.72250649</v>
      </c>
      <c r="H19" s="186">
        <f>VLOOKUP($A19,'Allocate OPROC cost'!$A:$AO,36,FALSE)</f>
        <v>7081070.9084799299</v>
      </c>
      <c r="I19" s="187">
        <f>VLOOKUP($A19,'Allocate OPROC cost'!$A:$AO,37,FALSE)</f>
        <v>251579625.09233332</v>
      </c>
      <c r="J19" s="179">
        <f t="shared" si="10"/>
        <v>106.97625018098017</v>
      </c>
      <c r="K19" s="180">
        <f t="shared" si="3"/>
        <v>98.102680507312357</v>
      </c>
      <c r="L19" s="180">
        <f t="shared" si="3"/>
        <v>108.93452469085935</v>
      </c>
      <c r="M19" s="181">
        <f t="shared" si="3"/>
        <v>73.626201195595911</v>
      </c>
      <c r="N19" s="173">
        <f t="shared" si="11"/>
        <v>1.2200855334234222</v>
      </c>
      <c r="O19" s="174">
        <f t="shared" si="12"/>
        <v>1.1948078207557491</v>
      </c>
      <c r="P19" s="174">
        <f t="shared" si="13"/>
        <v>0.9</v>
      </c>
      <c r="Q19" s="175">
        <f t="shared" si="13"/>
        <v>0.9</v>
      </c>
      <c r="R19" s="173">
        <f t="shared" si="14"/>
        <v>1.2200855334234222</v>
      </c>
      <c r="S19" s="174">
        <f t="shared" si="15"/>
        <v>1.1948078207557491</v>
      </c>
      <c r="T19" s="174">
        <f t="shared" si="16"/>
        <v>0.9</v>
      </c>
      <c r="U19" s="175">
        <f t="shared" si="17"/>
        <v>0.9</v>
      </c>
      <c r="V19" s="167">
        <f t="shared" si="18"/>
        <v>3925524.7912911531</v>
      </c>
      <c r="W19" s="168">
        <f t="shared" si="19"/>
        <v>154300429.23173982</v>
      </c>
      <c r="X19" s="168">
        <f t="shared" si="20"/>
        <v>6372963.8176319366</v>
      </c>
      <c r="Y19" s="169">
        <f t="shared" si="21"/>
        <v>226421662.58309999</v>
      </c>
      <c r="Z19" s="194">
        <f t="shared" si="22"/>
        <v>130.52017526569867</v>
      </c>
      <c r="AA19" s="195">
        <f t="shared" si="23"/>
        <v>117.21384990723938</v>
      </c>
      <c r="AB19" s="195">
        <f t="shared" si="24"/>
        <v>98.041072221773405</v>
      </c>
      <c r="AC19" s="196">
        <f t="shared" si="25"/>
        <v>66.263581076036331</v>
      </c>
      <c r="AD19" s="188">
        <f t="shared" si="6"/>
        <v>0.22008553342342219</v>
      </c>
      <c r="AE19" s="189">
        <f t="shared" si="7"/>
        <v>0.19480782075574909</v>
      </c>
      <c r="AF19" s="189">
        <f t="shared" si="8"/>
        <v>-0.10000000000000009</v>
      </c>
      <c r="AG19" s="190">
        <f t="shared" si="9"/>
        <v>-9.9999999999999867E-2</v>
      </c>
    </row>
    <row r="20" spans="1:33">
      <c r="A20">
        <v>140</v>
      </c>
      <c r="B20" s="185">
        <f>VLOOKUP($A20,'Allocate OPROC cost'!$A:$AO,30,FALSE)</f>
        <v>3712</v>
      </c>
      <c r="C20" s="186">
        <f>VLOOKUP($A20,'Allocate OPROC cost'!$A:$AO,31,FALSE)</f>
        <v>358682</v>
      </c>
      <c r="D20" s="186">
        <f>VLOOKUP($A20,'Allocate OPROC cost'!$A:$AO,32,FALSE)</f>
        <v>5954</v>
      </c>
      <c r="E20" s="187">
        <f>VLOOKUP($A20,'Allocate OPROC cost'!$A:$AO,33,FALSE)</f>
        <v>378908</v>
      </c>
      <c r="F20" s="185">
        <f>VLOOKUP($A20,'Allocate OPROC cost'!$A:$AO,34,FALSE)</f>
        <v>624793.74301235494</v>
      </c>
      <c r="G20" s="186">
        <f>VLOOKUP($A20,'Allocate OPROC cost'!$A:$AO,35,FALSE)</f>
        <v>41101780.905734949</v>
      </c>
      <c r="H20" s="186">
        <f>VLOOKUP($A20,'Allocate OPROC cost'!$A:$AO,36,FALSE)</f>
        <v>881534.55827680801</v>
      </c>
      <c r="I20" s="187">
        <f>VLOOKUP($A20,'Allocate OPROC cost'!$A:$AO,37,FALSE)</f>
        <v>32492989.402403854</v>
      </c>
      <c r="J20" s="179">
        <f t="shared" si="10"/>
        <v>168.31727990634562</v>
      </c>
      <c r="K20" s="180">
        <f t="shared" si="3"/>
        <v>114.59114453955021</v>
      </c>
      <c r="L20" s="180">
        <f t="shared" si="3"/>
        <v>148.05753414121733</v>
      </c>
      <c r="M20" s="181">
        <f t="shared" si="3"/>
        <v>85.754297619485087</v>
      </c>
      <c r="N20" s="173">
        <f t="shared" si="11"/>
        <v>1.1410920912918578</v>
      </c>
      <c r="O20" s="174">
        <f t="shared" si="12"/>
        <v>1.0790549428428053</v>
      </c>
      <c r="P20" s="174">
        <f t="shared" si="13"/>
        <v>0.9</v>
      </c>
      <c r="Q20" s="175">
        <f t="shared" si="13"/>
        <v>0.9</v>
      </c>
      <c r="R20" s="173">
        <f t="shared" si="14"/>
        <v>1.1410920912918578</v>
      </c>
      <c r="S20" s="174">
        <f t="shared" si="15"/>
        <v>1.0790549428428053</v>
      </c>
      <c r="T20" s="174">
        <f t="shared" si="16"/>
        <v>0.9</v>
      </c>
      <c r="U20" s="175">
        <f t="shared" si="17"/>
        <v>0.9</v>
      </c>
      <c r="V20" s="167">
        <f t="shared" si="18"/>
        <v>712947.19884003571</v>
      </c>
      <c r="W20" s="168">
        <f t="shared" si="19"/>
        <v>44351079.845975332</v>
      </c>
      <c r="X20" s="168">
        <f t="shared" si="20"/>
        <v>793381.10244912724</v>
      </c>
      <c r="Y20" s="169">
        <f t="shared" si="21"/>
        <v>29243690.462163471</v>
      </c>
      <c r="Z20" s="194">
        <f t="shared" si="22"/>
        <v>192.06551692888894</v>
      </c>
      <c r="AA20" s="195">
        <f t="shared" si="23"/>
        <v>123.650140921416</v>
      </c>
      <c r="AB20" s="195">
        <f t="shared" si="24"/>
        <v>133.25178072709559</v>
      </c>
      <c r="AC20" s="196">
        <f t="shared" si="25"/>
        <v>77.178867857536574</v>
      </c>
      <c r="AD20" s="188">
        <f t="shared" si="6"/>
        <v>0.14109209129185785</v>
      </c>
      <c r="AE20" s="189">
        <f t="shared" si="7"/>
        <v>7.9054942842805342E-2</v>
      </c>
      <c r="AF20" s="189">
        <f t="shared" si="8"/>
        <v>-0.10000000000000009</v>
      </c>
      <c r="AG20" s="190">
        <f t="shared" si="9"/>
        <v>-0.10000000000000009</v>
      </c>
    </row>
    <row r="21" spans="1:33">
      <c r="A21">
        <v>141</v>
      </c>
      <c r="B21" s="185">
        <f>VLOOKUP($A21,'Allocate OPROC cost'!$A:$AO,30,FALSE)</f>
        <v>1004</v>
      </c>
      <c r="C21" s="186">
        <f>VLOOKUP($A21,'Allocate OPROC cost'!$A:$AO,31,FALSE)</f>
        <v>67944</v>
      </c>
      <c r="D21" s="186">
        <f>VLOOKUP($A21,'Allocate OPROC cost'!$A:$AO,32,FALSE)</f>
        <v>669</v>
      </c>
      <c r="E21" s="187">
        <f>VLOOKUP($A21,'Allocate OPROC cost'!$A:$AO,33,FALSE)</f>
        <v>171376</v>
      </c>
      <c r="F21" s="185">
        <f>VLOOKUP($A21,'Allocate OPROC cost'!$A:$AO,34,FALSE)</f>
        <v>155848.78263827399</v>
      </c>
      <c r="G21" s="186">
        <f>VLOOKUP($A21,'Allocate OPROC cost'!$A:$AO,35,FALSE)</f>
        <v>6515627.6125304746</v>
      </c>
      <c r="H21" s="186">
        <f>VLOOKUP($A21,'Allocate OPROC cost'!$A:$AO,36,FALSE)</f>
        <v>66643.260984632201</v>
      </c>
      <c r="I21" s="187">
        <f>VLOOKUP($A21,'Allocate OPROC cost'!$A:$AO,37,FALSE)</f>
        <v>16586570.120111814</v>
      </c>
      <c r="J21" s="179">
        <f t="shared" si="10"/>
        <v>155.22787115365935</v>
      </c>
      <c r="K21" s="180">
        <f t="shared" si="3"/>
        <v>95.897027147805176</v>
      </c>
      <c r="L21" s="180">
        <f t="shared" si="3"/>
        <v>99.616234655653514</v>
      </c>
      <c r="M21" s="181">
        <f t="shared" si="3"/>
        <v>96.784673000372365</v>
      </c>
      <c r="N21" s="173">
        <f t="shared" si="11"/>
        <v>1.042761489603234</v>
      </c>
      <c r="O21" s="174">
        <f t="shared" si="12"/>
        <v>1.254565962121799</v>
      </c>
      <c r="P21" s="174">
        <f t="shared" si="13"/>
        <v>0.9</v>
      </c>
      <c r="Q21" s="175">
        <f t="shared" si="13"/>
        <v>0.9</v>
      </c>
      <c r="R21" s="173">
        <f t="shared" si="14"/>
        <v>1.042761489603234</v>
      </c>
      <c r="S21" s="174">
        <f t="shared" si="15"/>
        <v>1.254565962121799</v>
      </c>
      <c r="T21" s="174">
        <f t="shared" si="16"/>
        <v>0.9</v>
      </c>
      <c r="U21" s="175">
        <f t="shared" si="17"/>
        <v>0.9</v>
      </c>
      <c r="V21" s="167">
        <f t="shared" si="18"/>
        <v>162513.10873673722</v>
      </c>
      <c r="W21" s="168">
        <f t="shared" si="19"/>
        <v>8174284.6245416552</v>
      </c>
      <c r="X21" s="168">
        <f t="shared" si="20"/>
        <v>59978.93488616898</v>
      </c>
      <c r="Y21" s="169">
        <f t="shared" si="21"/>
        <v>14927913.108100632</v>
      </c>
      <c r="Z21" s="194">
        <f t="shared" si="22"/>
        <v>161.8656461521287</v>
      </c>
      <c r="AA21" s="195">
        <f t="shared" si="23"/>
        <v>120.30914612830648</v>
      </c>
      <c r="AB21" s="195">
        <f t="shared" si="24"/>
        <v>89.654611190088161</v>
      </c>
      <c r="AC21" s="196">
        <f t="shared" si="25"/>
        <v>87.106205700335124</v>
      </c>
      <c r="AD21" s="188">
        <f t="shared" si="6"/>
        <v>4.2761489603234004E-2</v>
      </c>
      <c r="AE21" s="189">
        <f t="shared" si="7"/>
        <v>0.25456596212179905</v>
      </c>
      <c r="AF21" s="189">
        <f t="shared" si="8"/>
        <v>-9.9999999999999978E-2</v>
      </c>
      <c r="AG21" s="190">
        <f t="shared" si="9"/>
        <v>-0.10000000000000009</v>
      </c>
    </row>
    <row r="22" spans="1:33">
      <c r="A22">
        <v>142</v>
      </c>
      <c r="B22" s="185">
        <f>VLOOKUP($A22,'Allocate OPROC cost'!$A:$AO,30,FALSE)</f>
        <v>92</v>
      </c>
      <c r="C22" s="186">
        <f>VLOOKUP($A22,'Allocate OPROC cost'!$A:$AO,31,FALSE)</f>
        <v>21322</v>
      </c>
      <c r="D22" s="186">
        <f>VLOOKUP($A22,'Allocate OPROC cost'!$A:$AO,32,FALSE)</f>
        <v>198</v>
      </c>
      <c r="E22" s="187">
        <f>VLOOKUP($A22,'Allocate OPROC cost'!$A:$AO,33,FALSE)</f>
        <v>52632</v>
      </c>
      <c r="F22" s="185">
        <f>VLOOKUP($A22,'Allocate OPROC cost'!$A:$AO,34,FALSE)</f>
        <v>8472.6468588610805</v>
      </c>
      <c r="G22" s="186">
        <f>VLOOKUP($A22,'Allocate OPROC cost'!$A:$AO,35,FALSE)</f>
        <v>2071397.9264741319</v>
      </c>
      <c r="H22" s="186">
        <f>VLOOKUP($A22,'Allocate OPROC cost'!$A:$AO,36,FALSE)</f>
        <v>10099.7980232276</v>
      </c>
      <c r="I22" s="187">
        <f>VLOOKUP($A22,'Allocate OPROC cost'!$A:$AO,37,FALSE)</f>
        <v>4722493.4969559861</v>
      </c>
      <c r="J22" s="179">
        <f t="shared" si="10"/>
        <v>92.093987596316097</v>
      </c>
      <c r="K22" s="180">
        <f t="shared" si="3"/>
        <v>97.148387884538593</v>
      </c>
      <c r="L22" s="180">
        <f t="shared" si="3"/>
        <v>51.00908092539192</v>
      </c>
      <c r="M22" s="181">
        <f t="shared" si="3"/>
        <v>89.726658628894711</v>
      </c>
      <c r="N22" s="173">
        <f t="shared" si="11"/>
        <v>1.1192047560989133</v>
      </c>
      <c r="O22" s="174">
        <f t="shared" si="12"/>
        <v>1.2279858175292502</v>
      </c>
      <c r="P22" s="174">
        <f t="shared" si="13"/>
        <v>0.9</v>
      </c>
      <c r="Q22" s="175">
        <f t="shared" si="13"/>
        <v>0.9</v>
      </c>
      <c r="R22" s="173">
        <f t="shared" si="14"/>
        <v>1.1192047560989133</v>
      </c>
      <c r="S22" s="174">
        <f t="shared" si="15"/>
        <v>1.2279858175292502</v>
      </c>
      <c r="T22" s="174">
        <f t="shared" si="16"/>
        <v>0.9</v>
      </c>
      <c r="U22" s="175">
        <f t="shared" si="17"/>
        <v>0.9</v>
      </c>
      <c r="V22" s="167">
        <f t="shared" si="18"/>
        <v>9482.62666118384</v>
      </c>
      <c r="W22" s="168">
        <f t="shared" si="19"/>
        <v>2543647.2761697304</v>
      </c>
      <c r="X22" s="168">
        <f t="shared" si="20"/>
        <v>9089.8182209048409</v>
      </c>
      <c r="Y22" s="169">
        <f t="shared" si="21"/>
        <v>4250244.1472603874</v>
      </c>
      <c r="Z22" s="194">
        <f t="shared" si="22"/>
        <v>103.07202892591131</v>
      </c>
      <c r="AA22" s="195">
        <f t="shared" si="23"/>
        <v>119.29684251804382</v>
      </c>
      <c r="AB22" s="195">
        <f t="shared" si="24"/>
        <v>45.908172832852735</v>
      </c>
      <c r="AC22" s="196">
        <f t="shared" si="25"/>
        <v>80.75399276600524</v>
      </c>
      <c r="AD22" s="188">
        <f t="shared" si="6"/>
        <v>0.11920475609891334</v>
      </c>
      <c r="AE22" s="189">
        <f t="shared" si="7"/>
        <v>0.22798581752925018</v>
      </c>
      <c r="AF22" s="189">
        <f t="shared" si="8"/>
        <v>-9.9999999999999867E-2</v>
      </c>
      <c r="AG22" s="190">
        <f t="shared" si="9"/>
        <v>-9.9999999999999978E-2</v>
      </c>
    </row>
    <row r="23" spans="1:33">
      <c r="A23">
        <v>143</v>
      </c>
      <c r="B23" s="185">
        <f>VLOOKUP($A23,'Allocate OPROC cost'!$A:$AO,30,FALSE)</f>
        <v>1365</v>
      </c>
      <c r="C23" s="186">
        <f>VLOOKUP($A23,'Allocate OPROC cost'!$A:$AO,31,FALSE)</f>
        <v>65160</v>
      </c>
      <c r="D23" s="186">
        <f>VLOOKUP($A23,'Allocate OPROC cost'!$A:$AO,32,FALSE)</f>
        <v>5219</v>
      </c>
      <c r="E23" s="187">
        <f>VLOOKUP($A23,'Allocate OPROC cost'!$A:$AO,33,FALSE)</f>
        <v>245076</v>
      </c>
      <c r="F23" s="185">
        <f>VLOOKUP($A23,'Allocate OPROC cost'!$A:$AO,34,FALSE)</f>
        <v>228822.792156165</v>
      </c>
      <c r="G23" s="186">
        <f>VLOOKUP($A23,'Allocate OPROC cost'!$A:$AO,35,FALSE)</f>
        <v>8279979.2622241396</v>
      </c>
      <c r="H23" s="186">
        <f>VLOOKUP($A23,'Allocate OPROC cost'!$A:$AO,36,FALSE)</f>
        <v>643463.39292824396</v>
      </c>
      <c r="I23" s="187">
        <f>VLOOKUP($A23,'Allocate OPROC cost'!$A:$AO,37,FALSE)</f>
        <v>22095069.423798129</v>
      </c>
      <c r="J23" s="179">
        <f t="shared" si="10"/>
        <v>167.63574516935165</v>
      </c>
      <c r="K23" s="180">
        <f t="shared" si="3"/>
        <v>127.07150494512184</v>
      </c>
      <c r="L23" s="180">
        <f t="shared" si="3"/>
        <v>123.29246846680283</v>
      </c>
      <c r="M23" s="181">
        <f t="shared" si="3"/>
        <v>90.155990075723977</v>
      </c>
      <c r="N23" s="173">
        <f t="shared" si="11"/>
        <v>1.281205987771139</v>
      </c>
      <c r="O23" s="174">
        <f t="shared" si="12"/>
        <v>1.2668493328794042</v>
      </c>
      <c r="P23" s="174">
        <f t="shared" si="13"/>
        <v>0.9</v>
      </c>
      <c r="Q23" s="175">
        <f t="shared" si="13"/>
        <v>0.9</v>
      </c>
      <c r="R23" s="173">
        <f t="shared" si="14"/>
        <v>1.281205987771139</v>
      </c>
      <c r="S23" s="174">
        <f t="shared" si="15"/>
        <v>1.2668493328794042</v>
      </c>
      <c r="T23" s="174">
        <f t="shared" si="16"/>
        <v>0.9</v>
      </c>
      <c r="U23" s="175">
        <f t="shared" si="17"/>
        <v>0.9</v>
      </c>
      <c r="V23" s="167">
        <f t="shared" si="18"/>
        <v>293169.13144898944</v>
      </c>
      <c r="W23" s="168">
        <f t="shared" si="19"/>
        <v>10489486.204603951</v>
      </c>
      <c r="X23" s="168">
        <f t="shared" si="20"/>
        <v>579117.05363541958</v>
      </c>
      <c r="Y23" s="169">
        <f t="shared" si="21"/>
        <v>19885562.481418315</v>
      </c>
      <c r="Z23" s="194">
        <f t="shared" si="22"/>
        <v>214.77592047545014</v>
      </c>
      <c r="AA23" s="195">
        <f t="shared" si="23"/>
        <v>160.9804512677095</v>
      </c>
      <c r="AB23" s="195">
        <f t="shared" si="24"/>
        <v>110.96322162012255</v>
      </c>
      <c r="AC23" s="196">
        <f t="shared" si="25"/>
        <v>81.140391068151573</v>
      </c>
      <c r="AD23" s="188">
        <f t="shared" si="6"/>
        <v>0.28120598777113903</v>
      </c>
      <c r="AE23" s="189">
        <f t="shared" si="7"/>
        <v>0.26684933287940393</v>
      </c>
      <c r="AF23" s="189">
        <f t="shared" si="8"/>
        <v>-9.9999999999999978E-2</v>
      </c>
      <c r="AG23" s="190">
        <f t="shared" si="9"/>
        <v>-0.10000000000000009</v>
      </c>
    </row>
    <row r="24" spans="1:33">
      <c r="A24">
        <v>144</v>
      </c>
      <c r="B24" s="185">
        <f>VLOOKUP($A24,'Allocate OPROC cost'!$A:$AO,30,FALSE)</f>
        <v>840</v>
      </c>
      <c r="C24" s="186">
        <f>VLOOKUP($A24,'Allocate OPROC cost'!$A:$AO,31,FALSE)</f>
        <v>137414</v>
      </c>
      <c r="D24" s="186">
        <f>VLOOKUP($A24,'Allocate OPROC cost'!$A:$AO,32,FALSE)</f>
        <v>4380</v>
      </c>
      <c r="E24" s="187">
        <f>VLOOKUP($A24,'Allocate OPROC cost'!$A:$AO,33,FALSE)</f>
        <v>167524</v>
      </c>
      <c r="F24" s="185">
        <f>VLOOKUP($A24,'Allocate OPROC cost'!$A:$AO,34,FALSE)</f>
        <v>110807.71306543599</v>
      </c>
      <c r="G24" s="186">
        <f>VLOOKUP($A24,'Allocate OPROC cost'!$A:$AO,35,FALSE)</f>
        <v>14031128.915311618</v>
      </c>
      <c r="H24" s="186">
        <f>VLOOKUP($A24,'Allocate OPROC cost'!$A:$AO,36,FALSE)</f>
        <v>418780.70257738302</v>
      </c>
      <c r="I24" s="187">
        <f>VLOOKUP($A24,'Allocate OPROC cost'!$A:$AO,37,FALSE)</f>
        <v>14229195.593027569</v>
      </c>
      <c r="J24" s="179">
        <f t="shared" si="10"/>
        <v>131.91394412551904</v>
      </c>
      <c r="K24" s="180">
        <f t="shared" si="3"/>
        <v>102.10843811628814</v>
      </c>
      <c r="L24" s="180">
        <f t="shared" si="3"/>
        <v>95.612032551913927</v>
      </c>
      <c r="M24" s="181">
        <f t="shared" si="3"/>
        <v>84.938251194023366</v>
      </c>
      <c r="N24" s="173">
        <f t="shared" si="11"/>
        <v>1.3779346139289761</v>
      </c>
      <c r="O24" s="174">
        <f t="shared" si="12"/>
        <v>1.1014116232479327</v>
      </c>
      <c r="P24" s="174">
        <f t="shared" si="13"/>
        <v>0.9</v>
      </c>
      <c r="Q24" s="175">
        <f t="shared" si="13"/>
        <v>0.9</v>
      </c>
      <c r="R24" s="173">
        <f t="shared" si="14"/>
        <v>1.3779346139289761</v>
      </c>
      <c r="S24" s="174">
        <f t="shared" si="15"/>
        <v>1.1014116232479327</v>
      </c>
      <c r="T24" s="174">
        <f t="shared" si="16"/>
        <v>0.9</v>
      </c>
      <c r="U24" s="175">
        <f t="shared" si="17"/>
        <v>0.9</v>
      </c>
      <c r="V24" s="167">
        <f t="shared" si="18"/>
        <v>152685.78332317431</v>
      </c>
      <c r="W24" s="168">
        <f t="shared" si="19"/>
        <v>15454048.474614374</v>
      </c>
      <c r="X24" s="168">
        <f t="shared" si="20"/>
        <v>376902.63231964473</v>
      </c>
      <c r="Y24" s="169">
        <f t="shared" si="21"/>
        <v>12806276.033724813</v>
      </c>
      <c r="Z24" s="194">
        <f t="shared" si="22"/>
        <v>181.76878967044561</v>
      </c>
      <c r="AA24" s="195">
        <f t="shared" si="23"/>
        <v>112.463420572972</v>
      </c>
      <c r="AB24" s="195">
        <f t="shared" si="24"/>
        <v>86.05082929672254</v>
      </c>
      <c r="AC24" s="196">
        <f t="shared" si="25"/>
        <v>76.44442607462102</v>
      </c>
      <c r="AD24" s="188">
        <f t="shared" si="6"/>
        <v>0.37793461392897609</v>
      </c>
      <c r="AE24" s="189">
        <f t="shared" si="7"/>
        <v>0.10141162324793274</v>
      </c>
      <c r="AF24" s="189">
        <f t="shared" si="8"/>
        <v>-9.9999999999999978E-2</v>
      </c>
      <c r="AG24" s="190">
        <f t="shared" si="9"/>
        <v>-0.10000000000000009</v>
      </c>
    </row>
    <row r="25" spans="1:33">
      <c r="A25">
        <v>150</v>
      </c>
      <c r="B25" s="185">
        <f>VLOOKUP($A25,'Allocate OPROC cost'!$A:$AO,30,FALSE)</f>
        <v>4772</v>
      </c>
      <c r="C25" s="186">
        <f>VLOOKUP($A25,'Allocate OPROC cost'!$A:$AO,31,FALSE)</f>
        <v>87253</v>
      </c>
      <c r="D25" s="186">
        <f>VLOOKUP($A25,'Allocate OPROC cost'!$A:$AO,32,FALSE)</f>
        <v>5064</v>
      </c>
      <c r="E25" s="187">
        <f>VLOOKUP($A25,'Allocate OPROC cost'!$A:$AO,33,FALSE)</f>
        <v>142900</v>
      </c>
      <c r="F25" s="185">
        <f>VLOOKUP($A25,'Allocate OPROC cost'!$A:$AO,34,FALSE)</f>
        <v>792256.89118983597</v>
      </c>
      <c r="G25" s="186">
        <f>VLOOKUP($A25,'Allocate OPROC cost'!$A:$AO,35,FALSE)</f>
        <v>13401817.755172528</v>
      </c>
      <c r="H25" s="186">
        <f>VLOOKUP($A25,'Allocate OPROC cost'!$A:$AO,36,FALSE)</f>
        <v>717816.45049910597</v>
      </c>
      <c r="I25" s="187">
        <f>VLOOKUP($A25,'Allocate OPROC cost'!$A:$AO,37,FALSE)</f>
        <v>19964036.633593079</v>
      </c>
      <c r="J25" s="179">
        <f t="shared" si="10"/>
        <v>166.02198055109722</v>
      </c>
      <c r="K25" s="180">
        <f t="shared" si="10"/>
        <v>153.5972144817087</v>
      </c>
      <c r="L25" s="180">
        <f t="shared" si="10"/>
        <v>141.74890412699565</v>
      </c>
      <c r="M25" s="181">
        <f t="shared" si="10"/>
        <v>139.70634453179201</v>
      </c>
      <c r="N25" s="173">
        <f t="shared" si="11"/>
        <v>1.0906040021212144</v>
      </c>
      <c r="O25" s="174">
        <f t="shared" si="12"/>
        <v>1.1489651403884209</v>
      </c>
      <c r="P25" s="174">
        <f t="shared" si="13"/>
        <v>0.9</v>
      </c>
      <c r="Q25" s="175">
        <f t="shared" si="13"/>
        <v>0.9</v>
      </c>
      <c r="R25" s="173">
        <f t="shared" si="14"/>
        <v>1.0906040021212144</v>
      </c>
      <c r="S25" s="174">
        <f t="shared" si="15"/>
        <v>1.1489651403884209</v>
      </c>
      <c r="T25" s="174">
        <f t="shared" si="16"/>
        <v>0.9</v>
      </c>
      <c r="U25" s="175">
        <f t="shared" si="17"/>
        <v>0.9</v>
      </c>
      <c r="V25" s="167">
        <f t="shared" si="18"/>
        <v>864038.53623974661</v>
      </c>
      <c r="W25" s="168">
        <f t="shared" si="19"/>
        <v>15398221.418531835</v>
      </c>
      <c r="X25" s="168">
        <f t="shared" si="20"/>
        <v>646034.80544919544</v>
      </c>
      <c r="Y25" s="169">
        <f t="shared" si="21"/>
        <v>17967632.970233772</v>
      </c>
      <c r="Z25" s="194">
        <f t="shared" si="22"/>
        <v>181.06423642911707</v>
      </c>
      <c r="AA25" s="195">
        <f t="shared" si="23"/>
        <v>176.47784510024681</v>
      </c>
      <c r="AB25" s="195">
        <f t="shared" si="24"/>
        <v>127.5740137142961</v>
      </c>
      <c r="AC25" s="196">
        <f t="shared" si="25"/>
        <v>125.73571007861283</v>
      </c>
      <c r="AD25" s="188">
        <f t="shared" si="6"/>
        <v>9.0604002121214666E-2</v>
      </c>
      <c r="AE25" s="189">
        <f t="shared" si="7"/>
        <v>0.14896514038842068</v>
      </c>
      <c r="AF25" s="189">
        <f t="shared" si="8"/>
        <v>-9.9999999999999867E-2</v>
      </c>
      <c r="AG25" s="190">
        <f t="shared" si="9"/>
        <v>-9.9999999999999867E-2</v>
      </c>
    </row>
    <row r="26" spans="1:33">
      <c r="A26">
        <v>160</v>
      </c>
      <c r="B26" s="185">
        <f>VLOOKUP($A26,'Allocate OPROC cost'!$A:$AO,30,FALSE)</f>
        <v>4208</v>
      </c>
      <c r="C26" s="186">
        <f>VLOOKUP($A26,'Allocate OPROC cost'!$A:$AO,31,FALSE)</f>
        <v>206917</v>
      </c>
      <c r="D26" s="186">
        <f>VLOOKUP($A26,'Allocate OPROC cost'!$A:$AO,32,FALSE)</f>
        <v>10979</v>
      </c>
      <c r="E26" s="187">
        <f>VLOOKUP($A26,'Allocate OPROC cost'!$A:$AO,33,FALSE)</f>
        <v>547714</v>
      </c>
      <c r="F26" s="185">
        <f>VLOOKUP($A26,'Allocate OPROC cost'!$A:$AO,34,FALSE)</f>
        <v>536514.36879774195</v>
      </c>
      <c r="G26" s="186">
        <f>VLOOKUP($A26,'Allocate OPROC cost'!$A:$AO,35,FALSE)</f>
        <v>20405300.911718883</v>
      </c>
      <c r="H26" s="186">
        <f>VLOOKUP($A26,'Allocate OPROC cost'!$A:$AO,36,FALSE)</f>
        <v>1279129.7825511899</v>
      </c>
      <c r="I26" s="187">
        <f>VLOOKUP($A26,'Allocate OPROC cost'!$A:$AO,37,FALSE)</f>
        <v>41722996.93718601</v>
      </c>
      <c r="J26" s="179">
        <f t="shared" si="10"/>
        <v>127.49866178653564</v>
      </c>
      <c r="K26" s="180">
        <f t="shared" si="10"/>
        <v>98.615874537707782</v>
      </c>
      <c r="L26" s="180">
        <f t="shared" si="10"/>
        <v>116.50694804182439</v>
      </c>
      <c r="M26" s="181">
        <f t="shared" si="10"/>
        <v>76.176612131853503</v>
      </c>
      <c r="N26" s="173">
        <f t="shared" si="11"/>
        <v>1.2384148229650496</v>
      </c>
      <c r="O26" s="174">
        <f t="shared" si="12"/>
        <v>1.2044713631898674</v>
      </c>
      <c r="P26" s="174">
        <f t="shared" si="13"/>
        <v>0.9</v>
      </c>
      <c r="Q26" s="175">
        <f t="shared" si="13"/>
        <v>0.9</v>
      </c>
      <c r="R26" s="173">
        <f t="shared" si="14"/>
        <v>1.2384148229650496</v>
      </c>
      <c r="S26" s="174">
        <f t="shared" si="15"/>
        <v>1.2044713631898674</v>
      </c>
      <c r="T26" s="174">
        <f t="shared" si="16"/>
        <v>0.9</v>
      </c>
      <c r="U26" s="175">
        <f t="shared" si="17"/>
        <v>0.9</v>
      </c>
      <c r="V26" s="167">
        <f t="shared" si="18"/>
        <v>664427.34705286089</v>
      </c>
      <c r="W26" s="168">
        <f t="shared" si="19"/>
        <v>24577600.605437487</v>
      </c>
      <c r="X26" s="168">
        <f t="shared" si="20"/>
        <v>1151216.8042960709</v>
      </c>
      <c r="Y26" s="169">
        <f t="shared" si="21"/>
        <v>37550697.243467413</v>
      </c>
      <c r="Z26" s="194">
        <f t="shared" si="22"/>
        <v>157.89623266465324</v>
      </c>
      <c r="AA26" s="195">
        <f t="shared" si="23"/>
        <v>118.77999683659384</v>
      </c>
      <c r="AB26" s="195">
        <f t="shared" si="24"/>
        <v>104.85625323764195</v>
      </c>
      <c r="AC26" s="196">
        <f t="shared" si="25"/>
        <v>68.55895091866816</v>
      </c>
      <c r="AD26" s="188">
        <f t="shared" si="6"/>
        <v>0.23841482296504934</v>
      </c>
      <c r="AE26" s="189">
        <f t="shared" si="7"/>
        <v>0.20447136318986758</v>
      </c>
      <c r="AF26" s="189">
        <f t="shared" si="8"/>
        <v>-9.9999999999999978E-2</v>
      </c>
      <c r="AG26" s="190">
        <f t="shared" si="9"/>
        <v>-9.9999999999999867E-2</v>
      </c>
    </row>
    <row r="27" spans="1:33">
      <c r="A27">
        <v>161</v>
      </c>
      <c r="B27" s="185">
        <f>VLOOKUP($A27,'Allocate OPROC cost'!$A:$AO,30,FALSE)</f>
        <v>0</v>
      </c>
      <c r="C27" s="186">
        <f>VLOOKUP($A27,'Allocate OPROC cost'!$A:$AO,31,FALSE)</f>
        <v>10341</v>
      </c>
      <c r="D27" s="186">
        <f>VLOOKUP($A27,'Allocate OPROC cost'!$A:$AO,32,FALSE)</f>
        <v>43</v>
      </c>
      <c r="E27" s="187">
        <f>VLOOKUP($A27,'Allocate OPROC cost'!$A:$AO,33,FALSE)</f>
        <v>20112</v>
      </c>
      <c r="F27" s="185">
        <f>VLOOKUP($A27,'Allocate OPROC cost'!$A:$AO,34,FALSE)</f>
        <v>0</v>
      </c>
      <c r="G27" s="186">
        <f>VLOOKUP($A27,'Allocate OPROC cost'!$A:$AO,35,FALSE)</f>
        <v>1180784.2228993599</v>
      </c>
      <c r="H27" s="186">
        <f>VLOOKUP($A27,'Allocate OPROC cost'!$A:$AO,36,FALSE)</f>
        <v>18974.721112152401</v>
      </c>
      <c r="I27" s="187">
        <f>VLOOKUP($A27,'Allocate OPROC cost'!$A:$AO,37,FALSE)</f>
        <v>2083428.7106463211</v>
      </c>
      <c r="J27" s="179">
        <f t="shared" si="10"/>
        <v>0</v>
      </c>
      <c r="K27" s="180">
        <f t="shared" si="10"/>
        <v>114.18472322786576</v>
      </c>
      <c r="L27" s="180">
        <f t="shared" si="10"/>
        <v>441.27258400354424</v>
      </c>
      <c r="M27" s="181">
        <f t="shared" si="10"/>
        <v>103.5913241172594</v>
      </c>
      <c r="N27" s="173">
        <f t="shared" si="11"/>
        <v>1</v>
      </c>
      <c r="O27" s="174">
        <f t="shared" si="12"/>
        <v>1.1764444908935656</v>
      </c>
      <c r="P27" s="174">
        <f t="shared" si="13"/>
        <v>0.9</v>
      </c>
      <c r="Q27" s="175">
        <f t="shared" si="13"/>
        <v>0.9</v>
      </c>
      <c r="R27" s="173">
        <f t="shared" si="14"/>
        <v>1</v>
      </c>
      <c r="S27" s="174">
        <f t="shared" si="15"/>
        <v>1.1764444908935656</v>
      </c>
      <c r="T27" s="174">
        <f t="shared" si="16"/>
        <v>0.9</v>
      </c>
      <c r="U27" s="175">
        <f t="shared" si="17"/>
        <v>0.9</v>
      </c>
      <c r="V27" s="167">
        <f t="shared" si="18"/>
        <v>0</v>
      </c>
      <c r="W27" s="168">
        <f t="shared" si="19"/>
        <v>1389127.0939639919</v>
      </c>
      <c r="X27" s="168">
        <f t="shared" si="20"/>
        <v>17077.249000937161</v>
      </c>
      <c r="Y27" s="169">
        <f t="shared" si="21"/>
        <v>1875085.8395816891</v>
      </c>
      <c r="Z27" s="194">
        <f t="shared" si="22"/>
        <v>0</v>
      </c>
      <c r="AA27" s="195">
        <f t="shared" si="23"/>
        <v>134.33198858562923</v>
      </c>
      <c r="AB27" s="195">
        <f t="shared" si="24"/>
        <v>397.1453256031898</v>
      </c>
      <c r="AC27" s="196">
        <f t="shared" si="25"/>
        <v>93.232191705533467</v>
      </c>
      <c r="AD27" s="188">
        <f t="shared" si="6"/>
        <v>0</v>
      </c>
      <c r="AE27" s="189">
        <f t="shared" si="7"/>
        <v>0.17644449089356562</v>
      </c>
      <c r="AF27" s="189">
        <f t="shared" si="8"/>
        <v>-9.9999999999999978E-2</v>
      </c>
      <c r="AG27" s="190">
        <f t="shared" si="9"/>
        <v>-9.9999999999999978E-2</v>
      </c>
    </row>
    <row r="28" spans="1:33">
      <c r="A28">
        <v>170</v>
      </c>
      <c r="B28" s="185">
        <f>VLOOKUP($A28,'Allocate OPROC cost'!$A:$AO,30,FALSE)</f>
        <v>940</v>
      </c>
      <c r="C28" s="186">
        <f>VLOOKUP($A28,'Allocate OPROC cost'!$A:$AO,31,FALSE)</f>
        <v>22523</v>
      </c>
      <c r="D28" s="186">
        <f>VLOOKUP($A28,'Allocate OPROC cost'!$A:$AO,32,FALSE)</f>
        <v>600</v>
      </c>
      <c r="E28" s="187">
        <f>VLOOKUP($A28,'Allocate OPROC cost'!$A:$AO,33,FALSE)</f>
        <v>36193</v>
      </c>
      <c r="F28" s="185">
        <f>VLOOKUP($A28,'Allocate OPROC cost'!$A:$AO,34,FALSE)</f>
        <v>145081.43242077099</v>
      </c>
      <c r="G28" s="186">
        <f>VLOOKUP($A28,'Allocate OPROC cost'!$A:$AO,35,FALSE)</f>
        <v>5428963.8160207486</v>
      </c>
      <c r="H28" s="186">
        <f>VLOOKUP($A28,'Allocate OPROC cost'!$A:$AO,36,FALSE)</f>
        <v>143802.05320933901</v>
      </c>
      <c r="I28" s="187">
        <f>VLOOKUP($A28,'Allocate OPROC cost'!$A:$AO,37,FALSE)</f>
        <v>7425418.0159617113</v>
      </c>
      <c r="J28" s="179">
        <f t="shared" si="10"/>
        <v>154.34194938379892</v>
      </c>
      <c r="K28" s="180">
        <f t="shared" si="10"/>
        <v>241.0408833645939</v>
      </c>
      <c r="L28" s="180">
        <f t="shared" si="10"/>
        <v>239.67008868223166</v>
      </c>
      <c r="M28" s="181">
        <f t="shared" si="10"/>
        <v>205.16171679500764</v>
      </c>
      <c r="N28" s="173">
        <f t="shared" si="11"/>
        <v>1.0991181647505923</v>
      </c>
      <c r="O28" s="174">
        <f t="shared" si="12"/>
        <v>1.1367741297897302</v>
      </c>
      <c r="P28" s="174">
        <f t="shared" si="13"/>
        <v>0.9</v>
      </c>
      <c r="Q28" s="175">
        <f t="shared" si="13"/>
        <v>0.9</v>
      </c>
      <c r="R28" s="173">
        <f t="shared" si="14"/>
        <v>1.0991181647505923</v>
      </c>
      <c r="S28" s="174">
        <f t="shared" si="15"/>
        <v>1.1367741297897302</v>
      </c>
      <c r="T28" s="174">
        <f t="shared" si="16"/>
        <v>0.9</v>
      </c>
      <c r="U28" s="175">
        <f t="shared" si="17"/>
        <v>0.9</v>
      </c>
      <c r="V28" s="167">
        <f t="shared" si="18"/>
        <v>159461.63774170488</v>
      </c>
      <c r="W28" s="168">
        <f t="shared" si="19"/>
        <v>6171505.6176169198</v>
      </c>
      <c r="X28" s="168">
        <f t="shared" si="20"/>
        <v>129421.84788840511</v>
      </c>
      <c r="Y28" s="169">
        <f t="shared" si="21"/>
        <v>6682876.2143655401</v>
      </c>
      <c r="Z28" s="194">
        <f t="shared" si="22"/>
        <v>169.64004015074988</v>
      </c>
      <c r="AA28" s="195">
        <f t="shared" si="23"/>
        <v>274.00904043053413</v>
      </c>
      <c r="AB28" s="195">
        <f t="shared" si="24"/>
        <v>215.70307981400853</v>
      </c>
      <c r="AC28" s="196">
        <f t="shared" si="25"/>
        <v>184.64554511550688</v>
      </c>
      <c r="AD28" s="188">
        <f t="shared" si="6"/>
        <v>9.9118164750592319E-2</v>
      </c>
      <c r="AE28" s="189">
        <f t="shared" si="7"/>
        <v>0.13677412978973047</v>
      </c>
      <c r="AF28" s="189">
        <f t="shared" si="8"/>
        <v>-9.9999999999999867E-2</v>
      </c>
      <c r="AG28" s="190">
        <f t="shared" si="9"/>
        <v>-9.9999999999999978E-2</v>
      </c>
    </row>
    <row r="29" spans="1:33">
      <c r="A29">
        <v>171</v>
      </c>
      <c r="B29" s="185">
        <f>VLOOKUP($A29,'Allocate OPROC cost'!$A:$AO,30,FALSE)</f>
        <v>963</v>
      </c>
      <c r="C29" s="186">
        <f>VLOOKUP($A29,'Allocate OPROC cost'!$A:$AO,31,FALSE)</f>
        <v>48931</v>
      </c>
      <c r="D29" s="186">
        <f>VLOOKUP($A29,'Allocate OPROC cost'!$A:$AO,32,FALSE)</f>
        <v>1794</v>
      </c>
      <c r="E29" s="187">
        <f>VLOOKUP($A29,'Allocate OPROC cost'!$A:$AO,33,FALSE)</f>
        <v>74228</v>
      </c>
      <c r="F29" s="185">
        <f>VLOOKUP($A29,'Allocate OPROC cost'!$A:$AO,34,FALSE)</f>
        <v>128677.96935126001</v>
      </c>
      <c r="G29" s="186">
        <f>VLOOKUP($A29,'Allocate OPROC cost'!$A:$AO,35,FALSE)</f>
        <v>7686140.4939922057</v>
      </c>
      <c r="H29" s="186">
        <f>VLOOKUP($A29,'Allocate OPROC cost'!$A:$AO,36,FALSE)</f>
        <v>233411.10225117599</v>
      </c>
      <c r="I29" s="187">
        <f>VLOOKUP($A29,'Allocate OPROC cost'!$A:$AO,37,FALSE)</f>
        <v>9472435.7543102428</v>
      </c>
      <c r="J29" s="179">
        <f t="shared" si="10"/>
        <v>133.6219827115888</v>
      </c>
      <c r="K29" s="180">
        <f t="shared" si="10"/>
        <v>157.08120606552504</v>
      </c>
      <c r="L29" s="180">
        <f t="shared" si="10"/>
        <v>130.10652299396656</v>
      </c>
      <c r="M29" s="181">
        <f t="shared" si="10"/>
        <v>127.61270348534573</v>
      </c>
      <c r="N29" s="173">
        <f t="shared" si="11"/>
        <v>1.1813916581276005</v>
      </c>
      <c r="O29" s="174">
        <f t="shared" si="12"/>
        <v>1.1232404711013841</v>
      </c>
      <c r="P29" s="174">
        <f t="shared" si="13"/>
        <v>0.9</v>
      </c>
      <c r="Q29" s="175">
        <f t="shared" si="13"/>
        <v>0.9</v>
      </c>
      <c r="R29" s="173">
        <f t="shared" si="14"/>
        <v>1.1813916581276005</v>
      </c>
      <c r="S29" s="174">
        <f t="shared" si="15"/>
        <v>1.1232404711013841</v>
      </c>
      <c r="T29" s="174">
        <f t="shared" si="16"/>
        <v>0.9</v>
      </c>
      <c r="U29" s="175">
        <f t="shared" si="17"/>
        <v>0.9</v>
      </c>
      <c r="V29" s="167">
        <f t="shared" si="18"/>
        <v>152019.07957637761</v>
      </c>
      <c r="W29" s="168">
        <f t="shared" si="19"/>
        <v>8633384.0694232304</v>
      </c>
      <c r="X29" s="168">
        <f t="shared" si="20"/>
        <v>210069.9920260584</v>
      </c>
      <c r="Y29" s="169">
        <f t="shared" si="21"/>
        <v>8525192.1788792182</v>
      </c>
      <c r="Z29" s="194">
        <f t="shared" si="22"/>
        <v>157.85989571794144</v>
      </c>
      <c r="AA29" s="195">
        <f t="shared" si="23"/>
        <v>176.43996790221394</v>
      </c>
      <c r="AB29" s="195">
        <f t="shared" si="24"/>
        <v>117.0958706945699</v>
      </c>
      <c r="AC29" s="196">
        <f t="shared" si="25"/>
        <v>114.85143313681115</v>
      </c>
      <c r="AD29" s="188">
        <f t="shared" si="6"/>
        <v>0.18139165812760027</v>
      </c>
      <c r="AE29" s="189">
        <f t="shared" si="7"/>
        <v>0.12324047110138414</v>
      </c>
      <c r="AF29" s="189">
        <f t="shared" si="8"/>
        <v>-0.10000000000000009</v>
      </c>
      <c r="AG29" s="190">
        <f t="shared" si="9"/>
        <v>-0.10000000000000009</v>
      </c>
    </row>
    <row r="30" spans="1:33">
      <c r="A30">
        <v>172</v>
      </c>
      <c r="B30" s="185">
        <f>VLOOKUP($A30,'Allocate OPROC cost'!$A:$AO,30,FALSE)</f>
        <v>1333</v>
      </c>
      <c r="C30" s="186">
        <f>VLOOKUP($A30,'Allocate OPROC cost'!$A:$AO,31,FALSE)</f>
        <v>15271</v>
      </c>
      <c r="D30" s="186">
        <f>VLOOKUP($A30,'Allocate OPROC cost'!$A:$AO,32,FALSE)</f>
        <v>2834</v>
      </c>
      <c r="E30" s="187">
        <f>VLOOKUP($A30,'Allocate OPROC cost'!$A:$AO,33,FALSE)</f>
        <v>27178</v>
      </c>
      <c r="F30" s="185">
        <f>VLOOKUP($A30,'Allocate OPROC cost'!$A:$AO,34,FALSE)</f>
        <v>146577.548299463</v>
      </c>
      <c r="G30" s="186">
        <f>VLOOKUP($A30,'Allocate OPROC cost'!$A:$AO,35,FALSE)</f>
        <v>4054803.6783226421</v>
      </c>
      <c r="H30" s="186">
        <f>VLOOKUP($A30,'Allocate OPROC cost'!$A:$AO,36,FALSE)</f>
        <v>420526.77059181599</v>
      </c>
      <c r="I30" s="187">
        <f>VLOOKUP($A30,'Allocate OPROC cost'!$A:$AO,37,FALSE)</f>
        <v>5900662.7296958482</v>
      </c>
      <c r="J30" s="179">
        <f t="shared" si="10"/>
        <v>109.96065138744412</v>
      </c>
      <c r="K30" s="180">
        <f t="shared" si="10"/>
        <v>265.52312738672271</v>
      </c>
      <c r="L30" s="180">
        <f t="shared" si="10"/>
        <v>148.38629872682287</v>
      </c>
      <c r="M30" s="181">
        <f t="shared" si="10"/>
        <v>217.11173484788608</v>
      </c>
      <c r="N30" s="173">
        <f t="shared" si="11"/>
        <v>1.2868971240620461</v>
      </c>
      <c r="O30" s="174">
        <f t="shared" si="12"/>
        <v>1.1455227724400405</v>
      </c>
      <c r="P30" s="174">
        <f t="shared" si="13"/>
        <v>0.9</v>
      </c>
      <c r="Q30" s="175">
        <f t="shared" si="13"/>
        <v>0.9</v>
      </c>
      <c r="R30" s="173">
        <f t="shared" si="14"/>
        <v>1.2868971240620461</v>
      </c>
      <c r="S30" s="174">
        <f t="shared" si="15"/>
        <v>1.1455227724400405</v>
      </c>
      <c r="T30" s="174">
        <f t="shared" si="16"/>
        <v>0.9</v>
      </c>
      <c r="U30" s="175">
        <f t="shared" si="17"/>
        <v>0.9</v>
      </c>
      <c r="V30" s="167">
        <f t="shared" si="18"/>
        <v>188630.22535864459</v>
      </c>
      <c r="W30" s="168">
        <f t="shared" si="19"/>
        <v>4644869.951292227</v>
      </c>
      <c r="X30" s="168">
        <f t="shared" si="20"/>
        <v>378474.09353263438</v>
      </c>
      <c r="Y30" s="169">
        <f t="shared" si="21"/>
        <v>5310596.4567262633</v>
      </c>
      <c r="Z30" s="194">
        <f t="shared" si="22"/>
        <v>141.50804603049107</v>
      </c>
      <c r="AA30" s="195">
        <f t="shared" si="23"/>
        <v>304.16278903098862</v>
      </c>
      <c r="AB30" s="195">
        <f t="shared" si="24"/>
        <v>133.54766885414057</v>
      </c>
      <c r="AC30" s="196">
        <f t="shared" si="25"/>
        <v>195.40056136309747</v>
      </c>
      <c r="AD30" s="188">
        <f t="shared" si="6"/>
        <v>0.28689712406204615</v>
      </c>
      <c r="AE30" s="189">
        <f t="shared" si="7"/>
        <v>0.14552277244004053</v>
      </c>
      <c r="AF30" s="189">
        <f t="shared" si="8"/>
        <v>-0.10000000000000009</v>
      </c>
      <c r="AG30" s="190">
        <f t="shared" si="9"/>
        <v>-0.10000000000000009</v>
      </c>
    </row>
    <row r="31" spans="1:33">
      <c r="A31">
        <v>173</v>
      </c>
      <c r="B31" s="185">
        <f>VLOOKUP($A31,'Allocate OPROC cost'!$A:$AO,30,FALSE)</f>
        <v>46</v>
      </c>
      <c r="C31" s="186">
        <f>VLOOKUP($A31,'Allocate OPROC cost'!$A:$AO,31,FALSE)</f>
        <v>9288</v>
      </c>
      <c r="D31" s="186">
        <f>VLOOKUP($A31,'Allocate OPROC cost'!$A:$AO,32,FALSE)</f>
        <v>236</v>
      </c>
      <c r="E31" s="187">
        <f>VLOOKUP($A31,'Allocate OPROC cost'!$A:$AO,33,FALSE)</f>
        <v>22189</v>
      </c>
      <c r="F31" s="185">
        <f>VLOOKUP($A31,'Allocate OPROC cost'!$A:$AO,34,FALSE)</f>
        <v>9670.9413392319093</v>
      </c>
      <c r="G31" s="186">
        <f>VLOOKUP($A31,'Allocate OPROC cost'!$A:$AO,35,FALSE)</f>
        <v>2244679.5768748876</v>
      </c>
      <c r="H31" s="186">
        <f>VLOOKUP($A31,'Allocate OPROC cost'!$A:$AO,36,FALSE)</f>
        <v>29083.772732122201</v>
      </c>
      <c r="I31" s="187">
        <f>VLOOKUP($A31,'Allocate OPROC cost'!$A:$AO,37,FALSE)</f>
        <v>4368707.7998104021</v>
      </c>
      <c r="J31" s="179">
        <f t="shared" si="10"/>
        <v>210.23785520069367</v>
      </c>
      <c r="K31" s="180">
        <f t="shared" si="10"/>
        <v>241.67523437498789</v>
      </c>
      <c r="L31" s="180">
        <f t="shared" si="10"/>
        <v>123.23632513611102</v>
      </c>
      <c r="M31" s="181">
        <f t="shared" si="10"/>
        <v>196.88619585427023</v>
      </c>
      <c r="N31" s="173">
        <f t="shared" si="11"/>
        <v>1.3007336278024835</v>
      </c>
      <c r="O31" s="174">
        <f t="shared" si="12"/>
        <v>1.1946250077212648</v>
      </c>
      <c r="P31" s="174">
        <f t="shared" si="13"/>
        <v>0.9</v>
      </c>
      <c r="Q31" s="175">
        <f t="shared" si="13"/>
        <v>0.9</v>
      </c>
      <c r="R31" s="173">
        <f t="shared" si="14"/>
        <v>1.3007336278024835</v>
      </c>
      <c r="S31" s="174">
        <f t="shared" si="15"/>
        <v>1.1946250077212648</v>
      </c>
      <c r="T31" s="174">
        <f t="shared" si="16"/>
        <v>0.9</v>
      </c>
      <c r="U31" s="175">
        <f t="shared" si="17"/>
        <v>0.9</v>
      </c>
      <c r="V31" s="167">
        <f t="shared" si="18"/>
        <v>12579.318612444129</v>
      </c>
      <c r="W31" s="168">
        <f t="shared" si="19"/>
        <v>2681550.356855928</v>
      </c>
      <c r="X31" s="168">
        <f t="shared" si="20"/>
        <v>26175.395458909981</v>
      </c>
      <c r="Y31" s="169">
        <f t="shared" si="21"/>
        <v>3931837.0198293622</v>
      </c>
      <c r="Z31" s="194">
        <f t="shared" si="22"/>
        <v>273.4634480966115</v>
      </c>
      <c r="AA31" s="195">
        <f t="shared" si="23"/>
        <v>288.7112787312584</v>
      </c>
      <c r="AB31" s="195">
        <f t="shared" si="24"/>
        <v>110.91269262249992</v>
      </c>
      <c r="AC31" s="196">
        <f t="shared" si="25"/>
        <v>177.19757626884322</v>
      </c>
      <c r="AD31" s="188">
        <f t="shared" si="6"/>
        <v>0.30073362780248347</v>
      </c>
      <c r="AE31" s="189">
        <f t="shared" si="7"/>
        <v>0.19462500772126479</v>
      </c>
      <c r="AF31" s="189">
        <f t="shared" si="8"/>
        <v>-9.9999999999999978E-2</v>
      </c>
      <c r="AG31" s="190">
        <f t="shared" si="9"/>
        <v>-9.9999999999999867E-2</v>
      </c>
    </row>
    <row r="32" spans="1:33">
      <c r="A32">
        <v>174</v>
      </c>
      <c r="B32" s="185">
        <f>VLOOKUP($A32,'Allocate OPROC cost'!$A:$AO,30,FALSE)</f>
        <v>0</v>
      </c>
      <c r="C32" s="186">
        <f>VLOOKUP($A32,'Allocate OPROC cost'!$A:$AO,31,FALSE)</f>
        <v>185</v>
      </c>
      <c r="D32" s="186">
        <f>VLOOKUP($A32,'Allocate OPROC cost'!$A:$AO,32,FALSE)</f>
        <v>2803</v>
      </c>
      <c r="E32" s="187">
        <f>VLOOKUP($A32,'Allocate OPROC cost'!$A:$AO,33,FALSE)</f>
        <v>5844</v>
      </c>
      <c r="F32" s="185">
        <f>VLOOKUP($A32,'Allocate OPROC cost'!$A:$AO,34,FALSE)</f>
        <v>0</v>
      </c>
      <c r="G32" s="186">
        <f>VLOOKUP($A32,'Allocate OPROC cost'!$A:$AO,35,FALSE)</f>
        <v>69712.545453045997</v>
      </c>
      <c r="H32" s="186">
        <f>VLOOKUP($A32,'Allocate OPROC cost'!$A:$AO,36,FALSE)</f>
        <v>655821.40706050198</v>
      </c>
      <c r="I32" s="187">
        <f>VLOOKUP($A32,'Allocate OPROC cost'!$A:$AO,37,FALSE)</f>
        <v>1298690.9332804999</v>
      </c>
      <c r="J32" s="179">
        <f t="shared" si="10"/>
        <v>0</v>
      </c>
      <c r="K32" s="180">
        <f t="shared" si="10"/>
        <v>376.82457001646486</v>
      </c>
      <c r="L32" s="180">
        <f t="shared" si="10"/>
        <v>233.97124761345057</v>
      </c>
      <c r="M32" s="181">
        <f t="shared" si="10"/>
        <v>222.22637462020873</v>
      </c>
      <c r="N32" s="173">
        <f t="shared" si="11"/>
        <v>1</v>
      </c>
      <c r="O32" s="174">
        <f t="shared" si="12"/>
        <v>2.8629228424247062</v>
      </c>
      <c r="P32" s="174">
        <f t="shared" si="13"/>
        <v>0.9</v>
      </c>
      <c r="Q32" s="175">
        <f t="shared" si="13"/>
        <v>0.9</v>
      </c>
      <c r="R32" s="173">
        <f t="shared" si="14"/>
        <v>1</v>
      </c>
      <c r="S32" s="174">
        <f t="shared" si="15"/>
        <v>1.5</v>
      </c>
      <c r="T32" s="174">
        <f t="shared" si="16"/>
        <v>0.9</v>
      </c>
      <c r="U32" s="175">
        <f t="shared" si="17"/>
        <v>0.9</v>
      </c>
      <c r="V32" s="167">
        <f t="shared" si="18"/>
        <v>0</v>
      </c>
      <c r="W32" s="168">
        <f t="shared" si="19"/>
        <v>104568.818179569</v>
      </c>
      <c r="X32" s="168">
        <f t="shared" si="20"/>
        <v>590239.26635445177</v>
      </c>
      <c r="Y32" s="169">
        <f t="shared" si="21"/>
        <v>1168821.83995245</v>
      </c>
      <c r="Z32" s="194">
        <f t="shared" si="22"/>
        <v>0</v>
      </c>
      <c r="AA32" s="195">
        <f t="shared" si="23"/>
        <v>565.23685502469732</v>
      </c>
      <c r="AB32" s="195">
        <f t="shared" si="24"/>
        <v>210.57412285210552</v>
      </c>
      <c r="AC32" s="196">
        <f t="shared" si="25"/>
        <v>200.00373715818787</v>
      </c>
      <c r="AD32" s="188">
        <f t="shared" si="6"/>
        <v>0</v>
      </c>
      <c r="AE32" s="189">
        <f t="shared" si="7"/>
        <v>0.5</v>
      </c>
      <c r="AF32" s="189">
        <f t="shared" si="8"/>
        <v>-9.9999999999999978E-2</v>
      </c>
      <c r="AG32" s="190">
        <f t="shared" si="9"/>
        <v>-9.9999999999999978E-2</v>
      </c>
    </row>
    <row r="33" spans="1:33">
      <c r="A33">
        <v>180</v>
      </c>
      <c r="B33" s="185">
        <f>VLOOKUP($A33,'Allocate OPROC cost'!$A:$AO,30,FALSE)</f>
        <v>93</v>
      </c>
      <c r="C33" s="186">
        <f>VLOOKUP($A33,'Allocate OPROC cost'!$A:$AO,31,FALSE)</f>
        <v>151442</v>
      </c>
      <c r="D33" s="186">
        <f>VLOOKUP($A33,'Allocate OPROC cost'!$A:$AO,32,FALSE)</f>
        <v>28</v>
      </c>
      <c r="E33" s="187">
        <f>VLOOKUP($A33,'Allocate OPROC cost'!$A:$AO,33,FALSE)</f>
        <v>54306</v>
      </c>
      <c r="F33" s="185">
        <f>VLOOKUP($A33,'Allocate OPROC cost'!$A:$AO,34,FALSE)</f>
        <v>17420.167719329798</v>
      </c>
      <c r="G33" s="186">
        <f>VLOOKUP($A33,'Allocate OPROC cost'!$A:$AO,35,FALSE)</f>
        <v>17496688.769548114</v>
      </c>
      <c r="H33" s="186">
        <f>VLOOKUP($A33,'Allocate OPROC cost'!$A:$AO,36,FALSE)</f>
        <v>7476.5588795099102</v>
      </c>
      <c r="I33" s="187">
        <f>VLOOKUP($A33,'Allocate OPROC cost'!$A:$AO,37,FALSE)</f>
        <v>6153158.0641882289</v>
      </c>
      <c r="J33" s="179">
        <f t="shared" si="10"/>
        <v>187.313631390643</v>
      </c>
      <c r="K33" s="180">
        <f t="shared" si="10"/>
        <v>115.5339256583254</v>
      </c>
      <c r="L33" s="180">
        <f t="shared" si="10"/>
        <v>267.0199599824968</v>
      </c>
      <c r="M33" s="181">
        <f t="shared" si="10"/>
        <v>113.30530814621274</v>
      </c>
      <c r="N33" s="173">
        <f t="shared" si="11"/>
        <v>1.0429189833299581</v>
      </c>
      <c r="O33" s="174">
        <f t="shared" si="12"/>
        <v>1.035167557388901</v>
      </c>
      <c r="P33" s="174">
        <f t="shared" si="13"/>
        <v>0.9</v>
      </c>
      <c r="Q33" s="175">
        <f t="shared" si="13"/>
        <v>0.9</v>
      </c>
      <c r="R33" s="173">
        <f t="shared" si="14"/>
        <v>1.0429189833299581</v>
      </c>
      <c r="S33" s="174">
        <f t="shared" si="15"/>
        <v>1.035167557388901</v>
      </c>
      <c r="T33" s="174">
        <f t="shared" si="16"/>
        <v>0.9</v>
      </c>
      <c r="U33" s="175">
        <f t="shared" si="17"/>
        <v>0.9</v>
      </c>
      <c r="V33" s="167">
        <f t="shared" si="18"/>
        <v>18167.823607280789</v>
      </c>
      <c r="W33" s="168">
        <f t="shared" si="19"/>
        <v>18112004.575966936</v>
      </c>
      <c r="X33" s="168">
        <f t="shared" si="20"/>
        <v>6728.902991558919</v>
      </c>
      <c r="Y33" s="169">
        <f t="shared" si="21"/>
        <v>5537842.2577694058</v>
      </c>
      <c r="Z33" s="194">
        <f t="shared" si="22"/>
        <v>195.35294201377192</v>
      </c>
      <c r="AA33" s="195">
        <f t="shared" si="23"/>
        <v>119.59697161927956</v>
      </c>
      <c r="AB33" s="195">
        <f t="shared" si="24"/>
        <v>240.31796398424711</v>
      </c>
      <c r="AC33" s="196">
        <f t="shared" si="25"/>
        <v>101.97477733159145</v>
      </c>
      <c r="AD33" s="188">
        <f t="shared" si="6"/>
        <v>4.2918983329958138E-2</v>
      </c>
      <c r="AE33" s="189">
        <f t="shared" si="7"/>
        <v>3.5167557388900761E-2</v>
      </c>
      <c r="AF33" s="189">
        <f t="shared" si="8"/>
        <v>-9.9999999999999978E-2</v>
      </c>
      <c r="AG33" s="190">
        <f t="shared" si="9"/>
        <v>-0.10000000000000009</v>
      </c>
    </row>
    <row r="34" spans="1:33">
      <c r="A34">
        <v>190</v>
      </c>
      <c r="B34" s="185">
        <f>VLOOKUP($A34,'Allocate OPROC cost'!$A:$AO,30,FALSE)</f>
        <v>5</v>
      </c>
      <c r="C34" s="186">
        <f>VLOOKUP($A34,'Allocate OPROC cost'!$A:$AO,31,FALSE)</f>
        <v>62104</v>
      </c>
      <c r="D34" s="186">
        <f>VLOOKUP($A34,'Allocate OPROC cost'!$A:$AO,32,FALSE)</f>
        <v>1106</v>
      </c>
      <c r="E34" s="187">
        <f>VLOOKUP($A34,'Allocate OPROC cost'!$A:$AO,33,FALSE)</f>
        <v>143093</v>
      </c>
      <c r="F34" s="185">
        <f>VLOOKUP($A34,'Allocate OPROC cost'!$A:$AO,34,FALSE)</f>
        <v>1388.3314759922901</v>
      </c>
      <c r="G34" s="186">
        <f>VLOOKUP($A34,'Allocate OPROC cost'!$A:$AO,35,FALSE)</f>
        <v>5098078.3579044584</v>
      </c>
      <c r="H34" s="186">
        <f>VLOOKUP($A34,'Allocate OPROC cost'!$A:$AO,36,FALSE)</f>
        <v>105765.21490812</v>
      </c>
      <c r="I34" s="187">
        <f>VLOOKUP($A34,'Allocate OPROC cost'!$A:$AO,37,FALSE)</f>
        <v>10038764.556004455</v>
      </c>
      <c r="J34" s="179">
        <f t="shared" si="10"/>
        <v>277.66629519845799</v>
      </c>
      <c r="K34" s="180">
        <f t="shared" si="10"/>
        <v>82.089371987383402</v>
      </c>
      <c r="L34" s="180">
        <f t="shared" si="10"/>
        <v>95.628584907884274</v>
      </c>
      <c r="M34" s="181">
        <f t="shared" si="10"/>
        <v>70.155525120057973</v>
      </c>
      <c r="N34" s="173">
        <f t="shared" si="11"/>
        <v>8.61815292219935</v>
      </c>
      <c r="O34" s="174">
        <f t="shared" si="12"/>
        <v>1.1969127159538373</v>
      </c>
      <c r="P34" s="174">
        <f t="shared" si="13"/>
        <v>0.9</v>
      </c>
      <c r="Q34" s="175">
        <f t="shared" si="13"/>
        <v>0.9</v>
      </c>
      <c r="R34" s="173">
        <f t="shared" si="14"/>
        <v>1.5</v>
      </c>
      <c r="S34" s="174">
        <f t="shared" si="15"/>
        <v>1.1969127159538373</v>
      </c>
      <c r="T34" s="174">
        <f t="shared" si="16"/>
        <v>0.9</v>
      </c>
      <c r="U34" s="175">
        <f t="shared" si="17"/>
        <v>0.9</v>
      </c>
      <c r="V34" s="167">
        <f t="shared" si="18"/>
        <v>2082.4972139884349</v>
      </c>
      <c r="W34" s="168">
        <f t="shared" si="19"/>
        <v>6101954.8135049045</v>
      </c>
      <c r="X34" s="168">
        <f t="shared" si="20"/>
        <v>95188.693417308008</v>
      </c>
      <c r="Y34" s="169">
        <f t="shared" si="21"/>
        <v>9034888.1004040092</v>
      </c>
      <c r="Z34" s="194">
        <f t="shared" si="22"/>
        <v>416.49944279768698</v>
      </c>
      <c r="AA34" s="195">
        <f t="shared" si="23"/>
        <v>98.25381317636392</v>
      </c>
      <c r="AB34" s="195">
        <f t="shared" si="24"/>
        <v>86.065726417095846</v>
      </c>
      <c r="AC34" s="196">
        <f t="shared" si="25"/>
        <v>63.139972608052169</v>
      </c>
      <c r="AD34" s="188">
        <f t="shared" si="6"/>
        <v>0.5</v>
      </c>
      <c r="AE34" s="189">
        <f t="shared" si="7"/>
        <v>0.1969127159538373</v>
      </c>
      <c r="AF34" s="189">
        <f t="shared" si="8"/>
        <v>-9.9999999999999978E-2</v>
      </c>
      <c r="AG34" s="190">
        <f t="shared" si="9"/>
        <v>-0.10000000000000009</v>
      </c>
    </row>
    <row r="35" spans="1:33">
      <c r="A35">
        <v>191</v>
      </c>
      <c r="B35" s="185">
        <f>VLOOKUP($A35,'Allocate OPROC cost'!$A:$AO,30,FALSE)</f>
        <v>4891</v>
      </c>
      <c r="C35" s="186">
        <f>VLOOKUP($A35,'Allocate OPROC cost'!$A:$AO,31,FALSE)</f>
        <v>166438</v>
      </c>
      <c r="D35" s="186">
        <f>VLOOKUP($A35,'Allocate OPROC cost'!$A:$AO,32,FALSE)</f>
        <v>7864</v>
      </c>
      <c r="E35" s="187">
        <f>VLOOKUP($A35,'Allocate OPROC cost'!$A:$AO,33,FALSE)</f>
        <v>310124</v>
      </c>
      <c r="F35" s="185">
        <f>VLOOKUP($A35,'Allocate OPROC cost'!$A:$AO,34,FALSE)</f>
        <v>662020.59616155596</v>
      </c>
      <c r="G35" s="186">
        <f>VLOOKUP($A35,'Allocate OPROC cost'!$A:$AO,35,FALSE)</f>
        <v>25240447.646347269</v>
      </c>
      <c r="H35" s="186">
        <f>VLOOKUP($A35,'Allocate OPROC cost'!$A:$AO,36,FALSE)</f>
        <v>720747.65138732898</v>
      </c>
      <c r="I35" s="187">
        <f>VLOOKUP($A35,'Allocate OPROC cost'!$A:$AO,37,FALSE)</f>
        <v>33198186.418452047</v>
      </c>
      <c r="J35" s="179">
        <f t="shared" si="10"/>
        <v>135.35485507290042</v>
      </c>
      <c r="K35" s="180">
        <f t="shared" si="10"/>
        <v>151.65075070805506</v>
      </c>
      <c r="L35" s="180">
        <f t="shared" si="10"/>
        <v>91.651532475499621</v>
      </c>
      <c r="M35" s="181">
        <f t="shared" si="10"/>
        <v>107.04810468861503</v>
      </c>
      <c r="N35" s="173">
        <f t="shared" si="11"/>
        <v>1.1088708803874496</v>
      </c>
      <c r="O35" s="174">
        <f t="shared" si="12"/>
        <v>1.1315277244033206</v>
      </c>
      <c r="P35" s="174">
        <f t="shared" si="13"/>
        <v>0.9</v>
      </c>
      <c r="Q35" s="175">
        <f t="shared" si="13"/>
        <v>0.9</v>
      </c>
      <c r="R35" s="173">
        <f t="shared" si="14"/>
        <v>1.1088708803874496</v>
      </c>
      <c r="S35" s="174">
        <f t="shared" si="15"/>
        <v>1.1315277244033206</v>
      </c>
      <c r="T35" s="174">
        <f t="shared" si="16"/>
        <v>0.9</v>
      </c>
      <c r="U35" s="175">
        <f t="shared" si="17"/>
        <v>0.9</v>
      </c>
      <c r="V35" s="167">
        <f t="shared" si="18"/>
        <v>734095.36130028882</v>
      </c>
      <c r="W35" s="168">
        <f t="shared" si="19"/>
        <v>28560266.288192477</v>
      </c>
      <c r="X35" s="168">
        <f t="shared" si="20"/>
        <v>648672.88624859613</v>
      </c>
      <c r="Y35" s="169">
        <f t="shared" si="21"/>
        <v>29878367.776606843</v>
      </c>
      <c r="Z35" s="194">
        <f t="shared" si="22"/>
        <v>150.09105730940274</v>
      </c>
      <c r="AA35" s="195">
        <f t="shared" si="23"/>
        <v>171.59702885274083</v>
      </c>
      <c r="AB35" s="195">
        <f t="shared" si="24"/>
        <v>82.486379227949655</v>
      </c>
      <c r="AC35" s="196">
        <f t="shared" si="25"/>
        <v>96.343294219753531</v>
      </c>
      <c r="AD35" s="188">
        <f t="shared" si="6"/>
        <v>0.10887088038744963</v>
      </c>
      <c r="AE35" s="189">
        <f t="shared" si="7"/>
        <v>0.13152772440332083</v>
      </c>
      <c r="AF35" s="189">
        <f t="shared" si="8"/>
        <v>-0.10000000000000009</v>
      </c>
      <c r="AG35" s="190">
        <f t="shared" si="9"/>
        <v>-9.9999999999999978E-2</v>
      </c>
    </row>
    <row r="36" spans="1:33">
      <c r="A36">
        <v>192</v>
      </c>
      <c r="B36" s="185">
        <f>VLOOKUP($A36,'Allocate OPROC cost'!$A:$AO,30,FALSE)</f>
        <v>0</v>
      </c>
      <c r="C36" s="186">
        <f>VLOOKUP($A36,'Allocate OPROC cost'!$A:$AO,31,FALSE)</f>
        <v>276</v>
      </c>
      <c r="D36" s="186">
        <f>VLOOKUP($A36,'Allocate OPROC cost'!$A:$AO,32,FALSE)</f>
        <v>0</v>
      </c>
      <c r="E36" s="187">
        <f>VLOOKUP($A36,'Allocate OPROC cost'!$A:$AO,33,FALSE)</f>
        <v>839</v>
      </c>
      <c r="F36" s="185">
        <f>VLOOKUP($A36,'Allocate OPROC cost'!$A:$AO,34,FALSE)</f>
        <v>0</v>
      </c>
      <c r="G36" s="186">
        <f>VLOOKUP($A36,'Allocate OPROC cost'!$A:$AO,35,FALSE)</f>
        <v>96704.642184486496</v>
      </c>
      <c r="H36" s="186">
        <f>VLOOKUP($A36,'Allocate OPROC cost'!$A:$AO,36,FALSE)</f>
        <v>0</v>
      </c>
      <c r="I36" s="187">
        <f>VLOOKUP($A36,'Allocate OPROC cost'!$A:$AO,37,FALSE)</f>
        <v>169191.34104057599</v>
      </c>
      <c r="J36" s="179">
        <f t="shared" si="10"/>
        <v>0</v>
      </c>
      <c r="K36" s="180">
        <f t="shared" si="10"/>
        <v>350.37913834958874</v>
      </c>
      <c r="L36" s="180">
        <f t="shared" si="10"/>
        <v>0</v>
      </c>
      <c r="M36" s="181">
        <f t="shared" si="10"/>
        <v>201.65833258709893</v>
      </c>
      <c r="N36" s="173">
        <f t="shared" si="11"/>
        <v>1</v>
      </c>
      <c r="O36" s="174">
        <f t="shared" si="12"/>
        <v>1.1749567934058474</v>
      </c>
      <c r="P36" s="174">
        <f t="shared" si="13"/>
        <v>0.9</v>
      </c>
      <c r="Q36" s="175">
        <f t="shared" si="13"/>
        <v>0.9</v>
      </c>
      <c r="R36" s="173">
        <f t="shared" si="14"/>
        <v>1</v>
      </c>
      <c r="S36" s="174">
        <f t="shared" si="15"/>
        <v>1.1749567934058474</v>
      </c>
      <c r="T36" s="174">
        <f t="shared" si="16"/>
        <v>0.9</v>
      </c>
      <c r="U36" s="175">
        <f t="shared" si="17"/>
        <v>0.9</v>
      </c>
      <c r="V36" s="167">
        <f t="shared" si="18"/>
        <v>0</v>
      </c>
      <c r="W36" s="168">
        <f t="shared" si="19"/>
        <v>113623.77628854409</v>
      </c>
      <c r="X36" s="168">
        <f t="shared" si="20"/>
        <v>0</v>
      </c>
      <c r="Y36" s="169">
        <f t="shared" si="21"/>
        <v>152272.2069365184</v>
      </c>
      <c r="Z36" s="194">
        <f t="shared" si="22"/>
        <v>0</v>
      </c>
      <c r="AA36" s="195">
        <f t="shared" si="23"/>
        <v>411.68034887153658</v>
      </c>
      <c r="AB36" s="195">
        <f t="shared" si="24"/>
        <v>0</v>
      </c>
      <c r="AC36" s="196">
        <f t="shared" si="25"/>
        <v>181.49249932838904</v>
      </c>
      <c r="AD36" s="188">
        <f t="shared" si="6"/>
        <v>0</v>
      </c>
      <c r="AE36" s="189">
        <f t="shared" si="7"/>
        <v>0.17495679340584736</v>
      </c>
      <c r="AF36" s="189">
        <f t="shared" si="8"/>
        <v>0</v>
      </c>
      <c r="AG36" s="190">
        <f t="shared" si="9"/>
        <v>-9.9999999999999978E-2</v>
      </c>
    </row>
    <row r="37" spans="1:33">
      <c r="A37">
        <v>211</v>
      </c>
      <c r="B37" s="185">
        <f>VLOOKUP($A37,'Allocate OPROC cost'!$A:$AO,30,FALSE)</f>
        <v>340</v>
      </c>
      <c r="C37" s="186">
        <f>VLOOKUP($A37,'Allocate OPROC cost'!$A:$AO,31,FALSE)</f>
        <v>12043</v>
      </c>
      <c r="D37" s="186">
        <f>VLOOKUP($A37,'Allocate OPROC cost'!$A:$AO,32,FALSE)</f>
        <v>861</v>
      </c>
      <c r="E37" s="187">
        <f>VLOOKUP($A37,'Allocate OPROC cost'!$A:$AO,33,FALSE)</f>
        <v>23490</v>
      </c>
      <c r="F37" s="185">
        <f>VLOOKUP($A37,'Allocate OPROC cost'!$A:$AO,34,FALSE)</f>
        <v>86731.279687968796</v>
      </c>
      <c r="G37" s="186">
        <f>VLOOKUP($A37,'Allocate OPROC cost'!$A:$AO,35,FALSE)</f>
        <v>1775678.6043724625</v>
      </c>
      <c r="H37" s="186">
        <f>VLOOKUP($A37,'Allocate OPROC cost'!$A:$AO,36,FALSE)</f>
        <v>206128.49436163399</v>
      </c>
      <c r="I37" s="187">
        <f>VLOOKUP($A37,'Allocate OPROC cost'!$A:$AO,37,FALSE)</f>
        <v>3901910.9135836656</v>
      </c>
      <c r="J37" s="179">
        <f t="shared" si="10"/>
        <v>255.09199908226117</v>
      </c>
      <c r="K37" s="180">
        <f t="shared" si="10"/>
        <v>147.44487290313563</v>
      </c>
      <c r="L37" s="180">
        <f t="shared" si="10"/>
        <v>239.40591679632286</v>
      </c>
      <c r="M37" s="181">
        <f t="shared" si="10"/>
        <v>166.1094471512842</v>
      </c>
      <c r="N37" s="173">
        <f t="shared" si="11"/>
        <v>1.2376633840792133</v>
      </c>
      <c r="O37" s="174">
        <f t="shared" si="12"/>
        <v>1.219741956904562</v>
      </c>
      <c r="P37" s="174">
        <f t="shared" si="13"/>
        <v>0.9</v>
      </c>
      <c r="Q37" s="175">
        <f t="shared" si="13"/>
        <v>0.9</v>
      </c>
      <c r="R37" s="173">
        <f t="shared" si="14"/>
        <v>1.2376633840792133</v>
      </c>
      <c r="S37" s="174">
        <f t="shared" si="15"/>
        <v>1.219741956904562</v>
      </c>
      <c r="T37" s="174">
        <f t="shared" si="16"/>
        <v>0.9</v>
      </c>
      <c r="U37" s="175">
        <f t="shared" si="17"/>
        <v>0.9</v>
      </c>
      <c r="V37" s="167">
        <f t="shared" si="18"/>
        <v>107344.12912413219</v>
      </c>
      <c r="W37" s="168">
        <f t="shared" si="19"/>
        <v>2165869.6957308291</v>
      </c>
      <c r="X37" s="168">
        <f t="shared" si="20"/>
        <v>185515.64492547058</v>
      </c>
      <c r="Y37" s="169">
        <f t="shared" si="21"/>
        <v>3511719.8222252992</v>
      </c>
      <c r="Z37" s="194">
        <f t="shared" si="22"/>
        <v>315.71802683568291</v>
      </c>
      <c r="AA37" s="195">
        <f t="shared" si="23"/>
        <v>179.84469781041511</v>
      </c>
      <c r="AB37" s="195">
        <f t="shared" si="24"/>
        <v>215.46532511669056</v>
      </c>
      <c r="AC37" s="196">
        <f t="shared" si="25"/>
        <v>149.49850243615577</v>
      </c>
      <c r="AD37" s="188">
        <f t="shared" si="6"/>
        <v>0.23766338407921328</v>
      </c>
      <c r="AE37" s="189">
        <f t="shared" si="7"/>
        <v>0.21974195690456222</v>
      </c>
      <c r="AF37" s="189">
        <f t="shared" si="8"/>
        <v>-9.9999999999999978E-2</v>
      </c>
      <c r="AG37" s="190">
        <f t="shared" si="9"/>
        <v>-0.10000000000000009</v>
      </c>
    </row>
    <row r="38" spans="1:33">
      <c r="A38">
        <v>212</v>
      </c>
      <c r="B38" s="185">
        <f>VLOOKUP($A38,'Allocate OPROC cost'!$A:$AO,30,FALSE)</f>
        <v>13</v>
      </c>
      <c r="C38" s="186">
        <f>VLOOKUP($A38,'Allocate OPROC cost'!$A:$AO,31,FALSE)</f>
        <v>83</v>
      </c>
      <c r="D38" s="186">
        <f>VLOOKUP($A38,'Allocate OPROC cost'!$A:$AO,32,FALSE)</f>
        <v>198</v>
      </c>
      <c r="E38" s="187">
        <f>VLOOKUP($A38,'Allocate OPROC cost'!$A:$AO,33,FALSE)</f>
        <v>1007</v>
      </c>
      <c r="F38" s="185">
        <f>VLOOKUP($A38,'Allocate OPROC cost'!$A:$AO,34,FALSE)</f>
        <v>3300.4352067679001</v>
      </c>
      <c r="G38" s="186">
        <f>VLOOKUP($A38,'Allocate OPROC cost'!$A:$AO,35,FALSE)</f>
        <v>27500.394161993801</v>
      </c>
      <c r="H38" s="186">
        <f>VLOOKUP($A38,'Allocate OPROC cost'!$A:$AO,36,FALSE)</f>
        <v>46345.894016728002</v>
      </c>
      <c r="I38" s="187">
        <f>VLOOKUP($A38,'Allocate OPROC cost'!$A:$AO,37,FALSE)</f>
        <v>390773.210629048</v>
      </c>
      <c r="J38" s="179">
        <f t="shared" si="10"/>
        <v>253.87963128983847</v>
      </c>
      <c r="K38" s="180">
        <f t="shared" si="10"/>
        <v>331.33005014450362</v>
      </c>
      <c r="L38" s="180">
        <f t="shared" si="10"/>
        <v>234.07017180165658</v>
      </c>
      <c r="M38" s="181">
        <f t="shared" si="10"/>
        <v>388.05681293847863</v>
      </c>
      <c r="N38" s="173">
        <f t="shared" si="11"/>
        <v>2.4042358390096776</v>
      </c>
      <c r="O38" s="174">
        <f t="shared" si="12"/>
        <v>2.4209731261565186</v>
      </c>
      <c r="P38" s="174">
        <f t="shared" si="13"/>
        <v>0.9</v>
      </c>
      <c r="Q38" s="175">
        <f t="shared" si="13"/>
        <v>0.9</v>
      </c>
      <c r="R38" s="173">
        <f t="shared" si="14"/>
        <v>1.5</v>
      </c>
      <c r="S38" s="174">
        <f t="shared" si="15"/>
        <v>1.5</v>
      </c>
      <c r="T38" s="174">
        <f t="shared" si="16"/>
        <v>0.9</v>
      </c>
      <c r="U38" s="175">
        <f t="shared" si="17"/>
        <v>0.9</v>
      </c>
      <c r="V38" s="167">
        <f t="shared" si="18"/>
        <v>4950.6528101518506</v>
      </c>
      <c r="W38" s="168">
        <f t="shared" si="19"/>
        <v>41250.591242990704</v>
      </c>
      <c r="X38" s="168">
        <f t="shared" si="20"/>
        <v>41711.304615055204</v>
      </c>
      <c r="Y38" s="169">
        <f t="shared" si="21"/>
        <v>351695.88956614322</v>
      </c>
      <c r="Z38" s="194">
        <f t="shared" si="22"/>
        <v>380.81944693475776</v>
      </c>
      <c r="AA38" s="195">
        <f t="shared" si="23"/>
        <v>496.99507521675548</v>
      </c>
      <c r="AB38" s="195">
        <f t="shared" si="24"/>
        <v>210.66315462149092</v>
      </c>
      <c r="AC38" s="196">
        <f t="shared" si="25"/>
        <v>349.25113164463079</v>
      </c>
      <c r="AD38" s="188">
        <f t="shared" si="6"/>
        <v>0.50000000000000022</v>
      </c>
      <c r="AE38" s="189">
        <f t="shared" si="7"/>
        <v>0.50000000000000022</v>
      </c>
      <c r="AF38" s="189">
        <f t="shared" si="8"/>
        <v>-0.10000000000000009</v>
      </c>
      <c r="AG38" s="190">
        <f t="shared" si="9"/>
        <v>-9.9999999999999978E-2</v>
      </c>
    </row>
    <row r="39" spans="1:33">
      <c r="A39">
        <v>213</v>
      </c>
      <c r="B39" s="185">
        <f>VLOOKUP($A39,'Allocate OPROC cost'!$A:$AO,30,FALSE)</f>
        <v>0</v>
      </c>
      <c r="C39" s="186">
        <f>VLOOKUP($A39,'Allocate OPROC cost'!$A:$AO,31,FALSE)</f>
        <v>24</v>
      </c>
      <c r="D39" s="186">
        <f>VLOOKUP($A39,'Allocate OPROC cost'!$A:$AO,32,FALSE)</f>
        <v>23</v>
      </c>
      <c r="E39" s="187">
        <f>VLOOKUP($A39,'Allocate OPROC cost'!$A:$AO,33,FALSE)</f>
        <v>23</v>
      </c>
      <c r="F39" s="185">
        <f>VLOOKUP($A39,'Allocate OPROC cost'!$A:$AO,34,FALSE)</f>
        <v>0</v>
      </c>
      <c r="G39" s="186">
        <f>VLOOKUP($A39,'Allocate OPROC cost'!$A:$AO,35,FALSE)</f>
        <v>2019.931999949712</v>
      </c>
      <c r="H39" s="186">
        <f>VLOOKUP($A39,'Allocate OPROC cost'!$A:$AO,36,FALSE)</f>
        <v>2342.3468278001601</v>
      </c>
      <c r="I39" s="187">
        <f>VLOOKUP($A39,'Allocate OPROC cost'!$A:$AO,37,FALSE)</f>
        <v>1854.5484349227088</v>
      </c>
      <c r="J39" s="179">
        <f t="shared" si="10"/>
        <v>0</v>
      </c>
      <c r="K39" s="180">
        <f t="shared" si="10"/>
        <v>84.163833331237996</v>
      </c>
      <c r="L39" s="180">
        <f t="shared" si="10"/>
        <v>101.84116642609392</v>
      </c>
      <c r="M39" s="181">
        <f t="shared" si="10"/>
        <v>80.632540648813432</v>
      </c>
      <c r="N39" s="173">
        <f t="shared" si="11"/>
        <v>1</v>
      </c>
      <c r="O39" s="174">
        <f t="shared" si="12"/>
        <v>1.0918124191789069</v>
      </c>
      <c r="P39" s="174">
        <f t="shared" si="13"/>
        <v>0.9</v>
      </c>
      <c r="Q39" s="175">
        <f t="shared" si="13"/>
        <v>0.9</v>
      </c>
      <c r="R39" s="173">
        <f t="shared" si="14"/>
        <v>1</v>
      </c>
      <c r="S39" s="174">
        <f t="shared" si="15"/>
        <v>1.0918124191789069</v>
      </c>
      <c r="T39" s="174">
        <f t="shared" si="16"/>
        <v>0.9</v>
      </c>
      <c r="U39" s="175">
        <f t="shared" si="17"/>
        <v>0.9</v>
      </c>
      <c r="V39" s="167">
        <f t="shared" si="18"/>
        <v>0</v>
      </c>
      <c r="W39" s="168">
        <f t="shared" si="19"/>
        <v>2205.3868434419828</v>
      </c>
      <c r="X39" s="168">
        <f t="shared" si="20"/>
        <v>2108.112145020144</v>
      </c>
      <c r="Y39" s="169">
        <f t="shared" si="21"/>
        <v>1669.093591430438</v>
      </c>
      <c r="Z39" s="194">
        <f t="shared" si="22"/>
        <v>0</v>
      </c>
      <c r="AA39" s="195">
        <f t="shared" si="23"/>
        <v>91.891118476749284</v>
      </c>
      <c r="AB39" s="195">
        <f t="shared" si="24"/>
        <v>91.657049783484524</v>
      </c>
      <c r="AC39" s="196">
        <f t="shared" si="25"/>
        <v>72.569286583932083</v>
      </c>
      <c r="AD39" s="188">
        <f t="shared" si="6"/>
        <v>0</v>
      </c>
      <c r="AE39" s="189">
        <f t="shared" si="7"/>
        <v>9.1812419178906923E-2</v>
      </c>
      <c r="AF39" s="189">
        <f t="shared" si="8"/>
        <v>-0.10000000000000009</v>
      </c>
      <c r="AG39" s="190">
        <f t="shared" si="9"/>
        <v>-0.10000000000000009</v>
      </c>
    </row>
    <row r="40" spans="1:33">
      <c r="A40">
        <v>214</v>
      </c>
      <c r="B40" s="185">
        <f>VLOOKUP($A40,'Allocate OPROC cost'!$A:$AO,30,FALSE)</f>
        <v>3073</v>
      </c>
      <c r="C40" s="186">
        <f>VLOOKUP($A40,'Allocate OPROC cost'!$A:$AO,31,FALSE)</f>
        <v>67978</v>
      </c>
      <c r="D40" s="186">
        <f>VLOOKUP($A40,'Allocate OPROC cost'!$A:$AO,32,FALSE)</f>
        <v>6819</v>
      </c>
      <c r="E40" s="187">
        <f>VLOOKUP($A40,'Allocate OPROC cost'!$A:$AO,33,FALSE)</f>
        <v>109806</v>
      </c>
      <c r="F40" s="185">
        <f>VLOOKUP($A40,'Allocate OPROC cost'!$A:$AO,34,FALSE)</f>
        <v>361357.75945626001</v>
      </c>
      <c r="G40" s="186">
        <f>VLOOKUP($A40,'Allocate OPROC cost'!$A:$AO,35,FALSE)</f>
        <v>9134666.0438744146</v>
      </c>
      <c r="H40" s="186">
        <f>VLOOKUP($A40,'Allocate OPROC cost'!$A:$AO,36,FALSE)</f>
        <v>859825.44326008402</v>
      </c>
      <c r="I40" s="187">
        <f>VLOOKUP($A40,'Allocate OPROC cost'!$A:$AO,37,FALSE)</f>
        <v>11876401.450035758</v>
      </c>
      <c r="J40" s="179">
        <f t="shared" si="10"/>
        <v>117.59120060405468</v>
      </c>
      <c r="K40" s="180">
        <f t="shared" si="10"/>
        <v>134.37679902136594</v>
      </c>
      <c r="L40" s="180">
        <f t="shared" si="10"/>
        <v>126.09260056607772</v>
      </c>
      <c r="M40" s="181">
        <f t="shared" si="10"/>
        <v>108.15803735711854</v>
      </c>
      <c r="N40" s="173">
        <f t="shared" si="11"/>
        <v>1.2379429860739328</v>
      </c>
      <c r="O40" s="174">
        <f t="shared" si="12"/>
        <v>1.1300146211475341</v>
      </c>
      <c r="P40" s="174">
        <f t="shared" si="13"/>
        <v>0.9</v>
      </c>
      <c r="Q40" s="175">
        <f t="shared" si="13"/>
        <v>0.9</v>
      </c>
      <c r="R40" s="173">
        <f t="shared" si="14"/>
        <v>1.2379429860739328</v>
      </c>
      <c r="S40" s="174">
        <f t="shared" si="15"/>
        <v>1.1300146211475341</v>
      </c>
      <c r="T40" s="174">
        <f t="shared" si="16"/>
        <v>0.9</v>
      </c>
      <c r="U40" s="175">
        <f t="shared" si="17"/>
        <v>0.9</v>
      </c>
      <c r="V40" s="167">
        <f t="shared" si="18"/>
        <v>447340.30378226849</v>
      </c>
      <c r="W40" s="168">
        <f t="shared" si="19"/>
        <v>10322306.18887799</v>
      </c>
      <c r="X40" s="168">
        <f t="shared" si="20"/>
        <v>773842.89893407561</v>
      </c>
      <c r="Y40" s="169">
        <f t="shared" si="21"/>
        <v>10688761.305032182</v>
      </c>
      <c r="Z40" s="194">
        <f t="shared" si="22"/>
        <v>145.57120201180231</v>
      </c>
      <c r="AA40" s="195">
        <f t="shared" si="23"/>
        <v>151.84774763714717</v>
      </c>
      <c r="AB40" s="195">
        <f t="shared" si="24"/>
        <v>113.48334050946995</v>
      </c>
      <c r="AC40" s="196">
        <f t="shared" si="25"/>
        <v>97.342233621406692</v>
      </c>
      <c r="AD40" s="188">
        <f t="shared" si="6"/>
        <v>0.23794298607393283</v>
      </c>
      <c r="AE40" s="189">
        <f t="shared" si="7"/>
        <v>0.13001462114753415</v>
      </c>
      <c r="AF40" s="189">
        <f t="shared" si="8"/>
        <v>-9.9999999999999978E-2</v>
      </c>
      <c r="AG40" s="190">
        <f t="shared" si="9"/>
        <v>-9.9999999999999978E-2</v>
      </c>
    </row>
    <row r="41" spans="1:33">
      <c r="A41">
        <v>215</v>
      </c>
      <c r="B41" s="185">
        <f>VLOOKUP($A41,'Allocate OPROC cost'!$A:$AO,30,FALSE)</f>
        <v>2086</v>
      </c>
      <c r="C41" s="186">
        <f>VLOOKUP($A41,'Allocate OPROC cost'!$A:$AO,31,FALSE)</f>
        <v>31648</v>
      </c>
      <c r="D41" s="186">
        <f>VLOOKUP($A41,'Allocate OPROC cost'!$A:$AO,32,FALSE)</f>
        <v>3389</v>
      </c>
      <c r="E41" s="187">
        <f>VLOOKUP($A41,'Allocate OPROC cost'!$A:$AO,33,FALSE)</f>
        <v>49838</v>
      </c>
      <c r="F41" s="185">
        <f>VLOOKUP($A41,'Allocate OPROC cost'!$A:$AO,34,FALSE)</f>
        <v>282088.14934839401</v>
      </c>
      <c r="G41" s="186">
        <f>VLOOKUP($A41,'Allocate OPROC cost'!$A:$AO,35,FALSE)</f>
        <v>2780778.3110538204</v>
      </c>
      <c r="H41" s="186">
        <f>VLOOKUP($A41,'Allocate OPROC cost'!$A:$AO,36,FALSE)</f>
        <v>355949.21852252999</v>
      </c>
      <c r="I41" s="187">
        <f>VLOOKUP($A41,'Allocate OPROC cost'!$A:$AO,37,FALSE)</f>
        <v>3561307.3868601676</v>
      </c>
      <c r="J41" s="179">
        <f t="shared" si="10"/>
        <v>135.22921828782071</v>
      </c>
      <c r="K41" s="180">
        <f t="shared" si="10"/>
        <v>87.865846532287051</v>
      </c>
      <c r="L41" s="180">
        <f t="shared" si="10"/>
        <v>105.03075199838595</v>
      </c>
      <c r="M41" s="181">
        <f t="shared" si="10"/>
        <v>71.45767058991467</v>
      </c>
      <c r="N41" s="173">
        <f t="shared" si="11"/>
        <v>1.1261836838395198</v>
      </c>
      <c r="O41" s="174">
        <f t="shared" si="12"/>
        <v>1.1280687271151275</v>
      </c>
      <c r="P41" s="174">
        <f t="shared" si="13"/>
        <v>0.9</v>
      </c>
      <c r="Q41" s="175">
        <f t="shared" si="13"/>
        <v>0.9</v>
      </c>
      <c r="R41" s="173">
        <f t="shared" si="14"/>
        <v>1.1261836838395198</v>
      </c>
      <c r="S41" s="174">
        <f t="shared" si="15"/>
        <v>1.1280687271151275</v>
      </c>
      <c r="T41" s="174">
        <f t="shared" si="16"/>
        <v>0.9</v>
      </c>
      <c r="U41" s="175">
        <f t="shared" si="17"/>
        <v>0.9</v>
      </c>
      <c r="V41" s="167">
        <f t="shared" si="18"/>
        <v>317683.07120064704</v>
      </c>
      <c r="W41" s="168">
        <f t="shared" si="19"/>
        <v>3136909.0497398372</v>
      </c>
      <c r="X41" s="168">
        <f t="shared" si="20"/>
        <v>320354.29667027702</v>
      </c>
      <c r="Y41" s="169">
        <f t="shared" si="21"/>
        <v>3205176.6481741508</v>
      </c>
      <c r="Z41" s="194">
        <f t="shared" si="22"/>
        <v>152.2929392141165</v>
      </c>
      <c r="AA41" s="195">
        <f t="shared" si="23"/>
        <v>99.118713654570186</v>
      </c>
      <c r="AB41" s="195">
        <f t="shared" si="24"/>
        <v>94.527676798547361</v>
      </c>
      <c r="AC41" s="196">
        <f t="shared" si="25"/>
        <v>64.311903530923203</v>
      </c>
      <c r="AD41" s="188">
        <f t="shared" ref="AD41:AD73" si="26">IF(J41=0,0,Z41/J41-1)</f>
        <v>0.12618368383951983</v>
      </c>
      <c r="AE41" s="189">
        <f t="shared" ref="AE41:AE73" si="27">IF(K41=0,0,AA41/K41-1)</f>
        <v>0.12806872711512751</v>
      </c>
      <c r="AF41" s="189">
        <f t="shared" ref="AF41:AF73" si="28">IF(L41=0,0,AB41/L41-1)</f>
        <v>-9.9999999999999978E-2</v>
      </c>
      <c r="AG41" s="190">
        <f t="shared" ref="AG41:AG73" si="29">IF(M41=0,0,AC41/M41-1)</f>
        <v>-9.9999999999999978E-2</v>
      </c>
    </row>
    <row r="42" spans="1:33">
      <c r="A42">
        <v>216</v>
      </c>
      <c r="B42" s="185">
        <f>VLOOKUP($A42,'Allocate OPROC cost'!$A:$AO,30,FALSE)</f>
        <v>2635</v>
      </c>
      <c r="C42" s="186">
        <f>VLOOKUP($A42,'Allocate OPROC cost'!$A:$AO,31,FALSE)</f>
        <v>42328</v>
      </c>
      <c r="D42" s="186">
        <f>VLOOKUP($A42,'Allocate OPROC cost'!$A:$AO,32,FALSE)</f>
        <v>4607</v>
      </c>
      <c r="E42" s="187">
        <f>VLOOKUP($A42,'Allocate OPROC cost'!$A:$AO,33,FALSE)</f>
        <v>111315</v>
      </c>
      <c r="F42" s="185">
        <f>VLOOKUP($A42,'Allocate OPROC cost'!$A:$AO,34,FALSE)</f>
        <v>381463.01393571799</v>
      </c>
      <c r="G42" s="186">
        <f>VLOOKUP($A42,'Allocate OPROC cost'!$A:$AO,35,FALSE)</f>
        <v>4925656.1835241178</v>
      </c>
      <c r="H42" s="186">
        <f>VLOOKUP($A42,'Allocate OPROC cost'!$A:$AO,36,FALSE)</f>
        <v>720705.69442347204</v>
      </c>
      <c r="I42" s="187">
        <f>VLOOKUP($A42,'Allocate OPROC cost'!$A:$AO,37,FALSE)</f>
        <v>10490321.893904513</v>
      </c>
      <c r="J42" s="179">
        <f t="shared" si="10"/>
        <v>144.76774722418139</v>
      </c>
      <c r="K42" s="180">
        <f t="shared" si="10"/>
        <v>116.36874370450099</v>
      </c>
      <c r="L42" s="180">
        <f t="shared" si="10"/>
        <v>156.43709451345171</v>
      </c>
      <c r="M42" s="181">
        <f t="shared" si="10"/>
        <v>94.239966706234668</v>
      </c>
      <c r="N42" s="173">
        <f t="shared" si="11"/>
        <v>1.1889319981477735</v>
      </c>
      <c r="O42" s="174">
        <f t="shared" si="12"/>
        <v>1.2129730842561384</v>
      </c>
      <c r="P42" s="174">
        <f t="shared" ref="P42:Q74" si="30">$P$4</f>
        <v>0.9</v>
      </c>
      <c r="Q42" s="175">
        <f t="shared" si="30"/>
        <v>0.9</v>
      </c>
      <c r="R42" s="173">
        <f t="shared" si="14"/>
        <v>1.1889319981477735</v>
      </c>
      <c r="S42" s="174">
        <f t="shared" si="15"/>
        <v>1.2129730842561384</v>
      </c>
      <c r="T42" s="174">
        <f t="shared" si="16"/>
        <v>0.9</v>
      </c>
      <c r="U42" s="175">
        <f t="shared" si="17"/>
        <v>0.9</v>
      </c>
      <c r="V42" s="167">
        <f t="shared" si="18"/>
        <v>453533.58337806514</v>
      </c>
      <c r="W42" s="168">
        <f t="shared" si="19"/>
        <v>5974688.3729145685</v>
      </c>
      <c r="X42" s="168">
        <f t="shared" si="20"/>
        <v>648635.12498112489</v>
      </c>
      <c r="Y42" s="169">
        <f t="shared" si="21"/>
        <v>9441289.704514062</v>
      </c>
      <c r="Z42" s="194">
        <f t="shared" si="22"/>
        <v>172.11900697459777</v>
      </c>
      <c r="AA42" s="195">
        <f t="shared" si="23"/>
        <v>141.15215396226066</v>
      </c>
      <c r="AB42" s="195">
        <f t="shared" si="24"/>
        <v>140.79338506210655</v>
      </c>
      <c r="AC42" s="196">
        <f t="shared" si="25"/>
        <v>84.815970035611215</v>
      </c>
      <c r="AD42" s="188">
        <f t="shared" si="26"/>
        <v>0.18893199814777351</v>
      </c>
      <c r="AE42" s="189">
        <f t="shared" si="27"/>
        <v>0.21297308425613837</v>
      </c>
      <c r="AF42" s="189">
        <f t="shared" si="28"/>
        <v>-9.9999999999999978E-2</v>
      </c>
      <c r="AG42" s="190">
        <f t="shared" si="29"/>
        <v>-9.9999999999999867E-2</v>
      </c>
    </row>
    <row r="43" spans="1:33">
      <c r="A43">
        <v>217</v>
      </c>
      <c r="B43" s="185">
        <f>VLOOKUP($A43,'Allocate OPROC cost'!$A:$AO,30,FALSE)</f>
        <v>481</v>
      </c>
      <c r="C43" s="186">
        <f>VLOOKUP($A43,'Allocate OPROC cost'!$A:$AO,31,FALSE)</f>
        <v>1849</v>
      </c>
      <c r="D43" s="186">
        <f>VLOOKUP($A43,'Allocate OPROC cost'!$A:$AO,32,FALSE)</f>
        <v>1251</v>
      </c>
      <c r="E43" s="187">
        <f>VLOOKUP($A43,'Allocate OPROC cost'!$A:$AO,33,FALSE)</f>
        <v>1932</v>
      </c>
      <c r="F43" s="185">
        <f>VLOOKUP($A43,'Allocate OPROC cost'!$A:$AO,34,FALSE)</f>
        <v>79000.122124649803</v>
      </c>
      <c r="G43" s="186">
        <f>VLOOKUP($A43,'Allocate OPROC cost'!$A:$AO,35,FALSE)</f>
        <v>208448.05785531664</v>
      </c>
      <c r="H43" s="186">
        <f>VLOOKUP($A43,'Allocate OPROC cost'!$A:$AO,36,FALSE)</f>
        <v>271425.91295790998</v>
      </c>
      <c r="I43" s="187">
        <f>VLOOKUP($A43,'Allocate OPROC cost'!$A:$AO,37,FALSE)</f>
        <v>296234.68270572979</v>
      </c>
      <c r="J43" s="179">
        <f t="shared" si="10"/>
        <v>164.24141813856508</v>
      </c>
      <c r="K43" s="180">
        <f t="shared" si="10"/>
        <v>112.73556401044708</v>
      </c>
      <c r="L43" s="180">
        <f t="shared" si="10"/>
        <v>216.96715664101518</v>
      </c>
      <c r="M43" s="181">
        <f t="shared" si="10"/>
        <v>153.33058111062618</v>
      </c>
      <c r="N43" s="173">
        <f t="shared" si="11"/>
        <v>1.3435765738812941</v>
      </c>
      <c r="O43" s="174">
        <f t="shared" si="12"/>
        <v>1.1421143884733844</v>
      </c>
      <c r="P43" s="174">
        <f t="shared" si="30"/>
        <v>0.9</v>
      </c>
      <c r="Q43" s="175">
        <f t="shared" si="30"/>
        <v>0.9</v>
      </c>
      <c r="R43" s="173">
        <f t="shared" si="14"/>
        <v>1.3435765738812941</v>
      </c>
      <c r="S43" s="174">
        <f t="shared" si="15"/>
        <v>1.1421143884733844</v>
      </c>
      <c r="T43" s="174">
        <f t="shared" si="16"/>
        <v>0.9</v>
      </c>
      <c r="U43" s="175">
        <f t="shared" si="17"/>
        <v>0.9</v>
      </c>
      <c r="V43" s="167">
        <f t="shared" si="18"/>
        <v>106142.71342044081</v>
      </c>
      <c r="W43" s="168">
        <f t="shared" si="19"/>
        <v>238071.52612588962</v>
      </c>
      <c r="X43" s="168">
        <f t="shared" si="20"/>
        <v>244283.32166211898</v>
      </c>
      <c r="Y43" s="169">
        <f t="shared" si="21"/>
        <v>266611.21443515684</v>
      </c>
      <c r="Z43" s="194">
        <f t="shared" si="22"/>
        <v>220.67092187201831</v>
      </c>
      <c r="AA43" s="195">
        <f t="shared" si="23"/>
        <v>128.75690974899385</v>
      </c>
      <c r="AB43" s="195">
        <f t="shared" si="24"/>
        <v>195.27044097691365</v>
      </c>
      <c r="AC43" s="196">
        <f t="shared" si="25"/>
        <v>137.99752299956359</v>
      </c>
      <c r="AD43" s="188">
        <f t="shared" si="26"/>
        <v>0.34357657388129414</v>
      </c>
      <c r="AE43" s="189">
        <f t="shared" si="27"/>
        <v>0.14211438847338442</v>
      </c>
      <c r="AF43" s="189">
        <f t="shared" si="28"/>
        <v>-0.10000000000000009</v>
      </c>
      <c r="AG43" s="190">
        <f t="shared" si="29"/>
        <v>-9.9999999999999867E-2</v>
      </c>
    </row>
    <row r="44" spans="1:33">
      <c r="A44">
        <v>218</v>
      </c>
      <c r="B44" s="185">
        <f>VLOOKUP($A44,'Allocate OPROC cost'!$A:$AO,30,FALSE)</f>
        <v>66</v>
      </c>
      <c r="C44" s="186">
        <f>VLOOKUP($A44,'Allocate OPROC cost'!$A:$AO,31,FALSE)</f>
        <v>3397</v>
      </c>
      <c r="D44" s="186">
        <f>VLOOKUP($A44,'Allocate OPROC cost'!$A:$AO,32,FALSE)</f>
        <v>249</v>
      </c>
      <c r="E44" s="187">
        <f>VLOOKUP($A44,'Allocate OPROC cost'!$A:$AO,33,FALSE)</f>
        <v>11777</v>
      </c>
      <c r="F44" s="185">
        <f>VLOOKUP($A44,'Allocate OPROC cost'!$A:$AO,34,FALSE)</f>
        <v>22694.554160627998</v>
      </c>
      <c r="G44" s="186">
        <f>VLOOKUP($A44,'Allocate OPROC cost'!$A:$AO,35,FALSE)</f>
        <v>969984.82407247997</v>
      </c>
      <c r="H44" s="186">
        <f>VLOOKUP($A44,'Allocate OPROC cost'!$A:$AO,36,FALSE)</f>
        <v>56842.055152748697</v>
      </c>
      <c r="I44" s="187">
        <f>VLOOKUP($A44,'Allocate OPROC cost'!$A:$AO,37,FALSE)</f>
        <v>2926653.6596035259</v>
      </c>
      <c r="J44" s="179">
        <f t="shared" si="10"/>
        <v>343.85688122163634</v>
      </c>
      <c r="K44" s="180">
        <f t="shared" si="10"/>
        <v>285.54160261185751</v>
      </c>
      <c r="L44" s="180">
        <f t="shared" si="10"/>
        <v>228.28134599497469</v>
      </c>
      <c r="M44" s="181">
        <f t="shared" si="10"/>
        <v>248.50587242961075</v>
      </c>
      <c r="N44" s="173">
        <f t="shared" si="11"/>
        <v>1.2504656172156139</v>
      </c>
      <c r="O44" s="174">
        <f t="shared" si="12"/>
        <v>1.3017215926447152</v>
      </c>
      <c r="P44" s="174">
        <f t="shared" si="30"/>
        <v>0.9</v>
      </c>
      <c r="Q44" s="175">
        <f t="shared" si="30"/>
        <v>0.9</v>
      </c>
      <c r="R44" s="173">
        <f t="shared" si="14"/>
        <v>1.2504656172156139</v>
      </c>
      <c r="S44" s="174">
        <f t="shared" si="15"/>
        <v>1.3017215926447152</v>
      </c>
      <c r="T44" s="174">
        <f t="shared" si="16"/>
        <v>0.9</v>
      </c>
      <c r="U44" s="175">
        <f t="shared" si="17"/>
        <v>0.9</v>
      </c>
      <c r="V44" s="167">
        <f t="shared" si="18"/>
        <v>28378.759675902867</v>
      </c>
      <c r="W44" s="168">
        <f t="shared" si="19"/>
        <v>1262650.1900328326</v>
      </c>
      <c r="X44" s="168">
        <f t="shared" si="20"/>
        <v>51157.849637473832</v>
      </c>
      <c r="Y44" s="169">
        <f t="shared" si="21"/>
        <v>2633988.2936431733</v>
      </c>
      <c r="Z44" s="194">
        <f t="shared" si="22"/>
        <v>429.98120721064953</v>
      </c>
      <c r="AA44" s="195">
        <f t="shared" si="23"/>
        <v>371.69566971823156</v>
      </c>
      <c r="AB44" s="195">
        <f t="shared" si="24"/>
        <v>205.45321139547724</v>
      </c>
      <c r="AC44" s="196">
        <f t="shared" si="25"/>
        <v>223.65528518664968</v>
      </c>
      <c r="AD44" s="188">
        <f t="shared" si="26"/>
        <v>0.25046561721561389</v>
      </c>
      <c r="AE44" s="189">
        <f t="shared" si="27"/>
        <v>0.30172159264471521</v>
      </c>
      <c r="AF44" s="189">
        <f t="shared" si="28"/>
        <v>-9.9999999999999867E-2</v>
      </c>
      <c r="AG44" s="190">
        <f t="shared" si="29"/>
        <v>-9.9999999999999978E-2</v>
      </c>
    </row>
    <row r="45" spans="1:33">
      <c r="A45">
        <v>219</v>
      </c>
      <c r="B45" s="185">
        <f>VLOOKUP($A45,'Allocate OPROC cost'!$A:$AO,30,FALSE)</f>
        <v>193</v>
      </c>
      <c r="C45" s="186">
        <f>VLOOKUP($A45,'Allocate OPROC cost'!$A:$AO,31,FALSE)</f>
        <v>15496</v>
      </c>
      <c r="D45" s="186">
        <f>VLOOKUP($A45,'Allocate OPROC cost'!$A:$AO,32,FALSE)</f>
        <v>586</v>
      </c>
      <c r="E45" s="187">
        <f>VLOOKUP($A45,'Allocate OPROC cost'!$A:$AO,33,FALSE)</f>
        <v>41156</v>
      </c>
      <c r="F45" s="185">
        <f>VLOOKUP($A45,'Allocate OPROC cost'!$A:$AO,34,FALSE)</f>
        <v>33438.768920616101</v>
      </c>
      <c r="G45" s="186">
        <f>VLOOKUP($A45,'Allocate OPROC cost'!$A:$AO,35,FALSE)</f>
        <v>1714672.2093301129</v>
      </c>
      <c r="H45" s="186">
        <f>VLOOKUP($A45,'Allocate OPROC cost'!$A:$AO,36,FALSE)</f>
        <v>53980.279973508601</v>
      </c>
      <c r="I45" s="187">
        <f>VLOOKUP($A45,'Allocate OPROC cost'!$A:$AO,37,FALSE)</f>
        <v>5000416.0552835735</v>
      </c>
      <c r="J45" s="179">
        <f t="shared" si="10"/>
        <v>173.2578700550057</v>
      </c>
      <c r="K45" s="180">
        <f t="shared" si="10"/>
        <v>110.65256900684776</v>
      </c>
      <c r="L45" s="180">
        <f t="shared" si="10"/>
        <v>92.116518726123886</v>
      </c>
      <c r="M45" s="181">
        <f t="shared" si="10"/>
        <v>121.49907802710598</v>
      </c>
      <c r="N45" s="173">
        <f t="shared" si="11"/>
        <v>1.1614302252025432</v>
      </c>
      <c r="O45" s="174">
        <f t="shared" si="12"/>
        <v>1.2916251880723681</v>
      </c>
      <c r="P45" s="174">
        <f t="shared" si="30"/>
        <v>0.9</v>
      </c>
      <c r="Q45" s="175">
        <f t="shared" si="30"/>
        <v>0.9</v>
      </c>
      <c r="R45" s="173">
        <f t="shared" si="14"/>
        <v>1.1614302252025432</v>
      </c>
      <c r="S45" s="174">
        <f t="shared" si="15"/>
        <v>1.2916251880723681</v>
      </c>
      <c r="T45" s="174">
        <f t="shared" si="16"/>
        <v>0.9</v>
      </c>
      <c r="U45" s="175">
        <f t="shared" si="17"/>
        <v>0.9</v>
      </c>
      <c r="V45" s="167">
        <f t="shared" si="18"/>
        <v>38836.79691796696</v>
      </c>
      <c r="W45" s="168">
        <f t="shared" si="19"/>
        <v>2214713.8148584701</v>
      </c>
      <c r="X45" s="168">
        <f t="shared" si="20"/>
        <v>48582.251976157742</v>
      </c>
      <c r="Y45" s="169">
        <f t="shared" si="21"/>
        <v>4500374.449755216</v>
      </c>
      <c r="Z45" s="194">
        <f t="shared" si="22"/>
        <v>201.22692703609823</v>
      </c>
      <c r="AA45" s="195">
        <f t="shared" si="23"/>
        <v>142.92164525416044</v>
      </c>
      <c r="AB45" s="195">
        <f t="shared" si="24"/>
        <v>82.904866853511507</v>
      </c>
      <c r="AC45" s="196">
        <f t="shared" si="25"/>
        <v>109.34917022439538</v>
      </c>
      <c r="AD45" s="188">
        <f t="shared" si="26"/>
        <v>0.16143022520254324</v>
      </c>
      <c r="AE45" s="189">
        <f t="shared" si="27"/>
        <v>0.29162518807236815</v>
      </c>
      <c r="AF45" s="189">
        <f t="shared" si="28"/>
        <v>-9.9999999999999867E-2</v>
      </c>
      <c r="AG45" s="190">
        <f t="shared" si="29"/>
        <v>-9.9999999999999978E-2</v>
      </c>
    </row>
    <row r="46" spans="1:33">
      <c r="A46">
        <v>220</v>
      </c>
      <c r="B46" s="185">
        <f>VLOOKUP($A46,'Allocate OPROC cost'!$A:$AO,30,FALSE)</f>
        <v>51</v>
      </c>
      <c r="C46" s="186">
        <f>VLOOKUP($A46,'Allocate OPROC cost'!$A:$AO,31,FALSE)</f>
        <v>1198</v>
      </c>
      <c r="D46" s="186">
        <f>VLOOKUP($A46,'Allocate OPROC cost'!$A:$AO,32,FALSE)</f>
        <v>319</v>
      </c>
      <c r="E46" s="187">
        <f>VLOOKUP($A46,'Allocate OPROC cost'!$A:$AO,33,FALSE)</f>
        <v>6260</v>
      </c>
      <c r="F46" s="185">
        <f>VLOOKUP($A46,'Allocate OPROC cost'!$A:$AO,34,FALSE)</f>
        <v>11266.3163012655</v>
      </c>
      <c r="G46" s="186">
        <f>VLOOKUP($A46,'Allocate OPROC cost'!$A:$AO,35,FALSE)</f>
        <v>186876.86091608295</v>
      </c>
      <c r="H46" s="186">
        <f>VLOOKUP($A46,'Allocate OPROC cost'!$A:$AO,36,FALSE)</f>
        <v>45375.935283611601</v>
      </c>
      <c r="I46" s="187">
        <f>VLOOKUP($A46,'Allocate OPROC cost'!$A:$AO,37,FALSE)</f>
        <v>819492.03715755371</v>
      </c>
      <c r="J46" s="179">
        <f t="shared" si="10"/>
        <v>220.90816276991177</v>
      </c>
      <c r="K46" s="180">
        <f t="shared" si="10"/>
        <v>155.99070193329129</v>
      </c>
      <c r="L46" s="180">
        <f t="shared" si="10"/>
        <v>142.24431123389218</v>
      </c>
      <c r="M46" s="181">
        <f t="shared" si="10"/>
        <v>130.90927111143031</v>
      </c>
      <c r="N46" s="173">
        <f t="shared" si="11"/>
        <v>1.4027575124844907</v>
      </c>
      <c r="O46" s="174">
        <f t="shared" si="12"/>
        <v>1.4385198002258539</v>
      </c>
      <c r="P46" s="174">
        <f t="shared" si="30"/>
        <v>0.9</v>
      </c>
      <c r="Q46" s="175">
        <f t="shared" si="30"/>
        <v>0.9</v>
      </c>
      <c r="R46" s="173">
        <f t="shared" si="14"/>
        <v>1.4027575124844907</v>
      </c>
      <c r="S46" s="174">
        <f t="shared" si="15"/>
        <v>1.4385198002258539</v>
      </c>
      <c r="T46" s="174">
        <f t="shared" si="16"/>
        <v>0.9</v>
      </c>
      <c r="U46" s="175">
        <f t="shared" si="17"/>
        <v>0.9</v>
      </c>
      <c r="V46" s="167">
        <f t="shared" si="18"/>
        <v>15803.90982962666</v>
      </c>
      <c r="W46" s="168">
        <f t="shared" si="19"/>
        <v>268826.06463183835</v>
      </c>
      <c r="X46" s="168">
        <f t="shared" si="20"/>
        <v>40838.34175525044</v>
      </c>
      <c r="Y46" s="169">
        <f t="shared" si="21"/>
        <v>737542.83344179834</v>
      </c>
      <c r="Z46" s="194">
        <f t="shared" si="22"/>
        <v>309.88058489464038</v>
      </c>
      <c r="AA46" s="195">
        <f t="shared" si="23"/>
        <v>224.39571338216891</v>
      </c>
      <c r="AB46" s="195">
        <f t="shared" si="24"/>
        <v>128.01988011050295</v>
      </c>
      <c r="AC46" s="196">
        <f t="shared" si="25"/>
        <v>117.81834400028727</v>
      </c>
      <c r="AD46" s="188">
        <f t="shared" si="26"/>
        <v>0.40275751248449065</v>
      </c>
      <c r="AE46" s="189">
        <f t="shared" si="27"/>
        <v>0.43851980022585391</v>
      </c>
      <c r="AF46" s="189">
        <f t="shared" si="28"/>
        <v>-0.10000000000000009</v>
      </c>
      <c r="AG46" s="190">
        <f t="shared" si="29"/>
        <v>-0.10000000000000009</v>
      </c>
    </row>
    <row r="47" spans="1:33">
      <c r="A47">
        <v>221</v>
      </c>
      <c r="B47" s="185">
        <f>VLOOKUP($A47,'Allocate OPROC cost'!$A:$AO,30,FALSE)</f>
        <v>0</v>
      </c>
      <c r="C47" s="186">
        <f>VLOOKUP($A47,'Allocate OPROC cost'!$A:$AO,31,FALSE)</f>
        <v>790</v>
      </c>
      <c r="D47" s="186">
        <f>VLOOKUP($A47,'Allocate OPROC cost'!$A:$AO,32,FALSE)</f>
        <v>63</v>
      </c>
      <c r="E47" s="187">
        <f>VLOOKUP($A47,'Allocate OPROC cost'!$A:$AO,33,FALSE)</f>
        <v>737</v>
      </c>
      <c r="F47" s="185">
        <f>VLOOKUP($A47,'Allocate OPROC cost'!$A:$AO,34,FALSE)</f>
        <v>0</v>
      </c>
      <c r="G47" s="186">
        <f>VLOOKUP($A47,'Allocate OPROC cost'!$A:$AO,35,FALSE)</f>
        <v>228424.93549832801</v>
      </c>
      <c r="H47" s="186">
        <f>VLOOKUP($A47,'Allocate OPROC cost'!$A:$AO,36,FALSE)</f>
        <v>12043.5902281377</v>
      </c>
      <c r="I47" s="187">
        <f>VLOOKUP($A47,'Allocate OPROC cost'!$A:$AO,37,FALSE)</f>
        <v>289172.3903622902</v>
      </c>
      <c r="J47" s="179">
        <f t="shared" si="10"/>
        <v>0</v>
      </c>
      <c r="K47" s="180">
        <f t="shared" si="10"/>
        <v>289.14548797256708</v>
      </c>
      <c r="L47" s="180">
        <f t="shared" si="10"/>
        <v>191.16809885932858</v>
      </c>
      <c r="M47" s="181">
        <f t="shared" si="10"/>
        <v>392.36416602753081</v>
      </c>
      <c r="N47" s="173">
        <f t="shared" si="11"/>
        <v>1</v>
      </c>
      <c r="O47" s="174">
        <f t="shared" si="12"/>
        <v>1.1265940558247007</v>
      </c>
      <c r="P47" s="174">
        <f t="shared" si="30"/>
        <v>0.9</v>
      </c>
      <c r="Q47" s="175">
        <f t="shared" si="30"/>
        <v>0.9</v>
      </c>
      <c r="R47" s="173">
        <f t="shared" si="14"/>
        <v>1</v>
      </c>
      <c r="S47" s="174">
        <f t="shared" si="15"/>
        <v>1.1265940558247007</v>
      </c>
      <c r="T47" s="174">
        <f t="shared" si="16"/>
        <v>0.9</v>
      </c>
      <c r="U47" s="175">
        <f t="shared" si="17"/>
        <v>0.9</v>
      </c>
      <c r="V47" s="167">
        <f t="shared" si="18"/>
        <v>0</v>
      </c>
      <c r="W47" s="168">
        <f t="shared" si="19"/>
        <v>257342.17453455701</v>
      </c>
      <c r="X47" s="168">
        <f t="shared" si="20"/>
        <v>10839.231205323931</v>
      </c>
      <c r="Y47" s="169">
        <f t="shared" si="21"/>
        <v>260255.1513260612</v>
      </c>
      <c r="Z47" s="194">
        <f t="shared" si="22"/>
        <v>0</v>
      </c>
      <c r="AA47" s="195">
        <f t="shared" si="23"/>
        <v>325.74958801842661</v>
      </c>
      <c r="AB47" s="195">
        <f t="shared" si="24"/>
        <v>172.05128897339574</v>
      </c>
      <c r="AC47" s="196">
        <f t="shared" si="25"/>
        <v>353.12774942477773</v>
      </c>
      <c r="AD47" s="188">
        <f t="shared" si="26"/>
        <v>0</v>
      </c>
      <c r="AE47" s="189">
        <f t="shared" si="27"/>
        <v>0.12659405582470096</v>
      </c>
      <c r="AF47" s="189">
        <f t="shared" si="28"/>
        <v>-9.9999999999999867E-2</v>
      </c>
      <c r="AG47" s="190">
        <f t="shared" si="29"/>
        <v>-9.9999999999999978E-2</v>
      </c>
    </row>
    <row r="48" spans="1:33">
      <c r="A48">
        <v>222</v>
      </c>
      <c r="B48" s="185">
        <f>VLOOKUP($A48,'Allocate OPROC cost'!$A:$AO,30,FALSE)</f>
        <v>0</v>
      </c>
      <c r="C48" s="186">
        <f>VLOOKUP($A48,'Allocate OPROC cost'!$A:$AO,31,FALSE)</f>
        <v>99</v>
      </c>
      <c r="D48" s="186">
        <f>VLOOKUP($A48,'Allocate OPROC cost'!$A:$AO,32,FALSE)</f>
        <v>0</v>
      </c>
      <c r="E48" s="187">
        <f>VLOOKUP($A48,'Allocate OPROC cost'!$A:$AO,33,FALSE)</f>
        <v>186</v>
      </c>
      <c r="F48" s="185">
        <f>VLOOKUP($A48,'Allocate OPROC cost'!$A:$AO,34,FALSE)</f>
        <v>0</v>
      </c>
      <c r="G48" s="186">
        <f>VLOOKUP($A48,'Allocate OPROC cost'!$A:$AO,35,FALSE)</f>
        <v>7030.2899230030098</v>
      </c>
      <c r="H48" s="186">
        <f>VLOOKUP($A48,'Allocate OPROC cost'!$A:$AO,36,FALSE)</f>
        <v>0</v>
      </c>
      <c r="I48" s="187">
        <f>VLOOKUP($A48,'Allocate OPROC cost'!$A:$AO,37,FALSE)</f>
        <v>11123.1622039793</v>
      </c>
      <c r="J48" s="179">
        <f t="shared" si="10"/>
        <v>0</v>
      </c>
      <c r="K48" s="180">
        <f t="shared" si="10"/>
        <v>71.013029525282931</v>
      </c>
      <c r="L48" s="180">
        <f t="shared" si="10"/>
        <v>0</v>
      </c>
      <c r="M48" s="181">
        <f t="shared" si="10"/>
        <v>59.801947333222046</v>
      </c>
      <c r="N48" s="173">
        <f t="shared" si="11"/>
        <v>1</v>
      </c>
      <c r="O48" s="174">
        <f t="shared" si="12"/>
        <v>1.1582176883997981</v>
      </c>
      <c r="P48" s="174">
        <f t="shared" si="30"/>
        <v>0.9</v>
      </c>
      <c r="Q48" s="175">
        <f t="shared" si="30"/>
        <v>0.9</v>
      </c>
      <c r="R48" s="173">
        <f t="shared" si="14"/>
        <v>1</v>
      </c>
      <c r="S48" s="174">
        <f t="shared" si="15"/>
        <v>1.1582176883997981</v>
      </c>
      <c r="T48" s="174">
        <f t="shared" si="16"/>
        <v>0.9</v>
      </c>
      <c r="U48" s="175">
        <f t="shared" si="17"/>
        <v>0.9</v>
      </c>
      <c r="V48" s="167">
        <f t="shared" si="18"/>
        <v>0</v>
      </c>
      <c r="W48" s="168">
        <f t="shared" si="19"/>
        <v>8142.6061434009407</v>
      </c>
      <c r="X48" s="168">
        <f t="shared" si="20"/>
        <v>0</v>
      </c>
      <c r="Y48" s="169">
        <f t="shared" si="21"/>
        <v>10010.84598358137</v>
      </c>
      <c r="Z48" s="194">
        <f t="shared" si="22"/>
        <v>0</v>
      </c>
      <c r="AA48" s="195">
        <f t="shared" si="23"/>
        <v>82.248546903039809</v>
      </c>
      <c r="AB48" s="195">
        <f t="shared" si="24"/>
        <v>0</v>
      </c>
      <c r="AC48" s="196">
        <f t="shared" si="25"/>
        <v>53.821752599899838</v>
      </c>
      <c r="AD48" s="188">
        <f t="shared" si="26"/>
        <v>0</v>
      </c>
      <c r="AE48" s="189">
        <f t="shared" si="27"/>
        <v>0.15821768839979811</v>
      </c>
      <c r="AF48" s="189">
        <f t="shared" si="28"/>
        <v>0</v>
      </c>
      <c r="AG48" s="190">
        <f t="shared" si="29"/>
        <v>-0.10000000000000009</v>
      </c>
    </row>
    <row r="49" spans="1:33">
      <c r="A49">
        <v>241</v>
      </c>
      <c r="B49" s="185">
        <f>VLOOKUP($A49,'Allocate OPROC cost'!$A:$AO,30,FALSE)</f>
        <v>0</v>
      </c>
      <c r="C49" s="186">
        <f>VLOOKUP($A49,'Allocate OPROC cost'!$A:$AO,31,FALSE)</f>
        <v>221</v>
      </c>
      <c r="D49" s="186">
        <f>VLOOKUP($A49,'Allocate OPROC cost'!$A:$AO,32,FALSE)</f>
        <v>0</v>
      </c>
      <c r="E49" s="187">
        <f>VLOOKUP($A49,'Allocate OPROC cost'!$A:$AO,33,FALSE)</f>
        <v>496</v>
      </c>
      <c r="F49" s="185">
        <f>VLOOKUP($A49,'Allocate OPROC cost'!$A:$AO,34,FALSE)</f>
        <v>0</v>
      </c>
      <c r="G49" s="186">
        <f>VLOOKUP($A49,'Allocate OPROC cost'!$A:$AO,35,FALSE)</f>
        <v>195923.87175299501</v>
      </c>
      <c r="H49" s="186">
        <f>VLOOKUP($A49,'Allocate OPROC cost'!$A:$AO,36,FALSE)</f>
        <v>0</v>
      </c>
      <c r="I49" s="187">
        <f>VLOOKUP($A49,'Allocate OPROC cost'!$A:$AO,37,FALSE)</f>
        <v>309465.57718034397</v>
      </c>
      <c r="J49" s="179">
        <f t="shared" si="10"/>
        <v>0</v>
      </c>
      <c r="K49" s="180">
        <f t="shared" si="10"/>
        <v>886.53335634839368</v>
      </c>
      <c r="L49" s="180">
        <f t="shared" si="10"/>
        <v>0</v>
      </c>
      <c r="M49" s="181">
        <f t="shared" si="10"/>
        <v>623.92253463779025</v>
      </c>
      <c r="N49" s="173">
        <f t="shared" si="11"/>
        <v>1</v>
      </c>
      <c r="O49" s="174">
        <f t="shared" si="12"/>
        <v>1.1579519506282998</v>
      </c>
      <c r="P49" s="174">
        <f t="shared" si="30"/>
        <v>0.9</v>
      </c>
      <c r="Q49" s="175">
        <f t="shared" si="30"/>
        <v>0.9</v>
      </c>
      <c r="R49" s="173">
        <f t="shared" si="14"/>
        <v>1</v>
      </c>
      <c r="S49" s="174">
        <f t="shared" si="15"/>
        <v>1.1579519506282998</v>
      </c>
      <c r="T49" s="174">
        <f t="shared" si="16"/>
        <v>0.9</v>
      </c>
      <c r="U49" s="175">
        <f t="shared" si="17"/>
        <v>0.9</v>
      </c>
      <c r="V49" s="167">
        <f t="shared" si="18"/>
        <v>0</v>
      </c>
      <c r="W49" s="168">
        <f t="shared" si="19"/>
        <v>226870.42947102941</v>
      </c>
      <c r="X49" s="168">
        <f t="shared" si="20"/>
        <v>0</v>
      </c>
      <c r="Y49" s="169">
        <f t="shared" si="21"/>
        <v>278519.0194623096</v>
      </c>
      <c r="Z49" s="194">
        <f t="shared" si="22"/>
        <v>0</v>
      </c>
      <c r="AA49" s="195">
        <f t="shared" si="23"/>
        <v>1026.5630292806761</v>
      </c>
      <c r="AB49" s="195">
        <f t="shared" si="24"/>
        <v>0</v>
      </c>
      <c r="AC49" s="196">
        <f t="shared" si="25"/>
        <v>561.53028117401129</v>
      </c>
      <c r="AD49" s="188">
        <f t="shared" si="26"/>
        <v>0</v>
      </c>
      <c r="AE49" s="189">
        <f t="shared" si="27"/>
        <v>0.15795195062829981</v>
      </c>
      <c r="AF49" s="189">
        <f t="shared" si="28"/>
        <v>0</v>
      </c>
      <c r="AG49" s="190">
        <f t="shared" si="29"/>
        <v>-9.9999999999999867E-2</v>
      </c>
    </row>
    <row r="50" spans="1:33">
      <c r="A50">
        <v>242</v>
      </c>
      <c r="B50" s="185">
        <f>VLOOKUP($A50,'Allocate OPROC cost'!$A:$AO,30,FALSE)</f>
        <v>0</v>
      </c>
      <c r="C50" s="186">
        <f>VLOOKUP($A50,'Allocate OPROC cost'!$A:$AO,31,FALSE)</f>
        <v>1</v>
      </c>
      <c r="D50" s="186">
        <f>VLOOKUP($A50,'Allocate OPROC cost'!$A:$AO,32,FALSE)</f>
        <v>0</v>
      </c>
      <c r="E50" s="187">
        <f>VLOOKUP($A50,'Allocate OPROC cost'!$A:$AO,33,FALSE)</f>
        <v>32</v>
      </c>
      <c r="F50" s="185">
        <f>VLOOKUP($A50,'Allocate OPROC cost'!$A:$AO,34,FALSE)</f>
        <v>0</v>
      </c>
      <c r="G50" s="186">
        <f>VLOOKUP($A50,'Allocate OPROC cost'!$A:$AO,35,FALSE)</f>
        <v>681.54564903777498</v>
      </c>
      <c r="H50" s="186">
        <f>VLOOKUP($A50,'Allocate OPROC cost'!$A:$AO,36,FALSE)</f>
        <v>0</v>
      </c>
      <c r="I50" s="187">
        <f>VLOOKUP($A50,'Allocate OPROC cost'!$A:$AO,37,FALSE)</f>
        <v>5002.3772569372304</v>
      </c>
      <c r="J50" s="179">
        <f t="shared" si="10"/>
        <v>0</v>
      </c>
      <c r="K50" s="180">
        <f t="shared" si="10"/>
        <v>681.54564903777498</v>
      </c>
      <c r="L50" s="180">
        <f t="shared" si="10"/>
        <v>0</v>
      </c>
      <c r="M50" s="181">
        <f t="shared" si="10"/>
        <v>156.32428927928845</v>
      </c>
      <c r="N50" s="173">
        <f t="shared" si="11"/>
        <v>1</v>
      </c>
      <c r="O50" s="174">
        <f t="shared" si="12"/>
        <v>1.7339753784650704</v>
      </c>
      <c r="P50" s="174">
        <f t="shared" si="30"/>
        <v>0.9</v>
      </c>
      <c r="Q50" s="175">
        <f t="shared" si="30"/>
        <v>0.9</v>
      </c>
      <c r="R50" s="173">
        <f t="shared" si="14"/>
        <v>1</v>
      </c>
      <c r="S50" s="174">
        <f t="shared" si="15"/>
        <v>1.5</v>
      </c>
      <c r="T50" s="174">
        <f t="shared" si="16"/>
        <v>0.9</v>
      </c>
      <c r="U50" s="175">
        <f t="shared" si="17"/>
        <v>0.9</v>
      </c>
      <c r="V50" s="167">
        <f t="shared" si="18"/>
        <v>0</v>
      </c>
      <c r="W50" s="168">
        <f t="shared" si="19"/>
        <v>1022.3184735566624</v>
      </c>
      <c r="X50" s="168">
        <f t="shared" si="20"/>
        <v>0</v>
      </c>
      <c r="Y50" s="169">
        <f t="shared" si="21"/>
        <v>4502.1395312435079</v>
      </c>
      <c r="Z50" s="194">
        <f t="shared" si="22"/>
        <v>0</v>
      </c>
      <c r="AA50" s="195">
        <f t="shared" si="23"/>
        <v>1022.3184735566624</v>
      </c>
      <c r="AB50" s="195">
        <f t="shared" si="24"/>
        <v>0</v>
      </c>
      <c r="AC50" s="196">
        <f t="shared" si="25"/>
        <v>140.69186035135962</v>
      </c>
      <c r="AD50" s="188">
        <f t="shared" si="26"/>
        <v>0</v>
      </c>
      <c r="AE50" s="189">
        <f t="shared" si="27"/>
        <v>0.5</v>
      </c>
      <c r="AF50" s="189">
        <f t="shared" si="28"/>
        <v>0</v>
      </c>
      <c r="AG50" s="190">
        <f t="shared" si="29"/>
        <v>-9.9999999999999867E-2</v>
      </c>
    </row>
    <row r="51" spans="1:33">
      <c r="A51">
        <v>251</v>
      </c>
      <c r="B51" s="185">
        <f>VLOOKUP($A51,'Allocate OPROC cost'!$A:$AO,30,FALSE)</f>
        <v>1220</v>
      </c>
      <c r="C51" s="186">
        <f>VLOOKUP($A51,'Allocate OPROC cost'!$A:$AO,31,FALSE)</f>
        <v>12901</v>
      </c>
      <c r="D51" s="186">
        <f>VLOOKUP($A51,'Allocate OPROC cost'!$A:$AO,32,FALSE)</f>
        <v>4456</v>
      </c>
      <c r="E51" s="187">
        <f>VLOOKUP($A51,'Allocate OPROC cost'!$A:$AO,33,FALSE)</f>
        <v>38718</v>
      </c>
      <c r="F51" s="185">
        <f>VLOOKUP($A51,'Allocate OPROC cost'!$A:$AO,34,FALSE)</f>
        <v>245765.798879699</v>
      </c>
      <c r="G51" s="186">
        <f>VLOOKUP($A51,'Allocate OPROC cost'!$A:$AO,35,FALSE)</f>
        <v>2774042.9258244177</v>
      </c>
      <c r="H51" s="186">
        <f>VLOOKUP($A51,'Allocate OPROC cost'!$A:$AO,36,FALSE)</f>
        <v>750173.31392146298</v>
      </c>
      <c r="I51" s="187">
        <f>VLOOKUP($A51,'Allocate OPROC cost'!$A:$AO,37,FALSE)</f>
        <v>6676771.7847864879</v>
      </c>
      <c r="J51" s="179">
        <f t="shared" si="10"/>
        <v>201.44737613090081</v>
      </c>
      <c r="K51" s="180">
        <f t="shared" si="10"/>
        <v>215.0254186361071</v>
      </c>
      <c r="L51" s="180">
        <f t="shared" si="10"/>
        <v>168.35128229835345</v>
      </c>
      <c r="M51" s="181">
        <f t="shared" si="10"/>
        <v>172.44619517502164</v>
      </c>
      <c r="N51" s="173">
        <f t="shared" si="11"/>
        <v>1.305239100534354</v>
      </c>
      <c r="O51" s="174">
        <f t="shared" si="12"/>
        <v>1.2406873997020871</v>
      </c>
      <c r="P51" s="174">
        <f t="shared" si="30"/>
        <v>0.9</v>
      </c>
      <c r="Q51" s="175">
        <f t="shared" si="30"/>
        <v>0.9</v>
      </c>
      <c r="R51" s="173">
        <f t="shared" si="14"/>
        <v>1.305239100534354</v>
      </c>
      <c r="S51" s="174">
        <f t="shared" si="15"/>
        <v>1.2406873997020871</v>
      </c>
      <c r="T51" s="174">
        <f t="shared" si="16"/>
        <v>0.9</v>
      </c>
      <c r="U51" s="175">
        <f t="shared" si="17"/>
        <v>0.9</v>
      </c>
      <c r="V51" s="167">
        <f t="shared" si="18"/>
        <v>320783.13027184526</v>
      </c>
      <c r="W51" s="168">
        <f t="shared" si="19"/>
        <v>3441720.1043030666</v>
      </c>
      <c r="X51" s="168">
        <f t="shared" si="20"/>
        <v>675155.98252931668</v>
      </c>
      <c r="Y51" s="169">
        <f t="shared" si="21"/>
        <v>6009094.606307839</v>
      </c>
      <c r="Z51" s="194">
        <f t="shared" si="22"/>
        <v>262.9369920261027</v>
      </c>
      <c r="AA51" s="195">
        <f t="shared" si="23"/>
        <v>266.77932751748443</v>
      </c>
      <c r="AB51" s="195">
        <f t="shared" si="24"/>
        <v>151.51615406851812</v>
      </c>
      <c r="AC51" s="196">
        <f t="shared" si="25"/>
        <v>155.20157565751947</v>
      </c>
      <c r="AD51" s="188">
        <f t="shared" si="26"/>
        <v>0.30523910053435421</v>
      </c>
      <c r="AE51" s="189">
        <f t="shared" si="27"/>
        <v>0.24068739970208708</v>
      </c>
      <c r="AF51" s="189">
        <f t="shared" si="28"/>
        <v>-9.9999999999999978E-2</v>
      </c>
      <c r="AG51" s="190">
        <f t="shared" si="29"/>
        <v>-0.10000000000000009</v>
      </c>
    </row>
    <row r="52" spans="1:33">
      <c r="A52">
        <v>252</v>
      </c>
      <c r="B52" s="185">
        <f>VLOOKUP($A52,'Allocate OPROC cost'!$A:$AO,30,FALSE)</f>
        <v>915</v>
      </c>
      <c r="C52" s="186">
        <f>VLOOKUP($A52,'Allocate OPROC cost'!$A:$AO,31,FALSE)</f>
        <v>8526</v>
      </c>
      <c r="D52" s="186">
        <f>VLOOKUP($A52,'Allocate OPROC cost'!$A:$AO,32,FALSE)</f>
        <v>5478</v>
      </c>
      <c r="E52" s="187">
        <f>VLOOKUP($A52,'Allocate OPROC cost'!$A:$AO,33,FALSE)</f>
        <v>33817</v>
      </c>
      <c r="F52" s="185">
        <f>VLOOKUP($A52,'Allocate OPROC cost'!$A:$AO,34,FALSE)</f>
        <v>181746.526212517</v>
      </c>
      <c r="G52" s="186">
        <f>VLOOKUP($A52,'Allocate OPROC cost'!$A:$AO,35,FALSE)</f>
        <v>2778490.5881412318</v>
      </c>
      <c r="H52" s="186">
        <f>VLOOKUP($A52,'Allocate OPROC cost'!$A:$AO,36,FALSE)</f>
        <v>1264476.6805070599</v>
      </c>
      <c r="I52" s="187">
        <f>VLOOKUP($A52,'Allocate OPROC cost'!$A:$AO,37,FALSE)</f>
        <v>7256648.3086021841</v>
      </c>
      <c r="J52" s="179">
        <f t="shared" si="10"/>
        <v>198.63008329236831</v>
      </c>
      <c r="K52" s="180">
        <f t="shared" si="10"/>
        <v>325.88442272357867</v>
      </c>
      <c r="L52" s="180">
        <f t="shared" si="10"/>
        <v>230.82816365590725</v>
      </c>
      <c r="M52" s="181">
        <f t="shared" si="10"/>
        <v>214.58580916705159</v>
      </c>
      <c r="N52" s="173">
        <f t="shared" si="11"/>
        <v>1.6957363680384745</v>
      </c>
      <c r="O52" s="174">
        <f t="shared" si="12"/>
        <v>1.2611723192287929</v>
      </c>
      <c r="P52" s="174">
        <f t="shared" si="30"/>
        <v>0.9</v>
      </c>
      <c r="Q52" s="175">
        <f t="shared" si="30"/>
        <v>0.9</v>
      </c>
      <c r="R52" s="173">
        <f t="shared" si="14"/>
        <v>1.5</v>
      </c>
      <c r="S52" s="174">
        <f t="shared" si="15"/>
        <v>1.2611723192287929</v>
      </c>
      <c r="T52" s="174">
        <f t="shared" si="16"/>
        <v>0.9</v>
      </c>
      <c r="U52" s="175">
        <f t="shared" si="17"/>
        <v>0.9</v>
      </c>
      <c r="V52" s="167">
        <f t="shared" si="18"/>
        <v>272619.78931877553</v>
      </c>
      <c r="W52" s="168">
        <f t="shared" si="19"/>
        <v>3504155.4190014503</v>
      </c>
      <c r="X52" s="168">
        <f t="shared" si="20"/>
        <v>1138029.012456354</v>
      </c>
      <c r="Y52" s="169">
        <f t="shared" si="21"/>
        <v>6530983.477741966</v>
      </c>
      <c r="Z52" s="194">
        <f t="shared" si="22"/>
        <v>297.94512493855251</v>
      </c>
      <c r="AA52" s="195">
        <f t="shared" si="23"/>
        <v>410.99641320683207</v>
      </c>
      <c r="AB52" s="195">
        <f t="shared" si="24"/>
        <v>207.74534729031654</v>
      </c>
      <c r="AC52" s="196">
        <f t="shared" si="25"/>
        <v>193.12722825034646</v>
      </c>
      <c r="AD52" s="188">
        <f t="shared" si="26"/>
        <v>0.50000000000000022</v>
      </c>
      <c r="AE52" s="189">
        <f t="shared" si="27"/>
        <v>0.26117231922879292</v>
      </c>
      <c r="AF52" s="189">
        <f t="shared" si="28"/>
        <v>-9.9999999999999867E-2</v>
      </c>
      <c r="AG52" s="190">
        <f t="shared" si="29"/>
        <v>-9.9999999999999867E-2</v>
      </c>
    </row>
    <row r="53" spans="1:33">
      <c r="A53">
        <v>253</v>
      </c>
      <c r="B53" s="185">
        <f>VLOOKUP($A53,'Allocate OPROC cost'!$A:$AO,30,FALSE)</f>
        <v>239</v>
      </c>
      <c r="C53" s="186">
        <f>VLOOKUP($A53,'Allocate OPROC cost'!$A:$AO,31,FALSE)</f>
        <v>5365</v>
      </c>
      <c r="D53" s="186">
        <f>VLOOKUP($A53,'Allocate OPROC cost'!$A:$AO,32,FALSE)</f>
        <v>1770</v>
      </c>
      <c r="E53" s="187">
        <f>VLOOKUP($A53,'Allocate OPROC cost'!$A:$AO,33,FALSE)</f>
        <v>38399</v>
      </c>
      <c r="F53" s="185">
        <f>VLOOKUP($A53,'Allocate OPROC cost'!$A:$AO,34,FALSE)</f>
        <v>51851.552905742799</v>
      </c>
      <c r="G53" s="186">
        <f>VLOOKUP($A53,'Allocate OPROC cost'!$A:$AO,35,FALSE)</f>
        <v>1619129.098892384</v>
      </c>
      <c r="H53" s="186">
        <f>VLOOKUP($A53,'Allocate OPROC cost'!$A:$AO,36,FALSE)</f>
        <v>290010.06115968898</v>
      </c>
      <c r="I53" s="187">
        <f>VLOOKUP($A53,'Allocate OPROC cost'!$A:$AO,37,FALSE)</f>
        <v>9420933.794715587</v>
      </c>
      <c r="J53" s="179">
        <f t="shared" si="10"/>
        <v>216.95210420812887</v>
      </c>
      <c r="K53" s="180">
        <f t="shared" si="10"/>
        <v>301.79479942076125</v>
      </c>
      <c r="L53" s="180">
        <f t="shared" si="10"/>
        <v>163.84749218061523</v>
      </c>
      <c r="M53" s="181">
        <f t="shared" si="10"/>
        <v>245.34320671672666</v>
      </c>
      <c r="N53" s="173">
        <f t="shared" si="11"/>
        <v>1.5593083425811323</v>
      </c>
      <c r="O53" s="174">
        <f t="shared" si="12"/>
        <v>1.5818519228121013</v>
      </c>
      <c r="P53" s="174">
        <f t="shared" si="30"/>
        <v>0.9</v>
      </c>
      <c r="Q53" s="175">
        <f t="shared" si="30"/>
        <v>0.9</v>
      </c>
      <c r="R53" s="173">
        <f t="shared" si="14"/>
        <v>1.5</v>
      </c>
      <c r="S53" s="174">
        <f t="shared" si="15"/>
        <v>1.5</v>
      </c>
      <c r="T53" s="174">
        <f t="shared" si="16"/>
        <v>0.9</v>
      </c>
      <c r="U53" s="175">
        <f t="shared" si="17"/>
        <v>0.9</v>
      </c>
      <c r="V53" s="167">
        <f t="shared" si="18"/>
        <v>77777.329358614195</v>
      </c>
      <c r="W53" s="168">
        <f t="shared" si="19"/>
        <v>2428693.6483385758</v>
      </c>
      <c r="X53" s="168">
        <f t="shared" si="20"/>
        <v>261009.05504372009</v>
      </c>
      <c r="Y53" s="169">
        <f t="shared" si="21"/>
        <v>8478840.415244028</v>
      </c>
      <c r="Z53" s="194">
        <f t="shared" si="22"/>
        <v>325.42815631219327</v>
      </c>
      <c r="AA53" s="195">
        <f t="shared" si="23"/>
        <v>452.69219913114182</v>
      </c>
      <c r="AB53" s="195">
        <f t="shared" si="24"/>
        <v>147.46274296255373</v>
      </c>
      <c r="AC53" s="196">
        <f t="shared" si="25"/>
        <v>220.80888604505398</v>
      </c>
      <c r="AD53" s="188">
        <f t="shared" si="26"/>
        <v>0.49999999999999978</v>
      </c>
      <c r="AE53" s="189">
        <f t="shared" si="27"/>
        <v>0.49999999999999978</v>
      </c>
      <c r="AF53" s="189">
        <f t="shared" si="28"/>
        <v>-9.9999999999999867E-2</v>
      </c>
      <c r="AG53" s="190">
        <f t="shared" si="29"/>
        <v>-0.10000000000000009</v>
      </c>
    </row>
    <row r="54" spans="1:33">
      <c r="A54">
        <v>254</v>
      </c>
      <c r="B54" s="185">
        <f>VLOOKUP($A54,'Allocate OPROC cost'!$A:$AO,30,FALSE)</f>
        <v>0</v>
      </c>
      <c r="C54" s="186">
        <f>VLOOKUP($A54,'Allocate OPROC cost'!$A:$AO,31,FALSE)</f>
        <v>15577</v>
      </c>
      <c r="D54" s="186">
        <f>VLOOKUP($A54,'Allocate OPROC cost'!$A:$AO,32,FALSE)</f>
        <v>0</v>
      </c>
      <c r="E54" s="187">
        <f>VLOOKUP($A54,'Allocate OPROC cost'!$A:$AO,33,FALSE)</f>
        <v>20810</v>
      </c>
      <c r="F54" s="185">
        <f>VLOOKUP($A54,'Allocate OPROC cost'!$A:$AO,34,FALSE)</f>
        <v>0</v>
      </c>
      <c r="G54" s="186">
        <f>VLOOKUP($A54,'Allocate OPROC cost'!$A:$AO,35,FALSE)</f>
        <v>2487460.163127</v>
      </c>
      <c r="H54" s="186">
        <f>VLOOKUP($A54,'Allocate OPROC cost'!$A:$AO,36,FALSE)</f>
        <v>0</v>
      </c>
      <c r="I54" s="187">
        <f>VLOOKUP($A54,'Allocate OPROC cost'!$A:$AO,37,FALSE)</f>
        <v>3725272.7054657801</v>
      </c>
      <c r="J54" s="179">
        <f t="shared" si="10"/>
        <v>0</v>
      </c>
      <c r="K54" s="180">
        <f t="shared" si="10"/>
        <v>159.68801201303202</v>
      </c>
      <c r="L54" s="180">
        <f t="shared" si="10"/>
        <v>0</v>
      </c>
      <c r="M54" s="181">
        <f t="shared" si="10"/>
        <v>179.01358507764439</v>
      </c>
      <c r="N54" s="173">
        <f t="shared" si="11"/>
        <v>1</v>
      </c>
      <c r="O54" s="174">
        <f t="shared" si="12"/>
        <v>1.1497621051660469</v>
      </c>
      <c r="P54" s="174">
        <f t="shared" si="30"/>
        <v>0.9</v>
      </c>
      <c r="Q54" s="175">
        <f t="shared" si="30"/>
        <v>0.9</v>
      </c>
      <c r="R54" s="173">
        <f t="shared" si="14"/>
        <v>1</v>
      </c>
      <c r="S54" s="174">
        <f t="shared" si="15"/>
        <v>1.1497621051660469</v>
      </c>
      <c r="T54" s="174">
        <f t="shared" si="16"/>
        <v>0.9</v>
      </c>
      <c r="U54" s="175">
        <f t="shared" si="17"/>
        <v>0.9</v>
      </c>
      <c r="V54" s="167">
        <f t="shared" si="18"/>
        <v>0</v>
      </c>
      <c r="W54" s="168">
        <f t="shared" si="19"/>
        <v>2859987.4336735778</v>
      </c>
      <c r="X54" s="168">
        <f t="shared" si="20"/>
        <v>0</v>
      </c>
      <c r="Y54" s="169">
        <f t="shared" si="21"/>
        <v>3352745.4349192022</v>
      </c>
      <c r="Z54" s="194">
        <f t="shared" si="22"/>
        <v>0</v>
      </c>
      <c r="AA54" s="195">
        <f t="shared" si="23"/>
        <v>183.60322486188468</v>
      </c>
      <c r="AB54" s="195">
        <f t="shared" si="24"/>
        <v>0</v>
      </c>
      <c r="AC54" s="196">
        <f t="shared" si="25"/>
        <v>161.11222656987997</v>
      </c>
      <c r="AD54" s="188">
        <f t="shared" si="26"/>
        <v>0</v>
      </c>
      <c r="AE54" s="189">
        <f t="shared" si="27"/>
        <v>0.14976210516604693</v>
      </c>
      <c r="AF54" s="189">
        <f t="shared" si="28"/>
        <v>0</v>
      </c>
      <c r="AG54" s="190">
        <f t="shared" si="29"/>
        <v>-9.9999999999999978E-2</v>
      </c>
    </row>
    <row r="55" spans="1:33">
      <c r="A55">
        <v>255</v>
      </c>
      <c r="B55" s="185">
        <f>VLOOKUP($A55,'Allocate OPROC cost'!$A:$AO,30,FALSE)</f>
        <v>851</v>
      </c>
      <c r="C55" s="186">
        <f>VLOOKUP($A55,'Allocate OPROC cost'!$A:$AO,31,FALSE)</f>
        <v>8990</v>
      </c>
      <c r="D55" s="186">
        <f>VLOOKUP($A55,'Allocate OPROC cost'!$A:$AO,32,FALSE)</f>
        <v>740</v>
      </c>
      <c r="E55" s="187">
        <f>VLOOKUP($A55,'Allocate OPROC cost'!$A:$AO,33,FALSE)</f>
        <v>12608</v>
      </c>
      <c r="F55" s="185">
        <f>VLOOKUP($A55,'Allocate OPROC cost'!$A:$AO,34,FALSE)</f>
        <v>273958.82514780801</v>
      </c>
      <c r="G55" s="186">
        <f>VLOOKUP($A55,'Allocate OPROC cost'!$A:$AO,35,FALSE)</f>
        <v>2167519.7818264356</v>
      </c>
      <c r="H55" s="186">
        <f>VLOOKUP($A55,'Allocate OPROC cost'!$A:$AO,36,FALSE)</f>
        <v>173659.91185025201</v>
      </c>
      <c r="I55" s="187">
        <f>VLOOKUP($A55,'Allocate OPROC cost'!$A:$AO,37,FALSE)</f>
        <v>2692063.2889345386</v>
      </c>
      <c r="J55" s="179">
        <f t="shared" si="10"/>
        <v>321.92576398097299</v>
      </c>
      <c r="K55" s="180">
        <f t="shared" si="10"/>
        <v>241.10342400738995</v>
      </c>
      <c r="L55" s="180">
        <f t="shared" si="10"/>
        <v>234.6755565543946</v>
      </c>
      <c r="M55" s="181">
        <f t="shared" si="10"/>
        <v>213.52024817056937</v>
      </c>
      <c r="N55" s="173">
        <f t="shared" si="11"/>
        <v>1.0633890555475107</v>
      </c>
      <c r="O55" s="174">
        <f t="shared" si="12"/>
        <v>1.1242001716203993</v>
      </c>
      <c r="P55" s="174">
        <f t="shared" si="30"/>
        <v>0.9</v>
      </c>
      <c r="Q55" s="175">
        <f t="shared" si="30"/>
        <v>0.9</v>
      </c>
      <c r="R55" s="173">
        <f t="shared" si="14"/>
        <v>1.0633890555475107</v>
      </c>
      <c r="S55" s="174">
        <f t="shared" si="15"/>
        <v>1.1242001716203993</v>
      </c>
      <c r="T55" s="174">
        <f t="shared" si="16"/>
        <v>0.9</v>
      </c>
      <c r="U55" s="175">
        <f t="shared" si="17"/>
        <v>0.9</v>
      </c>
      <c r="V55" s="167">
        <f t="shared" si="18"/>
        <v>291324.8163328332</v>
      </c>
      <c r="W55" s="168">
        <f t="shared" si="19"/>
        <v>2436726.1107198894</v>
      </c>
      <c r="X55" s="168">
        <f t="shared" si="20"/>
        <v>156293.92066522682</v>
      </c>
      <c r="Y55" s="169">
        <f t="shared" si="21"/>
        <v>2422856.9600410848</v>
      </c>
      <c r="Z55" s="194">
        <f t="shared" si="22"/>
        <v>342.3323341161377</v>
      </c>
      <c r="AA55" s="195">
        <f t="shared" si="23"/>
        <v>271.04851064737369</v>
      </c>
      <c r="AB55" s="195">
        <f t="shared" si="24"/>
        <v>211.20800089895516</v>
      </c>
      <c r="AC55" s="196">
        <f t="shared" si="25"/>
        <v>192.16822335351245</v>
      </c>
      <c r="AD55" s="188">
        <f t="shared" si="26"/>
        <v>6.3389055547510731E-2</v>
      </c>
      <c r="AE55" s="189">
        <f t="shared" si="27"/>
        <v>0.12420017162039931</v>
      </c>
      <c r="AF55" s="189">
        <f t="shared" si="28"/>
        <v>-9.9999999999999867E-2</v>
      </c>
      <c r="AG55" s="190">
        <f t="shared" si="29"/>
        <v>-9.9999999999999978E-2</v>
      </c>
    </row>
    <row r="56" spans="1:33">
      <c r="A56">
        <v>256</v>
      </c>
      <c r="B56" s="185">
        <f>VLOOKUP($A56,'Allocate OPROC cost'!$A:$AO,30,FALSE)</f>
        <v>3</v>
      </c>
      <c r="C56" s="186">
        <f>VLOOKUP($A56,'Allocate OPROC cost'!$A:$AO,31,FALSE)</f>
        <v>1328</v>
      </c>
      <c r="D56" s="186">
        <f>VLOOKUP($A56,'Allocate OPROC cost'!$A:$AO,32,FALSE)</f>
        <v>97</v>
      </c>
      <c r="E56" s="187">
        <f>VLOOKUP($A56,'Allocate OPROC cost'!$A:$AO,33,FALSE)</f>
        <v>4686</v>
      </c>
      <c r="F56" s="185">
        <f>VLOOKUP($A56,'Allocate OPROC cost'!$A:$AO,34,FALSE)</f>
        <v>715.592227707961</v>
      </c>
      <c r="G56" s="186">
        <f>VLOOKUP($A56,'Allocate OPROC cost'!$A:$AO,35,FALSE)</f>
        <v>343398.35606517497</v>
      </c>
      <c r="H56" s="186">
        <f>VLOOKUP($A56,'Allocate OPROC cost'!$A:$AO,36,FALSE)</f>
        <v>13851.333278985199</v>
      </c>
      <c r="I56" s="187">
        <f>VLOOKUP($A56,'Allocate OPROC cost'!$A:$AO,37,FALSE)</f>
        <v>1382729.76320182</v>
      </c>
      <c r="J56" s="179">
        <f t="shared" si="10"/>
        <v>238.53074256932032</v>
      </c>
      <c r="K56" s="180">
        <f t="shared" si="10"/>
        <v>258.58309944666792</v>
      </c>
      <c r="L56" s="180">
        <f t="shared" si="10"/>
        <v>142.79725029881649</v>
      </c>
      <c r="M56" s="181">
        <f t="shared" si="10"/>
        <v>295.07677405075117</v>
      </c>
      <c r="N56" s="173">
        <f t="shared" si="11"/>
        <v>2.9356461323442495</v>
      </c>
      <c r="O56" s="174">
        <f t="shared" si="12"/>
        <v>1.4026605657190119</v>
      </c>
      <c r="P56" s="174">
        <f t="shared" si="30"/>
        <v>0.9</v>
      </c>
      <c r="Q56" s="175">
        <f t="shared" si="30"/>
        <v>0.9</v>
      </c>
      <c r="R56" s="173">
        <f t="shared" si="14"/>
        <v>1.5</v>
      </c>
      <c r="S56" s="174">
        <f t="shared" si="15"/>
        <v>1.4026605657190119</v>
      </c>
      <c r="T56" s="174">
        <f t="shared" si="16"/>
        <v>0.9</v>
      </c>
      <c r="U56" s="175">
        <f t="shared" si="17"/>
        <v>0.9</v>
      </c>
      <c r="V56" s="167">
        <f t="shared" si="18"/>
        <v>1073.3883415619416</v>
      </c>
      <c r="W56" s="168">
        <f t="shared" si="19"/>
        <v>481671.332385357</v>
      </c>
      <c r="X56" s="168">
        <f t="shared" si="20"/>
        <v>12466.199951086679</v>
      </c>
      <c r="Y56" s="169">
        <f t="shared" si="21"/>
        <v>1244456.786881638</v>
      </c>
      <c r="Z56" s="194">
        <f t="shared" si="22"/>
        <v>357.79611385398056</v>
      </c>
      <c r="AA56" s="195">
        <f t="shared" si="23"/>
        <v>362.70431655523873</v>
      </c>
      <c r="AB56" s="195">
        <f t="shared" si="24"/>
        <v>128.51752526893483</v>
      </c>
      <c r="AC56" s="196">
        <f t="shared" si="25"/>
        <v>265.56909664567604</v>
      </c>
      <c r="AD56" s="188">
        <f t="shared" si="26"/>
        <v>0.50000000000000022</v>
      </c>
      <c r="AE56" s="189">
        <f t="shared" si="27"/>
        <v>0.40266056571901188</v>
      </c>
      <c r="AF56" s="189">
        <f t="shared" si="28"/>
        <v>-0.10000000000000009</v>
      </c>
      <c r="AG56" s="190">
        <f t="shared" si="29"/>
        <v>-0.10000000000000009</v>
      </c>
    </row>
    <row r="57" spans="1:33">
      <c r="A57">
        <v>257</v>
      </c>
      <c r="B57" s="185">
        <f>VLOOKUP($A57,'Allocate OPROC cost'!$A:$AO,30,FALSE)</f>
        <v>344</v>
      </c>
      <c r="C57" s="186">
        <f>VLOOKUP($A57,'Allocate OPROC cost'!$A:$AO,31,FALSE)</f>
        <v>19812</v>
      </c>
      <c r="D57" s="186">
        <f>VLOOKUP($A57,'Allocate OPROC cost'!$A:$AO,32,FALSE)</f>
        <v>452</v>
      </c>
      <c r="E57" s="187">
        <f>VLOOKUP($A57,'Allocate OPROC cost'!$A:$AO,33,FALSE)</f>
        <v>33316</v>
      </c>
      <c r="F57" s="185">
        <f>VLOOKUP($A57,'Allocate OPROC cost'!$A:$AO,34,FALSE)</f>
        <v>63228.665604334397</v>
      </c>
      <c r="G57" s="186">
        <f>VLOOKUP($A57,'Allocate OPROC cost'!$A:$AO,35,FALSE)</f>
        <v>2310848.7356138406</v>
      </c>
      <c r="H57" s="186">
        <f>VLOOKUP($A57,'Allocate OPROC cost'!$A:$AO,36,FALSE)</f>
        <v>85666.143360691902</v>
      </c>
      <c r="I57" s="187">
        <f>VLOOKUP($A57,'Allocate OPROC cost'!$A:$AO,37,FALSE)</f>
        <v>3618415.1370876874</v>
      </c>
      <c r="J57" s="179">
        <f t="shared" si="10"/>
        <v>183.80426047771627</v>
      </c>
      <c r="K57" s="180">
        <f t="shared" si="10"/>
        <v>116.63884189450033</v>
      </c>
      <c r="L57" s="180">
        <f t="shared" si="10"/>
        <v>189.52686584223872</v>
      </c>
      <c r="M57" s="181">
        <f t="shared" si="10"/>
        <v>108.60893075662406</v>
      </c>
      <c r="N57" s="173">
        <f t="shared" si="11"/>
        <v>1.1354862427380081</v>
      </c>
      <c r="O57" s="174">
        <f t="shared" si="12"/>
        <v>1.1565838162109954</v>
      </c>
      <c r="P57" s="174">
        <f t="shared" si="30"/>
        <v>0.9</v>
      </c>
      <c r="Q57" s="175">
        <f t="shared" si="30"/>
        <v>0.9</v>
      </c>
      <c r="R57" s="173">
        <f t="shared" si="14"/>
        <v>1.1354862427380081</v>
      </c>
      <c r="S57" s="174">
        <f t="shared" si="15"/>
        <v>1.1565838162109954</v>
      </c>
      <c r="T57" s="174">
        <f t="shared" si="16"/>
        <v>0.9</v>
      </c>
      <c r="U57" s="175">
        <f t="shared" si="17"/>
        <v>0.9</v>
      </c>
      <c r="V57" s="167">
        <f t="shared" si="18"/>
        <v>71795.27994040359</v>
      </c>
      <c r="W57" s="168">
        <f t="shared" si="19"/>
        <v>2672690.2493226095</v>
      </c>
      <c r="X57" s="168">
        <f t="shared" si="20"/>
        <v>77099.529024622709</v>
      </c>
      <c r="Y57" s="169">
        <f t="shared" si="21"/>
        <v>3256573.6233789185</v>
      </c>
      <c r="Z57" s="194">
        <f t="shared" si="22"/>
        <v>208.70720912908021</v>
      </c>
      <c r="AA57" s="195">
        <f t="shared" si="23"/>
        <v>134.90259687677212</v>
      </c>
      <c r="AB57" s="195">
        <f t="shared" si="24"/>
        <v>170.57417925801485</v>
      </c>
      <c r="AC57" s="196">
        <f t="shared" si="25"/>
        <v>97.748037680961659</v>
      </c>
      <c r="AD57" s="188">
        <f t="shared" si="26"/>
        <v>0.13548624273800813</v>
      </c>
      <c r="AE57" s="189">
        <f t="shared" si="27"/>
        <v>0.15658381621099537</v>
      </c>
      <c r="AF57" s="189">
        <f t="shared" si="28"/>
        <v>-9.9999999999999978E-2</v>
      </c>
      <c r="AG57" s="190">
        <f t="shared" si="29"/>
        <v>-9.9999999999999978E-2</v>
      </c>
    </row>
    <row r="58" spans="1:33">
      <c r="A58">
        <v>258</v>
      </c>
      <c r="B58" s="185">
        <f>VLOOKUP($A58,'Allocate OPROC cost'!$A:$AO,30,FALSE)</f>
        <v>802</v>
      </c>
      <c r="C58" s="186">
        <f>VLOOKUP($A58,'Allocate OPROC cost'!$A:$AO,31,FALSE)</f>
        <v>8971</v>
      </c>
      <c r="D58" s="186">
        <f>VLOOKUP($A58,'Allocate OPROC cost'!$A:$AO,32,FALSE)</f>
        <v>2665</v>
      </c>
      <c r="E58" s="187">
        <f>VLOOKUP($A58,'Allocate OPROC cost'!$A:$AO,33,FALSE)</f>
        <v>31940</v>
      </c>
      <c r="F58" s="185">
        <f>VLOOKUP($A58,'Allocate OPROC cost'!$A:$AO,34,FALSE)</f>
        <v>198099.43594508499</v>
      </c>
      <c r="G58" s="186">
        <f>VLOOKUP($A58,'Allocate OPROC cost'!$A:$AO,35,FALSE)</f>
        <v>2096482.9470952167</v>
      </c>
      <c r="H58" s="186">
        <f>VLOOKUP($A58,'Allocate OPROC cost'!$A:$AO,36,FALSE)</f>
        <v>467911.20131647401</v>
      </c>
      <c r="I58" s="187">
        <f>VLOOKUP($A58,'Allocate OPROC cost'!$A:$AO,37,FALSE)</f>
        <v>5544332.6295587961</v>
      </c>
      <c r="J58" s="179">
        <f t="shared" si="10"/>
        <v>247.00677798639026</v>
      </c>
      <c r="K58" s="180">
        <f t="shared" si="10"/>
        <v>233.69556873204957</v>
      </c>
      <c r="L58" s="180">
        <f t="shared" si="10"/>
        <v>175.57643576603152</v>
      </c>
      <c r="M58" s="181">
        <f t="shared" si="10"/>
        <v>173.58586817654339</v>
      </c>
      <c r="N58" s="173">
        <f t="shared" si="11"/>
        <v>1.2362001684074373</v>
      </c>
      <c r="O58" s="174">
        <f t="shared" si="12"/>
        <v>1.2644587516078178</v>
      </c>
      <c r="P58" s="174">
        <f t="shared" si="30"/>
        <v>0.9</v>
      </c>
      <c r="Q58" s="175">
        <f t="shared" si="30"/>
        <v>0.9</v>
      </c>
      <c r="R58" s="173">
        <f t="shared" si="14"/>
        <v>1.2362001684074373</v>
      </c>
      <c r="S58" s="174">
        <f t="shared" si="15"/>
        <v>1.2644587516078178</v>
      </c>
      <c r="T58" s="174">
        <f t="shared" si="16"/>
        <v>0.9</v>
      </c>
      <c r="U58" s="175">
        <f t="shared" si="17"/>
        <v>0.9</v>
      </c>
      <c r="V58" s="167">
        <f t="shared" si="18"/>
        <v>244890.55607673241</v>
      </c>
      <c r="W58" s="168">
        <f t="shared" si="19"/>
        <v>2650916.2100510965</v>
      </c>
      <c r="X58" s="168">
        <f t="shared" si="20"/>
        <v>421120.08118482662</v>
      </c>
      <c r="Y58" s="169">
        <f t="shared" si="21"/>
        <v>4989899.3666029163</v>
      </c>
      <c r="Z58" s="194">
        <f t="shared" si="22"/>
        <v>305.34982054455412</v>
      </c>
      <c r="AA58" s="195">
        <f t="shared" si="23"/>
        <v>295.4984070952064</v>
      </c>
      <c r="AB58" s="195">
        <f t="shared" si="24"/>
        <v>158.01879218942838</v>
      </c>
      <c r="AC58" s="196">
        <f t="shared" si="25"/>
        <v>156.22728135888906</v>
      </c>
      <c r="AD58" s="188">
        <f t="shared" si="26"/>
        <v>0.23620016840743729</v>
      </c>
      <c r="AE58" s="189">
        <f t="shared" si="27"/>
        <v>0.26445875160781784</v>
      </c>
      <c r="AF58" s="189">
        <f t="shared" si="28"/>
        <v>-9.9999999999999978E-2</v>
      </c>
      <c r="AG58" s="190">
        <f t="shared" si="29"/>
        <v>-9.9999999999999978E-2</v>
      </c>
    </row>
    <row r="59" spans="1:33">
      <c r="A59">
        <v>259</v>
      </c>
      <c r="B59" s="185">
        <f>VLOOKUP($A59,'Allocate OPROC cost'!$A:$AO,30,FALSE)</f>
        <v>96</v>
      </c>
      <c r="C59" s="186">
        <f>VLOOKUP($A59,'Allocate OPROC cost'!$A:$AO,31,FALSE)</f>
        <v>4002</v>
      </c>
      <c r="D59" s="186">
        <f>VLOOKUP($A59,'Allocate OPROC cost'!$A:$AO,32,FALSE)</f>
        <v>2345</v>
      </c>
      <c r="E59" s="187">
        <f>VLOOKUP($A59,'Allocate OPROC cost'!$A:$AO,33,FALSE)</f>
        <v>29674</v>
      </c>
      <c r="F59" s="185">
        <f>VLOOKUP($A59,'Allocate OPROC cost'!$A:$AO,34,FALSE)</f>
        <v>20878.964699611501</v>
      </c>
      <c r="G59" s="186">
        <f>VLOOKUP($A59,'Allocate OPROC cost'!$A:$AO,35,FALSE)</f>
        <v>1083539.755484405</v>
      </c>
      <c r="H59" s="186">
        <f>VLOOKUP($A59,'Allocate OPROC cost'!$A:$AO,36,FALSE)</f>
        <v>355743.50978437002</v>
      </c>
      <c r="I59" s="187">
        <f>VLOOKUP($A59,'Allocate OPROC cost'!$A:$AO,37,FALSE)</f>
        <v>6653456.3082408998</v>
      </c>
      <c r="J59" s="179">
        <f t="shared" si="10"/>
        <v>217.48921562095313</v>
      </c>
      <c r="K59" s="180">
        <f t="shared" si="10"/>
        <v>270.74956408905672</v>
      </c>
      <c r="L59" s="180">
        <f t="shared" si="10"/>
        <v>151.70298924706611</v>
      </c>
      <c r="M59" s="181">
        <f t="shared" si="10"/>
        <v>224.21838337402775</v>
      </c>
      <c r="N59" s="173">
        <f t="shared" si="11"/>
        <v>2.7038369234418478</v>
      </c>
      <c r="O59" s="174">
        <f t="shared" si="12"/>
        <v>1.6140481947767962</v>
      </c>
      <c r="P59" s="174">
        <f t="shared" si="30"/>
        <v>0.9</v>
      </c>
      <c r="Q59" s="175">
        <f t="shared" si="30"/>
        <v>0.9</v>
      </c>
      <c r="R59" s="173">
        <f t="shared" si="14"/>
        <v>1.5</v>
      </c>
      <c r="S59" s="174">
        <f t="shared" si="15"/>
        <v>1.5</v>
      </c>
      <c r="T59" s="174">
        <f t="shared" si="16"/>
        <v>0.9</v>
      </c>
      <c r="U59" s="175">
        <f t="shared" si="17"/>
        <v>0.9</v>
      </c>
      <c r="V59" s="167">
        <f t="shared" si="18"/>
        <v>31318.447049417249</v>
      </c>
      <c r="W59" s="168">
        <f t="shared" si="19"/>
        <v>1625309.6332266075</v>
      </c>
      <c r="X59" s="168">
        <f t="shared" si="20"/>
        <v>320169.15880593302</v>
      </c>
      <c r="Y59" s="169">
        <f t="shared" si="21"/>
        <v>5988110.6774168098</v>
      </c>
      <c r="Z59" s="194">
        <f t="shared" si="22"/>
        <v>326.2338234314297</v>
      </c>
      <c r="AA59" s="195">
        <f t="shared" si="23"/>
        <v>406.12434613358505</v>
      </c>
      <c r="AB59" s="195">
        <f t="shared" si="24"/>
        <v>136.53269032235949</v>
      </c>
      <c r="AC59" s="196">
        <f t="shared" si="25"/>
        <v>201.79654503662499</v>
      </c>
      <c r="AD59" s="188">
        <f t="shared" si="26"/>
        <v>0.5</v>
      </c>
      <c r="AE59" s="189">
        <f t="shared" si="27"/>
        <v>0.5</v>
      </c>
      <c r="AF59" s="189">
        <f t="shared" si="28"/>
        <v>-0.10000000000000009</v>
      </c>
      <c r="AG59" s="190">
        <f t="shared" si="29"/>
        <v>-9.9999999999999978E-2</v>
      </c>
    </row>
    <row r="60" spans="1:33">
      <c r="A60">
        <v>260</v>
      </c>
      <c r="B60" s="185">
        <f>VLOOKUP($A60,'Allocate OPROC cost'!$A:$AO,30,FALSE)</f>
        <v>226</v>
      </c>
      <c r="C60" s="186">
        <f>VLOOKUP($A60,'Allocate OPROC cost'!$A:$AO,31,FALSE)</f>
        <v>2135</v>
      </c>
      <c r="D60" s="186">
        <f>VLOOKUP($A60,'Allocate OPROC cost'!$A:$AO,32,FALSE)</f>
        <v>2390</v>
      </c>
      <c r="E60" s="187">
        <f>VLOOKUP($A60,'Allocate OPROC cost'!$A:$AO,33,FALSE)</f>
        <v>30863</v>
      </c>
      <c r="F60" s="185">
        <f>VLOOKUP($A60,'Allocate OPROC cost'!$A:$AO,34,FALSE)</f>
        <v>65574.579055278693</v>
      </c>
      <c r="G60" s="186">
        <f>VLOOKUP($A60,'Allocate OPROC cost'!$A:$AO,35,FALSE)</f>
        <v>640155.52301791031</v>
      </c>
      <c r="H60" s="186">
        <f>VLOOKUP($A60,'Allocate OPROC cost'!$A:$AO,36,FALSE)</f>
        <v>620646.09968082199</v>
      </c>
      <c r="I60" s="187">
        <f>VLOOKUP($A60,'Allocate OPROC cost'!$A:$AO,37,FALSE)</f>
        <v>7152052.8402473349</v>
      </c>
      <c r="J60" s="179">
        <f t="shared" si="10"/>
        <v>290.15300466937475</v>
      </c>
      <c r="K60" s="180">
        <f t="shared" si="10"/>
        <v>299.83865246740532</v>
      </c>
      <c r="L60" s="180">
        <f t="shared" si="10"/>
        <v>259.68456053590876</v>
      </c>
      <c r="M60" s="181">
        <f t="shared" si="10"/>
        <v>231.73550336154409</v>
      </c>
      <c r="N60" s="173">
        <f t="shared" si="11"/>
        <v>1.9464736314321192</v>
      </c>
      <c r="O60" s="174">
        <f t="shared" si="12"/>
        <v>2.1172367624870487</v>
      </c>
      <c r="P60" s="174">
        <f t="shared" si="30"/>
        <v>0.9</v>
      </c>
      <c r="Q60" s="175">
        <f t="shared" si="30"/>
        <v>0.9</v>
      </c>
      <c r="R60" s="173">
        <f t="shared" si="14"/>
        <v>1.5</v>
      </c>
      <c r="S60" s="174">
        <f t="shared" si="15"/>
        <v>1.5</v>
      </c>
      <c r="T60" s="174">
        <f t="shared" si="16"/>
        <v>0.9</v>
      </c>
      <c r="U60" s="175">
        <f t="shared" si="17"/>
        <v>0.9</v>
      </c>
      <c r="V60" s="167">
        <f t="shared" si="18"/>
        <v>98361.868582918047</v>
      </c>
      <c r="W60" s="168">
        <f t="shared" si="19"/>
        <v>960233.28452686546</v>
      </c>
      <c r="X60" s="168">
        <f t="shared" si="20"/>
        <v>558581.48971273983</v>
      </c>
      <c r="Y60" s="169">
        <f t="shared" si="21"/>
        <v>6436847.5562226018</v>
      </c>
      <c r="Z60" s="194">
        <f t="shared" si="22"/>
        <v>435.22950700406216</v>
      </c>
      <c r="AA60" s="195">
        <f t="shared" si="23"/>
        <v>449.75797870110796</v>
      </c>
      <c r="AB60" s="195">
        <f t="shared" si="24"/>
        <v>233.71610448231792</v>
      </c>
      <c r="AC60" s="196">
        <f t="shared" si="25"/>
        <v>208.56195302538967</v>
      </c>
      <c r="AD60" s="188">
        <f t="shared" si="26"/>
        <v>0.5</v>
      </c>
      <c r="AE60" s="189">
        <f t="shared" si="27"/>
        <v>0.5</v>
      </c>
      <c r="AF60" s="189">
        <f t="shared" si="28"/>
        <v>-9.9999999999999867E-2</v>
      </c>
      <c r="AG60" s="190">
        <f t="shared" si="29"/>
        <v>-0.10000000000000009</v>
      </c>
    </row>
    <row r="61" spans="1:33">
      <c r="A61">
        <v>261</v>
      </c>
      <c r="B61" s="185">
        <f>VLOOKUP($A61,'Allocate OPROC cost'!$A:$AO,30,FALSE)</f>
        <v>24</v>
      </c>
      <c r="C61" s="186">
        <f>VLOOKUP($A61,'Allocate OPROC cost'!$A:$AO,31,FALSE)</f>
        <v>967</v>
      </c>
      <c r="D61" s="186">
        <f>VLOOKUP($A61,'Allocate OPROC cost'!$A:$AO,32,FALSE)</f>
        <v>497</v>
      </c>
      <c r="E61" s="187">
        <f>VLOOKUP($A61,'Allocate OPROC cost'!$A:$AO,33,FALSE)</f>
        <v>5098</v>
      </c>
      <c r="F61" s="185">
        <f>VLOOKUP($A61,'Allocate OPROC cost'!$A:$AO,34,FALSE)</f>
        <v>23867.4190016297</v>
      </c>
      <c r="G61" s="186">
        <f>VLOOKUP($A61,'Allocate OPROC cost'!$A:$AO,35,FALSE)</f>
        <v>846533.49647620704</v>
      </c>
      <c r="H61" s="186">
        <f>VLOOKUP($A61,'Allocate OPROC cost'!$A:$AO,36,FALSE)</f>
        <v>1251715.86239648</v>
      </c>
      <c r="I61" s="187">
        <f>VLOOKUP($A61,'Allocate OPROC cost'!$A:$AO,37,FALSE)</f>
        <v>3835622.8811138598</v>
      </c>
      <c r="J61" s="179">
        <f t="shared" si="10"/>
        <v>994.47579173457086</v>
      </c>
      <c r="K61" s="180">
        <f t="shared" si="10"/>
        <v>875.42243689369911</v>
      </c>
      <c r="L61" s="180">
        <f t="shared" si="10"/>
        <v>2518.5429826890945</v>
      </c>
      <c r="M61" s="181">
        <f t="shared" si="10"/>
        <v>752.37796804901132</v>
      </c>
      <c r="N61" s="173">
        <f t="shared" si="11"/>
        <v>6.2444542173203192</v>
      </c>
      <c r="O61" s="174">
        <f t="shared" si="12"/>
        <v>1.4530975911857098</v>
      </c>
      <c r="P61" s="174">
        <f t="shared" si="30"/>
        <v>0.9</v>
      </c>
      <c r="Q61" s="175">
        <f t="shared" si="30"/>
        <v>0.9</v>
      </c>
      <c r="R61" s="173">
        <f t="shared" si="14"/>
        <v>1.5</v>
      </c>
      <c r="S61" s="174">
        <f t="shared" si="15"/>
        <v>1.4530975911857098</v>
      </c>
      <c r="T61" s="174">
        <f t="shared" si="16"/>
        <v>0.9</v>
      </c>
      <c r="U61" s="175">
        <f t="shared" si="17"/>
        <v>0.9</v>
      </c>
      <c r="V61" s="167">
        <f t="shared" si="18"/>
        <v>35801.128502444553</v>
      </c>
      <c r="W61" s="168">
        <f t="shared" si="19"/>
        <v>1230095.7845875931</v>
      </c>
      <c r="X61" s="168">
        <f t="shared" si="20"/>
        <v>1126544.276156832</v>
      </c>
      <c r="Y61" s="169">
        <f t="shared" si="21"/>
        <v>3452060.5930024739</v>
      </c>
      <c r="Z61" s="194">
        <f t="shared" si="22"/>
        <v>1491.7136876018565</v>
      </c>
      <c r="AA61" s="195">
        <f t="shared" si="23"/>
        <v>1272.0742343201582</v>
      </c>
      <c r="AB61" s="195">
        <f t="shared" si="24"/>
        <v>2266.6886844201849</v>
      </c>
      <c r="AC61" s="196">
        <f t="shared" si="25"/>
        <v>677.14017124411021</v>
      </c>
      <c r="AD61" s="188">
        <f t="shared" si="26"/>
        <v>0.50000000000000022</v>
      </c>
      <c r="AE61" s="189">
        <f t="shared" si="27"/>
        <v>0.4530975911857098</v>
      </c>
      <c r="AF61" s="189">
        <f t="shared" si="28"/>
        <v>-0.10000000000000009</v>
      </c>
      <c r="AG61" s="190">
        <f t="shared" si="29"/>
        <v>-9.9999999999999978E-2</v>
      </c>
    </row>
    <row r="62" spans="1:33">
      <c r="A62">
        <v>262</v>
      </c>
      <c r="B62" s="185">
        <f>VLOOKUP($A62,'Allocate OPROC cost'!$A:$AO,30,FALSE)</f>
        <v>604</v>
      </c>
      <c r="C62" s="186">
        <f>VLOOKUP($A62,'Allocate OPROC cost'!$A:$AO,31,FALSE)</f>
        <v>4424</v>
      </c>
      <c r="D62" s="186">
        <f>VLOOKUP($A62,'Allocate OPROC cost'!$A:$AO,32,FALSE)</f>
        <v>2137</v>
      </c>
      <c r="E62" s="187">
        <f>VLOOKUP($A62,'Allocate OPROC cost'!$A:$AO,33,FALSE)</f>
        <v>15871</v>
      </c>
      <c r="F62" s="185">
        <f>VLOOKUP($A62,'Allocate OPROC cost'!$A:$AO,34,FALSE)</f>
        <v>204765.732056707</v>
      </c>
      <c r="G62" s="186">
        <f>VLOOKUP($A62,'Allocate OPROC cost'!$A:$AO,35,FALSE)</f>
        <v>1402908.3898948366</v>
      </c>
      <c r="H62" s="186">
        <f>VLOOKUP($A62,'Allocate OPROC cost'!$A:$AO,36,FALSE)</f>
        <v>678350.38512724405</v>
      </c>
      <c r="I62" s="187">
        <f>VLOOKUP($A62,'Allocate OPROC cost'!$A:$AO,37,FALSE)</f>
        <v>3591048.1867378787</v>
      </c>
      <c r="J62" s="179">
        <f t="shared" si="10"/>
        <v>339.01611267666721</v>
      </c>
      <c r="K62" s="180">
        <f t="shared" si="10"/>
        <v>317.11310802324516</v>
      </c>
      <c r="L62" s="180">
        <f t="shared" si="10"/>
        <v>317.4311582251961</v>
      </c>
      <c r="M62" s="181">
        <f t="shared" si="10"/>
        <v>226.26477139045295</v>
      </c>
      <c r="N62" s="173">
        <f t="shared" si="11"/>
        <v>1.3312812052650413</v>
      </c>
      <c r="O62" s="174">
        <f t="shared" si="12"/>
        <v>1.2559716808741208</v>
      </c>
      <c r="P62" s="174">
        <f t="shared" si="30"/>
        <v>0.9</v>
      </c>
      <c r="Q62" s="175">
        <f t="shared" si="30"/>
        <v>0.9</v>
      </c>
      <c r="R62" s="173">
        <f t="shared" si="14"/>
        <v>1.3312812052650413</v>
      </c>
      <c r="S62" s="174">
        <f t="shared" si="15"/>
        <v>1.2559716808741208</v>
      </c>
      <c r="T62" s="174">
        <f t="shared" si="16"/>
        <v>0.9</v>
      </c>
      <c r="U62" s="175">
        <f t="shared" si="17"/>
        <v>0.9</v>
      </c>
      <c r="V62" s="167">
        <f t="shared" si="18"/>
        <v>272600.77056943142</v>
      </c>
      <c r="W62" s="168">
        <f t="shared" si="19"/>
        <v>1762013.2085686245</v>
      </c>
      <c r="X62" s="168">
        <f t="shared" si="20"/>
        <v>610515.34661451972</v>
      </c>
      <c r="Y62" s="169">
        <f t="shared" si="21"/>
        <v>3231943.3680640911</v>
      </c>
      <c r="Z62" s="194">
        <f t="shared" si="22"/>
        <v>451.32577908846264</v>
      </c>
      <c r="AA62" s="195">
        <f t="shared" si="23"/>
        <v>398.28508331117189</v>
      </c>
      <c r="AB62" s="195">
        <f t="shared" si="24"/>
        <v>285.6880424026765</v>
      </c>
      <c r="AC62" s="196">
        <f t="shared" si="25"/>
        <v>203.63829425140767</v>
      </c>
      <c r="AD62" s="188">
        <f t="shared" si="26"/>
        <v>0.33128120526504157</v>
      </c>
      <c r="AE62" s="189">
        <f t="shared" si="27"/>
        <v>0.25597168087412081</v>
      </c>
      <c r="AF62" s="189">
        <f t="shared" si="28"/>
        <v>-9.9999999999999978E-2</v>
      </c>
      <c r="AG62" s="190">
        <f t="shared" si="29"/>
        <v>-9.9999999999999978E-2</v>
      </c>
    </row>
    <row r="63" spans="1:33" s="255" customFormat="1">
      <c r="A63" s="255">
        <v>263</v>
      </c>
      <c r="B63" s="185">
        <f>VLOOKUP($A63,'Allocate OPROC cost'!$A:$AO,30,FALSE)</f>
        <v>497</v>
      </c>
      <c r="C63" s="186">
        <f>VLOOKUP($A63,'Allocate OPROC cost'!$A:$AO,31,FALSE)</f>
        <v>2264</v>
      </c>
      <c r="D63" s="186">
        <f>VLOOKUP($A63,'Allocate OPROC cost'!$A:$AO,32,FALSE)</f>
        <v>3428</v>
      </c>
      <c r="E63" s="187">
        <f>VLOOKUP($A63,'Allocate OPROC cost'!$A:$AO,33,FALSE)</f>
        <v>17682</v>
      </c>
      <c r="F63" s="185">
        <f>VLOOKUP($A63,'Allocate OPROC cost'!$A:$AO,34,FALSE)</f>
        <v>29193.466252020102</v>
      </c>
      <c r="G63" s="186">
        <f>VLOOKUP($A63,'Allocate OPROC cost'!$A:$AO,35,FALSE)</f>
        <v>249575.39786232801</v>
      </c>
      <c r="H63" s="186">
        <f>VLOOKUP($A63,'Allocate OPROC cost'!$A:$AO,36,FALSE)</f>
        <v>394950.76606085798</v>
      </c>
      <c r="I63" s="187">
        <f>VLOOKUP($A63,'Allocate OPROC cost'!$A:$AO,37,FALSE)</f>
        <v>1386677.89319639</v>
      </c>
      <c r="J63" s="179">
        <f t="shared" ref="J63" si="31">IF(B63=0,0,F63/B63)</f>
        <v>58.739368716338234</v>
      </c>
      <c r="K63" s="180">
        <f t="shared" ref="K63" si="32">IF(C63=0,0,G63/C63)</f>
        <v>110.23648315473852</v>
      </c>
      <c r="L63" s="180">
        <f t="shared" ref="L63" si="33">IF(D63=0,0,H63/D63)</f>
        <v>115.21317563035531</v>
      </c>
      <c r="M63" s="181">
        <f t="shared" ref="M63" si="34">IF(E63=0,0,I63/E63)</f>
        <v>78.423136138241716</v>
      </c>
      <c r="N63" s="173">
        <f t="shared" ref="N63" si="35">IF(F63=0,1,1+(H63*$O$4)/F63)</f>
        <v>2.3528738336562847</v>
      </c>
      <c r="O63" s="174">
        <f t="shared" ref="O63" si="36">IF(G63=0,1,1+(I63*$O$4)/G63)</f>
        <v>1.5556148182367382</v>
      </c>
      <c r="P63" s="174">
        <f t="shared" si="30"/>
        <v>0.9</v>
      </c>
      <c r="Q63" s="175">
        <f t="shared" si="30"/>
        <v>0.9</v>
      </c>
      <c r="R63" s="173">
        <f t="shared" ref="R63" si="37">IF($S$4="No limit",N63,IF(N63&gt;$S$4,$S$4,N63))</f>
        <v>1.5</v>
      </c>
      <c r="S63" s="174">
        <f t="shared" ref="S63" si="38">IF($S$4="No limit",O63,IF(O63&gt;$S$4,$S$4,O63))</f>
        <v>1.5</v>
      </c>
      <c r="T63" s="174">
        <f t="shared" si="16"/>
        <v>0.9</v>
      </c>
      <c r="U63" s="175">
        <f t="shared" si="17"/>
        <v>0.9</v>
      </c>
      <c r="V63" s="167">
        <f t="shared" ref="V63" si="39">R63*F63</f>
        <v>43790.199378030156</v>
      </c>
      <c r="W63" s="168">
        <f t="shared" ref="W63" si="40">S63*G63</f>
        <v>374363.09679349203</v>
      </c>
      <c r="X63" s="168">
        <f t="shared" ref="X63" si="41">T63*H63</f>
        <v>355455.68945477216</v>
      </c>
      <c r="Y63" s="169">
        <f t="shared" ref="Y63" si="42">U63*I63</f>
        <v>1248010.1038767511</v>
      </c>
      <c r="Z63" s="194">
        <f t="shared" ref="Z63" si="43">IF(B63=0,0,V63/B63)</f>
        <v>88.109053074507358</v>
      </c>
      <c r="AA63" s="195">
        <f t="shared" ref="AA63" si="44">IF(C63=0,0,W63/C63)</f>
        <v>165.3547247321078</v>
      </c>
      <c r="AB63" s="195">
        <f t="shared" ref="AB63" si="45">IF(D63=0,0,X63/D63)</f>
        <v>103.69185806731977</v>
      </c>
      <c r="AC63" s="196">
        <f t="shared" ref="AC63" si="46">IF(E63=0,0,Y63/E63)</f>
        <v>70.580822524417556</v>
      </c>
      <c r="AD63" s="188">
        <f t="shared" ref="AD63" si="47">IF(J63=0,0,Z63/J63-1)</f>
        <v>0.50000000000000022</v>
      </c>
      <c r="AE63" s="189">
        <f t="shared" ref="AE63" si="48">IF(K63=0,0,AA63/K63-1)</f>
        <v>0.50000000000000022</v>
      </c>
      <c r="AF63" s="189">
        <f t="shared" ref="AF63" si="49">IF(L63=0,0,AB63/L63-1)</f>
        <v>-0.10000000000000009</v>
      </c>
      <c r="AG63" s="190">
        <f t="shared" ref="AG63" si="50">IF(M63=0,0,AC63/M63-1)</f>
        <v>-9.9999999999999867E-2</v>
      </c>
    </row>
    <row r="64" spans="1:33">
      <c r="A64">
        <v>291</v>
      </c>
      <c r="B64" s="185">
        <f>VLOOKUP($A64,'Allocate OPROC cost'!$A:$AO,30,FALSE)</f>
        <v>514</v>
      </c>
      <c r="C64" s="186">
        <f>VLOOKUP($A64,'Allocate OPROC cost'!$A:$AO,31,FALSE)</f>
        <v>17723</v>
      </c>
      <c r="D64" s="186">
        <f>VLOOKUP($A64,'Allocate OPROC cost'!$A:$AO,32,FALSE)</f>
        <v>1596</v>
      </c>
      <c r="E64" s="187">
        <f>VLOOKUP($A64,'Allocate OPROC cost'!$A:$AO,33,FALSE)</f>
        <v>34655</v>
      </c>
      <c r="F64" s="185">
        <f>VLOOKUP($A64,'Allocate OPROC cost'!$A:$AO,34,FALSE)</f>
        <v>763403.276713753</v>
      </c>
      <c r="G64" s="186">
        <f>VLOOKUP($A64,'Allocate OPROC cost'!$A:$AO,35,FALSE)</f>
        <v>7258422.6659142496</v>
      </c>
      <c r="H64" s="186">
        <f>VLOOKUP($A64,'Allocate OPROC cost'!$A:$AO,36,FALSE)</f>
        <v>1188002.0982375101</v>
      </c>
      <c r="I64" s="187">
        <f>VLOOKUP($A64,'Allocate OPROC cost'!$A:$AO,37,FALSE)</f>
        <v>9853935.6442035306</v>
      </c>
      <c r="J64" s="179">
        <f t="shared" si="10"/>
        <v>1485.2203827115818</v>
      </c>
      <c r="K64" s="180">
        <f t="shared" si="10"/>
        <v>409.54819533455111</v>
      </c>
      <c r="L64" s="180">
        <f t="shared" si="10"/>
        <v>744.36221694079575</v>
      </c>
      <c r="M64" s="181">
        <f t="shared" si="10"/>
        <v>284.34383621998359</v>
      </c>
      <c r="N64" s="173">
        <f t="shared" si="11"/>
        <v>1.155619203437473</v>
      </c>
      <c r="O64" s="174">
        <f t="shared" si="12"/>
        <v>1.1357586365213737</v>
      </c>
      <c r="P64" s="174">
        <f t="shared" si="30"/>
        <v>0.9</v>
      </c>
      <c r="Q64" s="175">
        <f t="shared" si="30"/>
        <v>0.9</v>
      </c>
      <c r="R64" s="173">
        <f t="shared" si="14"/>
        <v>1.155619203437473</v>
      </c>
      <c r="S64" s="174">
        <f t="shared" si="15"/>
        <v>1.1357586365213737</v>
      </c>
      <c r="T64" s="174">
        <f t="shared" si="16"/>
        <v>0.9</v>
      </c>
      <c r="U64" s="175">
        <f t="shared" si="17"/>
        <v>0.9</v>
      </c>
      <c r="V64" s="167">
        <f t="shared" si="18"/>
        <v>882203.48653750401</v>
      </c>
      <c r="W64" s="168">
        <f t="shared" si="19"/>
        <v>8243816.2303346023</v>
      </c>
      <c r="X64" s="168">
        <f t="shared" si="20"/>
        <v>1069201.8884137592</v>
      </c>
      <c r="Y64" s="169">
        <f t="shared" si="21"/>
        <v>8868542.079783177</v>
      </c>
      <c r="Z64" s="194">
        <f t="shared" si="22"/>
        <v>1716.3491955982568</v>
      </c>
      <c r="AA64" s="195">
        <f t="shared" si="23"/>
        <v>465.14789992295897</v>
      </c>
      <c r="AB64" s="195">
        <f t="shared" si="24"/>
        <v>669.9259952467163</v>
      </c>
      <c r="AC64" s="196">
        <f t="shared" si="25"/>
        <v>255.90945259798519</v>
      </c>
      <c r="AD64" s="188">
        <f t="shared" si="26"/>
        <v>0.15561920343747282</v>
      </c>
      <c r="AE64" s="189">
        <f t="shared" si="27"/>
        <v>0.13575863652137365</v>
      </c>
      <c r="AF64" s="189">
        <f t="shared" si="28"/>
        <v>-9.9999999999999867E-2</v>
      </c>
      <c r="AG64" s="190">
        <f t="shared" si="29"/>
        <v>-0.10000000000000009</v>
      </c>
    </row>
    <row r="65" spans="1:33">
      <c r="A65">
        <v>300</v>
      </c>
      <c r="B65" s="185">
        <f>VLOOKUP($A65,'Allocate OPROC cost'!$A:$AO,30,FALSE)</f>
        <v>3833</v>
      </c>
      <c r="C65" s="186">
        <f>VLOOKUP($A65,'Allocate OPROC cost'!$A:$AO,31,FALSE)</f>
        <v>361039</v>
      </c>
      <c r="D65" s="186">
        <f>VLOOKUP($A65,'Allocate OPROC cost'!$A:$AO,32,FALSE)</f>
        <v>11253</v>
      </c>
      <c r="E65" s="187">
        <f>VLOOKUP($A65,'Allocate OPROC cost'!$A:$AO,33,FALSE)</f>
        <v>623402</v>
      </c>
      <c r="F65" s="185">
        <f>VLOOKUP($A65,'Allocate OPROC cost'!$A:$AO,34,FALSE)</f>
        <v>875118.96417331696</v>
      </c>
      <c r="G65" s="186">
        <f>VLOOKUP($A65,'Allocate OPROC cost'!$A:$AO,35,FALSE)</f>
        <v>64722748.888257518</v>
      </c>
      <c r="H65" s="186">
        <f>VLOOKUP($A65,'Allocate OPROC cost'!$A:$AO,36,FALSE)</f>
        <v>1747845.76590576</v>
      </c>
      <c r="I65" s="187">
        <f>VLOOKUP($A65,'Allocate OPROC cost'!$A:$AO,37,FALSE)</f>
        <v>85260141.347347274</v>
      </c>
      <c r="J65" s="179">
        <f t="shared" si="10"/>
        <v>228.31175689363866</v>
      </c>
      <c r="K65" s="180">
        <f t="shared" si="10"/>
        <v>179.2680261363939</v>
      </c>
      <c r="L65" s="180">
        <f t="shared" si="10"/>
        <v>155.32264870752331</v>
      </c>
      <c r="M65" s="181">
        <f t="shared" si="10"/>
        <v>136.76590923248125</v>
      </c>
      <c r="N65" s="173">
        <f t="shared" si="11"/>
        <v>1.1997266471715495</v>
      </c>
      <c r="O65" s="174">
        <f t="shared" si="12"/>
        <v>1.1317313352906984</v>
      </c>
      <c r="P65" s="174">
        <f t="shared" si="30"/>
        <v>0.9</v>
      </c>
      <c r="Q65" s="175">
        <f t="shared" si="30"/>
        <v>0.9</v>
      </c>
      <c r="R65" s="173">
        <f t="shared" si="14"/>
        <v>1.1997266471715495</v>
      </c>
      <c r="S65" s="174">
        <f t="shared" si="15"/>
        <v>1.1317313352906984</v>
      </c>
      <c r="T65" s="174">
        <f t="shared" si="16"/>
        <v>0.9</v>
      </c>
      <c r="U65" s="175">
        <f t="shared" si="17"/>
        <v>0.9</v>
      </c>
      <c r="V65" s="167">
        <f t="shared" si="18"/>
        <v>1049903.5407638929</v>
      </c>
      <c r="W65" s="168">
        <f t="shared" si="19"/>
        <v>73248763.022992238</v>
      </c>
      <c r="X65" s="168">
        <f t="shared" si="20"/>
        <v>1573061.189315184</v>
      </c>
      <c r="Y65" s="169">
        <f t="shared" si="21"/>
        <v>76734127.212612554</v>
      </c>
      <c r="Z65" s="194">
        <f t="shared" si="22"/>
        <v>273.91169860785101</v>
      </c>
      <c r="AA65" s="195">
        <f t="shared" si="23"/>
        <v>202.88324259426886</v>
      </c>
      <c r="AB65" s="195">
        <f t="shared" si="24"/>
        <v>139.79038383677099</v>
      </c>
      <c r="AC65" s="196">
        <f t="shared" si="25"/>
        <v>123.08931830923314</v>
      </c>
      <c r="AD65" s="188">
        <f t="shared" si="26"/>
        <v>0.19972664717154953</v>
      </c>
      <c r="AE65" s="189">
        <f t="shared" si="27"/>
        <v>0.13173133529069836</v>
      </c>
      <c r="AF65" s="189">
        <f t="shared" si="28"/>
        <v>-9.9999999999999978E-2</v>
      </c>
      <c r="AG65" s="190">
        <f t="shared" si="29"/>
        <v>-9.9999999999999867E-2</v>
      </c>
    </row>
    <row r="66" spans="1:33">
      <c r="A66">
        <v>301</v>
      </c>
      <c r="B66" s="185">
        <f>VLOOKUP($A66,'Allocate OPROC cost'!$A:$AO,30,FALSE)</f>
        <v>3302</v>
      </c>
      <c r="C66" s="186">
        <f>VLOOKUP($A66,'Allocate OPROC cost'!$A:$AO,31,FALSE)</f>
        <v>357257</v>
      </c>
      <c r="D66" s="186">
        <f>VLOOKUP($A66,'Allocate OPROC cost'!$A:$AO,32,FALSE)</f>
        <v>9663</v>
      </c>
      <c r="E66" s="187">
        <f>VLOOKUP($A66,'Allocate OPROC cost'!$A:$AO,33,FALSE)</f>
        <v>666114</v>
      </c>
      <c r="F66" s="185">
        <f>VLOOKUP($A66,'Allocate OPROC cost'!$A:$AO,34,FALSE)</f>
        <v>498216.91323707899</v>
      </c>
      <c r="G66" s="186">
        <f>VLOOKUP($A66,'Allocate OPROC cost'!$A:$AO,35,FALSE)</f>
        <v>54068805.309769042</v>
      </c>
      <c r="H66" s="186">
        <f>VLOOKUP($A66,'Allocate OPROC cost'!$A:$AO,36,FALSE)</f>
        <v>935873.744401854</v>
      </c>
      <c r="I66" s="187">
        <f>VLOOKUP($A66,'Allocate OPROC cost'!$A:$AO,37,FALSE)</f>
        <v>70800754.590084851</v>
      </c>
      <c r="J66" s="179">
        <f t="shared" si="10"/>
        <v>150.88337772170775</v>
      </c>
      <c r="K66" s="180">
        <f t="shared" si="10"/>
        <v>151.34428523379259</v>
      </c>
      <c r="L66" s="180">
        <f t="shared" si="10"/>
        <v>96.851261968524682</v>
      </c>
      <c r="M66" s="181">
        <f t="shared" si="10"/>
        <v>106.28924566978753</v>
      </c>
      <c r="N66" s="173">
        <f t="shared" si="11"/>
        <v>1.1878446354462708</v>
      </c>
      <c r="O66" s="174">
        <f t="shared" si="12"/>
        <v>1.1309456611524071</v>
      </c>
      <c r="P66" s="174">
        <f t="shared" si="30"/>
        <v>0.9</v>
      </c>
      <c r="Q66" s="175">
        <f t="shared" si="30"/>
        <v>0.9</v>
      </c>
      <c r="R66" s="173">
        <f t="shared" si="14"/>
        <v>1.1878446354462708</v>
      </c>
      <c r="S66" s="174">
        <f t="shared" si="15"/>
        <v>1.1309456611524071</v>
      </c>
      <c r="T66" s="174">
        <f t="shared" si="16"/>
        <v>0.9</v>
      </c>
      <c r="U66" s="175">
        <f t="shared" si="17"/>
        <v>0.9</v>
      </c>
      <c r="V66" s="167">
        <f t="shared" si="18"/>
        <v>591804.28767726442</v>
      </c>
      <c r="W66" s="168">
        <f t="shared" si="19"/>
        <v>61148880.768777527</v>
      </c>
      <c r="X66" s="168">
        <f t="shared" si="20"/>
        <v>842286.36996166862</v>
      </c>
      <c r="Y66" s="169">
        <f t="shared" si="21"/>
        <v>63720679.131076366</v>
      </c>
      <c r="Z66" s="194">
        <f t="shared" si="22"/>
        <v>179.22601080474391</v>
      </c>
      <c r="AA66" s="195">
        <f t="shared" si="23"/>
        <v>171.16216272537005</v>
      </c>
      <c r="AB66" s="195">
        <f t="shared" si="24"/>
        <v>87.166135771672216</v>
      </c>
      <c r="AC66" s="196">
        <f t="shared" si="25"/>
        <v>95.66032110280878</v>
      </c>
      <c r="AD66" s="188">
        <f t="shared" si="26"/>
        <v>0.18784463544627084</v>
      </c>
      <c r="AE66" s="189">
        <f t="shared" si="27"/>
        <v>0.13094566115240713</v>
      </c>
      <c r="AF66" s="189">
        <f t="shared" si="28"/>
        <v>-9.9999999999999978E-2</v>
      </c>
      <c r="AG66" s="190">
        <f t="shared" si="29"/>
        <v>-9.9999999999999978E-2</v>
      </c>
    </row>
    <row r="67" spans="1:33">
      <c r="A67">
        <v>302</v>
      </c>
      <c r="B67" s="185">
        <f>VLOOKUP($A67,'Allocate OPROC cost'!$A:$AO,30,FALSE)</f>
        <v>2435</v>
      </c>
      <c r="C67" s="186">
        <f>VLOOKUP($A67,'Allocate OPROC cost'!$A:$AO,31,FALSE)</f>
        <v>93592</v>
      </c>
      <c r="D67" s="186">
        <f>VLOOKUP($A67,'Allocate OPROC cost'!$A:$AO,32,FALSE)</f>
        <v>8588</v>
      </c>
      <c r="E67" s="187">
        <f>VLOOKUP($A67,'Allocate OPROC cost'!$A:$AO,33,FALSE)</f>
        <v>319456</v>
      </c>
      <c r="F67" s="185">
        <f>VLOOKUP($A67,'Allocate OPROC cost'!$A:$AO,34,FALSE)</f>
        <v>347079.20236960897</v>
      </c>
      <c r="G67" s="186">
        <f>VLOOKUP($A67,'Allocate OPROC cost'!$A:$AO,35,FALSE)</f>
        <v>14898026.79421711</v>
      </c>
      <c r="H67" s="186">
        <f>VLOOKUP($A67,'Allocate OPROC cost'!$A:$AO,36,FALSE)</f>
        <v>1050481.72846208</v>
      </c>
      <c r="I67" s="187">
        <f>VLOOKUP($A67,'Allocate OPROC cost'!$A:$AO,37,FALSE)</f>
        <v>35386601.938977152</v>
      </c>
      <c r="J67" s="179">
        <f t="shared" si="10"/>
        <v>142.53766011072238</v>
      </c>
      <c r="K67" s="180">
        <f t="shared" si="10"/>
        <v>159.18055810557644</v>
      </c>
      <c r="L67" s="180">
        <f t="shared" si="10"/>
        <v>122.3197168679646</v>
      </c>
      <c r="M67" s="181">
        <f t="shared" si="10"/>
        <v>110.77144251157327</v>
      </c>
      <c r="N67" s="173">
        <f t="shared" si="11"/>
        <v>1.3026634039983211</v>
      </c>
      <c r="O67" s="174">
        <f t="shared" si="12"/>
        <v>1.2375254282178696</v>
      </c>
      <c r="P67" s="174">
        <f t="shared" si="30"/>
        <v>0.9</v>
      </c>
      <c r="Q67" s="175">
        <f t="shared" si="30"/>
        <v>0.9</v>
      </c>
      <c r="R67" s="173">
        <f t="shared" si="14"/>
        <v>1.3026634039983211</v>
      </c>
      <c r="S67" s="174">
        <f t="shared" si="15"/>
        <v>1.2375254282178696</v>
      </c>
      <c r="T67" s="174">
        <f t="shared" si="16"/>
        <v>0.9</v>
      </c>
      <c r="U67" s="175">
        <f t="shared" si="17"/>
        <v>0.9</v>
      </c>
      <c r="V67" s="167">
        <f t="shared" si="18"/>
        <v>452127.37521581701</v>
      </c>
      <c r="W67" s="168">
        <f t="shared" si="19"/>
        <v>18436686.988114823</v>
      </c>
      <c r="X67" s="168">
        <f t="shared" si="20"/>
        <v>945433.55561587203</v>
      </c>
      <c r="Y67" s="169">
        <f t="shared" si="21"/>
        <v>31847941.745079439</v>
      </c>
      <c r="Z67" s="194">
        <f t="shared" si="22"/>
        <v>185.67859351778932</v>
      </c>
      <c r="AA67" s="195">
        <f t="shared" si="23"/>
        <v>196.98998833356293</v>
      </c>
      <c r="AB67" s="195">
        <f t="shared" si="24"/>
        <v>110.08774518116815</v>
      </c>
      <c r="AC67" s="196">
        <f t="shared" si="25"/>
        <v>99.694298260415948</v>
      </c>
      <c r="AD67" s="188">
        <f t="shared" si="26"/>
        <v>0.30266340399832115</v>
      </c>
      <c r="AE67" s="189">
        <f t="shared" si="27"/>
        <v>0.23752542821786937</v>
      </c>
      <c r="AF67" s="189">
        <f t="shared" si="28"/>
        <v>-9.9999999999999978E-2</v>
      </c>
      <c r="AG67" s="190">
        <f t="shared" si="29"/>
        <v>-9.9999999999999978E-2</v>
      </c>
    </row>
    <row r="68" spans="1:33">
      <c r="A68">
        <v>303</v>
      </c>
      <c r="B68" s="185">
        <f>VLOOKUP($A68,'Allocate OPROC cost'!$A:$AO,30,FALSE)</f>
        <v>4066</v>
      </c>
      <c r="C68" s="186">
        <f>VLOOKUP($A68,'Allocate OPROC cost'!$A:$AO,31,FALSE)</f>
        <v>153297</v>
      </c>
      <c r="D68" s="186">
        <f>VLOOKUP($A68,'Allocate OPROC cost'!$A:$AO,32,FALSE)</f>
        <v>40872</v>
      </c>
      <c r="E68" s="187">
        <f>VLOOKUP($A68,'Allocate OPROC cost'!$A:$AO,33,FALSE)</f>
        <v>1034772</v>
      </c>
      <c r="F68" s="185">
        <f>VLOOKUP($A68,'Allocate OPROC cost'!$A:$AO,34,FALSE)</f>
        <v>1307919.23074096</v>
      </c>
      <c r="G68" s="186">
        <f>VLOOKUP($A68,'Allocate OPROC cost'!$A:$AO,35,FALSE)</f>
        <v>31466840.094142079</v>
      </c>
      <c r="H68" s="186">
        <f>VLOOKUP($A68,'Allocate OPROC cost'!$A:$AO,36,FALSE)</f>
        <v>10202330.826974001</v>
      </c>
      <c r="I68" s="187">
        <f>VLOOKUP($A68,'Allocate OPROC cost'!$A:$AO,37,FALSE)</f>
        <v>143931693.07351664</v>
      </c>
      <c r="J68" s="179">
        <f t="shared" si="10"/>
        <v>321.67221611927204</v>
      </c>
      <c r="K68" s="180">
        <f t="shared" si="10"/>
        <v>205.26716174577507</v>
      </c>
      <c r="L68" s="180">
        <f t="shared" si="10"/>
        <v>249.61662818002546</v>
      </c>
      <c r="M68" s="181">
        <f t="shared" si="10"/>
        <v>139.09507898698132</v>
      </c>
      <c r="N68" s="173">
        <f t="shared" si="11"/>
        <v>1.7800428793446361</v>
      </c>
      <c r="O68" s="174">
        <f t="shared" si="12"/>
        <v>1.4574075205610213</v>
      </c>
      <c r="P68" s="174">
        <f t="shared" si="30"/>
        <v>0.9</v>
      </c>
      <c r="Q68" s="175">
        <f t="shared" si="30"/>
        <v>0.9</v>
      </c>
      <c r="R68" s="173">
        <f t="shared" si="14"/>
        <v>1.5</v>
      </c>
      <c r="S68" s="174">
        <f t="shared" si="15"/>
        <v>1.4574075205610213</v>
      </c>
      <c r="T68" s="174">
        <f t="shared" si="16"/>
        <v>0.9</v>
      </c>
      <c r="U68" s="175">
        <f t="shared" si="17"/>
        <v>0.9</v>
      </c>
      <c r="V68" s="167">
        <f t="shared" si="18"/>
        <v>1961878.8461114401</v>
      </c>
      <c r="W68" s="168">
        <f t="shared" si="19"/>
        <v>45860009.401493743</v>
      </c>
      <c r="X68" s="168">
        <f t="shared" si="20"/>
        <v>9182097.7442766018</v>
      </c>
      <c r="Y68" s="169">
        <f t="shared" si="21"/>
        <v>129538523.76616497</v>
      </c>
      <c r="Z68" s="194">
        <f t="shared" si="22"/>
        <v>482.50832417890803</v>
      </c>
      <c r="AA68" s="195">
        <f t="shared" si="23"/>
        <v>299.15790525250816</v>
      </c>
      <c r="AB68" s="195">
        <f t="shared" si="24"/>
        <v>224.65496536202295</v>
      </c>
      <c r="AC68" s="196">
        <f t="shared" si="25"/>
        <v>125.1855710882832</v>
      </c>
      <c r="AD68" s="188">
        <f t="shared" si="26"/>
        <v>0.5</v>
      </c>
      <c r="AE68" s="189">
        <f t="shared" si="27"/>
        <v>0.4574075205610213</v>
      </c>
      <c r="AF68" s="189">
        <f t="shared" si="28"/>
        <v>-9.9999999999999867E-2</v>
      </c>
      <c r="AG68" s="190">
        <f t="shared" si="29"/>
        <v>-9.9999999999999978E-2</v>
      </c>
    </row>
    <row r="69" spans="1:33">
      <c r="A69">
        <v>304</v>
      </c>
      <c r="B69" s="185">
        <f>VLOOKUP($A69,'Allocate OPROC cost'!$A:$AO,30,FALSE)</f>
        <v>1</v>
      </c>
      <c r="C69" s="186">
        <f>VLOOKUP($A69,'Allocate OPROC cost'!$A:$AO,31,FALSE)</f>
        <v>10972</v>
      </c>
      <c r="D69" s="186">
        <f>VLOOKUP($A69,'Allocate OPROC cost'!$A:$AO,32,FALSE)</f>
        <v>0</v>
      </c>
      <c r="E69" s="187">
        <f>VLOOKUP($A69,'Allocate OPROC cost'!$A:$AO,33,FALSE)</f>
        <v>15534</v>
      </c>
      <c r="F69" s="185">
        <f>VLOOKUP($A69,'Allocate OPROC cost'!$A:$AO,34,FALSE)</f>
        <v>73.325639826787594</v>
      </c>
      <c r="G69" s="186">
        <f>VLOOKUP($A69,'Allocate OPROC cost'!$A:$AO,35,FALSE)</f>
        <v>1669829.0989428784</v>
      </c>
      <c r="H69" s="186">
        <f>VLOOKUP($A69,'Allocate OPROC cost'!$A:$AO,36,FALSE)</f>
        <v>0</v>
      </c>
      <c r="I69" s="187">
        <f>VLOOKUP($A69,'Allocate OPROC cost'!$A:$AO,37,FALSE)</f>
        <v>1080781.8676138904</v>
      </c>
      <c r="J69" s="179">
        <f t="shared" si="10"/>
        <v>73.325639826787594</v>
      </c>
      <c r="K69" s="180">
        <f t="shared" si="10"/>
        <v>152.19003818290909</v>
      </c>
      <c r="L69" s="180">
        <f t="shared" si="10"/>
        <v>0</v>
      </c>
      <c r="M69" s="181">
        <f t="shared" si="10"/>
        <v>69.575245758587002</v>
      </c>
      <c r="N69" s="173">
        <f t="shared" si="11"/>
        <v>1</v>
      </c>
      <c r="O69" s="174">
        <f t="shared" si="12"/>
        <v>1.0647241007057611</v>
      </c>
      <c r="P69" s="174">
        <f t="shared" si="30"/>
        <v>0.9</v>
      </c>
      <c r="Q69" s="175">
        <f t="shared" si="30"/>
        <v>0.9</v>
      </c>
      <c r="R69" s="173">
        <f t="shared" si="14"/>
        <v>1</v>
      </c>
      <c r="S69" s="174">
        <f t="shared" si="15"/>
        <v>1.0647241007057611</v>
      </c>
      <c r="T69" s="174">
        <f t="shared" si="16"/>
        <v>0.9</v>
      </c>
      <c r="U69" s="175">
        <f t="shared" si="17"/>
        <v>0.9</v>
      </c>
      <c r="V69" s="167">
        <f t="shared" si="18"/>
        <v>73.325639826787594</v>
      </c>
      <c r="W69" s="168">
        <f t="shared" si="19"/>
        <v>1777907.2857042674</v>
      </c>
      <c r="X69" s="168">
        <f t="shared" si="20"/>
        <v>0</v>
      </c>
      <c r="Y69" s="169">
        <f t="shared" si="21"/>
        <v>972703.68085250142</v>
      </c>
      <c r="Z69" s="194">
        <f t="shared" si="22"/>
        <v>73.325639826787594</v>
      </c>
      <c r="AA69" s="195">
        <f t="shared" si="23"/>
        <v>162.04040154067329</v>
      </c>
      <c r="AB69" s="195">
        <f t="shared" si="24"/>
        <v>0</v>
      </c>
      <c r="AC69" s="196">
        <f t="shared" si="25"/>
        <v>62.617721182728303</v>
      </c>
      <c r="AD69" s="188">
        <f t="shared" si="26"/>
        <v>0</v>
      </c>
      <c r="AE69" s="189">
        <f t="shared" si="27"/>
        <v>6.4724100705760845E-2</v>
      </c>
      <c r="AF69" s="189">
        <f t="shared" si="28"/>
        <v>0</v>
      </c>
      <c r="AG69" s="190">
        <f t="shared" si="29"/>
        <v>-9.9999999999999978E-2</v>
      </c>
    </row>
    <row r="70" spans="1:33">
      <c r="A70">
        <v>305</v>
      </c>
      <c r="B70" s="185">
        <f>VLOOKUP($A70,'Allocate OPROC cost'!$A:$AO,30,FALSE)</f>
        <v>2</v>
      </c>
      <c r="C70" s="186">
        <f>VLOOKUP($A70,'Allocate OPROC cost'!$A:$AO,31,FALSE)</f>
        <v>1914</v>
      </c>
      <c r="D70" s="186">
        <f>VLOOKUP($A70,'Allocate OPROC cost'!$A:$AO,32,FALSE)</f>
        <v>10</v>
      </c>
      <c r="E70" s="187">
        <f>VLOOKUP($A70,'Allocate OPROC cost'!$A:$AO,33,FALSE)</f>
        <v>10751</v>
      </c>
      <c r="F70" s="185">
        <f>VLOOKUP($A70,'Allocate OPROC cost'!$A:$AO,34,FALSE)</f>
        <v>305.65456341239297</v>
      </c>
      <c r="G70" s="186">
        <f>VLOOKUP($A70,'Allocate OPROC cost'!$A:$AO,35,FALSE)</f>
        <v>274625.40647622198</v>
      </c>
      <c r="H70" s="186">
        <f>VLOOKUP($A70,'Allocate OPROC cost'!$A:$AO,36,FALSE)</f>
        <v>1374.2621212014801</v>
      </c>
      <c r="I70" s="187">
        <f>VLOOKUP($A70,'Allocate OPROC cost'!$A:$AO,37,FALSE)</f>
        <v>1181384.4599762501</v>
      </c>
      <c r="J70" s="179">
        <f t="shared" si="10"/>
        <v>152.82728170619649</v>
      </c>
      <c r="K70" s="180">
        <f t="shared" si="10"/>
        <v>143.48244852467187</v>
      </c>
      <c r="L70" s="180">
        <f t="shared" si="10"/>
        <v>137.42621212014802</v>
      </c>
      <c r="M70" s="181">
        <f t="shared" si="10"/>
        <v>109.88600688087155</v>
      </c>
      <c r="N70" s="173">
        <f t="shared" si="11"/>
        <v>1.4496128262764749</v>
      </c>
      <c r="O70" s="174">
        <f t="shared" si="12"/>
        <v>1.4301803227657812</v>
      </c>
      <c r="P70" s="174">
        <f t="shared" si="30"/>
        <v>0.9</v>
      </c>
      <c r="Q70" s="175">
        <f t="shared" si="30"/>
        <v>0.9</v>
      </c>
      <c r="R70" s="173">
        <f t="shared" si="14"/>
        <v>1.4496128262764749</v>
      </c>
      <c r="S70" s="174">
        <f t="shared" si="15"/>
        <v>1.4301803227657812</v>
      </c>
      <c r="T70" s="174">
        <f t="shared" si="16"/>
        <v>0.9</v>
      </c>
      <c r="U70" s="175">
        <f t="shared" si="17"/>
        <v>0.9</v>
      </c>
      <c r="V70" s="167">
        <f t="shared" si="18"/>
        <v>443.080775532541</v>
      </c>
      <c r="W70" s="168">
        <f t="shared" si="19"/>
        <v>392763.85247384699</v>
      </c>
      <c r="X70" s="168">
        <f t="shared" si="20"/>
        <v>1236.8359090813321</v>
      </c>
      <c r="Y70" s="169">
        <f t="shared" si="21"/>
        <v>1063246.0139786252</v>
      </c>
      <c r="Z70" s="194">
        <f t="shared" si="22"/>
        <v>221.5403877662705</v>
      </c>
      <c r="AA70" s="195">
        <f t="shared" si="23"/>
        <v>205.20577454223979</v>
      </c>
      <c r="AB70" s="195">
        <f t="shared" si="24"/>
        <v>123.68359090813321</v>
      </c>
      <c r="AC70" s="196">
        <f t="shared" si="25"/>
        <v>98.897406192784416</v>
      </c>
      <c r="AD70" s="188">
        <f t="shared" si="26"/>
        <v>0.44961282627647492</v>
      </c>
      <c r="AE70" s="189">
        <f t="shared" si="27"/>
        <v>0.43018032276578122</v>
      </c>
      <c r="AF70" s="189">
        <f t="shared" si="28"/>
        <v>-0.10000000000000009</v>
      </c>
      <c r="AG70" s="190">
        <f t="shared" si="29"/>
        <v>-9.9999999999999756E-2</v>
      </c>
    </row>
    <row r="71" spans="1:33">
      <c r="A71">
        <v>306</v>
      </c>
      <c r="B71" s="185">
        <f>VLOOKUP($A71,'Allocate OPROC cost'!$A:$AO,30,FALSE)</f>
        <v>2821</v>
      </c>
      <c r="C71" s="186">
        <f>VLOOKUP($A71,'Allocate OPROC cost'!$A:$AO,31,FALSE)</f>
        <v>22778</v>
      </c>
      <c r="D71" s="186">
        <f>VLOOKUP($A71,'Allocate OPROC cost'!$A:$AO,32,FALSE)</f>
        <v>17274</v>
      </c>
      <c r="E71" s="187">
        <f>VLOOKUP($A71,'Allocate OPROC cost'!$A:$AO,33,FALSE)</f>
        <v>103410</v>
      </c>
      <c r="F71" s="185">
        <f>VLOOKUP($A71,'Allocate OPROC cost'!$A:$AO,34,FALSE)</f>
        <v>695702.650014324</v>
      </c>
      <c r="G71" s="186">
        <f>VLOOKUP($A71,'Allocate OPROC cost'!$A:$AO,35,FALSE)</f>
        <v>4425977.4983824138</v>
      </c>
      <c r="H71" s="186">
        <f>VLOOKUP($A71,'Allocate OPROC cost'!$A:$AO,36,FALSE)</f>
        <v>3377369.4586889301</v>
      </c>
      <c r="I71" s="187">
        <f>VLOOKUP($A71,'Allocate OPROC cost'!$A:$AO,37,FALSE)</f>
        <v>17463167.906706423</v>
      </c>
      <c r="J71" s="179">
        <f t="shared" si="10"/>
        <v>246.61561503520878</v>
      </c>
      <c r="K71" s="180">
        <f t="shared" si="10"/>
        <v>194.30931154545675</v>
      </c>
      <c r="L71" s="180">
        <f t="shared" si="10"/>
        <v>195.51750947602929</v>
      </c>
      <c r="M71" s="181">
        <f t="shared" si="10"/>
        <v>168.87310614743663</v>
      </c>
      <c r="N71" s="173">
        <f t="shared" si="11"/>
        <v>1.4854616348837242</v>
      </c>
      <c r="O71" s="174">
        <f t="shared" si="12"/>
        <v>1.3945607024231095</v>
      </c>
      <c r="P71" s="174">
        <f t="shared" si="30"/>
        <v>0.9</v>
      </c>
      <c r="Q71" s="175">
        <f t="shared" si="30"/>
        <v>0.9</v>
      </c>
      <c r="R71" s="173">
        <f t="shared" si="14"/>
        <v>1.4854616348837242</v>
      </c>
      <c r="S71" s="174">
        <f t="shared" si="15"/>
        <v>1.3945607024231095</v>
      </c>
      <c r="T71" s="174">
        <f t="shared" si="16"/>
        <v>0.9</v>
      </c>
      <c r="U71" s="175">
        <f t="shared" si="17"/>
        <v>0.9</v>
      </c>
      <c r="V71" s="167">
        <f t="shared" si="18"/>
        <v>1033439.5958832171</v>
      </c>
      <c r="W71" s="168">
        <f t="shared" si="19"/>
        <v>6172294.2890530555</v>
      </c>
      <c r="X71" s="168">
        <f t="shared" si="20"/>
        <v>3039632.5128200371</v>
      </c>
      <c r="Y71" s="169">
        <f t="shared" si="21"/>
        <v>15716851.11603578</v>
      </c>
      <c r="Z71" s="194">
        <f t="shared" si="22"/>
        <v>366.33803469805639</v>
      </c>
      <c r="AA71" s="195">
        <f t="shared" si="23"/>
        <v>270.97612999618298</v>
      </c>
      <c r="AB71" s="195">
        <f t="shared" si="24"/>
        <v>175.96575852842636</v>
      </c>
      <c r="AC71" s="196">
        <f t="shared" si="25"/>
        <v>151.98579553269298</v>
      </c>
      <c r="AD71" s="188">
        <f t="shared" si="26"/>
        <v>0.48546163488372418</v>
      </c>
      <c r="AE71" s="189">
        <f t="shared" si="27"/>
        <v>0.39456070242310948</v>
      </c>
      <c r="AF71" s="189">
        <f t="shared" si="28"/>
        <v>-9.9999999999999978E-2</v>
      </c>
      <c r="AG71" s="190">
        <f t="shared" si="29"/>
        <v>-9.9999999999999978E-2</v>
      </c>
    </row>
    <row r="72" spans="1:33">
      <c r="A72">
        <v>307</v>
      </c>
      <c r="B72" s="185">
        <f>VLOOKUP($A72,'Allocate OPROC cost'!$A:$AO,30,FALSE)</f>
        <v>11275</v>
      </c>
      <c r="C72" s="186">
        <f>VLOOKUP($A72,'Allocate OPROC cost'!$A:$AO,31,FALSE)</f>
        <v>101644</v>
      </c>
      <c r="D72" s="186">
        <f>VLOOKUP($A72,'Allocate OPROC cost'!$A:$AO,32,FALSE)</f>
        <v>51643</v>
      </c>
      <c r="E72" s="187">
        <f>VLOOKUP($A72,'Allocate OPROC cost'!$A:$AO,33,FALSE)</f>
        <v>565045</v>
      </c>
      <c r="F72" s="185">
        <f>VLOOKUP($A72,'Allocate OPROC cost'!$A:$AO,34,FALSE)</f>
        <v>1790806.2466442301</v>
      </c>
      <c r="G72" s="186">
        <f>VLOOKUP($A72,'Allocate OPROC cost'!$A:$AO,35,FALSE)</f>
        <v>15369040.522830749</v>
      </c>
      <c r="H72" s="186">
        <f>VLOOKUP($A72,'Allocate OPROC cost'!$A:$AO,36,FALSE)</f>
        <v>6679681.8700626697</v>
      </c>
      <c r="I72" s="187">
        <f>VLOOKUP($A72,'Allocate OPROC cost'!$A:$AO,37,FALSE)</f>
        <v>62257362.333454385</v>
      </c>
      <c r="J72" s="179">
        <f t="shared" si="10"/>
        <v>158.82982231877872</v>
      </c>
      <c r="K72" s="180">
        <f t="shared" si="10"/>
        <v>151.20460157835927</v>
      </c>
      <c r="L72" s="180">
        <f t="shared" si="10"/>
        <v>129.34341285484325</v>
      </c>
      <c r="M72" s="181">
        <f t="shared" si="10"/>
        <v>110.18124633162736</v>
      </c>
      <c r="N72" s="173">
        <f t="shared" si="11"/>
        <v>1.3729985799736653</v>
      </c>
      <c r="O72" s="174">
        <f t="shared" si="12"/>
        <v>1.4050829473770396</v>
      </c>
      <c r="P72" s="174">
        <f t="shared" si="30"/>
        <v>0.9</v>
      </c>
      <c r="Q72" s="175">
        <f t="shared" si="30"/>
        <v>0.9</v>
      </c>
      <c r="R72" s="173">
        <f t="shared" si="14"/>
        <v>1.3729985799736653</v>
      </c>
      <c r="S72" s="174">
        <f t="shared" si="15"/>
        <v>1.4050829473770396</v>
      </c>
      <c r="T72" s="174">
        <f t="shared" si="16"/>
        <v>0.9</v>
      </c>
      <c r="U72" s="175">
        <f t="shared" si="17"/>
        <v>0.9</v>
      </c>
      <c r="V72" s="167">
        <f t="shared" si="18"/>
        <v>2458774.4336504973</v>
      </c>
      <c r="W72" s="168">
        <f t="shared" si="19"/>
        <v>21594776.756176189</v>
      </c>
      <c r="X72" s="168">
        <f t="shared" si="20"/>
        <v>6011713.683056403</v>
      </c>
      <c r="Y72" s="169">
        <f t="shared" si="21"/>
        <v>56031626.100108951</v>
      </c>
      <c r="Z72" s="194">
        <f t="shared" si="22"/>
        <v>218.07312050115277</v>
      </c>
      <c r="AA72" s="195">
        <f t="shared" si="23"/>
        <v>212.45500724269203</v>
      </c>
      <c r="AB72" s="195">
        <f t="shared" si="24"/>
        <v>116.40907156935893</v>
      </c>
      <c r="AC72" s="196">
        <f t="shared" si="25"/>
        <v>99.163121698464636</v>
      </c>
      <c r="AD72" s="188">
        <f t="shared" si="26"/>
        <v>0.37299857997366548</v>
      </c>
      <c r="AE72" s="189">
        <f t="shared" si="27"/>
        <v>0.40508294737703965</v>
      </c>
      <c r="AF72" s="189">
        <f t="shared" si="28"/>
        <v>-9.9999999999999978E-2</v>
      </c>
      <c r="AG72" s="190">
        <f t="shared" si="29"/>
        <v>-9.9999999999999978E-2</v>
      </c>
    </row>
    <row r="73" spans="1:33">
      <c r="A73">
        <v>309</v>
      </c>
      <c r="B73" s="185">
        <f>VLOOKUP($A73,'Allocate OPROC cost'!$A:$AO,30,FALSE)</f>
        <v>209</v>
      </c>
      <c r="C73" s="186">
        <f>VLOOKUP($A73,'Allocate OPROC cost'!$A:$AO,31,FALSE)</f>
        <v>4127</v>
      </c>
      <c r="D73" s="186">
        <f>VLOOKUP($A73,'Allocate OPROC cost'!$A:$AO,32,FALSE)</f>
        <v>714</v>
      </c>
      <c r="E73" s="187">
        <f>VLOOKUP($A73,'Allocate OPROC cost'!$A:$AO,33,FALSE)</f>
        <v>18180</v>
      </c>
      <c r="F73" s="185">
        <f>VLOOKUP($A73,'Allocate OPROC cost'!$A:$AO,34,FALSE)</f>
        <v>92798.959147329995</v>
      </c>
      <c r="G73" s="186">
        <f>VLOOKUP($A73,'Allocate OPROC cost'!$A:$AO,35,FALSE)</f>
        <v>3407385.40972248</v>
      </c>
      <c r="H73" s="186">
        <f>VLOOKUP($A73,'Allocate OPROC cost'!$A:$AO,36,FALSE)</f>
        <v>433470.921028123</v>
      </c>
      <c r="I73" s="187">
        <f>VLOOKUP($A73,'Allocate OPROC cost'!$A:$AO,37,FALSE)</f>
        <v>11378765.592990899</v>
      </c>
      <c r="J73" s="179">
        <f t="shared" si="10"/>
        <v>444.01415859966505</v>
      </c>
      <c r="K73" s="180">
        <f t="shared" si="10"/>
        <v>825.63251992306277</v>
      </c>
      <c r="L73" s="180">
        <f t="shared" si="10"/>
        <v>607.10213029148883</v>
      </c>
      <c r="M73" s="181">
        <f t="shared" si="10"/>
        <v>625.89469708420791</v>
      </c>
      <c r="N73" s="173">
        <f t="shared" si="11"/>
        <v>1.4671075247082606</v>
      </c>
      <c r="O73" s="174">
        <f t="shared" si="12"/>
        <v>1.3339441895983719</v>
      </c>
      <c r="P73" s="174">
        <f t="shared" si="30"/>
        <v>0.9</v>
      </c>
      <c r="Q73" s="175">
        <f t="shared" si="30"/>
        <v>0.9</v>
      </c>
      <c r="R73" s="173">
        <f t="shared" si="14"/>
        <v>1.4671075247082606</v>
      </c>
      <c r="S73" s="174">
        <f t="shared" si="15"/>
        <v>1.3339441895983719</v>
      </c>
      <c r="T73" s="174">
        <f t="shared" si="16"/>
        <v>0.9</v>
      </c>
      <c r="U73" s="175">
        <f t="shared" si="17"/>
        <v>0.9</v>
      </c>
      <c r="V73" s="167">
        <f t="shared" si="18"/>
        <v>136146.05125014231</v>
      </c>
      <c r="W73" s="168">
        <f t="shared" si="19"/>
        <v>4545261.9690215699</v>
      </c>
      <c r="X73" s="168">
        <f t="shared" si="20"/>
        <v>390123.82892531069</v>
      </c>
      <c r="Y73" s="169">
        <f t="shared" si="21"/>
        <v>10240889.03369181</v>
      </c>
      <c r="Z73" s="194">
        <f t="shared" si="22"/>
        <v>651.41651315857564</v>
      </c>
      <c r="AA73" s="195">
        <f t="shared" si="23"/>
        <v>1101.3477026948315</v>
      </c>
      <c r="AB73" s="195">
        <f t="shared" si="24"/>
        <v>546.39191726233992</v>
      </c>
      <c r="AC73" s="196">
        <f t="shared" si="25"/>
        <v>563.30522737578713</v>
      </c>
      <c r="AD73" s="188">
        <f t="shared" si="26"/>
        <v>0.46710752470826056</v>
      </c>
      <c r="AE73" s="189">
        <f t="shared" si="27"/>
        <v>0.33394418959837169</v>
      </c>
      <c r="AF73" s="189">
        <f t="shared" si="28"/>
        <v>-0.10000000000000009</v>
      </c>
      <c r="AG73" s="190">
        <f t="shared" si="29"/>
        <v>-9.9999999999999978E-2</v>
      </c>
    </row>
    <row r="74" spans="1:33">
      <c r="A74">
        <v>310</v>
      </c>
      <c r="B74" s="185">
        <f>VLOOKUP($A74,'Allocate OPROC cost'!$A:$AO,30,FALSE)</f>
        <v>7</v>
      </c>
      <c r="C74" s="186">
        <f>VLOOKUP($A74,'Allocate OPROC cost'!$A:$AO,31,FALSE)</f>
        <v>40116</v>
      </c>
      <c r="D74" s="186">
        <f>VLOOKUP($A74,'Allocate OPROC cost'!$A:$AO,32,FALSE)</f>
        <v>4</v>
      </c>
      <c r="E74" s="187">
        <f>VLOOKUP($A74,'Allocate OPROC cost'!$A:$AO,33,FALSE)</f>
        <v>34939</v>
      </c>
      <c r="F74" s="185">
        <f>VLOOKUP($A74,'Allocate OPROC cost'!$A:$AO,34,FALSE)</f>
        <v>731.75920349402998</v>
      </c>
      <c r="G74" s="186">
        <f>VLOOKUP($A74,'Allocate OPROC cost'!$A:$AO,35,FALSE)</f>
        <v>3066297.2420989699</v>
      </c>
      <c r="H74" s="186">
        <f>VLOOKUP($A74,'Allocate OPROC cost'!$A:$AO,36,FALSE)</f>
        <v>548.56447950639199</v>
      </c>
      <c r="I74" s="187">
        <f>VLOOKUP($A74,'Allocate OPROC cost'!$A:$AO,37,FALSE)</f>
        <v>3490450.2505506198</v>
      </c>
      <c r="J74" s="179">
        <f t="shared" ref="J74:M118" si="51">IF(B74=0,0,F74/B74)</f>
        <v>104.53702907057571</v>
      </c>
      <c r="K74" s="180">
        <f t="shared" si="51"/>
        <v>76.435767327225292</v>
      </c>
      <c r="L74" s="180">
        <f t="shared" si="51"/>
        <v>137.141119876598</v>
      </c>
      <c r="M74" s="181">
        <f t="shared" si="51"/>
        <v>99.901263646659032</v>
      </c>
      <c r="N74" s="173">
        <f t="shared" si="11"/>
        <v>1.074965162978079</v>
      </c>
      <c r="O74" s="174">
        <f t="shared" si="12"/>
        <v>1.1138327427174446</v>
      </c>
      <c r="P74" s="174">
        <f t="shared" si="30"/>
        <v>0.9</v>
      </c>
      <c r="Q74" s="175">
        <f t="shared" si="30"/>
        <v>0.9</v>
      </c>
      <c r="R74" s="173">
        <f t="shared" si="14"/>
        <v>1.074965162978079</v>
      </c>
      <c r="S74" s="174">
        <f t="shared" si="15"/>
        <v>1.1138327427174446</v>
      </c>
      <c r="T74" s="174">
        <f t="shared" si="16"/>
        <v>0.9</v>
      </c>
      <c r="U74" s="175">
        <f t="shared" si="17"/>
        <v>0.9</v>
      </c>
      <c r="V74" s="167">
        <f t="shared" si="18"/>
        <v>786.6156514446692</v>
      </c>
      <c r="W74" s="168">
        <f t="shared" si="19"/>
        <v>3415342.2671540319</v>
      </c>
      <c r="X74" s="168">
        <f t="shared" si="20"/>
        <v>493.70803155575283</v>
      </c>
      <c r="Y74" s="169">
        <f t="shared" si="21"/>
        <v>3141405.2254955578</v>
      </c>
      <c r="Z74" s="194">
        <f t="shared" si="22"/>
        <v>112.3736644920956</v>
      </c>
      <c r="AA74" s="195">
        <f t="shared" si="23"/>
        <v>85.136660363795784</v>
      </c>
      <c r="AB74" s="195">
        <f t="shared" si="24"/>
        <v>123.42700788893821</v>
      </c>
      <c r="AC74" s="196">
        <f t="shared" si="25"/>
        <v>89.91113728199312</v>
      </c>
      <c r="AD74" s="188">
        <f t="shared" ref="AD74:AD105" si="52">IF(J74=0,0,Z74/J74-1)</f>
        <v>7.4965162978078981E-2</v>
      </c>
      <c r="AE74" s="189">
        <f t="shared" ref="AE74:AE105" si="53">IF(K74=0,0,AA74/K74-1)</f>
        <v>0.11383274271744459</v>
      </c>
      <c r="AF74" s="189">
        <f t="shared" ref="AF74:AF105" si="54">IF(L74=0,0,AB74/L74-1)</f>
        <v>-9.9999999999999978E-2</v>
      </c>
      <c r="AG74" s="190">
        <f t="shared" ref="AG74:AG105" si="55">IF(M74=0,0,AC74/M74-1)</f>
        <v>-0.10000000000000009</v>
      </c>
    </row>
    <row r="75" spans="1:33">
      <c r="A75">
        <v>311</v>
      </c>
      <c r="B75" s="185">
        <f>VLOOKUP($A75,'Allocate OPROC cost'!$A:$AO,30,FALSE)</f>
        <v>22</v>
      </c>
      <c r="C75" s="186">
        <f>VLOOKUP($A75,'Allocate OPROC cost'!$A:$AO,31,FALSE)</f>
        <v>42502</v>
      </c>
      <c r="D75" s="186">
        <f>VLOOKUP($A75,'Allocate OPROC cost'!$A:$AO,32,FALSE)</f>
        <v>66</v>
      </c>
      <c r="E75" s="187">
        <f>VLOOKUP($A75,'Allocate OPROC cost'!$A:$AO,33,FALSE)</f>
        <v>23418</v>
      </c>
      <c r="F75" s="185">
        <f>VLOOKUP($A75,'Allocate OPROC cost'!$A:$AO,34,FALSE)</f>
        <v>5325.3453675753299</v>
      </c>
      <c r="G75" s="186">
        <f>VLOOKUP($A75,'Allocate OPROC cost'!$A:$AO,35,FALSE)</f>
        <v>25817408.449224699</v>
      </c>
      <c r="H75" s="186">
        <f>VLOOKUP($A75,'Allocate OPROC cost'!$A:$AO,36,FALSE)</f>
        <v>11553.2703629799</v>
      </c>
      <c r="I75" s="187">
        <f>VLOOKUP($A75,'Allocate OPROC cost'!$A:$AO,37,FALSE)</f>
        <v>11724345.293827699</v>
      </c>
      <c r="J75" s="179">
        <f t="shared" si="51"/>
        <v>242.0611530716059</v>
      </c>
      <c r="K75" s="180">
        <f t="shared" si="51"/>
        <v>607.43984869476026</v>
      </c>
      <c r="L75" s="180">
        <f t="shared" si="51"/>
        <v>175.04955095424091</v>
      </c>
      <c r="M75" s="181">
        <f t="shared" si="51"/>
        <v>500.65527772771799</v>
      </c>
      <c r="N75" s="173">
        <f t="shared" ref="N75:N118" si="56">IF(F75=0,1,1+(H75*$O$4)/F75)</f>
        <v>1.2169487529076484</v>
      </c>
      <c r="O75" s="174">
        <f t="shared" ref="O75:O118" si="57">IF(G75=0,1,1+(I75*$O$4)/G75)</f>
        <v>1.0454125568679213</v>
      </c>
      <c r="P75" s="174">
        <f t="shared" ref="P75:Q118" si="58">$P$4</f>
        <v>0.9</v>
      </c>
      <c r="Q75" s="175">
        <f t="shared" si="58"/>
        <v>0.9</v>
      </c>
      <c r="R75" s="173">
        <f t="shared" ref="R75:R118" si="59">IF($S$4="No limit",N75,IF(N75&gt;$S$4,$S$4,N75))</f>
        <v>1.2169487529076484</v>
      </c>
      <c r="S75" s="174">
        <f t="shared" ref="S75:S118" si="60">IF($S$4="No limit",O75,IF(O75&gt;$S$4,$S$4,O75))</f>
        <v>1.0454125568679213</v>
      </c>
      <c r="T75" s="174">
        <f t="shared" ref="T75:T118" si="61">$P$9</f>
        <v>0.9</v>
      </c>
      <c r="U75" s="175">
        <f t="shared" ref="U75:U118" si="62">$Q$9</f>
        <v>0.9</v>
      </c>
      <c r="V75" s="167">
        <f t="shared" ref="V75:V118" si="63">R75*F75</f>
        <v>6480.67240387332</v>
      </c>
      <c r="W75" s="168">
        <f t="shared" ref="W75:W118" si="64">S75*G75</f>
        <v>26989842.978607468</v>
      </c>
      <c r="X75" s="168">
        <f t="shared" ref="X75:X118" si="65">T75*H75</f>
        <v>10397.943326681911</v>
      </c>
      <c r="Y75" s="169">
        <f t="shared" ref="Y75:Y118" si="66">U75*I75</f>
        <v>10551910.76444493</v>
      </c>
      <c r="Z75" s="194">
        <f t="shared" ref="Z75:Z118" si="67">IF(B75=0,0,V75/B75)</f>
        <v>294.57601835787818</v>
      </c>
      <c r="AA75" s="195">
        <f t="shared" ref="AA75:AA118" si="68">IF(C75=0,0,W75/C75)</f>
        <v>635.0252453674525</v>
      </c>
      <c r="AB75" s="195">
        <f t="shared" ref="AB75:AB118" si="69">IF(D75=0,0,X75/D75)</f>
        <v>157.54459585881682</v>
      </c>
      <c r="AC75" s="196">
        <f t="shared" ref="AC75:AC118" si="70">IF(E75=0,0,Y75/E75)</f>
        <v>450.58974995494623</v>
      </c>
      <c r="AD75" s="188">
        <f t="shared" si="52"/>
        <v>0.21694875290764837</v>
      </c>
      <c r="AE75" s="189">
        <f t="shared" si="53"/>
        <v>4.5412556867921117E-2</v>
      </c>
      <c r="AF75" s="189">
        <f t="shared" si="54"/>
        <v>-9.9999999999999978E-2</v>
      </c>
      <c r="AG75" s="190">
        <f t="shared" si="55"/>
        <v>-9.9999999999999867E-2</v>
      </c>
    </row>
    <row r="76" spans="1:33">
      <c r="A76">
        <v>313</v>
      </c>
      <c r="B76" s="185">
        <f>VLOOKUP($A76,'Allocate OPROC cost'!$A:$AO,30,FALSE)</f>
        <v>822</v>
      </c>
      <c r="C76" s="186">
        <f>VLOOKUP($A76,'Allocate OPROC cost'!$A:$AO,31,FALSE)</f>
        <v>11744</v>
      </c>
      <c r="D76" s="186">
        <f>VLOOKUP($A76,'Allocate OPROC cost'!$A:$AO,32,FALSE)</f>
        <v>1535</v>
      </c>
      <c r="E76" s="187">
        <f>VLOOKUP($A76,'Allocate OPROC cost'!$A:$AO,33,FALSE)</f>
        <v>21269</v>
      </c>
      <c r="F76" s="185">
        <f>VLOOKUP($A76,'Allocate OPROC cost'!$A:$AO,34,FALSE)</f>
        <v>324384.281402227</v>
      </c>
      <c r="G76" s="186">
        <f>VLOOKUP($A76,'Allocate OPROC cost'!$A:$AO,35,FALSE)</f>
        <v>2150707.3324199161</v>
      </c>
      <c r="H76" s="186">
        <f>VLOOKUP($A76,'Allocate OPROC cost'!$A:$AO,36,FALSE)</f>
        <v>185124.048383254</v>
      </c>
      <c r="I76" s="187">
        <f>VLOOKUP($A76,'Allocate OPROC cost'!$A:$AO,37,FALSE)</f>
        <v>3227175.0972634498</v>
      </c>
      <c r="J76" s="179">
        <f t="shared" si="51"/>
        <v>394.62807956475302</v>
      </c>
      <c r="K76" s="180">
        <f t="shared" si="51"/>
        <v>183.1324363436577</v>
      </c>
      <c r="L76" s="180">
        <f t="shared" si="51"/>
        <v>120.60198591742932</v>
      </c>
      <c r="M76" s="181">
        <f t="shared" si="51"/>
        <v>151.73139768035404</v>
      </c>
      <c r="N76" s="173">
        <f t="shared" si="56"/>
        <v>1.0570693646384504</v>
      </c>
      <c r="O76" s="174">
        <f t="shared" si="57"/>
        <v>1.150051801498827</v>
      </c>
      <c r="P76" s="174">
        <f t="shared" si="58"/>
        <v>0.9</v>
      </c>
      <c r="Q76" s="175">
        <f t="shared" si="58"/>
        <v>0.9</v>
      </c>
      <c r="R76" s="173">
        <f t="shared" si="59"/>
        <v>1.0570693646384504</v>
      </c>
      <c r="S76" s="174">
        <f t="shared" si="60"/>
        <v>1.150051801498827</v>
      </c>
      <c r="T76" s="174">
        <f t="shared" si="61"/>
        <v>0.9</v>
      </c>
      <c r="U76" s="175">
        <f t="shared" si="62"/>
        <v>0.9</v>
      </c>
      <c r="V76" s="167">
        <f t="shared" si="63"/>
        <v>342896.6862405524</v>
      </c>
      <c r="W76" s="168">
        <f t="shared" si="64"/>
        <v>2473424.8421462611</v>
      </c>
      <c r="X76" s="168">
        <f t="shared" si="65"/>
        <v>166611.64354492861</v>
      </c>
      <c r="Y76" s="169">
        <f t="shared" si="66"/>
        <v>2904457.5875371047</v>
      </c>
      <c r="Z76" s="194">
        <f t="shared" si="67"/>
        <v>417.14925333400538</v>
      </c>
      <c r="AA76" s="195">
        <f t="shared" si="68"/>
        <v>210.61178832989282</v>
      </c>
      <c r="AB76" s="195">
        <f t="shared" si="69"/>
        <v>108.54178732568639</v>
      </c>
      <c r="AC76" s="196">
        <f t="shared" si="70"/>
        <v>136.55825791231862</v>
      </c>
      <c r="AD76" s="188">
        <f t="shared" si="52"/>
        <v>5.7069364638450581E-2</v>
      </c>
      <c r="AE76" s="189">
        <f t="shared" si="53"/>
        <v>0.15005180149882702</v>
      </c>
      <c r="AF76" s="189">
        <f t="shared" si="54"/>
        <v>-9.9999999999999978E-2</v>
      </c>
      <c r="AG76" s="190">
        <f t="shared" si="55"/>
        <v>-0.10000000000000009</v>
      </c>
    </row>
    <row r="77" spans="1:33">
      <c r="A77">
        <v>314</v>
      </c>
      <c r="B77" s="185">
        <f>VLOOKUP($A77,'Allocate OPROC cost'!$A:$AO,30,FALSE)</f>
        <v>1949</v>
      </c>
      <c r="C77" s="186">
        <f>VLOOKUP($A77,'Allocate OPROC cost'!$A:$AO,31,FALSE)</f>
        <v>24009</v>
      </c>
      <c r="D77" s="186">
        <f>VLOOKUP($A77,'Allocate OPROC cost'!$A:$AO,32,FALSE)</f>
        <v>2187</v>
      </c>
      <c r="E77" s="187">
        <f>VLOOKUP($A77,'Allocate OPROC cost'!$A:$AO,33,FALSE)</f>
        <v>42470</v>
      </c>
      <c r="F77" s="185">
        <f>VLOOKUP($A77,'Allocate OPROC cost'!$A:$AO,34,FALSE)</f>
        <v>422422.56457641401</v>
      </c>
      <c r="G77" s="186">
        <f>VLOOKUP($A77,'Allocate OPROC cost'!$A:$AO,35,FALSE)</f>
        <v>4216689.7128840676</v>
      </c>
      <c r="H77" s="186">
        <f>VLOOKUP($A77,'Allocate OPROC cost'!$A:$AO,36,FALSE)</f>
        <v>408521.24891880603</v>
      </c>
      <c r="I77" s="187">
        <f>VLOOKUP($A77,'Allocate OPROC cost'!$A:$AO,37,FALSE)</f>
        <v>6815418.6274902783</v>
      </c>
      <c r="J77" s="179">
        <f t="shared" si="51"/>
        <v>216.73810393864238</v>
      </c>
      <c r="K77" s="180">
        <f t="shared" si="51"/>
        <v>175.62954362464356</v>
      </c>
      <c r="L77" s="180">
        <f t="shared" si="51"/>
        <v>186.79526699533884</v>
      </c>
      <c r="M77" s="181">
        <f t="shared" si="51"/>
        <v>160.47606845986056</v>
      </c>
      <c r="N77" s="173">
        <f t="shared" si="56"/>
        <v>1.0967091446283066</v>
      </c>
      <c r="O77" s="174">
        <f t="shared" si="57"/>
        <v>1.1616295978968008</v>
      </c>
      <c r="P77" s="174">
        <f t="shared" si="58"/>
        <v>0.9</v>
      </c>
      <c r="Q77" s="175">
        <f t="shared" si="58"/>
        <v>0.9</v>
      </c>
      <c r="R77" s="173">
        <f t="shared" si="59"/>
        <v>1.0967091446283066</v>
      </c>
      <c r="S77" s="174">
        <f t="shared" si="60"/>
        <v>1.1616295978968008</v>
      </c>
      <c r="T77" s="174">
        <f t="shared" si="61"/>
        <v>0.9</v>
      </c>
      <c r="U77" s="175">
        <f t="shared" si="62"/>
        <v>0.9</v>
      </c>
      <c r="V77" s="167">
        <f t="shared" si="63"/>
        <v>463274.68946829461</v>
      </c>
      <c r="W77" s="168">
        <f t="shared" si="64"/>
        <v>4898231.5756330956</v>
      </c>
      <c r="X77" s="168">
        <f t="shared" si="65"/>
        <v>367669.12402692542</v>
      </c>
      <c r="Y77" s="169">
        <f t="shared" si="66"/>
        <v>6133876.7647412503</v>
      </c>
      <c r="Z77" s="194">
        <f t="shared" si="67"/>
        <v>237.69866057890951</v>
      </c>
      <c r="AA77" s="195">
        <f t="shared" si="68"/>
        <v>204.01647613949334</v>
      </c>
      <c r="AB77" s="195">
        <f t="shared" si="69"/>
        <v>168.11574029580495</v>
      </c>
      <c r="AC77" s="196">
        <f t="shared" si="70"/>
        <v>144.4284616138745</v>
      </c>
      <c r="AD77" s="188">
        <f t="shared" si="52"/>
        <v>9.6709144628306598E-2</v>
      </c>
      <c r="AE77" s="189">
        <f t="shared" si="53"/>
        <v>0.16162959789680076</v>
      </c>
      <c r="AF77" s="189">
        <f t="shared" si="54"/>
        <v>-9.9999999999999978E-2</v>
      </c>
      <c r="AG77" s="190">
        <f t="shared" si="55"/>
        <v>-9.9999999999999978E-2</v>
      </c>
    </row>
    <row r="78" spans="1:33">
      <c r="A78">
        <v>315</v>
      </c>
      <c r="B78" s="185">
        <f>VLOOKUP($A78,'Allocate OPROC cost'!$A:$AO,30,FALSE)</f>
        <v>29</v>
      </c>
      <c r="C78" s="186">
        <f>VLOOKUP($A78,'Allocate OPROC cost'!$A:$AO,31,FALSE)</f>
        <v>5023</v>
      </c>
      <c r="D78" s="186">
        <f>VLOOKUP($A78,'Allocate OPROC cost'!$A:$AO,32,FALSE)</f>
        <v>64</v>
      </c>
      <c r="E78" s="187">
        <f>VLOOKUP($A78,'Allocate OPROC cost'!$A:$AO,33,FALSE)</f>
        <v>12640</v>
      </c>
      <c r="F78" s="185">
        <f>VLOOKUP($A78,'Allocate OPROC cost'!$A:$AO,34,FALSE)</f>
        <v>13189.385164330401</v>
      </c>
      <c r="G78" s="186">
        <f>VLOOKUP($A78,'Allocate OPROC cost'!$A:$AO,35,FALSE)</f>
        <v>1206754.5576963699</v>
      </c>
      <c r="H78" s="186">
        <f>VLOOKUP($A78,'Allocate OPROC cost'!$A:$AO,36,FALSE)</f>
        <v>30106.100837496298</v>
      </c>
      <c r="I78" s="187">
        <f>VLOOKUP($A78,'Allocate OPROC cost'!$A:$AO,37,FALSE)</f>
        <v>3038335.10308532</v>
      </c>
      <c r="J78" s="179">
        <f t="shared" si="51"/>
        <v>454.80638497691035</v>
      </c>
      <c r="K78" s="180">
        <f t="shared" si="51"/>
        <v>240.24578094691816</v>
      </c>
      <c r="L78" s="180">
        <f t="shared" si="51"/>
        <v>470.40782558587966</v>
      </c>
      <c r="M78" s="181">
        <f t="shared" si="51"/>
        <v>240.37461258586393</v>
      </c>
      <c r="N78" s="173">
        <f t="shared" si="56"/>
        <v>1.22826007780041</v>
      </c>
      <c r="O78" s="174">
        <f t="shared" si="57"/>
        <v>1.2517773878464018</v>
      </c>
      <c r="P78" s="174">
        <f t="shared" si="58"/>
        <v>0.9</v>
      </c>
      <c r="Q78" s="175">
        <f t="shared" si="58"/>
        <v>0.9</v>
      </c>
      <c r="R78" s="173">
        <f t="shared" si="59"/>
        <v>1.22826007780041</v>
      </c>
      <c r="S78" s="174">
        <f t="shared" si="60"/>
        <v>1.2517773878464018</v>
      </c>
      <c r="T78" s="174">
        <f t="shared" si="61"/>
        <v>0.9</v>
      </c>
      <c r="U78" s="175">
        <f t="shared" si="62"/>
        <v>0.9</v>
      </c>
      <c r="V78" s="167">
        <f t="shared" si="63"/>
        <v>16199.995248080031</v>
      </c>
      <c r="W78" s="168">
        <f t="shared" si="64"/>
        <v>1510588.068004902</v>
      </c>
      <c r="X78" s="168">
        <f t="shared" si="65"/>
        <v>27095.490753746668</v>
      </c>
      <c r="Y78" s="169">
        <f t="shared" si="66"/>
        <v>2734501.5927767879</v>
      </c>
      <c r="Z78" s="194">
        <f t="shared" si="67"/>
        <v>558.62052579586316</v>
      </c>
      <c r="AA78" s="195">
        <f t="shared" si="68"/>
        <v>300.73423611485208</v>
      </c>
      <c r="AB78" s="195">
        <f t="shared" si="69"/>
        <v>423.36704302729169</v>
      </c>
      <c r="AC78" s="196">
        <f t="shared" si="70"/>
        <v>216.33715132727752</v>
      </c>
      <c r="AD78" s="188">
        <f t="shared" si="52"/>
        <v>0.22826007780041002</v>
      </c>
      <c r="AE78" s="189">
        <f t="shared" si="53"/>
        <v>0.2517773878464018</v>
      </c>
      <c r="AF78" s="189">
        <f t="shared" si="54"/>
        <v>-9.9999999999999978E-2</v>
      </c>
      <c r="AG78" s="190">
        <f t="shared" si="55"/>
        <v>-0.10000000000000009</v>
      </c>
    </row>
    <row r="79" spans="1:33">
      <c r="A79">
        <v>316</v>
      </c>
      <c r="B79" s="185">
        <f>VLOOKUP($A79,'Allocate OPROC cost'!$A:$AO,30,FALSE)</f>
        <v>608</v>
      </c>
      <c r="C79" s="186">
        <f>VLOOKUP($A79,'Allocate OPROC cost'!$A:$AO,31,FALSE)</f>
        <v>4506</v>
      </c>
      <c r="D79" s="186">
        <f>VLOOKUP($A79,'Allocate OPROC cost'!$A:$AO,32,FALSE)</f>
        <v>1554</v>
      </c>
      <c r="E79" s="187">
        <f>VLOOKUP($A79,'Allocate OPROC cost'!$A:$AO,33,FALSE)</f>
        <v>10512</v>
      </c>
      <c r="F79" s="185">
        <f>VLOOKUP($A79,'Allocate OPROC cost'!$A:$AO,34,FALSE)</f>
        <v>173016.813988398</v>
      </c>
      <c r="G79" s="186">
        <f>VLOOKUP($A79,'Allocate OPROC cost'!$A:$AO,35,FALSE)</f>
        <v>1093944.0646069648</v>
      </c>
      <c r="H79" s="186">
        <f>VLOOKUP($A79,'Allocate OPROC cost'!$A:$AO,36,FALSE)</f>
        <v>311614.63594934199</v>
      </c>
      <c r="I79" s="187">
        <f>VLOOKUP($A79,'Allocate OPROC cost'!$A:$AO,37,FALSE)</f>
        <v>2019248.9540079425</v>
      </c>
      <c r="J79" s="179">
        <f t="shared" si="51"/>
        <v>284.56712827039144</v>
      </c>
      <c r="K79" s="180">
        <f t="shared" si="51"/>
        <v>242.7749810490379</v>
      </c>
      <c r="L79" s="180">
        <f t="shared" si="51"/>
        <v>200.52421875762033</v>
      </c>
      <c r="M79" s="181">
        <f t="shared" si="51"/>
        <v>192.08989288507823</v>
      </c>
      <c r="N79" s="173">
        <f t="shared" si="56"/>
        <v>1.1801065623426854</v>
      </c>
      <c r="O79" s="174">
        <f t="shared" si="57"/>
        <v>1.1845842963399984</v>
      </c>
      <c r="P79" s="174">
        <f t="shared" si="58"/>
        <v>0.9</v>
      </c>
      <c r="Q79" s="175">
        <f t="shared" si="58"/>
        <v>0.9</v>
      </c>
      <c r="R79" s="173">
        <f t="shared" si="59"/>
        <v>1.1801065623426854</v>
      </c>
      <c r="S79" s="174">
        <f t="shared" si="60"/>
        <v>1.1845842963399984</v>
      </c>
      <c r="T79" s="174">
        <f t="shared" si="61"/>
        <v>0.9</v>
      </c>
      <c r="U79" s="175">
        <f t="shared" si="62"/>
        <v>0.9</v>
      </c>
      <c r="V79" s="167">
        <f t="shared" si="63"/>
        <v>204178.27758333221</v>
      </c>
      <c r="W79" s="168">
        <f t="shared" si="64"/>
        <v>1295868.9600077593</v>
      </c>
      <c r="X79" s="168">
        <f t="shared" si="65"/>
        <v>280453.17235440778</v>
      </c>
      <c r="Y79" s="169">
        <f t="shared" si="66"/>
        <v>1817324.0586071482</v>
      </c>
      <c r="Z79" s="194">
        <f t="shared" si="67"/>
        <v>335.81953549890164</v>
      </c>
      <c r="AA79" s="195">
        <f t="shared" si="68"/>
        <v>287.58743009493105</v>
      </c>
      <c r="AB79" s="195">
        <f t="shared" si="69"/>
        <v>180.4717968818583</v>
      </c>
      <c r="AC79" s="196">
        <f t="shared" si="70"/>
        <v>172.88090359657042</v>
      </c>
      <c r="AD79" s="188">
        <f t="shared" si="52"/>
        <v>0.18010656234268541</v>
      </c>
      <c r="AE79" s="189">
        <f t="shared" si="53"/>
        <v>0.18458429633999862</v>
      </c>
      <c r="AF79" s="189">
        <f t="shared" si="54"/>
        <v>-9.9999999999999978E-2</v>
      </c>
      <c r="AG79" s="190">
        <f t="shared" si="55"/>
        <v>-9.9999999999999978E-2</v>
      </c>
    </row>
    <row r="80" spans="1:33">
      <c r="A80">
        <v>317</v>
      </c>
      <c r="B80" s="185">
        <f>VLOOKUP($A80,'Allocate OPROC cost'!$A:$AO,30,FALSE)</f>
        <v>20</v>
      </c>
      <c r="C80" s="186">
        <f>VLOOKUP($A80,'Allocate OPROC cost'!$A:$AO,31,FALSE)</f>
        <v>13089</v>
      </c>
      <c r="D80" s="186">
        <f>VLOOKUP($A80,'Allocate OPROC cost'!$A:$AO,32,FALSE)</f>
        <v>76</v>
      </c>
      <c r="E80" s="187">
        <f>VLOOKUP($A80,'Allocate OPROC cost'!$A:$AO,33,FALSE)</f>
        <v>15385</v>
      </c>
      <c r="F80" s="185">
        <f>VLOOKUP($A80,'Allocate OPROC cost'!$A:$AO,34,FALSE)</f>
        <v>3386.95008130409</v>
      </c>
      <c r="G80" s="186">
        <f>VLOOKUP($A80,'Allocate OPROC cost'!$A:$AO,35,FALSE)</f>
        <v>1773659.68190081</v>
      </c>
      <c r="H80" s="186">
        <f>VLOOKUP($A80,'Allocate OPROC cost'!$A:$AO,36,FALSE)</f>
        <v>17988.577479289499</v>
      </c>
      <c r="I80" s="187">
        <f>VLOOKUP($A80,'Allocate OPROC cost'!$A:$AO,37,FALSE)</f>
        <v>1754310.4712338201</v>
      </c>
      <c r="J80" s="179">
        <f t="shared" si="51"/>
        <v>169.3475040652045</v>
      </c>
      <c r="K80" s="180">
        <f t="shared" si="51"/>
        <v>135.50765390028343</v>
      </c>
      <c r="L80" s="180">
        <f t="shared" si="51"/>
        <v>236.69180893801973</v>
      </c>
      <c r="M80" s="181">
        <f t="shared" si="51"/>
        <v>114.02732994694964</v>
      </c>
      <c r="N80" s="173">
        <f t="shared" si="56"/>
        <v>1.5311143373085465</v>
      </c>
      <c r="O80" s="174">
        <f t="shared" si="57"/>
        <v>1.0989090798610106</v>
      </c>
      <c r="P80" s="174">
        <f t="shared" si="58"/>
        <v>0.9</v>
      </c>
      <c r="Q80" s="175">
        <f t="shared" si="58"/>
        <v>0.9</v>
      </c>
      <c r="R80" s="173">
        <f t="shared" si="59"/>
        <v>1.5</v>
      </c>
      <c r="S80" s="174">
        <f t="shared" si="60"/>
        <v>1.0989090798610106</v>
      </c>
      <c r="T80" s="174">
        <f t="shared" si="61"/>
        <v>0.9</v>
      </c>
      <c r="U80" s="175">
        <f t="shared" si="62"/>
        <v>0.9</v>
      </c>
      <c r="V80" s="167">
        <f t="shared" si="63"/>
        <v>5080.4251219561347</v>
      </c>
      <c r="W80" s="168">
        <f t="shared" si="64"/>
        <v>1949090.7290241919</v>
      </c>
      <c r="X80" s="168">
        <f t="shared" si="65"/>
        <v>16189.71973136055</v>
      </c>
      <c r="Y80" s="169">
        <f t="shared" si="66"/>
        <v>1578879.4241104382</v>
      </c>
      <c r="Z80" s="194">
        <f t="shared" si="67"/>
        <v>254.02125609780674</v>
      </c>
      <c r="AA80" s="195">
        <f t="shared" si="68"/>
        <v>148.91059126168477</v>
      </c>
      <c r="AB80" s="195">
        <f t="shared" si="69"/>
        <v>213.02262804421775</v>
      </c>
      <c r="AC80" s="196">
        <f t="shared" si="70"/>
        <v>102.62459695225468</v>
      </c>
      <c r="AD80" s="188">
        <f t="shared" si="52"/>
        <v>0.5</v>
      </c>
      <c r="AE80" s="189">
        <f t="shared" si="53"/>
        <v>9.8909079861010829E-2</v>
      </c>
      <c r="AF80" s="189">
        <f t="shared" si="54"/>
        <v>-9.9999999999999978E-2</v>
      </c>
      <c r="AG80" s="190">
        <f t="shared" si="55"/>
        <v>-9.9999999999999978E-2</v>
      </c>
    </row>
    <row r="81" spans="1:33">
      <c r="A81">
        <v>320</v>
      </c>
      <c r="B81" s="185">
        <f>VLOOKUP($A81,'Allocate OPROC cost'!$A:$AO,30,FALSE)</f>
        <v>14302</v>
      </c>
      <c r="C81" s="186">
        <f>VLOOKUP($A81,'Allocate OPROC cost'!$A:$AO,31,FALSE)</f>
        <v>614730</v>
      </c>
      <c r="D81" s="186">
        <f>VLOOKUP($A81,'Allocate OPROC cost'!$A:$AO,32,FALSE)</f>
        <v>24071</v>
      </c>
      <c r="E81" s="187">
        <f>VLOOKUP($A81,'Allocate OPROC cost'!$A:$AO,33,FALSE)</f>
        <v>992924</v>
      </c>
      <c r="F81" s="185">
        <f>VLOOKUP($A81,'Allocate OPROC cost'!$A:$AO,34,FALSE)</f>
        <v>3009107.2051619799</v>
      </c>
      <c r="G81" s="186">
        <f>VLOOKUP($A81,'Allocate OPROC cost'!$A:$AO,35,FALSE)</f>
        <v>94924705.595672831</v>
      </c>
      <c r="H81" s="186">
        <f>VLOOKUP($A81,'Allocate OPROC cost'!$A:$AO,36,FALSE)</f>
        <v>4110510.33599868</v>
      </c>
      <c r="I81" s="187">
        <f>VLOOKUP($A81,'Allocate OPROC cost'!$A:$AO,37,FALSE)</f>
        <v>110355940.25677511</v>
      </c>
      <c r="J81" s="179">
        <f t="shared" si="51"/>
        <v>210.39765103915397</v>
      </c>
      <c r="K81" s="180">
        <f t="shared" si="51"/>
        <v>154.41690757840487</v>
      </c>
      <c r="L81" s="180">
        <f t="shared" si="51"/>
        <v>170.76608101028955</v>
      </c>
      <c r="M81" s="181">
        <f t="shared" si="51"/>
        <v>111.14238376429124</v>
      </c>
      <c r="N81" s="173">
        <f t="shared" si="56"/>
        <v>1.1366023227403561</v>
      </c>
      <c r="O81" s="174">
        <f t="shared" si="57"/>
        <v>1.1162562891970726</v>
      </c>
      <c r="P81" s="174">
        <f t="shared" si="58"/>
        <v>0.9</v>
      </c>
      <c r="Q81" s="175">
        <f t="shared" si="58"/>
        <v>0.9</v>
      </c>
      <c r="R81" s="173">
        <f t="shared" si="59"/>
        <v>1.1366023227403561</v>
      </c>
      <c r="S81" s="174">
        <f t="shared" si="60"/>
        <v>1.1162562891970726</v>
      </c>
      <c r="T81" s="174">
        <f t="shared" si="61"/>
        <v>0.9</v>
      </c>
      <c r="U81" s="175">
        <f t="shared" si="62"/>
        <v>0.9</v>
      </c>
      <c r="V81" s="167">
        <f t="shared" si="63"/>
        <v>3420158.2387618478</v>
      </c>
      <c r="W81" s="168">
        <f t="shared" si="64"/>
        <v>105960299.62135035</v>
      </c>
      <c r="X81" s="168">
        <f t="shared" si="65"/>
        <v>3699459.302398812</v>
      </c>
      <c r="Y81" s="169">
        <f t="shared" si="66"/>
        <v>99320346.231097609</v>
      </c>
      <c r="Z81" s="194">
        <f t="shared" si="67"/>
        <v>239.13845887021731</v>
      </c>
      <c r="AA81" s="195">
        <f t="shared" si="68"/>
        <v>172.36884424275755</v>
      </c>
      <c r="AB81" s="195">
        <f t="shared" si="69"/>
        <v>153.68947290926062</v>
      </c>
      <c r="AC81" s="196">
        <f t="shared" si="70"/>
        <v>100.02814538786212</v>
      </c>
      <c r="AD81" s="188">
        <f t="shared" si="52"/>
        <v>0.13660232274035611</v>
      </c>
      <c r="AE81" s="189">
        <f t="shared" si="53"/>
        <v>0.11625628919707265</v>
      </c>
      <c r="AF81" s="189">
        <f t="shared" si="54"/>
        <v>-9.9999999999999867E-2</v>
      </c>
      <c r="AG81" s="190">
        <f t="shared" si="55"/>
        <v>-9.9999999999999867E-2</v>
      </c>
    </row>
    <row r="82" spans="1:33">
      <c r="A82">
        <v>321</v>
      </c>
      <c r="B82" s="185">
        <f>VLOOKUP($A82,'Allocate OPROC cost'!$A:$AO,30,FALSE)</f>
        <v>2694</v>
      </c>
      <c r="C82" s="186">
        <f>VLOOKUP($A82,'Allocate OPROC cost'!$A:$AO,31,FALSE)</f>
        <v>25386</v>
      </c>
      <c r="D82" s="186">
        <f>VLOOKUP($A82,'Allocate OPROC cost'!$A:$AO,32,FALSE)</f>
        <v>3893</v>
      </c>
      <c r="E82" s="187">
        <f>VLOOKUP($A82,'Allocate OPROC cost'!$A:$AO,33,FALSE)</f>
        <v>66558</v>
      </c>
      <c r="F82" s="185">
        <f>VLOOKUP($A82,'Allocate OPROC cost'!$A:$AO,34,FALSE)</f>
        <v>574011.31165441405</v>
      </c>
      <c r="G82" s="186">
        <f>VLOOKUP($A82,'Allocate OPROC cost'!$A:$AO,35,FALSE)</f>
        <v>5076375.9083230738</v>
      </c>
      <c r="H82" s="186">
        <f>VLOOKUP($A82,'Allocate OPROC cost'!$A:$AO,36,FALSE)</f>
        <v>748563.875540643</v>
      </c>
      <c r="I82" s="187">
        <f>VLOOKUP($A82,'Allocate OPROC cost'!$A:$AO,37,FALSE)</f>
        <v>9602661.090093514</v>
      </c>
      <c r="J82" s="179">
        <f t="shared" si="51"/>
        <v>213.07027158664218</v>
      </c>
      <c r="K82" s="180">
        <f t="shared" si="51"/>
        <v>199.96753755310303</v>
      </c>
      <c r="L82" s="180">
        <f t="shared" si="51"/>
        <v>192.28458143864449</v>
      </c>
      <c r="M82" s="181">
        <f t="shared" si="51"/>
        <v>144.27508473952815</v>
      </c>
      <c r="N82" s="173">
        <f t="shared" si="56"/>
        <v>1.1304092550690568</v>
      </c>
      <c r="O82" s="174">
        <f t="shared" si="57"/>
        <v>1.1891637117406786</v>
      </c>
      <c r="P82" s="174">
        <f t="shared" si="58"/>
        <v>0.9</v>
      </c>
      <c r="Q82" s="175">
        <f t="shared" si="58"/>
        <v>0.9</v>
      </c>
      <c r="R82" s="173">
        <f t="shared" si="59"/>
        <v>1.1304092550690568</v>
      </c>
      <c r="S82" s="174">
        <f t="shared" si="60"/>
        <v>1.1891637117406786</v>
      </c>
      <c r="T82" s="174">
        <f t="shared" si="61"/>
        <v>0.9</v>
      </c>
      <c r="U82" s="175">
        <f t="shared" si="62"/>
        <v>0.9</v>
      </c>
      <c r="V82" s="167">
        <f t="shared" si="63"/>
        <v>648867.69920847833</v>
      </c>
      <c r="W82" s="168">
        <f t="shared" si="64"/>
        <v>6036642.0173324253</v>
      </c>
      <c r="X82" s="168">
        <f t="shared" si="65"/>
        <v>673707.48798657872</v>
      </c>
      <c r="Y82" s="169">
        <f t="shared" si="66"/>
        <v>8642394.9810841624</v>
      </c>
      <c r="Z82" s="194">
        <f t="shared" si="67"/>
        <v>240.8566069816178</v>
      </c>
      <c r="AA82" s="195">
        <f t="shared" si="68"/>
        <v>237.79413918429154</v>
      </c>
      <c r="AB82" s="195">
        <f t="shared" si="69"/>
        <v>173.05612329478004</v>
      </c>
      <c r="AC82" s="196">
        <f t="shared" si="70"/>
        <v>129.84757626557533</v>
      </c>
      <c r="AD82" s="188">
        <f t="shared" si="52"/>
        <v>0.13040925506905676</v>
      </c>
      <c r="AE82" s="189">
        <f t="shared" si="53"/>
        <v>0.18916371174067859</v>
      </c>
      <c r="AF82" s="189">
        <f t="shared" si="54"/>
        <v>-0.10000000000000009</v>
      </c>
      <c r="AG82" s="190">
        <f t="shared" si="55"/>
        <v>-0.10000000000000009</v>
      </c>
    </row>
    <row r="83" spans="1:33">
      <c r="A83">
        <v>322</v>
      </c>
      <c r="B83" s="185">
        <f>VLOOKUP($A83,'Allocate OPROC cost'!$A:$AO,30,FALSE)</f>
        <v>0</v>
      </c>
      <c r="C83" s="186">
        <f>VLOOKUP($A83,'Allocate OPROC cost'!$A:$AO,31,FALSE)</f>
        <v>233</v>
      </c>
      <c r="D83" s="186">
        <f>VLOOKUP($A83,'Allocate OPROC cost'!$A:$AO,32,FALSE)</f>
        <v>0</v>
      </c>
      <c r="E83" s="187">
        <f>VLOOKUP($A83,'Allocate OPROC cost'!$A:$AO,33,FALSE)</f>
        <v>394</v>
      </c>
      <c r="F83" s="185">
        <f>VLOOKUP($A83,'Allocate OPROC cost'!$A:$AO,34,FALSE)</f>
        <v>0</v>
      </c>
      <c r="G83" s="186">
        <f>VLOOKUP($A83,'Allocate OPROC cost'!$A:$AO,35,FALSE)</f>
        <v>46151.771639220096</v>
      </c>
      <c r="H83" s="186">
        <f>VLOOKUP($A83,'Allocate OPROC cost'!$A:$AO,36,FALSE)</f>
        <v>0</v>
      </c>
      <c r="I83" s="187">
        <f>VLOOKUP($A83,'Allocate OPROC cost'!$A:$AO,37,FALSE)</f>
        <v>47472.806730472403</v>
      </c>
      <c r="J83" s="179">
        <f t="shared" si="51"/>
        <v>0</v>
      </c>
      <c r="K83" s="180">
        <f t="shared" si="51"/>
        <v>198.07627312969998</v>
      </c>
      <c r="L83" s="180">
        <f t="shared" si="51"/>
        <v>0</v>
      </c>
      <c r="M83" s="181">
        <f t="shared" si="51"/>
        <v>120.48935718394011</v>
      </c>
      <c r="N83" s="173">
        <f t="shared" si="56"/>
        <v>1</v>
      </c>
      <c r="O83" s="174">
        <f t="shared" si="57"/>
        <v>1.1028623713550569</v>
      </c>
      <c r="P83" s="174">
        <f t="shared" si="58"/>
        <v>0.9</v>
      </c>
      <c r="Q83" s="175">
        <f t="shared" si="58"/>
        <v>0.9</v>
      </c>
      <c r="R83" s="173">
        <f t="shared" si="59"/>
        <v>1</v>
      </c>
      <c r="S83" s="174">
        <f t="shared" si="60"/>
        <v>1.1028623713550569</v>
      </c>
      <c r="T83" s="174">
        <f t="shared" si="61"/>
        <v>0.9</v>
      </c>
      <c r="U83" s="175">
        <f t="shared" si="62"/>
        <v>0.9</v>
      </c>
      <c r="V83" s="167">
        <f t="shared" si="63"/>
        <v>0</v>
      </c>
      <c r="W83" s="168">
        <f t="shared" si="64"/>
        <v>50899.05231226734</v>
      </c>
      <c r="X83" s="168">
        <f t="shared" si="65"/>
        <v>0</v>
      </c>
      <c r="Y83" s="169">
        <f t="shared" si="66"/>
        <v>42725.526057425166</v>
      </c>
      <c r="Z83" s="194">
        <f t="shared" si="67"/>
        <v>0</v>
      </c>
      <c r="AA83" s="195">
        <f t="shared" si="68"/>
        <v>218.45086829299288</v>
      </c>
      <c r="AB83" s="195">
        <f t="shared" si="69"/>
        <v>0</v>
      </c>
      <c r="AC83" s="196">
        <f t="shared" si="70"/>
        <v>108.44042146554611</v>
      </c>
      <c r="AD83" s="188">
        <f t="shared" si="52"/>
        <v>0</v>
      </c>
      <c r="AE83" s="189">
        <f t="shared" si="53"/>
        <v>0.10286237135505694</v>
      </c>
      <c r="AF83" s="189">
        <f t="shared" si="54"/>
        <v>0</v>
      </c>
      <c r="AG83" s="190">
        <f t="shared" si="55"/>
        <v>-9.9999999999999978E-2</v>
      </c>
    </row>
    <row r="84" spans="1:33">
      <c r="A84">
        <v>323</v>
      </c>
      <c r="B84" s="185">
        <f>VLOOKUP($A84,'Allocate OPROC cost'!$A:$AO,30,FALSE)</f>
        <v>3</v>
      </c>
      <c r="C84" s="186">
        <f>VLOOKUP($A84,'Allocate OPROC cost'!$A:$AO,31,FALSE)</f>
        <v>1161</v>
      </c>
      <c r="D84" s="186">
        <f>VLOOKUP($A84,'Allocate OPROC cost'!$A:$AO,32,FALSE)</f>
        <v>66</v>
      </c>
      <c r="E84" s="187">
        <f>VLOOKUP($A84,'Allocate OPROC cost'!$A:$AO,33,FALSE)</f>
        <v>14977</v>
      </c>
      <c r="F84" s="185">
        <f>VLOOKUP($A84,'Allocate OPROC cost'!$A:$AO,34,FALSE)</f>
        <v>1310.0343476022699</v>
      </c>
      <c r="G84" s="186">
        <f>VLOOKUP($A84,'Allocate OPROC cost'!$A:$AO,35,FALSE)</f>
        <v>474497.37576470047</v>
      </c>
      <c r="H84" s="186">
        <f>VLOOKUP($A84,'Allocate OPROC cost'!$A:$AO,36,FALSE)</f>
        <v>14568.5968361337</v>
      </c>
      <c r="I84" s="187">
        <f>VLOOKUP($A84,'Allocate OPROC cost'!$A:$AO,37,FALSE)</f>
        <v>4649453.1534091262</v>
      </c>
      <c r="J84" s="179">
        <f t="shared" si="51"/>
        <v>436.67811586742329</v>
      </c>
      <c r="K84" s="180">
        <f t="shared" si="51"/>
        <v>408.6971367482347</v>
      </c>
      <c r="L84" s="180">
        <f t="shared" si="51"/>
        <v>220.73631569899544</v>
      </c>
      <c r="M84" s="181">
        <f t="shared" si="51"/>
        <v>310.43955087194541</v>
      </c>
      <c r="N84" s="173">
        <f t="shared" si="56"/>
        <v>2.1120774705486403</v>
      </c>
      <c r="O84" s="174">
        <f t="shared" si="57"/>
        <v>1.9798690974667801</v>
      </c>
      <c r="P84" s="174">
        <f t="shared" si="58"/>
        <v>0.9</v>
      </c>
      <c r="Q84" s="175">
        <f t="shared" si="58"/>
        <v>0.9</v>
      </c>
      <c r="R84" s="173">
        <f t="shared" si="59"/>
        <v>1.5</v>
      </c>
      <c r="S84" s="174">
        <f t="shared" si="60"/>
        <v>1.5</v>
      </c>
      <c r="T84" s="174">
        <f t="shared" si="61"/>
        <v>0.9</v>
      </c>
      <c r="U84" s="175">
        <f t="shared" si="62"/>
        <v>0.9</v>
      </c>
      <c r="V84" s="167">
        <f t="shared" si="63"/>
        <v>1965.0515214034049</v>
      </c>
      <c r="W84" s="168">
        <f t="shared" si="64"/>
        <v>711746.06364705064</v>
      </c>
      <c r="X84" s="168">
        <f t="shared" si="65"/>
        <v>13111.737152520331</v>
      </c>
      <c r="Y84" s="169">
        <f t="shared" si="66"/>
        <v>4184507.8380682138</v>
      </c>
      <c r="Z84" s="194">
        <f t="shared" si="67"/>
        <v>655.01717380113496</v>
      </c>
      <c r="AA84" s="195">
        <f t="shared" si="68"/>
        <v>613.04570512235193</v>
      </c>
      <c r="AB84" s="195">
        <f t="shared" si="69"/>
        <v>198.66268412909591</v>
      </c>
      <c r="AC84" s="196">
        <f t="shared" si="70"/>
        <v>279.39559578475087</v>
      </c>
      <c r="AD84" s="188">
        <f t="shared" si="52"/>
        <v>0.5</v>
      </c>
      <c r="AE84" s="189">
        <f t="shared" si="53"/>
        <v>0.49999999999999978</v>
      </c>
      <c r="AF84" s="189">
        <f t="shared" si="54"/>
        <v>-9.9999999999999978E-2</v>
      </c>
      <c r="AG84" s="190">
        <f t="shared" si="55"/>
        <v>-9.9999999999999978E-2</v>
      </c>
    </row>
    <row r="85" spans="1:33">
      <c r="A85">
        <v>324</v>
      </c>
      <c r="B85" s="185">
        <f>VLOOKUP($A85,'Allocate OPROC cost'!$A:$AO,30,FALSE)</f>
        <v>690</v>
      </c>
      <c r="C85" s="186">
        <f>VLOOKUP($A85,'Allocate OPROC cost'!$A:$AO,31,FALSE)</f>
        <v>147297</v>
      </c>
      <c r="D85" s="186">
        <f>VLOOKUP($A85,'Allocate OPROC cost'!$A:$AO,32,FALSE)</f>
        <v>335</v>
      </c>
      <c r="E85" s="187">
        <f>VLOOKUP($A85,'Allocate OPROC cost'!$A:$AO,33,FALSE)</f>
        <v>1404563</v>
      </c>
      <c r="F85" s="185">
        <f>VLOOKUP($A85,'Allocate OPROC cost'!$A:$AO,34,FALSE)</f>
        <v>27286.194509413701</v>
      </c>
      <c r="G85" s="186">
        <f>VLOOKUP($A85,'Allocate OPROC cost'!$A:$AO,35,FALSE)</f>
        <v>3984015.5248266421</v>
      </c>
      <c r="H85" s="186">
        <f>VLOOKUP($A85,'Allocate OPROC cost'!$A:$AO,36,FALSE)</f>
        <v>8291.3597639061409</v>
      </c>
      <c r="I85" s="187">
        <f>VLOOKUP($A85,'Allocate OPROC cost'!$A:$AO,37,FALSE)</f>
        <v>29503994.07476148</v>
      </c>
      <c r="J85" s="179">
        <f t="shared" si="51"/>
        <v>39.545209433932897</v>
      </c>
      <c r="K85" s="180">
        <f t="shared" si="51"/>
        <v>27.047499438730199</v>
      </c>
      <c r="L85" s="180">
        <f t="shared" si="51"/>
        <v>24.750327653451166</v>
      </c>
      <c r="M85" s="181">
        <f t="shared" si="51"/>
        <v>21.005817521009366</v>
      </c>
      <c r="N85" s="173">
        <f t="shared" si="56"/>
        <v>1.0303866475812362</v>
      </c>
      <c r="O85" s="174">
        <f t="shared" si="57"/>
        <v>1.7405592144635356</v>
      </c>
      <c r="P85" s="174">
        <f t="shared" si="58"/>
        <v>0.9</v>
      </c>
      <c r="Q85" s="175">
        <f t="shared" si="58"/>
        <v>0.9</v>
      </c>
      <c r="R85" s="173">
        <f t="shared" si="59"/>
        <v>1.0303866475812362</v>
      </c>
      <c r="S85" s="174">
        <f t="shared" si="60"/>
        <v>1.5</v>
      </c>
      <c r="T85" s="174">
        <f t="shared" si="61"/>
        <v>0.9</v>
      </c>
      <c r="U85" s="175">
        <f t="shared" si="62"/>
        <v>0.9</v>
      </c>
      <c r="V85" s="167">
        <f t="shared" si="63"/>
        <v>28115.330485804319</v>
      </c>
      <c r="W85" s="168">
        <f t="shared" si="64"/>
        <v>5976023.2872399632</v>
      </c>
      <c r="X85" s="168">
        <f t="shared" si="65"/>
        <v>7462.223787515527</v>
      </c>
      <c r="Y85" s="169">
        <f t="shared" si="66"/>
        <v>26553594.667285334</v>
      </c>
      <c r="Z85" s="194">
        <f t="shared" si="67"/>
        <v>40.746855776528001</v>
      </c>
      <c r="AA85" s="195">
        <f t="shared" si="68"/>
        <v>40.571249158095299</v>
      </c>
      <c r="AB85" s="195">
        <f t="shared" si="69"/>
        <v>22.27529488810605</v>
      </c>
      <c r="AC85" s="196">
        <f t="shared" si="70"/>
        <v>18.905235768908433</v>
      </c>
      <c r="AD85" s="188">
        <f t="shared" si="52"/>
        <v>3.0386647581236437E-2</v>
      </c>
      <c r="AE85" s="189">
        <f t="shared" si="53"/>
        <v>0.5</v>
      </c>
      <c r="AF85" s="189">
        <f t="shared" si="54"/>
        <v>-9.9999999999999978E-2</v>
      </c>
      <c r="AG85" s="190">
        <f t="shared" si="55"/>
        <v>-9.9999999999999867E-2</v>
      </c>
    </row>
    <row r="86" spans="1:33" s="255" customFormat="1">
      <c r="A86" s="255">
        <v>329</v>
      </c>
      <c r="B86" s="185">
        <f>VLOOKUP($A86,'Allocate OPROC cost'!$A:$AO,30,FALSE)</f>
        <v>1648</v>
      </c>
      <c r="C86" s="186">
        <f>VLOOKUP($A86,'Allocate OPROC cost'!$A:$AO,31,FALSE)</f>
        <v>8772</v>
      </c>
      <c r="D86" s="186">
        <f>VLOOKUP($A86,'Allocate OPROC cost'!$A:$AO,32,FALSE)</f>
        <v>15</v>
      </c>
      <c r="E86" s="187">
        <f>VLOOKUP($A86,'Allocate OPROC cost'!$A:$AO,33,FALSE)</f>
        <v>3340</v>
      </c>
      <c r="F86" s="185">
        <f>VLOOKUP($A86,'Allocate OPROC cost'!$A:$AO,34,FALSE)</f>
        <v>682604.36025791301</v>
      </c>
      <c r="G86" s="186">
        <f>VLOOKUP($A86,'Allocate OPROC cost'!$A:$AO,35,FALSE)</f>
        <v>1723667.0197802801</v>
      </c>
      <c r="H86" s="186">
        <f>VLOOKUP($A86,'Allocate OPROC cost'!$A:$AO,36,FALSE)</f>
        <v>6874.3538605923004</v>
      </c>
      <c r="I86" s="187">
        <f>VLOOKUP($A86,'Allocate OPROC cost'!$A:$AO,37,FALSE)</f>
        <v>559142.24610990798</v>
      </c>
      <c r="J86" s="179">
        <f t="shared" ref="J86" si="71">IF(B86=0,0,F86/B86)</f>
        <v>414.20167491378214</v>
      </c>
      <c r="K86" s="180">
        <f t="shared" ref="K86" si="72">IF(C86=0,0,G86/C86)</f>
        <v>196.49646828320567</v>
      </c>
      <c r="L86" s="180">
        <f t="shared" ref="L86" si="73">IF(D86=0,0,H86/D86)</f>
        <v>458.29025737282001</v>
      </c>
      <c r="M86" s="181">
        <f t="shared" ref="M86" si="74">IF(E86=0,0,I86/E86)</f>
        <v>167.40785811673891</v>
      </c>
      <c r="N86" s="173">
        <f t="shared" ref="N86" si="75">IF(F86=0,1,1+(H86*$O$4)/F86)</f>
        <v>1.0010070773438944</v>
      </c>
      <c r="O86" s="174">
        <f t="shared" ref="O86" si="76">IF(G86=0,1,1+(I86*$O$4)/G86)</f>
        <v>1.0324391103208079</v>
      </c>
      <c r="P86" s="174">
        <f t="shared" si="58"/>
        <v>0.9</v>
      </c>
      <c r="Q86" s="175">
        <f t="shared" si="58"/>
        <v>0.9</v>
      </c>
      <c r="R86" s="173">
        <f t="shared" ref="R86" si="77">IF($S$4="No limit",N86,IF(N86&gt;$S$4,$S$4,N86))</f>
        <v>1.0010070773438944</v>
      </c>
      <c r="S86" s="174">
        <f t="shared" ref="S86" si="78">IF($S$4="No limit",O86,IF(O86&gt;$S$4,$S$4,O86))</f>
        <v>1.0324391103208079</v>
      </c>
      <c r="T86" s="174">
        <f t="shared" si="61"/>
        <v>0.9</v>
      </c>
      <c r="U86" s="175">
        <f t="shared" si="62"/>
        <v>0.9</v>
      </c>
      <c r="V86" s="167">
        <f t="shared" ref="V86" si="79">R86*F86</f>
        <v>683291.79564397223</v>
      </c>
      <c r="W86" s="168">
        <f t="shared" ref="W86" si="80">S86*G86</f>
        <v>1779581.2443912707</v>
      </c>
      <c r="X86" s="168">
        <f t="shared" ref="X86" si="81">T86*H86</f>
        <v>6186.9184745330704</v>
      </c>
      <c r="Y86" s="169">
        <f t="shared" ref="Y86" si="82">U86*I86</f>
        <v>503228.02149891719</v>
      </c>
      <c r="Z86" s="194">
        <f t="shared" ref="Z86" si="83">IF(B86=0,0,V86/B86)</f>
        <v>414.61880803639093</v>
      </c>
      <c r="AA86" s="195">
        <f t="shared" ref="AA86" si="84">IF(C86=0,0,W86/C86)</f>
        <v>202.8706388954937</v>
      </c>
      <c r="AB86" s="195">
        <f t="shared" ref="AB86" si="85">IF(D86=0,0,X86/D86)</f>
        <v>412.46123163553801</v>
      </c>
      <c r="AC86" s="196">
        <f t="shared" ref="AC86" si="86">IF(E86=0,0,Y86/E86)</f>
        <v>150.66707230506503</v>
      </c>
      <c r="AD86" s="188">
        <f t="shared" ref="AD86" si="87">IF(J86=0,0,Z86/J86-1)</f>
        <v>1.0070773438943803E-3</v>
      </c>
      <c r="AE86" s="189">
        <f t="shared" ref="AE86" si="88">IF(K86=0,0,AA86/K86-1)</f>
        <v>3.2439110320807929E-2</v>
      </c>
      <c r="AF86" s="189">
        <f t="shared" ref="AF86" si="89">IF(L86=0,0,AB86/L86-1)</f>
        <v>-9.9999999999999978E-2</v>
      </c>
      <c r="AG86" s="190">
        <f t="shared" ref="AG86" si="90">IF(M86=0,0,AC86/M86-1)</f>
        <v>-9.9999999999999867E-2</v>
      </c>
    </row>
    <row r="87" spans="1:33">
      <c r="A87">
        <v>330</v>
      </c>
      <c r="B87" s="185">
        <f>VLOOKUP($A87,'Allocate OPROC cost'!$A:$AO,30,FALSE)</f>
        <v>5153</v>
      </c>
      <c r="C87" s="186">
        <f>VLOOKUP($A87,'Allocate OPROC cost'!$A:$AO,31,FALSE)</f>
        <v>694038</v>
      </c>
      <c r="D87" s="186">
        <f>VLOOKUP($A87,'Allocate OPROC cost'!$A:$AO,32,FALSE)</f>
        <v>11805</v>
      </c>
      <c r="E87" s="187">
        <f>VLOOKUP($A87,'Allocate OPROC cost'!$A:$AO,33,FALSE)</f>
        <v>1275277</v>
      </c>
      <c r="F87" s="185">
        <f>VLOOKUP($A87,'Allocate OPROC cost'!$A:$AO,34,FALSE)</f>
        <v>553423.86118130398</v>
      </c>
      <c r="G87" s="186">
        <f>VLOOKUP($A87,'Allocate OPROC cost'!$A:$AO,35,FALSE)</f>
        <v>67199016.878302321</v>
      </c>
      <c r="H87" s="186">
        <f>VLOOKUP($A87,'Allocate OPROC cost'!$A:$AO,36,FALSE)</f>
        <v>1048231.0511404</v>
      </c>
      <c r="I87" s="187">
        <f>VLOOKUP($A87,'Allocate OPROC cost'!$A:$AO,37,FALSE)</f>
        <v>103030866.58736692</v>
      </c>
      <c r="J87" s="179">
        <f t="shared" si="51"/>
        <v>107.39838175457092</v>
      </c>
      <c r="K87" s="180">
        <f t="shared" si="51"/>
        <v>96.823253018281889</v>
      </c>
      <c r="L87" s="180">
        <f t="shared" si="51"/>
        <v>88.795514709055482</v>
      </c>
      <c r="M87" s="181">
        <f t="shared" si="51"/>
        <v>80.790970579228613</v>
      </c>
      <c r="N87" s="173">
        <f t="shared" si="56"/>
        <v>1.189408358523413</v>
      </c>
      <c r="O87" s="174">
        <f t="shared" si="57"/>
        <v>1.1533219850134955</v>
      </c>
      <c r="P87" s="174">
        <f t="shared" si="58"/>
        <v>0.9</v>
      </c>
      <c r="Q87" s="175">
        <f t="shared" si="58"/>
        <v>0.9</v>
      </c>
      <c r="R87" s="173">
        <f t="shared" si="59"/>
        <v>1.189408358523413</v>
      </c>
      <c r="S87" s="174">
        <f t="shared" si="60"/>
        <v>1.1533219850134955</v>
      </c>
      <c r="T87" s="174">
        <f t="shared" si="61"/>
        <v>0.9</v>
      </c>
      <c r="U87" s="175">
        <f t="shared" si="62"/>
        <v>0.9</v>
      </c>
      <c r="V87" s="167">
        <f t="shared" si="63"/>
        <v>658246.96629534394</v>
      </c>
      <c r="W87" s="168">
        <f t="shared" si="64"/>
        <v>77502103.537039012</v>
      </c>
      <c r="X87" s="168">
        <f t="shared" si="65"/>
        <v>943407.94602636003</v>
      </c>
      <c r="Y87" s="169">
        <f t="shared" si="66"/>
        <v>92727779.928630233</v>
      </c>
      <c r="Z87" s="194">
        <f t="shared" si="67"/>
        <v>127.74053295077508</v>
      </c>
      <c r="AA87" s="195">
        <f t="shared" si="68"/>
        <v>111.66838636650877</v>
      </c>
      <c r="AB87" s="195">
        <f t="shared" si="69"/>
        <v>79.915963238149942</v>
      </c>
      <c r="AC87" s="196">
        <f t="shared" si="70"/>
        <v>72.711873521305748</v>
      </c>
      <c r="AD87" s="188">
        <f t="shared" si="52"/>
        <v>0.1894083585234132</v>
      </c>
      <c r="AE87" s="189">
        <f t="shared" si="53"/>
        <v>0.15332198501349525</v>
      </c>
      <c r="AF87" s="189">
        <f t="shared" si="54"/>
        <v>-9.9999999999999867E-2</v>
      </c>
      <c r="AG87" s="190">
        <f t="shared" si="55"/>
        <v>-0.10000000000000009</v>
      </c>
    </row>
    <row r="88" spans="1:33">
      <c r="A88">
        <v>340</v>
      </c>
      <c r="B88" s="185">
        <f>VLOOKUP($A88,'Allocate OPROC cost'!$A:$AO,30,FALSE)</f>
        <v>9124</v>
      </c>
      <c r="C88" s="186">
        <f>VLOOKUP($A88,'Allocate OPROC cost'!$A:$AO,31,FALSE)</f>
        <v>348314</v>
      </c>
      <c r="D88" s="186">
        <f>VLOOKUP($A88,'Allocate OPROC cost'!$A:$AO,32,FALSE)</f>
        <v>27773</v>
      </c>
      <c r="E88" s="187">
        <f>VLOOKUP($A88,'Allocate OPROC cost'!$A:$AO,33,FALSE)</f>
        <v>757732</v>
      </c>
      <c r="F88" s="185">
        <f>VLOOKUP($A88,'Allocate OPROC cost'!$A:$AO,34,FALSE)</f>
        <v>2065543.7893082399</v>
      </c>
      <c r="G88" s="186">
        <f>VLOOKUP($A88,'Allocate OPROC cost'!$A:$AO,35,FALSE)</f>
        <v>56585538.685599089</v>
      </c>
      <c r="H88" s="186">
        <f>VLOOKUP($A88,'Allocate OPROC cost'!$A:$AO,36,FALSE)</f>
        <v>5624606.8995471504</v>
      </c>
      <c r="I88" s="187">
        <f>VLOOKUP($A88,'Allocate OPROC cost'!$A:$AO,37,FALSE)</f>
        <v>92254558.566890001</v>
      </c>
      <c r="J88" s="179">
        <f t="shared" si="51"/>
        <v>226.38577261160017</v>
      </c>
      <c r="K88" s="180">
        <f t="shared" si="51"/>
        <v>162.4555392134657</v>
      </c>
      <c r="L88" s="180">
        <f t="shared" si="51"/>
        <v>202.52068194099127</v>
      </c>
      <c r="M88" s="181">
        <f t="shared" si="51"/>
        <v>121.75090740115239</v>
      </c>
      <c r="N88" s="173">
        <f t="shared" si="56"/>
        <v>1.272306349962731</v>
      </c>
      <c r="O88" s="174">
        <f t="shared" si="57"/>
        <v>1.163035575360474</v>
      </c>
      <c r="P88" s="174">
        <f t="shared" si="58"/>
        <v>0.9</v>
      </c>
      <c r="Q88" s="175">
        <f t="shared" si="58"/>
        <v>0.9</v>
      </c>
      <c r="R88" s="173">
        <f t="shared" si="59"/>
        <v>1.272306349962731</v>
      </c>
      <c r="S88" s="174">
        <f t="shared" si="60"/>
        <v>1.163035575360474</v>
      </c>
      <c r="T88" s="174">
        <f t="shared" si="61"/>
        <v>0.9</v>
      </c>
      <c r="U88" s="175">
        <f t="shared" si="62"/>
        <v>0.9</v>
      </c>
      <c r="V88" s="167">
        <f t="shared" si="63"/>
        <v>2628004.479262955</v>
      </c>
      <c r="W88" s="168">
        <f t="shared" si="64"/>
        <v>65810994.542288095</v>
      </c>
      <c r="X88" s="168">
        <f t="shared" si="65"/>
        <v>5062146.2095924355</v>
      </c>
      <c r="Y88" s="169">
        <f t="shared" si="66"/>
        <v>83029102.71020101</v>
      </c>
      <c r="Z88" s="194">
        <f t="shared" si="67"/>
        <v>288.0320560349578</v>
      </c>
      <c r="AA88" s="195">
        <f t="shared" si="68"/>
        <v>188.94157151962912</v>
      </c>
      <c r="AB88" s="195">
        <f t="shared" si="69"/>
        <v>182.26861374689216</v>
      </c>
      <c r="AC88" s="196">
        <f t="shared" si="70"/>
        <v>109.57581666103717</v>
      </c>
      <c r="AD88" s="188">
        <f t="shared" si="52"/>
        <v>0.27230634996273095</v>
      </c>
      <c r="AE88" s="189">
        <f t="shared" si="53"/>
        <v>0.16303557536047397</v>
      </c>
      <c r="AF88" s="189">
        <f t="shared" si="54"/>
        <v>-9.9999999999999867E-2</v>
      </c>
      <c r="AG88" s="190">
        <f t="shared" si="55"/>
        <v>-9.9999999999999867E-2</v>
      </c>
    </row>
    <row r="89" spans="1:33">
      <c r="A89">
        <v>341</v>
      </c>
      <c r="B89" s="185">
        <f>VLOOKUP($A89,'Allocate OPROC cost'!$A:$AO,30,FALSE)</f>
        <v>237</v>
      </c>
      <c r="C89" s="186">
        <f>VLOOKUP($A89,'Allocate OPROC cost'!$A:$AO,31,FALSE)</f>
        <v>22928</v>
      </c>
      <c r="D89" s="186">
        <f>VLOOKUP($A89,'Allocate OPROC cost'!$A:$AO,32,FALSE)</f>
        <v>132</v>
      </c>
      <c r="E89" s="187">
        <f>VLOOKUP($A89,'Allocate OPROC cost'!$A:$AO,33,FALSE)</f>
        <v>54149</v>
      </c>
      <c r="F89" s="185">
        <f>VLOOKUP($A89,'Allocate OPROC cost'!$A:$AO,34,FALSE)</f>
        <v>129325.694112679</v>
      </c>
      <c r="G89" s="186">
        <f>VLOOKUP($A89,'Allocate OPROC cost'!$A:$AO,35,FALSE)</f>
        <v>3069306.8327059289</v>
      </c>
      <c r="H89" s="186">
        <f>VLOOKUP($A89,'Allocate OPROC cost'!$A:$AO,36,FALSE)</f>
        <v>77126.305535062798</v>
      </c>
      <c r="I89" s="187">
        <f>VLOOKUP($A89,'Allocate OPROC cost'!$A:$AO,37,FALSE)</f>
        <v>8509173.4078508858</v>
      </c>
      <c r="J89" s="179">
        <f t="shared" si="51"/>
        <v>545.67803423071314</v>
      </c>
      <c r="K89" s="180">
        <f t="shared" si="51"/>
        <v>133.86718565535278</v>
      </c>
      <c r="L89" s="180">
        <f t="shared" si="51"/>
        <v>584.2901934474454</v>
      </c>
      <c r="M89" s="181">
        <f t="shared" si="51"/>
        <v>157.14368516225389</v>
      </c>
      <c r="N89" s="173">
        <f t="shared" si="56"/>
        <v>1.0596372639360159</v>
      </c>
      <c r="O89" s="174">
        <f t="shared" si="57"/>
        <v>1.2772343682677407</v>
      </c>
      <c r="P89" s="174">
        <f t="shared" si="58"/>
        <v>0.9</v>
      </c>
      <c r="Q89" s="175">
        <f t="shared" si="58"/>
        <v>0.9</v>
      </c>
      <c r="R89" s="173">
        <f t="shared" si="59"/>
        <v>1.0596372639360159</v>
      </c>
      <c r="S89" s="174">
        <f t="shared" si="60"/>
        <v>1.2772343682677407</v>
      </c>
      <c r="T89" s="174">
        <f t="shared" si="61"/>
        <v>0.9</v>
      </c>
      <c r="U89" s="175">
        <f t="shared" si="62"/>
        <v>0.9</v>
      </c>
      <c r="V89" s="167">
        <f t="shared" si="63"/>
        <v>137038.3246661853</v>
      </c>
      <c r="W89" s="168">
        <f t="shared" si="64"/>
        <v>3920224.1734910174</v>
      </c>
      <c r="X89" s="168">
        <f t="shared" si="65"/>
        <v>69413.674981556527</v>
      </c>
      <c r="Y89" s="169">
        <f t="shared" si="66"/>
        <v>7658256.0670657977</v>
      </c>
      <c r="Z89" s="194">
        <f t="shared" si="67"/>
        <v>578.22077918221646</v>
      </c>
      <c r="AA89" s="195">
        <f t="shared" si="68"/>
        <v>170.9797703022949</v>
      </c>
      <c r="AB89" s="195">
        <f t="shared" si="69"/>
        <v>525.86117410270094</v>
      </c>
      <c r="AC89" s="196">
        <f t="shared" si="70"/>
        <v>141.4293166460285</v>
      </c>
      <c r="AD89" s="188">
        <f t="shared" si="52"/>
        <v>5.9637263936015872E-2</v>
      </c>
      <c r="AE89" s="189">
        <f t="shared" si="53"/>
        <v>0.27723436826774095</v>
      </c>
      <c r="AF89" s="189">
        <f t="shared" si="54"/>
        <v>-9.9999999999999867E-2</v>
      </c>
      <c r="AG89" s="190">
        <f t="shared" si="55"/>
        <v>-9.9999999999999978E-2</v>
      </c>
    </row>
    <row r="90" spans="1:33">
      <c r="A90">
        <v>350</v>
      </c>
      <c r="B90" s="185">
        <f>VLOOKUP($A90,'Allocate OPROC cost'!$A:$AO,30,FALSE)</f>
        <v>750</v>
      </c>
      <c r="C90" s="186">
        <f>VLOOKUP($A90,'Allocate OPROC cost'!$A:$AO,31,FALSE)</f>
        <v>18813</v>
      </c>
      <c r="D90" s="186">
        <f>VLOOKUP($A90,'Allocate OPROC cost'!$A:$AO,32,FALSE)</f>
        <v>3740</v>
      </c>
      <c r="E90" s="187">
        <f>VLOOKUP($A90,'Allocate OPROC cost'!$A:$AO,33,FALSE)</f>
        <v>58416</v>
      </c>
      <c r="F90" s="185">
        <f>VLOOKUP($A90,'Allocate OPROC cost'!$A:$AO,34,FALSE)</f>
        <v>180181.88846755601</v>
      </c>
      <c r="G90" s="186">
        <f>VLOOKUP($A90,'Allocate OPROC cost'!$A:$AO,35,FALSE)</f>
        <v>4878439.9207217162</v>
      </c>
      <c r="H90" s="186">
        <f>VLOOKUP($A90,'Allocate OPROC cost'!$A:$AO,36,FALSE)</f>
        <v>745106.16601444595</v>
      </c>
      <c r="I90" s="187">
        <f>VLOOKUP($A90,'Allocate OPROC cost'!$A:$AO,37,FALSE)</f>
        <v>14231079.843627861</v>
      </c>
      <c r="J90" s="179">
        <f t="shared" si="51"/>
        <v>240.24251795674135</v>
      </c>
      <c r="K90" s="180">
        <f t="shared" si="51"/>
        <v>259.31217353541257</v>
      </c>
      <c r="L90" s="180">
        <f t="shared" si="51"/>
        <v>199.22624759744545</v>
      </c>
      <c r="M90" s="181">
        <f t="shared" si="51"/>
        <v>243.61612988954843</v>
      </c>
      <c r="N90" s="173">
        <f t="shared" si="56"/>
        <v>1.4135300014621679</v>
      </c>
      <c r="O90" s="174">
        <f t="shared" si="57"/>
        <v>1.2917137460928805</v>
      </c>
      <c r="P90" s="174">
        <f t="shared" si="58"/>
        <v>0.9</v>
      </c>
      <c r="Q90" s="175">
        <f t="shared" si="58"/>
        <v>0.9</v>
      </c>
      <c r="R90" s="173">
        <f t="shared" si="59"/>
        <v>1.4135300014621679</v>
      </c>
      <c r="S90" s="174">
        <f t="shared" si="60"/>
        <v>1.2917137460928805</v>
      </c>
      <c r="T90" s="174">
        <f t="shared" si="61"/>
        <v>0.9</v>
      </c>
      <c r="U90" s="175">
        <f t="shared" si="62"/>
        <v>0.9</v>
      </c>
      <c r="V90" s="167">
        <f t="shared" si="63"/>
        <v>254692.50506900062</v>
      </c>
      <c r="W90" s="168">
        <f t="shared" si="64"/>
        <v>6301547.9050845029</v>
      </c>
      <c r="X90" s="168">
        <f t="shared" si="65"/>
        <v>670595.5494130014</v>
      </c>
      <c r="Y90" s="169">
        <f t="shared" si="66"/>
        <v>12807971.859265074</v>
      </c>
      <c r="Z90" s="194">
        <f t="shared" si="67"/>
        <v>339.59000675866747</v>
      </c>
      <c r="AA90" s="195">
        <f t="shared" si="68"/>
        <v>334.95709908491483</v>
      </c>
      <c r="AB90" s="195">
        <f t="shared" si="69"/>
        <v>179.30362283770091</v>
      </c>
      <c r="AC90" s="196">
        <f t="shared" si="70"/>
        <v>219.25451690059359</v>
      </c>
      <c r="AD90" s="188">
        <f t="shared" si="52"/>
        <v>0.41353000146216767</v>
      </c>
      <c r="AE90" s="189">
        <f t="shared" si="53"/>
        <v>0.29171374609288026</v>
      </c>
      <c r="AF90" s="189">
        <f t="shared" si="54"/>
        <v>-9.9999999999999978E-2</v>
      </c>
      <c r="AG90" s="190">
        <f t="shared" si="55"/>
        <v>-9.9999999999999978E-2</v>
      </c>
    </row>
    <row r="91" spans="1:33">
      <c r="A91">
        <v>352</v>
      </c>
      <c r="B91" s="185">
        <f>VLOOKUP($A91,'Allocate OPROC cost'!$A:$AO,30,FALSE)</f>
        <v>1423</v>
      </c>
      <c r="C91" s="186">
        <f>VLOOKUP($A91,'Allocate OPROC cost'!$A:$AO,31,FALSE)</f>
        <v>2672</v>
      </c>
      <c r="D91" s="186">
        <f>VLOOKUP($A91,'Allocate OPROC cost'!$A:$AO,32,FALSE)</f>
        <v>47</v>
      </c>
      <c r="E91" s="187">
        <f>VLOOKUP($A91,'Allocate OPROC cost'!$A:$AO,33,FALSE)</f>
        <v>1670</v>
      </c>
      <c r="F91" s="185">
        <f>VLOOKUP($A91,'Allocate OPROC cost'!$A:$AO,34,FALSE)</f>
        <v>331939.21060021297</v>
      </c>
      <c r="G91" s="186">
        <f>VLOOKUP($A91,'Allocate OPROC cost'!$A:$AO,35,FALSE)</f>
        <v>600552.90312262299</v>
      </c>
      <c r="H91" s="186">
        <f>VLOOKUP($A91,'Allocate OPROC cost'!$A:$AO,36,FALSE)</f>
        <v>8828.3928709111005</v>
      </c>
      <c r="I91" s="187">
        <f>VLOOKUP($A91,'Allocate OPROC cost'!$A:$AO,37,FALSE)</f>
        <v>314902.27762290702</v>
      </c>
      <c r="J91" s="179">
        <f t="shared" si="51"/>
        <v>233.26718945903934</v>
      </c>
      <c r="K91" s="180">
        <f t="shared" si="51"/>
        <v>224.75782302493374</v>
      </c>
      <c r="L91" s="180">
        <f t="shared" si="51"/>
        <v>187.83814618959789</v>
      </c>
      <c r="M91" s="181">
        <f t="shared" si="51"/>
        <v>188.56423809754912</v>
      </c>
      <c r="N91" s="173">
        <f t="shared" si="56"/>
        <v>1.0026596414611422</v>
      </c>
      <c r="O91" s="174">
        <f t="shared" si="57"/>
        <v>1.0524353934491946</v>
      </c>
      <c r="P91" s="174">
        <f t="shared" si="58"/>
        <v>0.9</v>
      </c>
      <c r="Q91" s="175">
        <f t="shared" si="58"/>
        <v>0.9</v>
      </c>
      <c r="R91" s="173">
        <f t="shared" si="59"/>
        <v>1.0026596414611422</v>
      </c>
      <c r="S91" s="174">
        <f t="shared" si="60"/>
        <v>1.0524353934491946</v>
      </c>
      <c r="T91" s="174">
        <f t="shared" si="61"/>
        <v>0.9</v>
      </c>
      <c r="U91" s="175">
        <f t="shared" si="62"/>
        <v>0.9</v>
      </c>
      <c r="V91" s="167">
        <f t="shared" si="63"/>
        <v>332822.04988730408</v>
      </c>
      <c r="W91" s="168">
        <f t="shared" si="64"/>
        <v>632043.13088491373</v>
      </c>
      <c r="X91" s="168">
        <f t="shared" si="65"/>
        <v>7945.5535838199903</v>
      </c>
      <c r="Y91" s="169">
        <f t="shared" si="66"/>
        <v>283412.04986061633</v>
      </c>
      <c r="Z91" s="194">
        <f t="shared" si="67"/>
        <v>233.88759654764868</v>
      </c>
      <c r="AA91" s="195">
        <f t="shared" si="68"/>
        <v>236.54308790603059</v>
      </c>
      <c r="AB91" s="195">
        <f t="shared" si="69"/>
        <v>169.05433157063808</v>
      </c>
      <c r="AC91" s="196">
        <f t="shared" si="70"/>
        <v>169.70781428779421</v>
      </c>
      <c r="AD91" s="188">
        <f t="shared" si="52"/>
        <v>2.6596414611419483E-3</v>
      </c>
      <c r="AE91" s="189">
        <f t="shared" si="53"/>
        <v>5.2435393449194567E-2</v>
      </c>
      <c r="AF91" s="189">
        <f t="shared" si="54"/>
        <v>-0.10000000000000009</v>
      </c>
      <c r="AG91" s="190">
        <f t="shared" si="55"/>
        <v>-9.9999999999999978E-2</v>
      </c>
    </row>
    <row r="92" spans="1:33">
      <c r="A92">
        <v>360</v>
      </c>
      <c r="B92" s="185">
        <f>VLOOKUP($A92,'Allocate OPROC cost'!$A:$AO,30,FALSE)</f>
        <v>35862</v>
      </c>
      <c r="C92" s="186">
        <f>VLOOKUP($A92,'Allocate OPROC cost'!$A:$AO,31,FALSE)</f>
        <v>1093998</v>
      </c>
      <c r="D92" s="186">
        <f>VLOOKUP($A92,'Allocate OPROC cost'!$A:$AO,32,FALSE)</f>
        <v>20909</v>
      </c>
      <c r="E92" s="187">
        <f>VLOOKUP($A92,'Allocate OPROC cost'!$A:$AO,33,FALSE)</f>
        <v>687388</v>
      </c>
      <c r="F92" s="185">
        <f>VLOOKUP($A92,'Allocate OPROC cost'!$A:$AO,34,FALSE)</f>
        <v>4317735.8156021005</v>
      </c>
      <c r="G92" s="186">
        <f>VLOOKUP($A92,'Allocate OPROC cost'!$A:$AO,35,FALSE)</f>
        <v>146725285.027738</v>
      </c>
      <c r="H92" s="186">
        <f>VLOOKUP($A92,'Allocate OPROC cost'!$A:$AO,36,FALSE)</f>
        <v>2181605.9479288599</v>
      </c>
      <c r="I92" s="187">
        <f>VLOOKUP($A92,'Allocate OPROC cost'!$A:$AO,37,FALSE)</f>
        <v>84356994.734581903</v>
      </c>
      <c r="J92" s="179">
        <f t="shared" si="51"/>
        <v>120.39863408627797</v>
      </c>
      <c r="K92" s="180">
        <f t="shared" si="51"/>
        <v>134.1184216312443</v>
      </c>
      <c r="L92" s="180">
        <f t="shared" si="51"/>
        <v>104.33812941455162</v>
      </c>
      <c r="M92" s="181">
        <f t="shared" si="51"/>
        <v>122.72107562916709</v>
      </c>
      <c r="N92" s="173">
        <f t="shared" si="56"/>
        <v>1.050526619531599</v>
      </c>
      <c r="O92" s="174">
        <f t="shared" si="57"/>
        <v>1.0574931544475341</v>
      </c>
      <c r="P92" s="174">
        <f t="shared" si="58"/>
        <v>0.9</v>
      </c>
      <c r="Q92" s="175">
        <f t="shared" si="58"/>
        <v>0.9</v>
      </c>
      <c r="R92" s="173">
        <f t="shared" si="59"/>
        <v>1.050526619531599</v>
      </c>
      <c r="S92" s="174">
        <f t="shared" si="60"/>
        <v>1.0574931544475341</v>
      </c>
      <c r="T92" s="174">
        <f t="shared" si="61"/>
        <v>0.9</v>
      </c>
      <c r="U92" s="175">
        <f t="shared" si="62"/>
        <v>0.9</v>
      </c>
      <c r="V92" s="167">
        <f t="shared" si="63"/>
        <v>4535896.4103949862</v>
      </c>
      <c r="W92" s="168">
        <f t="shared" si="64"/>
        <v>155160984.50119621</v>
      </c>
      <c r="X92" s="168">
        <f t="shared" si="65"/>
        <v>1963445.3531359739</v>
      </c>
      <c r="Y92" s="169">
        <f t="shared" si="66"/>
        <v>75921295.261123717</v>
      </c>
      <c r="Z92" s="194">
        <f t="shared" si="67"/>
        <v>126.48197006287954</v>
      </c>
      <c r="AA92" s="195">
        <f t="shared" si="68"/>
        <v>141.82931276034893</v>
      </c>
      <c r="AB92" s="195">
        <f t="shared" si="69"/>
        <v>93.904316473096458</v>
      </c>
      <c r="AC92" s="196">
        <f t="shared" si="70"/>
        <v>110.44896806625039</v>
      </c>
      <c r="AD92" s="188">
        <f t="shared" si="52"/>
        <v>5.0526619531598982E-2</v>
      </c>
      <c r="AE92" s="189">
        <f t="shared" si="53"/>
        <v>5.7493154447534112E-2</v>
      </c>
      <c r="AF92" s="189">
        <f t="shared" si="54"/>
        <v>-9.9999999999999978E-2</v>
      </c>
      <c r="AG92" s="190">
        <f t="shared" si="55"/>
        <v>-9.9999999999999978E-2</v>
      </c>
    </row>
    <row r="93" spans="1:33">
      <c r="A93">
        <v>361</v>
      </c>
      <c r="B93" s="185">
        <f>VLOOKUP($A93,'Allocate OPROC cost'!$A:$AO,30,FALSE)</f>
        <v>1454</v>
      </c>
      <c r="C93" s="186">
        <f>VLOOKUP($A93,'Allocate OPROC cost'!$A:$AO,31,FALSE)</f>
        <v>70458</v>
      </c>
      <c r="D93" s="186">
        <f>VLOOKUP($A93,'Allocate OPROC cost'!$A:$AO,32,FALSE)</f>
        <v>15040</v>
      </c>
      <c r="E93" s="187">
        <f>VLOOKUP($A93,'Allocate OPROC cost'!$A:$AO,33,FALSE)</f>
        <v>581903</v>
      </c>
      <c r="F93" s="185">
        <f>VLOOKUP($A93,'Allocate OPROC cost'!$A:$AO,34,FALSE)</f>
        <v>315339.05164084001</v>
      </c>
      <c r="G93" s="186">
        <f>VLOOKUP($A93,'Allocate OPROC cost'!$A:$AO,35,FALSE)</f>
        <v>13128211.258468572</v>
      </c>
      <c r="H93" s="186">
        <f>VLOOKUP($A93,'Allocate OPROC cost'!$A:$AO,36,FALSE)</f>
        <v>2589689.42117415</v>
      </c>
      <c r="I93" s="187">
        <f>VLOOKUP($A93,'Allocate OPROC cost'!$A:$AO,37,FALSE)</f>
        <v>86444268.549212009</v>
      </c>
      <c r="J93" s="179">
        <f t="shared" si="51"/>
        <v>216.8769268506465</v>
      </c>
      <c r="K93" s="180">
        <f t="shared" si="51"/>
        <v>186.32676571104165</v>
      </c>
      <c r="L93" s="180">
        <f t="shared" si="51"/>
        <v>172.18679662062166</v>
      </c>
      <c r="M93" s="181">
        <f t="shared" si="51"/>
        <v>148.55443011844244</v>
      </c>
      <c r="N93" s="173">
        <f t="shared" si="56"/>
        <v>1.8212396808130553</v>
      </c>
      <c r="O93" s="174">
        <f t="shared" si="57"/>
        <v>1.658461894368509</v>
      </c>
      <c r="P93" s="174">
        <f t="shared" si="58"/>
        <v>0.9</v>
      </c>
      <c r="Q93" s="175">
        <f t="shared" si="58"/>
        <v>0.9</v>
      </c>
      <c r="R93" s="173">
        <f t="shared" si="59"/>
        <v>1.5</v>
      </c>
      <c r="S93" s="174">
        <f t="shared" si="60"/>
        <v>1.5</v>
      </c>
      <c r="T93" s="174">
        <f t="shared" si="61"/>
        <v>0.9</v>
      </c>
      <c r="U93" s="175">
        <f t="shared" si="62"/>
        <v>0.9</v>
      </c>
      <c r="V93" s="167">
        <f t="shared" si="63"/>
        <v>473008.57746126002</v>
      </c>
      <c r="W93" s="168">
        <f t="shared" si="64"/>
        <v>19692316.88770286</v>
      </c>
      <c r="X93" s="168">
        <f t="shared" si="65"/>
        <v>2330720.4790567351</v>
      </c>
      <c r="Y93" s="169">
        <f t="shared" si="66"/>
        <v>77799841.694290817</v>
      </c>
      <c r="Z93" s="194">
        <f t="shared" si="67"/>
        <v>325.31539027596978</v>
      </c>
      <c r="AA93" s="195">
        <f t="shared" si="68"/>
        <v>279.49014856656248</v>
      </c>
      <c r="AB93" s="195">
        <f t="shared" si="69"/>
        <v>154.96811695855951</v>
      </c>
      <c r="AC93" s="196">
        <f t="shared" si="70"/>
        <v>133.6989871065982</v>
      </c>
      <c r="AD93" s="188">
        <f t="shared" si="52"/>
        <v>0.50000000000000022</v>
      </c>
      <c r="AE93" s="189">
        <f t="shared" si="53"/>
        <v>0.5</v>
      </c>
      <c r="AF93" s="189">
        <f t="shared" si="54"/>
        <v>-9.9999999999999978E-2</v>
      </c>
      <c r="AG93" s="190">
        <f t="shared" si="55"/>
        <v>-9.9999999999999978E-2</v>
      </c>
    </row>
    <row r="94" spans="1:33">
      <c r="A94">
        <v>370</v>
      </c>
      <c r="B94" s="185">
        <f>VLOOKUP($A94,'Allocate OPROC cost'!$A:$AO,30,FALSE)</f>
        <v>6332</v>
      </c>
      <c r="C94" s="186">
        <f>VLOOKUP($A94,'Allocate OPROC cost'!$A:$AO,31,FALSE)</f>
        <v>83939</v>
      </c>
      <c r="D94" s="186">
        <f>VLOOKUP($A94,'Allocate OPROC cost'!$A:$AO,32,FALSE)</f>
        <v>36408</v>
      </c>
      <c r="E94" s="187">
        <f>VLOOKUP($A94,'Allocate OPROC cost'!$A:$AO,33,FALSE)</f>
        <v>605539</v>
      </c>
      <c r="F94" s="185">
        <f>VLOOKUP($A94,'Allocate OPROC cost'!$A:$AO,34,FALSE)</f>
        <v>1076940.30055272</v>
      </c>
      <c r="G94" s="186">
        <f>VLOOKUP($A94,'Allocate OPROC cost'!$A:$AO,35,FALSE)</f>
        <v>12855909.368103646</v>
      </c>
      <c r="H94" s="186">
        <f>VLOOKUP($A94,'Allocate OPROC cost'!$A:$AO,36,FALSE)</f>
        <v>5013444.8825266799</v>
      </c>
      <c r="I94" s="187">
        <f>VLOOKUP($A94,'Allocate OPROC cost'!$A:$AO,37,FALSE)</f>
        <v>67981045.745069236</v>
      </c>
      <c r="J94" s="179">
        <f t="shared" si="51"/>
        <v>170.07901145810487</v>
      </c>
      <c r="K94" s="180">
        <f t="shared" si="51"/>
        <v>153.15776180444902</v>
      </c>
      <c r="L94" s="180">
        <f t="shared" si="51"/>
        <v>137.70173814894198</v>
      </c>
      <c r="M94" s="181">
        <f t="shared" si="51"/>
        <v>112.26534664995853</v>
      </c>
      <c r="N94" s="173">
        <f t="shared" si="56"/>
        <v>1.4655267223218984</v>
      </c>
      <c r="O94" s="174">
        <f t="shared" si="57"/>
        <v>1.5287921981912431</v>
      </c>
      <c r="P94" s="174">
        <f t="shared" si="58"/>
        <v>0.9</v>
      </c>
      <c r="Q94" s="175">
        <f t="shared" si="58"/>
        <v>0.9</v>
      </c>
      <c r="R94" s="173">
        <f t="shared" si="59"/>
        <v>1.4655267223218984</v>
      </c>
      <c r="S94" s="174">
        <f t="shared" si="60"/>
        <v>1.5</v>
      </c>
      <c r="T94" s="174">
        <f t="shared" si="61"/>
        <v>0.9</v>
      </c>
      <c r="U94" s="175">
        <f t="shared" si="62"/>
        <v>0.9</v>
      </c>
      <c r="V94" s="167">
        <f t="shared" si="63"/>
        <v>1578284.7888053879</v>
      </c>
      <c r="W94" s="168">
        <f t="shared" si="64"/>
        <v>19283864.052155469</v>
      </c>
      <c r="X94" s="168">
        <f t="shared" si="65"/>
        <v>4512100.3942740122</v>
      </c>
      <c r="Y94" s="169">
        <f t="shared" si="66"/>
        <v>61182941.170562312</v>
      </c>
      <c r="Z94" s="194">
        <f t="shared" si="67"/>
        <v>249.25533619794504</v>
      </c>
      <c r="AA94" s="195">
        <f t="shared" si="68"/>
        <v>229.73664270667351</v>
      </c>
      <c r="AB94" s="195">
        <f t="shared" si="69"/>
        <v>123.93156433404779</v>
      </c>
      <c r="AC94" s="196">
        <f t="shared" si="70"/>
        <v>101.03881198496268</v>
      </c>
      <c r="AD94" s="188">
        <f t="shared" si="52"/>
        <v>0.4655267223218984</v>
      </c>
      <c r="AE94" s="189">
        <f t="shared" si="53"/>
        <v>0.49999999999999978</v>
      </c>
      <c r="AF94" s="189">
        <f t="shared" si="54"/>
        <v>-9.9999999999999978E-2</v>
      </c>
      <c r="AG94" s="190">
        <f t="shared" si="55"/>
        <v>-9.9999999999999978E-2</v>
      </c>
    </row>
    <row r="95" spans="1:33">
      <c r="A95">
        <v>371</v>
      </c>
      <c r="B95" s="185">
        <f>VLOOKUP($A95,'Allocate OPROC cost'!$A:$AO,30,FALSE)</f>
        <v>0</v>
      </c>
      <c r="C95" s="186">
        <f>VLOOKUP($A95,'Allocate OPROC cost'!$A:$AO,31,FALSE)</f>
        <v>2391</v>
      </c>
      <c r="D95" s="186">
        <f>VLOOKUP($A95,'Allocate OPROC cost'!$A:$AO,32,FALSE)</f>
        <v>0</v>
      </c>
      <c r="E95" s="187">
        <f>VLOOKUP($A95,'Allocate OPROC cost'!$A:$AO,33,FALSE)</f>
        <v>4515</v>
      </c>
      <c r="F95" s="185">
        <f>VLOOKUP($A95,'Allocate OPROC cost'!$A:$AO,34,FALSE)</f>
        <v>0</v>
      </c>
      <c r="G95" s="186">
        <f>VLOOKUP($A95,'Allocate OPROC cost'!$A:$AO,35,FALSE)</f>
        <v>498352.02762935805</v>
      </c>
      <c r="H95" s="186">
        <f>VLOOKUP($A95,'Allocate OPROC cost'!$A:$AO,36,FALSE)</f>
        <v>0</v>
      </c>
      <c r="I95" s="187">
        <f>VLOOKUP($A95,'Allocate OPROC cost'!$A:$AO,37,FALSE)</f>
        <v>314661.10545911104</v>
      </c>
      <c r="J95" s="179">
        <f t="shared" si="51"/>
        <v>0</v>
      </c>
      <c r="K95" s="180">
        <f t="shared" si="51"/>
        <v>208.42828424481726</v>
      </c>
      <c r="L95" s="180">
        <f t="shared" si="51"/>
        <v>0</v>
      </c>
      <c r="M95" s="181">
        <f t="shared" si="51"/>
        <v>69.692382161486393</v>
      </c>
      <c r="N95" s="173">
        <f t="shared" si="56"/>
        <v>1</v>
      </c>
      <c r="O95" s="174">
        <f t="shared" si="57"/>
        <v>1.0631403281242664</v>
      </c>
      <c r="P95" s="174">
        <f t="shared" si="58"/>
        <v>0.9</v>
      </c>
      <c r="Q95" s="175">
        <f t="shared" si="58"/>
        <v>0.9</v>
      </c>
      <c r="R95" s="173">
        <f t="shared" si="59"/>
        <v>1</v>
      </c>
      <c r="S95" s="174">
        <f t="shared" si="60"/>
        <v>1.0631403281242664</v>
      </c>
      <c r="T95" s="174">
        <f t="shared" si="61"/>
        <v>0.9</v>
      </c>
      <c r="U95" s="175">
        <f t="shared" si="62"/>
        <v>0.9</v>
      </c>
      <c r="V95" s="167">
        <f t="shared" si="63"/>
        <v>0</v>
      </c>
      <c r="W95" s="168">
        <f t="shared" si="64"/>
        <v>529818.13817526924</v>
      </c>
      <c r="X95" s="168">
        <f t="shared" si="65"/>
        <v>0</v>
      </c>
      <c r="Y95" s="169">
        <f t="shared" si="66"/>
        <v>283194.99491319997</v>
      </c>
      <c r="Z95" s="194">
        <f t="shared" si="67"/>
        <v>0</v>
      </c>
      <c r="AA95" s="195">
        <f t="shared" si="68"/>
        <v>221.58851450241289</v>
      </c>
      <c r="AB95" s="195">
        <f t="shared" si="69"/>
        <v>0</v>
      </c>
      <c r="AC95" s="196">
        <f t="shared" si="70"/>
        <v>62.72314394533776</v>
      </c>
      <c r="AD95" s="188">
        <f t="shared" si="52"/>
        <v>0</v>
      </c>
      <c r="AE95" s="189">
        <f t="shared" si="53"/>
        <v>6.3140328124266398E-2</v>
      </c>
      <c r="AF95" s="189">
        <f t="shared" si="54"/>
        <v>0</v>
      </c>
      <c r="AG95" s="190">
        <f t="shared" si="55"/>
        <v>-9.9999999999999867E-2</v>
      </c>
    </row>
    <row r="96" spans="1:33">
      <c r="A96">
        <v>400</v>
      </c>
      <c r="B96" s="185">
        <f>VLOOKUP($A96,'Allocate OPROC cost'!$A:$AO,30,FALSE)</f>
        <v>2313</v>
      </c>
      <c r="C96" s="186">
        <f>VLOOKUP($A96,'Allocate OPROC cost'!$A:$AO,31,FALSE)</f>
        <v>398898</v>
      </c>
      <c r="D96" s="186">
        <f>VLOOKUP($A96,'Allocate OPROC cost'!$A:$AO,32,FALSE)</f>
        <v>7354</v>
      </c>
      <c r="E96" s="187">
        <f>VLOOKUP($A96,'Allocate OPROC cost'!$A:$AO,33,FALSE)</f>
        <v>573589</v>
      </c>
      <c r="F96" s="185">
        <f>VLOOKUP($A96,'Allocate OPROC cost'!$A:$AO,34,FALSE)</f>
        <v>671819.56487963803</v>
      </c>
      <c r="G96" s="186">
        <f>VLOOKUP($A96,'Allocate OPROC cost'!$A:$AO,35,FALSE)</f>
        <v>74104677.926262155</v>
      </c>
      <c r="H96" s="186">
        <f>VLOOKUP($A96,'Allocate OPROC cost'!$A:$AO,36,FALSE)</f>
        <v>1152694.0214952501</v>
      </c>
      <c r="I96" s="187">
        <f>VLOOKUP($A96,'Allocate OPROC cost'!$A:$AO,37,FALSE)</f>
        <v>76729662.62527132</v>
      </c>
      <c r="J96" s="179">
        <f t="shared" si="51"/>
        <v>290.45376778194469</v>
      </c>
      <c r="K96" s="180">
        <f t="shared" si="51"/>
        <v>185.77350081038801</v>
      </c>
      <c r="L96" s="180">
        <f t="shared" si="51"/>
        <v>156.74381581387681</v>
      </c>
      <c r="M96" s="181">
        <f t="shared" si="51"/>
        <v>133.77115430259528</v>
      </c>
      <c r="N96" s="173">
        <f t="shared" si="56"/>
        <v>1.1715779179044548</v>
      </c>
      <c r="O96" s="174">
        <f t="shared" si="57"/>
        <v>1.1035422658494261</v>
      </c>
      <c r="P96" s="174">
        <f t="shared" si="58"/>
        <v>0.9</v>
      </c>
      <c r="Q96" s="175">
        <f t="shared" si="58"/>
        <v>0.9</v>
      </c>
      <c r="R96" s="173">
        <f t="shared" si="59"/>
        <v>1.1715779179044548</v>
      </c>
      <c r="S96" s="174">
        <f t="shared" si="60"/>
        <v>1.1035422658494261</v>
      </c>
      <c r="T96" s="174">
        <f t="shared" si="61"/>
        <v>0.9</v>
      </c>
      <c r="U96" s="175">
        <f t="shared" si="62"/>
        <v>0.9</v>
      </c>
      <c r="V96" s="167">
        <f t="shared" si="63"/>
        <v>787088.96702916303</v>
      </c>
      <c r="W96" s="168">
        <f t="shared" si="64"/>
        <v>81777644.188789278</v>
      </c>
      <c r="X96" s="168">
        <f t="shared" si="65"/>
        <v>1037424.619345725</v>
      </c>
      <c r="Y96" s="169">
        <f t="shared" si="66"/>
        <v>69056696.362744197</v>
      </c>
      <c r="Z96" s="194">
        <f t="shared" si="67"/>
        <v>340.2892205054747</v>
      </c>
      <c r="AA96" s="195">
        <f t="shared" si="68"/>
        <v>205.00891001907576</v>
      </c>
      <c r="AB96" s="195">
        <f t="shared" si="69"/>
        <v>141.06943423248913</v>
      </c>
      <c r="AC96" s="196">
        <f t="shared" si="70"/>
        <v>120.39403887233576</v>
      </c>
      <c r="AD96" s="188">
        <f t="shared" si="52"/>
        <v>0.17157791790445454</v>
      </c>
      <c r="AE96" s="189">
        <f t="shared" si="53"/>
        <v>0.10354226584942605</v>
      </c>
      <c r="AF96" s="189">
        <f t="shared" si="54"/>
        <v>-9.9999999999999978E-2</v>
      </c>
      <c r="AG96" s="190">
        <f t="shared" si="55"/>
        <v>-9.9999999999999978E-2</v>
      </c>
    </row>
    <row r="97" spans="1:33">
      <c r="A97">
        <v>401</v>
      </c>
      <c r="B97" s="185">
        <f>VLOOKUP($A97,'Allocate OPROC cost'!$A:$AO,30,FALSE)</f>
        <v>706</v>
      </c>
      <c r="C97" s="186">
        <f>VLOOKUP($A97,'Allocate OPROC cost'!$A:$AO,31,FALSE)</f>
        <v>63104</v>
      </c>
      <c r="D97" s="186">
        <f>VLOOKUP($A97,'Allocate OPROC cost'!$A:$AO,32,FALSE)</f>
        <v>60</v>
      </c>
      <c r="E97" s="187">
        <f>VLOOKUP($A97,'Allocate OPROC cost'!$A:$AO,33,FALSE)</f>
        <v>4631</v>
      </c>
      <c r="F97" s="185">
        <f>VLOOKUP($A97,'Allocate OPROC cost'!$A:$AO,34,FALSE)</f>
        <v>362501.64875709498</v>
      </c>
      <c r="G97" s="186">
        <f>VLOOKUP($A97,'Allocate OPROC cost'!$A:$AO,35,FALSE)</f>
        <v>9986482.1902547218</v>
      </c>
      <c r="H97" s="186">
        <f>VLOOKUP($A97,'Allocate OPROC cost'!$A:$AO,36,FALSE)</f>
        <v>13992.4226787428</v>
      </c>
      <c r="I97" s="187">
        <f>VLOOKUP($A97,'Allocate OPROC cost'!$A:$AO,37,FALSE)</f>
        <v>735553.62304591504</v>
      </c>
      <c r="J97" s="179">
        <f t="shared" si="51"/>
        <v>513.45842600155095</v>
      </c>
      <c r="K97" s="180">
        <f t="shared" si="51"/>
        <v>158.25434505347874</v>
      </c>
      <c r="L97" s="180">
        <f t="shared" si="51"/>
        <v>233.20704464571332</v>
      </c>
      <c r="M97" s="181">
        <f t="shared" si="51"/>
        <v>158.83256813774886</v>
      </c>
      <c r="N97" s="173">
        <f t="shared" si="56"/>
        <v>1.0038599611137544</v>
      </c>
      <c r="O97" s="174">
        <f t="shared" si="57"/>
        <v>1.0073654927634448</v>
      </c>
      <c r="P97" s="174">
        <f t="shared" si="58"/>
        <v>0.9</v>
      </c>
      <c r="Q97" s="175">
        <f t="shared" si="58"/>
        <v>0.9</v>
      </c>
      <c r="R97" s="173">
        <f t="shared" si="59"/>
        <v>1.0038599611137544</v>
      </c>
      <c r="S97" s="174">
        <f t="shared" si="60"/>
        <v>1.0073654927634448</v>
      </c>
      <c r="T97" s="174">
        <f t="shared" si="61"/>
        <v>0.9</v>
      </c>
      <c r="U97" s="175">
        <f t="shared" si="62"/>
        <v>0.9</v>
      </c>
      <c r="V97" s="167">
        <f t="shared" si="63"/>
        <v>363900.89102496923</v>
      </c>
      <c r="W97" s="168">
        <f t="shared" si="64"/>
        <v>10060037.552559312</v>
      </c>
      <c r="X97" s="168">
        <f t="shared" si="65"/>
        <v>12593.180410868519</v>
      </c>
      <c r="Y97" s="169">
        <f t="shared" si="66"/>
        <v>661998.26074132358</v>
      </c>
      <c r="Z97" s="194">
        <f t="shared" si="67"/>
        <v>515.44035555944652</v>
      </c>
      <c r="AA97" s="195">
        <f t="shared" si="68"/>
        <v>159.41996628675381</v>
      </c>
      <c r="AB97" s="195">
        <f t="shared" si="69"/>
        <v>209.88634018114197</v>
      </c>
      <c r="AC97" s="196">
        <f t="shared" si="70"/>
        <v>142.949311323974</v>
      </c>
      <c r="AD97" s="188">
        <f t="shared" si="52"/>
        <v>3.8599611137544176E-3</v>
      </c>
      <c r="AE97" s="189">
        <f t="shared" si="53"/>
        <v>7.3654927634445588E-3</v>
      </c>
      <c r="AF97" s="189">
        <f t="shared" si="54"/>
        <v>-0.10000000000000009</v>
      </c>
      <c r="AG97" s="190">
        <f t="shared" si="55"/>
        <v>-9.9999999999999867E-2</v>
      </c>
    </row>
    <row r="98" spans="1:33">
      <c r="A98">
        <v>410</v>
      </c>
      <c r="B98" s="185">
        <f>VLOOKUP($A98,'Allocate OPROC cost'!$A:$AO,30,FALSE)</f>
        <v>4256</v>
      </c>
      <c r="C98" s="186">
        <f>VLOOKUP($A98,'Allocate OPROC cost'!$A:$AO,31,FALSE)</f>
        <v>286103</v>
      </c>
      <c r="D98" s="186">
        <f>VLOOKUP($A98,'Allocate OPROC cost'!$A:$AO,32,FALSE)</f>
        <v>12294</v>
      </c>
      <c r="E98" s="187">
        <f>VLOOKUP($A98,'Allocate OPROC cost'!$A:$AO,33,FALSE)</f>
        <v>1208951</v>
      </c>
      <c r="F98" s="185">
        <f>VLOOKUP($A98,'Allocate OPROC cost'!$A:$AO,34,FALSE)</f>
        <v>852415.94784972898</v>
      </c>
      <c r="G98" s="186">
        <f>VLOOKUP($A98,'Allocate OPROC cost'!$A:$AO,35,FALSE)</f>
        <v>52539897.847462155</v>
      </c>
      <c r="H98" s="186">
        <f>VLOOKUP($A98,'Allocate OPROC cost'!$A:$AO,36,FALSE)</f>
        <v>2336463.0028054798</v>
      </c>
      <c r="I98" s="187">
        <f>VLOOKUP($A98,'Allocate OPROC cost'!$A:$AO,37,FALSE)</f>
        <v>144280629.77263409</v>
      </c>
      <c r="J98" s="179">
        <f t="shared" si="51"/>
        <v>200.28570203236114</v>
      </c>
      <c r="K98" s="180">
        <f t="shared" si="51"/>
        <v>183.63980051751346</v>
      </c>
      <c r="L98" s="180">
        <f t="shared" si="51"/>
        <v>190.04904854445093</v>
      </c>
      <c r="M98" s="181">
        <f t="shared" si="51"/>
        <v>119.34365393852529</v>
      </c>
      <c r="N98" s="173">
        <f t="shared" si="56"/>
        <v>1.274098931243526</v>
      </c>
      <c r="O98" s="174">
        <f t="shared" si="57"/>
        <v>1.2746115536644564</v>
      </c>
      <c r="P98" s="174">
        <f t="shared" si="58"/>
        <v>0.9</v>
      </c>
      <c r="Q98" s="175">
        <f t="shared" si="58"/>
        <v>0.9</v>
      </c>
      <c r="R98" s="173">
        <f t="shared" si="59"/>
        <v>1.274098931243526</v>
      </c>
      <c r="S98" s="174">
        <f t="shared" si="60"/>
        <v>1.2746115536644564</v>
      </c>
      <c r="T98" s="174">
        <f t="shared" si="61"/>
        <v>0.9</v>
      </c>
      <c r="U98" s="175">
        <f t="shared" si="62"/>
        <v>0.9</v>
      </c>
      <c r="V98" s="167">
        <f t="shared" si="63"/>
        <v>1086062.2481302768</v>
      </c>
      <c r="W98" s="168">
        <f t="shared" si="64"/>
        <v>66967960.824725568</v>
      </c>
      <c r="X98" s="168">
        <f t="shared" si="65"/>
        <v>2102816.7025249321</v>
      </c>
      <c r="Y98" s="169">
        <f t="shared" si="66"/>
        <v>129852566.79537068</v>
      </c>
      <c r="Z98" s="194">
        <f t="shared" si="67"/>
        <v>255.18379890279061</v>
      </c>
      <c r="AA98" s="195">
        <f t="shared" si="68"/>
        <v>234.06941145225869</v>
      </c>
      <c r="AB98" s="195">
        <f t="shared" si="69"/>
        <v>171.04414369000585</v>
      </c>
      <c r="AC98" s="196">
        <f t="shared" si="70"/>
        <v>107.40928854467276</v>
      </c>
      <c r="AD98" s="188">
        <f t="shared" si="52"/>
        <v>0.2740989312435258</v>
      </c>
      <c r="AE98" s="189">
        <f t="shared" si="53"/>
        <v>0.27461155366445644</v>
      </c>
      <c r="AF98" s="189">
        <f t="shared" si="54"/>
        <v>-9.9999999999999867E-2</v>
      </c>
      <c r="AG98" s="190">
        <f t="shared" si="55"/>
        <v>-9.9999999999999978E-2</v>
      </c>
    </row>
    <row r="99" spans="1:33">
      <c r="A99">
        <v>420</v>
      </c>
      <c r="B99" s="185">
        <f>VLOOKUP($A99,'Allocate OPROC cost'!$A:$AO,30,FALSE)</f>
        <v>10863</v>
      </c>
      <c r="C99" s="186">
        <f>VLOOKUP($A99,'Allocate OPROC cost'!$A:$AO,31,FALSE)</f>
        <v>546391</v>
      </c>
      <c r="D99" s="186">
        <f>VLOOKUP($A99,'Allocate OPROC cost'!$A:$AO,32,FALSE)</f>
        <v>24569</v>
      </c>
      <c r="E99" s="187">
        <f>VLOOKUP($A99,'Allocate OPROC cost'!$A:$AO,33,FALSE)</f>
        <v>836252</v>
      </c>
      <c r="F99" s="185">
        <f>VLOOKUP($A99,'Allocate OPROC cost'!$A:$AO,34,FALSE)</f>
        <v>2211833.72313555</v>
      </c>
      <c r="G99" s="186">
        <f>VLOOKUP($A99,'Allocate OPROC cost'!$A:$AO,35,FALSE)</f>
        <v>112908485.33225022</v>
      </c>
      <c r="H99" s="186">
        <f>VLOOKUP($A99,'Allocate OPROC cost'!$A:$AO,36,FALSE)</f>
        <v>4425166.7579693403</v>
      </c>
      <c r="I99" s="187">
        <f>VLOOKUP($A99,'Allocate OPROC cost'!$A:$AO,37,FALSE)</f>
        <v>130258041.69560556</v>
      </c>
      <c r="J99" s="179">
        <f t="shared" si="51"/>
        <v>203.61168398559789</v>
      </c>
      <c r="K99" s="180">
        <f t="shared" si="51"/>
        <v>206.64411626884453</v>
      </c>
      <c r="L99" s="180">
        <f t="shared" si="51"/>
        <v>180.11179771131671</v>
      </c>
      <c r="M99" s="181">
        <f t="shared" si="51"/>
        <v>155.76410184442676</v>
      </c>
      <c r="N99" s="173">
        <f t="shared" si="56"/>
        <v>1.2000677859136768</v>
      </c>
      <c r="O99" s="174">
        <f t="shared" si="57"/>
        <v>1.11536603410479</v>
      </c>
      <c r="P99" s="174">
        <f t="shared" si="58"/>
        <v>0.9</v>
      </c>
      <c r="Q99" s="175">
        <f t="shared" si="58"/>
        <v>0.9</v>
      </c>
      <c r="R99" s="173">
        <f t="shared" si="59"/>
        <v>1.2000677859136768</v>
      </c>
      <c r="S99" s="174">
        <f t="shared" si="60"/>
        <v>1.11536603410479</v>
      </c>
      <c r="T99" s="174">
        <f t="shared" si="61"/>
        <v>0.9</v>
      </c>
      <c r="U99" s="175">
        <f t="shared" si="62"/>
        <v>0.9</v>
      </c>
      <c r="V99" s="167">
        <f t="shared" si="63"/>
        <v>2654350.398932484</v>
      </c>
      <c r="W99" s="168">
        <f t="shared" si="64"/>
        <v>125934289.50181077</v>
      </c>
      <c r="X99" s="168">
        <f t="shared" si="65"/>
        <v>3982650.0821724064</v>
      </c>
      <c r="Y99" s="169">
        <f t="shared" si="66"/>
        <v>117232237.52604501</v>
      </c>
      <c r="Z99" s="194">
        <f t="shared" si="67"/>
        <v>244.34782278675172</v>
      </c>
      <c r="AA99" s="195">
        <f t="shared" si="68"/>
        <v>230.4838284338702</v>
      </c>
      <c r="AB99" s="195">
        <f t="shared" si="69"/>
        <v>162.10061794018503</v>
      </c>
      <c r="AC99" s="196">
        <f t="shared" si="70"/>
        <v>140.1876916599841</v>
      </c>
      <c r="AD99" s="188">
        <f t="shared" si="52"/>
        <v>0.2000677859136768</v>
      </c>
      <c r="AE99" s="189">
        <f t="shared" si="53"/>
        <v>0.11536603410478974</v>
      </c>
      <c r="AF99" s="189">
        <f t="shared" si="54"/>
        <v>-0.10000000000000009</v>
      </c>
      <c r="AG99" s="190">
        <f t="shared" si="55"/>
        <v>-9.9999999999999978E-2</v>
      </c>
    </row>
    <row r="100" spans="1:33">
      <c r="A100">
        <v>421</v>
      </c>
      <c r="B100" s="185">
        <f>VLOOKUP($A100,'Allocate OPROC cost'!$A:$AO,30,FALSE)</f>
        <v>1083</v>
      </c>
      <c r="C100" s="186">
        <f>VLOOKUP($A100,'Allocate OPROC cost'!$A:$AO,31,FALSE)</f>
        <v>16512</v>
      </c>
      <c r="D100" s="186">
        <f>VLOOKUP($A100,'Allocate OPROC cost'!$A:$AO,32,FALSE)</f>
        <v>3012</v>
      </c>
      <c r="E100" s="187">
        <f>VLOOKUP($A100,'Allocate OPROC cost'!$A:$AO,33,FALSE)</f>
        <v>37696</v>
      </c>
      <c r="F100" s="185">
        <f>VLOOKUP($A100,'Allocate OPROC cost'!$A:$AO,34,FALSE)</f>
        <v>323630.40257683501</v>
      </c>
      <c r="G100" s="186">
        <f>VLOOKUP($A100,'Allocate OPROC cost'!$A:$AO,35,FALSE)</f>
        <v>5721381.9770402433</v>
      </c>
      <c r="H100" s="186">
        <f>VLOOKUP($A100,'Allocate OPROC cost'!$A:$AO,36,FALSE)</f>
        <v>718461.99176653801</v>
      </c>
      <c r="I100" s="187">
        <f>VLOOKUP($A100,'Allocate OPROC cost'!$A:$AO,37,FALSE)</f>
        <v>9625224.2145993244</v>
      </c>
      <c r="J100" s="179">
        <f t="shared" si="51"/>
        <v>298.82770321037395</v>
      </c>
      <c r="K100" s="180">
        <f t="shared" si="51"/>
        <v>346.49842399710775</v>
      </c>
      <c r="L100" s="180">
        <f t="shared" si="51"/>
        <v>238.53319779765539</v>
      </c>
      <c r="M100" s="181">
        <f t="shared" si="51"/>
        <v>255.33807869798716</v>
      </c>
      <c r="N100" s="173">
        <f t="shared" si="56"/>
        <v>1.2220007718823522</v>
      </c>
      <c r="O100" s="174">
        <f t="shared" si="57"/>
        <v>1.1682325048952351</v>
      </c>
      <c r="P100" s="174">
        <f t="shared" si="58"/>
        <v>0.9</v>
      </c>
      <c r="Q100" s="175">
        <f t="shared" si="58"/>
        <v>0.9</v>
      </c>
      <c r="R100" s="173">
        <f t="shared" si="59"/>
        <v>1.2220007718823522</v>
      </c>
      <c r="S100" s="174">
        <f t="shared" si="60"/>
        <v>1.1682325048952351</v>
      </c>
      <c r="T100" s="174">
        <f t="shared" si="61"/>
        <v>0.9</v>
      </c>
      <c r="U100" s="175">
        <f t="shared" si="62"/>
        <v>0.9</v>
      </c>
      <c r="V100" s="167">
        <f t="shared" si="63"/>
        <v>395476.60175348877</v>
      </c>
      <c r="W100" s="168">
        <f t="shared" si="64"/>
        <v>6683904.3985001761</v>
      </c>
      <c r="X100" s="168">
        <f t="shared" si="65"/>
        <v>646615.79258988425</v>
      </c>
      <c r="Y100" s="169">
        <f t="shared" si="66"/>
        <v>8662701.7931393925</v>
      </c>
      <c r="Z100" s="194">
        <f t="shared" si="67"/>
        <v>365.16768398290742</v>
      </c>
      <c r="AA100" s="195">
        <f t="shared" si="68"/>
        <v>404.79072180839245</v>
      </c>
      <c r="AB100" s="195">
        <f t="shared" si="69"/>
        <v>214.67987801788985</v>
      </c>
      <c r="AC100" s="196">
        <f t="shared" si="70"/>
        <v>229.80427082818846</v>
      </c>
      <c r="AD100" s="188">
        <f t="shared" si="52"/>
        <v>0.22200077188235223</v>
      </c>
      <c r="AE100" s="189">
        <f t="shared" si="53"/>
        <v>0.16823250489523511</v>
      </c>
      <c r="AF100" s="189">
        <f t="shared" si="54"/>
        <v>-9.9999999999999978E-2</v>
      </c>
      <c r="AG100" s="190">
        <f t="shared" si="55"/>
        <v>-9.9999999999999867E-2</v>
      </c>
    </row>
    <row r="101" spans="1:33">
      <c r="A101">
        <v>422</v>
      </c>
      <c r="B101" s="185">
        <f>VLOOKUP($A101,'Allocate OPROC cost'!$A:$AO,30,FALSE)</f>
        <v>132</v>
      </c>
      <c r="C101" s="186">
        <f>VLOOKUP($A101,'Allocate OPROC cost'!$A:$AO,31,FALSE)</f>
        <v>10676</v>
      </c>
      <c r="D101" s="186">
        <f>VLOOKUP($A101,'Allocate OPROC cost'!$A:$AO,32,FALSE)</f>
        <v>516</v>
      </c>
      <c r="E101" s="187">
        <f>VLOOKUP($A101,'Allocate OPROC cost'!$A:$AO,33,FALSE)</f>
        <v>18607</v>
      </c>
      <c r="F101" s="185">
        <f>VLOOKUP($A101,'Allocate OPROC cost'!$A:$AO,34,FALSE)</f>
        <v>31130.8134929404</v>
      </c>
      <c r="G101" s="186">
        <f>VLOOKUP($A101,'Allocate OPROC cost'!$A:$AO,35,FALSE)</f>
        <v>1973072.70016772</v>
      </c>
      <c r="H101" s="186">
        <f>VLOOKUP($A101,'Allocate OPROC cost'!$A:$AO,36,FALSE)</f>
        <v>158756.65644093399</v>
      </c>
      <c r="I101" s="187">
        <f>VLOOKUP($A101,'Allocate OPROC cost'!$A:$AO,37,FALSE)</f>
        <v>2821649.1380133601</v>
      </c>
      <c r="J101" s="179">
        <f t="shared" si="51"/>
        <v>235.83949615863941</v>
      </c>
      <c r="K101" s="180">
        <f t="shared" si="51"/>
        <v>184.81385351889472</v>
      </c>
      <c r="L101" s="180">
        <f t="shared" si="51"/>
        <v>307.66793883901937</v>
      </c>
      <c r="M101" s="181">
        <f t="shared" si="51"/>
        <v>151.64449605059173</v>
      </c>
      <c r="N101" s="173">
        <f t="shared" si="56"/>
        <v>1.5099662958596811</v>
      </c>
      <c r="O101" s="174">
        <f t="shared" si="57"/>
        <v>1.1430078647266018</v>
      </c>
      <c r="P101" s="174">
        <f t="shared" si="58"/>
        <v>0.9</v>
      </c>
      <c r="Q101" s="175">
        <f t="shared" si="58"/>
        <v>0.9</v>
      </c>
      <c r="R101" s="173">
        <f t="shared" si="59"/>
        <v>1.5</v>
      </c>
      <c r="S101" s="174">
        <f t="shared" si="60"/>
        <v>1.1430078647266018</v>
      </c>
      <c r="T101" s="174">
        <f t="shared" si="61"/>
        <v>0.9</v>
      </c>
      <c r="U101" s="175">
        <f t="shared" si="62"/>
        <v>0.9</v>
      </c>
      <c r="V101" s="167">
        <f t="shared" si="63"/>
        <v>46696.220239410599</v>
      </c>
      <c r="W101" s="168">
        <f t="shared" si="64"/>
        <v>2255237.6139690559</v>
      </c>
      <c r="X101" s="168">
        <f t="shared" si="65"/>
        <v>142880.9907968406</v>
      </c>
      <c r="Y101" s="169">
        <f t="shared" si="66"/>
        <v>2539484.2242120244</v>
      </c>
      <c r="Z101" s="194">
        <f t="shared" si="67"/>
        <v>353.75924423795908</v>
      </c>
      <c r="AA101" s="195">
        <f t="shared" si="68"/>
        <v>211.24368808252677</v>
      </c>
      <c r="AB101" s="195">
        <f t="shared" si="69"/>
        <v>276.90114495511745</v>
      </c>
      <c r="AC101" s="196">
        <f t="shared" si="70"/>
        <v>136.48004644553257</v>
      </c>
      <c r="AD101" s="188">
        <f t="shared" si="52"/>
        <v>0.49999999999999978</v>
      </c>
      <c r="AE101" s="189">
        <f t="shared" si="53"/>
        <v>0.14300786472660154</v>
      </c>
      <c r="AF101" s="189">
        <f t="shared" si="54"/>
        <v>-9.9999999999999978E-2</v>
      </c>
      <c r="AG101" s="190">
        <f t="shared" si="55"/>
        <v>-9.9999999999999978E-2</v>
      </c>
    </row>
    <row r="102" spans="1:33">
      <c r="A102">
        <v>430</v>
      </c>
      <c r="B102" s="185">
        <f>VLOOKUP($A102,'Allocate OPROC cost'!$A:$AO,30,FALSE)</f>
        <v>4676</v>
      </c>
      <c r="C102" s="186">
        <f>VLOOKUP($A102,'Allocate OPROC cost'!$A:$AO,31,FALSE)</f>
        <v>173372</v>
      </c>
      <c r="D102" s="186">
        <f>VLOOKUP($A102,'Allocate OPROC cost'!$A:$AO,32,FALSE)</f>
        <v>6145</v>
      </c>
      <c r="E102" s="187">
        <f>VLOOKUP($A102,'Allocate OPROC cost'!$A:$AO,33,FALSE)</f>
        <v>254914</v>
      </c>
      <c r="F102" s="185">
        <f>VLOOKUP($A102,'Allocate OPROC cost'!$A:$AO,34,FALSE)</f>
        <v>889826.65469672403</v>
      </c>
      <c r="G102" s="186">
        <f>VLOOKUP($A102,'Allocate OPROC cost'!$A:$AO,35,FALSE)</f>
        <v>40173721.375326701</v>
      </c>
      <c r="H102" s="186">
        <f>VLOOKUP($A102,'Allocate OPROC cost'!$A:$AO,36,FALSE)</f>
        <v>868086.52457540506</v>
      </c>
      <c r="I102" s="187">
        <f>VLOOKUP($A102,'Allocate OPROC cost'!$A:$AO,37,FALSE)</f>
        <v>40548061.295544818</v>
      </c>
      <c r="J102" s="179">
        <f t="shared" si="51"/>
        <v>190.29654719775962</v>
      </c>
      <c r="K102" s="180">
        <f t="shared" si="51"/>
        <v>231.7197781379156</v>
      </c>
      <c r="L102" s="180">
        <f t="shared" si="51"/>
        <v>141.2671317453873</v>
      </c>
      <c r="M102" s="181">
        <f t="shared" si="51"/>
        <v>159.06565075101727</v>
      </c>
      <c r="N102" s="173">
        <f t="shared" si="56"/>
        <v>1.0975568128908513</v>
      </c>
      <c r="O102" s="174">
        <f t="shared" si="57"/>
        <v>1.1009318029483024</v>
      </c>
      <c r="P102" s="174">
        <f t="shared" si="58"/>
        <v>0.9</v>
      </c>
      <c r="Q102" s="175">
        <f t="shared" si="58"/>
        <v>0.9</v>
      </c>
      <c r="R102" s="173">
        <f t="shared" si="59"/>
        <v>1.0975568128908513</v>
      </c>
      <c r="S102" s="174">
        <f t="shared" si="60"/>
        <v>1.1009318029483024</v>
      </c>
      <c r="T102" s="174">
        <f t="shared" si="61"/>
        <v>0.9</v>
      </c>
      <c r="U102" s="175">
        <f t="shared" si="62"/>
        <v>0.9</v>
      </c>
      <c r="V102" s="167">
        <f t="shared" si="63"/>
        <v>976635.30715426442</v>
      </c>
      <c r="W102" s="168">
        <f t="shared" si="64"/>
        <v>44228527.504881181</v>
      </c>
      <c r="X102" s="168">
        <f t="shared" si="65"/>
        <v>781277.87211786455</v>
      </c>
      <c r="Y102" s="169">
        <f t="shared" si="66"/>
        <v>36493255.165990338</v>
      </c>
      <c r="Z102" s="194">
        <f t="shared" si="67"/>
        <v>208.8612718465065</v>
      </c>
      <c r="AA102" s="195">
        <f t="shared" si="68"/>
        <v>255.10767312415604</v>
      </c>
      <c r="AB102" s="195">
        <f t="shared" si="69"/>
        <v>127.14041857084858</v>
      </c>
      <c r="AC102" s="196">
        <f t="shared" si="70"/>
        <v>143.15908567591555</v>
      </c>
      <c r="AD102" s="188">
        <f t="shared" si="52"/>
        <v>9.7556812890851274E-2</v>
      </c>
      <c r="AE102" s="189">
        <f t="shared" si="53"/>
        <v>0.1009318029483024</v>
      </c>
      <c r="AF102" s="189">
        <f t="shared" si="54"/>
        <v>-9.9999999999999978E-2</v>
      </c>
      <c r="AG102" s="190">
        <f t="shared" si="55"/>
        <v>-9.9999999999999978E-2</v>
      </c>
    </row>
    <row r="103" spans="1:33">
      <c r="A103">
        <v>450</v>
      </c>
      <c r="B103" s="185">
        <f>VLOOKUP($A103,'Allocate OPROC cost'!$A:$AO,30,FALSE)</f>
        <v>20</v>
      </c>
      <c r="C103" s="186">
        <f>VLOOKUP($A103,'Allocate OPROC cost'!$A:$AO,31,FALSE)</f>
        <v>21147</v>
      </c>
      <c r="D103" s="186">
        <f>VLOOKUP($A103,'Allocate OPROC cost'!$A:$AO,32,FALSE)</f>
        <v>62</v>
      </c>
      <c r="E103" s="187">
        <f>VLOOKUP($A103,'Allocate OPROC cost'!$A:$AO,33,FALSE)</f>
        <v>23928</v>
      </c>
      <c r="F103" s="185">
        <f>VLOOKUP($A103,'Allocate OPROC cost'!$A:$AO,34,FALSE)</f>
        <v>4134.1724510568502</v>
      </c>
      <c r="G103" s="186">
        <f>VLOOKUP($A103,'Allocate OPROC cost'!$A:$AO,35,FALSE)</f>
        <v>2128792.3610637099</v>
      </c>
      <c r="H103" s="186">
        <f>VLOOKUP($A103,'Allocate OPROC cost'!$A:$AO,36,FALSE)</f>
        <v>6066.9552166929798</v>
      </c>
      <c r="I103" s="187">
        <f>VLOOKUP($A103,'Allocate OPROC cost'!$A:$AO,37,FALSE)</f>
        <v>2081992.94387608</v>
      </c>
      <c r="J103" s="179">
        <f t="shared" si="51"/>
        <v>206.70862255284251</v>
      </c>
      <c r="K103" s="180">
        <f t="shared" si="51"/>
        <v>100.66640001247032</v>
      </c>
      <c r="L103" s="180">
        <f t="shared" si="51"/>
        <v>97.854116398273874</v>
      </c>
      <c r="M103" s="181">
        <f t="shared" si="51"/>
        <v>87.01073820946506</v>
      </c>
      <c r="N103" s="173">
        <f t="shared" si="56"/>
        <v>1.146751382254072</v>
      </c>
      <c r="O103" s="174">
        <f t="shared" si="57"/>
        <v>1.0978015978428142</v>
      </c>
      <c r="P103" s="174">
        <f t="shared" si="58"/>
        <v>0.9</v>
      </c>
      <c r="Q103" s="175">
        <f t="shared" si="58"/>
        <v>0.9</v>
      </c>
      <c r="R103" s="173">
        <f t="shared" si="59"/>
        <v>1.146751382254072</v>
      </c>
      <c r="S103" s="174">
        <f t="shared" si="60"/>
        <v>1.0978015978428142</v>
      </c>
      <c r="T103" s="174">
        <f t="shared" si="61"/>
        <v>0.9</v>
      </c>
      <c r="U103" s="175">
        <f t="shared" si="62"/>
        <v>0.9</v>
      </c>
      <c r="V103" s="167">
        <f t="shared" si="63"/>
        <v>4740.8679727261479</v>
      </c>
      <c r="W103" s="168">
        <f t="shared" si="64"/>
        <v>2336991.6554513178</v>
      </c>
      <c r="X103" s="168">
        <f t="shared" si="65"/>
        <v>5460.2596950236821</v>
      </c>
      <c r="Y103" s="169">
        <f t="shared" si="66"/>
        <v>1873793.6494884719</v>
      </c>
      <c r="Z103" s="194">
        <f t="shared" si="67"/>
        <v>237.04339863630739</v>
      </c>
      <c r="AA103" s="195">
        <f t="shared" si="68"/>
        <v>110.51173478277381</v>
      </c>
      <c r="AB103" s="195">
        <f t="shared" si="69"/>
        <v>88.068704758446486</v>
      </c>
      <c r="AC103" s="196">
        <f t="shared" si="70"/>
        <v>78.309664388518556</v>
      </c>
      <c r="AD103" s="188">
        <f t="shared" si="52"/>
        <v>0.14675138225407203</v>
      </c>
      <c r="AE103" s="189">
        <f t="shared" si="53"/>
        <v>9.780159784281417E-2</v>
      </c>
      <c r="AF103" s="189">
        <f t="shared" si="54"/>
        <v>-9.9999999999999978E-2</v>
      </c>
      <c r="AG103" s="190">
        <f t="shared" si="55"/>
        <v>-9.9999999999999978E-2</v>
      </c>
    </row>
    <row r="104" spans="1:33">
      <c r="A104">
        <v>460</v>
      </c>
      <c r="B104" s="185">
        <f>VLOOKUP($A104,'Allocate OPROC cost'!$A:$AO,30,FALSE)</f>
        <v>101</v>
      </c>
      <c r="C104" s="186">
        <f>VLOOKUP($A104,'Allocate OPROC cost'!$A:$AO,31,FALSE)</f>
        <v>5018</v>
      </c>
      <c r="D104" s="186">
        <f>VLOOKUP($A104,'Allocate OPROC cost'!$A:$AO,32,FALSE)</f>
        <v>722</v>
      </c>
      <c r="E104" s="187">
        <f>VLOOKUP($A104,'Allocate OPROC cost'!$A:$AO,33,FALSE)</f>
        <v>18228</v>
      </c>
      <c r="F104" s="185">
        <f>VLOOKUP($A104,'Allocate OPROC cost'!$A:$AO,34,FALSE)</f>
        <v>6327.9176445742596</v>
      </c>
      <c r="G104" s="186">
        <f>VLOOKUP($A104,'Allocate OPROC cost'!$A:$AO,35,FALSE)</f>
        <v>493990.38977252675</v>
      </c>
      <c r="H104" s="186">
        <f>VLOOKUP($A104,'Allocate OPROC cost'!$A:$AO,36,FALSE)</f>
        <v>83890.415785628997</v>
      </c>
      <c r="I104" s="187">
        <f>VLOOKUP($A104,'Allocate OPROC cost'!$A:$AO,37,FALSE)</f>
        <v>1276898.9107360593</v>
      </c>
      <c r="J104" s="179">
        <f t="shared" si="51"/>
        <v>62.652649946279801</v>
      </c>
      <c r="K104" s="180">
        <f t="shared" si="51"/>
        <v>98.443680703971054</v>
      </c>
      <c r="L104" s="180">
        <f t="shared" si="51"/>
        <v>116.1917116144446</v>
      </c>
      <c r="M104" s="181">
        <f t="shared" si="51"/>
        <v>70.051509256970562</v>
      </c>
      <c r="N104" s="173">
        <f t="shared" si="56"/>
        <v>2.3257191464487388</v>
      </c>
      <c r="O104" s="174">
        <f t="shared" si="57"/>
        <v>1.2584865894504642</v>
      </c>
      <c r="P104" s="174">
        <f t="shared" si="58"/>
        <v>0.9</v>
      </c>
      <c r="Q104" s="175">
        <f t="shared" si="58"/>
        <v>0.9</v>
      </c>
      <c r="R104" s="173">
        <f t="shared" si="59"/>
        <v>1.5</v>
      </c>
      <c r="S104" s="174">
        <f t="shared" si="60"/>
        <v>1.2584865894504642</v>
      </c>
      <c r="T104" s="174">
        <f t="shared" si="61"/>
        <v>0.9</v>
      </c>
      <c r="U104" s="175">
        <f t="shared" si="62"/>
        <v>0.9</v>
      </c>
      <c r="V104" s="167">
        <f t="shared" si="63"/>
        <v>9491.8764668613894</v>
      </c>
      <c r="W104" s="168">
        <f t="shared" si="64"/>
        <v>621680.28084613266</v>
      </c>
      <c r="X104" s="168">
        <f t="shared" si="65"/>
        <v>75501.374207066096</v>
      </c>
      <c r="Y104" s="169">
        <f t="shared" si="66"/>
        <v>1149209.0196624533</v>
      </c>
      <c r="Z104" s="194">
        <f t="shared" si="67"/>
        <v>93.978974919419699</v>
      </c>
      <c r="AA104" s="195">
        <f t="shared" si="68"/>
        <v>123.89005198209101</v>
      </c>
      <c r="AB104" s="195">
        <f t="shared" si="69"/>
        <v>104.57254045300013</v>
      </c>
      <c r="AC104" s="196">
        <f t="shared" si="70"/>
        <v>63.046358331273495</v>
      </c>
      <c r="AD104" s="188">
        <f t="shared" si="52"/>
        <v>0.5</v>
      </c>
      <c r="AE104" s="189">
        <f t="shared" si="53"/>
        <v>0.25848658945046421</v>
      </c>
      <c r="AF104" s="189">
        <f t="shared" si="54"/>
        <v>-0.10000000000000009</v>
      </c>
      <c r="AG104" s="190">
        <f t="shared" si="55"/>
        <v>-0.10000000000000009</v>
      </c>
    </row>
    <row r="105" spans="1:33">
      <c r="A105">
        <v>501</v>
      </c>
      <c r="B105" s="185">
        <f>VLOOKUP($A105,'Allocate OPROC cost'!$A:$AO,30,FALSE)</f>
        <v>37561</v>
      </c>
      <c r="C105" s="186">
        <f>VLOOKUP($A105,'Allocate OPROC cost'!$A:$AO,31,FALSE)</f>
        <v>934756</v>
      </c>
      <c r="D105" s="186">
        <f>VLOOKUP($A105,'Allocate OPROC cost'!$A:$AO,32,FALSE)</f>
        <v>112461</v>
      </c>
      <c r="E105" s="187">
        <f>VLOOKUP($A105,'Allocate OPROC cost'!$A:$AO,33,FALSE)</f>
        <v>2191837</v>
      </c>
      <c r="F105" s="185">
        <f>VLOOKUP($A105,'Allocate OPROC cost'!$A:$AO,34,FALSE)</f>
        <v>5406410.7697079396</v>
      </c>
      <c r="G105" s="186">
        <f>VLOOKUP($A105,'Allocate OPROC cost'!$A:$AO,35,FALSE)</f>
        <v>122842724.4389769</v>
      </c>
      <c r="H105" s="186">
        <f>VLOOKUP($A105,'Allocate OPROC cost'!$A:$AO,36,FALSE)</f>
        <v>12074590.1909863</v>
      </c>
      <c r="I105" s="187">
        <f>VLOOKUP($A105,'Allocate OPROC cost'!$A:$AO,37,FALSE)</f>
        <v>202264774.18660676</v>
      </c>
      <c r="J105" s="179">
        <f t="shared" si="51"/>
        <v>143.93681663714864</v>
      </c>
      <c r="K105" s="180">
        <f t="shared" si="51"/>
        <v>131.41688787124863</v>
      </c>
      <c r="L105" s="180">
        <f t="shared" si="51"/>
        <v>107.36691111573167</v>
      </c>
      <c r="M105" s="181">
        <f t="shared" si="51"/>
        <v>92.280937946848582</v>
      </c>
      <c r="N105" s="173">
        <f t="shared" si="56"/>
        <v>1.22333837929297</v>
      </c>
      <c r="O105" s="174">
        <f t="shared" si="57"/>
        <v>1.1646534421231298</v>
      </c>
      <c r="P105" s="174">
        <f t="shared" si="58"/>
        <v>0.9</v>
      </c>
      <c r="Q105" s="175">
        <f t="shared" si="58"/>
        <v>0.9</v>
      </c>
      <c r="R105" s="173">
        <f t="shared" si="59"/>
        <v>1.22333837929297</v>
      </c>
      <c r="S105" s="174">
        <f t="shared" si="60"/>
        <v>1.1646534421231298</v>
      </c>
      <c r="T105" s="174">
        <f t="shared" si="61"/>
        <v>0.9</v>
      </c>
      <c r="U105" s="175">
        <f t="shared" si="62"/>
        <v>0.9</v>
      </c>
      <c r="V105" s="167">
        <f t="shared" si="63"/>
        <v>6613869.7888065688</v>
      </c>
      <c r="W105" s="168">
        <f t="shared" si="64"/>
        <v>143069201.85763755</v>
      </c>
      <c r="X105" s="168">
        <f t="shared" si="65"/>
        <v>10867131.17188767</v>
      </c>
      <c r="Y105" s="169">
        <f t="shared" si="66"/>
        <v>182038296.76794609</v>
      </c>
      <c r="Z105" s="194">
        <f t="shared" si="67"/>
        <v>176.0834319854788</v>
      </c>
      <c r="AA105" s="195">
        <f t="shared" si="68"/>
        <v>153.05513081235912</v>
      </c>
      <c r="AB105" s="195">
        <f t="shared" si="69"/>
        <v>96.630220004158502</v>
      </c>
      <c r="AC105" s="196">
        <f t="shared" si="70"/>
        <v>83.052844152163729</v>
      </c>
      <c r="AD105" s="188">
        <f t="shared" si="52"/>
        <v>0.22333837929296996</v>
      </c>
      <c r="AE105" s="189">
        <f t="shared" si="53"/>
        <v>0.16465344212312982</v>
      </c>
      <c r="AF105" s="189">
        <f t="shared" si="54"/>
        <v>-9.9999999999999978E-2</v>
      </c>
      <c r="AG105" s="190">
        <f t="shared" si="55"/>
        <v>-9.9999999999999978E-2</v>
      </c>
    </row>
    <row r="106" spans="1:33">
      <c r="A106">
        <v>502</v>
      </c>
      <c r="B106" s="185">
        <f>VLOOKUP($A106,'Allocate OPROC cost'!$A:$AO,30,FALSE)</f>
        <v>27132</v>
      </c>
      <c r="C106" s="186">
        <f>VLOOKUP($A106,'Allocate OPROC cost'!$A:$AO,31,FALSE)</f>
        <v>882248</v>
      </c>
      <c r="D106" s="186">
        <f>VLOOKUP($A106,'Allocate OPROC cost'!$A:$AO,32,FALSE)</f>
        <v>29684</v>
      </c>
      <c r="E106" s="187">
        <f>VLOOKUP($A106,'Allocate OPROC cost'!$A:$AO,33,FALSE)</f>
        <v>1076943</v>
      </c>
      <c r="F106" s="185">
        <f>VLOOKUP($A106,'Allocate OPROC cost'!$A:$AO,34,FALSE)</f>
        <v>3879201.35991784</v>
      </c>
      <c r="G106" s="186">
        <f>VLOOKUP($A106,'Allocate OPROC cost'!$A:$AO,35,FALSE)</f>
        <v>115444667.26386487</v>
      </c>
      <c r="H106" s="186">
        <f>VLOOKUP($A106,'Allocate OPROC cost'!$A:$AO,36,FALSE)</f>
        <v>3608827.3420241699</v>
      </c>
      <c r="I106" s="187">
        <f>VLOOKUP($A106,'Allocate OPROC cost'!$A:$AO,37,FALSE)</f>
        <v>110762420.46011601</v>
      </c>
      <c r="J106" s="179">
        <f t="shared" si="51"/>
        <v>142.97513489303552</v>
      </c>
      <c r="K106" s="180">
        <f t="shared" si="51"/>
        <v>130.8528523316175</v>
      </c>
      <c r="L106" s="180">
        <f t="shared" si="51"/>
        <v>121.57483297480697</v>
      </c>
      <c r="M106" s="181">
        <f t="shared" si="51"/>
        <v>102.84891629372773</v>
      </c>
      <c r="N106" s="173">
        <f t="shared" si="56"/>
        <v>1.0930301628400285</v>
      </c>
      <c r="O106" s="174">
        <f t="shared" si="57"/>
        <v>1.0959441636285834</v>
      </c>
      <c r="P106" s="174">
        <f t="shared" si="58"/>
        <v>0.9</v>
      </c>
      <c r="Q106" s="175">
        <f t="shared" si="58"/>
        <v>0.9</v>
      </c>
      <c r="R106" s="173">
        <f t="shared" si="59"/>
        <v>1.0930301628400285</v>
      </c>
      <c r="S106" s="174">
        <f t="shared" si="60"/>
        <v>1.0959441636285834</v>
      </c>
      <c r="T106" s="174">
        <f t="shared" si="61"/>
        <v>0.9</v>
      </c>
      <c r="U106" s="175">
        <f t="shared" si="62"/>
        <v>0.9</v>
      </c>
      <c r="V106" s="167">
        <f t="shared" si="63"/>
        <v>4240084.0941202566</v>
      </c>
      <c r="W106" s="168">
        <f t="shared" si="64"/>
        <v>126520909.30987649</v>
      </c>
      <c r="X106" s="168">
        <f t="shared" si="65"/>
        <v>3247944.6078217528</v>
      </c>
      <c r="Y106" s="169">
        <f t="shared" si="66"/>
        <v>99686178.414104417</v>
      </c>
      <c r="Z106" s="194">
        <f t="shared" si="67"/>
        <v>156.27613497420967</v>
      </c>
      <c r="AA106" s="195">
        <f t="shared" si="68"/>
        <v>143.40741980698905</v>
      </c>
      <c r="AB106" s="195">
        <f t="shared" si="69"/>
        <v>109.41734967732626</v>
      </c>
      <c r="AC106" s="196">
        <f t="shared" si="70"/>
        <v>92.56402466435496</v>
      </c>
      <c r="AD106" s="188">
        <f t="shared" ref="AD106:AD118" si="91">IF(J106=0,0,Z106/J106-1)</f>
        <v>9.3030162840028519E-2</v>
      </c>
      <c r="AE106" s="189">
        <f t="shared" ref="AE106:AE118" si="92">IF(K106=0,0,AA106/K106-1)</f>
        <v>9.5944163628583379E-2</v>
      </c>
      <c r="AF106" s="189">
        <f t="shared" ref="AF106:AF118" si="93">IF(L106=0,0,AB106/L106-1)</f>
        <v>-0.10000000000000009</v>
      </c>
      <c r="AG106" s="190">
        <f t="shared" ref="AG106:AG118" si="94">IF(M106=0,0,AC106/M106-1)</f>
        <v>-9.9999999999999978E-2</v>
      </c>
    </row>
    <row r="107" spans="1:33">
      <c r="A107">
        <v>503</v>
      </c>
      <c r="B107" s="185">
        <f>VLOOKUP($A107,'Allocate OPROC cost'!$A:$AO,30,FALSE)</f>
        <v>2136</v>
      </c>
      <c r="C107" s="186">
        <f>VLOOKUP($A107,'Allocate OPROC cost'!$A:$AO,31,FALSE)</f>
        <v>26395</v>
      </c>
      <c r="D107" s="186">
        <f>VLOOKUP($A107,'Allocate OPROC cost'!$A:$AO,32,FALSE)</f>
        <v>7239</v>
      </c>
      <c r="E107" s="187">
        <f>VLOOKUP($A107,'Allocate OPROC cost'!$A:$AO,33,FALSE)</f>
        <v>53257</v>
      </c>
      <c r="F107" s="185">
        <f>VLOOKUP($A107,'Allocate OPROC cost'!$A:$AO,34,FALSE)</f>
        <v>359371.79976506601</v>
      </c>
      <c r="G107" s="186">
        <f>VLOOKUP($A107,'Allocate OPROC cost'!$A:$AO,35,FALSE)</f>
        <v>3796832.9855864411</v>
      </c>
      <c r="H107" s="186">
        <f>VLOOKUP($A107,'Allocate OPROC cost'!$A:$AO,36,FALSE)</f>
        <v>904971.08885575004</v>
      </c>
      <c r="I107" s="187">
        <f>VLOOKUP($A107,'Allocate OPROC cost'!$A:$AO,37,FALSE)</f>
        <v>5868992.004158549</v>
      </c>
      <c r="J107" s="179">
        <f t="shared" si="51"/>
        <v>168.24522460911331</v>
      </c>
      <c r="K107" s="180">
        <f t="shared" si="51"/>
        <v>143.84667496065319</v>
      </c>
      <c r="L107" s="180">
        <f t="shared" si="51"/>
        <v>125.01327377479625</v>
      </c>
      <c r="M107" s="181">
        <f t="shared" si="51"/>
        <v>110.20132572541729</v>
      </c>
      <c r="N107" s="173">
        <f t="shared" si="56"/>
        <v>1.2518202845764086</v>
      </c>
      <c r="O107" s="174">
        <f t="shared" si="57"/>
        <v>1.1545759854710083</v>
      </c>
      <c r="P107" s="174">
        <f t="shared" si="58"/>
        <v>0.9</v>
      </c>
      <c r="Q107" s="175">
        <f t="shared" si="58"/>
        <v>0.9</v>
      </c>
      <c r="R107" s="173">
        <f t="shared" si="59"/>
        <v>1.2518202845764086</v>
      </c>
      <c r="S107" s="174">
        <f t="shared" si="60"/>
        <v>1.1545759854710083</v>
      </c>
      <c r="T107" s="174">
        <f t="shared" si="61"/>
        <v>0.9</v>
      </c>
      <c r="U107" s="175">
        <f t="shared" si="62"/>
        <v>0.9</v>
      </c>
      <c r="V107" s="167">
        <f t="shared" si="63"/>
        <v>449868.90865064104</v>
      </c>
      <c r="W107" s="168">
        <f t="shared" si="64"/>
        <v>4383732.1860022955</v>
      </c>
      <c r="X107" s="168">
        <f t="shared" si="65"/>
        <v>814473.97997017507</v>
      </c>
      <c r="Y107" s="169">
        <f t="shared" si="66"/>
        <v>5282092.8037426947</v>
      </c>
      <c r="Z107" s="194">
        <f t="shared" si="67"/>
        <v>210.61278494880199</v>
      </c>
      <c r="AA107" s="195">
        <f t="shared" si="68"/>
        <v>166.08191649942395</v>
      </c>
      <c r="AB107" s="195">
        <f t="shared" si="69"/>
        <v>112.51194639731663</v>
      </c>
      <c r="AC107" s="196">
        <f t="shared" si="70"/>
        <v>99.181193152875579</v>
      </c>
      <c r="AD107" s="188">
        <f t="shared" si="91"/>
        <v>0.25182028457640859</v>
      </c>
      <c r="AE107" s="189">
        <f t="shared" si="92"/>
        <v>0.15457598547100826</v>
      </c>
      <c r="AF107" s="189">
        <f t="shared" si="93"/>
        <v>-9.9999999999999867E-2</v>
      </c>
      <c r="AG107" s="190">
        <f t="shared" si="94"/>
        <v>-9.9999999999999867E-2</v>
      </c>
    </row>
    <row r="108" spans="1:33">
      <c r="A108">
        <v>560</v>
      </c>
      <c r="B108" s="185">
        <f>VLOOKUP($A108,'Allocate OPROC cost'!$A:$AO,30,FALSE)</f>
        <v>6587</v>
      </c>
      <c r="C108" s="186">
        <f>VLOOKUP($A108,'Allocate OPROC cost'!$A:$AO,31,FALSE)</f>
        <v>535439</v>
      </c>
      <c r="D108" s="186">
        <f>VLOOKUP($A108,'Allocate OPROC cost'!$A:$AO,32,FALSE)</f>
        <v>26022</v>
      </c>
      <c r="E108" s="187">
        <f>VLOOKUP($A108,'Allocate OPROC cost'!$A:$AO,33,FALSE)</f>
        <v>2209157</v>
      </c>
      <c r="F108" s="185">
        <f>VLOOKUP($A108,'Allocate OPROC cost'!$A:$AO,34,FALSE)</f>
        <v>470471.14899170498</v>
      </c>
      <c r="G108" s="186">
        <f>VLOOKUP($A108,'Allocate OPROC cost'!$A:$AO,35,FALSE)</f>
        <v>50034001.686650686</v>
      </c>
      <c r="H108" s="186">
        <f>VLOOKUP($A108,'Allocate OPROC cost'!$A:$AO,36,FALSE)</f>
        <v>819105.79177951999</v>
      </c>
      <c r="I108" s="187">
        <f>VLOOKUP($A108,'Allocate OPROC cost'!$A:$AO,37,FALSE)</f>
        <v>111929159.55158158</v>
      </c>
      <c r="J108" s="179">
        <f t="shared" si="51"/>
        <v>71.424191436420983</v>
      </c>
      <c r="K108" s="180">
        <f t="shared" si="51"/>
        <v>93.44482132726732</v>
      </c>
      <c r="L108" s="180">
        <f t="shared" si="51"/>
        <v>31.477434162613172</v>
      </c>
      <c r="M108" s="181">
        <f t="shared" si="51"/>
        <v>50.666004974558881</v>
      </c>
      <c r="N108" s="173">
        <f t="shared" si="56"/>
        <v>1.1741032991151519</v>
      </c>
      <c r="O108" s="174">
        <f t="shared" si="57"/>
        <v>1.2237061913467633</v>
      </c>
      <c r="P108" s="174">
        <f t="shared" si="58"/>
        <v>0.9</v>
      </c>
      <c r="Q108" s="175">
        <f t="shared" si="58"/>
        <v>0.9</v>
      </c>
      <c r="R108" s="173">
        <f t="shared" si="59"/>
        <v>1.1741032991151519</v>
      </c>
      <c r="S108" s="174">
        <f t="shared" si="60"/>
        <v>1.2237061913467633</v>
      </c>
      <c r="T108" s="174">
        <f t="shared" si="61"/>
        <v>0.9</v>
      </c>
      <c r="U108" s="175">
        <f t="shared" si="62"/>
        <v>0.9</v>
      </c>
      <c r="V108" s="167">
        <f t="shared" si="63"/>
        <v>552381.72816965694</v>
      </c>
      <c r="W108" s="168">
        <f t="shared" si="64"/>
        <v>61226917.641808838</v>
      </c>
      <c r="X108" s="168">
        <f t="shared" si="65"/>
        <v>737195.21260156797</v>
      </c>
      <c r="Y108" s="169">
        <f t="shared" si="66"/>
        <v>100736243.59642342</v>
      </c>
      <c r="Z108" s="194">
        <f t="shared" si="67"/>
        <v>83.859378802134046</v>
      </c>
      <c r="AA108" s="195">
        <f t="shared" si="68"/>
        <v>114.34900640746908</v>
      </c>
      <c r="AB108" s="195">
        <f t="shared" si="69"/>
        <v>28.329690746351854</v>
      </c>
      <c r="AC108" s="196">
        <f t="shared" si="70"/>
        <v>45.599404477102993</v>
      </c>
      <c r="AD108" s="188">
        <f t="shared" si="91"/>
        <v>0.17410329911515166</v>
      </c>
      <c r="AE108" s="189">
        <f t="shared" si="92"/>
        <v>0.22370619134676306</v>
      </c>
      <c r="AF108" s="189">
        <f t="shared" si="93"/>
        <v>-9.9999999999999978E-2</v>
      </c>
      <c r="AG108" s="190">
        <f t="shared" si="94"/>
        <v>-9.9999999999999978E-2</v>
      </c>
    </row>
    <row r="109" spans="1:33">
      <c r="A109">
        <v>650</v>
      </c>
      <c r="B109" s="185">
        <f>VLOOKUP($A109,'Allocate OPROC cost'!$A:$AO,30,FALSE)</f>
        <v>1323</v>
      </c>
      <c r="C109" s="186">
        <f>VLOOKUP($A109,'Allocate OPROC cost'!$A:$AO,31,FALSE)</f>
        <v>142467</v>
      </c>
      <c r="D109" s="186">
        <f>VLOOKUP($A109,'Allocate OPROC cost'!$A:$AO,32,FALSE)</f>
        <v>15416</v>
      </c>
      <c r="E109" s="187">
        <f>VLOOKUP($A109,'Allocate OPROC cost'!$A:$AO,33,FALSE)</f>
        <v>506980</v>
      </c>
      <c r="F109" s="185">
        <f>VLOOKUP($A109,'Allocate OPROC cost'!$A:$AO,34,FALSE)</f>
        <v>55635.123341608603</v>
      </c>
      <c r="G109" s="186">
        <f>VLOOKUP($A109,'Allocate OPROC cost'!$A:$AO,35,FALSE)</f>
        <v>6356154.663923881</v>
      </c>
      <c r="H109" s="186">
        <f>VLOOKUP($A109,'Allocate OPROC cost'!$A:$AO,36,FALSE)</f>
        <v>695012.154459132</v>
      </c>
      <c r="I109" s="187">
        <f>VLOOKUP($A109,'Allocate OPROC cost'!$A:$AO,37,FALSE)</f>
        <v>19635904.627059191</v>
      </c>
      <c r="J109" s="179">
        <f t="shared" si="51"/>
        <v>42.05224742374044</v>
      </c>
      <c r="K109" s="180">
        <f t="shared" si="51"/>
        <v>44.614926010401575</v>
      </c>
      <c r="L109" s="180">
        <f t="shared" si="51"/>
        <v>45.083819048983656</v>
      </c>
      <c r="M109" s="181">
        <f t="shared" si="51"/>
        <v>38.731122780108073</v>
      </c>
      <c r="N109" s="173">
        <f t="shared" si="56"/>
        <v>2.2492327017802145</v>
      </c>
      <c r="O109" s="174">
        <f t="shared" si="57"/>
        <v>1.3089274201980676</v>
      </c>
      <c r="P109" s="174">
        <f t="shared" si="58"/>
        <v>0.9</v>
      </c>
      <c r="Q109" s="175">
        <f t="shared" si="58"/>
        <v>0.9</v>
      </c>
      <c r="R109" s="173">
        <f t="shared" si="59"/>
        <v>1.5</v>
      </c>
      <c r="S109" s="174">
        <f t="shared" si="60"/>
        <v>1.3089274201980676</v>
      </c>
      <c r="T109" s="174">
        <f t="shared" si="61"/>
        <v>0.9</v>
      </c>
      <c r="U109" s="175">
        <f t="shared" si="62"/>
        <v>0.9</v>
      </c>
      <c r="V109" s="167">
        <f t="shared" si="63"/>
        <v>83452.685012412898</v>
      </c>
      <c r="W109" s="168">
        <f t="shared" si="64"/>
        <v>8319745.1266298015</v>
      </c>
      <c r="X109" s="168">
        <f t="shared" si="65"/>
        <v>625510.93901321886</v>
      </c>
      <c r="Y109" s="169">
        <f t="shared" si="66"/>
        <v>17672314.164353274</v>
      </c>
      <c r="Z109" s="194">
        <f t="shared" si="67"/>
        <v>63.078371135610659</v>
      </c>
      <c r="AA109" s="195">
        <f t="shared" si="68"/>
        <v>58.397700005122601</v>
      </c>
      <c r="AB109" s="195">
        <f t="shared" si="69"/>
        <v>40.575437144085292</v>
      </c>
      <c r="AC109" s="196">
        <f t="shared" si="70"/>
        <v>34.858010502097272</v>
      </c>
      <c r="AD109" s="188">
        <f t="shared" si="91"/>
        <v>0.5</v>
      </c>
      <c r="AE109" s="189">
        <f t="shared" si="92"/>
        <v>0.30892742019806763</v>
      </c>
      <c r="AF109" s="189">
        <f t="shared" si="93"/>
        <v>-9.9999999999999978E-2</v>
      </c>
      <c r="AG109" s="190">
        <f t="shared" si="94"/>
        <v>-9.9999999999999867E-2</v>
      </c>
    </row>
    <row r="110" spans="1:33">
      <c r="A110">
        <v>651</v>
      </c>
      <c r="B110" s="185">
        <f>VLOOKUP($A110,'Allocate OPROC cost'!$A:$AO,30,FALSE)</f>
        <v>147</v>
      </c>
      <c r="C110" s="186">
        <f>VLOOKUP($A110,'Allocate OPROC cost'!$A:$AO,31,FALSE)</f>
        <v>12379</v>
      </c>
      <c r="D110" s="186">
        <f>VLOOKUP($A110,'Allocate OPROC cost'!$A:$AO,32,FALSE)</f>
        <v>590</v>
      </c>
      <c r="E110" s="187">
        <f>VLOOKUP($A110,'Allocate OPROC cost'!$A:$AO,33,FALSE)</f>
        <v>49559</v>
      </c>
      <c r="F110" s="185">
        <f>VLOOKUP($A110,'Allocate OPROC cost'!$A:$AO,34,FALSE)</f>
        <v>4320.3889808778804</v>
      </c>
      <c r="G110" s="186">
        <f>VLOOKUP($A110,'Allocate OPROC cost'!$A:$AO,35,FALSE)</f>
        <v>662831.34354613791</v>
      </c>
      <c r="H110" s="186">
        <f>VLOOKUP($A110,'Allocate OPROC cost'!$A:$AO,36,FALSE)</f>
        <v>18033.559577980999</v>
      </c>
      <c r="I110" s="187">
        <f>VLOOKUP($A110,'Allocate OPROC cost'!$A:$AO,37,FALSE)</f>
        <v>2263070.8888015565</v>
      </c>
      <c r="J110" s="179">
        <f t="shared" si="51"/>
        <v>29.390401230461773</v>
      </c>
      <c r="K110" s="180">
        <f t="shared" si="51"/>
        <v>53.544821354401641</v>
      </c>
      <c r="L110" s="180">
        <f t="shared" si="51"/>
        <v>30.565355216916949</v>
      </c>
      <c r="M110" s="181">
        <f t="shared" si="51"/>
        <v>45.664175806645744</v>
      </c>
      <c r="N110" s="173">
        <f t="shared" si="56"/>
        <v>1.4174059247395978</v>
      </c>
      <c r="O110" s="174">
        <f t="shared" si="57"/>
        <v>1.3414248452244519</v>
      </c>
      <c r="P110" s="174">
        <f t="shared" si="58"/>
        <v>0.9</v>
      </c>
      <c r="Q110" s="175">
        <f t="shared" si="58"/>
        <v>0.9</v>
      </c>
      <c r="R110" s="173">
        <f t="shared" si="59"/>
        <v>1.4174059247395978</v>
      </c>
      <c r="S110" s="174">
        <f t="shared" si="60"/>
        <v>1.3414248452244519</v>
      </c>
      <c r="T110" s="174">
        <f t="shared" si="61"/>
        <v>0.9</v>
      </c>
      <c r="U110" s="175">
        <f t="shared" si="62"/>
        <v>0.9</v>
      </c>
      <c r="V110" s="167">
        <f t="shared" si="63"/>
        <v>6123.7449386759808</v>
      </c>
      <c r="W110" s="168">
        <f t="shared" si="64"/>
        <v>889138.43242629361</v>
      </c>
      <c r="X110" s="168">
        <f t="shared" si="65"/>
        <v>16230.2036201829</v>
      </c>
      <c r="Y110" s="169">
        <f t="shared" si="66"/>
        <v>2036763.7999214008</v>
      </c>
      <c r="Z110" s="194">
        <f t="shared" si="67"/>
        <v>41.65812883453048</v>
      </c>
      <c r="AA110" s="195">
        <f t="shared" si="68"/>
        <v>71.826353697899151</v>
      </c>
      <c r="AB110" s="195">
        <f t="shared" si="69"/>
        <v>27.508819695225252</v>
      </c>
      <c r="AC110" s="196">
        <f t="shared" si="70"/>
        <v>41.097758225981174</v>
      </c>
      <c r="AD110" s="188">
        <f t="shared" si="91"/>
        <v>0.41740592473959781</v>
      </c>
      <c r="AE110" s="189">
        <f t="shared" si="92"/>
        <v>0.34142484522445193</v>
      </c>
      <c r="AF110" s="189">
        <f t="shared" si="93"/>
        <v>-0.10000000000000009</v>
      </c>
      <c r="AG110" s="190">
        <f t="shared" si="94"/>
        <v>-9.9999999999999867E-2</v>
      </c>
    </row>
    <row r="111" spans="1:33">
      <c r="A111">
        <v>652</v>
      </c>
      <c r="B111" s="185">
        <f>VLOOKUP($A111,'Allocate OPROC cost'!$A:$AO,30,FALSE)</f>
        <v>0</v>
      </c>
      <c r="C111" s="186">
        <f>VLOOKUP($A111,'Allocate OPROC cost'!$A:$AO,31,FALSE)</f>
        <v>4211</v>
      </c>
      <c r="D111" s="186">
        <f>VLOOKUP($A111,'Allocate OPROC cost'!$A:$AO,32,FALSE)</f>
        <v>1197</v>
      </c>
      <c r="E111" s="187">
        <f>VLOOKUP($A111,'Allocate OPROC cost'!$A:$AO,33,FALSE)</f>
        <v>13208</v>
      </c>
      <c r="F111" s="185">
        <f>VLOOKUP($A111,'Allocate OPROC cost'!$A:$AO,34,FALSE)</f>
        <v>0</v>
      </c>
      <c r="G111" s="186">
        <f>VLOOKUP($A111,'Allocate OPROC cost'!$A:$AO,35,FALSE)</f>
        <v>374315.35939575691</v>
      </c>
      <c r="H111" s="186">
        <f>VLOOKUP($A111,'Allocate OPROC cost'!$A:$AO,36,FALSE)</f>
        <v>22777.778090669799</v>
      </c>
      <c r="I111" s="187">
        <f>VLOOKUP($A111,'Allocate OPROC cost'!$A:$AO,37,FALSE)</f>
        <v>841590.82917176827</v>
      </c>
      <c r="J111" s="179">
        <f t="shared" si="51"/>
        <v>0</v>
      </c>
      <c r="K111" s="180">
        <f t="shared" si="51"/>
        <v>88.889897742996183</v>
      </c>
      <c r="L111" s="180">
        <f t="shared" si="51"/>
        <v>19.029054378170258</v>
      </c>
      <c r="M111" s="181">
        <f t="shared" si="51"/>
        <v>63.718263868244115</v>
      </c>
      <c r="N111" s="173">
        <f t="shared" si="56"/>
        <v>1</v>
      </c>
      <c r="O111" s="174">
        <f t="shared" si="57"/>
        <v>1.2248347036921798</v>
      </c>
      <c r="P111" s="174">
        <f t="shared" si="58"/>
        <v>0.9</v>
      </c>
      <c r="Q111" s="175">
        <f t="shared" si="58"/>
        <v>0.9</v>
      </c>
      <c r="R111" s="173">
        <f t="shared" si="59"/>
        <v>1</v>
      </c>
      <c r="S111" s="174">
        <f t="shared" si="60"/>
        <v>1.2248347036921798</v>
      </c>
      <c r="T111" s="174">
        <f t="shared" si="61"/>
        <v>0.9</v>
      </c>
      <c r="U111" s="175">
        <f t="shared" si="62"/>
        <v>0.9</v>
      </c>
      <c r="V111" s="167">
        <f t="shared" si="63"/>
        <v>0</v>
      </c>
      <c r="W111" s="168">
        <f t="shared" si="64"/>
        <v>458474.44231293374</v>
      </c>
      <c r="X111" s="168">
        <f t="shared" si="65"/>
        <v>20500.000281602821</v>
      </c>
      <c r="Y111" s="169">
        <f t="shared" si="66"/>
        <v>757431.7462545915</v>
      </c>
      <c r="Z111" s="194">
        <f t="shared" si="67"/>
        <v>0</v>
      </c>
      <c r="AA111" s="195">
        <f t="shared" si="68"/>
        <v>108.87543156327089</v>
      </c>
      <c r="AB111" s="195">
        <f t="shared" si="69"/>
        <v>17.126148940353232</v>
      </c>
      <c r="AC111" s="196">
        <f t="shared" si="70"/>
        <v>57.346437481419706</v>
      </c>
      <c r="AD111" s="188">
        <f t="shared" si="91"/>
        <v>0</v>
      </c>
      <c r="AE111" s="189">
        <f t="shared" si="92"/>
        <v>0.22483470369217984</v>
      </c>
      <c r="AF111" s="189">
        <f t="shared" si="93"/>
        <v>-9.9999999999999978E-2</v>
      </c>
      <c r="AG111" s="190">
        <f t="shared" si="94"/>
        <v>-9.9999999999999978E-2</v>
      </c>
    </row>
    <row r="112" spans="1:33">
      <c r="A112">
        <v>653</v>
      </c>
      <c r="B112" s="185">
        <f>VLOOKUP($A112,'Allocate OPROC cost'!$A:$AO,30,FALSE)</f>
        <v>370</v>
      </c>
      <c r="C112" s="186">
        <f>VLOOKUP($A112,'Allocate OPROC cost'!$A:$AO,31,FALSE)</f>
        <v>13448</v>
      </c>
      <c r="D112" s="186">
        <f>VLOOKUP($A112,'Allocate OPROC cost'!$A:$AO,32,FALSE)</f>
        <v>3242</v>
      </c>
      <c r="E112" s="187">
        <f>VLOOKUP($A112,'Allocate OPROC cost'!$A:$AO,33,FALSE)</f>
        <v>82920</v>
      </c>
      <c r="F112" s="185">
        <f>VLOOKUP($A112,'Allocate OPROC cost'!$A:$AO,34,FALSE)</f>
        <v>88523.033789847395</v>
      </c>
      <c r="G112" s="186">
        <f>VLOOKUP($A112,'Allocate OPROC cost'!$A:$AO,35,FALSE)</f>
        <v>1588836.854717951</v>
      </c>
      <c r="H112" s="186">
        <f>VLOOKUP($A112,'Allocate OPROC cost'!$A:$AO,36,FALSE)</f>
        <v>586834.06628674199</v>
      </c>
      <c r="I112" s="187">
        <f>VLOOKUP($A112,'Allocate OPROC cost'!$A:$AO,37,FALSE)</f>
        <v>4415405.5866664965</v>
      </c>
      <c r="J112" s="179">
        <f t="shared" si="51"/>
        <v>239.25144267526323</v>
      </c>
      <c r="K112" s="180">
        <f t="shared" si="51"/>
        <v>118.14670246266739</v>
      </c>
      <c r="L112" s="180">
        <f t="shared" si="51"/>
        <v>181.00989089658913</v>
      </c>
      <c r="M112" s="181">
        <f t="shared" si="51"/>
        <v>53.248981990671687</v>
      </c>
      <c r="N112" s="173">
        <f t="shared" si="56"/>
        <v>1.6629168038681086</v>
      </c>
      <c r="O112" s="174">
        <f t="shared" si="57"/>
        <v>1.2779017602439942</v>
      </c>
      <c r="P112" s="174">
        <f t="shared" si="58"/>
        <v>0.9</v>
      </c>
      <c r="Q112" s="175">
        <f t="shared" si="58"/>
        <v>0.9</v>
      </c>
      <c r="R112" s="173">
        <f t="shared" si="59"/>
        <v>1.5</v>
      </c>
      <c r="S112" s="174">
        <f t="shared" si="60"/>
        <v>1.2779017602439942</v>
      </c>
      <c r="T112" s="174">
        <f t="shared" si="61"/>
        <v>0.9</v>
      </c>
      <c r="U112" s="175">
        <f t="shared" si="62"/>
        <v>0.9</v>
      </c>
      <c r="V112" s="167">
        <f t="shared" si="63"/>
        <v>132784.55068477109</v>
      </c>
      <c r="W112" s="168">
        <f t="shared" si="64"/>
        <v>2030377.4133846008</v>
      </c>
      <c r="X112" s="168">
        <f t="shared" si="65"/>
        <v>528150.65965806786</v>
      </c>
      <c r="Y112" s="169">
        <f t="shared" si="66"/>
        <v>3973865.0279998467</v>
      </c>
      <c r="Z112" s="194">
        <f t="shared" si="67"/>
        <v>358.87716401289487</v>
      </c>
      <c r="AA112" s="195">
        <f t="shared" si="68"/>
        <v>150.97987904406608</v>
      </c>
      <c r="AB112" s="195">
        <f t="shared" si="69"/>
        <v>162.90890180693026</v>
      </c>
      <c r="AC112" s="196">
        <f t="shared" si="70"/>
        <v>47.924083791604517</v>
      </c>
      <c r="AD112" s="188">
        <f t="shared" si="91"/>
        <v>0.5</v>
      </c>
      <c r="AE112" s="189">
        <f t="shared" si="92"/>
        <v>0.27790176024399393</v>
      </c>
      <c r="AF112" s="189">
        <f t="shared" si="93"/>
        <v>-9.9999999999999756E-2</v>
      </c>
      <c r="AG112" s="190">
        <f t="shared" si="94"/>
        <v>-0.10000000000000009</v>
      </c>
    </row>
    <row r="113" spans="1:33">
      <c r="A113">
        <v>654</v>
      </c>
      <c r="B113" s="185">
        <f>VLOOKUP($A113,'Allocate OPROC cost'!$A:$AO,30,FALSE)</f>
        <v>400</v>
      </c>
      <c r="C113" s="186">
        <f>VLOOKUP($A113,'Allocate OPROC cost'!$A:$AO,31,FALSE)</f>
        <v>12114</v>
      </c>
      <c r="D113" s="186">
        <f>VLOOKUP($A113,'Allocate OPROC cost'!$A:$AO,32,FALSE)</f>
        <v>3216</v>
      </c>
      <c r="E113" s="187">
        <f>VLOOKUP($A113,'Allocate OPROC cost'!$A:$AO,33,FALSE)</f>
        <v>19721</v>
      </c>
      <c r="F113" s="185">
        <f>VLOOKUP($A113,'Allocate OPROC cost'!$A:$AO,34,FALSE)</f>
        <v>7207.0369435065004</v>
      </c>
      <c r="G113" s="186">
        <f>VLOOKUP($A113,'Allocate OPROC cost'!$A:$AO,35,FALSE)</f>
        <v>1031730.1215512526</v>
      </c>
      <c r="H113" s="186">
        <f>VLOOKUP($A113,'Allocate OPROC cost'!$A:$AO,36,FALSE)</f>
        <v>50949.738461381203</v>
      </c>
      <c r="I113" s="187">
        <f>VLOOKUP($A113,'Allocate OPROC cost'!$A:$AO,37,FALSE)</f>
        <v>1722926.8609599036</v>
      </c>
      <c r="J113" s="179">
        <f t="shared" si="51"/>
        <v>18.017592358766251</v>
      </c>
      <c r="K113" s="180">
        <f t="shared" si="51"/>
        <v>85.168410232066421</v>
      </c>
      <c r="L113" s="180">
        <f t="shared" si="51"/>
        <v>15.842580367344901</v>
      </c>
      <c r="M113" s="181">
        <f t="shared" si="51"/>
        <v>87.365085997662575</v>
      </c>
      <c r="N113" s="173">
        <f t="shared" si="56"/>
        <v>1.7069443220668741</v>
      </c>
      <c r="O113" s="174">
        <f t="shared" si="57"/>
        <v>1.1669939478329281</v>
      </c>
      <c r="P113" s="174">
        <f t="shared" si="58"/>
        <v>0.9</v>
      </c>
      <c r="Q113" s="175">
        <f t="shared" si="58"/>
        <v>0.9</v>
      </c>
      <c r="R113" s="173">
        <f t="shared" si="59"/>
        <v>1.5</v>
      </c>
      <c r="S113" s="174">
        <f t="shared" si="60"/>
        <v>1.1669939478329281</v>
      </c>
      <c r="T113" s="174">
        <f t="shared" si="61"/>
        <v>0.9</v>
      </c>
      <c r="U113" s="175">
        <f t="shared" si="62"/>
        <v>0.9</v>
      </c>
      <c r="V113" s="167">
        <f t="shared" si="63"/>
        <v>10810.555415259751</v>
      </c>
      <c r="W113" s="168">
        <f t="shared" si="64"/>
        <v>1204022.8076472429</v>
      </c>
      <c r="X113" s="168">
        <f t="shared" si="65"/>
        <v>45854.764615243083</v>
      </c>
      <c r="Y113" s="169">
        <f t="shared" si="66"/>
        <v>1550634.1748639133</v>
      </c>
      <c r="Z113" s="194">
        <f t="shared" si="67"/>
        <v>27.026388538149376</v>
      </c>
      <c r="AA113" s="195">
        <f t="shared" si="68"/>
        <v>99.391019287373524</v>
      </c>
      <c r="AB113" s="195">
        <f t="shared" si="69"/>
        <v>14.258322330610412</v>
      </c>
      <c r="AC113" s="196">
        <f t="shared" si="70"/>
        <v>78.628577397896322</v>
      </c>
      <c r="AD113" s="188">
        <f t="shared" si="91"/>
        <v>0.5</v>
      </c>
      <c r="AE113" s="189">
        <f t="shared" si="92"/>
        <v>0.16699394783292787</v>
      </c>
      <c r="AF113" s="189">
        <f t="shared" si="93"/>
        <v>-9.9999999999999978E-2</v>
      </c>
      <c r="AG113" s="190">
        <f t="shared" si="94"/>
        <v>-9.9999999999999978E-2</v>
      </c>
    </row>
    <row r="114" spans="1:33">
      <c r="A114">
        <v>655</v>
      </c>
      <c r="B114" s="185">
        <f>VLOOKUP($A114,'Allocate OPROC cost'!$A:$AO,30,FALSE)</f>
        <v>8</v>
      </c>
      <c r="C114" s="186">
        <f>VLOOKUP($A114,'Allocate OPROC cost'!$A:$AO,31,FALSE)</f>
        <v>17669</v>
      </c>
      <c r="D114" s="186">
        <f>VLOOKUP($A114,'Allocate OPROC cost'!$A:$AO,32,FALSE)</f>
        <v>203</v>
      </c>
      <c r="E114" s="187">
        <f>VLOOKUP($A114,'Allocate OPROC cost'!$A:$AO,33,FALSE)</f>
        <v>103237</v>
      </c>
      <c r="F114" s="185">
        <f>VLOOKUP($A114,'Allocate OPROC cost'!$A:$AO,34,FALSE)</f>
        <v>1234.7998897263401</v>
      </c>
      <c r="G114" s="186">
        <f>VLOOKUP($A114,'Allocate OPROC cost'!$A:$AO,35,FALSE)</f>
        <v>1384805.2618390783</v>
      </c>
      <c r="H114" s="186">
        <f>VLOOKUP($A114,'Allocate OPROC cost'!$A:$AO,36,FALSE)</f>
        <v>32898.401688679201</v>
      </c>
      <c r="I114" s="187">
        <f>VLOOKUP($A114,'Allocate OPROC cost'!$A:$AO,37,FALSE)</f>
        <v>5536804.513101384</v>
      </c>
      <c r="J114" s="179">
        <f t="shared" si="51"/>
        <v>154.34998621579251</v>
      </c>
      <c r="K114" s="180">
        <f t="shared" si="51"/>
        <v>78.374852104764173</v>
      </c>
      <c r="L114" s="180">
        <f t="shared" si="51"/>
        <v>162.06109206245912</v>
      </c>
      <c r="M114" s="181">
        <f t="shared" si="51"/>
        <v>53.631978003054954</v>
      </c>
      <c r="N114" s="173">
        <f t="shared" si="56"/>
        <v>3.6642698920203371</v>
      </c>
      <c r="O114" s="174">
        <f t="shared" si="57"/>
        <v>1.3998254964563235</v>
      </c>
      <c r="P114" s="174">
        <f t="shared" si="58"/>
        <v>0.9</v>
      </c>
      <c r="Q114" s="175">
        <f t="shared" si="58"/>
        <v>0.9</v>
      </c>
      <c r="R114" s="173">
        <f t="shared" si="59"/>
        <v>1.5</v>
      </c>
      <c r="S114" s="174">
        <f t="shared" si="60"/>
        <v>1.3998254964563235</v>
      </c>
      <c r="T114" s="174">
        <f t="shared" si="61"/>
        <v>0.9</v>
      </c>
      <c r="U114" s="175">
        <f t="shared" si="62"/>
        <v>0.9</v>
      </c>
      <c r="V114" s="167">
        <f t="shared" si="63"/>
        <v>1852.1998345895101</v>
      </c>
      <c r="W114" s="168">
        <f t="shared" si="64"/>
        <v>1938485.7131492167</v>
      </c>
      <c r="X114" s="168">
        <f t="shared" si="65"/>
        <v>29608.561519811283</v>
      </c>
      <c r="Y114" s="169">
        <f t="shared" si="66"/>
        <v>4983124.0617912458</v>
      </c>
      <c r="Z114" s="194">
        <f t="shared" si="67"/>
        <v>231.52497932368877</v>
      </c>
      <c r="AA114" s="195">
        <f t="shared" si="68"/>
        <v>109.71111625724244</v>
      </c>
      <c r="AB114" s="195">
        <f t="shared" si="69"/>
        <v>145.85498285621321</v>
      </c>
      <c r="AC114" s="196">
        <f t="shared" si="70"/>
        <v>48.268780202749461</v>
      </c>
      <c r="AD114" s="188">
        <f t="shared" si="91"/>
        <v>0.5</v>
      </c>
      <c r="AE114" s="189">
        <f t="shared" si="92"/>
        <v>0.39982549645632348</v>
      </c>
      <c r="AF114" s="189">
        <f t="shared" si="93"/>
        <v>-9.9999999999999978E-2</v>
      </c>
      <c r="AG114" s="190">
        <f t="shared" si="94"/>
        <v>-9.9999999999999978E-2</v>
      </c>
    </row>
    <row r="115" spans="1:33">
      <c r="A115">
        <v>800</v>
      </c>
      <c r="B115" s="185">
        <f>VLOOKUP($A115,'Allocate OPROC cost'!$A:$AO,30,FALSE)</f>
        <v>11208</v>
      </c>
      <c r="C115" s="186">
        <f>VLOOKUP($A115,'Allocate OPROC cost'!$A:$AO,31,FALSE)</f>
        <v>132585</v>
      </c>
      <c r="D115" s="186">
        <f>VLOOKUP($A115,'Allocate OPROC cost'!$A:$AO,32,FALSE)</f>
        <v>51082</v>
      </c>
      <c r="E115" s="187">
        <f>VLOOKUP($A115,'Allocate OPROC cost'!$A:$AO,33,FALSE)</f>
        <v>819677</v>
      </c>
      <c r="F115" s="185">
        <f>VLOOKUP($A115,'Allocate OPROC cost'!$A:$AO,34,FALSE)</f>
        <v>1326672.5160852601</v>
      </c>
      <c r="G115" s="186">
        <f>VLOOKUP($A115,'Allocate OPROC cost'!$A:$AO,35,FALSE)</f>
        <v>19685551.209291987</v>
      </c>
      <c r="H115" s="186">
        <f>VLOOKUP($A115,'Allocate OPROC cost'!$A:$AO,36,FALSE)</f>
        <v>4697648.5302695502</v>
      </c>
      <c r="I115" s="187">
        <f>VLOOKUP($A115,'Allocate OPROC cost'!$A:$AO,37,FALSE)</f>
        <v>86130617.942419842</v>
      </c>
      <c r="J115" s="179">
        <f t="shared" si="51"/>
        <v>118.3683543973287</v>
      </c>
      <c r="K115" s="180">
        <f t="shared" si="51"/>
        <v>148.47494972502159</v>
      </c>
      <c r="L115" s="180">
        <f t="shared" si="51"/>
        <v>91.962893588143572</v>
      </c>
      <c r="M115" s="181">
        <f t="shared" si="51"/>
        <v>105.07872972209766</v>
      </c>
      <c r="N115" s="173">
        <f t="shared" si="56"/>
        <v>1.3540925490890059</v>
      </c>
      <c r="O115" s="174">
        <f t="shared" si="57"/>
        <v>1.4375321626847026</v>
      </c>
      <c r="P115" s="174">
        <f t="shared" si="58"/>
        <v>0.9</v>
      </c>
      <c r="Q115" s="175">
        <f t="shared" si="58"/>
        <v>0.9</v>
      </c>
      <c r="R115" s="173">
        <f t="shared" si="59"/>
        <v>1.3540925490890059</v>
      </c>
      <c r="S115" s="174">
        <f t="shared" si="60"/>
        <v>1.4375321626847026</v>
      </c>
      <c r="T115" s="174">
        <f t="shared" si="61"/>
        <v>0.9</v>
      </c>
      <c r="U115" s="175">
        <f t="shared" si="62"/>
        <v>0.9</v>
      </c>
      <c r="V115" s="167">
        <f t="shared" si="63"/>
        <v>1796437.369112215</v>
      </c>
      <c r="W115" s="168">
        <f t="shared" si="64"/>
        <v>28298613.003533974</v>
      </c>
      <c r="X115" s="168">
        <f t="shared" si="65"/>
        <v>4227883.6772425957</v>
      </c>
      <c r="Y115" s="169">
        <f t="shared" si="66"/>
        <v>77517556.148177862</v>
      </c>
      <c r="Z115" s="194">
        <f t="shared" si="67"/>
        <v>160.28170673734965</v>
      </c>
      <c r="AA115" s="195">
        <f t="shared" si="68"/>
        <v>213.43751558271279</v>
      </c>
      <c r="AB115" s="195">
        <f t="shared" si="69"/>
        <v>82.766604229329232</v>
      </c>
      <c r="AC115" s="196">
        <f t="shared" si="70"/>
        <v>94.570856749887895</v>
      </c>
      <c r="AD115" s="188">
        <f t="shared" si="91"/>
        <v>0.35409254908900589</v>
      </c>
      <c r="AE115" s="189">
        <f t="shared" si="92"/>
        <v>0.43753216268470263</v>
      </c>
      <c r="AF115" s="189">
        <f t="shared" si="93"/>
        <v>-9.9999999999999867E-2</v>
      </c>
      <c r="AG115" s="190">
        <f t="shared" si="94"/>
        <v>-9.9999999999999978E-2</v>
      </c>
    </row>
    <row r="116" spans="1:33">
      <c r="A116">
        <v>812</v>
      </c>
      <c r="B116" s="185">
        <f>VLOOKUP($A116,'Allocate OPROC cost'!$A:$AO,30,FALSE)</f>
        <v>0</v>
      </c>
      <c r="C116" s="186">
        <f>VLOOKUP($A116,'Allocate OPROC cost'!$A:$AO,31,FALSE)</f>
        <v>52186</v>
      </c>
      <c r="D116" s="186">
        <f>VLOOKUP($A116,'Allocate OPROC cost'!$A:$AO,32,FALSE)</f>
        <v>2</v>
      </c>
      <c r="E116" s="187">
        <f>VLOOKUP($A116,'Allocate OPROC cost'!$A:$AO,33,FALSE)</f>
        <v>43829</v>
      </c>
      <c r="F116" s="185">
        <f>VLOOKUP($A116,'Allocate OPROC cost'!$A:$AO,34,FALSE)</f>
        <v>0</v>
      </c>
      <c r="G116" s="186">
        <f>VLOOKUP($A116,'Allocate OPROC cost'!$A:$AO,35,FALSE)</f>
        <v>1357160.8343487</v>
      </c>
      <c r="H116" s="186">
        <f>VLOOKUP($A116,'Allocate OPROC cost'!$A:$AO,36,FALSE)</f>
        <v>192.276122212465</v>
      </c>
      <c r="I116" s="187">
        <f>VLOOKUP($A116,'Allocate OPROC cost'!$A:$AO,37,FALSE)</f>
        <v>1848446.6404273801</v>
      </c>
      <c r="J116" s="179">
        <f t="shared" si="51"/>
        <v>0</v>
      </c>
      <c r="K116" s="180">
        <f t="shared" si="51"/>
        <v>26.006224549662743</v>
      </c>
      <c r="L116" s="180">
        <f t="shared" si="51"/>
        <v>96.138061106232499</v>
      </c>
      <c r="M116" s="181">
        <f t="shared" si="51"/>
        <v>42.174054631120491</v>
      </c>
      <c r="N116" s="173">
        <f t="shared" si="56"/>
        <v>1</v>
      </c>
      <c r="O116" s="174">
        <f t="shared" si="57"/>
        <v>1.1361995272516427</v>
      </c>
      <c r="P116" s="174">
        <f t="shared" si="58"/>
        <v>0.9</v>
      </c>
      <c r="Q116" s="175">
        <f t="shared" si="58"/>
        <v>0.9</v>
      </c>
      <c r="R116" s="173">
        <f t="shared" si="59"/>
        <v>1</v>
      </c>
      <c r="S116" s="174">
        <f t="shared" si="60"/>
        <v>1.1361995272516427</v>
      </c>
      <c r="T116" s="174">
        <f t="shared" si="61"/>
        <v>0.9</v>
      </c>
      <c r="U116" s="175">
        <f t="shared" si="62"/>
        <v>0.9</v>
      </c>
      <c r="V116" s="167">
        <f t="shared" si="63"/>
        <v>0</v>
      </c>
      <c r="W116" s="168">
        <f t="shared" si="64"/>
        <v>1542005.498391438</v>
      </c>
      <c r="X116" s="168">
        <f t="shared" si="65"/>
        <v>173.04850999121851</v>
      </c>
      <c r="Y116" s="169">
        <f t="shared" si="66"/>
        <v>1663601.9763846421</v>
      </c>
      <c r="Z116" s="194">
        <f t="shared" si="67"/>
        <v>0</v>
      </c>
      <c r="AA116" s="195">
        <f t="shared" si="68"/>
        <v>29.548260038926877</v>
      </c>
      <c r="AB116" s="195">
        <f t="shared" si="69"/>
        <v>86.524254995609255</v>
      </c>
      <c r="AC116" s="196">
        <f t="shared" si="70"/>
        <v>37.956649168008447</v>
      </c>
      <c r="AD116" s="188">
        <f t="shared" si="91"/>
        <v>0</v>
      </c>
      <c r="AE116" s="189">
        <f t="shared" si="92"/>
        <v>0.13619952725164275</v>
      </c>
      <c r="AF116" s="189">
        <f t="shared" si="93"/>
        <v>-9.9999999999999978E-2</v>
      </c>
      <c r="AG116" s="190">
        <f t="shared" si="94"/>
        <v>-9.9999999999999867E-2</v>
      </c>
    </row>
    <row r="117" spans="1:33">
      <c r="A117">
        <v>822</v>
      </c>
      <c r="B117" s="185">
        <f>VLOOKUP($A117,'Allocate OPROC cost'!$A:$AO,30,FALSE)</f>
        <v>145</v>
      </c>
      <c r="C117" s="186">
        <f>VLOOKUP($A117,'Allocate OPROC cost'!$A:$AO,31,FALSE)</f>
        <v>16925</v>
      </c>
      <c r="D117" s="186">
        <f>VLOOKUP($A117,'Allocate OPROC cost'!$A:$AO,32,FALSE)</f>
        <v>638</v>
      </c>
      <c r="E117" s="187">
        <f>VLOOKUP($A117,'Allocate OPROC cost'!$A:$AO,33,FALSE)</f>
        <v>40294</v>
      </c>
      <c r="F117" s="185">
        <f>VLOOKUP($A117,'Allocate OPROC cost'!$A:$AO,34,FALSE)</f>
        <v>24426.704049189801</v>
      </c>
      <c r="G117" s="186">
        <f>VLOOKUP($A117,'Allocate OPROC cost'!$A:$AO,35,FALSE)</f>
        <v>1115343.3018998455</v>
      </c>
      <c r="H117" s="186">
        <f>VLOOKUP($A117,'Allocate OPROC cost'!$A:$AO,36,FALSE)</f>
        <v>83663.328070584699</v>
      </c>
      <c r="I117" s="187">
        <f>VLOOKUP($A117,'Allocate OPROC cost'!$A:$AO,37,FALSE)</f>
        <v>2351275.3782704808</v>
      </c>
      <c r="J117" s="179">
        <f t="shared" si="51"/>
        <v>168.46002792544689</v>
      </c>
      <c r="K117" s="180">
        <f t="shared" si="51"/>
        <v>65.899161116682151</v>
      </c>
      <c r="L117" s="180">
        <f t="shared" si="51"/>
        <v>131.1337430573428</v>
      </c>
      <c r="M117" s="181">
        <f t="shared" si="51"/>
        <v>58.352989980406036</v>
      </c>
      <c r="N117" s="173">
        <f t="shared" si="56"/>
        <v>1.3425076420548014</v>
      </c>
      <c r="O117" s="174">
        <f t="shared" si="57"/>
        <v>1.2108118078322059</v>
      </c>
      <c r="P117" s="174">
        <f t="shared" si="58"/>
        <v>0.9</v>
      </c>
      <c r="Q117" s="175">
        <f t="shared" si="58"/>
        <v>0.9</v>
      </c>
      <c r="R117" s="173">
        <f t="shared" si="59"/>
        <v>1.3425076420548014</v>
      </c>
      <c r="S117" s="174">
        <f t="shared" si="60"/>
        <v>1.2108118078322059</v>
      </c>
      <c r="T117" s="174">
        <f t="shared" si="61"/>
        <v>0.9</v>
      </c>
      <c r="U117" s="175">
        <f t="shared" si="62"/>
        <v>0.9</v>
      </c>
      <c r="V117" s="167">
        <f t="shared" si="63"/>
        <v>32793.036856248269</v>
      </c>
      <c r="W117" s="168">
        <f t="shared" si="64"/>
        <v>1350470.8397268937</v>
      </c>
      <c r="X117" s="168">
        <f t="shared" si="65"/>
        <v>75296.995263526231</v>
      </c>
      <c r="Y117" s="169">
        <f t="shared" si="66"/>
        <v>2116147.8404434328</v>
      </c>
      <c r="Z117" s="194">
        <f t="shared" si="67"/>
        <v>226.15887487067772</v>
      </c>
      <c r="AA117" s="195">
        <f t="shared" si="68"/>
        <v>79.791482406315723</v>
      </c>
      <c r="AB117" s="195">
        <f t="shared" si="69"/>
        <v>118.02036875160852</v>
      </c>
      <c r="AC117" s="196">
        <f t="shared" si="70"/>
        <v>52.517690982365437</v>
      </c>
      <c r="AD117" s="188">
        <f t="shared" si="91"/>
        <v>0.34250764205480144</v>
      </c>
      <c r="AE117" s="189">
        <f t="shared" si="92"/>
        <v>0.21081180783220588</v>
      </c>
      <c r="AF117" s="189">
        <f t="shared" si="93"/>
        <v>-9.9999999999999978E-2</v>
      </c>
      <c r="AG117" s="190">
        <f t="shared" si="94"/>
        <v>-9.9999999999999978E-2</v>
      </c>
    </row>
    <row r="118" spans="1:33" ht="15.75" thickBot="1">
      <c r="A118">
        <v>840</v>
      </c>
      <c r="B118" s="212">
        <f>VLOOKUP($A118,'Allocate OPROC cost'!$A:$AO,30,FALSE)</f>
        <v>24</v>
      </c>
      <c r="C118" s="213">
        <f>VLOOKUP($A118,'Allocate OPROC cost'!$A:$AO,31,FALSE)</f>
        <v>8598</v>
      </c>
      <c r="D118" s="213">
        <f>VLOOKUP($A118,'Allocate OPROC cost'!$A:$AO,32,FALSE)</f>
        <v>13</v>
      </c>
      <c r="E118" s="214">
        <f>VLOOKUP($A118,'Allocate OPROC cost'!$A:$AO,33,FALSE)</f>
        <v>33724</v>
      </c>
      <c r="F118" s="212">
        <f>VLOOKUP($A118,'Allocate OPROC cost'!$A:$AO,34,FALSE)</f>
        <v>257.486829651383</v>
      </c>
      <c r="G118" s="213">
        <f>VLOOKUP($A118,'Allocate OPROC cost'!$A:$AO,35,FALSE)</f>
        <v>583935.27794632188</v>
      </c>
      <c r="H118" s="213">
        <f>VLOOKUP($A118,'Allocate OPROC cost'!$A:$AO,36,FALSE)</f>
        <v>227.186379804659</v>
      </c>
      <c r="I118" s="214">
        <f>VLOOKUP($A118,'Allocate OPROC cost'!$A:$AO,37,FALSE)</f>
        <v>1658687.8888884115</v>
      </c>
      <c r="J118" s="215">
        <f t="shared" si="51"/>
        <v>10.728617902140959</v>
      </c>
      <c r="K118" s="216">
        <f t="shared" si="51"/>
        <v>67.915245167053016</v>
      </c>
      <c r="L118" s="216">
        <f t="shared" si="51"/>
        <v>17.475875369589154</v>
      </c>
      <c r="M118" s="217">
        <f t="shared" si="51"/>
        <v>49.184197867643562</v>
      </c>
      <c r="N118" s="218">
        <f t="shared" si="56"/>
        <v>1.0882322331251861</v>
      </c>
      <c r="O118" s="219">
        <f t="shared" si="57"/>
        <v>1.2840533791213906</v>
      </c>
      <c r="P118" s="219">
        <f t="shared" si="58"/>
        <v>0.9</v>
      </c>
      <c r="Q118" s="220">
        <f t="shared" si="58"/>
        <v>0.9</v>
      </c>
      <c r="R118" s="218">
        <f t="shared" si="59"/>
        <v>1.0882322331251861</v>
      </c>
      <c r="S118" s="219">
        <f t="shared" si="60"/>
        <v>1.2840533791213906</v>
      </c>
      <c r="T118" s="219">
        <f t="shared" si="61"/>
        <v>0.9</v>
      </c>
      <c r="U118" s="220">
        <f t="shared" si="62"/>
        <v>0.9</v>
      </c>
      <c r="V118" s="284">
        <f t="shared" si="63"/>
        <v>280.20546763184893</v>
      </c>
      <c r="W118" s="285">
        <f t="shared" si="64"/>
        <v>749804.06683516304</v>
      </c>
      <c r="X118" s="285">
        <f t="shared" si="65"/>
        <v>204.4677418241931</v>
      </c>
      <c r="Y118" s="286">
        <f t="shared" si="66"/>
        <v>1492819.0999995703</v>
      </c>
      <c r="Z118" s="224">
        <f t="shared" si="67"/>
        <v>11.675227817993706</v>
      </c>
      <c r="AA118" s="225">
        <f t="shared" si="68"/>
        <v>87.206800050612131</v>
      </c>
      <c r="AB118" s="225">
        <f t="shared" si="69"/>
        <v>15.728287832630238</v>
      </c>
      <c r="AC118" s="226">
        <f t="shared" si="70"/>
        <v>44.265778080879201</v>
      </c>
      <c r="AD118" s="227">
        <f t="shared" si="91"/>
        <v>8.8232233125186132E-2</v>
      </c>
      <c r="AE118" s="228">
        <f t="shared" si="92"/>
        <v>0.28405337912139084</v>
      </c>
      <c r="AF118" s="228">
        <f t="shared" si="93"/>
        <v>-9.9999999999999978E-2</v>
      </c>
      <c r="AG118" s="229">
        <f t="shared" si="94"/>
        <v>-0.10000000000000009</v>
      </c>
    </row>
  </sheetData>
  <mergeCells count="9">
    <mergeCell ref="Z7:AC7"/>
    <mergeCell ref="AD7:AG7"/>
    <mergeCell ref="Z6:AG6"/>
    <mergeCell ref="B6:M6"/>
    <mergeCell ref="B7:E7"/>
    <mergeCell ref="F7:I7"/>
    <mergeCell ref="J7:M7"/>
    <mergeCell ref="N6:Y6"/>
    <mergeCell ref="V7:Y7"/>
  </mergeCells>
  <conditionalFormatting sqref="R9:U118">
    <cfRule type="cellIs" dxfId="6" priority="1" operator="equal">
      <formula>$S$4</formula>
    </cfRule>
  </conditionalFormatting>
  <dataValidations count="2">
    <dataValidation type="list" allowBlank="1" showInputMessage="1" showErrorMessage="1" sqref="O4">
      <formula1>"0.1,0.2,0.3,0.4,0.5,0.6,0.7,0.8,0.9,1"</formula1>
    </dataValidation>
    <dataValidation type="list" allowBlank="1" showInputMessage="1" showErrorMessage="1" sqref="S4">
      <formula1>"No limit,1.5,1.6,1.7,1.8,1.9,2"</formula1>
    </dataValidation>
  </dataValidation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249977111117893"/>
  </sheetPr>
  <dimension ref="A1:BK121"/>
  <sheetViews>
    <sheetView showGridLines="0" zoomScale="90" zoomScaleNormal="90" workbookViewId="0">
      <pane xSplit="1" ySplit="9" topLeftCell="B10" activePane="bottomRight" state="frozen"/>
      <selection pane="topRight"/>
      <selection pane="bottomLeft"/>
      <selection pane="bottomRight" activeCell="B10" sqref="B10"/>
    </sheetView>
  </sheetViews>
  <sheetFormatPr defaultRowHeight="15"/>
  <cols>
    <col min="1" max="1" width="12.7109375" customWidth="1"/>
    <col min="2" max="2" width="24.140625" customWidth="1"/>
    <col min="3" max="3" width="9" customWidth="1"/>
    <col min="4" max="4" width="8.140625" customWidth="1"/>
    <col min="5" max="5" width="6.85546875" customWidth="1"/>
    <col min="6" max="6" width="9.28515625" bestFit="1" customWidth="1"/>
    <col min="7" max="7" width="11.42578125" customWidth="1"/>
    <col min="8" max="8" width="10.28515625" customWidth="1"/>
    <col min="9" max="9" width="11.42578125" customWidth="1"/>
    <col min="10" max="10" width="11.140625" customWidth="1"/>
    <col min="11" max="11" width="14" customWidth="1"/>
    <col min="12" max="12" width="12.85546875" customWidth="1"/>
    <col min="13" max="13" width="13.85546875" customWidth="1"/>
    <col min="22" max="22" width="9.140625" customWidth="1"/>
    <col min="25" max="25" width="14.5703125" customWidth="1"/>
    <col min="26" max="28" width="9.140625" customWidth="1"/>
    <col min="29" max="29" width="14" customWidth="1"/>
    <col min="30" max="32" width="9.140625" customWidth="1"/>
    <col min="33" max="33" width="14" customWidth="1"/>
    <col min="34" max="36" width="9.140625" customWidth="1"/>
    <col min="37" max="37" width="14.5703125" customWidth="1"/>
    <col min="38" max="40" width="9.140625" customWidth="1"/>
    <col min="41" max="41" width="14" customWidth="1"/>
    <col min="42" max="44" width="9.140625" customWidth="1"/>
    <col min="45" max="45" width="14.85546875" customWidth="1"/>
    <col min="46" max="51" width="11.5703125" customWidth="1"/>
    <col min="55" max="55" width="14" customWidth="1"/>
    <col min="56" max="61" width="11.5703125" customWidth="1"/>
    <col min="62" max="62" width="12.42578125" customWidth="1"/>
  </cols>
  <sheetData>
    <row r="1" spans="1:63" s="154" customFormat="1">
      <c r="A1" s="154">
        <v>1</v>
      </c>
      <c r="B1" s="154">
        <f>A1+1</f>
        <v>2</v>
      </c>
      <c r="C1" s="154">
        <f t="shared" ref="C1:BI1" si="0">B1+1</f>
        <v>3</v>
      </c>
      <c r="D1" s="154">
        <f t="shared" si="0"/>
        <v>4</v>
      </c>
      <c r="E1" s="154">
        <f t="shared" si="0"/>
        <v>5</v>
      </c>
      <c r="F1" s="154">
        <f t="shared" si="0"/>
        <v>6</v>
      </c>
      <c r="G1" s="154">
        <f t="shared" si="0"/>
        <v>7</v>
      </c>
      <c r="H1" s="154">
        <f t="shared" si="0"/>
        <v>8</v>
      </c>
      <c r="I1" s="154">
        <f t="shared" si="0"/>
        <v>9</v>
      </c>
      <c r="J1" s="154">
        <f t="shared" si="0"/>
        <v>10</v>
      </c>
      <c r="K1" s="154">
        <f t="shared" si="0"/>
        <v>11</v>
      </c>
      <c r="L1" s="154">
        <f t="shared" si="0"/>
        <v>12</v>
      </c>
      <c r="M1" s="154">
        <f t="shared" si="0"/>
        <v>13</v>
      </c>
      <c r="N1" s="154">
        <f t="shared" si="0"/>
        <v>14</v>
      </c>
      <c r="O1" s="154">
        <f t="shared" si="0"/>
        <v>15</v>
      </c>
      <c r="P1" s="154">
        <f t="shared" si="0"/>
        <v>16</v>
      </c>
      <c r="Q1" s="154">
        <f t="shared" si="0"/>
        <v>17</v>
      </c>
      <c r="R1" s="154">
        <f t="shared" si="0"/>
        <v>18</v>
      </c>
      <c r="S1" s="154">
        <f t="shared" si="0"/>
        <v>19</v>
      </c>
      <c r="T1" s="154">
        <f t="shared" si="0"/>
        <v>20</v>
      </c>
      <c r="U1" s="154">
        <f t="shared" si="0"/>
        <v>21</v>
      </c>
      <c r="V1" s="154">
        <f t="shared" si="0"/>
        <v>22</v>
      </c>
      <c r="W1" s="154">
        <f t="shared" si="0"/>
        <v>23</v>
      </c>
      <c r="X1" s="154">
        <f t="shared" si="0"/>
        <v>24</v>
      </c>
      <c r="Y1" s="154">
        <f t="shared" si="0"/>
        <v>25</v>
      </c>
      <c r="Z1" s="154">
        <f t="shared" si="0"/>
        <v>26</v>
      </c>
      <c r="AA1" s="154">
        <f t="shared" si="0"/>
        <v>27</v>
      </c>
      <c r="AB1" s="154">
        <f t="shared" si="0"/>
        <v>28</v>
      </c>
      <c r="AC1" s="154">
        <f t="shared" si="0"/>
        <v>29</v>
      </c>
      <c r="AD1" s="154">
        <f t="shared" si="0"/>
        <v>30</v>
      </c>
      <c r="AE1" s="154">
        <f t="shared" si="0"/>
        <v>31</v>
      </c>
      <c r="AF1" s="154">
        <f t="shared" si="0"/>
        <v>32</v>
      </c>
      <c r="AG1" s="154">
        <f t="shared" si="0"/>
        <v>33</v>
      </c>
      <c r="AH1" s="154">
        <f t="shared" si="0"/>
        <v>34</v>
      </c>
      <c r="AI1" s="154">
        <f t="shared" si="0"/>
        <v>35</v>
      </c>
      <c r="AJ1" s="154">
        <f t="shared" si="0"/>
        <v>36</v>
      </c>
      <c r="AK1" s="154">
        <f t="shared" si="0"/>
        <v>37</v>
      </c>
      <c r="AL1" s="154">
        <f t="shared" si="0"/>
        <v>38</v>
      </c>
      <c r="AM1" s="154">
        <f t="shared" si="0"/>
        <v>39</v>
      </c>
      <c r="AN1" s="154">
        <f t="shared" si="0"/>
        <v>40</v>
      </c>
      <c r="AO1" s="154">
        <f t="shared" si="0"/>
        <v>41</v>
      </c>
      <c r="AP1" s="154">
        <f t="shared" si="0"/>
        <v>42</v>
      </c>
      <c r="AQ1" s="154">
        <f t="shared" si="0"/>
        <v>43</v>
      </c>
      <c r="AR1" s="154">
        <f t="shared" si="0"/>
        <v>44</v>
      </c>
      <c r="AS1" s="154">
        <f t="shared" si="0"/>
        <v>45</v>
      </c>
      <c r="AT1" s="154">
        <f t="shared" si="0"/>
        <v>46</v>
      </c>
      <c r="AU1" s="154">
        <f t="shared" si="0"/>
        <v>47</v>
      </c>
      <c r="AV1" s="154">
        <f t="shared" si="0"/>
        <v>48</v>
      </c>
      <c r="AW1" s="154">
        <f t="shared" si="0"/>
        <v>49</v>
      </c>
      <c r="AX1" s="154">
        <f t="shared" si="0"/>
        <v>50</v>
      </c>
      <c r="AY1" s="154">
        <f t="shared" si="0"/>
        <v>51</v>
      </c>
      <c r="AZ1" s="154">
        <f t="shared" si="0"/>
        <v>52</v>
      </c>
      <c r="BA1" s="154">
        <f t="shared" si="0"/>
        <v>53</v>
      </c>
      <c r="BB1" s="154">
        <f t="shared" si="0"/>
        <v>54</v>
      </c>
      <c r="BC1" s="154">
        <f t="shared" si="0"/>
        <v>55</v>
      </c>
      <c r="BD1" s="154">
        <f t="shared" si="0"/>
        <v>56</v>
      </c>
      <c r="BE1" s="154">
        <f t="shared" si="0"/>
        <v>57</v>
      </c>
      <c r="BF1" s="154">
        <f t="shared" si="0"/>
        <v>58</v>
      </c>
      <c r="BG1" s="154">
        <f t="shared" si="0"/>
        <v>59</v>
      </c>
      <c r="BH1" s="154">
        <f t="shared" si="0"/>
        <v>60</v>
      </c>
      <c r="BI1" s="154">
        <f t="shared" si="0"/>
        <v>61</v>
      </c>
    </row>
    <row r="2" spans="1:63">
      <c r="Z2" s="3"/>
      <c r="AA2" s="3"/>
      <c r="AB2" s="3"/>
      <c r="AC2" s="114"/>
      <c r="AD2" s="72"/>
      <c r="AE2" s="72"/>
      <c r="AF2" s="72"/>
      <c r="AG2" s="72"/>
      <c r="AH2" s="72"/>
      <c r="AI2" s="72"/>
      <c r="AJ2" s="72"/>
      <c r="AK2" s="72"/>
      <c r="AL2" s="72"/>
      <c r="AM2" s="72"/>
      <c r="AN2" s="72"/>
      <c r="AO2" s="72"/>
      <c r="AP2" s="132" t="s">
        <v>426</v>
      </c>
      <c r="AQ2" s="130">
        <v>1</v>
      </c>
      <c r="AR2" s="130">
        <f>1-AQ2</f>
        <v>0</v>
      </c>
      <c r="AS2" s="72"/>
      <c r="AT2" s="72"/>
      <c r="AU2" s="72"/>
      <c r="AV2" s="72"/>
      <c r="AW2" s="72"/>
      <c r="AX2" s="72"/>
      <c r="AY2" s="72"/>
    </row>
    <row r="3" spans="1:63">
      <c r="A3" s="699" t="s">
        <v>974</v>
      </c>
      <c r="H3" s="71"/>
      <c r="I3" s="70"/>
      <c r="M3" s="70"/>
      <c r="Z3" s="3"/>
      <c r="AA3" s="3"/>
      <c r="AB3" s="3"/>
      <c r="AC3" s="115"/>
      <c r="AD3" s="70"/>
      <c r="AE3" s="70"/>
      <c r="AF3" s="70"/>
      <c r="AG3" s="70"/>
      <c r="AH3" s="70"/>
      <c r="AI3" s="70"/>
      <c r="AJ3" s="70"/>
      <c r="AK3" s="70"/>
      <c r="AL3" s="70"/>
      <c r="AM3" s="70"/>
      <c r="AN3" s="70"/>
      <c r="AO3" s="70"/>
      <c r="AP3" s="133" t="s">
        <v>427</v>
      </c>
      <c r="AQ3" s="130">
        <v>1</v>
      </c>
      <c r="AR3" s="130">
        <f t="shared" ref="AR3:AR4" si="1">1-AQ3</f>
        <v>0</v>
      </c>
      <c r="AS3" s="70"/>
      <c r="AT3" s="70"/>
      <c r="AU3" s="70"/>
      <c r="AV3" s="70"/>
      <c r="AW3" s="70"/>
      <c r="AX3" s="70"/>
      <c r="AY3" s="70"/>
    </row>
    <row r="4" spans="1:63" ht="15.75" thickBot="1">
      <c r="A4" s="266"/>
      <c r="V4" s="63"/>
      <c r="W4" s="63"/>
      <c r="X4" s="63"/>
      <c r="Y4" s="117">
        <f>Y5-SUM($J$5:$M$5)</f>
        <v>0</v>
      </c>
      <c r="Z4" s="116"/>
      <c r="AA4" s="116"/>
      <c r="AB4" s="116"/>
      <c r="AC4" s="118">
        <f>AC5-SUM($J$5:$M$5)</f>
        <v>0</v>
      </c>
      <c r="AD4" s="73"/>
      <c r="AE4" s="73"/>
      <c r="AF4" s="73"/>
      <c r="AG4" s="120">
        <f>AG5-SUM($J$5:$M$5)</f>
        <v>0</v>
      </c>
      <c r="AH4" s="73"/>
      <c r="AI4" s="73"/>
      <c r="AJ4" s="73"/>
      <c r="AK4" s="120">
        <f>AK5-SUM($J$5:$M$5)</f>
        <v>0</v>
      </c>
      <c r="AL4" s="120"/>
      <c r="AM4" s="120"/>
      <c r="AN4" s="120"/>
      <c r="AO4" s="120">
        <f>AO5-SUM($J$5:$M$5)</f>
        <v>0</v>
      </c>
      <c r="AP4" s="134" t="s">
        <v>428</v>
      </c>
      <c r="AQ4" s="131">
        <v>1</v>
      </c>
      <c r="AR4" s="130">
        <f t="shared" si="1"/>
        <v>0</v>
      </c>
      <c r="AS4" s="117">
        <f>AS5-SUM($J$5:$M$5)</f>
        <v>0</v>
      </c>
      <c r="AT4" s="71" t="s">
        <v>429</v>
      </c>
      <c r="AU4" s="117"/>
      <c r="AV4" s="117"/>
      <c r="AW4" s="117"/>
      <c r="AX4" s="117"/>
      <c r="AY4" s="117"/>
      <c r="BC4" s="138">
        <f>BC5-AS5+SUM(J112:M112)</f>
        <v>3205741.0208875807</v>
      </c>
    </row>
    <row r="5" spans="1:63" ht="15.75" thickBot="1">
      <c r="F5" s="66">
        <f t="shared" ref="F5:M5" si="2">SUM(F10:F119)</f>
        <v>397725</v>
      </c>
      <c r="G5" s="67">
        <f t="shared" si="2"/>
        <v>16226733</v>
      </c>
      <c r="H5" s="67">
        <f t="shared" si="2"/>
        <v>944545</v>
      </c>
      <c r="I5" s="68">
        <f t="shared" si="2"/>
        <v>34568242</v>
      </c>
      <c r="J5" s="66">
        <f t="shared" si="2"/>
        <v>74587707.330954775</v>
      </c>
      <c r="K5" s="67">
        <f t="shared" si="2"/>
        <v>2499254886.4785557</v>
      </c>
      <c r="L5" s="67">
        <f t="shared" si="2"/>
        <v>115318727.87863082</v>
      </c>
      <c r="M5" s="68">
        <f t="shared" si="2"/>
        <v>3017147253.2193122</v>
      </c>
      <c r="T5" s="113"/>
      <c r="V5" s="53"/>
      <c r="W5" s="63"/>
      <c r="X5" s="63"/>
      <c r="Y5" s="69">
        <f>SUMPRODUCT(V10:Y119,$F$10:$I$119)</f>
        <v>5706308574.9074545</v>
      </c>
      <c r="Z5" s="111"/>
      <c r="AA5" s="111"/>
      <c r="AB5" s="111"/>
      <c r="AC5" s="119">
        <f>SUMPRODUCT(Z10:AC119,$F$10:$I$119)</f>
        <v>5706308574.9074545</v>
      </c>
      <c r="AD5" s="111"/>
      <c r="AE5" s="111"/>
      <c r="AF5" s="111"/>
      <c r="AG5" s="119">
        <f>SUMPRODUCT(AD10:AG119,$F$10:$I$119)</f>
        <v>5706308574.9074507</v>
      </c>
      <c r="AH5" s="111"/>
      <c r="AI5" s="111"/>
      <c r="AJ5" s="111"/>
      <c r="AK5" s="119">
        <f>SUMPRODUCT(AH10:AK119,$F$10:$I$119)</f>
        <v>5706308574.9074497</v>
      </c>
      <c r="AL5" s="111"/>
      <c r="AM5" s="111"/>
      <c r="AN5" s="111"/>
      <c r="AO5" s="119">
        <f>SUMPRODUCT(AL10:AO119,$F$10:$I$119)</f>
        <v>5706308574.9074507</v>
      </c>
      <c r="AP5" s="111"/>
      <c r="AQ5" s="137">
        <f>AQ3*AQ4*AQ2</f>
        <v>1</v>
      </c>
      <c r="AR5" s="111"/>
      <c r="AS5" s="119">
        <f>SUMPRODUCT(AP10:AS119,$F$10:$I$119)</f>
        <v>5706308574.9074507</v>
      </c>
      <c r="AT5" s="111"/>
      <c r="AU5" s="111"/>
      <c r="AV5" s="111"/>
      <c r="AW5" s="111"/>
      <c r="AX5" s="111" t="s">
        <v>441</v>
      </c>
      <c r="AY5" s="111"/>
      <c r="BB5" t="s">
        <v>437</v>
      </c>
      <c r="BC5" s="139">
        <f>SUMPRODUCT(AZ10:BC119,$F$10:$I$119)</f>
        <v>5706308535.4050522</v>
      </c>
    </row>
    <row r="6" spans="1:63" ht="15.75" thickBot="1">
      <c r="F6" s="94">
        <v>2</v>
      </c>
      <c r="G6" s="94">
        <v>3</v>
      </c>
      <c r="H6" s="94">
        <v>4</v>
      </c>
      <c r="I6" s="94">
        <v>5</v>
      </c>
      <c r="J6" s="94">
        <v>22</v>
      </c>
      <c r="K6" s="94">
        <v>23</v>
      </c>
      <c r="L6" s="94">
        <v>24</v>
      </c>
      <c r="M6" s="94">
        <v>25</v>
      </c>
      <c r="V6" s="63"/>
      <c r="Z6" s="63"/>
      <c r="AI6" s="155"/>
      <c r="AR6" s="249"/>
      <c r="BB6" t="s">
        <v>438</v>
      </c>
      <c r="BC6" s="139">
        <f>SUMIF(E:E,1,BJ:BJ)</f>
        <v>5145485458.8952742</v>
      </c>
    </row>
    <row r="7" spans="1:63" ht="15.75" thickBot="1">
      <c r="F7" s="799" t="s">
        <v>415</v>
      </c>
      <c r="G7" s="800"/>
      <c r="H7" s="800"/>
      <c r="I7" s="800"/>
      <c r="J7" s="800"/>
      <c r="K7" s="800"/>
      <c r="L7" s="800"/>
      <c r="M7" s="800"/>
      <c r="N7" s="800"/>
      <c r="O7" s="800"/>
      <c r="P7" s="800"/>
      <c r="Q7" s="801"/>
      <c r="R7" s="802"/>
      <c r="S7" s="803"/>
      <c r="T7" s="803"/>
      <c r="U7" s="803"/>
      <c r="V7" s="803"/>
      <c r="W7" s="803"/>
      <c r="X7" s="803"/>
      <c r="Y7" s="803"/>
      <c r="Z7" s="803"/>
      <c r="AA7" s="803"/>
      <c r="AB7" s="803"/>
      <c r="AC7" s="803"/>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row>
    <row r="8" spans="1:63" ht="15.75" thickBot="1">
      <c r="F8" s="793" t="s">
        <v>374</v>
      </c>
      <c r="G8" s="794"/>
      <c r="H8" s="794"/>
      <c r="I8" s="795"/>
      <c r="J8" s="793" t="s">
        <v>375</v>
      </c>
      <c r="K8" s="794"/>
      <c r="L8" s="794"/>
      <c r="M8" s="795"/>
      <c r="N8" s="793" t="s">
        <v>370</v>
      </c>
      <c r="O8" s="794"/>
      <c r="P8" s="794"/>
      <c r="Q8" s="795"/>
      <c r="R8" s="796" t="s">
        <v>507</v>
      </c>
      <c r="S8" s="797"/>
      <c r="T8" s="797"/>
      <c r="U8" s="798"/>
      <c r="V8" s="796" t="s">
        <v>506</v>
      </c>
      <c r="W8" s="797"/>
      <c r="X8" s="797"/>
      <c r="Y8" s="798"/>
      <c r="Z8" s="796" t="s">
        <v>508</v>
      </c>
      <c r="AA8" s="797"/>
      <c r="AB8" s="797"/>
      <c r="AC8" s="798"/>
      <c r="AD8" s="796" t="s">
        <v>509</v>
      </c>
      <c r="AE8" s="797"/>
      <c r="AF8" s="797"/>
      <c r="AG8" s="797"/>
      <c r="AH8" s="796" t="s">
        <v>423</v>
      </c>
      <c r="AI8" s="800"/>
      <c r="AJ8" s="800"/>
      <c r="AK8" s="801"/>
      <c r="AL8" s="796" t="s">
        <v>424</v>
      </c>
      <c r="AM8" s="800"/>
      <c r="AN8" s="800"/>
      <c r="AO8" s="801"/>
      <c r="AP8" s="796" t="s">
        <v>425</v>
      </c>
      <c r="AQ8" s="800"/>
      <c r="AR8" s="800"/>
      <c r="AS8" s="801"/>
      <c r="AT8" s="790" t="s">
        <v>430</v>
      </c>
      <c r="AU8" s="791"/>
      <c r="AV8" s="791"/>
      <c r="AW8" s="791"/>
      <c r="AX8" s="791"/>
      <c r="AY8" s="792"/>
      <c r="AZ8" s="790" t="s">
        <v>419</v>
      </c>
      <c r="BA8" s="791"/>
      <c r="BB8" s="791"/>
      <c r="BC8" s="792"/>
      <c r="BD8" s="790" t="s">
        <v>430</v>
      </c>
      <c r="BE8" s="791"/>
      <c r="BF8" s="791"/>
      <c r="BG8" s="791"/>
      <c r="BH8" s="791"/>
      <c r="BI8" s="792"/>
    </row>
    <row r="9" spans="1:63" ht="30.75" thickBot="1">
      <c r="A9" s="84" t="s">
        <v>0</v>
      </c>
      <c r="B9" s="87" t="s">
        <v>0</v>
      </c>
      <c r="C9" s="85" t="s">
        <v>421</v>
      </c>
      <c r="D9" s="85" t="s">
        <v>422</v>
      </c>
      <c r="E9" s="86" t="s">
        <v>403</v>
      </c>
      <c r="F9" s="23" t="s">
        <v>66</v>
      </c>
      <c r="G9" s="24" t="s">
        <v>67</v>
      </c>
      <c r="H9" s="24" t="s">
        <v>68</v>
      </c>
      <c r="I9" s="25" t="s">
        <v>69</v>
      </c>
      <c r="J9" s="23" t="s">
        <v>66</v>
      </c>
      <c r="K9" s="24" t="s">
        <v>67</v>
      </c>
      <c r="L9" s="24" t="s">
        <v>68</v>
      </c>
      <c r="M9" s="25" t="s">
        <v>69</v>
      </c>
      <c r="N9" s="23" t="s">
        <v>66</v>
      </c>
      <c r="O9" s="24" t="s">
        <v>67</v>
      </c>
      <c r="P9" s="24" t="s">
        <v>68</v>
      </c>
      <c r="Q9" s="25" t="s">
        <v>69</v>
      </c>
      <c r="R9" s="26" t="s">
        <v>66</v>
      </c>
      <c r="S9" s="27" t="s">
        <v>67</v>
      </c>
      <c r="T9" s="27" t="s">
        <v>68</v>
      </c>
      <c r="U9" s="28" t="s">
        <v>69</v>
      </c>
      <c r="V9" s="26" t="s">
        <v>66</v>
      </c>
      <c r="W9" s="27" t="s">
        <v>67</v>
      </c>
      <c r="X9" s="27" t="s">
        <v>68</v>
      </c>
      <c r="Y9" s="28" t="s">
        <v>69</v>
      </c>
      <c r="Z9" s="26" t="s">
        <v>66</v>
      </c>
      <c r="AA9" s="27" t="s">
        <v>67</v>
      </c>
      <c r="AB9" s="27" t="s">
        <v>68</v>
      </c>
      <c r="AC9" s="28" t="s">
        <v>69</v>
      </c>
      <c r="AD9" s="26" t="s">
        <v>66</v>
      </c>
      <c r="AE9" s="27" t="s">
        <v>67</v>
      </c>
      <c r="AF9" s="27" t="s">
        <v>68</v>
      </c>
      <c r="AG9" s="28" t="s">
        <v>69</v>
      </c>
      <c r="AH9" s="27" t="s">
        <v>66</v>
      </c>
      <c r="AI9" s="27" t="s">
        <v>67</v>
      </c>
      <c r="AJ9" s="27" t="s">
        <v>68</v>
      </c>
      <c r="AK9" s="28" t="s">
        <v>69</v>
      </c>
      <c r="AL9" s="27" t="s">
        <v>66</v>
      </c>
      <c r="AM9" s="27" t="s">
        <v>67</v>
      </c>
      <c r="AN9" s="27" t="s">
        <v>68</v>
      </c>
      <c r="AO9" s="28" t="s">
        <v>69</v>
      </c>
      <c r="AP9" s="27" t="s">
        <v>66</v>
      </c>
      <c r="AQ9" s="27" t="s">
        <v>67</v>
      </c>
      <c r="AR9" s="27" t="s">
        <v>68</v>
      </c>
      <c r="AS9" s="28" t="s">
        <v>69</v>
      </c>
      <c r="AT9" s="135" t="s">
        <v>431</v>
      </c>
      <c r="AU9" s="136" t="s">
        <v>432</v>
      </c>
      <c r="AV9" s="136" t="s">
        <v>433</v>
      </c>
      <c r="AW9" s="136" t="s">
        <v>434</v>
      </c>
      <c r="AX9" s="136" t="s">
        <v>435</v>
      </c>
      <c r="AY9" s="287" t="s">
        <v>436</v>
      </c>
      <c r="AZ9" s="29" t="s">
        <v>66</v>
      </c>
      <c r="BA9" s="30" t="s">
        <v>67</v>
      </c>
      <c r="BB9" s="30" t="s">
        <v>68</v>
      </c>
      <c r="BC9" s="31" t="s">
        <v>69</v>
      </c>
      <c r="BD9" s="135" t="s">
        <v>431</v>
      </c>
      <c r="BE9" s="136" t="s">
        <v>432</v>
      </c>
      <c r="BF9" s="136" t="s">
        <v>433</v>
      </c>
      <c r="BG9" s="136" t="s">
        <v>434</v>
      </c>
      <c r="BH9" s="136" t="s">
        <v>435</v>
      </c>
      <c r="BI9" s="287" t="s">
        <v>436</v>
      </c>
      <c r="BJ9" s="746" t="s">
        <v>674</v>
      </c>
    </row>
    <row r="10" spans="1:63">
      <c r="A10">
        <v>101</v>
      </c>
      <c r="B10" s="88" t="s">
        <v>2</v>
      </c>
      <c r="C10" t="str">
        <f>$A$10&amp;"&amp;"&amp;$A$11</f>
        <v>101&amp;211</v>
      </c>
      <c r="D10" s="62" t="str">
        <f>IF(ISERROR(FIND("Paed",B10,1)),"A","C")</f>
        <v>A</v>
      </c>
      <c r="E10">
        <f>IF(ISERROR(VLOOKUP(A10,Mandatory!A:A,1,FALSE)),0,1)</f>
        <v>1</v>
      </c>
      <c r="F10" s="54">
        <f>VLOOKUP(A10,'Front-loading'!A:AG,$F$6,FALSE)</f>
        <v>5080</v>
      </c>
      <c r="G10" s="55">
        <f>VLOOKUP(A10,'Front-loading'!A:AG,$G$6,FALSE)</f>
        <v>491052</v>
      </c>
      <c r="H10" s="55">
        <f>VLOOKUP(A10,'Front-loading'!A:AG,$H$6,FALSE)</f>
        <v>18312</v>
      </c>
      <c r="I10" s="56">
        <f>VLOOKUP(A10,'Front-loading'!A:AG,$I$6,FALSE)</f>
        <v>1042490</v>
      </c>
      <c r="J10" s="54">
        <f>VLOOKUP(A10,'Front-loading'!A:AG,$J$6,FALSE)</f>
        <v>1073414.8096397151</v>
      </c>
      <c r="K10" s="55">
        <f>VLOOKUP(A10,'Front-loading'!A:AG,$K$6,FALSE)</f>
        <v>67708797.898850173</v>
      </c>
      <c r="L10" s="55">
        <f>VLOOKUP(A10,'Front-loading'!A:AG,$L$6,FALSE)</f>
        <v>2003113.3045668122</v>
      </c>
      <c r="M10" s="56">
        <f>VLOOKUP(A10,'Front-loading'!A:AG,$M$6,FALSE)</f>
        <v>82000848.0513639</v>
      </c>
      <c r="N10" s="15">
        <f>IF(F10=0,0,J10/F10)</f>
        <v>211.30212788183368</v>
      </c>
      <c r="O10" s="11">
        <f t="shared" ref="O10:Q25" si="3">IF(G10=0,0,K10/G10)</f>
        <v>137.88518914259626</v>
      </c>
      <c r="P10" s="11">
        <f t="shared" si="3"/>
        <v>109.38801357398494</v>
      </c>
      <c r="Q10" s="12">
        <f t="shared" si="3"/>
        <v>78.658642338405073</v>
      </c>
      <c r="R10" s="99">
        <f>IF(F10&lt;50,(J10+L10)/(F10+H10),IF(H10&lt;50,(J10+L10)/(F10+H10),N10))</f>
        <v>211.30212788183368</v>
      </c>
      <c r="S10" s="100">
        <f>IF(G10&lt;50,(K10+M10)/(G10+I10),IF(I10&lt;50,(K10+M10)/(G10+I10),O10))</f>
        <v>137.88518914259626</v>
      </c>
      <c r="T10" s="100">
        <f>IF(F10&lt;50,(J10+L10)/(F10+H10),IF(H10&lt;50,(J10+L10)/(F10+H10),P10))</f>
        <v>109.38801357398494</v>
      </c>
      <c r="U10" s="121">
        <f>IF(G10&lt;50,(K10+M10)/(G10+I10),IF(I10&lt;50,(K10+M10)/(G10+I10),Q10))</f>
        <v>78.658642338405073</v>
      </c>
      <c r="V10" s="122">
        <f>IF(ISERROR(R10),S10,R10)</f>
        <v>211.30212788183368</v>
      </c>
      <c r="W10" s="123">
        <f>S10</f>
        <v>137.88518914259626</v>
      </c>
      <c r="X10" s="123">
        <f t="shared" ref="X10" si="4">IF(ISERROR(T10),U10,T10)</f>
        <v>109.38801357398494</v>
      </c>
      <c r="Y10" s="123">
        <f>U10</f>
        <v>78.658642338405073</v>
      </c>
      <c r="Z10" s="105">
        <f>IF(F10=0,V10,IF(V10&lt;X10,((V10*F10)+(H10*X10))/(F10+H10),V10))</f>
        <v>211.30212788183368</v>
      </c>
      <c r="AA10" s="106">
        <f>IF(G10=0,W10,IF(W10&lt;Y10,((W10*G10)+(I10*Y10))/(G10+I10),W10))</f>
        <v>137.88518914259626</v>
      </c>
      <c r="AB10" s="106">
        <f>IF(F10=0,X10,IF(V10&lt;X10,((V10*F10)+(H10*X10))/(F10+H10),X10))</f>
        <v>109.38801357398494</v>
      </c>
      <c r="AC10" s="107">
        <f>IF(G10=0,Y10,IF(W10&lt;Y10,((W10*G10)+(I10*Y10))/(G10+I10),Y10))</f>
        <v>78.658642338405073</v>
      </c>
      <c r="AD10" s="106">
        <f>IF(Z10&lt;AA10,SUMPRODUCT(Z10:AA10,F10:G10)/SUM(F10:G10),Z10)</f>
        <v>211.30212788183368</v>
      </c>
      <c r="AE10" s="106">
        <f>IF(Z10&lt;AA10,SUMPRODUCT(Z10:AA10,F10:G10)/SUM(F10:G10),AA10)</f>
        <v>137.88518914259626</v>
      </c>
      <c r="AF10" s="106">
        <f>IF(AB10&lt;AC10,SUMPRODUCT(AB10:AC10,H10:I10)/SUM(H10:I10),AB10)</f>
        <v>109.38801357398494</v>
      </c>
      <c r="AG10" s="107">
        <f>IF(AB10&lt;AC10,SUMPRODUCT(AB10:AC10,H10:I10)/SUM(H10:I10),AC10)</f>
        <v>78.658642338405073</v>
      </c>
      <c r="AH10" s="106">
        <f>IF(AD10&gt;2*AE10,(SUMPRODUCT(AD10:AE10,F10:G10)/(2*F10+G10))*2,AD10)</f>
        <v>211.30212788183368</v>
      </c>
      <c r="AI10" s="106">
        <f>IF(AD10&gt;2*AE10,(SUMPRODUCT(AD10:AE10,F10:G10)/(2*F10+G10)),AE10)</f>
        <v>137.88518914259626</v>
      </c>
      <c r="AJ10" s="106">
        <f>IF(AF10&gt;2*AG10,(SUMPRODUCT(AF10:AG10,H10:I10)/(2*H10+I10))*2,AF10)</f>
        <v>109.38801357398494</v>
      </c>
      <c r="AK10" s="106">
        <f>IF(AF10&gt;2*AG10,(SUMPRODUCT(AF10:AG10,H10:I10)/(2*H10+I10)),AG10)</f>
        <v>78.658642338405073</v>
      </c>
      <c r="AL10" s="105">
        <f>IF($C10="",AH10,IF(AH10&gt;AH11,SUMPRODUCT(AH10:AH11,F10:F11)/SUM(F10:F11),AH10))</f>
        <v>211.30212788183368</v>
      </c>
      <c r="AM10" s="106">
        <f>IF($C10="",AI10,IF(AI10&gt;AI11,SUMPRODUCT(AI10:AI11,G10:G11)/SUM(G10:G11),AI10))</f>
        <v>137.88518914259626</v>
      </c>
      <c r="AN10" s="106">
        <f>IF($C10="",AJ10,IF(AJ10&gt;AJ11,SUMPRODUCT(AJ10:AJ11,H10:H11)/SUM(H10:H11),AJ10))</f>
        <v>109.38801357398494</v>
      </c>
      <c r="AO10" s="107">
        <f>IF($C10="",AK10,IF(AK10&gt;AK11,SUMPRODUCT(AK10:AK11,I10:I11)/SUM(I10:I11),AK10))</f>
        <v>78.658642338405073</v>
      </c>
      <c r="AP10" s="105">
        <f>AL10</f>
        <v>211.30212788183368</v>
      </c>
      <c r="AQ10" s="106">
        <f t="shared" ref="AQ10:AS10" si="5">AM10</f>
        <v>137.88518914259626</v>
      </c>
      <c r="AR10" s="106">
        <f t="shared" si="5"/>
        <v>109.38801357398494</v>
      </c>
      <c r="AS10" s="107">
        <f t="shared" si="5"/>
        <v>78.658642338405073</v>
      </c>
      <c r="AT10" s="18" t="str">
        <f t="shared" ref="AT10:AT42" si="6">IF(AP10&lt;AR10,AP10,"")</f>
        <v/>
      </c>
      <c r="AU10" s="19" t="str">
        <f t="shared" ref="AU10:AU42" si="7">IF(AQ10&lt;AS10,AQ10,"")</f>
        <v/>
      </c>
      <c r="AV10" s="19" t="str">
        <f>IF(AP10&lt;AQ10,"2FA","")</f>
        <v/>
      </c>
      <c r="AW10" s="19" t="str">
        <f>IF(AR10&lt;AS10,"2FU","")</f>
        <v/>
      </c>
      <c r="AX10" s="19" t="str">
        <f t="shared" ref="AX10:AX59" si="8">IF(AP10&gt;2*AQ10,2*AQ10,"")</f>
        <v/>
      </c>
      <c r="AY10" s="323" t="str">
        <f t="shared" ref="AY10:AY60" si="9">IF(AR10&gt;2*AS10,2*AS10,"")</f>
        <v/>
      </c>
      <c r="AZ10" s="326">
        <f t="shared" ref="AZ10:AZ59" si="10">IF(AX10="",AP10,AX10)</f>
        <v>211.30212788183368</v>
      </c>
      <c r="BA10" s="323">
        <f>AQ10</f>
        <v>137.88518914259626</v>
      </c>
      <c r="BB10" s="323">
        <f t="shared" ref="BB10:BB73" si="11">IF(AT10&lt;&gt;"",AT10,IF(AY10&lt;&gt;"",AY10,AR10))</f>
        <v>109.38801357398494</v>
      </c>
      <c r="BC10" s="327">
        <f t="shared" ref="BC10:BC42" si="12">IF(AU10="",AS10,AU10)</f>
        <v>78.658642338405073</v>
      </c>
      <c r="BD10" s="18" t="str">
        <f>IF(AZ10&lt;BB10,"1FA","")</f>
        <v/>
      </c>
      <c r="BE10" s="19" t="str">
        <f>IF(BA10&lt;BC10,"1FU","")</f>
        <v/>
      </c>
      <c r="BF10" s="19" t="str">
        <f>IF(AZ10&lt;BA10,"2FA","")</f>
        <v/>
      </c>
      <c r="BG10" s="19" t="str">
        <f>IF(BB10&lt;BC10,"2FU","")</f>
        <v/>
      </c>
      <c r="BH10" s="19" t="str">
        <f>IF(AZ10&gt;2*BA10,"3FA","")</f>
        <v/>
      </c>
      <c r="BI10" s="20" t="str">
        <f>IF(BB10&gt;2*BC10,"3FU","")</f>
        <v/>
      </c>
      <c r="BJ10" s="744">
        <f>SUMPRODUCT(AZ10:BC10,F10:I10)</f>
        <v>152786174.06442061</v>
      </c>
      <c r="BK10" s="321"/>
    </row>
    <row r="11" spans="1:63">
      <c r="A11">
        <v>211</v>
      </c>
      <c r="B11" s="88" t="s">
        <v>20</v>
      </c>
      <c r="C11" t="str">
        <f>$A$10&amp;"&amp;"&amp;$A$11</f>
        <v>101&amp;211</v>
      </c>
      <c r="D11" s="62" t="str">
        <f t="shared" ref="D11:D74" si="13">IF(ISERROR(FIND("Paed",B11,1)),"A","C")</f>
        <v>C</v>
      </c>
      <c r="E11">
        <f>IF(ISERROR(VLOOKUP(A11,Mandatory!A:A,1,FALSE)),0,1)</f>
        <v>1</v>
      </c>
      <c r="F11" s="54">
        <f>VLOOKUP(A11,'Front-loading'!A:AG,$F$6,FALSE)</f>
        <v>340</v>
      </c>
      <c r="G11" s="55">
        <f>VLOOKUP(A11,'Front-loading'!A:AG,$G$6,FALSE)</f>
        <v>12043</v>
      </c>
      <c r="H11" s="55">
        <f>VLOOKUP(A11,'Front-loading'!A:AG,$H$6,FALSE)</f>
        <v>861</v>
      </c>
      <c r="I11" s="56">
        <f>VLOOKUP(A11,'Front-loading'!A:AG,$I$6,FALSE)</f>
        <v>23490</v>
      </c>
      <c r="J11" s="54">
        <f>VLOOKUP(A11,'Front-loading'!A:AG,$J$6,FALSE)</f>
        <v>107344.12912413219</v>
      </c>
      <c r="K11" s="55">
        <f>VLOOKUP(A11,'Front-loading'!A:AG,$K$6,FALSE)</f>
        <v>2165869.6957308291</v>
      </c>
      <c r="L11" s="55">
        <f>VLOOKUP(A11,'Front-loading'!A:AG,$L$6,FALSE)</f>
        <v>185515.64492547058</v>
      </c>
      <c r="M11" s="56">
        <f>VLOOKUP(A11,'Front-loading'!A:AG,$M$6,FALSE)</f>
        <v>3511719.8222252992</v>
      </c>
      <c r="N11" s="15">
        <f t="shared" ref="N11:Q73" si="14">IF(F11=0,0,J11/F11)</f>
        <v>315.71802683568291</v>
      </c>
      <c r="O11" s="11">
        <f t="shared" si="3"/>
        <v>179.84469781041511</v>
      </c>
      <c r="P11" s="11">
        <f t="shared" si="3"/>
        <v>215.46532511669056</v>
      </c>
      <c r="Q11" s="12">
        <f t="shared" si="3"/>
        <v>149.49850243615577</v>
      </c>
      <c r="R11" s="99">
        <f t="shared" ref="R11:R74" si="15">IF(F11&lt;50,(J11+L11)/(F11+H11),IF(H11&lt;50,(J11+L11)/(F11+H11),N11))</f>
        <v>315.71802683568291</v>
      </c>
      <c r="S11" s="100">
        <f t="shared" ref="S11:S74" si="16">IF(G11&lt;50,(K11+M11)/(G11+I11),IF(I11&lt;50,(K11+M11)/(G11+I11),O11))</f>
        <v>179.84469781041511</v>
      </c>
      <c r="T11" s="100">
        <f t="shared" ref="T11:T74" si="17">IF(F11&lt;50,(J11+L11)/(F11+H11),IF(H11&lt;50,(J11+L11)/(F11+H11),P11))</f>
        <v>215.46532511669056</v>
      </c>
      <c r="U11" s="124">
        <f t="shared" ref="U11:U74" si="18">IF(G11&lt;50,(K11+M11)/(G11+I11),IF(I11&lt;50,(K11+M11)/(G11+I11),Q11))</f>
        <v>149.49850243615577</v>
      </c>
      <c r="V11" s="125">
        <f t="shared" ref="V11:V74" si="19">IF(ISERROR(R11),S11,R11)</f>
        <v>315.71802683568291</v>
      </c>
      <c r="W11" s="126">
        <f t="shared" ref="W11:W74" si="20">S11</f>
        <v>179.84469781041511</v>
      </c>
      <c r="X11" s="126">
        <f t="shared" ref="X11:X74" si="21">IF(ISERROR(T11),U11,T11)</f>
        <v>215.46532511669056</v>
      </c>
      <c r="Y11" s="126">
        <f t="shared" ref="Y11:Y74" si="22">U11</f>
        <v>149.49850243615577</v>
      </c>
      <c r="Z11" s="127">
        <f t="shared" ref="Z11:Z74" si="23">IF(F11=0,V11,IF(V11&lt;X11,((V11*F11)+(H11*X11))/(F11+H11),V11))</f>
        <v>315.71802683568291</v>
      </c>
      <c r="AA11" s="128">
        <f t="shared" ref="AA11:AA74" si="24">IF(G11=0,W11,IF(W11&lt;Y11,((W11*G11)+(I11*Y11))/(G11+I11),W11))</f>
        <v>179.84469781041511</v>
      </c>
      <c r="AB11" s="128">
        <f t="shared" ref="AB11:AB74" si="25">IF(F11=0,X11,IF(V11&lt;X11,((V11*F11)+(H11*X11))/(F11+H11),X11))</f>
        <v>215.46532511669056</v>
      </c>
      <c r="AC11" s="129">
        <f t="shared" ref="AC11:AC74" si="26">IF(G11=0,Y11,IF(W11&lt;Y11,((W11*G11)+(I11*Y11))/(G11+I11),Y11))</f>
        <v>149.49850243615577</v>
      </c>
      <c r="AD11" s="128">
        <f t="shared" ref="AD11:AD74" si="27">IF(Z11&lt;AA11,SUMPRODUCT(Z11:AA11,F11:G11)/SUM(F11:G11),Z11)</f>
        <v>315.71802683568291</v>
      </c>
      <c r="AE11" s="128">
        <f t="shared" ref="AE11:AE74" si="28">IF(Z11&lt;AA11,SUMPRODUCT(Z11:AA11,F11:G11)/SUM(F11:G11),AA11)</f>
        <v>179.84469781041511</v>
      </c>
      <c r="AF11" s="128">
        <f t="shared" ref="AF11:AF74" si="29">IF(AB11&lt;AC11,SUMPRODUCT(AB11:AC11,H11:I11)/SUM(H11:I11),AB11)</f>
        <v>215.46532511669056</v>
      </c>
      <c r="AG11" s="129">
        <f t="shared" ref="AG11:AG74" si="30">IF(AB11&lt;AC11,SUMPRODUCT(AB11:AC11,H11:I11)/SUM(H11:I11),AC11)</f>
        <v>149.49850243615577</v>
      </c>
      <c r="AH11" s="128">
        <f t="shared" ref="AH11:AH74" si="31">IF(AD11&gt;2*AE11,(SUMPRODUCT(AD11:AE11,F11:G11)/(2*F11+G11))*2,AD11)</f>
        <v>315.71802683568291</v>
      </c>
      <c r="AI11" s="128">
        <f t="shared" ref="AI11:AI74" si="32">IF(AD11&gt;2*AE11,(SUMPRODUCT(AD11:AE11,F11:G11)/(2*F11+G11)),AE11)</f>
        <v>179.84469781041511</v>
      </c>
      <c r="AJ11" s="128">
        <f t="shared" ref="AJ11:AJ74" si="33">IF(AF11&gt;2*AG11,(SUMPRODUCT(AF11:AG11,H11:I11)/(2*H11+I11))*2,AF11)</f>
        <v>215.46532511669056</v>
      </c>
      <c r="AK11" s="128">
        <f t="shared" ref="AK11:AK74" si="34">IF(AF11&gt;2*AG11,(SUMPRODUCT(AF11:AG11,H11:I11)/(2*H11+I11)),AG11)</f>
        <v>149.49850243615577</v>
      </c>
      <c r="AL11" s="127">
        <f>IF($C11="",AH11,IF(AH10&gt;AH11,SUMPRODUCT(AH10:AH11,F10:F11)/SUM(F10:F11),AH11))</f>
        <v>315.71802683568291</v>
      </c>
      <c r="AM11" s="128">
        <f>IF($C11="",AI11,IF(AI10&gt;AI11,SUMPRODUCT(AI10:AI11,G10:G11)/SUM(G10:G11),AI11))</f>
        <v>179.84469781041511</v>
      </c>
      <c r="AN11" s="128">
        <f>IF($C11="",AJ11,IF(AJ10&gt;AJ11,SUMPRODUCT(AJ10:AJ11,H10:H11)/SUM(H10:H11),AJ11))</f>
        <v>215.46532511669056</v>
      </c>
      <c r="AO11" s="129">
        <f>IF($C11="",AK11,IF(AK10&gt;AK11,SUMPRODUCT(AK10:AK11,I10:I11)/SUM(I10:I11),AK11))</f>
        <v>149.49850243615577</v>
      </c>
      <c r="AP11" s="127">
        <f t="shared" ref="AP11:AP74" si="35">AL11</f>
        <v>315.71802683568291</v>
      </c>
      <c r="AQ11" s="128">
        <f t="shared" ref="AQ11:AQ74" si="36">AM11</f>
        <v>179.84469781041511</v>
      </c>
      <c r="AR11" s="128">
        <f t="shared" ref="AR11:AR74" si="37">AN11</f>
        <v>215.46532511669056</v>
      </c>
      <c r="AS11" s="129">
        <f t="shared" ref="AS11:AS74" si="38">AO11</f>
        <v>149.49850243615577</v>
      </c>
      <c r="AT11" s="18" t="str">
        <f t="shared" si="6"/>
        <v/>
      </c>
      <c r="AU11" s="19" t="str">
        <f t="shared" si="7"/>
        <v/>
      </c>
      <c r="AV11" s="19" t="str">
        <f t="shared" ref="AV11:AV74" si="39">IF(AP11&lt;AQ11,"2FA","")</f>
        <v/>
      </c>
      <c r="AW11" s="19" t="str">
        <f t="shared" ref="AW11:AW74" si="40">IF(AR11&lt;AS11,"2FU","")</f>
        <v/>
      </c>
      <c r="AX11" s="19" t="str">
        <f t="shared" si="8"/>
        <v/>
      </c>
      <c r="AY11" s="323" t="str">
        <f t="shared" si="9"/>
        <v/>
      </c>
      <c r="AZ11" s="326">
        <f t="shared" si="10"/>
        <v>315.71802683568291</v>
      </c>
      <c r="BA11" s="323">
        <f t="shared" ref="BA11:BA74" si="41">AQ11</f>
        <v>179.84469781041511</v>
      </c>
      <c r="BB11" s="323">
        <f t="shared" si="11"/>
        <v>215.46532511669056</v>
      </c>
      <c r="BC11" s="327">
        <f t="shared" si="12"/>
        <v>149.49850243615577</v>
      </c>
      <c r="BD11" s="18" t="str">
        <f t="shared" ref="BD11:BD74" si="42">IF(AZ11&lt;BB11,"1FA","")</f>
        <v/>
      </c>
      <c r="BE11" s="19" t="str">
        <f t="shared" ref="BE11:BE74" si="43">IF(BA11&lt;BC11,"1FU","")</f>
        <v/>
      </c>
      <c r="BF11" s="19" t="str">
        <f t="shared" ref="BF11:BF74" si="44">IF(AZ11&lt;BA11,"2FA","")</f>
        <v/>
      </c>
      <c r="BG11" s="19" t="str">
        <f t="shared" ref="BG11:BG74" si="45">IF(BB11&lt;BC11,"2FU","")</f>
        <v/>
      </c>
      <c r="BH11" s="19" t="str">
        <f t="shared" ref="BH11:BH74" si="46">IF(AZ11&gt;2*BA11,"3FA","")</f>
        <v/>
      </c>
      <c r="BI11" s="20" t="str">
        <f t="shared" ref="BI11:BI74" si="47">IF(BB11&gt;2*BC11,"3FU","")</f>
        <v/>
      </c>
      <c r="BJ11" s="744">
        <f t="shared" ref="BJ11:BJ74" si="48">SUMPRODUCT(AZ11:BC11,F11:I11)</f>
        <v>5970449.2920057308</v>
      </c>
      <c r="BK11" s="321"/>
    </row>
    <row r="12" spans="1:63">
      <c r="A12" s="74">
        <v>102</v>
      </c>
      <c r="B12" s="89" t="s">
        <v>445</v>
      </c>
      <c r="C12" s="74" t="str">
        <f>$A$12&amp;"&amp;"&amp;$A$13</f>
        <v>102&amp;212</v>
      </c>
      <c r="D12" s="93" t="str">
        <f t="shared" si="13"/>
        <v>A</v>
      </c>
      <c r="E12" s="74">
        <f>IF(ISERROR(VLOOKUP(A12,Mandatory!A:A,1,FALSE)),0,1)</f>
        <v>0</v>
      </c>
      <c r="F12" s="75">
        <f>VLOOKUP(A12,'Front-loading'!A:AG,$F$6,FALSE)</f>
        <v>338</v>
      </c>
      <c r="G12" s="76">
        <f>VLOOKUP(A12,'Front-loading'!A:AG,$G$6,FALSE)</f>
        <v>4607</v>
      </c>
      <c r="H12" s="76">
        <f>VLOOKUP(A12,'Front-loading'!A:AG,$H$6,FALSE)</f>
        <v>8920</v>
      </c>
      <c r="I12" s="77">
        <f>VLOOKUP(A12,'Front-loading'!A:AG,$I$6,FALSE)</f>
        <v>69927</v>
      </c>
      <c r="J12" s="75">
        <f>VLOOKUP(A12,'Front-loading'!A:AG,$J$6,FALSE)</f>
        <v>170467.288384755</v>
      </c>
      <c r="K12" s="76">
        <f>VLOOKUP(A12,'Front-loading'!A:AG,$K$6,FALSE)</f>
        <v>2186116.095049209</v>
      </c>
      <c r="L12" s="76">
        <f>VLOOKUP(A12,'Front-loading'!A:AG,$L$6,FALSE)</f>
        <v>2891192.136240501</v>
      </c>
      <c r="M12" s="77">
        <f>VLOOKUP(A12,'Front-loading'!A:AG,$M$6,FALSE)</f>
        <v>14817689.395926386</v>
      </c>
      <c r="N12" s="78">
        <f t="shared" si="14"/>
        <v>504.34108989572485</v>
      </c>
      <c r="O12" s="79">
        <f t="shared" si="3"/>
        <v>474.52053289542198</v>
      </c>
      <c r="P12" s="79">
        <f t="shared" si="3"/>
        <v>324.12467895072882</v>
      </c>
      <c r="Q12" s="80">
        <f t="shared" si="3"/>
        <v>211.90226087099956</v>
      </c>
      <c r="R12" s="101">
        <f t="shared" si="15"/>
        <v>504.34108989572485</v>
      </c>
      <c r="S12" s="102">
        <f t="shared" si="16"/>
        <v>474.52053289542198</v>
      </c>
      <c r="T12" s="102">
        <f t="shared" si="17"/>
        <v>324.12467895072882</v>
      </c>
      <c r="U12" s="100">
        <f t="shared" si="18"/>
        <v>211.90226087099956</v>
      </c>
      <c r="V12" s="95">
        <f t="shared" si="19"/>
        <v>504.34108989572485</v>
      </c>
      <c r="W12" s="96">
        <f t="shared" si="20"/>
        <v>474.52053289542198</v>
      </c>
      <c r="X12" s="96">
        <f t="shared" si="21"/>
        <v>324.12467895072882</v>
      </c>
      <c r="Y12" s="96">
        <f t="shared" si="22"/>
        <v>211.90226087099956</v>
      </c>
      <c r="Z12" s="60">
        <f t="shared" si="23"/>
        <v>504.34108989572485</v>
      </c>
      <c r="AA12" s="61">
        <f t="shared" si="24"/>
        <v>474.52053289542198</v>
      </c>
      <c r="AB12" s="61">
        <f t="shared" si="25"/>
        <v>324.12467895072882</v>
      </c>
      <c r="AC12" s="108">
        <f t="shared" si="26"/>
        <v>211.90226087099956</v>
      </c>
      <c r="AD12" s="61">
        <f t="shared" si="27"/>
        <v>504.34108989572485</v>
      </c>
      <c r="AE12" s="61">
        <f t="shared" si="28"/>
        <v>474.52053289542198</v>
      </c>
      <c r="AF12" s="61">
        <f t="shared" si="29"/>
        <v>324.12467895072882</v>
      </c>
      <c r="AG12" s="108">
        <f t="shared" si="30"/>
        <v>211.90226087099956</v>
      </c>
      <c r="AH12" s="61">
        <f t="shared" si="31"/>
        <v>504.34108989572485</v>
      </c>
      <c r="AI12" s="61">
        <f t="shared" si="32"/>
        <v>474.52053289542198</v>
      </c>
      <c r="AJ12" s="61">
        <f t="shared" si="33"/>
        <v>324.12467895072882</v>
      </c>
      <c r="AK12" s="61">
        <f t="shared" si="34"/>
        <v>211.90226087099956</v>
      </c>
      <c r="AL12" s="60">
        <f>IF($C12="",AH12,IF(AH12&gt;AH13,SUMPRODUCT(AH12:AH13,F12:F13)/SUM(F12:F13),AH12))</f>
        <v>502.68551657107832</v>
      </c>
      <c r="AM12" s="61">
        <f>IF($C12="",AI12,IF(AI12&gt;AI13,SUMPRODUCT(AI12:AI13,G12:G13)/SUM(G12:G13),AI12))</f>
        <v>474.25719950746719</v>
      </c>
      <c r="AN12" s="61">
        <f>IF($C12="",AJ12,IF(AJ12&gt;AJ13,SUMPRODUCT(AJ12:AJ13,H12:H13)/SUM(H12:H13),AJ12))</f>
        <v>324.12467895072882</v>
      </c>
      <c r="AO12" s="108">
        <f>IF($C12="",AK12,IF(AK12&gt;AK13,SUMPRODUCT(AK12:AK13,I12:I13)/SUM(I12:I13),AK12))</f>
        <v>211.90226087099956</v>
      </c>
      <c r="AP12" s="60">
        <f t="shared" si="35"/>
        <v>502.68551657107832</v>
      </c>
      <c r="AQ12" s="61">
        <f t="shared" si="36"/>
        <v>474.25719950746719</v>
      </c>
      <c r="AR12" s="61">
        <f t="shared" si="37"/>
        <v>324.12467895072882</v>
      </c>
      <c r="AS12" s="108">
        <f t="shared" si="38"/>
        <v>211.90226087099956</v>
      </c>
      <c r="AT12" s="81" t="str">
        <f t="shared" si="6"/>
        <v/>
      </c>
      <c r="AU12" s="82" t="str">
        <f t="shared" si="7"/>
        <v/>
      </c>
      <c r="AV12" s="82" t="str">
        <f t="shared" si="39"/>
        <v/>
      </c>
      <c r="AW12" s="82" t="str">
        <f t="shared" si="40"/>
        <v/>
      </c>
      <c r="AX12" s="82" t="str">
        <f t="shared" si="8"/>
        <v/>
      </c>
      <c r="AY12" s="324" t="str">
        <f t="shared" si="9"/>
        <v/>
      </c>
      <c r="AZ12" s="328">
        <f t="shared" si="10"/>
        <v>502.68551657107832</v>
      </c>
      <c r="BA12" s="324">
        <f t="shared" si="41"/>
        <v>474.25719950746719</v>
      </c>
      <c r="BB12" s="324">
        <f t="shared" si="11"/>
        <v>324.12467895072882</v>
      </c>
      <c r="BC12" s="329">
        <f t="shared" si="12"/>
        <v>211.90226087099956</v>
      </c>
      <c r="BD12" s="288" t="str">
        <f t="shared" si="42"/>
        <v/>
      </c>
      <c r="BE12" s="289" t="str">
        <f t="shared" si="43"/>
        <v/>
      </c>
      <c r="BF12" s="289" t="str">
        <f t="shared" si="44"/>
        <v/>
      </c>
      <c r="BG12" s="289" t="str">
        <f t="shared" si="45"/>
        <v/>
      </c>
      <c r="BH12" s="289" t="str">
        <f t="shared" si="46"/>
        <v/>
      </c>
      <c r="BI12" s="290" t="str">
        <f t="shared" si="47"/>
        <v/>
      </c>
      <c r="BJ12" s="744">
        <f t="shared" si="48"/>
        <v>20063692.154898815</v>
      </c>
      <c r="BK12" s="321"/>
    </row>
    <row r="13" spans="1:63">
      <c r="A13">
        <v>212</v>
      </c>
      <c r="B13" s="88" t="s">
        <v>454</v>
      </c>
      <c r="C13" t="str">
        <f>$A$12&amp;"&amp;"&amp;$A$13</f>
        <v>102&amp;212</v>
      </c>
      <c r="D13" s="62" t="str">
        <f t="shared" si="13"/>
        <v>C</v>
      </c>
      <c r="E13">
        <f>IF(ISERROR(VLOOKUP(A13,Mandatory!A:A,1,FALSE)),0,1)</f>
        <v>0</v>
      </c>
      <c r="F13" s="54">
        <f>VLOOKUP(A13,'Front-loading'!A:AG,$F$6,FALSE)</f>
        <v>13</v>
      </c>
      <c r="G13" s="55">
        <f>VLOOKUP(A13,'Front-loading'!A:AG,$G$6,FALSE)</f>
        <v>83</v>
      </c>
      <c r="H13" s="55">
        <f>VLOOKUP(A13,'Front-loading'!A:AG,$H$6,FALSE)</f>
        <v>198</v>
      </c>
      <c r="I13" s="56">
        <f>VLOOKUP(A13,'Front-loading'!A:AG,$I$6,FALSE)</f>
        <v>1007</v>
      </c>
      <c r="J13" s="54">
        <f>VLOOKUP(A13,'Front-loading'!A:AG,$J$6,FALSE)</f>
        <v>4950.6528101518506</v>
      </c>
      <c r="K13" s="55">
        <f>VLOOKUP(A13,'Front-loading'!A:AG,$K$6,FALSE)</f>
        <v>41250.591242990704</v>
      </c>
      <c r="L13" s="55">
        <f>VLOOKUP(A13,'Front-loading'!A:AG,$L$6,FALSE)</f>
        <v>41711.304615055204</v>
      </c>
      <c r="M13" s="56">
        <f>VLOOKUP(A13,'Front-loading'!A:AG,$M$6,FALSE)</f>
        <v>351695.88956614322</v>
      </c>
      <c r="N13" s="15">
        <f t="shared" si="14"/>
        <v>380.81944693475776</v>
      </c>
      <c r="O13" s="11">
        <f t="shared" si="3"/>
        <v>496.99507521675548</v>
      </c>
      <c r="P13" s="11">
        <f t="shared" si="3"/>
        <v>210.66315462149092</v>
      </c>
      <c r="Q13" s="12">
        <f t="shared" si="3"/>
        <v>349.25113164463079</v>
      </c>
      <c r="R13" s="99">
        <f t="shared" si="15"/>
        <v>221.14671765500972</v>
      </c>
      <c r="S13" s="100">
        <f t="shared" si="16"/>
        <v>496.99507521675548</v>
      </c>
      <c r="T13" s="100">
        <f t="shared" si="17"/>
        <v>221.14671765500972</v>
      </c>
      <c r="U13" s="100">
        <f t="shared" si="18"/>
        <v>349.25113164463079</v>
      </c>
      <c r="V13" s="125">
        <f t="shared" si="19"/>
        <v>221.14671765500972</v>
      </c>
      <c r="W13" s="126">
        <f t="shared" si="20"/>
        <v>496.99507521675548</v>
      </c>
      <c r="X13" s="126">
        <f t="shared" si="21"/>
        <v>221.14671765500972</v>
      </c>
      <c r="Y13" s="126">
        <f t="shared" si="22"/>
        <v>349.25113164463079</v>
      </c>
      <c r="Z13" s="127">
        <f t="shared" si="23"/>
        <v>221.14671765500972</v>
      </c>
      <c r="AA13" s="128">
        <f t="shared" si="24"/>
        <v>496.99507521675548</v>
      </c>
      <c r="AB13" s="128">
        <f t="shared" si="25"/>
        <v>221.14671765500972</v>
      </c>
      <c r="AC13" s="129">
        <f t="shared" si="26"/>
        <v>349.25113164463079</v>
      </c>
      <c r="AD13" s="128">
        <f t="shared" si="27"/>
        <v>459.64061013026907</v>
      </c>
      <c r="AE13" s="128">
        <f t="shared" si="28"/>
        <v>459.64061013026907</v>
      </c>
      <c r="AF13" s="128">
        <f t="shared" si="29"/>
        <v>328.20160967787149</v>
      </c>
      <c r="AG13" s="129">
        <f t="shared" si="30"/>
        <v>328.20160967787149</v>
      </c>
      <c r="AH13" s="128">
        <f t="shared" si="31"/>
        <v>459.64061013026907</v>
      </c>
      <c r="AI13" s="128">
        <f t="shared" si="32"/>
        <v>459.64061013026907</v>
      </c>
      <c r="AJ13" s="128">
        <f t="shared" si="33"/>
        <v>328.20160967787149</v>
      </c>
      <c r="AK13" s="128">
        <f t="shared" si="34"/>
        <v>328.20160967787149</v>
      </c>
      <c r="AL13" s="127">
        <f>IF($C13="",AH13,IF(AH12&gt;AH13,SUMPRODUCT(AH12:AH13,F12:F13)/SUM(F12:F13),AH13))</f>
        <v>502.68551657107832</v>
      </c>
      <c r="AM13" s="128">
        <f>IF($C13="",AI13,IF(AI12&gt;AI13,SUMPRODUCT(AI12:AI13,G12:G13)/SUM(G12:G13),AI13))</f>
        <v>474.25719950746719</v>
      </c>
      <c r="AN13" s="128">
        <f>IF($C13="",AJ13,IF(AJ12&gt;AJ13,SUMPRODUCT(AJ12:AJ13,H12:H13)/SUM(H12:H13),AJ13))</f>
        <v>328.20160967787149</v>
      </c>
      <c r="AO13" s="129">
        <f>IF($C13="",AK13,IF(AK12&gt;AK13,SUMPRODUCT(AK12:AK13,I12:I13)/SUM(I12:I13),AK13))</f>
        <v>328.20160967787149</v>
      </c>
      <c r="AP13" s="127">
        <f t="shared" si="35"/>
        <v>502.68551657107832</v>
      </c>
      <c r="AQ13" s="128">
        <f t="shared" si="36"/>
        <v>474.25719950746719</v>
      </c>
      <c r="AR13" s="128">
        <f t="shared" si="37"/>
        <v>328.20160967787149</v>
      </c>
      <c r="AS13" s="129">
        <f t="shared" si="38"/>
        <v>328.20160967787149</v>
      </c>
      <c r="AT13" s="18" t="str">
        <f t="shared" si="6"/>
        <v/>
      </c>
      <c r="AU13" s="19" t="str">
        <f t="shared" si="7"/>
        <v/>
      </c>
      <c r="AV13" s="19" t="str">
        <f t="shared" si="39"/>
        <v/>
      </c>
      <c r="AW13" s="19" t="str">
        <f t="shared" si="40"/>
        <v/>
      </c>
      <c r="AX13" s="19" t="str">
        <f t="shared" si="8"/>
        <v/>
      </c>
      <c r="AY13" s="323" t="str">
        <f t="shared" si="9"/>
        <v/>
      </c>
      <c r="AZ13" s="326">
        <f t="shared" si="10"/>
        <v>502.68551657107832</v>
      </c>
      <c r="BA13" s="323">
        <f t="shared" si="41"/>
        <v>474.25719950746719</v>
      </c>
      <c r="BB13" s="323">
        <f t="shared" si="11"/>
        <v>328.20160967787149</v>
      </c>
      <c r="BC13" s="327">
        <f t="shared" si="12"/>
        <v>328.20160967787149</v>
      </c>
      <c r="BD13" s="18" t="str">
        <f t="shared" si="42"/>
        <v/>
      </c>
      <c r="BE13" s="19" t="str">
        <f t="shared" si="43"/>
        <v/>
      </c>
      <c r="BF13" s="19" t="str">
        <f t="shared" si="44"/>
        <v/>
      </c>
      <c r="BG13" s="19" t="str">
        <f t="shared" si="45"/>
        <v/>
      </c>
      <c r="BH13" s="19" t="str">
        <f t="shared" si="46"/>
        <v/>
      </c>
      <c r="BI13" s="20" t="str">
        <f t="shared" si="47"/>
        <v/>
      </c>
      <c r="BJ13" s="744">
        <f t="shared" si="48"/>
        <v>441381.19893637893</v>
      </c>
      <c r="BK13" s="321"/>
    </row>
    <row r="14" spans="1:63">
      <c r="A14" s="74">
        <v>106</v>
      </c>
      <c r="B14" s="89" t="s">
        <v>5</v>
      </c>
      <c r="C14" s="74" t="str">
        <f>$A$14&amp;"&amp;"&amp;$A$15</f>
        <v>106&amp;213</v>
      </c>
      <c r="D14" s="93" t="str">
        <f t="shared" si="13"/>
        <v>A</v>
      </c>
      <c r="E14" s="74">
        <f>IF(ISERROR(VLOOKUP(A14,Mandatory!A:A,1,FALSE)),0,1)</f>
        <v>1</v>
      </c>
      <c r="F14" s="75">
        <f>VLOOKUP(A14,'Front-loading'!A:AG,$F$6,FALSE)</f>
        <v>540</v>
      </c>
      <c r="G14" s="76">
        <f>VLOOKUP(A14,'Front-loading'!A:AG,$G$6,FALSE)</f>
        <v>46307</v>
      </c>
      <c r="H14" s="76">
        <f>VLOOKUP(A14,'Front-loading'!A:AG,$H$6,FALSE)</f>
        <v>879</v>
      </c>
      <c r="I14" s="77">
        <f>VLOOKUP(A14,'Front-loading'!A:AG,$I$6,FALSE)</f>
        <v>53717</v>
      </c>
      <c r="J14" s="75">
        <f>VLOOKUP(A14,'Front-loading'!A:AG,$J$6,FALSE)</f>
        <v>81007.20260314981</v>
      </c>
      <c r="K14" s="76">
        <f>VLOOKUP(A14,'Front-loading'!A:AG,$K$6,FALSE)</f>
        <v>5462283.4982543429</v>
      </c>
      <c r="L14" s="76">
        <f>VLOOKUP(A14,'Front-loading'!A:AG,$L$6,FALSE)</f>
        <v>92208.065648956195</v>
      </c>
      <c r="M14" s="77">
        <f>VLOOKUP(A14,'Front-loading'!A:AG,$M$6,FALSE)</f>
        <v>4516949.425534524</v>
      </c>
      <c r="N14" s="78">
        <f t="shared" si="14"/>
        <v>150.01333815398112</v>
      </c>
      <c r="O14" s="79">
        <f t="shared" si="3"/>
        <v>117.95805166074985</v>
      </c>
      <c r="P14" s="79">
        <f t="shared" si="3"/>
        <v>104.90109857674197</v>
      </c>
      <c r="Q14" s="80">
        <f t="shared" si="3"/>
        <v>84.087894438157832</v>
      </c>
      <c r="R14" s="101">
        <f t="shared" si="15"/>
        <v>150.01333815398112</v>
      </c>
      <c r="S14" s="102">
        <f t="shared" si="16"/>
        <v>117.95805166074985</v>
      </c>
      <c r="T14" s="102">
        <f t="shared" si="17"/>
        <v>104.90109857674197</v>
      </c>
      <c r="U14" s="102">
        <f t="shared" si="18"/>
        <v>84.087894438157832</v>
      </c>
      <c r="V14" s="95">
        <f t="shared" si="19"/>
        <v>150.01333815398112</v>
      </c>
      <c r="W14" s="96">
        <f t="shared" si="20"/>
        <v>117.95805166074985</v>
      </c>
      <c r="X14" s="96">
        <f t="shared" si="21"/>
        <v>104.90109857674197</v>
      </c>
      <c r="Y14" s="96">
        <f t="shared" si="22"/>
        <v>84.087894438157832</v>
      </c>
      <c r="Z14" s="60">
        <f t="shared" si="23"/>
        <v>150.01333815398112</v>
      </c>
      <c r="AA14" s="61">
        <f t="shared" si="24"/>
        <v>117.95805166074985</v>
      </c>
      <c r="AB14" s="61">
        <f t="shared" si="25"/>
        <v>104.90109857674197</v>
      </c>
      <c r="AC14" s="108">
        <f t="shared" si="26"/>
        <v>84.087894438157832</v>
      </c>
      <c r="AD14" s="61">
        <f t="shared" si="27"/>
        <v>150.01333815398112</v>
      </c>
      <c r="AE14" s="61">
        <f t="shared" si="28"/>
        <v>117.95805166074985</v>
      </c>
      <c r="AF14" s="61">
        <f t="shared" si="29"/>
        <v>104.90109857674197</v>
      </c>
      <c r="AG14" s="108">
        <f t="shared" si="30"/>
        <v>84.087894438157832</v>
      </c>
      <c r="AH14" s="61">
        <f t="shared" si="31"/>
        <v>150.01333815398112</v>
      </c>
      <c r="AI14" s="61">
        <f t="shared" si="32"/>
        <v>117.95805166074985</v>
      </c>
      <c r="AJ14" s="61">
        <f t="shared" si="33"/>
        <v>104.90109857674197</v>
      </c>
      <c r="AK14" s="61">
        <f t="shared" si="34"/>
        <v>84.087894438157832</v>
      </c>
      <c r="AL14" s="60">
        <f>IF($C14="",AH14,IF(AH14&gt;AH15,SUMPRODUCT(AH14:AH15,F14:F15)/SUM(F14:F15),AH14))</f>
        <v>150.01333815398112</v>
      </c>
      <c r="AM14" s="61">
        <f>IF($C14="",AI14,IF(AI14&gt;AI15,SUMPRODUCT(AI14:AI15,G14:G15)/SUM(G14:G15),AI14))</f>
        <v>117.93965069497196</v>
      </c>
      <c r="AN14" s="61">
        <f>IF($C14="",AJ14,IF(AJ14&gt;AJ15,SUMPRODUCT(AJ14:AJ15,H14:H15)/SUM(H14:H15),AJ14))</f>
        <v>104.56339001549483</v>
      </c>
      <c r="AO14" s="108">
        <f>IF($C14="",AK14,IF(AK14&gt;AK15,SUMPRODUCT(AK14:AK15,I14:I15)/SUM(I14:I15),AK14))</f>
        <v>84.087187344156931</v>
      </c>
      <c r="AP14" s="60">
        <f t="shared" si="35"/>
        <v>150.01333815398112</v>
      </c>
      <c r="AQ14" s="61">
        <f t="shared" si="36"/>
        <v>117.93965069497196</v>
      </c>
      <c r="AR14" s="61">
        <f t="shared" si="37"/>
        <v>104.56339001549483</v>
      </c>
      <c r="AS14" s="108">
        <f t="shared" si="38"/>
        <v>84.087187344156931</v>
      </c>
      <c r="AT14" s="81" t="str">
        <f t="shared" si="6"/>
        <v/>
      </c>
      <c r="AU14" s="82" t="str">
        <f t="shared" si="7"/>
        <v/>
      </c>
      <c r="AV14" s="82" t="str">
        <f t="shared" si="39"/>
        <v/>
      </c>
      <c r="AW14" s="82" t="str">
        <f t="shared" si="40"/>
        <v/>
      </c>
      <c r="AX14" s="82" t="str">
        <f t="shared" si="8"/>
        <v/>
      </c>
      <c r="AY14" s="324" t="str">
        <f t="shared" si="9"/>
        <v/>
      </c>
      <c r="AZ14" s="328">
        <f t="shared" si="10"/>
        <v>150.01333815398112</v>
      </c>
      <c r="BA14" s="324">
        <f t="shared" si="41"/>
        <v>117.93965069497196</v>
      </c>
      <c r="BB14" s="324">
        <f t="shared" si="11"/>
        <v>104.56339001549483</v>
      </c>
      <c r="BC14" s="329">
        <f t="shared" si="12"/>
        <v>84.087187344156931</v>
      </c>
      <c r="BD14" s="288" t="str">
        <f t="shared" si="42"/>
        <v/>
      </c>
      <c r="BE14" s="289" t="str">
        <f t="shared" si="43"/>
        <v/>
      </c>
      <c r="BF14" s="289" t="str">
        <f t="shared" si="44"/>
        <v/>
      </c>
      <c r="BG14" s="289" t="str">
        <f t="shared" si="45"/>
        <v/>
      </c>
      <c r="BH14" s="289" t="str">
        <f t="shared" si="46"/>
        <v/>
      </c>
      <c r="BI14" s="290" t="str">
        <f t="shared" si="47"/>
        <v/>
      </c>
      <c r="BJ14" s="744">
        <f t="shared" si="48"/>
        <v>10151261.269724915</v>
      </c>
      <c r="BK14" s="321"/>
    </row>
    <row r="15" spans="1:63">
      <c r="A15">
        <v>213</v>
      </c>
      <c r="B15" s="88" t="s">
        <v>455</v>
      </c>
      <c r="C15" s="83" t="str">
        <f>$A$14&amp;"&amp;"&amp;$A$15</f>
        <v>106&amp;213</v>
      </c>
      <c r="D15" s="62" t="str">
        <f t="shared" si="13"/>
        <v>C</v>
      </c>
      <c r="E15">
        <f>IF(ISERROR(VLOOKUP(A15,Mandatory!A:A,1,FALSE)),0,1)</f>
        <v>0</v>
      </c>
      <c r="F15" s="54">
        <f>VLOOKUP(A15,'Front-loading'!A:AG,$F$6,FALSE)</f>
        <v>0</v>
      </c>
      <c r="G15" s="55">
        <f>VLOOKUP(A15,'Front-loading'!A:AG,$G$6,FALSE)</f>
        <v>24</v>
      </c>
      <c r="H15" s="55">
        <f>VLOOKUP(A15,'Front-loading'!A:AG,$H$6,FALSE)</f>
        <v>23</v>
      </c>
      <c r="I15" s="56">
        <f>VLOOKUP(A15,'Front-loading'!A:AG,$I$6,FALSE)</f>
        <v>23</v>
      </c>
      <c r="J15" s="54">
        <f>VLOOKUP(A15,'Front-loading'!A:AG,$J$6,FALSE)</f>
        <v>0</v>
      </c>
      <c r="K15" s="55">
        <f>VLOOKUP(A15,'Front-loading'!A:AG,$K$6,FALSE)</f>
        <v>2205.3868434419828</v>
      </c>
      <c r="L15" s="55">
        <f>VLOOKUP(A15,'Front-loading'!A:AG,$L$6,FALSE)</f>
        <v>2108.112145020144</v>
      </c>
      <c r="M15" s="56">
        <f>VLOOKUP(A15,'Front-loading'!A:AG,$M$6,FALSE)</f>
        <v>1669.093591430438</v>
      </c>
      <c r="N15" s="15">
        <f t="shared" si="14"/>
        <v>0</v>
      </c>
      <c r="O15" s="11">
        <f t="shared" si="3"/>
        <v>91.891118476749284</v>
      </c>
      <c r="P15" s="11">
        <f t="shared" si="3"/>
        <v>91.657049783484524</v>
      </c>
      <c r="Q15" s="12">
        <f t="shared" si="3"/>
        <v>72.569286583932083</v>
      </c>
      <c r="R15" s="99">
        <f t="shared" si="15"/>
        <v>91.657049783484524</v>
      </c>
      <c r="S15" s="100">
        <f t="shared" si="16"/>
        <v>82.435753933455771</v>
      </c>
      <c r="T15" s="100">
        <f t="shared" si="17"/>
        <v>91.657049783484524</v>
      </c>
      <c r="U15" s="100">
        <f t="shared" si="18"/>
        <v>82.435753933455771</v>
      </c>
      <c r="V15" s="125">
        <f t="shared" si="19"/>
        <v>91.657049783484524</v>
      </c>
      <c r="W15" s="126">
        <f t="shared" si="20"/>
        <v>82.435753933455771</v>
      </c>
      <c r="X15" s="126">
        <f t="shared" si="21"/>
        <v>91.657049783484524</v>
      </c>
      <c r="Y15" s="126">
        <f t="shared" si="22"/>
        <v>82.435753933455771</v>
      </c>
      <c r="Z15" s="127">
        <f t="shared" si="23"/>
        <v>91.657049783484524</v>
      </c>
      <c r="AA15" s="128">
        <f t="shared" si="24"/>
        <v>82.435753933455771</v>
      </c>
      <c r="AB15" s="128">
        <f t="shared" si="25"/>
        <v>91.657049783484524</v>
      </c>
      <c r="AC15" s="129">
        <f t="shared" si="26"/>
        <v>82.435753933455771</v>
      </c>
      <c r="AD15" s="128">
        <f t="shared" si="27"/>
        <v>91.657049783484524</v>
      </c>
      <c r="AE15" s="128">
        <f t="shared" si="28"/>
        <v>82.435753933455771</v>
      </c>
      <c r="AF15" s="128">
        <f t="shared" si="29"/>
        <v>91.657049783484524</v>
      </c>
      <c r="AG15" s="129">
        <f t="shared" si="30"/>
        <v>82.435753933455771</v>
      </c>
      <c r="AH15" s="128">
        <f t="shared" si="31"/>
        <v>91.657049783484524</v>
      </c>
      <c r="AI15" s="128">
        <f t="shared" si="32"/>
        <v>82.435753933455771</v>
      </c>
      <c r="AJ15" s="128">
        <f t="shared" si="33"/>
        <v>91.657049783484524</v>
      </c>
      <c r="AK15" s="128">
        <f t="shared" si="34"/>
        <v>82.435753933455771</v>
      </c>
      <c r="AL15" s="127">
        <f>IF($C15="",AH15,IF(AH14&gt;AH15,SUMPRODUCT(AH14:AH15,F14:F15)/SUM(F14:F15),AH15))</f>
        <v>150.01333815398112</v>
      </c>
      <c r="AM15" s="128">
        <f>IF($C15="",AI15,IF(AI14&gt;AI15,SUMPRODUCT(AI14:AI15,G14:G15)/SUM(G14:G15),AI15))</f>
        <v>117.93965069497196</v>
      </c>
      <c r="AN15" s="128">
        <f>IF($C15="",AJ15,IF(AJ14&gt;AJ15,SUMPRODUCT(AJ14:AJ15,H14:H15)/SUM(H14:H15),AJ15))</f>
        <v>104.56339001549483</v>
      </c>
      <c r="AO15" s="129">
        <f>IF($C15="",AK15,IF(AK14&gt;AK15,SUMPRODUCT(AK14:AK15,I14:I15)/SUM(I14:I15),AK15))</f>
        <v>84.087187344156931</v>
      </c>
      <c r="AP15" s="127">
        <f t="shared" si="35"/>
        <v>150.01333815398112</v>
      </c>
      <c r="AQ15" s="128">
        <f t="shared" si="36"/>
        <v>117.93965069497196</v>
      </c>
      <c r="AR15" s="128">
        <f t="shared" si="37"/>
        <v>104.56339001549483</v>
      </c>
      <c r="AS15" s="129">
        <f t="shared" si="38"/>
        <v>84.087187344156931</v>
      </c>
      <c r="AT15" s="18" t="str">
        <f t="shared" si="6"/>
        <v/>
      </c>
      <c r="AU15" s="19" t="str">
        <f t="shared" si="7"/>
        <v/>
      </c>
      <c r="AV15" s="19" t="str">
        <f t="shared" si="39"/>
        <v/>
      </c>
      <c r="AW15" s="19" t="str">
        <f t="shared" si="40"/>
        <v/>
      </c>
      <c r="AX15" s="19" t="str">
        <f t="shared" si="8"/>
        <v/>
      </c>
      <c r="AY15" s="323" t="str">
        <f t="shared" si="9"/>
        <v/>
      </c>
      <c r="AZ15" s="326">
        <f t="shared" si="10"/>
        <v>150.01333815398112</v>
      </c>
      <c r="BA15" s="323">
        <f t="shared" si="41"/>
        <v>117.93965069497196</v>
      </c>
      <c r="BB15" s="323">
        <f t="shared" si="11"/>
        <v>104.56339001549483</v>
      </c>
      <c r="BC15" s="327">
        <f t="shared" si="12"/>
        <v>84.087187344156931</v>
      </c>
      <c r="BD15" s="18" t="str">
        <f t="shared" si="42"/>
        <v/>
      </c>
      <c r="BE15" s="19" t="str">
        <f t="shared" si="43"/>
        <v/>
      </c>
      <c r="BF15" s="19" t="str">
        <f t="shared" si="44"/>
        <v/>
      </c>
      <c r="BG15" s="19" t="str">
        <f t="shared" si="45"/>
        <v/>
      </c>
      <c r="BH15" s="19" t="str">
        <f t="shared" si="46"/>
        <v/>
      </c>
      <c r="BI15" s="20" t="str">
        <f t="shared" si="47"/>
        <v/>
      </c>
      <c r="BJ15" s="744">
        <f t="shared" si="48"/>
        <v>7169.5148959513172</v>
      </c>
      <c r="BK15" s="321"/>
    </row>
    <row r="16" spans="1:63">
      <c r="A16" s="74">
        <v>110</v>
      </c>
      <c r="B16" s="89" t="s">
        <v>7</v>
      </c>
      <c r="C16" s="74" t="str">
        <f>$A$16&amp;"&amp;"&amp;$A$17</f>
        <v>110&amp;214</v>
      </c>
      <c r="D16" s="93" t="str">
        <f t="shared" si="13"/>
        <v>A</v>
      </c>
      <c r="E16" s="74">
        <f>IF(ISERROR(VLOOKUP(A16,Mandatory!A:A,1,FALSE)),0,1)</f>
        <v>1</v>
      </c>
      <c r="F16" s="75">
        <f>VLOOKUP(A16,'Front-loading'!A:AG,$F$6,FALSE)</f>
        <v>37608</v>
      </c>
      <c r="G16" s="76">
        <f>VLOOKUP(A16,'Front-loading'!A:AG,$G$6,FALSE)</f>
        <v>2068047</v>
      </c>
      <c r="H16" s="76">
        <f>VLOOKUP(A16,'Front-loading'!A:AG,$H$6,FALSE)</f>
        <v>70215</v>
      </c>
      <c r="I16" s="77">
        <f>VLOOKUP(A16,'Front-loading'!A:AG,$I$6,FALSE)</f>
        <v>3834515</v>
      </c>
      <c r="J16" s="75">
        <f>VLOOKUP(A16,'Front-loading'!A:AG,$J$6,FALSE)</f>
        <v>5123942.6816966282</v>
      </c>
      <c r="K16" s="76">
        <f>VLOOKUP(A16,'Front-loading'!A:AG,$K$6,FALSE)</f>
        <v>278390760.07306975</v>
      </c>
      <c r="L16" s="76">
        <f>VLOOKUP(A16,'Front-loading'!A:AG,$L$6,FALSE)</f>
        <v>6237752.2125538327</v>
      </c>
      <c r="M16" s="77">
        <f>VLOOKUP(A16,'Front-loading'!A:AG,$M$6,FALSE)</f>
        <v>304039041.04202217</v>
      </c>
      <c r="N16" s="78">
        <f t="shared" si="14"/>
        <v>136.24608279346489</v>
      </c>
      <c r="O16" s="79">
        <f t="shared" si="3"/>
        <v>134.61529649619652</v>
      </c>
      <c r="P16" s="79">
        <f t="shared" si="3"/>
        <v>88.837886670281748</v>
      </c>
      <c r="Q16" s="80">
        <f t="shared" si="3"/>
        <v>79.29009041352613</v>
      </c>
      <c r="R16" s="101">
        <f t="shared" si="15"/>
        <v>136.24608279346489</v>
      </c>
      <c r="S16" s="102">
        <f t="shared" si="16"/>
        <v>134.61529649619652</v>
      </c>
      <c r="T16" s="102">
        <f t="shared" si="17"/>
        <v>88.837886670281748</v>
      </c>
      <c r="U16" s="102">
        <f t="shared" si="18"/>
        <v>79.29009041352613</v>
      </c>
      <c r="V16" s="95">
        <f t="shared" si="19"/>
        <v>136.24608279346489</v>
      </c>
      <c r="W16" s="96">
        <f t="shared" si="20"/>
        <v>134.61529649619652</v>
      </c>
      <c r="X16" s="96">
        <f t="shared" si="21"/>
        <v>88.837886670281748</v>
      </c>
      <c r="Y16" s="96">
        <f t="shared" si="22"/>
        <v>79.29009041352613</v>
      </c>
      <c r="Z16" s="60">
        <f t="shared" si="23"/>
        <v>136.24608279346489</v>
      </c>
      <c r="AA16" s="61">
        <f t="shared" si="24"/>
        <v>134.61529649619652</v>
      </c>
      <c r="AB16" s="61">
        <f t="shared" si="25"/>
        <v>88.837886670281748</v>
      </c>
      <c r="AC16" s="108">
        <f t="shared" si="26"/>
        <v>79.29009041352613</v>
      </c>
      <c r="AD16" s="61">
        <f t="shared" si="27"/>
        <v>136.24608279346489</v>
      </c>
      <c r="AE16" s="61">
        <f t="shared" si="28"/>
        <v>134.61529649619652</v>
      </c>
      <c r="AF16" s="61">
        <f t="shared" si="29"/>
        <v>88.837886670281748</v>
      </c>
      <c r="AG16" s="108">
        <f t="shared" si="30"/>
        <v>79.29009041352613</v>
      </c>
      <c r="AH16" s="61">
        <f t="shared" si="31"/>
        <v>136.24608279346489</v>
      </c>
      <c r="AI16" s="61">
        <f t="shared" si="32"/>
        <v>134.61529649619652</v>
      </c>
      <c r="AJ16" s="61">
        <f t="shared" si="33"/>
        <v>88.837886670281748</v>
      </c>
      <c r="AK16" s="61">
        <f t="shared" si="34"/>
        <v>79.29009041352613</v>
      </c>
      <c r="AL16" s="60">
        <f>IF($C16="",AH16,IF(AH16&gt;AH17,SUMPRODUCT(AH16:AH17,F16:F17)/SUM(F16:F17),AH16))</f>
        <v>136.24608279346489</v>
      </c>
      <c r="AM16" s="61">
        <f>IF($C16="",AI16,IF(AI16&gt;AI17,SUMPRODUCT(AI16:AI17,G16:G17)/SUM(G16:G17),AI16))</f>
        <v>134.61529649619652</v>
      </c>
      <c r="AN16" s="61">
        <f>IF($C16="",AJ16,IF(AJ16&gt;AJ17,SUMPRODUCT(AJ16:AJ17,H16:H17)/SUM(H16:H17),AJ16))</f>
        <v>88.837886670281748</v>
      </c>
      <c r="AO16" s="108">
        <f>IF($C16="",AK16,IF(AK16&gt;AK17,SUMPRODUCT(AK16:AK17,I16:I17)/SUM(I16:I17),AK16))</f>
        <v>79.29009041352613</v>
      </c>
      <c r="AP16" s="60">
        <f t="shared" si="35"/>
        <v>136.24608279346489</v>
      </c>
      <c r="AQ16" s="61">
        <f t="shared" si="36"/>
        <v>134.61529649619652</v>
      </c>
      <c r="AR16" s="61">
        <f t="shared" si="37"/>
        <v>88.837886670281748</v>
      </c>
      <c r="AS16" s="108">
        <f t="shared" si="38"/>
        <v>79.29009041352613</v>
      </c>
      <c r="AT16" s="81" t="str">
        <f>IF(AP16&lt;AR16,AP16,"")</f>
        <v/>
      </c>
      <c r="AU16" s="82" t="str">
        <f t="shared" si="7"/>
        <v/>
      </c>
      <c r="AV16" s="82" t="str">
        <f t="shared" si="39"/>
        <v/>
      </c>
      <c r="AW16" s="82" t="str">
        <f t="shared" si="40"/>
        <v/>
      </c>
      <c r="AX16" s="82" t="str">
        <f t="shared" si="8"/>
        <v/>
      </c>
      <c r="AY16" s="324" t="str">
        <f t="shared" si="9"/>
        <v/>
      </c>
      <c r="AZ16" s="328">
        <f t="shared" si="10"/>
        <v>136.24608279346489</v>
      </c>
      <c r="BA16" s="324">
        <f t="shared" si="41"/>
        <v>134.61529649619652</v>
      </c>
      <c r="BB16" s="324">
        <f t="shared" si="11"/>
        <v>88.837886670281748</v>
      </c>
      <c r="BC16" s="329">
        <f t="shared" si="12"/>
        <v>79.29009041352613</v>
      </c>
      <c r="BD16" s="288" t="str">
        <f t="shared" si="42"/>
        <v/>
      </c>
      <c r="BE16" s="289" t="str">
        <f t="shared" si="43"/>
        <v/>
      </c>
      <c r="BF16" s="289" t="str">
        <f t="shared" si="44"/>
        <v/>
      </c>
      <c r="BG16" s="289" t="str">
        <f t="shared" si="45"/>
        <v/>
      </c>
      <c r="BH16" s="289" t="str">
        <f t="shared" si="46"/>
        <v/>
      </c>
      <c r="BI16" s="290" t="str">
        <f t="shared" si="47"/>
        <v/>
      </c>
      <c r="BJ16" s="744">
        <f t="shared" si="48"/>
        <v>593791496.00934243</v>
      </c>
      <c r="BK16" s="321"/>
    </row>
    <row r="17" spans="1:63">
      <c r="A17">
        <v>214</v>
      </c>
      <c r="B17" s="88" t="s">
        <v>456</v>
      </c>
      <c r="C17" s="83" t="str">
        <f>$A$16&amp;"&amp;"&amp;$A$17</f>
        <v>110&amp;214</v>
      </c>
      <c r="D17" s="62" t="str">
        <f t="shared" si="13"/>
        <v>C</v>
      </c>
      <c r="E17">
        <f>IF(ISERROR(VLOOKUP(A17,Mandatory!A:A,1,FALSE)),0,1)</f>
        <v>1</v>
      </c>
      <c r="F17" s="54">
        <f>VLOOKUP(A17,'Front-loading'!A:AG,$F$6,FALSE)</f>
        <v>3073</v>
      </c>
      <c r="G17" s="55">
        <f>VLOOKUP(A17,'Front-loading'!A:AG,$G$6,FALSE)</f>
        <v>67978</v>
      </c>
      <c r="H17" s="55">
        <f>VLOOKUP(A17,'Front-loading'!A:AG,$H$6,FALSE)</f>
        <v>6819</v>
      </c>
      <c r="I17" s="56">
        <f>VLOOKUP(A17,'Front-loading'!A:AG,$I$6,FALSE)</f>
        <v>109806</v>
      </c>
      <c r="J17" s="54">
        <f>VLOOKUP(A17,'Front-loading'!A:AG,$J$6,FALSE)</f>
        <v>447340.30378226849</v>
      </c>
      <c r="K17" s="55">
        <f>VLOOKUP(A17,'Front-loading'!A:AG,$K$6,FALSE)</f>
        <v>10322306.18887799</v>
      </c>
      <c r="L17" s="55">
        <f>VLOOKUP(A17,'Front-loading'!A:AG,$L$6,FALSE)</f>
        <v>773842.89893407561</v>
      </c>
      <c r="M17" s="56">
        <f>VLOOKUP(A17,'Front-loading'!A:AG,$M$6,FALSE)</f>
        <v>10688761.305032182</v>
      </c>
      <c r="N17" s="15">
        <f t="shared" si="14"/>
        <v>145.57120201180231</v>
      </c>
      <c r="O17" s="11">
        <f t="shared" si="3"/>
        <v>151.84774763714717</v>
      </c>
      <c r="P17" s="11">
        <f t="shared" si="3"/>
        <v>113.48334050946995</v>
      </c>
      <c r="Q17" s="12">
        <f t="shared" si="3"/>
        <v>97.342233621406692</v>
      </c>
      <c r="R17" s="99">
        <f t="shared" si="15"/>
        <v>145.57120201180231</v>
      </c>
      <c r="S17" s="100">
        <f t="shared" si="16"/>
        <v>151.84774763714717</v>
      </c>
      <c r="T17" s="100">
        <f t="shared" si="17"/>
        <v>113.48334050946995</v>
      </c>
      <c r="U17" s="100">
        <f t="shared" si="18"/>
        <v>97.342233621406692</v>
      </c>
      <c r="V17" s="125">
        <f t="shared" si="19"/>
        <v>145.57120201180231</v>
      </c>
      <c r="W17" s="126">
        <f t="shared" si="20"/>
        <v>151.84774763714717</v>
      </c>
      <c r="X17" s="126">
        <f t="shared" si="21"/>
        <v>113.48334050946995</v>
      </c>
      <c r="Y17" s="126">
        <f t="shared" si="22"/>
        <v>97.342233621406692</v>
      </c>
      <c r="Z17" s="127">
        <f t="shared" si="23"/>
        <v>145.57120201180231</v>
      </c>
      <c r="AA17" s="128">
        <f t="shared" si="24"/>
        <v>151.84774763714717</v>
      </c>
      <c r="AB17" s="128">
        <f t="shared" si="25"/>
        <v>113.48334050946995</v>
      </c>
      <c r="AC17" s="129">
        <f t="shared" si="26"/>
        <v>97.342233621406692</v>
      </c>
      <c r="AD17" s="128">
        <f t="shared" si="27"/>
        <v>151.57628312986813</v>
      </c>
      <c r="AE17" s="128">
        <f t="shared" si="28"/>
        <v>151.57628312986813</v>
      </c>
      <c r="AF17" s="128">
        <f t="shared" si="29"/>
        <v>113.48334050946995</v>
      </c>
      <c r="AG17" s="129">
        <f t="shared" si="30"/>
        <v>97.342233621406692</v>
      </c>
      <c r="AH17" s="128">
        <f t="shared" si="31"/>
        <v>151.57628312986813</v>
      </c>
      <c r="AI17" s="128">
        <f t="shared" si="32"/>
        <v>151.57628312986813</v>
      </c>
      <c r="AJ17" s="128">
        <f t="shared" si="33"/>
        <v>113.48334050946995</v>
      </c>
      <c r="AK17" s="128">
        <f t="shared" si="34"/>
        <v>97.342233621406692</v>
      </c>
      <c r="AL17" s="127">
        <f>IF($C17="",AH17,IF(AH16&gt;AH17,SUMPRODUCT(AH16:AH17,F16:F17)/SUM(F16:F17),AH17))</f>
        <v>151.57628312986813</v>
      </c>
      <c r="AM17" s="128">
        <f>IF($C17="",AI17,IF(AI16&gt;AI17,SUMPRODUCT(AI16:AI17,G16:G17)/SUM(G16:G17),AI17))</f>
        <v>151.57628312986813</v>
      </c>
      <c r="AN17" s="128">
        <f>IF($C17="",AJ17,IF(AJ16&gt;AJ17,SUMPRODUCT(AJ16:AJ17,H16:H17)/SUM(H16:H17),AJ17))</f>
        <v>113.48334050946995</v>
      </c>
      <c r="AO17" s="129">
        <f>IF($C17="",AK17,IF(AK16&gt;AK17,SUMPRODUCT(AK16:AK17,I16:I17)/SUM(I16:I17),AK17))</f>
        <v>97.342233621406692</v>
      </c>
      <c r="AP17" s="127">
        <f t="shared" si="35"/>
        <v>151.57628312986813</v>
      </c>
      <c r="AQ17" s="128">
        <f t="shared" si="36"/>
        <v>151.57628312986813</v>
      </c>
      <c r="AR17" s="128">
        <f t="shared" si="37"/>
        <v>113.48334050946995</v>
      </c>
      <c r="AS17" s="129">
        <f t="shared" si="38"/>
        <v>97.342233621406692</v>
      </c>
      <c r="AT17" s="18" t="str">
        <f t="shared" si="6"/>
        <v/>
      </c>
      <c r="AU17" s="19" t="str">
        <f t="shared" si="7"/>
        <v/>
      </c>
      <c r="AV17" s="19" t="str">
        <f t="shared" si="39"/>
        <v/>
      </c>
      <c r="AW17" s="19" t="str">
        <f t="shared" si="40"/>
        <v/>
      </c>
      <c r="AX17" s="19" t="str">
        <f t="shared" si="8"/>
        <v/>
      </c>
      <c r="AY17" s="323" t="str">
        <f t="shared" si="9"/>
        <v/>
      </c>
      <c r="AZ17" s="326">
        <f t="shared" si="10"/>
        <v>151.57628312986813</v>
      </c>
      <c r="BA17" s="323">
        <f t="shared" si="41"/>
        <v>151.57628312986813</v>
      </c>
      <c r="BB17" s="323">
        <f t="shared" si="11"/>
        <v>113.48334050946995</v>
      </c>
      <c r="BC17" s="327">
        <f t="shared" si="12"/>
        <v>97.342233621406692</v>
      </c>
      <c r="BD17" s="18" t="str">
        <f t="shared" si="42"/>
        <v/>
      </c>
      <c r="BE17" s="19" t="str">
        <f t="shared" si="43"/>
        <v/>
      </c>
      <c r="BF17" s="19" t="str">
        <f t="shared" si="44"/>
        <v/>
      </c>
      <c r="BG17" s="19" t="str">
        <f t="shared" si="45"/>
        <v/>
      </c>
      <c r="BH17" s="19" t="str">
        <f t="shared" si="46"/>
        <v/>
      </c>
      <c r="BI17" s="20" t="str">
        <f t="shared" si="47"/>
        <v/>
      </c>
      <c r="BJ17" s="744">
        <f t="shared" si="48"/>
        <v>22232250.696626518</v>
      </c>
      <c r="BK17" s="321"/>
    </row>
    <row r="18" spans="1:63">
      <c r="A18" s="74">
        <v>120</v>
      </c>
      <c r="B18" s="89" t="s">
        <v>8</v>
      </c>
      <c r="C18" s="74" t="str">
        <f>$A$18&amp;"&amp;"&amp;$A$19</f>
        <v>120&amp;215</v>
      </c>
      <c r="D18" s="93" t="str">
        <f t="shared" si="13"/>
        <v>A</v>
      </c>
      <c r="E18" s="74">
        <f>IF(ISERROR(VLOOKUP(A18,Mandatory!A:A,1,FALSE)),0,1)</f>
        <v>1</v>
      </c>
      <c r="F18" s="75">
        <f>VLOOKUP(A18,'Front-loading'!A:AG,$F$6,FALSE)</f>
        <v>7813</v>
      </c>
      <c r="G18" s="76">
        <f>VLOOKUP(A18,'Front-loading'!A:AG,$G$6,FALSE)</f>
        <v>619482</v>
      </c>
      <c r="H18" s="76">
        <f>VLOOKUP(A18,'Front-loading'!A:AG,$H$6,FALSE)</f>
        <v>17865</v>
      </c>
      <c r="I18" s="77">
        <f>VLOOKUP(A18,'Front-loading'!A:AG,$I$6,FALSE)</f>
        <v>926757</v>
      </c>
      <c r="J18" s="75">
        <f>VLOOKUP(A18,'Front-loading'!A:AG,$J$6,FALSE)</f>
        <v>1404801.2373559303</v>
      </c>
      <c r="K18" s="76">
        <f>VLOOKUP(A18,'Front-loading'!A:AG,$K$6,FALSE)</f>
        <v>69426583.138898</v>
      </c>
      <c r="L18" s="76">
        <f>VLOOKUP(A18,'Front-loading'!A:AG,$L$6,FALSE)</f>
        <v>1704340.27887597</v>
      </c>
      <c r="M18" s="77">
        <f>VLOOKUP(A18,'Front-loading'!A:AG,$M$6,FALSE)</f>
        <v>63903523.742520161</v>
      </c>
      <c r="N18" s="78">
        <f t="shared" si="14"/>
        <v>179.80305098629594</v>
      </c>
      <c r="O18" s="79">
        <f t="shared" si="3"/>
        <v>112.0719942450273</v>
      </c>
      <c r="P18" s="79">
        <f t="shared" si="3"/>
        <v>95.401079142231737</v>
      </c>
      <c r="Q18" s="80">
        <f t="shared" si="3"/>
        <v>68.953915365646182</v>
      </c>
      <c r="R18" s="101">
        <f t="shared" si="15"/>
        <v>179.80305098629594</v>
      </c>
      <c r="S18" s="102">
        <f t="shared" si="16"/>
        <v>112.0719942450273</v>
      </c>
      <c r="T18" s="102">
        <f t="shared" si="17"/>
        <v>95.401079142231737</v>
      </c>
      <c r="U18" s="102">
        <f t="shared" si="18"/>
        <v>68.953915365646182</v>
      </c>
      <c r="V18" s="95">
        <f t="shared" si="19"/>
        <v>179.80305098629594</v>
      </c>
      <c r="W18" s="96">
        <f t="shared" si="20"/>
        <v>112.0719942450273</v>
      </c>
      <c r="X18" s="96">
        <f t="shared" si="21"/>
        <v>95.401079142231737</v>
      </c>
      <c r="Y18" s="96">
        <f t="shared" si="22"/>
        <v>68.953915365646182</v>
      </c>
      <c r="Z18" s="60">
        <f t="shared" si="23"/>
        <v>179.80305098629594</v>
      </c>
      <c r="AA18" s="61">
        <f t="shared" si="24"/>
        <v>112.0719942450273</v>
      </c>
      <c r="AB18" s="61">
        <f t="shared" si="25"/>
        <v>95.401079142231737</v>
      </c>
      <c r="AC18" s="108">
        <f t="shared" si="26"/>
        <v>68.953915365646182</v>
      </c>
      <c r="AD18" s="61">
        <f t="shared" si="27"/>
        <v>179.80305098629594</v>
      </c>
      <c r="AE18" s="61">
        <f t="shared" si="28"/>
        <v>112.0719942450273</v>
      </c>
      <c r="AF18" s="61">
        <f t="shared" si="29"/>
        <v>95.401079142231737</v>
      </c>
      <c r="AG18" s="108">
        <f t="shared" si="30"/>
        <v>68.953915365646182</v>
      </c>
      <c r="AH18" s="61">
        <f t="shared" si="31"/>
        <v>179.80305098629594</v>
      </c>
      <c r="AI18" s="61">
        <f t="shared" si="32"/>
        <v>112.0719942450273</v>
      </c>
      <c r="AJ18" s="61">
        <f t="shared" si="33"/>
        <v>95.401079142231737</v>
      </c>
      <c r="AK18" s="61">
        <f t="shared" si="34"/>
        <v>68.953915365646182</v>
      </c>
      <c r="AL18" s="60">
        <f>IF($C18="",AH18,IF(AH18&gt;AH19,SUMPRODUCT(AH18:AH19,F18:F19)/SUM(F18:F19),AH18))</f>
        <v>174.00589034817429</v>
      </c>
      <c r="AM18" s="61">
        <f>IF($C18="",AI18,IF(AI18&gt;AI19,SUMPRODUCT(AI18:AI19,G18:G19)/SUM(G18:G19),AI18))</f>
        <v>111.44240349644132</v>
      </c>
      <c r="AN18" s="61">
        <f>IF($C18="",AJ18,IF(AJ18&gt;AJ19,SUMPRODUCT(AJ18:AJ19,H18:H19)/SUM(H18:H19),AJ18))</f>
        <v>95.261813096181754</v>
      </c>
      <c r="AO18" s="108">
        <f>IF($C18="",AK18,IF(AK18&gt;AK19,SUMPRODUCT(AK18:AK19,I18:I19)/SUM(I18:I19),AK18))</f>
        <v>68.717022297568917</v>
      </c>
      <c r="AP18" s="60">
        <f t="shared" si="35"/>
        <v>174.00589034817429</v>
      </c>
      <c r="AQ18" s="61">
        <f t="shared" si="36"/>
        <v>111.44240349644132</v>
      </c>
      <c r="AR18" s="61">
        <f t="shared" si="37"/>
        <v>95.261813096181754</v>
      </c>
      <c r="AS18" s="108">
        <f t="shared" si="38"/>
        <v>68.717022297568917</v>
      </c>
      <c r="AT18" s="81" t="str">
        <f t="shared" si="6"/>
        <v/>
      </c>
      <c r="AU18" s="82" t="str">
        <f t="shared" si="7"/>
        <v/>
      </c>
      <c r="AV18" s="82" t="str">
        <f t="shared" si="39"/>
        <v/>
      </c>
      <c r="AW18" s="82" t="str">
        <f t="shared" si="40"/>
        <v/>
      </c>
      <c r="AX18" s="82" t="str">
        <f t="shared" si="8"/>
        <v/>
      </c>
      <c r="AY18" s="324" t="str">
        <f t="shared" si="9"/>
        <v/>
      </c>
      <c r="AZ18" s="328">
        <f t="shared" si="10"/>
        <v>174.00589034817429</v>
      </c>
      <c r="BA18" s="324">
        <f t="shared" si="41"/>
        <v>111.44240349644132</v>
      </c>
      <c r="BB18" s="324">
        <f t="shared" si="11"/>
        <v>95.261813096181754</v>
      </c>
      <c r="BC18" s="329">
        <f t="shared" si="12"/>
        <v>68.717022297568917</v>
      </c>
      <c r="BD18" s="288" t="str">
        <f t="shared" si="42"/>
        <v/>
      </c>
      <c r="BE18" s="289" t="str">
        <f t="shared" si="43"/>
        <v/>
      </c>
      <c r="BF18" s="289" t="str">
        <f t="shared" si="44"/>
        <v/>
      </c>
      <c r="BG18" s="289" t="str">
        <f t="shared" si="45"/>
        <v/>
      </c>
      <c r="BH18" s="289" t="str">
        <f t="shared" si="46"/>
        <v/>
      </c>
      <c r="BI18" s="290" t="str">
        <f t="shared" si="47"/>
        <v/>
      </c>
      <c r="BJ18" s="744">
        <f t="shared" si="48"/>
        <v>135781904.74846411</v>
      </c>
      <c r="BK18" s="321"/>
    </row>
    <row r="19" spans="1:63">
      <c r="A19">
        <v>215</v>
      </c>
      <c r="B19" s="88" t="s">
        <v>457</v>
      </c>
      <c r="C19" t="str">
        <f>$A$18&amp;"&amp;"&amp;$A$19</f>
        <v>120&amp;215</v>
      </c>
      <c r="D19" s="62" t="str">
        <f t="shared" si="13"/>
        <v>C</v>
      </c>
      <c r="E19">
        <f>IF(ISERROR(VLOOKUP(A19,Mandatory!A:A,1,FALSE)),0,1)</f>
        <v>1</v>
      </c>
      <c r="F19" s="54">
        <f>VLOOKUP(A19,'Front-loading'!A:AG,$F$6,FALSE)</f>
        <v>2086</v>
      </c>
      <c r="G19" s="55">
        <f>VLOOKUP(A19,'Front-loading'!A:AG,$G$6,FALSE)</f>
        <v>31648</v>
      </c>
      <c r="H19" s="55">
        <f>VLOOKUP(A19,'Front-loading'!A:AG,$H$6,FALSE)</f>
        <v>3389</v>
      </c>
      <c r="I19" s="56">
        <f>VLOOKUP(A19,'Front-loading'!A:AG,$I$6,FALSE)</f>
        <v>49838</v>
      </c>
      <c r="J19" s="54">
        <f>VLOOKUP(A19,'Front-loading'!A:AG,$J$6,FALSE)</f>
        <v>317683.07120064704</v>
      </c>
      <c r="K19" s="55">
        <f>VLOOKUP(A19,'Front-loading'!A:AG,$K$6,FALSE)</f>
        <v>3136909.0497398372</v>
      </c>
      <c r="L19" s="55">
        <f>VLOOKUP(A19,'Front-loading'!A:AG,$L$6,FALSE)</f>
        <v>320354.29667027702</v>
      </c>
      <c r="M19" s="56">
        <f>VLOOKUP(A19,'Front-loading'!A:AG,$M$6,FALSE)</f>
        <v>3205176.6481741508</v>
      </c>
      <c r="N19" s="15">
        <f t="shared" si="14"/>
        <v>152.2929392141165</v>
      </c>
      <c r="O19" s="11">
        <f t="shared" si="3"/>
        <v>99.118713654570186</v>
      </c>
      <c r="P19" s="11">
        <f t="shared" si="3"/>
        <v>94.527676798547361</v>
      </c>
      <c r="Q19" s="12">
        <f t="shared" si="3"/>
        <v>64.311903530923203</v>
      </c>
      <c r="R19" s="99">
        <f t="shared" si="15"/>
        <v>152.2929392141165</v>
      </c>
      <c r="S19" s="100">
        <f t="shared" si="16"/>
        <v>99.118713654570186</v>
      </c>
      <c r="T19" s="100">
        <f t="shared" si="17"/>
        <v>94.527676798547361</v>
      </c>
      <c r="U19" s="100">
        <f t="shared" si="18"/>
        <v>64.311903530923203</v>
      </c>
      <c r="V19" s="125">
        <f t="shared" si="19"/>
        <v>152.2929392141165</v>
      </c>
      <c r="W19" s="126">
        <f t="shared" si="20"/>
        <v>99.118713654570186</v>
      </c>
      <c r="X19" s="126">
        <f t="shared" si="21"/>
        <v>94.527676798547361</v>
      </c>
      <c r="Y19" s="126">
        <f t="shared" si="22"/>
        <v>64.311903530923203</v>
      </c>
      <c r="Z19" s="127">
        <f t="shared" si="23"/>
        <v>152.2929392141165</v>
      </c>
      <c r="AA19" s="128">
        <f t="shared" si="24"/>
        <v>99.118713654570186</v>
      </c>
      <c r="AB19" s="128">
        <f t="shared" si="25"/>
        <v>94.527676798547361</v>
      </c>
      <c r="AC19" s="129">
        <f t="shared" si="26"/>
        <v>64.311903530923203</v>
      </c>
      <c r="AD19" s="128">
        <f t="shared" si="27"/>
        <v>152.2929392141165</v>
      </c>
      <c r="AE19" s="128">
        <f t="shared" si="28"/>
        <v>99.118713654570186</v>
      </c>
      <c r="AF19" s="128">
        <f t="shared" si="29"/>
        <v>94.527676798547361</v>
      </c>
      <c r="AG19" s="129">
        <f t="shared" si="30"/>
        <v>64.311903530923203</v>
      </c>
      <c r="AH19" s="128">
        <f t="shared" si="31"/>
        <v>152.2929392141165</v>
      </c>
      <c r="AI19" s="128">
        <f t="shared" si="32"/>
        <v>99.118713654570186</v>
      </c>
      <c r="AJ19" s="128">
        <f t="shared" si="33"/>
        <v>94.527676798547361</v>
      </c>
      <c r="AK19" s="128">
        <f t="shared" si="34"/>
        <v>64.311903530923203</v>
      </c>
      <c r="AL19" s="127">
        <f>IF($C19="",AH19,IF(AH18&gt;AH19,SUMPRODUCT(AH18:AH19,F18:F19)/SUM(F18:F19),AH19))</f>
        <v>174.00589034817429</v>
      </c>
      <c r="AM19" s="128">
        <f>IF($C19="",AI19,IF(AI18&gt;AI19,SUMPRODUCT(AI18:AI19,G18:G19)/SUM(G18:G19),AI19))</f>
        <v>111.44240349644132</v>
      </c>
      <c r="AN19" s="128">
        <f>IF($C19="",AJ19,IF(AJ18&gt;AJ19,SUMPRODUCT(AJ18:AJ19,H18:H19)/SUM(H18:H19),AJ19))</f>
        <v>95.261813096181754</v>
      </c>
      <c r="AO19" s="129">
        <f>IF($C19="",AK19,IF(AK18&gt;AK19,SUMPRODUCT(AK18:AK19,I18:I19)/SUM(I18:I19),AK19))</f>
        <v>68.717022297568917</v>
      </c>
      <c r="AP19" s="127">
        <f t="shared" si="35"/>
        <v>174.00589034817429</v>
      </c>
      <c r="AQ19" s="128">
        <f t="shared" si="36"/>
        <v>111.44240349644132</v>
      </c>
      <c r="AR19" s="128">
        <f t="shared" si="37"/>
        <v>95.261813096181754</v>
      </c>
      <c r="AS19" s="129">
        <f t="shared" si="38"/>
        <v>68.717022297568917</v>
      </c>
      <c r="AT19" s="18" t="str">
        <f t="shared" si="6"/>
        <v/>
      </c>
      <c r="AU19" s="19" t="str">
        <f t="shared" si="7"/>
        <v/>
      </c>
      <c r="AV19" s="19" t="str">
        <f t="shared" si="39"/>
        <v/>
      </c>
      <c r="AW19" s="19" t="str">
        <f t="shared" si="40"/>
        <v/>
      </c>
      <c r="AX19" s="19" t="str">
        <f t="shared" si="8"/>
        <v/>
      </c>
      <c r="AY19" s="323" t="str">
        <f t="shared" si="9"/>
        <v/>
      </c>
      <c r="AZ19" s="326">
        <f t="shared" si="10"/>
        <v>174.00589034817429</v>
      </c>
      <c r="BA19" s="323">
        <f t="shared" si="41"/>
        <v>111.44240349644132</v>
      </c>
      <c r="BB19" s="323">
        <f t="shared" si="11"/>
        <v>95.261813096181754</v>
      </c>
      <c r="BC19" s="327">
        <f t="shared" si="12"/>
        <v>68.717022297568917</v>
      </c>
      <c r="BD19" s="18" t="str">
        <f t="shared" si="42"/>
        <v/>
      </c>
      <c r="BE19" s="19" t="str">
        <f t="shared" si="43"/>
        <v/>
      </c>
      <c r="BF19" s="19" t="str">
        <f t="shared" si="44"/>
        <v/>
      </c>
      <c r="BG19" s="19" t="str">
        <f t="shared" si="45"/>
        <v/>
      </c>
      <c r="BH19" s="19" t="str">
        <f t="shared" si="46"/>
        <v/>
      </c>
      <c r="BI19" s="20" t="str">
        <f t="shared" si="47"/>
        <v/>
      </c>
      <c r="BJ19" s="744">
        <f t="shared" si="48"/>
        <v>7637466.7149708662</v>
      </c>
      <c r="BK19" s="321"/>
    </row>
    <row r="20" spans="1:63">
      <c r="A20" s="74">
        <v>130</v>
      </c>
      <c r="B20" s="89" t="s">
        <v>9</v>
      </c>
      <c r="C20" s="74" t="str">
        <f>$A$20&amp;"&amp;"&amp;$A$21</f>
        <v>130&amp;216</v>
      </c>
      <c r="D20" s="93" t="str">
        <f t="shared" si="13"/>
        <v>A</v>
      </c>
      <c r="E20" s="74">
        <f>IF(ISERROR(VLOOKUP(A20,Mandatory!A:A,1,FALSE)),0,1)</f>
        <v>1</v>
      </c>
      <c r="F20" s="75">
        <f>VLOOKUP(A20,'Front-loading'!A:AG,$F$6,FALSE)</f>
        <v>30076</v>
      </c>
      <c r="G20" s="76">
        <f>VLOOKUP(A20,'Front-loading'!A:AG,$G$6,FALSE)</f>
        <v>1316401</v>
      </c>
      <c r="H20" s="76">
        <f>VLOOKUP(A20,'Front-loading'!A:AG,$H$6,FALSE)</f>
        <v>65003</v>
      </c>
      <c r="I20" s="77">
        <f>VLOOKUP(A20,'Front-loading'!A:AG,$I$6,FALSE)</f>
        <v>3416985</v>
      </c>
      <c r="J20" s="75">
        <f>VLOOKUP(A20,'Front-loading'!A:AG,$J$6,FALSE)</f>
        <v>3925524.7912911531</v>
      </c>
      <c r="K20" s="76">
        <f>VLOOKUP(A20,'Front-loading'!A:AG,$K$6,FALSE)</f>
        <v>154300429.23173982</v>
      </c>
      <c r="L20" s="76">
        <f>VLOOKUP(A20,'Front-loading'!A:AG,$L$6,FALSE)</f>
        <v>6372963.8176319366</v>
      </c>
      <c r="M20" s="77">
        <f>VLOOKUP(A20,'Front-loading'!A:AG,$M$6,FALSE)</f>
        <v>226421662.58309999</v>
      </c>
      <c r="N20" s="78">
        <f t="shared" si="14"/>
        <v>130.52017526569867</v>
      </c>
      <c r="O20" s="79">
        <f t="shared" si="3"/>
        <v>117.21384990723938</v>
      </c>
      <c r="P20" s="79">
        <f t="shared" si="3"/>
        <v>98.041072221773405</v>
      </c>
      <c r="Q20" s="80">
        <f t="shared" si="3"/>
        <v>66.263581076036331</v>
      </c>
      <c r="R20" s="101">
        <f t="shared" si="15"/>
        <v>130.52017526569867</v>
      </c>
      <c r="S20" s="102">
        <f t="shared" si="16"/>
        <v>117.21384990723938</v>
      </c>
      <c r="T20" s="102">
        <f t="shared" si="17"/>
        <v>98.041072221773405</v>
      </c>
      <c r="U20" s="102">
        <f t="shared" si="18"/>
        <v>66.263581076036331</v>
      </c>
      <c r="V20" s="95">
        <f t="shared" si="19"/>
        <v>130.52017526569867</v>
      </c>
      <c r="W20" s="96">
        <f t="shared" si="20"/>
        <v>117.21384990723938</v>
      </c>
      <c r="X20" s="96">
        <f t="shared" si="21"/>
        <v>98.041072221773405</v>
      </c>
      <c r="Y20" s="96">
        <f t="shared" si="22"/>
        <v>66.263581076036331</v>
      </c>
      <c r="Z20" s="60">
        <f t="shared" si="23"/>
        <v>130.52017526569867</v>
      </c>
      <c r="AA20" s="61">
        <f t="shared" si="24"/>
        <v>117.21384990723938</v>
      </c>
      <c r="AB20" s="61">
        <f t="shared" si="25"/>
        <v>98.041072221773405</v>
      </c>
      <c r="AC20" s="108">
        <f t="shared" si="26"/>
        <v>66.263581076036331</v>
      </c>
      <c r="AD20" s="61">
        <f t="shared" si="27"/>
        <v>130.52017526569867</v>
      </c>
      <c r="AE20" s="61">
        <f t="shared" si="28"/>
        <v>117.21384990723938</v>
      </c>
      <c r="AF20" s="61">
        <f t="shared" si="29"/>
        <v>98.041072221773405</v>
      </c>
      <c r="AG20" s="108">
        <f t="shared" si="30"/>
        <v>66.263581076036331</v>
      </c>
      <c r="AH20" s="61">
        <f t="shared" si="31"/>
        <v>130.52017526569867</v>
      </c>
      <c r="AI20" s="61">
        <f t="shared" si="32"/>
        <v>117.21384990723938</v>
      </c>
      <c r="AJ20" s="61">
        <f t="shared" si="33"/>
        <v>98.041072221773405</v>
      </c>
      <c r="AK20" s="61">
        <f t="shared" si="34"/>
        <v>66.263581076036331</v>
      </c>
      <c r="AL20" s="60">
        <f>IF($C20="",AH20,IF(AH20&gt;AH21,SUMPRODUCT(AH20:AH21,F20:F21)/SUM(F20:F21),AH20))</f>
        <v>130.52017526569867</v>
      </c>
      <c r="AM20" s="61">
        <f>IF($C20="",AI20,IF(AI20&gt;AI21,SUMPRODUCT(AI20:AI21,G20:G21)/SUM(G20:G21),AI20))</f>
        <v>117.21384990723938</v>
      </c>
      <c r="AN20" s="61">
        <f>IF($C20="",AJ20,IF(AJ20&gt;AJ21,SUMPRODUCT(AJ20:AJ21,H20:H21)/SUM(H20:H21),AJ20))</f>
        <v>98.041072221773405</v>
      </c>
      <c r="AO20" s="108">
        <f>IF($C20="",AK20,IF(AK20&gt;AK21,SUMPRODUCT(AK20:AK21,I20:I21)/SUM(I20:I21),AK20))</f>
        <v>66.263581076036331</v>
      </c>
      <c r="AP20" s="60">
        <f t="shared" si="35"/>
        <v>130.52017526569867</v>
      </c>
      <c r="AQ20" s="61">
        <f t="shared" si="36"/>
        <v>117.21384990723938</v>
      </c>
      <c r="AR20" s="61">
        <f t="shared" si="37"/>
        <v>98.041072221773405</v>
      </c>
      <c r="AS20" s="108">
        <f t="shared" si="38"/>
        <v>66.263581076036331</v>
      </c>
      <c r="AT20" s="81" t="str">
        <f t="shared" si="6"/>
        <v/>
      </c>
      <c r="AU20" s="82" t="str">
        <f t="shared" si="7"/>
        <v/>
      </c>
      <c r="AV20" s="82" t="str">
        <f t="shared" si="39"/>
        <v/>
      </c>
      <c r="AW20" s="82" t="str">
        <f t="shared" si="40"/>
        <v/>
      </c>
      <c r="AX20" s="82" t="str">
        <f t="shared" si="8"/>
        <v/>
      </c>
      <c r="AY20" s="324" t="str">
        <f t="shared" si="9"/>
        <v/>
      </c>
      <c r="AZ20" s="328">
        <f t="shared" si="10"/>
        <v>130.52017526569867</v>
      </c>
      <c r="BA20" s="324">
        <f t="shared" si="41"/>
        <v>117.21384990723938</v>
      </c>
      <c r="BB20" s="324">
        <f t="shared" si="11"/>
        <v>98.041072221773405</v>
      </c>
      <c r="BC20" s="329">
        <f t="shared" si="12"/>
        <v>66.263581076036331</v>
      </c>
      <c r="BD20" s="288" t="str">
        <f t="shared" si="42"/>
        <v/>
      </c>
      <c r="BE20" s="289" t="str">
        <f t="shared" si="43"/>
        <v/>
      </c>
      <c r="BF20" s="289" t="str">
        <f t="shared" si="44"/>
        <v/>
      </c>
      <c r="BG20" s="289" t="str">
        <f t="shared" si="45"/>
        <v/>
      </c>
      <c r="BH20" s="289" t="str">
        <f t="shared" si="46"/>
        <v/>
      </c>
      <c r="BI20" s="290" t="str">
        <f t="shared" si="47"/>
        <v/>
      </c>
      <c r="BJ20" s="744">
        <f t="shared" si="48"/>
        <v>391020580.42376292</v>
      </c>
      <c r="BK20" s="321"/>
    </row>
    <row r="21" spans="1:63">
      <c r="A21">
        <v>216</v>
      </c>
      <c r="B21" s="88" t="s">
        <v>21</v>
      </c>
      <c r="C21" t="str">
        <f>$A$20&amp;"&amp;"&amp;$A$21</f>
        <v>130&amp;216</v>
      </c>
      <c r="D21" s="62" t="str">
        <f t="shared" si="13"/>
        <v>C</v>
      </c>
      <c r="E21">
        <f>IF(ISERROR(VLOOKUP(A21,Mandatory!A:A,1,FALSE)),0,1)</f>
        <v>1</v>
      </c>
      <c r="F21" s="54">
        <f>VLOOKUP(A21,'Front-loading'!A:AG,$F$6,FALSE)</f>
        <v>2635</v>
      </c>
      <c r="G21" s="55">
        <f>VLOOKUP(A21,'Front-loading'!A:AG,$G$6,FALSE)</f>
        <v>42328</v>
      </c>
      <c r="H21" s="55">
        <f>VLOOKUP(A21,'Front-loading'!A:AG,$H$6,FALSE)</f>
        <v>4607</v>
      </c>
      <c r="I21" s="56">
        <f>VLOOKUP(A21,'Front-loading'!A:AG,$I$6,FALSE)</f>
        <v>111315</v>
      </c>
      <c r="J21" s="54">
        <f>VLOOKUP(A21,'Front-loading'!A:AG,$J$6,FALSE)</f>
        <v>453533.58337806514</v>
      </c>
      <c r="K21" s="55">
        <f>VLOOKUP(A21,'Front-loading'!A:AG,$K$6,FALSE)</f>
        <v>5974688.3729145685</v>
      </c>
      <c r="L21" s="55">
        <f>VLOOKUP(A21,'Front-loading'!A:AG,$L$6,FALSE)</f>
        <v>648635.12498112489</v>
      </c>
      <c r="M21" s="56">
        <f>VLOOKUP(A21,'Front-loading'!A:AG,$M$6,FALSE)</f>
        <v>9441289.704514062</v>
      </c>
      <c r="N21" s="15">
        <f t="shared" si="14"/>
        <v>172.11900697459777</v>
      </c>
      <c r="O21" s="11">
        <f t="shared" si="3"/>
        <v>141.15215396226066</v>
      </c>
      <c r="P21" s="11">
        <f t="shared" si="3"/>
        <v>140.79338506210655</v>
      </c>
      <c r="Q21" s="12">
        <f t="shared" si="3"/>
        <v>84.815970035611215</v>
      </c>
      <c r="R21" s="99">
        <f t="shared" si="15"/>
        <v>172.11900697459777</v>
      </c>
      <c r="S21" s="100">
        <f t="shared" si="16"/>
        <v>141.15215396226066</v>
      </c>
      <c r="T21" s="100">
        <f t="shared" si="17"/>
        <v>140.79338506210655</v>
      </c>
      <c r="U21" s="100">
        <f t="shared" si="18"/>
        <v>84.815970035611215</v>
      </c>
      <c r="V21" s="125">
        <f t="shared" si="19"/>
        <v>172.11900697459777</v>
      </c>
      <c r="W21" s="126">
        <f t="shared" si="20"/>
        <v>141.15215396226066</v>
      </c>
      <c r="X21" s="126">
        <f t="shared" si="21"/>
        <v>140.79338506210655</v>
      </c>
      <c r="Y21" s="126">
        <f t="shared" si="22"/>
        <v>84.815970035611215</v>
      </c>
      <c r="Z21" s="127">
        <f t="shared" si="23"/>
        <v>172.11900697459777</v>
      </c>
      <c r="AA21" s="128">
        <f t="shared" si="24"/>
        <v>141.15215396226066</v>
      </c>
      <c r="AB21" s="128">
        <f t="shared" si="25"/>
        <v>140.79338506210655</v>
      </c>
      <c r="AC21" s="129">
        <f t="shared" si="26"/>
        <v>84.815970035611215</v>
      </c>
      <c r="AD21" s="128">
        <f t="shared" si="27"/>
        <v>172.11900697459777</v>
      </c>
      <c r="AE21" s="128">
        <f t="shared" si="28"/>
        <v>141.15215396226066</v>
      </c>
      <c r="AF21" s="128">
        <f t="shared" si="29"/>
        <v>140.79338506210655</v>
      </c>
      <c r="AG21" s="129">
        <f t="shared" si="30"/>
        <v>84.815970035611215</v>
      </c>
      <c r="AH21" s="128">
        <f t="shared" si="31"/>
        <v>172.11900697459777</v>
      </c>
      <c r="AI21" s="128">
        <f t="shared" si="32"/>
        <v>141.15215396226066</v>
      </c>
      <c r="AJ21" s="128">
        <f t="shared" si="33"/>
        <v>140.79338506210655</v>
      </c>
      <c r="AK21" s="128">
        <f t="shared" si="34"/>
        <v>84.815970035611215</v>
      </c>
      <c r="AL21" s="127">
        <f>IF($C21="",AH21,IF(AH20&gt;AH21,SUMPRODUCT(AH20:AH21,F20:F21)/SUM(F20:F21),AH21))</f>
        <v>172.11900697459777</v>
      </c>
      <c r="AM21" s="128">
        <f>IF($C21="",AI21,IF(AI20&gt;AI21,SUMPRODUCT(AI20:AI21,G20:G21)/SUM(G20:G21),AI21))</f>
        <v>141.15215396226066</v>
      </c>
      <c r="AN21" s="128">
        <f>IF($C21="",AJ21,IF(AJ20&gt;AJ21,SUMPRODUCT(AJ20:AJ21,H20:H21)/SUM(H20:H21),AJ21))</f>
        <v>140.79338506210655</v>
      </c>
      <c r="AO21" s="129">
        <f>IF($C21="",AK21,IF(AK20&gt;AK21,SUMPRODUCT(AK20:AK21,I20:I21)/SUM(I20:I21),AK21))</f>
        <v>84.815970035611215</v>
      </c>
      <c r="AP21" s="127">
        <f t="shared" si="35"/>
        <v>172.11900697459777</v>
      </c>
      <c r="AQ21" s="128">
        <f t="shared" si="36"/>
        <v>141.15215396226066</v>
      </c>
      <c r="AR21" s="128">
        <f t="shared" si="37"/>
        <v>140.79338506210655</v>
      </c>
      <c r="AS21" s="129">
        <f t="shared" si="38"/>
        <v>84.815970035611215</v>
      </c>
      <c r="AT21" s="18" t="str">
        <f t="shared" si="6"/>
        <v/>
      </c>
      <c r="AU21" s="19" t="str">
        <f t="shared" si="7"/>
        <v/>
      </c>
      <c r="AV21" s="19" t="str">
        <f t="shared" si="39"/>
        <v/>
      </c>
      <c r="AW21" s="19" t="str">
        <f t="shared" si="40"/>
        <v/>
      </c>
      <c r="AX21" s="19" t="str">
        <f t="shared" si="8"/>
        <v/>
      </c>
      <c r="AY21" s="323" t="str">
        <f t="shared" si="9"/>
        <v/>
      </c>
      <c r="AZ21" s="326">
        <f t="shared" si="10"/>
        <v>172.11900697459777</v>
      </c>
      <c r="BA21" s="323">
        <f t="shared" si="41"/>
        <v>141.15215396226066</v>
      </c>
      <c r="BB21" s="323">
        <f t="shared" si="11"/>
        <v>140.79338506210655</v>
      </c>
      <c r="BC21" s="327">
        <f t="shared" si="12"/>
        <v>84.815970035611215</v>
      </c>
      <c r="BD21" s="18" t="str">
        <f t="shared" si="42"/>
        <v/>
      </c>
      <c r="BE21" s="19" t="str">
        <f t="shared" si="43"/>
        <v/>
      </c>
      <c r="BF21" s="19" t="str">
        <f t="shared" si="44"/>
        <v/>
      </c>
      <c r="BG21" s="19" t="str">
        <f t="shared" si="45"/>
        <v/>
      </c>
      <c r="BH21" s="19" t="str">
        <f t="shared" si="46"/>
        <v/>
      </c>
      <c r="BI21" s="20" t="str">
        <f t="shared" si="47"/>
        <v/>
      </c>
      <c r="BJ21" s="744">
        <f t="shared" si="48"/>
        <v>16518146.785787821</v>
      </c>
      <c r="BK21" s="321"/>
    </row>
    <row r="22" spans="1:63">
      <c r="A22" s="74">
        <v>144</v>
      </c>
      <c r="B22" s="89" t="s">
        <v>12</v>
      </c>
      <c r="C22" s="74" t="str">
        <f>$A$22&amp;"&amp;"&amp;$A$23</f>
        <v>144&amp;217</v>
      </c>
      <c r="D22" s="93" t="str">
        <f t="shared" si="13"/>
        <v>A</v>
      </c>
      <c r="E22" s="74">
        <f>IF(ISERROR(VLOOKUP(A22,Mandatory!A:A,1,FALSE)),0,1)</f>
        <v>1</v>
      </c>
      <c r="F22" s="75">
        <f>VLOOKUP(A22,'Front-loading'!A:AG,$F$6,FALSE)</f>
        <v>840</v>
      </c>
      <c r="G22" s="76">
        <f>VLOOKUP(A22,'Front-loading'!A:AG,$G$6,FALSE)</f>
        <v>137414</v>
      </c>
      <c r="H22" s="76">
        <f>VLOOKUP(A22,'Front-loading'!A:AG,$H$6,FALSE)</f>
        <v>4380</v>
      </c>
      <c r="I22" s="77">
        <f>VLOOKUP(A22,'Front-loading'!A:AG,$I$6,FALSE)</f>
        <v>167524</v>
      </c>
      <c r="J22" s="75">
        <f>VLOOKUP(A22,'Front-loading'!A:AG,$J$6,FALSE)</f>
        <v>152685.78332317431</v>
      </c>
      <c r="K22" s="76">
        <f>VLOOKUP(A22,'Front-loading'!A:AG,$K$6,FALSE)</f>
        <v>15454048.474614374</v>
      </c>
      <c r="L22" s="76">
        <f>VLOOKUP(A22,'Front-loading'!A:AG,$L$6,FALSE)</f>
        <v>376902.63231964473</v>
      </c>
      <c r="M22" s="77">
        <f>VLOOKUP(A22,'Front-loading'!A:AG,$M$6,FALSE)</f>
        <v>12806276.033724813</v>
      </c>
      <c r="N22" s="78">
        <f t="shared" si="14"/>
        <v>181.76878967044561</v>
      </c>
      <c r="O22" s="79">
        <f t="shared" si="3"/>
        <v>112.463420572972</v>
      </c>
      <c r="P22" s="79">
        <f t="shared" si="3"/>
        <v>86.05082929672254</v>
      </c>
      <c r="Q22" s="80">
        <f t="shared" si="3"/>
        <v>76.44442607462102</v>
      </c>
      <c r="R22" s="101">
        <f t="shared" si="15"/>
        <v>181.76878967044561</v>
      </c>
      <c r="S22" s="102">
        <f t="shared" si="16"/>
        <v>112.463420572972</v>
      </c>
      <c r="T22" s="102">
        <f t="shared" si="17"/>
        <v>86.05082929672254</v>
      </c>
      <c r="U22" s="102">
        <f t="shared" si="18"/>
        <v>76.44442607462102</v>
      </c>
      <c r="V22" s="95">
        <f t="shared" si="19"/>
        <v>181.76878967044561</v>
      </c>
      <c r="W22" s="96">
        <f t="shared" si="20"/>
        <v>112.463420572972</v>
      </c>
      <c r="X22" s="96">
        <f t="shared" si="21"/>
        <v>86.05082929672254</v>
      </c>
      <c r="Y22" s="96">
        <f t="shared" si="22"/>
        <v>76.44442607462102</v>
      </c>
      <c r="Z22" s="60">
        <f t="shared" si="23"/>
        <v>181.76878967044561</v>
      </c>
      <c r="AA22" s="61">
        <f t="shared" si="24"/>
        <v>112.463420572972</v>
      </c>
      <c r="AB22" s="61">
        <f t="shared" si="25"/>
        <v>86.05082929672254</v>
      </c>
      <c r="AC22" s="108">
        <f t="shared" si="26"/>
        <v>76.44442607462102</v>
      </c>
      <c r="AD22" s="61">
        <f t="shared" si="27"/>
        <v>181.76878967044561</v>
      </c>
      <c r="AE22" s="61">
        <f t="shared" si="28"/>
        <v>112.463420572972</v>
      </c>
      <c r="AF22" s="61">
        <f t="shared" si="29"/>
        <v>86.05082929672254</v>
      </c>
      <c r="AG22" s="108">
        <f t="shared" si="30"/>
        <v>76.44442607462102</v>
      </c>
      <c r="AH22" s="61">
        <f t="shared" si="31"/>
        <v>181.76878967044561</v>
      </c>
      <c r="AI22" s="61">
        <f t="shared" si="32"/>
        <v>112.463420572972</v>
      </c>
      <c r="AJ22" s="61">
        <f t="shared" si="33"/>
        <v>86.05082929672254</v>
      </c>
      <c r="AK22" s="61">
        <f t="shared" si="34"/>
        <v>76.44442607462102</v>
      </c>
      <c r="AL22" s="60">
        <f>IF($C22="",AH22,IF(AH22&gt;AH23,SUMPRODUCT(AH22:AH23,F22:F23)/SUM(F22:F23),AH22))</f>
        <v>181.76878967044561</v>
      </c>
      <c r="AM22" s="61">
        <f>IF($C22="",AI22,IF(AI22&gt;AI23,SUMPRODUCT(AI22:AI23,G22:G23)/SUM(G22:G23),AI22))</f>
        <v>112.463420572972</v>
      </c>
      <c r="AN22" s="61">
        <f>IF($C22="",AJ22,IF(AJ22&gt;AJ23,SUMPRODUCT(AJ22:AJ23,H22:H23)/SUM(H22:H23),AJ22))</f>
        <v>86.05082929672254</v>
      </c>
      <c r="AO22" s="108">
        <f>IF($C22="",AK22,IF(AK22&gt;AK23,SUMPRODUCT(AK22:AK23,I22:I23)/SUM(I22:I23),AK22))</f>
        <v>76.44442607462102</v>
      </c>
      <c r="AP22" s="60">
        <f t="shared" si="35"/>
        <v>181.76878967044561</v>
      </c>
      <c r="AQ22" s="61">
        <f t="shared" si="36"/>
        <v>112.463420572972</v>
      </c>
      <c r="AR22" s="61">
        <f t="shared" si="37"/>
        <v>86.05082929672254</v>
      </c>
      <c r="AS22" s="108">
        <f t="shared" si="38"/>
        <v>76.44442607462102</v>
      </c>
      <c r="AT22" s="81" t="str">
        <f t="shared" si="6"/>
        <v/>
      </c>
      <c r="AU22" s="82" t="str">
        <f t="shared" si="7"/>
        <v/>
      </c>
      <c r="AV22" s="82" t="str">
        <f t="shared" si="39"/>
        <v/>
      </c>
      <c r="AW22" s="82" t="str">
        <f t="shared" si="40"/>
        <v/>
      </c>
      <c r="AX22" s="82" t="str">
        <f t="shared" si="8"/>
        <v/>
      </c>
      <c r="AY22" s="324" t="str">
        <f t="shared" si="9"/>
        <v/>
      </c>
      <c r="AZ22" s="328">
        <f t="shared" si="10"/>
        <v>181.76878967044561</v>
      </c>
      <c r="BA22" s="324">
        <f t="shared" si="41"/>
        <v>112.463420572972</v>
      </c>
      <c r="BB22" s="324">
        <f t="shared" si="11"/>
        <v>86.05082929672254</v>
      </c>
      <c r="BC22" s="329">
        <f t="shared" si="12"/>
        <v>76.44442607462102</v>
      </c>
      <c r="BD22" s="288" t="str">
        <f t="shared" si="42"/>
        <v/>
      </c>
      <c r="BE22" s="289" t="str">
        <f t="shared" si="43"/>
        <v/>
      </c>
      <c r="BF22" s="289" t="str">
        <f t="shared" si="44"/>
        <v/>
      </c>
      <c r="BG22" s="289" t="str">
        <f t="shared" si="45"/>
        <v/>
      </c>
      <c r="BH22" s="289" t="str">
        <f t="shared" si="46"/>
        <v/>
      </c>
      <c r="BI22" s="290" t="str">
        <f t="shared" si="47"/>
        <v/>
      </c>
      <c r="BJ22" s="744">
        <f t="shared" si="48"/>
        <v>28789912.923982002</v>
      </c>
      <c r="BK22" s="321"/>
    </row>
    <row r="23" spans="1:63">
      <c r="A23">
        <v>217</v>
      </c>
      <c r="B23" s="88" t="s">
        <v>22</v>
      </c>
      <c r="C23" s="83" t="str">
        <f>$A$22&amp;"&amp;"&amp;$A$23</f>
        <v>144&amp;217</v>
      </c>
      <c r="D23" s="62" t="str">
        <f t="shared" si="13"/>
        <v>C</v>
      </c>
      <c r="E23">
        <f>IF(ISERROR(VLOOKUP(A23,Mandatory!A:A,1,FALSE)),0,1)</f>
        <v>1</v>
      </c>
      <c r="F23" s="54">
        <f>VLOOKUP(A23,'Front-loading'!A:AG,$F$6,FALSE)</f>
        <v>481</v>
      </c>
      <c r="G23" s="55">
        <f>VLOOKUP(A23,'Front-loading'!A:AG,$G$6,FALSE)</f>
        <v>1849</v>
      </c>
      <c r="H23" s="55">
        <f>VLOOKUP(A23,'Front-loading'!A:AG,$H$6,FALSE)</f>
        <v>1251</v>
      </c>
      <c r="I23" s="56">
        <f>VLOOKUP(A23,'Front-loading'!A:AG,$I$6,FALSE)</f>
        <v>1932</v>
      </c>
      <c r="J23" s="54">
        <f>VLOOKUP(A23,'Front-loading'!A:AG,$J$6,FALSE)</f>
        <v>106142.71342044081</v>
      </c>
      <c r="K23" s="55">
        <f>VLOOKUP(A23,'Front-loading'!A:AG,$K$6,FALSE)</f>
        <v>238071.52612588962</v>
      </c>
      <c r="L23" s="55">
        <f>VLOOKUP(A23,'Front-loading'!A:AG,$L$6,FALSE)</f>
        <v>244283.32166211898</v>
      </c>
      <c r="M23" s="56">
        <f>VLOOKUP(A23,'Front-loading'!A:AG,$M$6,FALSE)</f>
        <v>266611.21443515684</v>
      </c>
      <c r="N23" s="15">
        <f t="shared" si="14"/>
        <v>220.67092187201831</v>
      </c>
      <c r="O23" s="11">
        <f t="shared" si="3"/>
        <v>128.75690974899385</v>
      </c>
      <c r="P23" s="11">
        <f t="shared" si="3"/>
        <v>195.27044097691365</v>
      </c>
      <c r="Q23" s="12">
        <f t="shared" si="3"/>
        <v>137.99752299956359</v>
      </c>
      <c r="R23" s="99">
        <f t="shared" si="15"/>
        <v>220.67092187201831</v>
      </c>
      <c r="S23" s="100">
        <f t="shared" si="16"/>
        <v>128.75690974899385</v>
      </c>
      <c r="T23" s="100">
        <f t="shared" si="17"/>
        <v>195.27044097691365</v>
      </c>
      <c r="U23" s="100">
        <f t="shared" si="18"/>
        <v>137.99752299956359</v>
      </c>
      <c r="V23" s="125">
        <f t="shared" si="19"/>
        <v>220.67092187201831</v>
      </c>
      <c r="W23" s="126">
        <f t="shared" si="20"/>
        <v>128.75690974899385</v>
      </c>
      <c r="X23" s="126">
        <f t="shared" si="21"/>
        <v>195.27044097691365</v>
      </c>
      <c r="Y23" s="126">
        <f t="shared" si="22"/>
        <v>137.99752299956359</v>
      </c>
      <c r="Z23" s="127">
        <f t="shared" si="23"/>
        <v>220.67092187201831</v>
      </c>
      <c r="AA23" s="128">
        <f t="shared" si="24"/>
        <v>133.47864071966316</v>
      </c>
      <c r="AB23" s="128">
        <f t="shared" si="25"/>
        <v>195.27044097691365</v>
      </c>
      <c r="AC23" s="129">
        <f t="shared" si="26"/>
        <v>133.47864071966316</v>
      </c>
      <c r="AD23" s="128">
        <f t="shared" si="27"/>
        <v>220.67092187201831</v>
      </c>
      <c r="AE23" s="128">
        <f t="shared" si="28"/>
        <v>133.47864071966316</v>
      </c>
      <c r="AF23" s="128">
        <f t="shared" si="29"/>
        <v>195.27044097691365</v>
      </c>
      <c r="AG23" s="129">
        <f t="shared" si="30"/>
        <v>133.47864071966316</v>
      </c>
      <c r="AH23" s="128">
        <f t="shared" si="31"/>
        <v>220.67092187201831</v>
      </c>
      <c r="AI23" s="128">
        <f t="shared" si="32"/>
        <v>133.47864071966316</v>
      </c>
      <c r="AJ23" s="128">
        <f t="shared" si="33"/>
        <v>195.27044097691365</v>
      </c>
      <c r="AK23" s="128">
        <f t="shared" si="34"/>
        <v>133.47864071966316</v>
      </c>
      <c r="AL23" s="127">
        <f>IF($C23="",AH23,IF(AH22&gt;AH23,SUMPRODUCT(AH22:AH23,F22:F23)/SUM(F22:F23),AH23))</f>
        <v>220.67092187201831</v>
      </c>
      <c r="AM23" s="128">
        <f>IF($C23="",AI23,IF(AI22&gt;AI23,SUMPRODUCT(AI22:AI23,G22:G23)/SUM(G22:G23),AI23))</f>
        <v>133.47864071966316</v>
      </c>
      <c r="AN23" s="128">
        <f>IF($C23="",AJ23,IF(AJ22&gt;AJ23,SUMPRODUCT(AJ22:AJ23,H22:H23)/SUM(H22:H23),AJ23))</f>
        <v>195.27044097691365</v>
      </c>
      <c r="AO23" s="129">
        <f>IF($C23="",AK23,IF(AK22&gt;AK23,SUMPRODUCT(AK22:AK23,I22:I23)/SUM(I22:I23),AK23))</f>
        <v>133.47864071966316</v>
      </c>
      <c r="AP23" s="127">
        <f t="shared" si="35"/>
        <v>220.67092187201831</v>
      </c>
      <c r="AQ23" s="128">
        <f t="shared" si="36"/>
        <v>133.47864071966316</v>
      </c>
      <c r="AR23" s="128">
        <f t="shared" si="37"/>
        <v>195.27044097691365</v>
      </c>
      <c r="AS23" s="129">
        <f t="shared" si="38"/>
        <v>133.47864071966316</v>
      </c>
      <c r="AT23" s="18" t="str">
        <f t="shared" si="6"/>
        <v/>
      </c>
      <c r="AU23" s="19" t="str">
        <f t="shared" si="7"/>
        <v/>
      </c>
      <c r="AV23" s="19" t="str">
        <f t="shared" si="39"/>
        <v/>
      </c>
      <c r="AW23" s="19" t="str">
        <f t="shared" si="40"/>
        <v/>
      </c>
      <c r="AX23" s="19" t="str">
        <f t="shared" si="8"/>
        <v/>
      </c>
      <c r="AY23" s="323" t="str">
        <f t="shared" si="9"/>
        <v/>
      </c>
      <c r="AZ23" s="326">
        <f t="shared" si="10"/>
        <v>220.67092187201831</v>
      </c>
      <c r="BA23" s="323">
        <f t="shared" si="41"/>
        <v>133.47864071966316</v>
      </c>
      <c r="BB23" s="323">
        <f t="shared" si="11"/>
        <v>195.27044097691365</v>
      </c>
      <c r="BC23" s="327">
        <f t="shared" si="12"/>
        <v>133.47864071966316</v>
      </c>
      <c r="BD23" s="18" t="str">
        <f t="shared" si="42"/>
        <v/>
      </c>
      <c r="BE23" s="19" t="str">
        <f t="shared" si="43"/>
        <v/>
      </c>
      <c r="BF23" s="19" t="str">
        <f t="shared" si="44"/>
        <v/>
      </c>
      <c r="BG23" s="19" t="str">
        <f t="shared" si="45"/>
        <v/>
      </c>
      <c r="BH23" s="19" t="str">
        <f t="shared" si="46"/>
        <v/>
      </c>
      <c r="BI23" s="20" t="str">
        <f t="shared" si="47"/>
        <v/>
      </c>
      <c r="BJ23" s="744">
        <f t="shared" si="48"/>
        <v>855108.7756436062</v>
      </c>
      <c r="BK23" s="321"/>
    </row>
    <row r="24" spans="1:63">
      <c r="A24" s="74">
        <v>150</v>
      </c>
      <c r="B24" s="89" t="s">
        <v>449</v>
      </c>
      <c r="C24" s="74" t="str">
        <f>$A$24&amp;"&amp;"&amp;$A$25</f>
        <v>150&amp;218</v>
      </c>
      <c r="D24" s="93" t="str">
        <f t="shared" si="13"/>
        <v>A</v>
      </c>
      <c r="E24" s="74">
        <f>IF(ISERROR(VLOOKUP(A24,Mandatory!A:A,1,FALSE)),0,1)</f>
        <v>0</v>
      </c>
      <c r="F24" s="75">
        <f>VLOOKUP(A24,'Front-loading'!A:AG,$F$6,FALSE)</f>
        <v>4772</v>
      </c>
      <c r="G24" s="76">
        <f>VLOOKUP(A24,'Front-loading'!A:AG,$G$6,FALSE)</f>
        <v>87253</v>
      </c>
      <c r="H24" s="76">
        <f>VLOOKUP(A24,'Front-loading'!A:AG,$H$6,FALSE)</f>
        <v>5064</v>
      </c>
      <c r="I24" s="77">
        <f>VLOOKUP(A24,'Front-loading'!A:AG,$I$6,FALSE)</f>
        <v>142900</v>
      </c>
      <c r="J24" s="75">
        <f>VLOOKUP(A24,'Front-loading'!A:AG,$J$6,FALSE)</f>
        <v>864038.53623974661</v>
      </c>
      <c r="K24" s="76">
        <f>VLOOKUP(A24,'Front-loading'!A:AG,$K$6,FALSE)</f>
        <v>15398221.418531835</v>
      </c>
      <c r="L24" s="76">
        <f>VLOOKUP(A24,'Front-loading'!A:AG,$L$6,FALSE)</f>
        <v>646034.80544919544</v>
      </c>
      <c r="M24" s="77">
        <f>VLOOKUP(A24,'Front-loading'!A:AG,$M$6,FALSE)</f>
        <v>17967632.970233772</v>
      </c>
      <c r="N24" s="78">
        <f t="shared" si="14"/>
        <v>181.06423642911707</v>
      </c>
      <c r="O24" s="79">
        <f t="shared" si="3"/>
        <v>176.47784510024681</v>
      </c>
      <c r="P24" s="79">
        <f t="shared" si="3"/>
        <v>127.5740137142961</v>
      </c>
      <c r="Q24" s="80">
        <f t="shared" si="3"/>
        <v>125.73571007861283</v>
      </c>
      <c r="R24" s="101">
        <f t="shared" si="15"/>
        <v>181.06423642911707</v>
      </c>
      <c r="S24" s="102">
        <f t="shared" si="16"/>
        <v>176.47784510024681</v>
      </c>
      <c r="T24" s="102">
        <f t="shared" si="17"/>
        <v>127.5740137142961</v>
      </c>
      <c r="U24" s="102">
        <f t="shared" si="18"/>
        <v>125.73571007861283</v>
      </c>
      <c r="V24" s="95">
        <f t="shared" si="19"/>
        <v>181.06423642911707</v>
      </c>
      <c r="W24" s="96">
        <f t="shared" si="20"/>
        <v>176.47784510024681</v>
      </c>
      <c r="X24" s="96">
        <f t="shared" si="21"/>
        <v>127.5740137142961</v>
      </c>
      <c r="Y24" s="96">
        <f t="shared" si="22"/>
        <v>125.73571007861283</v>
      </c>
      <c r="Z24" s="60">
        <f t="shared" si="23"/>
        <v>181.06423642911707</v>
      </c>
      <c r="AA24" s="61">
        <f t="shared" si="24"/>
        <v>176.47784510024681</v>
      </c>
      <c r="AB24" s="61">
        <f t="shared" si="25"/>
        <v>127.5740137142961</v>
      </c>
      <c r="AC24" s="108">
        <f t="shared" si="26"/>
        <v>125.73571007861283</v>
      </c>
      <c r="AD24" s="61">
        <f t="shared" si="27"/>
        <v>181.06423642911707</v>
      </c>
      <c r="AE24" s="61">
        <f t="shared" si="28"/>
        <v>176.47784510024681</v>
      </c>
      <c r="AF24" s="61">
        <f t="shared" si="29"/>
        <v>127.5740137142961</v>
      </c>
      <c r="AG24" s="108">
        <f t="shared" si="30"/>
        <v>125.73571007861283</v>
      </c>
      <c r="AH24" s="61">
        <f t="shared" si="31"/>
        <v>181.06423642911707</v>
      </c>
      <c r="AI24" s="61">
        <f t="shared" si="32"/>
        <v>176.47784510024681</v>
      </c>
      <c r="AJ24" s="61">
        <f t="shared" si="33"/>
        <v>127.5740137142961</v>
      </c>
      <c r="AK24" s="61">
        <f t="shared" si="34"/>
        <v>125.73571007861283</v>
      </c>
      <c r="AL24" s="60">
        <f>IF($C24="",AH24,IF(AH24&gt;AH25,SUMPRODUCT(AH24:AH25,F24:F25)/SUM(F24:F25),AH24))</f>
        <v>181.06423642911707</v>
      </c>
      <c r="AM24" s="61">
        <f>IF($C24="",AI24,IF(AI24&gt;AI25,SUMPRODUCT(AI24:AI25,G24:G25)/SUM(G24:G25),AI24))</f>
        <v>176.47784510024681</v>
      </c>
      <c r="AN24" s="61">
        <f>IF($C24="",AJ24,IF(AJ24&gt;AJ25,SUMPRODUCT(AJ24:AJ25,H24:H25)/SUM(H24:H25),AJ24))</f>
        <v>127.5740137142961</v>
      </c>
      <c r="AO24" s="108">
        <f>IF($C24="",AK24,IF(AK24&gt;AK25,SUMPRODUCT(AK24:AK25,I24:I25)/SUM(I24:I25),AK24))</f>
        <v>125.73571007861283</v>
      </c>
      <c r="AP24" s="60">
        <f t="shared" si="35"/>
        <v>181.06423642911707</v>
      </c>
      <c r="AQ24" s="61">
        <f t="shared" si="36"/>
        <v>176.47784510024681</v>
      </c>
      <c r="AR24" s="61">
        <f t="shared" si="37"/>
        <v>127.5740137142961</v>
      </c>
      <c r="AS24" s="108">
        <f t="shared" si="38"/>
        <v>125.73571007861283</v>
      </c>
      <c r="AT24" s="81" t="str">
        <f t="shared" si="6"/>
        <v/>
      </c>
      <c r="AU24" s="82" t="str">
        <f t="shared" si="7"/>
        <v/>
      </c>
      <c r="AV24" s="82" t="str">
        <f t="shared" si="39"/>
        <v/>
      </c>
      <c r="AW24" s="82" t="str">
        <f t="shared" si="40"/>
        <v/>
      </c>
      <c r="AX24" s="82" t="str">
        <f t="shared" si="8"/>
        <v/>
      </c>
      <c r="AY24" s="324" t="str">
        <f t="shared" si="9"/>
        <v/>
      </c>
      <c r="AZ24" s="328">
        <f t="shared" si="10"/>
        <v>181.06423642911707</v>
      </c>
      <c r="BA24" s="324">
        <f t="shared" si="41"/>
        <v>176.47784510024681</v>
      </c>
      <c r="BB24" s="324">
        <f t="shared" si="11"/>
        <v>127.5740137142961</v>
      </c>
      <c r="BC24" s="329">
        <f t="shared" si="12"/>
        <v>125.73571007861283</v>
      </c>
      <c r="BD24" s="288" t="str">
        <f t="shared" si="42"/>
        <v/>
      </c>
      <c r="BE24" s="289" t="str">
        <f t="shared" si="43"/>
        <v/>
      </c>
      <c r="BF24" s="289" t="str">
        <f t="shared" si="44"/>
        <v/>
      </c>
      <c r="BG24" s="289" t="str">
        <f t="shared" si="45"/>
        <v/>
      </c>
      <c r="BH24" s="289" t="str">
        <f t="shared" si="46"/>
        <v/>
      </c>
      <c r="BI24" s="290" t="str">
        <f t="shared" si="47"/>
        <v/>
      </c>
      <c r="BJ24" s="744">
        <f t="shared" si="48"/>
        <v>34875927.730454549</v>
      </c>
      <c r="BK24" s="321"/>
    </row>
    <row r="25" spans="1:63">
      <c r="A25">
        <v>218</v>
      </c>
      <c r="B25" s="88" t="s">
        <v>458</v>
      </c>
      <c r="C25" t="str">
        <f>$A$24&amp;"&amp;"&amp;$A$25</f>
        <v>150&amp;218</v>
      </c>
      <c r="D25" s="62" t="str">
        <f t="shared" si="13"/>
        <v>C</v>
      </c>
      <c r="E25">
        <f>IF(ISERROR(VLOOKUP(A25,Mandatory!A:A,1,FALSE)),0,1)</f>
        <v>0</v>
      </c>
      <c r="F25" s="54">
        <f>VLOOKUP(A25,'Front-loading'!A:AG,$F$6,FALSE)</f>
        <v>66</v>
      </c>
      <c r="G25" s="55">
        <f>VLOOKUP(A25,'Front-loading'!A:AG,$G$6,FALSE)</f>
        <v>3397</v>
      </c>
      <c r="H25" s="55">
        <f>VLOOKUP(A25,'Front-loading'!A:AG,$H$6,FALSE)</f>
        <v>249</v>
      </c>
      <c r="I25" s="56">
        <f>VLOOKUP(A25,'Front-loading'!A:AG,$I$6,FALSE)</f>
        <v>11777</v>
      </c>
      <c r="J25" s="54">
        <f>VLOOKUP(A25,'Front-loading'!A:AG,$J$6,FALSE)</f>
        <v>28378.759675902867</v>
      </c>
      <c r="K25" s="55">
        <f>VLOOKUP(A25,'Front-loading'!A:AG,$K$6,FALSE)</f>
        <v>1262650.1900328326</v>
      </c>
      <c r="L25" s="55">
        <f>VLOOKUP(A25,'Front-loading'!A:AG,$L$6,FALSE)</f>
        <v>51157.849637473832</v>
      </c>
      <c r="M25" s="56">
        <f>VLOOKUP(A25,'Front-loading'!A:AG,$M$6,FALSE)</f>
        <v>2633988.2936431733</v>
      </c>
      <c r="N25" s="15">
        <f t="shared" si="14"/>
        <v>429.98120721064953</v>
      </c>
      <c r="O25" s="11">
        <f t="shared" si="3"/>
        <v>371.69566971823156</v>
      </c>
      <c r="P25" s="11">
        <f t="shared" si="3"/>
        <v>205.45321139547724</v>
      </c>
      <c r="Q25" s="12">
        <f t="shared" si="3"/>
        <v>223.65528518664968</v>
      </c>
      <c r="R25" s="99">
        <f t="shared" si="15"/>
        <v>429.98120721064953</v>
      </c>
      <c r="S25" s="100">
        <f t="shared" si="16"/>
        <v>371.69566971823156</v>
      </c>
      <c r="T25" s="100">
        <f t="shared" si="17"/>
        <v>205.45321139547724</v>
      </c>
      <c r="U25" s="100">
        <f t="shared" si="18"/>
        <v>223.65528518664968</v>
      </c>
      <c r="V25" s="125">
        <f t="shared" si="19"/>
        <v>429.98120721064953</v>
      </c>
      <c r="W25" s="126">
        <f t="shared" si="20"/>
        <v>371.69566971823156</v>
      </c>
      <c r="X25" s="126">
        <f t="shared" si="21"/>
        <v>205.45321139547724</v>
      </c>
      <c r="Y25" s="126">
        <f t="shared" si="22"/>
        <v>223.65528518664968</v>
      </c>
      <c r="Z25" s="127">
        <f t="shared" si="23"/>
        <v>429.98120721064953</v>
      </c>
      <c r="AA25" s="128">
        <f t="shared" si="24"/>
        <v>371.69566971823156</v>
      </c>
      <c r="AB25" s="128">
        <f t="shared" si="25"/>
        <v>205.45321139547724</v>
      </c>
      <c r="AC25" s="129">
        <f t="shared" si="26"/>
        <v>223.65528518664968</v>
      </c>
      <c r="AD25" s="128">
        <f t="shared" si="27"/>
        <v>429.98120721064953</v>
      </c>
      <c r="AE25" s="128">
        <f t="shared" si="28"/>
        <v>371.69566971823156</v>
      </c>
      <c r="AF25" s="128">
        <f t="shared" si="29"/>
        <v>223.27840872115809</v>
      </c>
      <c r="AG25" s="129">
        <f t="shared" si="30"/>
        <v>223.27840872115809</v>
      </c>
      <c r="AH25" s="128">
        <f t="shared" si="31"/>
        <v>429.98120721064953</v>
      </c>
      <c r="AI25" s="128">
        <f t="shared" si="32"/>
        <v>371.69566971823156</v>
      </c>
      <c r="AJ25" s="128">
        <f t="shared" si="33"/>
        <v>223.27840872115809</v>
      </c>
      <c r="AK25" s="128">
        <f t="shared" si="34"/>
        <v>223.27840872115809</v>
      </c>
      <c r="AL25" s="127">
        <f>IF($C25="",AH25,IF(AH24&gt;AH25,SUMPRODUCT(AH24:AH25,F24:F25)/SUM(F24:F25),AH25))</f>
        <v>429.98120721064953</v>
      </c>
      <c r="AM25" s="128">
        <f>IF($C25="",AI25,IF(AI24&gt;AI25,SUMPRODUCT(AI24:AI25,G24:G25)/SUM(G24:G25),AI25))</f>
        <v>371.69566971823156</v>
      </c>
      <c r="AN25" s="128">
        <f>IF($C25="",AJ25,IF(AJ24&gt;AJ25,SUMPRODUCT(AJ24:AJ25,H24:H25)/SUM(H24:H25),AJ25))</f>
        <v>223.27840872115809</v>
      </c>
      <c r="AO25" s="129">
        <f>IF($C25="",AK25,IF(AK24&gt;AK25,SUMPRODUCT(AK24:AK25,I24:I25)/SUM(I24:I25),AK25))</f>
        <v>223.27840872115809</v>
      </c>
      <c r="AP25" s="127">
        <f t="shared" si="35"/>
        <v>429.98120721064953</v>
      </c>
      <c r="AQ25" s="128">
        <f t="shared" si="36"/>
        <v>371.69566971823156</v>
      </c>
      <c r="AR25" s="128">
        <f t="shared" si="37"/>
        <v>223.27840872115809</v>
      </c>
      <c r="AS25" s="129">
        <f t="shared" si="38"/>
        <v>223.27840872115809</v>
      </c>
      <c r="AT25" s="18" t="str">
        <f t="shared" si="6"/>
        <v/>
      </c>
      <c r="AU25" s="19" t="str">
        <f t="shared" si="7"/>
        <v/>
      </c>
      <c r="AV25" s="19" t="str">
        <f t="shared" si="39"/>
        <v/>
      </c>
      <c r="AW25" s="19" t="str">
        <f t="shared" si="40"/>
        <v/>
      </c>
      <c r="AX25" s="19" t="str">
        <f t="shared" si="8"/>
        <v/>
      </c>
      <c r="AY25" s="323" t="str">
        <f t="shared" si="9"/>
        <v/>
      </c>
      <c r="AZ25" s="326">
        <f t="shared" si="10"/>
        <v>429.98120721064953</v>
      </c>
      <c r="BA25" s="323">
        <f t="shared" si="41"/>
        <v>371.69566971823156</v>
      </c>
      <c r="BB25" s="323">
        <f t="shared" si="11"/>
        <v>223.27840872115809</v>
      </c>
      <c r="BC25" s="327">
        <f t="shared" si="12"/>
        <v>223.27840872115809</v>
      </c>
      <c r="BD25" s="18" t="str">
        <f t="shared" si="42"/>
        <v/>
      </c>
      <c r="BE25" s="19" t="str">
        <f t="shared" si="43"/>
        <v/>
      </c>
      <c r="BF25" s="19" t="str">
        <f t="shared" si="44"/>
        <v/>
      </c>
      <c r="BG25" s="19" t="str">
        <f t="shared" si="45"/>
        <v/>
      </c>
      <c r="BH25" s="19" t="str">
        <f t="shared" si="46"/>
        <v/>
      </c>
      <c r="BI25" s="20" t="str">
        <f t="shared" si="47"/>
        <v/>
      </c>
      <c r="BJ25" s="744">
        <f t="shared" si="48"/>
        <v>3976175.0929893823</v>
      </c>
      <c r="BK25" s="321"/>
    </row>
    <row r="26" spans="1:63">
      <c r="A26" s="74">
        <v>160</v>
      </c>
      <c r="B26" s="89" t="s">
        <v>13</v>
      </c>
      <c r="C26" s="74" t="str">
        <f>$A$26&amp;"&amp;"&amp;$A$27</f>
        <v>160&amp;219</v>
      </c>
      <c r="D26" s="93" t="str">
        <f t="shared" si="13"/>
        <v>A</v>
      </c>
      <c r="E26" s="74">
        <f>IF(ISERROR(VLOOKUP(A26,Mandatory!A:A,1,FALSE)),0,1)</f>
        <v>1</v>
      </c>
      <c r="F26" s="75">
        <f>VLOOKUP(A26,'Front-loading'!A:AG,$F$6,FALSE)</f>
        <v>4208</v>
      </c>
      <c r="G26" s="76">
        <f>VLOOKUP(A26,'Front-loading'!A:AG,$G$6,FALSE)</f>
        <v>206917</v>
      </c>
      <c r="H26" s="76">
        <f>VLOOKUP(A26,'Front-loading'!A:AG,$H$6,FALSE)</f>
        <v>10979</v>
      </c>
      <c r="I26" s="77">
        <f>VLOOKUP(A26,'Front-loading'!A:AG,$I$6,FALSE)</f>
        <v>547714</v>
      </c>
      <c r="J26" s="75">
        <f>VLOOKUP(A26,'Front-loading'!A:AG,$J$6,FALSE)</f>
        <v>664427.34705286089</v>
      </c>
      <c r="K26" s="76">
        <f>VLOOKUP(A26,'Front-loading'!A:AG,$K$6,FALSE)</f>
        <v>24577600.605437487</v>
      </c>
      <c r="L26" s="76">
        <f>VLOOKUP(A26,'Front-loading'!A:AG,$L$6,FALSE)</f>
        <v>1151216.8042960709</v>
      </c>
      <c r="M26" s="77">
        <f>VLOOKUP(A26,'Front-loading'!A:AG,$M$6,FALSE)</f>
        <v>37550697.243467413</v>
      </c>
      <c r="N26" s="78">
        <f t="shared" si="14"/>
        <v>157.89623266465324</v>
      </c>
      <c r="O26" s="79">
        <f t="shared" si="14"/>
        <v>118.77999683659384</v>
      </c>
      <c r="P26" s="79">
        <f t="shared" si="14"/>
        <v>104.85625323764195</v>
      </c>
      <c r="Q26" s="80">
        <f t="shared" si="14"/>
        <v>68.55895091866816</v>
      </c>
      <c r="R26" s="101">
        <f t="shared" si="15"/>
        <v>157.89623266465324</v>
      </c>
      <c r="S26" s="102">
        <f t="shared" si="16"/>
        <v>118.77999683659384</v>
      </c>
      <c r="T26" s="102">
        <f t="shared" si="17"/>
        <v>104.85625323764195</v>
      </c>
      <c r="U26" s="102">
        <f t="shared" si="18"/>
        <v>68.55895091866816</v>
      </c>
      <c r="V26" s="95">
        <f t="shared" si="19"/>
        <v>157.89623266465324</v>
      </c>
      <c r="W26" s="96">
        <f t="shared" si="20"/>
        <v>118.77999683659384</v>
      </c>
      <c r="X26" s="96">
        <f t="shared" si="21"/>
        <v>104.85625323764195</v>
      </c>
      <c r="Y26" s="96">
        <f t="shared" si="22"/>
        <v>68.55895091866816</v>
      </c>
      <c r="Z26" s="60">
        <f t="shared" si="23"/>
        <v>157.89623266465324</v>
      </c>
      <c r="AA26" s="61">
        <f t="shared" si="24"/>
        <v>118.77999683659384</v>
      </c>
      <c r="AB26" s="61">
        <f t="shared" si="25"/>
        <v>104.85625323764195</v>
      </c>
      <c r="AC26" s="108">
        <f t="shared" si="26"/>
        <v>68.55895091866816</v>
      </c>
      <c r="AD26" s="61">
        <f t="shared" si="27"/>
        <v>157.89623266465324</v>
      </c>
      <c r="AE26" s="61">
        <f t="shared" si="28"/>
        <v>118.77999683659384</v>
      </c>
      <c r="AF26" s="61">
        <f t="shared" si="29"/>
        <v>104.85625323764195</v>
      </c>
      <c r="AG26" s="108">
        <f t="shared" si="30"/>
        <v>68.55895091866816</v>
      </c>
      <c r="AH26" s="61">
        <f t="shared" si="31"/>
        <v>157.89623266465324</v>
      </c>
      <c r="AI26" s="61">
        <f t="shared" si="32"/>
        <v>118.77999683659384</v>
      </c>
      <c r="AJ26" s="61">
        <f t="shared" si="33"/>
        <v>104.85625323764195</v>
      </c>
      <c r="AK26" s="61">
        <f t="shared" si="34"/>
        <v>68.55895091866816</v>
      </c>
      <c r="AL26" s="60">
        <f>IF($C26="",AH26,IF(AH26&gt;AH27,SUMPRODUCT(AH26:AH27,F26:F27)/SUM(F26:F27),AH26))</f>
        <v>157.89623266465324</v>
      </c>
      <c r="AM26" s="61">
        <f>IF($C26="",AI26,IF(AI26&gt;AI27,SUMPRODUCT(AI26:AI27,G26:G27)/SUM(G26:G27),AI26))</f>
        <v>118.77999683659384</v>
      </c>
      <c r="AN26" s="61">
        <f>IF($C26="",AJ26,IF(AJ26&gt;AJ27,SUMPRODUCT(AJ26:AJ27,H26:H27)/SUM(H26:H27),AJ26))</f>
        <v>104.85625323764195</v>
      </c>
      <c r="AO26" s="108">
        <f>IF($C26="",AK26,IF(AK26&gt;AK27,SUMPRODUCT(AK26:AK27,I26:I27)/SUM(I26:I27),AK26))</f>
        <v>68.55895091866816</v>
      </c>
      <c r="AP26" s="60">
        <f t="shared" si="35"/>
        <v>157.89623266465324</v>
      </c>
      <c r="AQ26" s="61">
        <f t="shared" si="36"/>
        <v>118.77999683659384</v>
      </c>
      <c r="AR26" s="61">
        <f t="shared" si="37"/>
        <v>104.85625323764195</v>
      </c>
      <c r="AS26" s="108">
        <f t="shared" si="38"/>
        <v>68.55895091866816</v>
      </c>
      <c r="AT26" s="81" t="str">
        <f t="shared" si="6"/>
        <v/>
      </c>
      <c r="AU26" s="82" t="str">
        <f t="shared" si="7"/>
        <v/>
      </c>
      <c r="AV26" s="82" t="str">
        <f t="shared" si="39"/>
        <v/>
      </c>
      <c r="AW26" s="82" t="str">
        <f t="shared" si="40"/>
        <v/>
      </c>
      <c r="AX26" s="82" t="str">
        <f t="shared" si="8"/>
        <v/>
      </c>
      <c r="AY26" s="324" t="str">
        <f t="shared" si="9"/>
        <v/>
      </c>
      <c r="AZ26" s="328">
        <f t="shared" si="10"/>
        <v>157.89623266465324</v>
      </c>
      <c r="BA26" s="324">
        <f t="shared" si="41"/>
        <v>118.77999683659384</v>
      </c>
      <c r="BB26" s="324">
        <f t="shared" si="11"/>
        <v>104.85625323764195</v>
      </c>
      <c r="BC26" s="329">
        <f t="shared" si="12"/>
        <v>68.55895091866816</v>
      </c>
      <c r="BD26" s="288" t="str">
        <f t="shared" si="42"/>
        <v/>
      </c>
      <c r="BE26" s="289" t="str">
        <f t="shared" si="43"/>
        <v/>
      </c>
      <c r="BF26" s="289" t="str">
        <f t="shared" si="44"/>
        <v/>
      </c>
      <c r="BG26" s="289" t="str">
        <f t="shared" si="45"/>
        <v/>
      </c>
      <c r="BH26" s="289" t="str">
        <f t="shared" si="46"/>
        <v/>
      </c>
      <c r="BI26" s="290" t="str">
        <f t="shared" si="47"/>
        <v/>
      </c>
      <c r="BJ26" s="744">
        <f t="shared" si="48"/>
        <v>63943942.000253834</v>
      </c>
      <c r="BK26" s="321"/>
    </row>
    <row r="27" spans="1:63">
      <c r="A27">
        <v>219</v>
      </c>
      <c r="B27" s="88" t="s">
        <v>23</v>
      </c>
      <c r="C27" s="83" t="str">
        <f>$A$26&amp;"&amp;"&amp;$A$27</f>
        <v>160&amp;219</v>
      </c>
      <c r="D27" s="62" t="str">
        <f t="shared" si="13"/>
        <v>C</v>
      </c>
      <c r="E27">
        <f>IF(ISERROR(VLOOKUP(A27,Mandatory!A:A,1,FALSE)),0,1)</f>
        <v>1</v>
      </c>
      <c r="F27" s="54">
        <f>VLOOKUP(A27,'Front-loading'!A:AG,$F$6,FALSE)</f>
        <v>193</v>
      </c>
      <c r="G27" s="55">
        <f>VLOOKUP(A27,'Front-loading'!A:AG,$G$6,FALSE)</f>
        <v>15496</v>
      </c>
      <c r="H27" s="55">
        <f>VLOOKUP(A27,'Front-loading'!A:AG,$H$6,FALSE)</f>
        <v>586</v>
      </c>
      <c r="I27" s="56">
        <f>VLOOKUP(A27,'Front-loading'!A:AG,$I$6,FALSE)</f>
        <v>41156</v>
      </c>
      <c r="J27" s="54">
        <f>VLOOKUP(A27,'Front-loading'!A:AG,$J$6,FALSE)</f>
        <v>38836.79691796696</v>
      </c>
      <c r="K27" s="55">
        <f>VLOOKUP(A27,'Front-loading'!A:AG,$K$6,FALSE)</f>
        <v>2214713.8148584701</v>
      </c>
      <c r="L27" s="55">
        <f>VLOOKUP(A27,'Front-loading'!A:AG,$L$6,FALSE)</f>
        <v>48582.251976157742</v>
      </c>
      <c r="M27" s="56">
        <f>VLOOKUP(A27,'Front-loading'!A:AG,$M$6,FALSE)</f>
        <v>4500374.449755216</v>
      </c>
      <c r="N27" s="15">
        <f t="shared" si="14"/>
        <v>201.22692703609823</v>
      </c>
      <c r="O27" s="11">
        <f t="shared" si="14"/>
        <v>142.92164525416044</v>
      </c>
      <c r="P27" s="11">
        <f t="shared" si="14"/>
        <v>82.904866853511507</v>
      </c>
      <c r="Q27" s="12">
        <f t="shared" si="14"/>
        <v>109.34917022439538</v>
      </c>
      <c r="R27" s="99">
        <f t="shared" si="15"/>
        <v>201.22692703609823</v>
      </c>
      <c r="S27" s="100">
        <f t="shared" si="16"/>
        <v>142.92164525416044</v>
      </c>
      <c r="T27" s="100">
        <f t="shared" si="17"/>
        <v>82.904866853511507</v>
      </c>
      <c r="U27" s="100">
        <f t="shared" si="18"/>
        <v>109.34917022439538</v>
      </c>
      <c r="V27" s="125">
        <f t="shared" si="19"/>
        <v>201.22692703609823</v>
      </c>
      <c r="W27" s="126">
        <f t="shared" si="20"/>
        <v>142.92164525416044</v>
      </c>
      <c r="X27" s="126">
        <f t="shared" si="21"/>
        <v>82.904866853511507</v>
      </c>
      <c r="Y27" s="126">
        <f t="shared" si="22"/>
        <v>109.34917022439538</v>
      </c>
      <c r="Z27" s="127">
        <f t="shared" si="23"/>
        <v>201.22692703609823</v>
      </c>
      <c r="AA27" s="128">
        <f t="shared" si="24"/>
        <v>142.92164525416044</v>
      </c>
      <c r="AB27" s="128">
        <f t="shared" si="25"/>
        <v>82.904866853511507</v>
      </c>
      <c r="AC27" s="129">
        <f t="shared" si="26"/>
        <v>109.34917022439538</v>
      </c>
      <c r="AD27" s="128">
        <f t="shared" si="27"/>
        <v>201.22692703609823</v>
      </c>
      <c r="AE27" s="128">
        <f t="shared" si="28"/>
        <v>142.92164525416044</v>
      </c>
      <c r="AF27" s="128">
        <f t="shared" si="29"/>
        <v>108.9779287463795</v>
      </c>
      <c r="AG27" s="129">
        <f t="shared" si="30"/>
        <v>108.9779287463795</v>
      </c>
      <c r="AH27" s="128">
        <f t="shared" si="31"/>
        <v>201.22692703609823</v>
      </c>
      <c r="AI27" s="128">
        <f t="shared" si="32"/>
        <v>142.92164525416044</v>
      </c>
      <c r="AJ27" s="128">
        <f t="shared" si="33"/>
        <v>108.9779287463795</v>
      </c>
      <c r="AK27" s="128">
        <f t="shared" si="34"/>
        <v>108.9779287463795</v>
      </c>
      <c r="AL27" s="127">
        <f>IF($C27="",AH27,IF(AH26&gt;AH27,SUMPRODUCT(AH26:AH27,F26:F27)/SUM(F26:F27),AH27))</f>
        <v>201.22692703609823</v>
      </c>
      <c r="AM27" s="128">
        <f>IF($C27="",AI27,IF(AI26&gt;AI27,SUMPRODUCT(AI26:AI27,G26:G27)/SUM(G26:G27),AI27))</f>
        <v>142.92164525416044</v>
      </c>
      <c r="AN27" s="128">
        <f>IF($C27="",AJ27,IF(AJ26&gt;AJ27,SUMPRODUCT(AJ26:AJ27,H26:H27)/SUM(H26:H27),AJ27))</f>
        <v>108.9779287463795</v>
      </c>
      <c r="AO27" s="129">
        <f>IF($C27="",AK27,IF(AK26&gt;AK27,SUMPRODUCT(AK26:AK27,I26:I27)/SUM(I26:I27),AK27))</f>
        <v>108.9779287463795</v>
      </c>
      <c r="AP27" s="127">
        <f t="shared" si="35"/>
        <v>201.22692703609823</v>
      </c>
      <c r="AQ27" s="128">
        <f t="shared" si="36"/>
        <v>142.92164525416044</v>
      </c>
      <c r="AR27" s="128">
        <f t="shared" si="37"/>
        <v>108.9779287463795</v>
      </c>
      <c r="AS27" s="129">
        <f t="shared" si="38"/>
        <v>108.9779287463795</v>
      </c>
      <c r="AT27" s="18" t="str">
        <f t="shared" si="6"/>
        <v/>
      </c>
      <c r="AU27" s="19" t="str">
        <f t="shared" si="7"/>
        <v/>
      </c>
      <c r="AV27" s="19" t="str">
        <f t="shared" si="39"/>
        <v/>
      </c>
      <c r="AW27" s="19" t="str">
        <f t="shared" si="40"/>
        <v/>
      </c>
      <c r="AX27" s="19" t="str">
        <f t="shared" si="8"/>
        <v/>
      </c>
      <c r="AY27" s="323" t="str">
        <f t="shared" si="9"/>
        <v/>
      </c>
      <c r="AZ27" s="326">
        <f t="shared" si="10"/>
        <v>201.22692703609823</v>
      </c>
      <c r="BA27" s="323">
        <f t="shared" si="41"/>
        <v>142.92164525416044</v>
      </c>
      <c r="BB27" s="323">
        <f t="shared" si="11"/>
        <v>108.9779287463795</v>
      </c>
      <c r="BC27" s="327">
        <f t="shared" si="12"/>
        <v>108.9779287463795</v>
      </c>
      <c r="BD27" s="18" t="str">
        <f t="shared" si="42"/>
        <v/>
      </c>
      <c r="BE27" s="19" t="str">
        <f t="shared" si="43"/>
        <v/>
      </c>
      <c r="BF27" s="19" t="str">
        <f t="shared" si="44"/>
        <v/>
      </c>
      <c r="BG27" s="19" t="str">
        <f t="shared" si="45"/>
        <v/>
      </c>
      <c r="BH27" s="19" t="str">
        <f t="shared" si="46"/>
        <v/>
      </c>
      <c r="BI27" s="20" t="str">
        <f t="shared" si="47"/>
        <v/>
      </c>
      <c r="BJ27" s="744">
        <f t="shared" si="48"/>
        <v>6802507.3135078102</v>
      </c>
      <c r="BK27" s="321"/>
    </row>
    <row r="28" spans="1:63">
      <c r="A28" s="74">
        <v>161</v>
      </c>
      <c r="B28" s="89" t="s">
        <v>450</v>
      </c>
      <c r="C28" s="74" t="str">
        <f>$A$28&amp;"&amp;"&amp;$A$29</f>
        <v>161&amp;220</v>
      </c>
      <c r="D28" s="93" t="str">
        <f t="shared" si="13"/>
        <v>A</v>
      </c>
      <c r="E28" s="74">
        <f>IF(ISERROR(VLOOKUP(A28,Mandatory!A:A,1,FALSE)),0,1)</f>
        <v>0</v>
      </c>
      <c r="F28" s="75">
        <f>VLOOKUP(A28,'Front-loading'!A:AG,$F$6,FALSE)</f>
        <v>0</v>
      </c>
      <c r="G28" s="76">
        <f>VLOOKUP(A28,'Front-loading'!A:AG,$G$6,FALSE)</f>
        <v>10341</v>
      </c>
      <c r="H28" s="76">
        <f>VLOOKUP(A28,'Front-loading'!A:AG,$H$6,FALSE)</f>
        <v>43</v>
      </c>
      <c r="I28" s="77">
        <f>VLOOKUP(A28,'Front-loading'!A:AG,$I$6,FALSE)</f>
        <v>20112</v>
      </c>
      <c r="J28" s="75">
        <f>VLOOKUP(A28,'Front-loading'!A:AG,$J$6,FALSE)</f>
        <v>0</v>
      </c>
      <c r="K28" s="76">
        <f>VLOOKUP(A28,'Front-loading'!A:AG,$K$6,FALSE)</f>
        <v>1389127.0939639919</v>
      </c>
      <c r="L28" s="76">
        <f>VLOOKUP(A28,'Front-loading'!A:AG,$L$6,FALSE)</f>
        <v>17077.249000937161</v>
      </c>
      <c r="M28" s="77">
        <f>VLOOKUP(A28,'Front-loading'!A:AG,$M$6,FALSE)</f>
        <v>1875085.8395816891</v>
      </c>
      <c r="N28" s="78">
        <f t="shared" si="14"/>
        <v>0</v>
      </c>
      <c r="O28" s="79">
        <f t="shared" si="14"/>
        <v>134.33198858562923</v>
      </c>
      <c r="P28" s="79">
        <f t="shared" si="14"/>
        <v>397.1453256031898</v>
      </c>
      <c r="Q28" s="80">
        <f t="shared" si="14"/>
        <v>93.232191705533467</v>
      </c>
      <c r="R28" s="101">
        <f t="shared" si="15"/>
        <v>397.1453256031898</v>
      </c>
      <c r="S28" s="102">
        <f t="shared" si="16"/>
        <v>134.33198858562923</v>
      </c>
      <c r="T28" s="102">
        <f t="shared" si="17"/>
        <v>397.1453256031898</v>
      </c>
      <c r="U28" s="102">
        <f t="shared" si="18"/>
        <v>93.232191705533467</v>
      </c>
      <c r="V28" s="95">
        <f t="shared" si="19"/>
        <v>397.1453256031898</v>
      </c>
      <c r="W28" s="96">
        <f t="shared" si="20"/>
        <v>134.33198858562923</v>
      </c>
      <c r="X28" s="96">
        <f t="shared" si="21"/>
        <v>397.1453256031898</v>
      </c>
      <c r="Y28" s="96">
        <f t="shared" si="22"/>
        <v>93.232191705533467</v>
      </c>
      <c r="Z28" s="60">
        <f t="shared" si="23"/>
        <v>397.1453256031898</v>
      </c>
      <c r="AA28" s="61">
        <f t="shared" si="24"/>
        <v>134.33198858562923</v>
      </c>
      <c r="AB28" s="61">
        <f t="shared" si="25"/>
        <v>397.1453256031898</v>
      </c>
      <c r="AC28" s="108">
        <f t="shared" si="26"/>
        <v>93.232191705533467</v>
      </c>
      <c r="AD28" s="61">
        <f t="shared" si="27"/>
        <v>397.1453256031898</v>
      </c>
      <c r="AE28" s="61">
        <f t="shared" si="28"/>
        <v>134.33198858562923</v>
      </c>
      <c r="AF28" s="61">
        <f t="shared" si="29"/>
        <v>397.1453256031898</v>
      </c>
      <c r="AG28" s="108">
        <f t="shared" si="30"/>
        <v>93.232191705533467</v>
      </c>
      <c r="AH28" s="61">
        <f t="shared" si="31"/>
        <v>268.66397717125847</v>
      </c>
      <c r="AI28" s="61">
        <f t="shared" si="32"/>
        <v>134.33198858562923</v>
      </c>
      <c r="AJ28" s="61">
        <f t="shared" si="33"/>
        <v>187.36143069438819</v>
      </c>
      <c r="AK28" s="61">
        <f t="shared" si="34"/>
        <v>93.680715347194095</v>
      </c>
      <c r="AL28" s="60">
        <f>IF($C28="",AH28,IF(AH28&gt;AH29,SUMPRODUCT(AH28:AH29,F28:F29)/SUM(F28:F29),AH28))</f>
        <v>268.66397717125847</v>
      </c>
      <c r="AM28" s="61">
        <f>IF($C28="",AI28,IF(AI28&gt;AI29,SUMPRODUCT(AI28:AI29,G28:G29)/SUM(G28:G29),AI28))</f>
        <v>134.33198858562923</v>
      </c>
      <c r="AN28" s="61">
        <f>IF($C28="",AJ28,IF(AJ28&gt;AJ29,SUMPRODUCT(AJ28:AJ29,H28:H29)/SUM(H28:H29),AJ28))</f>
        <v>135.06873832903077</v>
      </c>
      <c r="AO28" s="108">
        <f>IF($C28="",AK28,IF(AK28&gt;AK29,SUMPRODUCT(AK28:AK29,I28:I29)/SUM(I28:I29),AK28))</f>
        <v>93.680715347194095</v>
      </c>
      <c r="AP28" s="60">
        <f t="shared" si="35"/>
        <v>268.66397717125847</v>
      </c>
      <c r="AQ28" s="61">
        <f t="shared" si="36"/>
        <v>134.33198858562923</v>
      </c>
      <c r="AR28" s="61">
        <f t="shared" si="37"/>
        <v>135.06873832903077</v>
      </c>
      <c r="AS28" s="108">
        <f t="shared" si="38"/>
        <v>93.680715347194095</v>
      </c>
      <c r="AT28" s="81" t="str">
        <f t="shared" si="6"/>
        <v/>
      </c>
      <c r="AU28" s="82" t="str">
        <f t="shared" si="7"/>
        <v/>
      </c>
      <c r="AV28" s="82" t="str">
        <f t="shared" si="39"/>
        <v/>
      </c>
      <c r="AW28" s="82" t="str">
        <f t="shared" si="40"/>
        <v/>
      </c>
      <c r="AX28" s="82" t="str">
        <f t="shared" si="8"/>
        <v/>
      </c>
      <c r="AY28" s="324" t="str">
        <f t="shared" si="9"/>
        <v/>
      </c>
      <c r="AZ28" s="328">
        <f t="shared" si="10"/>
        <v>268.66397717125847</v>
      </c>
      <c r="BA28" s="324">
        <f t="shared" si="41"/>
        <v>134.33198858562923</v>
      </c>
      <c r="BB28" s="324">
        <f t="shared" si="11"/>
        <v>135.06873832903077</v>
      </c>
      <c r="BC28" s="329">
        <f t="shared" si="12"/>
        <v>93.680715347194095</v>
      </c>
      <c r="BD28" s="288" t="str">
        <f t="shared" si="42"/>
        <v/>
      </c>
      <c r="BE28" s="289" t="str">
        <f t="shared" si="43"/>
        <v/>
      </c>
      <c r="BF28" s="289" t="str">
        <f t="shared" si="44"/>
        <v/>
      </c>
      <c r="BG28" s="289" t="str">
        <f t="shared" si="45"/>
        <v/>
      </c>
      <c r="BH28" s="289" t="str">
        <f t="shared" si="46"/>
        <v/>
      </c>
      <c r="BI28" s="290" t="str">
        <f t="shared" si="47"/>
        <v/>
      </c>
      <c r="BJ28" s="744">
        <f t="shared" si="48"/>
        <v>3279041.5967749078</v>
      </c>
      <c r="BK28" s="321"/>
    </row>
    <row r="29" spans="1:63">
      <c r="A29">
        <v>220</v>
      </c>
      <c r="B29" s="88" t="s">
        <v>459</v>
      </c>
      <c r="C29" s="83" t="str">
        <f>$A$28&amp;"&amp;"&amp;$A$29</f>
        <v>161&amp;220</v>
      </c>
      <c r="D29" s="62" t="str">
        <f t="shared" si="13"/>
        <v>C</v>
      </c>
      <c r="E29">
        <f>IF(ISERROR(VLOOKUP(A29,Mandatory!A:A,1,FALSE)),0,1)</f>
        <v>0</v>
      </c>
      <c r="F29" s="54">
        <f>VLOOKUP(A29,'Front-loading'!A:AG,$F$6,FALSE)</f>
        <v>51</v>
      </c>
      <c r="G29" s="55">
        <f>VLOOKUP(A29,'Front-loading'!A:AG,$G$6,FALSE)</f>
        <v>1198</v>
      </c>
      <c r="H29" s="55">
        <f>VLOOKUP(A29,'Front-loading'!A:AG,$H$6,FALSE)</f>
        <v>319</v>
      </c>
      <c r="I29" s="56">
        <f>VLOOKUP(A29,'Front-loading'!A:AG,$I$6,FALSE)</f>
        <v>6260</v>
      </c>
      <c r="J29" s="54">
        <f>VLOOKUP(A29,'Front-loading'!A:AG,$J$6,FALSE)</f>
        <v>15803.90982962666</v>
      </c>
      <c r="K29" s="55">
        <f>VLOOKUP(A29,'Front-loading'!A:AG,$K$6,FALSE)</f>
        <v>268826.06463183835</v>
      </c>
      <c r="L29" s="55">
        <f>VLOOKUP(A29,'Front-loading'!A:AG,$L$6,FALSE)</f>
        <v>40838.34175525044</v>
      </c>
      <c r="M29" s="56">
        <f>VLOOKUP(A29,'Front-loading'!A:AG,$M$6,FALSE)</f>
        <v>737542.83344179834</v>
      </c>
      <c r="N29" s="15">
        <f t="shared" si="14"/>
        <v>309.88058489464038</v>
      </c>
      <c r="O29" s="11">
        <f t="shared" si="14"/>
        <v>224.39571338216891</v>
      </c>
      <c r="P29" s="11">
        <f t="shared" si="14"/>
        <v>128.01988011050295</v>
      </c>
      <c r="Q29" s="12">
        <f t="shared" si="14"/>
        <v>117.81834400028727</v>
      </c>
      <c r="R29" s="99">
        <f t="shared" si="15"/>
        <v>309.88058489464038</v>
      </c>
      <c r="S29" s="100">
        <f t="shared" si="16"/>
        <v>224.39571338216891</v>
      </c>
      <c r="T29" s="100">
        <f t="shared" si="17"/>
        <v>128.01988011050295</v>
      </c>
      <c r="U29" s="100">
        <f t="shared" si="18"/>
        <v>117.81834400028727</v>
      </c>
      <c r="V29" s="125">
        <f t="shared" si="19"/>
        <v>309.88058489464038</v>
      </c>
      <c r="W29" s="126">
        <f t="shared" si="20"/>
        <v>224.39571338216891</v>
      </c>
      <c r="X29" s="126">
        <f t="shared" si="21"/>
        <v>128.01988011050295</v>
      </c>
      <c r="Y29" s="126">
        <f t="shared" si="22"/>
        <v>117.81834400028727</v>
      </c>
      <c r="Z29" s="127">
        <f t="shared" si="23"/>
        <v>309.88058489464038</v>
      </c>
      <c r="AA29" s="128">
        <f t="shared" si="24"/>
        <v>224.39571338216891</v>
      </c>
      <c r="AB29" s="128">
        <f t="shared" si="25"/>
        <v>128.01988011050295</v>
      </c>
      <c r="AC29" s="129">
        <f t="shared" si="26"/>
        <v>117.81834400028727</v>
      </c>
      <c r="AD29" s="128">
        <f t="shared" si="27"/>
        <v>309.88058489464038</v>
      </c>
      <c r="AE29" s="128">
        <f t="shared" si="28"/>
        <v>224.39571338216891</v>
      </c>
      <c r="AF29" s="128">
        <f t="shared" si="29"/>
        <v>128.01988011050295</v>
      </c>
      <c r="AG29" s="129">
        <f t="shared" si="30"/>
        <v>117.81834400028727</v>
      </c>
      <c r="AH29" s="128">
        <f t="shared" si="31"/>
        <v>309.88058489464038</v>
      </c>
      <c r="AI29" s="128">
        <f t="shared" si="32"/>
        <v>224.39571338216891</v>
      </c>
      <c r="AJ29" s="128">
        <f t="shared" si="33"/>
        <v>128.01988011050295</v>
      </c>
      <c r="AK29" s="128">
        <f t="shared" si="34"/>
        <v>117.81834400028727</v>
      </c>
      <c r="AL29" s="127">
        <f>IF($C29="",AH29,IF(AH28&gt;AH29,SUMPRODUCT(AH28:AH29,F28:F29)/SUM(F28:F29),AH29))</f>
        <v>309.88058489464038</v>
      </c>
      <c r="AM29" s="128">
        <f>IF($C29="",AI29,IF(AI28&gt;AI29,SUMPRODUCT(AI28:AI29,G28:G29)/SUM(G28:G29),AI29))</f>
        <v>224.39571338216891</v>
      </c>
      <c r="AN29" s="128">
        <f>IF($C29="",AJ29,IF(AJ28&gt;AJ29,SUMPRODUCT(AJ28:AJ29,H28:H29)/SUM(H28:H29),AJ29))</f>
        <v>135.06873832903077</v>
      </c>
      <c r="AO29" s="129">
        <f>IF($C29="",AK29,IF(AK28&gt;AK29,SUMPRODUCT(AK28:AK29,I28:I29)/SUM(I28:I29),AK29))</f>
        <v>117.81834400028727</v>
      </c>
      <c r="AP29" s="127">
        <f t="shared" si="35"/>
        <v>309.88058489464038</v>
      </c>
      <c r="AQ29" s="128">
        <f t="shared" si="36"/>
        <v>224.39571338216891</v>
      </c>
      <c r="AR29" s="128">
        <f t="shared" si="37"/>
        <v>135.06873832903077</v>
      </c>
      <c r="AS29" s="129">
        <f t="shared" si="38"/>
        <v>117.81834400028727</v>
      </c>
      <c r="AT29" s="18" t="str">
        <f t="shared" si="6"/>
        <v/>
      </c>
      <c r="AU29" s="19" t="str">
        <f t="shared" si="7"/>
        <v/>
      </c>
      <c r="AV29" s="19" t="str">
        <f t="shared" si="39"/>
        <v/>
      </c>
      <c r="AW29" s="19" t="str">
        <f t="shared" si="40"/>
        <v/>
      </c>
      <c r="AX29" s="19" t="str">
        <f t="shared" si="8"/>
        <v/>
      </c>
      <c r="AY29" s="323" t="str">
        <f t="shared" si="9"/>
        <v/>
      </c>
      <c r="AZ29" s="326">
        <f t="shared" si="10"/>
        <v>309.88058489464038</v>
      </c>
      <c r="BA29" s="323">
        <f t="shared" si="41"/>
        <v>224.39571338216891</v>
      </c>
      <c r="BB29" s="323">
        <f t="shared" si="11"/>
        <v>135.06873832903077</v>
      </c>
      <c r="BC29" s="327">
        <f t="shared" si="12"/>
        <v>117.81834400028727</v>
      </c>
      <c r="BD29" s="18" t="str">
        <f t="shared" si="42"/>
        <v/>
      </c>
      <c r="BE29" s="19" t="str">
        <f t="shared" si="43"/>
        <v/>
      </c>
      <c r="BF29" s="19" t="str">
        <f t="shared" si="44"/>
        <v/>
      </c>
      <c r="BG29" s="19" t="str">
        <f t="shared" si="45"/>
        <v/>
      </c>
      <c r="BH29" s="19" t="str">
        <f t="shared" si="46"/>
        <v/>
      </c>
      <c r="BI29" s="20" t="str">
        <f t="shared" si="47"/>
        <v/>
      </c>
      <c r="BJ29" s="744">
        <f t="shared" si="48"/>
        <v>1065259.7354302241</v>
      </c>
      <c r="BK29" s="321"/>
    </row>
    <row r="30" spans="1:63">
      <c r="A30" s="74">
        <v>172</v>
      </c>
      <c r="B30" s="89" t="s">
        <v>16</v>
      </c>
      <c r="C30" s="74" t="str">
        <f>$A$30&amp;"&amp;"&amp;$A$31</f>
        <v>172&amp;221</v>
      </c>
      <c r="D30" s="93" t="str">
        <f t="shared" si="13"/>
        <v>A</v>
      </c>
      <c r="E30" s="74">
        <f>IF(ISERROR(VLOOKUP(A30,Mandatory!A:A,1,FALSE)),0,1)</f>
        <v>1</v>
      </c>
      <c r="F30" s="75">
        <f>VLOOKUP(A30,'Front-loading'!A:AG,$F$6,FALSE)</f>
        <v>1333</v>
      </c>
      <c r="G30" s="76">
        <f>VLOOKUP(A30,'Front-loading'!A:AG,$G$6,FALSE)</f>
        <v>15271</v>
      </c>
      <c r="H30" s="76">
        <f>VLOOKUP(A30,'Front-loading'!A:AG,$H$6,FALSE)</f>
        <v>2834</v>
      </c>
      <c r="I30" s="77">
        <f>VLOOKUP(A30,'Front-loading'!A:AG,$I$6,FALSE)</f>
        <v>27178</v>
      </c>
      <c r="J30" s="75">
        <f>VLOOKUP(A30,'Front-loading'!A:AG,$J$6,FALSE)</f>
        <v>188630.22535864459</v>
      </c>
      <c r="K30" s="76">
        <f>VLOOKUP(A30,'Front-loading'!A:AG,$K$6,FALSE)</f>
        <v>4644869.951292227</v>
      </c>
      <c r="L30" s="76">
        <f>VLOOKUP(A30,'Front-loading'!A:AG,$L$6,FALSE)</f>
        <v>378474.09353263438</v>
      </c>
      <c r="M30" s="77">
        <f>VLOOKUP(A30,'Front-loading'!A:AG,$M$6,FALSE)</f>
        <v>5310596.4567262633</v>
      </c>
      <c r="N30" s="78">
        <f t="shared" si="14"/>
        <v>141.50804603049107</v>
      </c>
      <c r="O30" s="79">
        <f t="shared" si="14"/>
        <v>304.16278903098862</v>
      </c>
      <c r="P30" s="79">
        <f t="shared" si="14"/>
        <v>133.54766885414057</v>
      </c>
      <c r="Q30" s="80">
        <f t="shared" si="14"/>
        <v>195.40056136309747</v>
      </c>
      <c r="R30" s="101">
        <f t="shared" si="15"/>
        <v>141.50804603049107</v>
      </c>
      <c r="S30" s="102">
        <f t="shared" si="16"/>
        <v>304.16278903098862</v>
      </c>
      <c r="T30" s="102">
        <f t="shared" si="17"/>
        <v>133.54766885414057</v>
      </c>
      <c r="U30" s="102">
        <f t="shared" si="18"/>
        <v>195.40056136309747</v>
      </c>
      <c r="V30" s="95">
        <f t="shared" si="19"/>
        <v>141.50804603049107</v>
      </c>
      <c r="W30" s="96">
        <f t="shared" si="20"/>
        <v>304.16278903098862</v>
      </c>
      <c r="X30" s="96">
        <f t="shared" si="21"/>
        <v>133.54766885414057</v>
      </c>
      <c r="Y30" s="96">
        <f t="shared" si="22"/>
        <v>195.40056136309747</v>
      </c>
      <c r="Z30" s="60">
        <f t="shared" si="23"/>
        <v>141.50804603049107</v>
      </c>
      <c r="AA30" s="61">
        <f t="shared" si="24"/>
        <v>304.16278903098862</v>
      </c>
      <c r="AB30" s="61">
        <f t="shared" si="25"/>
        <v>133.54766885414057</v>
      </c>
      <c r="AC30" s="108">
        <f t="shared" si="26"/>
        <v>195.40056136309747</v>
      </c>
      <c r="AD30" s="61">
        <f t="shared" si="27"/>
        <v>291.10456375878533</v>
      </c>
      <c r="AE30" s="61">
        <f t="shared" si="28"/>
        <v>291.10456375878533</v>
      </c>
      <c r="AF30" s="61">
        <f t="shared" si="29"/>
        <v>189.55986106420423</v>
      </c>
      <c r="AG30" s="108">
        <f t="shared" si="30"/>
        <v>189.55986106420423</v>
      </c>
      <c r="AH30" s="61">
        <f t="shared" si="31"/>
        <v>291.10456375878533</v>
      </c>
      <c r="AI30" s="61">
        <f t="shared" si="32"/>
        <v>291.10456375878533</v>
      </c>
      <c r="AJ30" s="61">
        <f t="shared" si="33"/>
        <v>189.55986106420423</v>
      </c>
      <c r="AK30" s="61">
        <f t="shared" si="34"/>
        <v>189.55986106420423</v>
      </c>
      <c r="AL30" s="60">
        <f>IF($C30="",AH30,IF(AH30&gt;AH31,SUMPRODUCT(AH30:AH31,F30:F31)/SUM(F30:F31),AH30))</f>
        <v>291.10456375878533</v>
      </c>
      <c r="AM30" s="61">
        <f>IF($C30="",AI30,IF(AI30&gt;AI31,SUMPRODUCT(AI30:AI31,G30:G31)/SUM(G30:G31),AI30))</f>
        <v>291.10456375878533</v>
      </c>
      <c r="AN30" s="61">
        <f>IF($C30="",AJ30,IF(AJ30&gt;AJ31,SUMPRODUCT(AJ30:AJ31,H30:H31)/SUM(H30:H31),AJ30))</f>
        <v>189.55986106420423</v>
      </c>
      <c r="AO30" s="108">
        <f>IF($C30="",AK30,IF(AK30&gt;AK31,SUMPRODUCT(AK30:AK31,I30:I31)/SUM(I30:I31),AK30))</f>
        <v>189.55986106420423</v>
      </c>
      <c r="AP30" s="60">
        <f t="shared" si="35"/>
        <v>291.10456375878533</v>
      </c>
      <c r="AQ30" s="61">
        <f t="shared" si="36"/>
        <v>291.10456375878533</v>
      </c>
      <c r="AR30" s="61">
        <f t="shared" si="37"/>
        <v>189.55986106420423</v>
      </c>
      <c r="AS30" s="108">
        <f t="shared" si="38"/>
        <v>189.55986106420423</v>
      </c>
      <c r="AT30" s="81" t="str">
        <f t="shared" si="6"/>
        <v/>
      </c>
      <c r="AU30" s="82" t="str">
        <f t="shared" si="7"/>
        <v/>
      </c>
      <c r="AV30" s="82" t="str">
        <f t="shared" si="39"/>
        <v/>
      </c>
      <c r="AW30" s="82" t="str">
        <f t="shared" si="40"/>
        <v/>
      </c>
      <c r="AX30" s="82" t="str">
        <f t="shared" si="8"/>
        <v/>
      </c>
      <c r="AY30" s="324" t="str">
        <f t="shared" si="9"/>
        <v/>
      </c>
      <c r="AZ30" s="328">
        <f t="shared" si="10"/>
        <v>291.10456375878533</v>
      </c>
      <c r="BA30" s="324">
        <f t="shared" si="41"/>
        <v>291.10456375878533</v>
      </c>
      <c r="BB30" s="324">
        <f t="shared" si="11"/>
        <v>189.55986106420423</v>
      </c>
      <c r="BC30" s="329">
        <f t="shared" si="12"/>
        <v>189.55986106420423</v>
      </c>
      <c r="BD30" s="288" t="str">
        <f t="shared" si="42"/>
        <v/>
      </c>
      <c r="BE30" s="289" t="str">
        <f t="shared" si="43"/>
        <v/>
      </c>
      <c r="BF30" s="289" t="str">
        <f t="shared" si="44"/>
        <v/>
      </c>
      <c r="BG30" s="289" t="str">
        <f t="shared" si="45"/>
        <v/>
      </c>
      <c r="BH30" s="289" t="str">
        <f t="shared" si="46"/>
        <v/>
      </c>
      <c r="BI30" s="290" t="str">
        <f t="shared" si="47"/>
        <v/>
      </c>
      <c r="BJ30" s="744">
        <f t="shared" si="48"/>
        <v>10522570.726909768</v>
      </c>
      <c r="BK30" s="321"/>
    </row>
    <row r="31" spans="1:63">
      <c r="A31">
        <v>221</v>
      </c>
      <c r="B31" s="88" t="s">
        <v>460</v>
      </c>
      <c r="C31" t="str">
        <f>$A$30&amp;"&amp;"&amp;$A$31</f>
        <v>172&amp;221</v>
      </c>
      <c r="D31" s="62" t="str">
        <f t="shared" si="13"/>
        <v>C</v>
      </c>
      <c r="E31">
        <f>IF(ISERROR(VLOOKUP(A31,Mandatory!A:A,1,FALSE)),0,1)</f>
        <v>0</v>
      </c>
      <c r="F31" s="54">
        <f>VLOOKUP(A31,'Front-loading'!A:AG,$F$6,FALSE)</f>
        <v>0</v>
      </c>
      <c r="G31" s="55">
        <f>VLOOKUP(A31,'Front-loading'!A:AG,$G$6,FALSE)</f>
        <v>790</v>
      </c>
      <c r="H31" s="55">
        <f>VLOOKUP(A31,'Front-loading'!A:AG,$H$6,FALSE)</f>
        <v>63</v>
      </c>
      <c r="I31" s="56">
        <f>VLOOKUP(A31,'Front-loading'!A:AG,$I$6,FALSE)</f>
        <v>737</v>
      </c>
      <c r="J31" s="54">
        <f>VLOOKUP(A31,'Front-loading'!A:AG,$J$6,FALSE)</f>
        <v>0</v>
      </c>
      <c r="K31" s="55">
        <f>VLOOKUP(A31,'Front-loading'!A:AG,$K$6,FALSE)</f>
        <v>257342.17453455701</v>
      </c>
      <c r="L31" s="55">
        <f>VLOOKUP(A31,'Front-loading'!A:AG,$L$6,FALSE)</f>
        <v>10839.231205323931</v>
      </c>
      <c r="M31" s="56">
        <f>VLOOKUP(A31,'Front-loading'!A:AG,$M$6,FALSE)</f>
        <v>260255.1513260612</v>
      </c>
      <c r="N31" s="15">
        <f t="shared" si="14"/>
        <v>0</v>
      </c>
      <c r="O31" s="11">
        <f t="shared" si="14"/>
        <v>325.74958801842661</v>
      </c>
      <c r="P31" s="11">
        <f t="shared" si="14"/>
        <v>172.05128897339574</v>
      </c>
      <c r="Q31" s="12">
        <f t="shared" si="14"/>
        <v>353.12774942477773</v>
      </c>
      <c r="R31" s="99">
        <f t="shared" si="15"/>
        <v>172.05128897339574</v>
      </c>
      <c r="S31" s="100">
        <f t="shared" si="16"/>
        <v>325.74958801842661</v>
      </c>
      <c r="T31" s="100">
        <f t="shared" si="17"/>
        <v>172.05128897339574</v>
      </c>
      <c r="U31" s="100">
        <f t="shared" si="18"/>
        <v>353.12774942477773</v>
      </c>
      <c r="V31" s="125">
        <f t="shared" si="19"/>
        <v>172.05128897339574</v>
      </c>
      <c r="W31" s="126">
        <f t="shared" si="20"/>
        <v>325.74958801842661</v>
      </c>
      <c r="X31" s="126">
        <f t="shared" si="21"/>
        <v>172.05128897339574</v>
      </c>
      <c r="Y31" s="126">
        <f t="shared" si="22"/>
        <v>353.12774942477773</v>
      </c>
      <c r="Z31" s="127">
        <f t="shared" si="23"/>
        <v>172.05128897339574</v>
      </c>
      <c r="AA31" s="128">
        <f t="shared" si="24"/>
        <v>338.96354018377093</v>
      </c>
      <c r="AB31" s="128">
        <f t="shared" si="25"/>
        <v>172.05128897339574</v>
      </c>
      <c r="AC31" s="129">
        <f t="shared" si="26"/>
        <v>338.96354018377093</v>
      </c>
      <c r="AD31" s="128">
        <f t="shared" si="27"/>
        <v>338.96354018377087</v>
      </c>
      <c r="AE31" s="128">
        <f t="shared" si="28"/>
        <v>338.96354018377087</v>
      </c>
      <c r="AF31" s="128">
        <f t="shared" si="29"/>
        <v>325.81920040095389</v>
      </c>
      <c r="AG31" s="129">
        <f t="shared" si="30"/>
        <v>325.81920040095389</v>
      </c>
      <c r="AH31" s="128">
        <f t="shared" si="31"/>
        <v>338.96354018377087</v>
      </c>
      <c r="AI31" s="128">
        <f t="shared" si="32"/>
        <v>338.96354018377087</v>
      </c>
      <c r="AJ31" s="128">
        <f t="shared" si="33"/>
        <v>325.81920040095389</v>
      </c>
      <c r="AK31" s="128">
        <f t="shared" si="34"/>
        <v>325.81920040095389</v>
      </c>
      <c r="AL31" s="127">
        <f>IF($C31="",AH31,IF(AH30&gt;AH31,SUMPRODUCT(AH30:AH31,F30:F31)/SUM(F30:F31),AH31))</f>
        <v>338.96354018377087</v>
      </c>
      <c r="AM31" s="128">
        <f>IF($C31="",AI31,IF(AI30&gt;AI31,SUMPRODUCT(AI30:AI31,G30:G31)/SUM(G30:G31),AI31))</f>
        <v>338.96354018377087</v>
      </c>
      <c r="AN31" s="128">
        <f>IF($C31="",AJ31,IF(AJ30&gt;AJ31,SUMPRODUCT(AJ30:AJ31,H30:H31)/SUM(H30:H31),AJ31))</f>
        <v>325.81920040095389</v>
      </c>
      <c r="AO31" s="129">
        <f>IF($C31="",AK31,IF(AK30&gt;AK31,SUMPRODUCT(AK30:AK31,I30:I31)/SUM(I30:I31),AK31))</f>
        <v>325.81920040095389</v>
      </c>
      <c r="AP31" s="127">
        <f t="shared" si="35"/>
        <v>338.96354018377087</v>
      </c>
      <c r="AQ31" s="128">
        <f t="shared" si="36"/>
        <v>338.96354018377087</v>
      </c>
      <c r="AR31" s="128">
        <f t="shared" si="37"/>
        <v>325.81920040095389</v>
      </c>
      <c r="AS31" s="129">
        <f t="shared" si="38"/>
        <v>325.81920040095389</v>
      </c>
      <c r="AT31" s="18" t="str">
        <f t="shared" si="6"/>
        <v/>
      </c>
      <c r="AU31" s="19" t="str">
        <f t="shared" si="7"/>
        <v/>
      </c>
      <c r="AV31" s="19" t="str">
        <f t="shared" si="39"/>
        <v/>
      </c>
      <c r="AW31" s="19" t="str">
        <f t="shared" si="40"/>
        <v/>
      </c>
      <c r="AX31" s="19" t="str">
        <f t="shared" si="8"/>
        <v/>
      </c>
      <c r="AY31" s="323" t="str">
        <f t="shared" si="9"/>
        <v/>
      </c>
      <c r="AZ31" s="326">
        <f t="shared" si="10"/>
        <v>338.96354018377087</v>
      </c>
      <c r="BA31" s="323">
        <f t="shared" si="41"/>
        <v>338.96354018377087</v>
      </c>
      <c r="BB31" s="323">
        <f t="shared" si="11"/>
        <v>325.81920040095389</v>
      </c>
      <c r="BC31" s="327">
        <f t="shared" si="12"/>
        <v>325.81920040095389</v>
      </c>
      <c r="BD31" s="18" t="str">
        <f t="shared" si="42"/>
        <v/>
      </c>
      <c r="BE31" s="19" t="str">
        <f t="shared" si="43"/>
        <v/>
      </c>
      <c r="BF31" s="19" t="str">
        <f t="shared" si="44"/>
        <v/>
      </c>
      <c r="BG31" s="19" t="str">
        <f t="shared" si="45"/>
        <v/>
      </c>
      <c r="BH31" s="19" t="str">
        <f t="shared" si="46"/>
        <v/>
      </c>
      <c r="BI31" s="20" t="str">
        <f t="shared" si="47"/>
        <v/>
      </c>
      <c r="BJ31" s="744">
        <f t="shared" si="48"/>
        <v>528436.55706594209</v>
      </c>
      <c r="BK31" s="321"/>
    </row>
    <row r="32" spans="1:63">
      <c r="A32" s="74">
        <v>173</v>
      </c>
      <c r="B32" s="89" t="s">
        <v>17</v>
      </c>
      <c r="C32" s="74" t="str">
        <f>$A$32&amp;"&amp;"&amp;$A$33</f>
        <v>173&amp;222</v>
      </c>
      <c r="D32" s="93" t="str">
        <f t="shared" si="13"/>
        <v>A</v>
      </c>
      <c r="E32" s="74">
        <f>IF(ISERROR(VLOOKUP(A32,Mandatory!A:A,1,FALSE)),0,1)</f>
        <v>1</v>
      </c>
      <c r="F32" s="75">
        <f>VLOOKUP(A32,'Front-loading'!A:AG,$F$6,FALSE)</f>
        <v>46</v>
      </c>
      <c r="G32" s="76">
        <f>VLOOKUP(A32,'Front-loading'!A:AG,$G$6,FALSE)</f>
        <v>9288</v>
      </c>
      <c r="H32" s="76">
        <f>VLOOKUP(A32,'Front-loading'!A:AG,$H$6,FALSE)</f>
        <v>236</v>
      </c>
      <c r="I32" s="77">
        <f>VLOOKUP(A32,'Front-loading'!A:AG,$I$6,FALSE)</f>
        <v>22189</v>
      </c>
      <c r="J32" s="75">
        <f>VLOOKUP(A32,'Front-loading'!A:AG,$J$6,FALSE)</f>
        <v>12579.318612444129</v>
      </c>
      <c r="K32" s="76">
        <f>VLOOKUP(A32,'Front-loading'!A:AG,$K$6,FALSE)</f>
        <v>2681550.356855928</v>
      </c>
      <c r="L32" s="76">
        <f>VLOOKUP(A32,'Front-loading'!A:AG,$L$6,FALSE)</f>
        <v>26175.395458909981</v>
      </c>
      <c r="M32" s="77">
        <f>VLOOKUP(A32,'Front-loading'!A:AG,$M$6,FALSE)</f>
        <v>3931837.0198293622</v>
      </c>
      <c r="N32" s="78">
        <f t="shared" si="14"/>
        <v>273.4634480966115</v>
      </c>
      <c r="O32" s="79">
        <f t="shared" si="14"/>
        <v>288.7112787312584</v>
      </c>
      <c r="P32" s="79">
        <f t="shared" si="14"/>
        <v>110.91269262249992</v>
      </c>
      <c r="Q32" s="80">
        <f t="shared" si="14"/>
        <v>177.19757626884322</v>
      </c>
      <c r="R32" s="101">
        <f t="shared" si="15"/>
        <v>137.42806408281598</v>
      </c>
      <c r="S32" s="102">
        <f t="shared" si="16"/>
        <v>288.7112787312584</v>
      </c>
      <c r="T32" s="102">
        <f t="shared" si="17"/>
        <v>137.42806408281598</v>
      </c>
      <c r="U32" s="102">
        <f t="shared" si="18"/>
        <v>177.19757626884322</v>
      </c>
      <c r="V32" s="95">
        <f t="shared" si="19"/>
        <v>137.42806408281598</v>
      </c>
      <c r="W32" s="96">
        <f t="shared" si="20"/>
        <v>288.7112787312584</v>
      </c>
      <c r="X32" s="96">
        <f t="shared" si="21"/>
        <v>137.42806408281598</v>
      </c>
      <c r="Y32" s="96">
        <f t="shared" si="22"/>
        <v>177.19757626884322</v>
      </c>
      <c r="Z32" s="60">
        <f t="shared" si="23"/>
        <v>137.42806408281598</v>
      </c>
      <c r="AA32" s="61">
        <f t="shared" si="24"/>
        <v>288.7112787312584</v>
      </c>
      <c r="AB32" s="61">
        <f t="shared" si="25"/>
        <v>137.42806408281598</v>
      </c>
      <c r="AC32" s="108">
        <f t="shared" si="26"/>
        <v>177.19757626884322</v>
      </c>
      <c r="AD32" s="61">
        <f t="shared" si="27"/>
        <v>287.96572185598217</v>
      </c>
      <c r="AE32" s="61">
        <f t="shared" si="28"/>
        <v>287.96572185598217</v>
      </c>
      <c r="AF32" s="61">
        <f t="shared" si="29"/>
        <v>176.77904316400921</v>
      </c>
      <c r="AG32" s="108">
        <f t="shared" si="30"/>
        <v>176.77904316400921</v>
      </c>
      <c r="AH32" s="61">
        <f t="shared" si="31"/>
        <v>287.96572185598217</v>
      </c>
      <c r="AI32" s="61">
        <f t="shared" si="32"/>
        <v>287.96572185598217</v>
      </c>
      <c r="AJ32" s="61">
        <f t="shared" si="33"/>
        <v>176.77904316400921</v>
      </c>
      <c r="AK32" s="61">
        <f t="shared" si="34"/>
        <v>176.77904316400921</v>
      </c>
      <c r="AL32" s="60">
        <f>IF($C32="",AH32,IF(AH32&gt;AH33,SUMPRODUCT(AH32:AH33,F32:F33)/SUM(F32:F33),AH32))</f>
        <v>287.96572185598217</v>
      </c>
      <c r="AM32" s="61">
        <f>IF($C32="",AI32,IF(AI32&gt;AI33,SUMPRODUCT(AI32:AI33,G32:G33)/SUM(G32:G33),AI32))</f>
        <v>285.79612557172294</v>
      </c>
      <c r="AN32" s="61">
        <f>IF($C32="",AJ32,IF(AJ32&gt;AJ33,SUMPRODUCT(AJ32:AJ33,H32:H33)/SUM(H32:H33),AJ32))</f>
        <v>176.77904316400921</v>
      </c>
      <c r="AO32" s="108">
        <f>IF($C32="",AK32,IF(AK32&gt;AK33,SUMPRODUCT(AK32:AK33,I32:I33)/SUM(I32:I33),AK32))</f>
        <v>175.75691775418019</v>
      </c>
      <c r="AP32" s="60">
        <f t="shared" si="35"/>
        <v>287.96572185598217</v>
      </c>
      <c r="AQ32" s="61">
        <f t="shared" si="36"/>
        <v>285.79612557172294</v>
      </c>
      <c r="AR32" s="61">
        <f t="shared" si="37"/>
        <v>176.77904316400921</v>
      </c>
      <c r="AS32" s="108">
        <f t="shared" si="38"/>
        <v>175.75691775418019</v>
      </c>
      <c r="AT32" s="81" t="str">
        <f t="shared" si="6"/>
        <v/>
      </c>
      <c r="AU32" s="82" t="str">
        <f t="shared" si="7"/>
        <v/>
      </c>
      <c r="AV32" s="82" t="str">
        <f t="shared" si="39"/>
        <v/>
      </c>
      <c r="AW32" s="82" t="str">
        <f t="shared" si="40"/>
        <v/>
      </c>
      <c r="AX32" s="82" t="str">
        <f t="shared" si="8"/>
        <v/>
      </c>
      <c r="AY32" s="324" t="str">
        <f t="shared" si="9"/>
        <v/>
      </c>
      <c r="AZ32" s="328">
        <f t="shared" si="10"/>
        <v>287.96572185598217</v>
      </c>
      <c r="BA32" s="324">
        <f t="shared" si="41"/>
        <v>285.79612557172294</v>
      </c>
      <c r="BB32" s="324">
        <f t="shared" si="11"/>
        <v>176.77904316400921</v>
      </c>
      <c r="BC32" s="329">
        <f t="shared" si="12"/>
        <v>175.75691775418019</v>
      </c>
      <c r="BD32" s="288" t="str">
        <f t="shared" si="42"/>
        <v/>
      </c>
      <c r="BE32" s="289" t="str">
        <f t="shared" si="43"/>
        <v/>
      </c>
      <c r="BF32" s="289" t="str">
        <f t="shared" si="44"/>
        <v/>
      </c>
      <c r="BG32" s="289" t="str">
        <f t="shared" si="45"/>
        <v/>
      </c>
      <c r="BH32" s="289" t="str">
        <f t="shared" si="46"/>
        <v/>
      </c>
      <c r="BI32" s="290" t="str">
        <f t="shared" si="47"/>
        <v/>
      </c>
      <c r="BJ32" s="744">
        <f t="shared" si="48"/>
        <v>6609310.9397497484</v>
      </c>
      <c r="BK32" s="321"/>
    </row>
    <row r="33" spans="1:63">
      <c r="A33">
        <v>222</v>
      </c>
      <c r="B33" s="88" t="s">
        <v>490</v>
      </c>
      <c r="C33" t="str">
        <f>$A$32&amp;"&amp;"&amp;$A$33</f>
        <v>173&amp;222</v>
      </c>
      <c r="D33" s="62" t="str">
        <f t="shared" si="13"/>
        <v>C</v>
      </c>
      <c r="E33">
        <f>IF(ISERROR(VLOOKUP(A33,Mandatory!A:A,1,FALSE)),0,1)</f>
        <v>0</v>
      </c>
      <c r="F33" s="54">
        <f>VLOOKUP(A33,'Front-loading'!A:AG,$F$6,FALSE)</f>
        <v>0</v>
      </c>
      <c r="G33" s="55">
        <f>VLOOKUP(A33,'Front-loading'!A:AG,$G$6,FALSE)</f>
        <v>99</v>
      </c>
      <c r="H33" s="55">
        <f>VLOOKUP(A33,'Front-loading'!A:AG,$H$6,FALSE)</f>
        <v>0</v>
      </c>
      <c r="I33" s="56">
        <f>VLOOKUP(A33,'Front-loading'!A:AG,$I$6,FALSE)</f>
        <v>186</v>
      </c>
      <c r="J33" s="54">
        <f>VLOOKUP(A33,'Front-loading'!A:AG,$J$6,FALSE)</f>
        <v>0</v>
      </c>
      <c r="K33" s="55">
        <f>VLOOKUP(A33,'Front-loading'!A:AG,$K$6,FALSE)</f>
        <v>8142.6061434009407</v>
      </c>
      <c r="L33" s="55">
        <f>VLOOKUP(A33,'Front-loading'!A:AG,$L$6,FALSE)</f>
        <v>0</v>
      </c>
      <c r="M33" s="56">
        <f>VLOOKUP(A33,'Front-loading'!A:AG,$M$6,FALSE)</f>
        <v>10010.84598358137</v>
      </c>
      <c r="N33" s="15">
        <f t="shared" si="14"/>
        <v>0</v>
      </c>
      <c r="O33" s="11">
        <f t="shared" si="14"/>
        <v>82.248546903039809</v>
      </c>
      <c r="P33" s="11">
        <f t="shared" si="14"/>
        <v>0</v>
      </c>
      <c r="Q33" s="12">
        <f t="shared" si="14"/>
        <v>53.821752599899838</v>
      </c>
      <c r="R33" s="99" t="e">
        <f t="shared" si="15"/>
        <v>#DIV/0!</v>
      </c>
      <c r="S33" s="100">
        <f t="shared" si="16"/>
        <v>82.248546903039809</v>
      </c>
      <c r="T33" s="100" t="e">
        <f t="shared" si="17"/>
        <v>#DIV/0!</v>
      </c>
      <c r="U33" s="100">
        <f t="shared" si="18"/>
        <v>53.821752599899838</v>
      </c>
      <c r="V33" s="125">
        <f t="shared" si="19"/>
        <v>82.248546903039809</v>
      </c>
      <c r="W33" s="126">
        <f t="shared" si="20"/>
        <v>82.248546903039809</v>
      </c>
      <c r="X33" s="126">
        <f t="shared" si="21"/>
        <v>53.821752599899838</v>
      </c>
      <c r="Y33" s="126">
        <f t="shared" si="22"/>
        <v>53.821752599899838</v>
      </c>
      <c r="Z33" s="127">
        <f t="shared" si="23"/>
        <v>82.248546903039809</v>
      </c>
      <c r="AA33" s="128">
        <f t="shared" si="24"/>
        <v>82.248546903039809</v>
      </c>
      <c r="AB33" s="128">
        <f t="shared" si="25"/>
        <v>53.821752599899838</v>
      </c>
      <c r="AC33" s="129">
        <f t="shared" si="26"/>
        <v>53.821752599899838</v>
      </c>
      <c r="AD33" s="128">
        <f t="shared" si="27"/>
        <v>82.248546903039809</v>
      </c>
      <c r="AE33" s="128">
        <f t="shared" si="28"/>
        <v>82.248546903039809</v>
      </c>
      <c r="AF33" s="128">
        <f t="shared" si="29"/>
        <v>53.821752599899838</v>
      </c>
      <c r="AG33" s="129">
        <f t="shared" si="30"/>
        <v>53.821752599899838</v>
      </c>
      <c r="AH33" s="128">
        <f t="shared" si="31"/>
        <v>82.248546903039809</v>
      </c>
      <c r="AI33" s="128">
        <f t="shared" si="32"/>
        <v>82.248546903039809</v>
      </c>
      <c r="AJ33" s="128">
        <f t="shared" si="33"/>
        <v>53.821752599899838</v>
      </c>
      <c r="AK33" s="128">
        <f t="shared" si="34"/>
        <v>53.821752599899838</v>
      </c>
      <c r="AL33" s="127">
        <f>IF($C33="",AH33,IF(AH32&gt;AH33,SUMPRODUCT(AH32:AH33,F32:F33)/SUM(F32:F33),AH33))</f>
        <v>287.96572185598217</v>
      </c>
      <c r="AM33" s="128">
        <f>IF($C33="",AI33,IF(AI32&gt;AI33,SUMPRODUCT(AI32:AI33,G32:G33)/SUM(G32:G33),AI33))</f>
        <v>285.79612557172294</v>
      </c>
      <c r="AN33" s="128">
        <f>IF($C33="",AJ33,IF(AJ32&gt;AJ33,SUMPRODUCT(AJ32:AJ33,H32:H33)/SUM(H32:H33),AJ33))</f>
        <v>176.77904316400921</v>
      </c>
      <c r="AO33" s="129">
        <f>IF($C33="",AK33,IF(AK32&gt;AK33,SUMPRODUCT(AK32:AK33,I32:I33)/SUM(I32:I33),AK33))</f>
        <v>175.75691775418019</v>
      </c>
      <c r="AP33" s="127">
        <f t="shared" si="35"/>
        <v>287.96572185598217</v>
      </c>
      <c r="AQ33" s="128">
        <f t="shared" si="36"/>
        <v>285.79612557172294</v>
      </c>
      <c r="AR33" s="128">
        <f t="shared" si="37"/>
        <v>176.77904316400921</v>
      </c>
      <c r="AS33" s="129">
        <f t="shared" si="38"/>
        <v>175.75691775418019</v>
      </c>
      <c r="AT33" s="18" t="str">
        <f t="shared" si="6"/>
        <v/>
      </c>
      <c r="AU33" s="19" t="str">
        <f t="shared" si="7"/>
        <v/>
      </c>
      <c r="AV33" s="19" t="str">
        <f t="shared" si="39"/>
        <v/>
      </c>
      <c r="AW33" s="19" t="str">
        <f t="shared" si="40"/>
        <v/>
      </c>
      <c r="AX33" s="19" t="str">
        <f t="shared" si="8"/>
        <v/>
      </c>
      <c r="AY33" s="323" t="str">
        <f t="shared" si="9"/>
        <v/>
      </c>
      <c r="AZ33" s="326">
        <f t="shared" si="10"/>
        <v>287.96572185598217</v>
      </c>
      <c r="BA33" s="323">
        <f t="shared" si="41"/>
        <v>285.79612557172294</v>
      </c>
      <c r="BB33" s="323">
        <f t="shared" si="11"/>
        <v>176.77904316400921</v>
      </c>
      <c r="BC33" s="327">
        <f t="shared" si="12"/>
        <v>175.75691775418019</v>
      </c>
      <c r="BD33" s="18" t="str">
        <f t="shared" si="42"/>
        <v/>
      </c>
      <c r="BE33" s="19" t="str">
        <f t="shared" si="43"/>
        <v/>
      </c>
      <c r="BF33" s="19" t="str">
        <f t="shared" si="44"/>
        <v/>
      </c>
      <c r="BG33" s="19" t="str">
        <f t="shared" si="45"/>
        <v/>
      </c>
      <c r="BH33" s="19" t="str">
        <f t="shared" si="46"/>
        <v/>
      </c>
      <c r="BI33" s="20" t="str">
        <f t="shared" si="47"/>
        <v/>
      </c>
      <c r="BJ33" s="744">
        <f t="shared" si="48"/>
        <v>60984.603133878089</v>
      </c>
      <c r="BK33" s="321"/>
    </row>
    <row r="34" spans="1:63">
      <c r="A34" s="74">
        <v>191</v>
      </c>
      <c r="B34" s="89" t="s">
        <v>19</v>
      </c>
      <c r="C34" s="74" t="str">
        <f>$A$34&amp;"&amp;"&amp;$A$35</f>
        <v>191&amp;241</v>
      </c>
      <c r="D34" s="93" t="str">
        <f t="shared" si="13"/>
        <v>A</v>
      </c>
      <c r="E34" s="74">
        <f>IF(ISERROR(VLOOKUP(A34,Mandatory!A:A,1,FALSE)),0,1)</f>
        <v>1</v>
      </c>
      <c r="F34" s="75">
        <f>VLOOKUP(A34,'Front-loading'!A:AG,$F$6,FALSE)</f>
        <v>4891</v>
      </c>
      <c r="G34" s="76">
        <f>VLOOKUP(A34,'Front-loading'!A:AG,$G$6,FALSE)</f>
        <v>166438</v>
      </c>
      <c r="H34" s="76">
        <f>VLOOKUP(A34,'Front-loading'!A:AG,$H$6,FALSE)</f>
        <v>7864</v>
      </c>
      <c r="I34" s="77">
        <f>VLOOKUP(A34,'Front-loading'!A:AG,$I$6,FALSE)</f>
        <v>310124</v>
      </c>
      <c r="J34" s="75">
        <f>VLOOKUP(A34,'Front-loading'!A:AG,$J$6,FALSE)</f>
        <v>734095.36130028882</v>
      </c>
      <c r="K34" s="76">
        <f>VLOOKUP(A34,'Front-loading'!A:AG,$K$6,FALSE)</f>
        <v>28560266.288192477</v>
      </c>
      <c r="L34" s="76">
        <f>VLOOKUP(A34,'Front-loading'!A:AG,$L$6,FALSE)</f>
        <v>648672.88624859613</v>
      </c>
      <c r="M34" s="77">
        <f>VLOOKUP(A34,'Front-loading'!A:AG,$M$6,FALSE)</f>
        <v>29878367.776606843</v>
      </c>
      <c r="N34" s="78">
        <f t="shared" si="14"/>
        <v>150.09105730940274</v>
      </c>
      <c r="O34" s="79">
        <f t="shared" si="14"/>
        <v>171.59702885274083</v>
      </c>
      <c r="P34" s="79">
        <f t="shared" si="14"/>
        <v>82.486379227949655</v>
      </c>
      <c r="Q34" s="80">
        <f t="shared" si="14"/>
        <v>96.343294219753531</v>
      </c>
      <c r="R34" s="101">
        <f t="shared" si="15"/>
        <v>150.09105730940274</v>
      </c>
      <c r="S34" s="102">
        <f t="shared" si="16"/>
        <v>171.59702885274083</v>
      </c>
      <c r="T34" s="102">
        <f t="shared" si="17"/>
        <v>82.486379227949655</v>
      </c>
      <c r="U34" s="102">
        <f t="shared" si="18"/>
        <v>96.343294219753531</v>
      </c>
      <c r="V34" s="95">
        <f t="shared" si="19"/>
        <v>150.09105730940274</v>
      </c>
      <c r="W34" s="96">
        <f t="shared" si="20"/>
        <v>171.59702885274083</v>
      </c>
      <c r="X34" s="96">
        <f t="shared" si="21"/>
        <v>82.486379227949655</v>
      </c>
      <c r="Y34" s="96">
        <f t="shared" si="22"/>
        <v>96.343294219753531</v>
      </c>
      <c r="Z34" s="60">
        <f t="shared" si="23"/>
        <v>150.09105730940274</v>
      </c>
      <c r="AA34" s="61">
        <f t="shared" si="24"/>
        <v>171.59702885274083</v>
      </c>
      <c r="AB34" s="61">
        <f t="shared" si="25"/>
        <v>82.486379227949655</v>
      </c>
      <c r="AC34" s="108">
        <f t="shared" si="26"/>
        <v>96.343294219753531</v>
      </c>
      <c r="AD34" s="61">
        <f t="shared" si="27"/>
        <v>170.98308896621572</v>
      </c>
      <c r="AE34" s="61">
        <f t="shared" si="28"/>
        <v>170.98308896621572</v>
      </c>
      <c r="AF34" s="61">
        <f t="shared" si="29"/>
        <v>96.0006058808994</v>
      </c>
      <c r="AG34" s="108">
        <f t="shared" si="30"/>
        <v>96.0006058808994</v>
      </c>
      <c r="AH34" s="61">
        <f t="shared" si="31"/>
        <v>170.98308896621572</v>
      </c>
      <c r="AI34" s="61">
        <f t="shared" si="32"/>
        <v>170.98308896621572</v>
      </c>
      <c r="AJ34" s="61">
        <f t="shared" si="33"/>
        <v>96.0006058808994</v>
      </c>
      <c r="AK34" s="61">
        <f t="shared" si="34"/>
        <v>96.0006058808994</v>
      </c>
      <c r="AL34" s="60">
        <f>IF($C34="",AH34,IF(AH34&gt;AH35,SUMPRODUCT(AH34:AH35,F34:F35)/SUM(F34:F35),AH34))</f>
        <v>170.98308896621572</v>
      </c>
      <c r="AM34" s="61">
        <f>IF($C34="",AI34,IF(AI34&gt;AI35,SUMPRODUCT(AI34:AI35,G34:G35)/SUM(G34:G35),AI34))</f>
        <v>170.98308896621572</v>
      </c>
      <c r="AN34" s="61">
        <f>IF($C34="",AJ34,IF(AJ34&gt;AJ35,SUMPRODUCT(AJ34:AJ35,H34:H35)/SUM(H34:H35),AJ34))</f>
        <v>96.0006058808994</v>
      </c>
      <c r="AO34" s="108">
        <f>IF($C34="",AK34,IF(AK34&gt;AK35,SUMPRODUCT(AK34:AK35,I34:I35)/SUM(I34:I35),AK34))</f>
        <v>96.0006058808994</v>
      </c>
      <c r="AP34" s="60">
        <f t="shared" si="35"/>
        <v>170.98308896621572</v>
      </c>
      <c r="AQ34" s="61">
        <f t="shared" si="36"/>
        <v>170.98308896621572</v>
      </c>
      <c r="AR34" s="61">
        <f t="shared" si="37"/>
        <v>96.0006058808994</v>
      </c>
      <c r="AS34" s="108">
        <f t="shared" si="38"/>
        <v>96.0006058808994</v>
      </c>
      <c r="AT34" s="81" t="str">
        <f t="shared" si="6"/>
        <v/>
      </c>
      <c r="AU34" s="82" t="str">
        <f t="shared" si="7"/>
        <v/>
      </c>
      <c r="AV34" s="82" t="str">
        <f t="shared" si="39"/>
        <v/>
      </c>
      <c r="AW34" s="82" t="str">
        <f t="shared" si="40"/>
        <v/>
      </c>
      <c r="AX34" s="82" t="str">
        <f t="shared" si="8"/>
        <v/>
      </c>
      <c r="AY34" s="324" t="str">
        <f t="shared" si="9"/>
        <v/>
      </c>
      <c r="AZ34" s="328">
        <f t="shared" si="10"/>
        <v>170.98308896621572</v>
      </c>
      <c r="BA34" s="324">
        <f t="shared" si="41"/>
        <v>170.98308896621572</v>
      </c>
      <c r="BB34" s="324">
        <f t="shared" si="11"/>
        <v>96.0006058808994</v>
      </c>
      <c r="BC34" s="329">
        <f t="shared" si="12"/>
        <v>96.0006058808994</v>
      </c>
      <c r="BD34" s="288" t="str">
        <f t="shared" si="42"/>
        <v/>
      </c>
      <c r="BE34" s="289" t="str">
        <f t="shared" si="43"/>
        <v/>
      </c>
      <c r="BF34" s="289" t="str">
        <f t="shared" si="44"/>
        <v/>
      </c>
      <c r="BG34" s="289" t="str">
        <f t="shared" si="45"/>
        <v/>
      </c>
      <c r="BH34" s="289" t="str">
        <f t="shared" si="46"/>
        <v/>
      </c>
      <c r="BI34" s="290" t="str">
        <f t="shared" si="47"/>
        <v/>
      </c>
      <c r="BJ34" s="744">
        <f t="shared" si="48"/>
        <v>59821402.312348217</v>
      </c>
      <c r="BK34" s="321"/>
    </row>
    <row r="35" spans="1:63">
      <c r="A35">
        <v>241</v>
      </c>
      <c r="B35" s="88" t="s">
        <v>491</v>
      </c>
      <c r="C35" s="83" t="str">
        <f>$A$34&amp;"&amp;"&amp;$A$35</f>
        <v>191&amp;241</v>
      </c>
      <c r="D35" s="62" t="str">
        <f t="shared" si="13"/>
        <v>C</v>
      </c>
      <c r="E35">
        <f>IF(ISERROR(VLOOKUP(A35,Mandatory!A:A,1,FALSE)),0,1)</f>
        <v>0</v>
      </c>
      <c r="F35" s="54">
        <f>VLOOKUP(A35,'Front-loading'!A:AG,$F$6,FALSE)</f>
        <v>0</v>
      </c>
      <c r="G35" s="55">
        <f>VLOOKUP(A35,'Front-loading'!A:AG,$G$6,FALSE)</f>
        <v>221</v>
      </c>
      <c r="H35" s="55">
        <f>VLOOKUP(A35,'Front-loading'!A:AG,$H$6,FALSE)</f>
        <v>0</v>
      </c>
      <c r="I35" s="56">
        <f>VLOOKUP(A35,'Front-loading'!A:AG,$I$6,FALSE)</f>
        <v>496</v>
      </c>
      <c r="J35" s="54">
        <f>VLOOKUP(A35,'Front-loading'!A:AG,$J$6,FALSE)</f>
        <v>0</v>
      </c>
      <c r="K35" s="55">
        <f>VLOOKUP(A35,'Front-loading'!A:AG,$K$6,FALSE)</f>
        <v>226870.42947102941</v>
      </c>
      <c r="L35" s="55">
        <f>VLOOKUP(A35,'Front-loading'!A:AG,$L$6,FALSE)</f>
        <v>0</v>
      </c>
      <c r="M35" s="56">
        <f>VLOOKUP(A35,'Front-loading'!A:AG,$M$6,FALSE)</f>
        <v>278519.0194623096</v>
      </c>
      <c r="N35" s="15">
        <f t="shared" si="14"/>
        <v>0</v>
      </c>
      <c r="O35" s="11">
        <f t="shared" si="14"/>
        <v>1026.5630292806761</v>
      </c>
      <c r="P35" s="11">
        <f t="shared" si="14"/>
        <v>0</v>
      </c>
      <c r="Q35" s="12">
        <f t="shared" si="14"/>
        <v>561.53028117401129</v>
      </c>
      <c r="R35" s="99" t="e">
        <f t="shared" si="15"/>
        <v>#DIV/0!</v>
      </c>
      <c r="S35" s="100">
        <f t="shared" si="16"/>
        <v>1026.5630292806761</v>
      </c>
      <c r="T35" s="100" t="e">
        <f t="shared" si="17"/>
        <v>#DIV/0!</v>
      </c>
      <c r="U35" s="100">
        <f t="shared" si="18"/>
        <v>561.53028117401129</v>
      </c>
      <c r="V35" s="125">
        <f t="shared" si="19"/>
        <v>1026.5630292806761</v>
      </c>
      <c r="W35" s="126">
        <f t="shared" si="20"/>
        <v>1026.5630292806761</v>
      </c>
      <c r="X35" s="126">
        <f t="shared" si="21"/>
        <v>561.53028117401129</v>
      </c>
      <c r="Y35" s="126">
        <f t="shared" si="22"/>
        <v>561.53028117401129</v>
      </c>
      <c r="Z35" s="127">
        <f t="shared" si="23"/>
        <v>1026.5630292806761</v>
      </c>
      <c r="AA35" s="128">
        <f t="shared" si="24"/>
        <v>1026.5630292806761</v>
      </c>
      <c r="AB35" s="128">
        <f t="shared" si="25"/>
        <v>561.53028117401129</v>
      </c>
      <c r="AC35" s="129">
        <f t="shared" si="26"/>
        <v>561.53028117401129</v>
      </c>
      <c r="AD35" s="128">
        <f t="shared" si="27"/>
        <v>1026.5630292806761</v>
      </c>
      <c r="AE35" s="128">
        <f t="shared" si="28"/>
        <v>1026.5630292806761</v>
      </c>
      <c r="AF35" s="128">
        <f t="shared" si="29"/>
        <v>561.53028117401129</v>
      </c>
      <c r="AG35" s="129">
        <f t="shared" si="30"/>
        <v>561.53028117401129</v>
      </c>
      <c r="AH35" s="128">
        <f t="shared" si="31"/>
        <v>1026.5630292806761</v>
      </c>
      <c r="AI35" s="128">
        <f t="shared" si="32"/>
        <v>1026.5630292806761</v>
      </c>
      <c r="AJ35" s="128">
        <f t="shared" si="33"/>
        <v>561.53028117401129</v>
      </c>
      <c r="AK35" s="128">
        <f t="shared" si="34"/>
        <v>561.53028117401129</v>
      </c>
      <c r="AL35" s="127">
        <f>IF($C35="",AH35,IF(AH34&gt;AH35,SUMPRODUCT(AH34:AH35,F34:F35)/SUM(F34:F35),AH35))</f>
        <v>1026.5630292806761</v>
      </c>
      <c r="AM35" s="128">
        <f>IF($C35="",AI35,IF(AI34&gt;AI35,SUMPRODUCT(AI34:AI35,G34:G35)/SUM(G34:G35),AI35))</f>
        <v>1026.5630292806761</v>
      </c>
      <c r="AN35" s="128">
        <f>IF($C35="",AJ35,IF(AJ34&gt;AJ35,SUMPRODUCT(AJ34:AJ35,H34:H35)/SUM(H34:H35),AJ35))</f>
        <v>561.53028117401129</v>
      </c>
      <c r="AO35" s="129">
        <f>IF($C35="",AK35,IF(AK34&gt;AK35,SUMPRODUCT(AK34:AK35,I34:I35)/SUM(I34:I35),AK35))</f>
        <v>561.53028117401129</v>
      </c>
      <c r="AP35" s="127">
        <f t="shared" si="35"/>
        <v>1026.5630292806761</v>
      </c>
      <c r="AQ35" s="128">
        <f t="shared" si="36"/>
        <v>1026.5630292806761</v>
      </c>
      <c r="AR35" s="128">
        <f t="shared" si="37"/>
        <v>561.53028117401129</v>
      </c>
      <c r="AS35" s="129">
        <f t="shared" si="38"/>
        <v>561.53028117401129</v>
      </c>
      <c r="AT35" s="18" t="str">
        <f t="shared" si="6"/>
        <v/>
      </c>
      <c r="AU35" s="19" t="str">
        <f t="shared" si="7"/>
        <v/>
      </c>
      <c r="AV35" s="19" t="str">
        <f t="shared" si="39"/>
        <v/>
      </c>
      <c r="AW35" s="19" t="str">
        <f t="shared" si="40"/>
        <v/>
      </c>
      <c r="AX35" s="19" t="str">
        <f t="shared" si="8"/>
        <v/>
      </c>
      <c r="AY35" s="323" t="str">
        <f t="shared" si="9"/>
        <v/>
      </c>
      <c r="AZ35" s="326">
        <f t="shared" si="10"/>
        <v>1026.5630292806761</v>
      </c>
      <c r="BA35" s="323">
        <f t="shared" si="41"/>
        <v>1026.5630292806761</v>
      </c>
      <c r="BB35" s="323">
        <f t="shared" si="11"/>
        <v>561.53028117401129</v>
      </c>
      <c r="BC35" s="327">
        <f t="shared" si="12"/>
        <v>561.53028117401129</v>
      </c>
      <c r="BD35" s="18" t="str">
        <f t="shared" si="42"/>
        <v/>
      </c>
      <c r="BE35" s="19" t="str">
        <f t="shared" si="43"/>
        <v/>
      </c>
      <c r="BF35" s="19" t="str">
        <f t="shared" si="44"/>
        <v/>
      </c>
      <c r="BG35" s="19" t="str">
        <f t="shared" si="45"/>
        <v/>
      </c>
      <c r="BH35" s="19" t="str">
        <f t="shared" si="46"/>
        <v/>
      </c>
      <c r="BI35" s="20" t="str">
        <f t="shared" si="47"/>
        <v/>
      </c>
      <c r="BJ35" s="744">
        <f t="shared" si="48"/>
        <v>505389.44893333904</v>
      </c>
      <c r="BK35" s="321"/>
    </row>
    <row r="36" spans="1:63">
      <c r="A36" s="74">
        <v>301</v>
      </c>
      <c r="B36" s="89" t="s">
        <v>44</v>
      </c>
      <c r="C36" s="74" t="str">
        <f>$A$36&amp;"&amp;"&amp;$A$37</f>
        <v>301&amp;251</v>
      </c>
      <c r="D36" s="93" t="str">
        <f t="shared" si="13"/>
        <v>A</v>
      </c>
      <c r="E36" s="74">
        <f>IF(ISERROR(VLOOKUP(A36,Mandatory!A:A,1,FALSE)),0,1)</f>
        <v>1</v>
      </c>
      <c r="F36" s="75">
        <f>VLOOKUP(A36,'Front-loading'!A:AG,$F$6,FALSE)</f>
        <v>3302</v>
      </c>
      <c r="G36" s="76">
        <f>VLOOKUP(A36,'Front-loading'!A:AG,$G$6,FALSE)</f>
        <v>357257</v>
      </c>
      <c r="H36" s="76">
        <f>VLOOKUP(A36,'Front-loading'!A:AG,$H$6,FALSE)</f>
        <v>9663</v>
      </c>
      <c r="I36" s="77">
        <f>VLOOKUP(A36,'Front-loading'!A:AG,$I$6,FALSE)</f>
        <v>666114</v>
      </c>
      <c r="J36" s="75">
        <f>VLOOKUP(A36,'Front-loading'!A:AG,$J$6,FALSE)</f>
        <v>591804.28767726442</v>
      </c>
      <c r="K36" s="76">
        <f>VLOOKUP(A36,'Front-loading'!A:AG,$K$6,FALSE)</f>
        <v>61148880.768777527</v>
      </c>
      <c r="L36" s="76">
        <f>VLOOKUP(A36,'Front-loading'!A:AG,$L$6,FALSE)</f>
        <v>842286.36996166862</v>
      </c>
      <c r="M36" s="77">
        <f>VLOOKUP(A36,'Front-loading'!A:AG,$M$6,FALSE)</f>
        <v>63720679.131076366</v>
      </c>
      <c r="N36" s="78">
        <f t="shared" si="14"/>
        <v>179.22601080474391</v>
      </c>
      <c r="O36" s="79">
        <f t="shared" si="14"/>
        <v>171.16216272537005</v>
      </c>
      <c r="P36" s="79">
        <f t="shared" si="14"/>
        <v>87.166135771672216</v>
      </c>
      <c r="Q36" s="80">
        <f t="shared" si="14"/>
        <v>95.66032110280878</v>
      </c>
      <c r="R36" s="101">
        <f t="shared" si="15"/>
        <v>179.22601080474391</v>
      </c>
      <c r="S36" s="102">
        <f t="shared" si="16"/>
        <v>171.16216272537005</v>
      </c>
      <c r="T36" s="102">
        <f t="shared" si="17"/>
        <v>87.166135771672216</v>
      </c>
      <c r="U36" s="102">
        <f t="shared" si="18"/>
        <v>95.66032110280878</v>
      </c>
      <c r="V36" s="95">
        <f t="shared" si="19"/>
        <v>179.22601080474391</v>
      </c>
      <c r="W36" s="96">
        <f t="shared" si="20"/>
        <v>171.16216272537005</v>
      </c>
      <c r="X36" s="96">
        <f t="shared" si="21"/>
        <v>87.166135771672216</v>
      </c>
      <c r="Y36" s="96">
        <f t="shared" si="22"/>
        <v>95.66032110280878</v>
      </c>
      <c r="Z36" s="60">
        <f t="shared" si="23"/>
        <v>179.22601080474391</v>
      </c>
      <c r="AA36" s="61">
        <f t="shared" si="24"/>
        <v>171.16216272537005</v>
      </c>
      <c r="AB36" s="61">
        <f t="shared" si="25"/>
        <v>87.166135771672216</v>
      </c>
      <c r="AC36" s="108">
        <f t="shared" si="26"/>
        <v>95.66032110280878</v>
      </c>
      <c r="AD36" s="61">
        <f t="shared" si="27"/>
        <v>179.22601080474391</v>
      </c>
      <c r="AE36" s="61">
        <f t="shared" si="28"/>
        <v>171.16216272537005</v>
      </c>
      <c r="AF36" s="61">
        <f t="shared" si="29"/>
        <v>95.538861933800703</v>
      </c>
      <c r="AG36" s="108">
        <f t="shared" si="30"/>
        <v>95.538861933800703</v>
      </c>
      <c r="AH36" s="61">
        <f t="shared" si="31"/>
        <v>179.22601080474391</v>
      </c>
      <c r="AI36" s="61">
        <f t="shared" si="32"/>
        <v>171.16216272537005</v>
      </c>
      <c r="AJ36" s="61">
        <f t="shared" si="33"/>
        <v>95.538861933800703</v>
      </c>
      <c r="AK36" s="61">
        <f t="shared" si="34"/>
        <v>95.538861933800703</v>
      </c>
      <c r="AL36" s="60">
        <f>IF($C36="",AH36,IF(AH36&gt;AH37,SUMPRODUCT(AH36:AH37,F36:F37)/SUM(F36:F37),AH36))</f>
        <v>179.22601080474391</v>
      </c>
      <c r="AM36" s="61">
        <f>IF($C36="",AI36,IF(AI36&gt;AI37,SUMPRODUCT(AI36:AI37,G36:G37)/SUM(G36:G37),AI36))</f>
        <v>171.16216272537005</v>
      </c>
      <c r="AN36" s="61">
        <f>IF($C36="",AJ36,IF(AJ36&gt;AJ37,SUMPRODUCT(AJ36:AJ37,H36:H37)/SUM(H36:H37),AJ36))</f>
        <v>95.538861933800703</v>
      </c>
      <c r="AO36" s="108">
        <f>IF($C36="",AK36,IF(AK36&gt;AK37,SUMPRODUCT(AK36:AK37,I36:I37)/SUM(I36:I37),AK36))</f>
        <v>95.538861933800703</v>
      </c>
      <c r="AP36" s="60">
        <f t="shared" si="35"/>
        <v>179.22601080474391</v>
      </c>
      <c r="AQ36" s="61">
        <f t="shared" si="36"/>
        <v>171.16216272537005</v>
      </c>
      <c r="AR36" s="61">
        <f t="shared" si="37"/>
        <v>95.538861933800703</v>
      </c>
      <c r="AS36" s="108">
        <f t="shared" si="38"/>
        <v>95.538861933800703</v>
      </c>
      <c r="AT36" s="81" t="str">
        <f t="shared" si="6"/>
        <v/>
      </c>
      <c r="AU36" s="82" t="str">
        <f t="shared" si="7"/>
        <v/>
      </c>
      <c r="AV36" s="82" t="str">
        <f t="shared" si="39"/>
        <v/>
      </c>
      <c r="AW36" s="82" t="str">
        <f t="shared" si="40"/>
        <v/>
      </c>
      <c r="AX36" s="82" t="str">
        <f t="shared" si="8"/>
        <v/>
      </c>
      <c r="AY36" s="324" t="str">
        <f t="shared" si="9"/>
        <v/>
      </c>
      <c r="AZ36" s="328">
        <f t="shared" si="10"/>
        <v>179.22601080474391</v>
      </c>
      <c r="BA36" s="324">
        <f t="shared" si="41"/>
        <v>171.16216272537005</v>
      </c>
      <c r="BB36" s="324">
        <f t="shared" si="11"/>
        <v>95.538861933800703</v>
      </c>
      <c r="BC36" s="329">
        <f t="shared" si="12"/>
        <v>95.538861933800703</v>
      </c>
      <c r="BD36" s="288" t="str">
        <f t="shared" si="42"/>
        <v/>
      </c>
      <c r="BE36" s="289" t="str">
        <f t="shared" si="43"/>
        <v/>
      </c>
      <c r="BF36" s="289" t="str">
        <f t="shared" si="44"/>
        <v/>
      </c>
      <c r="BG36" s="289" t="str">
        <f t="shared" si="45"/>
        <v/>
      </c>
      <c r="BH36" s="289" t="str">
        <f t="shared" si="46"/>
        <v/>
      </c>
      <c r="BI36" s="290" t="str">
        <f t="shared" si="47"/>
        <v/>
      </c>
      <c r="BJ36" s="744">
        <f t="shared" si="48"/>
        <v>126303650.55749282</v>
      </c>
      <c r="BK36" s="321"/>
    </row>
    <row r="37" spans="1:63">
      <c r="A37">
        <v>251</v>
      </c>
      <c r="B37" s="88" t="s">
        <v>38</v>
      </c>
      <c r="C37" s="83" t="str">
        <f>$A$36&amp;"&amp;"&amp;$A$37</f>
        <v>301&amp;251</v>
      </c>
      <c r="D37" s="62" t="str">
        <f t="shared" si="13"/>
        <v>C</v>
      </c>
      <c r="E37">
        <f>IF(ISERROR(VLOOKUP(A37,Mandatory!A:A,1,FALSE)),0,1)</f>
        <v>1</v>
      </c>
      <c r="F37" s="54">
        <f>VLOOKUP(A37,'Front-loading'!A:AG,$F$6,FALSE)</f>
        <v>1220</v>
      </c>
      <c r="G37" s="55">
        <f>VLOOKUP(A37,'Front-loading'!A:AG,$G$6,FALSE)</f>
        <v>12901</v>
      </c>
      <c r="H37" s="55">
        <f>VLOOKUP(A37,'Front-loading'!A:AG,$H$6,FALSE)</f>
        <v>4456</v>
      </c>
      <c r="I37" s="56">
        <f>VLOOKUP(A37,'Front-loading'!A:AG,$I$6,FALSE)</f>
        <v>38718</v>
      </c>
      <c r="J37" s="54">
        <f>VLOOKUP(A37,'Front-loading'!A:AG,$J$6,FALSE)</f>
        <v>320783.13027184526</v>
      </c>
      <c r="K37" s="55">
        <f>VLOOKUP(A37,'Front-loading'!A:AG,$K$6,FALSE)</f>
        <v>3441720.1043030666</v>
      </c>
      <c r="L37" s="55">
        <f>VLOOKUP(A37,'Front-loading'!A:AG,$L$6,FALSE)</f>
        <v>675155.98252931668</v>
      </c>
      <c r="M37" s="56">
        <f>VLOOKUP(A37,'Front-loading'!A:AG,$M$6,FALSE)</f>
        <v>6009094.606307839</v>
      </c>
      <c r="N37" s="15">
        <f t="shared" si="14"/>
        <v>262.9369920261027</v>
      </c>
      <c r="O37" s="11">
        <f t="shared" si="14"/>
        <v>266.77932751748443</v>
      </c>
      <c r="P37" s="11">
        <f t="shared" si="14"/>
        <v>151.51615406851812</v>
      </c>
      <c r="Q37" s="12">
        <f t="shared" si="14"/>
        <v>155.20157565751947</v>
      </c>
      <c r="R37" s="99">
        <f t="shared" si="15"/>
        <v>262.9369920261027</v>
      </c>
      <c r="S37" s="100">
        <f t="shared" si="16"/>
        <v>266.77932751748443</v>
      </c>
      <c r="T37" s="100">
        <f t="shared" si="17"/>
        <v>151.51615406851812</v>
      </c>
      <c r="U37" s="100">
        <f t="shared" si="18"/>
        <v>155.20157565751947</v>
      </c>
      <c r="V37" s="125">
        <f t="shared" si="19"/>
        <v>262.9369920261027</v>
      </c>
      <c r="W37" s="126">
        <f t="shared" si="20"/>
        <v>266.77932751748443</v>
      </c>
      <c r="X37" s="126">
        <f t="shared" si="21"/>
        <v>151.51615406851812</v>
      </c>
      <c r="Y37" s="126">
        <f t="shared" si="22"/>
        <v>155.20157565751947</v>
      </c>
      <c r="Z37" s="127">
        <f t="shared" si="23"/>
        <v>262.9369920261027</v>
      </c>
      <c r="AA37" s="128">
        <f t="shared" si="24"/>
        <v>266.77932751748443</v>
      </c>
      <c r="AB37" s="128">
        <f t="shared" si="25"/>
        <v>151.51615406851812</v>
      </c>
      <c r="AC37" s="129">
        <f t="shared" si="26"/>
        <v>155.20157565751947</v>
      </c>
      <c r="AD37" s="128">
        <f t="shared" si="27"/>
        <v>266.44736453331296</v>
      </c>
      <c r="AE37" s="128">
        <f t="shared" si="28"/>
        <v>266.44736453331296</v>
      </c>
      <c r="AF37" s="128">
        <f t="shared" si="29"/>
        <v>154.82120231706944</v>
      </c>
      <c r="AG37" s="129">
        <f t="shared" si="30"/>
        <v>154.82120231706944</v>
      </c>
      <c r="AH37" s="128">
        <f t="shared" si="31"/>
        <v>266.44736453331296</v>
      </c>
      <c r="AI37" s="128">
        <f t="shared" si="32"/>
        <v>266.44736453331296</v>
      </c>
      <c r="AJ37" s="128">
        <f t="shared" si="33"/>
        <v>154.82120231706944</v>
      </c>
      <c r="AK37" s="128">
        <f t="shared" si="34"/>
        <v>154.82120231706944</v>
      </c>
      <c r="AL37" s="127">
        <f>IF($C37="",AH37,IF(AH36&gt;AH37,SUMPRODUCT(AH36:AH37,F36:F37)/SUM(F36:F37),AH37))</f>
        <v>266.44736453331296</v>
      </c>
      <c r="AM37" s="128">
        <f>IF($C37="",AI37,IF(AI36&gt;AI37,SUMPRODUCT(AI36:AI37,G36:G37)/SUM(G36:G37),AI37))</f>
        <v>266.44736453331296</v>
      </c>
      <c r="AN37" s="128">
        <f>IF($C37="",AJ37,IF(AJ36&gt;AJ37,SUMPRODUCT(AJ36:AJ37,H36:H37)/SUM(H36:H37),AJ37))</f>
        <v>154.82120231706944</v>
      </c>
      <c r="AO37" s="129">
        <f>IF($C37="",AK37,IF(AK36&gt;AK37,SUMPRODUCT(AK36:AK37,I36:I37)/SUM(I36:I37),AK37))</f>
        <v>154.82120231706944</v>
      </c>
      <c r="AP37" s="127">
        <f t="shared" si="35"/>
        <v>266.44736453331296</v>
      </c>
      <c r="AQ37" s="128">
        <f t="shared" si="36"/>
        <v>266.44736453331296</v>
      </c>
      <c r="AR37" s="128">
        <f t="shared" si="37"/>
        <v>154.82120231706944</v>
      </c>
      <c r="AS37" s="129">
        <f t="shared" si="38"/>
        <v>154.82120231706944</v>
      </c>
      <c r="AT37" s="18" t="str">
        <f t="shared" si="6"/>
        <v/>
      </c>
      <c r="AU37" s="19" t="str">
        <f t="shared" si="7"/>
        <v/>
      </c>
      <c r="AV37" s="19" t="str">
        <f t="shared" si="39"/>
        <v/>
      </c>
      <c r="AW37" s="19" t="str">
        <f t="shared" si="40"/>
        <v/>
      </c>
      <c r="AX37" s="19" t="str">
        <f t="shared" si="8"/>
        <v/>
      </c>
      <c r="AY37" s="323" t="str">
        <f t="shared" si="9"/>
        <v/>
      </c>
      <c r="AZ37" s="326">
        <f t="shared" si="10"/>
        <v>266.44736453331296</v>
      </c>
      <c r="BA37" s="323">
        <f t="shared" si="41"/>
        <v>266.44736453331296</v>
      </c>
      <c r="BB37" s="323">
        <f t="shared" si="11"/>
        <v>154.82120231706944</v>
      </c>
      <c r="BC37" s="327">
        <f t="shared" si="12"/>
        <v>154.82120231706944</v>
      </c>
      <c r="BD37" s="18" t="str">
        <f t="shared" si="42"/>
        <v/>
      </c>
      <c r="BE37" s="19" t="str">
        <f t="shared" si="43"/>
        <v/>
      </c>
      <c r="BF37" s="19" t="str">
        <f t="shared" si="44"/>
        <v/>
      </c>
      <c r="BG37" s="19" t="str">
        <f t="shared" si="45"/>
        <v/>
      </c>
      <c r="BH37" s="19" t="str">
        <f t="shared" si="46"/>
        <v/>
      </c>
      <c r="BI37" s="20" t="str">
        <f t="shared" si="47"/>
        <v/>
      </c>
      <c r="BJ37" s="744">
        <f t="shared" si="48"/>
        <v>10446753.823412068</v>
      </c>
      <c r="BK37" s="321"/>
    </row>
    <row r="38" spans="1:63">
      <c r="A38" s="74">
        <v>302</v>
      </c>
      <c r="B38" s="89" t="s">
        <v>45</v>
      </c>
      <c r="C38" s="74" t="str">
        <f>$A$38&amp;"&amp;"&amp;$A$39</f>
        <v>302&amp;252</v>
      </c>
      <c r="D38" s="93" t="str">
        <f t="shared" si="13"/>
        <v>A</v>
      </c>
      <c r="E38" s="74">
        <f>IF(ISERROR(VLOOKUP(A38,Mandatory!A:A,1,FALSE)),0,1)</f>
        <v>1</v>
      </c>
      <c r="F38" s="75">
        <f>VLOOKUP(A38,'Front-loading'!A:AG,$F$6,FALSE)</f>
        <v>2435</v>
      </c>
      <c r="G38" s="76">
        <f>VLOOKUP(A38,'Front-loading'!A:AG,$G$6,FALSE)</f>
        <v>93592</v>
      </c>
      <c r="H38" s="76">
        <f>VLOOKUP(A38,'Front-loading'!A:AG,$H$6,FALSE)</f>
        <v>8588</v>
      </c>
      <c r="I38" s="77">
        <f>VLOOKUP(A38,'Front-loading'!A:AG,$I$6,FALSE)</f>
        <v>319456</v>
      </c>
      <c r="J38" s="75">
        <f>VLOOKUP(A38,'Front-loading'!A:AG,$J$6,FALSE)</f>
        <v>452127.37521581701</v>
      </c>
      <c r="K38" s="76">
        <f>VLOOKUP(A38,'Front-loading'!A:AG,$K$6,FALSE)</f>
        <v>18436686.988114823</v>
      </c>
      <c r="L38" s="76">
        <f>VLOOKUP(A38,'Front-loading'!A:AG,$L$6,FALSE)</f>
        <v>945433.55561587203</v>
      </c>
      <c r="M38" s="77">
        <f>VLOOKUP(A38,'Front-loading'!A:AG,$M$6,FALSE)</f>
        <v>31847941.745079439</v>
      </c>
      <c r="N38" s="78">
        <f t="shared" si="14"/>
        <v>185.67859351778932</v>
      </c>
      <c r="O38" s="79">
        <f t="shared" si="14"/>
        <v>196.98998833356293</v>
      </c>
      <c r="P38" s="79">
        <f t="shared" si="14"/>
        <v>110.08774518116815</v>
      </c>
      <c r="Q38" s="80">
        <f t="shared" si="14"/>
        <v>99.694298260415948</v>
      </c>
      <c r="R38" s="101">
        <f t="shared" si="15"/>
        <v>185.67859351778932</v>
      </c>
      <c r="S38" s="102">
        <f t="shared" si="16"/>
        <v>196.98998833356293</v>
      </c>
      <c r="T38" s="102">
        <f t="shared" si="17"/>
        <v>110.08774518116815</v>
      </c>
      <c r="U38" s="102">
        <f t="shared" si="18"/>
        <v>99.694298260415948</v>
      </c>
      <c r="V38" s="95">
        <f t="shared" si="19"/>
        <v>185.67859351778932</v>
      </c>
      <c r="W38" s="96">
        <f t="shared" si="20"/>
        <v>196.98998833356293</v>
      </c>
      <c r="X38" s="96">
        <f t="shared" si="21"/>
        <v>110.08774518116815</v>
      </c>
      <c r="Y38" s="96">
        <f t="shared" si="22"/>
        <v>99.694298260415948</v>
      </c>
      <c r="Z38" s="60">
        <f t="shared" si="23"/>
        <v>185.67859351778932</v>
      </c>
      <c r="AA38" s="61">
        <f t="shared" si="24"/>
        <v>196.98998833356293</v>
      </c>
      <c r="AB38" s="61">
        <f t="shared" si="25"/>
        <v>110.08774518116815</v>
      </c>
      <c r="AC38" s="108">
        <f t="shared" si="26"/>
        <v>99.694298260415948</v>
      </c>
      <c r="AD38" s="61">
        <f t="shared" si="27"/>
        <v>196.70316018755807</v>
      </c>
      <c r="AE38" s="61">
        <f t="shared" si="28"/>
        <v>196.70316018755807</v>
      </c>
      <c r="AF38" s="61">
        <f t="shared" si="29"/>
        <v>110.08774518116815</v>
      </c>
      <c r="AG38" s="108">
        <f t="shared" si="30"/>
        <v>99.694298260415948</v>
      </c>
      <c r="AH38" s="61">
        <f t="shared" si="31"/>
        <v>196.70316018755807</v>
      </c>
      <c r="AI38" s="61">
        <f t="shared" si="32"/>
        <v>196.70316018755807</v>
      </c>
      <c r="AJ38" s="61">
        <f t="shared" si="33"/>
        <v>110.08774518116815</v>
      </c>
      <c r="AK38" s="61">
        <f t="shared" si="34"/>
        <v>99.694298260415948</v>
      </c>
      <c r="AL38" s="60">
        <f>IF($C38="",AH38,IF(AH38&gt;AH39,SUMPRODUCT(AH38:AH39,F38:F39)/SUM(F38:F39),AH38))</f>
        <v>196.70316018755807</v>
      </c>
      <c r="AM38" s="61">
        <f>IF($C38="",AI38,IF(AI38&gt;AI39,SUMPRODUCT(AI38:AI39,G38:G39)/SUM(G38:G39),AI38))</f>
        <v>196.70316018755807</v>
      </c>
      <c r="AN38" s="61">
        <f>IF($C38="",AJ38,IF(AJ38&gt;AJ39,SUMPRODUCT(AJ38:AJ39,H38:H39)/SUM(H38:H39),AJ38))</f>
        <v>110.08774518116815</v>
      </c>
      <c r="AO38" s="108">
        <f>IF($C38="",AK38,IF(AK38&gt;AK39,SUMPRODUCT(AK38:AK39,I38:I39)/SUM(I38:I39),AK38))</f>
        <v>99.694298260415948</v>
      </c>
      <c r="AP38" s="60">
        <f t="shared" si="35"/>
        <v>196.70316018755807</v>
      </c>
      <c r="AQ38" s="61">
        <f t="shared" si="36"/>
        <v>196.70316018755807</v>
      </c>
      <c r="AR38" s="61">
        <f t="shared" si="37"/>
        <v>110.08774518116815</v>
      </c>
      <c r="AS38" s="108">
        <f t="shared" si="38"/>
        <v>99.694298260415948</v>
      </c>
      <c r="AT38" s="81" t="str">
        <f t="shared" si="6"/>
        <v/>
      </c>
      <c r="AU38" s="82" t="str">
        <f t="shared" si="7"/>
        <v/>
      </c>
      <c r="AV38" s="82" t="str">
        <f t="shared" si="39"/>
        <v/>
      </c>
      <c r="AW38" s="82" t="str">
        <f t="shared" si="40"/>
        <v/>
      </c>
      <c r="AX38" s="82" t="str">
        <f t="shared" si="8"/>
        <v/>
      </c>
      <c r="AY38" s="324" t="str">
        <f t="shared" si="9"/>
        <v/>
      </c>
      <c r="AZ38" s="328">
        <f t="shared" si="10"/>
        <v>196.70316018755807</v>
      </c>
      <c r="BA38" s="324">
        <f t="shared" si="41"/>
        <v>196.70316018755807</v>
      </c>
      <c r="BB38" s="324">
        <f t="shared" si="11"/>
        <v>110.08774518116815</v>
      </c>
      <c r="BC38" s="329">
        <f t="shared" si="12"/>
        <v>99.694298260415948</v>
      </c>
      <c r="BD38" s="288" t="str">
        <f t="shared" si="42"/>
        <v/>
      </c>
      <c r="BE38" s="289" t="str">
        <f t="shared" si="43"/>
        <v/>
      </c>
      <c r="BF38" s="289" t="str">
        <f t="shared" si="44"/>
        <v/>
      </c>
      <c r="BG38" s="289" t="str">
        <f t="shared" si="45"/>
        <v/>
      </c>
      <c r="BH38" s="289" t="str">
        <f t="shared" si="46"/>
        <v/>
      </c>
      <c r="BI38" s="290" t="str">
        <f t="shared" si="47"/>
        <v/>
      </c>
      <c r="BJ38" s="744">
        <f t="shared" si="48"/>
        <v>51682189.664025947</v>
      </c>
      <c r="BK38" s="321"/>
    </row>
    <row r="39" spans="1:63">
      <c r="A39">
        <v>252</v>
      </c>
      <c r="B39" s="88" t="s">
        <v>39</v>
      </c>
      <c r="C39" s="83" t="str">
        <f>$A$38&amp;"&amp;"&amp;$A$39</f>
        <v>302&amp;252</v>
      </c>
      <c r="D39" s="62" t="str">
        <f t="shared" si="13"/>
        <v>C</v>
      </c>
      <c r="E39">
        <f>IF(ISERROR(VLOOKUP(A39,Mandatory!A:A,1,FALSE)),0,1)</f>
        <v>1</v>
      </c>
      <c r="F39" s="54">
        <f>VLOOKUP(A39,'Front-loading'!A:AG,$F$6,FALSE)</f>
        <v>915</v>
      </c>
      <c r="G39" s="55">
        <f>VLOOKUP(A39,'Front-loading'!A:AG,$G$6,FALSE)</f>
        <v>8526</v>
      </c>
      <c r="H39" s="55">
        <f>VLOOKUP(A39,'Front-loading'!A:AG,$H$6,FALSE)</f>
        <v>5478</v>
      </c>
      <c r="I39" s="56">
        <f>VLOOKUP(A39,'Front-loading'!A:AG,$I$6,FALSE)</f>
        <v>33817</v>
      </c>
      <c r="J39" s="54">
        <f>VLOOKUP(A39,'Front-loading'!A:AG,$J$6,FALSE)</f>
        <v>272619.78931877553</v>
      </c>
      <c r="K39" s="55">
        <f>VLOOKUP(A39,'Front-loading'!A:AG,$K$6,FALSE)</f>
        <v>3504155.4190014503</v>
      </c>
      <c r="L39" s="55">
        <f>VLOOKUP(A39,'Front-loading'!A:AG,$L$6,FALSE)</f>
        <v>1138029.012456354</v>
      </c>
      <c r="M39" s="56">
        <f>VLOOKUP(A39,'Front-loading'!A:AG,$M$6,FALSE)</f>
        <v>6530983.477741966</v>
      </c>
      <c r="N39" s="15">
        <f t="shared" si="14"/>
        <v>297.94512493855251</v>
      </c>
      <c r="O39" s="11">
        <f t="shared" si="14"/>
        <v>410.99641320683207</v>
      </c>
      <c r="P39" s="11">
        <f t="shared" si="14"/>
        <v>207.74534729031654</v>
      </c>
      <c r="Q39" s="12">
        <f t="shared" si="14"/>
        <v>193.12722825034646</v>
      </c>
      <c r="R39" s="99">
        <f t="shared" si="15"/>
        <v>297.94512493855251</v>
      </c>
      <c r="S39" s="100">
        <f t="shared" si="16"/>
        <v>410.99641320683207</v>
      </c>
      <c r="T39" s="100">
        <f t="shared" si="17"/>
        <v>207.74534729031654</v>
      </c>
      <c r="U39" s="100">
        <f t="shared" si="18"/>
        <v>193.12722825034646</v>
      </c>
      <c r="V39" s="125">
        <f t="shared" si="19"/>
        <v>297.94512493855251</v>
      </c>
      <c r="W39" s="126">
        <f t="shared" si="20"/>
        <v>410.99641320683207</v>
      </c>
      <c r="X39" s="126">
        <f t="shared" si="21"/>
        <v>207.74534729031654</v>
      </c>
      <c r="Y39" s="126">
        <f t="shared" si="22"/>
        <v>193.12722825034646</v>
      </c>
      <c r="Z39" s="127">
        <f t="shared" si="23"/>
        <v>297.94512493855251</v>
      </c>
      <c r="AA39" s="128">
        <f t="shared" si="24"/>
        <v>410.99641320683207</v>
      </c>
      <c r="AB39" s="128">
        <f t="shared" si="25"/>
        <v>207.74534729031654</v>
      </c>
      <c r="AC39" s="129">
        <f t="shared" si="26"/>
        <v>193.12722825034646</v>
      </c>
      <c r="AD39" s="128">
        <f t="shared" si="27"/>
        <v>400.03974243408805</v>
      </c>
      <c r="AE39" s="128">
        <f t="shared" si="28"/>
        <v>400.03974243408805</v>
      </c>
      <c r="AF39" s="128">
        <f t="shared" si="29"/>
        <v>207.74534729031654</v>
      </c>
      <c r="AG39" s="129">
        <f t="shared" si="30"/>
        <v>193.12722825034646</v>
      </c>
      <c r="AH39" s="128">
        <f t="shared" si="31"/>
        <v>400.03974243408805</v>
      </c>
      <c r="AI39" s="128">
        <f t="shared" si="32"/>
        <v>400.03974243408805</v>
      </c>
      <c r="AJ39" s="128">
        <f t="shared" si="33"/>
        <v>207.74534729031654</v>
      </c>
      <c r="AK39" s="128">
        <f t="shared" si="34"/>
        <v>193.12722825034646</v>
      </c>
      <c r="AL39" s="127">
        <f>IF($C39="",AH39,IF(AH38&gt;AH39,SUMPRODUCT(AH38:AH39,F38:F39)/SUM(F38:F39),AH39))</f>
        <v>400.03974243408805</v>
      </c>
      <c r="AM39" s="128">
        <f>IF($C39="",AI39,IF(AI38&gt;AI39,SUMPRODUCT(AI38:AI39,G38:G39)/SUM(G38:G39),AI39))</f>
        <v>400.03974243408805</v>
      </c>
      <c r="AN39" s="128">
        <f>IF($C39="",AJ39,IF(AJ38&gt;AJ39,SUMPRODUCT(AJ38:AJ39,H38:H39)/SUM(H38:H39),AJ39))</f>
        <v>207.74534729031654</v>
      </c>
      <c r="AO39" s="129">
        <f>IF($C39="",AK39,IF(AK38&gt;AK39,SUMPRODUCT(AK38:AK39,I38:I39)/SUM(I38:I39),AK39))</f>
        <v>193.12722825034646</v>
      </c>
      <c r="AP39" s="127">
        <f t="shared" si="35"/>
        <v>400.03974243408805</v>
      </c>
      <c r="AQ39" s="128">
        <f t="shared" si="36"/>
        <v>400.03974243408805</v>
      </c>
      <c r="AR39" s="128">
        <f t="shared" si="37"/>
        <v>207.74534729031654</v>
      </c>
      <c r="AS39" s="129">
        <f t="shared" si="38"/>
        <v>193.12722825034646</v>
      </c>
      <c r="AT39" s="18" t="str">
        <f t="shared" si="6"/>
        <v/>
      </c>
      <c r="AU39" s="19" t="str">
        <f t="shared" si="7"/>
        <v/>
      </c>
      <c r="AV39" s="19" t="str">
        <f t="shared" si="39"/>
        <v/>
      </c>
      <c r="AW39" s="19" t="str">
        <f t="shared" si="40"/>
        <v/>
      </c>
      <c r="AX39" s="19" t="str">
        <f t="shared" si="8"/>
        <v/>
      </c>
      <c r="AY39" s="323" t="str">
        <f t="shared" si="9"/>
        <v/>
      </c>
      <c r="AZ39" s="326">
        <f t="shared" si="10"/>
        <v>400.03974243408805</v>
      </c>
      <c r="BA39" s="323">
        <f t="shared" si="41"/>
        <v>400.03974243408805</v>
      </c>
      <c r="BB39" s="323">
        <f t="shared" si="11"/>
        <v>207.74534729031654</v>
      </c>
      <c r="BC39" s="327">
        <f t="shared" si="12"/>
        <v>193.12722825034646</v>
      </c>
      <c r="BD39" s="18" t="str">
        <f t="shared" si="42"/>
        <v/>
      </c>
      <c r="BE39" s="19" t="str">
        <f t="shared" si="43"/>
        <v/>
      </c>
      <c r="BF39" s="19" t="str">
        <f t="shared" si="44"/>
        <v/>
      </c>
      <c r="BG39" s="19" t="str">
        <f t="shared" si="45"/>
        <v/>
      </c>
      <c r="BH39" s="19" t="str">
        <f t="shared" si="46"/>
        <v/>
      </c>
      <c r="BI39" s="20" t="str">
        <f t="shared" si="47"/>
        <v/>
      </c>
      <c r="BJ39" s="744">
        <f t="shared" si="48"/>
        <v>11445787.698518544</v>
      </c>
      <c r="BK39" s="321"/>
    </row>
    <row r="40" spans="1:63">
      <c r="A40" s="74">
        <v>303</v>
      </c>
      <c r="B40" s="89" t="s">
        <v>46</v>
      </c>
      <c r="C40" s="74" t="str">
        <f>$A$40&amp;"&amp;"&amp;$A$41</f>
        <v>303&amp;253</v>
      </c>
      <c r="D40" s="93" t="str">
        <f t="shared" si="13"/>
        <v>A</v>
      </c>
      <c r="E40" s="74">
        <f>IF(ISERROR(VLOOKUP(A40,Mandatory!A:A,1,FALSE)),0,1)</f>
        <v>1</v>
      </c>
      <c r="F40" s="75">
        <f>VLOOKUP(A40,'Front-loading'!A:AG,$F$6,FALSE)</f>
        <v>4066</v>
      </c>
      <c r="G40" s="76">
        <f>VLOOKUP(A40,'Front-loading'!A:AG,$G$6,FALSE)</f>
        <v>153297</v>
      </c>
      <c r="H40" s="76">
        <f>VLOOKUP(A40,'Front-loading'!A:AG,$H$6,FALSE)</f>
        <v>40872</v>
      </c>
      <c r="I40" s="77">
        <f>VLOOKUP(A40,'Front-loading'!A:AG,$I$6,FALSE)</f>
        <v>1034772</v>
      </c>
      <c r="J40" s="75">
        <f>VLOOKUP(A40,'Front-loading'!A:AG,$J$6,FALSE)</f>
        <v>1961878.8461114401</v>
      </c>
      <c r="K40" s="76">
        <f>VLOOKUP(A40,'Front-loading'!A:AG,$K$6,FALSE)</f>
        <v>45860009.401493743</v>
      </c>
      <c r="L40" s="76">
        <f>VLOOKUP(A40,'Front-loading'!A:AG,$L$6,FALSE)</f>
        <v>9182097.7442766018</v>
      </c>
      <c r="M40" s="77">
        <f>VLOOKUP(A40,'Front-loading'!A:AG,$M$6,FALSE)</f>
        <v>129538523.76616497</v>
      </c>
      <c r="N40" s="78">
        <f t="shared" si="14"/>
        <v>482.50832417890803</v>
      </c>
      <c r="O40" s="79">
        <f t="shared" si="14"/>
        <v>299.15790525250816</v>
      </c>
      <c r="P40" s="79">
        <f t="shared" si="14"/>
        <v>224.65496536202295</v>
      </c>
      <c r="Q40" s="80">
        <f t="shared" si="14"/>
        <v>125.1855710882832</v>
      </c>
      <c r="R40" s="101">
        <f t="shared" si="15"/>
        <v>482.50832417890803</v>
      </c>
      <c r="S40" s="102">
        <f t="shared" si="16"/>
        <v>299.15790525250816</v>
      </c>
      <c r="T40" s="102">
        <f t="shared" si="17"/>
        <v>224.65496536202295</v>
      </c>
      <c r="U40" s="102">
        <f t="shared" si="18"/>
        <v>125.1855710882832</v>
      </c>
      <c r="V40" s="95">
        <f t="shared" si="19"/>
        <v>482.50832417890803</v>
      </c>
      <c r="W40" s="96">
        <f t="shared" si="20"/>
        <v>299.15790525250816</v>
      </c>
      <c r="X40" s="96">
        <f t="shared" si="21"/>
        <v>224.65496536202295</v>
      </c>
      <c r="Y40" s="96">
        <f t="shared" si="22"/>
        <v>125.1855710882832</v>
      </c>
      <c r="Z40" s="60">
        <f t="shared" si="23"/>
        <v>482.50832417890803</v>
      </c>
      <c r="AA40" s="61">
        <f t="shared" si="24"/>
        <v>299.15790525250816</v>
      </c>
      <c r="AB40" s="61">
        <f t="shared" si="25"/>
        <v>224.65496536202295</v>
      </c>
      <c r="AC40" s="108">
        <f t="shared" si="26"/>
        <v>125.1855710882832</v>
      </c>
      <c r="AD40" s="61">
        <f t="shared" si="27"/>
        <v>482.50832417890803</v>
      </c>
      <c r="AE40" s="61">
        <f t="shared" si="28"/>
        <v>299.15790525250816</v>
      </c>
      <c r="AF40" s="61">
        <f t="shared" si="29"/>
        <v>224.65496536202295</v>
      </c>
      <c r="AG40" s="108">
        <f t="shared" si="30"/>
        <v>125.1855710882832</v>
      </c>
      <c r="AH40" s="61">
        <f t="shared" si="31"/>
        <v>482.50832417890803</v>
      </c>
      <c r="AI40" s="61">
        <f t="shared" si="32"/>
        <v>299.15790525250816</v>
      </c>
      <c r="AJ40" s="61">
        <f t="shared" si="33"/>
        <v>224.65496536202295</v>
      </c>
      <c r="AK40" s="61">
        <f t="shared" si="34"/>
        <v>125.1855710882832</v>
      </c>
      <c r="AL40" s="60">
        <f>IF($C40="",AH40,IF(AH40&gt;AH41,SUMPRODUCT(AH40:AH41,F40:F41)/SUM(F40:F41),AH40))</f>
        <v>480.55170552965478</v>
      </c>
      <c r="AM40" s="61">
        <f>IF($C40="",AI40,IF(AI40&gt;AI41,SUMPRODUCT(AI40:AI41,G40:G41)/SUM(G40:G41),AI40))</f>
        <v>299.15790525250816</v>
      </c>
      <c r="AN40" s="61">
        <f>IF($C40="",AJ40,IF(AJ40&gt;AJ41,SUMPRODUCT(AJ40:AJ41,H40:H41)/SUM(H40:H41),AJ40))</f>
        <v>224.36116946509796</v>
      </c>
      <c r="AO40" s="108">
        <f>IF($C40="",AK40,IF(AK40&gt;AK41,SUMPRODUCT(AK40:AK41,I40:I41)/SUM(I40:I41),AK40))</f>
        <v>125.1855710882832</v>
      </c>
      <c r="AP40" s="60">
        <f t="shared" si="35"/>
        <v>480.55170552965478</v>
      </c>
      <c r="AQ40" s="61">
        <f t="shared" si="36"/>
        <v>299.15790525250816</v>
      </c>
      <c r="AR40" s="61">
        <f t="shared" si="37"/>
        <v>224.36116946509796</v>
      </c>
      <c r="AS40" s="108">
        <f t="shared" si="38"/>
        <v>125.1855710882832</v>
      </c>
      <c r="AT40" s="81" t="str">
        <f t="shared" si="6"/>
        <v/>
      </c>
      <c r="AU40" s="82" t="str">
        <f t="shared" si="7"/>
        <v/>
      </c>
      <c r="AV40" s="82" t="str">
        <f t="shared" si="39"/>
        <v/>
      </c>
      <c r="AW40" s="82" t="str">
        <f t="shared" si="40"/>
        <v/>
      </c>
      <c r="AX40" s="82" t="str">
        <f t="shared" si="8"/>
        <v/>
      </c>
      <c r="AY40" s="324" t="str">
        <f t="shared" si="9"/>
        <v/>
      </c>
      <c r="AZ40" s="328">
        <f t="shared" si="10"/>
        <v>480.55170552965478</v>
      </c>
      <c r="BA40" s="324">
        <f t="shared" si="41"/>
        <v>299.15790525250816</v>
      </c>
      <c r="BB40" s="324">
        <f t="shared" si="11"/>
        <v>224.36116946509796</v>
      </c>
      <c r="BC40" s="329">
        <f t="shared" si="12"/>
        <v>125.1855710882832</v>
      </c>
      <c r="BD40" s="288" t="str">
        <f t="shared" si="42"/>
        <v/>
      </c>
      <c r="BE40" s="289" t="str">
        <f t="shared" si="43"/>
        <v/>
      </c>
      <c r="BF40" s="289" t="str">
        <f t="shared" si="44"/>
        <v/>
      </c>
      <c r="BG40" s="289" t="str">
        <f t="shared" si="45"/>
        <v/>
      </c>
      <c r="BH40" s="289" t="str">
        <f t="shared" si="46"/>
        <v/>
      </c>
      <c r="BI40" s="290" t="str">
        <f t="shared" si="47"/>
        <v/>
      </c>
      <c r="BJ40" s="744">
        <f t="shared" si="48"/>
        <v>186522546.12071979</v>
      </c>
      <c r="BK40" s="321"/>
    </row>
    <row r="41" spans="1:63">
      <c r="A41">
        <v>253</v>
      </c>
      <c r="B41" s="88" t="s">
        <v>40</v>
      </c>
      <c r="C41" s="83" t="str">
        <f>$A$40&amp;"&amp;"&amp;$A$41</f>
        <v>303&amp;253</v>
      </c>
      <c r="D41" s="62" t="str">
        <f t="shared" si="13"/>
        <v>C</v>
      </c>
      <c r="E41">
        <f>IF(ISERROR(VLOOKUP(A41,Mandatory!A:A,1,FALSE)),0,1)</f>
        <v>1</v>
      </c>
      <c r="F41" s="54">
        <f>VLOOKUP(A41,'Front-loading'!A:AG,$F$6,FALSE)</f>
        <v>239</v>
      </c>
      <c r="G41" s="55">
        <f>VLOOKUP(A41,'Front-loading'!A:AG,$G$6,FALSE)</f>
        <v>5365</v>
      </c>
      <c r="H41" s="55">
        <f>VLOOKUP(A41,'Front-loading'!A:AG,$H$6,FALSE)</f>
        <v>1770</v>
      </c>
      <c r="I41" s="56">
        <f>VLOOKUP(A41,'Front-loading'!A:AG,$I$6,FALSE)</f>
        <v>38399</v>
      </c>
      <c r="J41" s="54">
        <f>VLOOKUP(A41,'Front-loading'!A:AG,$J$6,FALSE)</f>
        <v>77777.329358614195</v>
      </c>
      <c r="K41" s="55">
        <f>VLOOKUP(A41,'Front-loading'!A:AG,$K$6,FALSE)</f>
        <v>2428693.6483385758</v>
      </c>
      <c r="L41" s="55">
        <f>VLOOKUP(A41,'Front-loading'!A:AG,$L$6,FALSE)</f>
        <v>261009.05504372009</v>
      </c>
      <c r="M41" s="56">
        <f>VLOOKUP(A41,'Front-loading'!A:AG,$M$6,FALSE)</f>
        <v>8478840.415244028</v>
      </c>
      <c r="N41" s="15">
        <f t="shared" si="14"/>
        <v>325.42815631219327</v>
      </c>
      <c r="O41" s="11">
        <f t="shared" si="14"/>
        <v>452.69219913114182</v>
      </c>
      <c r="P41" s="11">
        <f t="shared" si="14"/>
        <v>147.46274296255373</v>
      </c>
      <c r="Q41" s="12">
        <f t="shared" si="14"/>
        <v>220.80888604505398</v>
      </c>
      <c r="R41" s="99">
        <f t="shared" si="15"/>
        <v>325.42815631219327</v>
      </c>
      <c r="S41" s="100">
        <f t="shared" si="16"/>
        <v>452.69219913114182</v>
      </c>
      <c r="T41" s="100">
        <f t="shared" si="17"/>
        <v>147.46274296255373</v>
      </c>
      <c r="U41" s="100">
        <f t="shared" si="18"/>
        <v>220.80888604505398</v>
      </c>
      <c r="V41" s="125">
        <f t="shared" si="19"/>
        <v>325.42815631219327</v>
      </c>
      <c r="W41" s="126">
        <f t="shared" si="20"/>
        <v>452.69219913114182</v>
      </c>
      <c r="X41" s="126">
        <f t="shared" si="21"/>
        <v>147.46274296255373</v>
      </c>
      <c r="Y41" s="126">
        <f t="shared" si="22"/>
        <v>220.80888604505398</v>
      </c>
      <c r="Z41" s="127">
        <f t="shared" si="23"/>
        <v>325.42815631219327</v>
      </c>
      <c r="AA41" s="128">
        <f t="shared" si="24"/>
        <v>452.69219913114182</v>
      </c>
      <c r="AB41" s="128">
        <f t="shared" si="25"/>
        <v>147.46274296255373</v>
      </c>
      <c r="AC41" s="129">
        <f t="shared" si="26"/>
        <v>220.80888604505398</v>
      </c>
      <c r="AD41" s="128">
        <f t="shared" si="27"/>
        <v>447.26462842562273</v>
      </c>
      <c r="AE41" s="128">
        <f t="shared" si="28"/>
        <v>447.26462842562273</v>
      </c>
      <c r="AF41" s="128">
        <f t="shared" si="29"/>
        <v>217.57697404186681</v>
      </c>
      <c r="AG41" s="129">
        <f t="shared" si="30"/>
        <v>217.57697404186681</v>
      </c>
      <c r="AH41" s="128">
        <f t="shared" si="31"/>
        <v>447.26462842562273</v>
      </c>
      <c r="AI41" s="128">
        <f t="shared" si="32"/>
        <v>447.26462842562273</v>
      </c>
      <c r="AJ41" s="128">
        <f t="shared" si="33"/>
        <v>217.57697404186681</v>
      </c>
      <c r="AK41" s="128">
        <f t="shared" si="34"/>
        <v>217.57697404186681</v>
      </c>
      <c r="AL41" s="127">
        <f>IF($C41="",AH41,IF(AH40&gt;AH41,SUMPRODUCT(AH40:AH41,F40:F41)/SUM(F40:F41),AH41))</f>
        <v>480.55170552965478</v>
      </c>
      <c r="AM41" s="128">
        <f>IF($C41="",AI41,IF(AI40&gt;AI41,SUMPRODUCT(AI40:AI41,G40:G41)/SUM(G40:G41),AI41))</f>
        <v>447.26462842562273</v>
      </c>
      <c r="AN41" s="128">
        <f>IF($C41="",AJ41,IF(AJ40&gt;AJ41,SUMPRODUCT(AJ40:AJ41,H40:H41)/SUM(H40:H41),AJ41))</f>
        <v>224.36116946509796</v>
      </c>
      <c r="AO41" s="129">
        <f>IF($C41="",AK41,IF(AK40&gt;AK41,SUMPRODUCT(AK40:AK41,I40:I41)/SUM(I40:I41),AK41))</f>
        <v>217.57697404186681</v>
      </c>
      <c r="AP41" s="127">
        <f t="shared" si="35"/>
        <v>480.55170552965478</v>
      </c>
      <c r="AQ41" s="128">
        <f t="shared" si="36"/>
        <v>447.26462842562273</v>
      </c>
      <c r="AR41" s="128">
        <f t="shared" si="37"/>
        <v>224.36116946509796</v>
      </c>
      <c r="AS41" s="129">
        <f t="shared" si="38"/>
        <v>217.57697404186681</v>
      </c>
      <c r="AT41" s="18" t="str">
        <f t="shared" si="6"/>
        <v/>
      </c>
      <c r="AU41" s="19" t="str">
        <f t="shared" si="7"/>
        <v/>
      </c>
      <c r="AV41" s="19" t="str">
        <f t="shared" si="39"/>
        <v/>
      </c>
      <c r="AW41" s="19" t="str">
        <f t="shared" si="40"/>
        <v/>
      </c>
      <c r="AX41" s="19" t="str">
        <f t="shared" si="8"/>
        <v/>
      </c>
      <c r="AY41" s="323" t="str">
        <f t="shared" si="9"/>
        <v/>
      </c>
      <c r="AZ41" s="326">
        <f t="shared" si="10"/>
        <v>480.55170552965478</v>
      </c>
      <c r="BA41" s="323">
        <f t="shared" si="41"/>
        <v>447.26462842562273</v>
      </c>
      <c r="BB41" s="323">
        <f t="shared" si="11"/>
        <v>224.36116946509796</v>
      </c>
      <c r="BC41" s="327">
        <f t="shared" si="12"/>
        <v>217.57697404186681</v>
      </c>
      <c r="BD41" s="18" t="str">
        <f t="shared" si="42"/>
        <v/>
      </c>
      <c r="BE41" s="19" t="str">
        <f t="shared" si="43"/>
        <v/>
      </c>
      <c r="BF41" s="19" t="str">
        <f t="shared" si="44"/>
        <v/>
      </c>
      <c r="BG41" s="19" t="str">
        <f t="shared" si="45"/>
        <v/>
      </c>
      <c r="BH41" s="19" t="str">
        <f t="shared" si="46"/>
        <v/>
      </c>
      <c r="BI41" s="20" t="str">
        <f t="shared" si="47"/>
        <v/>
      </c>
      <c r="BJ41" s="744">
        <f t="shared" si="48"/>
        <v>11266284.085311919</v>
      </c>
      <c r="BK41" s="321"/>
    </row>
    <row r="42" spans="1:63">
      <c r="A42" s="74">
        <v>310</v>
      </c>
      <c r="B42" s="89" t="s">
        <v>504</v>
      </c>
      <c r="C42" s="74" t="str">
        <f>$A$42&amp;"&amp;"&amp;$A$43</f>
        <v>310&amp;254</v>
      </c>
      <c r="D42" s="93" t="str">
        <f t="shared" si="13"/>
        <v>A</v>
      </c>
      <c r="E42" s="74">
        <f>IF(ISERROR(VLOOKUP(A42,Mandatory!A:A,1,FALSE)),0,1)</f>
        <v>0</v>
      </c>
      <c r="F42" s="75">
        <f>VLOOKUP(A42,'Front-loading'!A:AG,$F$6,FALSE)</f>
        <v>7</v>
      </c>
      <c r="G42" s="76">
        <f>VLOOKUP(A42,'Front-loading'!A:AG,$G$6,FALSE)</f>
        <v>40116</v>
      </c>
      <c r="H42" s="76">
        <f>VLOOKUP(A42,'Front-loading'!A:AG,$H$6,FALSE)</f>
        <v>4</v>
      </c>
      <c r="I42" s="77">
        <f>VLOOKUP(A42,'Front-loading'!A:AG,$I$6,FALSE)</f>
        <v>34939</v>
      </c>
      <c r="J42" s="75">
        <f>VLOOKUP(A42,'Front-loading'!A:AG,$J$6,FALSE)</f>
        <v>786.6156514446692</v>
      </c>
      <c r="K42" s="76">
        <f>VLOOKUP(A42,'Front-loading'!A:AG,$K$6,FALSE)</f>
        <v>3415342.2671540319</v>
      </c>
      <c r="L42" s="76">
        <f>VLOOKUP(A42,'Front-loading'!A:AG,$L$6,FALSE)</f>
        <v>493.70803155575283</v>
      </c>
      <c r="M42" s="77">
        <f>VLOOKUP(A42,'Front-loading'!A:AG,$M$6,FALSE)</f>
        <v>3141405.2254955578</v>
      </c>
      <c r="N42" s="78">
        <f t="shared" si="14"/>
        <v>112.3736644920956</v>
      </c>
      <c r="O42" s="79">
        <f t="shared" si="14"/>
        <v>85.136660363795784</v>
      </c>
      <c r="P42" s="79">
        <f t="shared" si="14"/>
        <v>123.42700788893821</v>
      </c>
      <c r="Q42" s="80">
        <f t="shared" si="14"/>
        <v>89.91113728199312</v>
      </c>
      <c r="R42" s="101">
        <f t="shared" si="15"/>
        <v>116.39306209094747</v>
      </c>
      <c r="S42" s="102">
        <f t="shared" si="16"/>
        <v>85.136660363795784</v>
      </c>
      <c r="T42" s="102">
        <f t="shared" si="17"/>
        <v>116.39306209094747</v>
      </c>
      <c r="U42" s="102">
        <f t="shared" si="18"/>
        <v>89.91113728199312</v>
      </c>
      <c r="V42" s="95">
        <f t="shared" si="19"/>
        <v>116.39306209094747</v>
      </c>
      <c r="W42" s="96">
        <f t="shared" si="20"/>
        <v>85.136660363795784</v>
      </c>
      <c r="X42" s="96">
        <f t="shared" si="21"/>
        <v>116.39306209094747</v>
      </c>
      <c r="Y42" s="96">
        <f t="shared" si="22"/>
        <v>89.91113728199312</v>
      </c>
      <c r="Z42" s="60">
        <f t="shared" si="23"/>
        <v>116.39306209094747</v>
      </c>
      <c r="AA42" s="61">
        <f t="shared" si="24"/>
        <v>87.359236461922436</v>
      </c>
      <c r="AB42" s="61">
        <f t="shared" si="25"/>
        <v>116.39306209094747</v>
      </c>
      <c r="AC42" s="108">
        <f t="shared" si="26"/>
        <v>87.359236461922436</v>
      </c>
      <c r="AD42" s="61">
        <f t="shared" si="27"/>
        <v>116.39306209094747</v>
      </c>
      <c r="AE42" s="61">
        <f t="shared" si="28"/>
        <v>87.359236461922436</v>
      </c>
      <c r="AF42" s="61">
        <f t="shared" si="29"/>
        <v>116.39306209094747</v>
      </c>
      <c r="AG42" s="108">
        <f t="shared" si="30"/>
        <v>87.359236461922436</v>
      </c>
      <c r="AH42" s="61">
        <f t="shared" si="31"/>
        <v>116.39306209094747</v>
      </c>
      <c r="AI42" s="61">
        <f t="shared" si="32"/>
        <v>87.359236461922436</v>
      </c>
      <c r="AJ42" s="61">
        <f t="shared" si="33"/>
        <v>116.39306209094747</v>
      </c>
      <c r="AK42" s="61">
        <f t="shared" si="34"/>
        <v>87.359236461922436</v>
      </c>
      <c r="AL42" s="60">
        <f>IF($C42="",AH42,IF(AH42&gt;AH43,SUMPRODUCT(AH42:AH43,F42:F43)/SUM(F42:F43),AH42))</f>
        <v>116.39306209094747</v>
      </c>
      <c r="AM42" s="61">
        <f>IF($C42="",AI42,IF(AI42&gt;AI43,SUMPRODUCT(AI42:AI43,G42:G43)/SUM(G42:G43),AI42))</f>
        <v>87.359236461922436</v>
      </c>
      <c r="AN42" s="61">
        <f>IF($C42="",AJ42,IF(AJ42&gt;AJ43,SUMPRODUCT(AJ42:AJ43,H42:H43)/SUM(H42:H43),AJ42))</f>
        <v>116.39306209094747</v>
      </c>
      <c r="AO42" s="108">
        <f>IF($C42="",AK42,IF(AK42&gt;AK43,SUMPRODUCT(AK42:AK43,I42:I43)/SUM(I42:I43),AK42))</f>
        <v>87.359236461922436</v>
      </c>
      <c r="AP42" s="60">
        <f t="shared" si="35"/>
        <v>116.39306209094747</v>
      </c>
      <c r="AQ42" s="61">
        <f t="shared" si="36"/>
        <v>87.359236461922436</v>
      </c>
      <c r="AR42" s="61">
        <f t="shared" si="37"/>
        <v>116.39306209094747</v>
      </c>
      <c r="AS42" s="108">
        <f t="shared" si="38"/>
        <v>87.359236461922436</v>
      </c>
      <c r="AT42" s="81" t="str">
        <f t="shared" si="6"/>
        <v/>
      </c>
      <c r="AU42" s="82" t="str">
        <f t="shared" si="7"/>
        <v/>
      </c>
      <c r="AV42" s="82" t="str">
        <f t="shared" si="39"/>
        <v/>
      </c>
      <c r="AW42" s="82" t="str">
        <f t="shared" si="40"/>
        <v/>
      </c>
      <c r="AX42" s="82" t="str">
        <f t="shared" si="8"/>
        <v/>
      </c>
      <c r="AY42" s="324" t="str">
        <f t="shared" si="9"/>
        <v/>
      </c>
      <c r="AZ42" s="328">
        <f t="shared" si="10"/>
        <v>116.39306209094747</v>
      </c>
      <c r="BA42" s="324">
        <f t="shared" si="41"/>
        <v>87.359236461922436</v>
      </c>
      <c r="BB42" s="324">
        <f t="shared" si="11"/>
        <v>116.39306209094747</v>
      </c>
      <c r="BC42" s="329">
        <f t="shared" si="12"/>
        <v>87.359236461922436</v>
      </c>
      <c r="BD42" s="288" t="str">
        <f t="shared" si="42"/>
        <v/>
      </c>
      <c r="BE42" s="289" t="str">
        <f t="shared" si="43"/>
        <v/>
      </c>
      <c r="BF42" s="289" t="str">
        <f t="shared" si="44"/>
        <v/>
      </c>
      <c r="BG42" s="289" t="str">
        <f t="shared" si="45"/>
        <v/>
      </c>
      <c r="BH42" s="289" t="str">
        <f t="shared" si="46"/>
        <v/>
      </c>
      <c r="BI42" s="290" t="str">
        <f t="shared" si="47"/>
        <v/>
      </c>
      <c r="BJ42" s="744">
        <f t="shared" si="48"/>
        <v>6558027.8163325889</v>
      </c>
      <c r="BK42" s="321"/>
    </row>
    <row r="43" spans="1:63">
      <c r="A43">
        <v>254</v>
      </c>
      <c r="B43" s="88" t="s">
        <v>493</v>
      </c>
      <c r="C43" t="str">
        <f>$A$42&amp;"&amp;"&amp;$A$43</f>
        <v>310&amp;254</v>
      </c>
      <c r="D43" s="62" t="str">
        <f t="shared" si="13"/>
        <v>C</v>
      </c>
      <c r="E43">
        <f>IF(ISERROR(VLOOKUP(A43,Mandatory!A:A,1,FALSE)),0,1)</f>
        <v>0</v>
      </c>
      <c r="F43" s="54">
        <f>VLOOKUP(A43,'Front-loading'!A:AG,$F$6,FALSE)</f>
        <v>0</v>
      </c>
      <c r="G43" s="55">
        <f>VLOOKUP(A43,'Front-loading'!A:AG,$G$6,FALSE)</f>
        <v>15577</v>
      </c>
      <c r="H43" s="55">
        <f>VLOOKUP(A43,'Front-loading'!A:AG,$H$6,FALSE)</f>
        <v>0</v>
      </c>
      <c r="I43" s="56">
        <f>VLOOKUP(A43,'Front-loading'!A:AG,$I$6,FALSE)</f>
        <v>20810</v>
      </c>
      <c r="J43" s="54">
        <f>VLOOKUP(A43,'Front-loading'!A:AG,$J$6,FALSE)</f>
        <v>0</v>
      </c>
      <c r="K43" s="55">
        <f>VLOOKUP(A43,'Front-loading'!A:AG,$K$6,FALSE)</f>
        <v>2859987.4336735778</v>
      </c>
      <c r="L43" s="55">
        <f>VLOOKUP(A43,'Front-loading'!A:AG,$L$6,FALSE)</f>
        <v>0</v>
      </c>
      <c r="M43" s="56">
        <f>VLOOKUP(A43,'Front-loading'!A:AG,$M$6,FALSE)</f>
        <v>3352745.4349192022</v>
      </c>
      <c r="N43" s="15">
        <f t="shared" si="14"/>
        <v>0</v>
      </c>
      <c r="O43" s="11">
        <f t="shared" si="14"/>
        <v>183.60322486188468</v>
      </c>
      <c r="P43" s="11">
        <f t="shared" si="14"/>
        <v>0</v>
      </c>
      <c r="Q43" s="12">
        <f t="shared" si="14"/>
        <v>161.11222656987997</v>
      </c>
      <c r="R43" s="99" t="e">
        <f t="shared" si="15"/>
        <v>#DIV/0!</v>
      </c>
      <c r="S43" s="100">
        <f t="shared" si="16"/>
        <v>183.60322486188468</v>
      </c>
      <c r="T43" s="100" t="e">
        <f t="shared" si="17"/>
        <v>#DIV/0!</v>
      </c>
      <c r="U43" s="100">
        <f t="shared" si="18"/>
        <v>161.11222656987997</v>
      </c>
      <c r="V43" s="125">
        <f t="shared" si="19"/>
        <v>183.60322486188468</v>
      </c>
      <c r="W43" s="126">
        <f t="shared" si="20"/>
        <v>183.60322486188468</v>
      </c>
      <c r="X43" s="126">
        <f t="shared" si="21"/>
        <v>161.11222656987997</v>
      </c>
      <c r="Y43" s="126">
        <f t="shared" si="22"/>
        <v>161.11222656987997</v>
      </c>
      <c r="Z43" s="60">
        <f t="shared" si="23"/>
        <v>183.60322486188468</v>
      </c>
      <c r="AA43" s="128">
        <f t="shared" si="24"/>
        <v>183.60322486188468</v>
      </c>
      <c r="AB43" s="60">
        <f t="shared" si="25"/>
        <v>161.11222656987997</v>
      </c>
      <c r="AC43" s="129">
        <f t="shared" si="26"/>
        <v>161.11222656987997</v>
      </c>
      <c r="AD43" s="128">
        <f t="shared" si="27"/>
        <v>183.60322486188468</v>
      </c>
      <c r="AE43" s="128">
        <f t="shared" si="28"/>
        <v>183.60322486188468</v>
      </c>
      <c r="AF43" s="128">
        <f t="shared" si="29"/>
        <v>161.11222656987997</v>
      </c>
      <c r="AG43" s="129">
        <f t="shared" si="30"/>
        <v>161.11222656987997</v>
      </c>
      <c r="AH43" s="128">
        <f t="shared" si="31"/>
        <v>183.60322486188468</v>
      </c>
      <c r="AI43" s="128">
        <f t="shared" si="32"/>
        <v>183.60322486188468</v>
      </c>
      <c r="AJ43" s="128">
        <f t="shared" si="33"/>
        <v>161.11222656987997</v>
      </c>
      <c r="AK43" s="128">
        <f t="shared" si="34"/>
        <v>161.11222656987997</v>
      </c>
      <c r="AL43" s="127">
        <f>IF($C43="",AH43,IF(AH42&gt;AH43,SUMPRODUCT(AH42:AH43,F42:F43)/SUM(F42:F43),AH43))</f>
        <v>183.60322486188468</v>
      </c>
      <c r="AM43" s="128">
        <f>IF($C43="",AI43,IF(AI42&gt;AI43,SUMPRODUCT(AI42:AI43,G42:G43)/SUM(G42:G43),AI43))</f>
        <v>183.60322486188468</v>
      </c>
      <c r="AN43" s="128">
        <f>IF($C43="",AJ43,IF(AJ42&gt;AJ43,SUMPRODUCT(AJ42:AJ43,H42:H43)/SUM(H42:H43),AJ43))</f>
        <v>161.11222656987997</v>
      </c>
      <c r="AO43" s="129">
        <f>IF($C43="",AK43,IF(AK42&gt;AK43,SUMPRODUCT(AK42:AK43,I42:I43)/SUM(I42:I43),AK43))</f>
        <v>161.11222656987997</v>
      </c>
      <c r="AP43" s="127">
        <f t="shared" si="35"/>
        <v>183.60322486188468</v>
      </c>
      <c r="AQ43" s="128">
        <f t="shared" si="36"/>
        <v>183.60322486188468</v>
      </c>
      <c r="AR43" s="128">
        <f t="shared" si="37"/>
        <v>161.11222656987997</v>
      </c>
      <c r="AS43" s="129">
        <f t="shared" si="38"/>
        <v>161.11222656987997</v>
      </c>
      <c r="AT43" s="18" t="str">
        <f>IF(AP43&lt;AR43,AP43,"")</f>
        <v/>
      </c>
      <c r="AU43" s="19" t="str">
        <f>IF(AQ43&lt;AS43,AQ43,"")</f>
        <v/>
      </c>
      <c r="AV43" s="19" t="str">
        <f t="shared" si="39"/>
        <v/>
      </c>
      <c r="AW43" s="19" t="str">
        <f t="shared" si="40"/>
        <v/>
      </c>
      <c r="AX43" s="19" t="str">
        <f t="shared" si="8"/>
        <v/>
      </c>
      <c r="AY43" s="323" t="str">
        <f t="shared" si="9"/>
        <v/>
      </c>
      <c r="AZ43" s="326">
        <f t="shared" si="10"/>
        <v>183.60322486188468</v>
      </c>
      <c r="BA43" s="323">
        <f t="shared" si="41"/>
        <v>183.60322486188468</v>
      </c>
      <c r="BB43" s="323">
        <f t="shared" si="11"/>
        <v>161.11222656987997</v>
      </c>
      <c r="BC43" s="327">
        <f>IF(AU43="",AS43,AU43)</f>
        <v>161.11222656987997</v>
      </c>
      <c r="BD43" s="18" t="str">
        <f t="shared" si="42"/>
        <v/>
      </c>
      <c r="BE43" s="19" t="str">
        <f t="shared" si="43"/>
        <v/>
      </c>
      <c r="BF43" s="19" t="str">
        <f t="shared" si="44"/>
        <v/>
      </c>
      <c r="BG43" s="19" t="str">
        <f t="shared" si="45"/>
        <v/>
      </c>
      <c r="BH43" s="19" t="str">
        <f t="shared" si="46"/>
        <v/>
      </c>
      <c r="BI43" s="20" t="str">
        <f t="shared" si="47"/>
        <v/>
      </c>
      <c r="BJ43" s="744">
        <f t="shared" si="48"/>
        <v>6212732.8685927801</v>
      </c>
      <c r="BK43" s="321"/>
    </row>
    <row r="44" spans="1:63">
      <c r="A44" s="74">
        <v>313</v>
      </c>
      <c r="B44" s="89" t="s">
        <v>462</v>
      </c>
      <c r="C44" s="74" t="str">
        <f>$A$44&amp;"&amp;"&amp;$A$45</f>
        <v>313&amp;255</v>
      </c>
      <c r="D44" s="93" t="str">
        <f t="shared" si="13"/>
        <v>A</v>
      </c>
      <c r="E44" s="74">
        <f>IF(ISERROR(VLOOKUP(A44,Mandatory!A:A,1,FALSE)),0,1)</f>
        <v>0</v>
      </c>
      <c r="F44" s="75">
        <f>VLOOKUP(A44,'Front-loading'!A:AG,$F$6,FALSE)</f>
        <v>822</v>
      </c>
      <c r="G44" s="76">
        <f>VLOOKUP(A44,'Front-loading'!A:AG,$G$6,FALSE)</f>
        <v>11744</v>
      </c>
      <c r="H44" s="76">
        <f>VLOOKUP(A44,'Front-loading'!A:AG,$H$6,FALSE)</f>
        <v>1535</v>
      </c>
      <c r="I44" s="77">
        <f>VLOOKUP(A44,'Front-loading'!A:AG,$I$6,FALSE)</f>
        <v>21269</v>
      </c>
      <c r="J44" s="75">
        <f>VLOOKUP(A44,'Front-loading'!A:AG,$J$6,FALSE)</f>
        <v>342896.6862405524</v>
      </c>
      <c r="K44" s="76">
        <f>VLOOKUP(A44,'Front-loading'!A:AG,$K$6,FALSE)</f>
        <v>2473424.8421462611</v>
      </c>
      <c r="L44" s="76">
        <f>VLOOKUP(A44,'Front-loading'!A:AG,$L$6,FALSE)</f>
        <v>166611.64354492861</v>
      </c>
      <c r="M44" s="77">
        <f>VLOOKUP(A44,'Front-loading'!A:AG,$M$6,FALSE)</f>
        <v>2904457.5875371047</v>
      </c>
      <c r="N44" s="78">
        <f t="shared" si="14"/>
        <v>417.14925333400538</v>
      </c>
      <c r="O44" s="79">
        <f t="shared" si="14"/>
        <v>210.61178832989282</v>
      </c>
      <c r="P44" s="79">
        <f t="shared" si="14"/>
        <v>108.54178732568639</v>
      </c>
      <c r="Q44" s="80">
        <f t="shared" si="14"/>
        <v>136.55825791231862</v>
      </c>
      <c r="R44" s="101">
        <f t="shared" si="15"/>
        <v>417.14925333400538</v>
      </c>
      <c r="S44" s="102">
        <f t="shared" si="16"/>
        <v>210.61178832989282</v>
      </c>
      <c r="T44" s="102">
        <f t="shared" si="17"/>
        <v>108.54178732568639</v>
      </c>
      <c r="U44" s="102">
        <f t="shared" si="18"/>
        <v>136.55825791231862</v>
      </c>
      <c r="V44" s="95">
        <f t="shared" si="19"/>
        <v>417.14925333400538</v>
      </c>
      <c r="W44" s="96">
        <f t="shared" si="20"/>
        <v>210.61178832989282</v>
      </c>
      <c r="X44" s="96">
        <f t="shared" si="21"/>
        <v>108.54178732568639</v>
      </c>
      <c r="Y44" s="96">
        <f t="shared" si="22"/>
        <v>136.55825791231862</v>
      </c>
      <c r="Z44" s="60">
        <f t="shared" si="23"/>
        <v>417.14925333400538</v>
      </c>
      <c r="AA44" s="61">
        <f t="shared" si="24"/>
        <v>210.61178832989282</v>
      </c>
      <c r="AB44" s="61">
        <f t="shared" si="25"/>
        <v>108.54178732568639</v>
      </c>
      <c r="AC44" s="108">
        <f t="shared" si="26"/>
        <v>136.55825791231862</v>
      </c>
      <c r="AD44" s="61">
        <f t="shared" si="27"/>
        <v>417.14925333400538</v>
      </c>
      <c r="AE44" s="61">
        <f t="shared" si="28"/>
        <v>210.61178832989282</v>
      </c>
      <c r="AF44" s="61">
        <f t="shared" si="29"/>
        <v>134.67239217163802</v>
      </c>
      <c r="AG44" s="108">
        <f t="shared" si="30"/>
        <v>134.67239217163802</v>
      </c>
      <c r="AH44" s="61">
        <f t="shared" si="31"/>
        <v>417.14925333400538</v>
      </c>
      <c r="AI44" s="61">
        <f t="shared" si="32"/>
        <v>210.61178832989282</v>
      </c>
      <c r="AJ44" s="61">
        <f t="shared" si="33"/>
        <v>134.67239217163802</v>
      </c>
      <c r="AK44" s="61">
        <f t="shared" si="34"/>
        <v>134.67239217163802</v>
      </c>
      <c r="AL44" s="60">
        <f>IF($C44="",AH44,IF(AH44&gt;AH45,SUMPRODUCT(AH44:AH45,F44:F45)/SUM(F44:F45),AH44))</f>
        <v>379.09235061170688</v>
      </c>
      <c r="AM44" s="61">
        <f>IF($C44="",AI44,IF(AI44&gt;AI45,SUMPRODUCT(AI44:AI45,G44:G45)/SUM(G44:G45),AI44))</f>
        <v>210.61178832989282</v>
      </c>
      <c r="AN44" s="61">
        <f>IF($C44="",AJ44,IF(AJ44&gt;AJ45,SUMPRODUCT(AJ44:AJ45,H44:H45)/SUM(H44:H45),AJ44))</f>
        <v>134.67239217163802</v>
      </c>
      <c r="AO44" s="108">
        <f>IF($C44="",AK44,IF(AK44&gt;AK45,SUMPRODUCT(AK44:AK45,I44:I45)/SUM(I44:I45),AK44))</f>
        <v>134.67239217163802</v>
      </c>
      <c r="AP44" s="60">
        <f t="shared" si="35"/>
        <v>379.09235061170688</v>
      </c>
      <c r="AQ44" s="61">
        <f t="shared" si="36"/>
        <v>210.61178832989282</v>
      </c>
      <c r="AR44" s="61">
        <f t="shared" si="37"/>
        <v>134.67239217163802</v>
      </c>
      <c r="AS44" s="108">
        <f t="shared" si="38"/>
        <v>134.67239217163802</v>
      </c>
      <c r="AT44" s="81" t="str">
        <f t="shared" ref="AT44:AT108" si="49">IF(AP44&lt;AR44,AP44,"")</f>
        <v/>
      </c>
      <c r="AU44" s="82" t="str">
        <f t="shared" ref="AU44:AU108" si="50">IF(AQ44&lt;AS44,AQ44,"")</f>
        <v/>
      </c>
      <c r="AV44" s="82" t="str">
        <f t="shared" si="39"/>
        <v/>
      </c>
      <c r="AW44" s="82" t="str">
        <f t="shared" si="40"/>
        <v/>
      </c>
      <c r="AX44" s="82" t="str">
        <f t="shared" si="8"/>
        <v/>
      </c>
      <c r="AY44" s="324" t="str">
        <f t="shared" si="9"/>
        <v/>
      </c>
      <c r="AZ44" s="328">
        <f t="shared" si="10"/>
        <v>379.09235061170688</v>
      </c>
      <c r="BA44" s="324">
        <f t="shared" si="41"/>
        <v>210.61178832989282</v>
      </c>
      <c r="BB44" s="324">
        <f t="shared" si="11"/>
        <v>134.67239217163802</v>
      </c>
      <c r="BC44" s="329">
        <f t="shared" ref="BC44:BC108" si="51">IF(AU44="",AS44,AU44)</f>
        <v>134.67239217163802</v>
      </c>
      <c r="BD44" s="288" t="str">
        <f t="shared" si="42"/>
        <v/>
      </c>
      <c r="BE44" s="289" t="str">
        <f t="shared" si="43"/>
        <v/>
      </c>
      <c r="BF44" s="289" t="str">
        <f t="shared" si="44"/>
        <v/>
      </c>
      <c r="BG44" s="289" t="str">
        <f t="shared" si="45"/>
        <v/>
      </c>
      <c r="BH44" s="289" t="str">
        <f t="shared" si="46"/>
        <v/>
      </c>
      <c r="BI44" s="290" t="str">
        <f t="shared" si="47"/>
        <v/>
      </c>
      <c r="BJ44" s="744">
        <f t="shared" si="48"/>
        <v>5856107.9854311179</v>
      </c>
      <c r="BK44" s="321"/>
    </row>
    <row r="45" spans="1:63">
      <c r="A45">
        <v>255</v>
      </c>
      <c r="B45" s="88" t="s">
        <v>494</v>
      </c>
      <c r="C45" t="str">
        <f>$A$44&amp;"&amp;"&amp;$A$45</f>
        <v>313&amp;255</v>
      </c>
      <c r="D45" s="62" t="str">
        <f t="shared" si="13"/>
        <v>C</v>
      </c>
      <c r="E45">
        <f>IF(ISERROR(VLOOKUP(A45,Mandatory!A:A,1,FALSE)),0,1)</f>
        <v>0</v>
      </c>
      <c r="F45" s="54">
        <f>VLOOKUP(A45,'Front-loading'!A:AG,$F$6,FALSE)</f>
        <v>851</v>
      </c>
      <c r="G45" s="55">
        <f>VLOOKUP(A45,'Front-loading'!A:AG,$G$6,FALSE)</f>
        <v>8990</v>
      </c>
      <c r="H45" s="55">
        <f>VLOOKUP(A45,'Front-loading'!A:AG,$H$6,FALSE)</f>
        <v>740</v>
      </c>
      <c r="I45" s="56">
        <f>VLOOKUP(A45,'Front-loading'!A:AG,$I$6,FALSE)</f>
        <v>12608</v>
      </c>
      <c r="J45" s="54">
        <f>VLOOKUP(A45,'Front-loading'!A:AG,$J$6,FALSE)</f>
        <v>291324.8163328332</v>
      </c>
      <c r="K45" s="55">
        <f>VLOOKUP(A45,'Front-loading'!A:AG,$K$6,FALSE)</f>
        <v>2436726.1107198894</v>
      </c>
      <c r="L45" s="55">
        <f>VLOOKUP(A45,'Front-loading'!A:AG,$L$6,FALSE)</f>
        <v>156293.92066522682</v>
      </c>
      <c r="M45" s="56">
        <f>VLOOKUP(A45,'Front-loading'!A:AG,$M$6,FALSE)</f>
        <v>2422856.9600410848</v>
      </c>
      <c r="N45" s="15">
        <f t="shared" si="14"/>
        <v>342.3323341161377</v>
      </c>
      <c r="O45" s="11">
        <f t="shared" si="14"/>
        <v>271.04851064737369</v>
      </c>
      <c r="P45" s="11">
        <f t="shared" si="14"/>
        <v>211.20800089895516</v>
      </c>
      <c r="Q45" s="12">
        <f t="shared" si="14"/>
        <v>192.16822335351245</v>
      </c>
      <c r="R45" s="99">
        <f t="shared" si="15"/>
        <v>342.3323341161377</v>
      </c>
      <c r="S45" s="100">
        <f t="shared" si="16"/>
        <v>271.04851064737369</v>
      </c>
      <c r="T45" s="100">
        <f t="shared" si="17"/>
        <v>211.20800089895516</v>
      </c>
      <c r="U45" s="100">
        <f t="shared" si="18"/>
        <v>192.16822335351245</v>
      </c>
      <c r="V45" s="125">
        <f t="shared" si="19"/>
        <v>342.3323341161377</v>
      </c>
      <c r="W45" s="126">
        <f t="shared" si="20"/>
        <v>271.04851064737369</v>
      </c>
      <c r="X45" s="126">
        <f t="shared" si="21"/>
        <v>211.20800089895516</v>
      </c>
      <c r="Y45" s="126">
        <f t="shared" si="22"/>
        <v>192.16822335351245</v>
      </c>
      <c r="Z45" s="127">
        <f t="shared" si="23"/>
        <v>342.3323341161377</v>
      </c>
      <c r="AA45" s="128">
        <f t="shared" si="24"/>
        <v>271.04851064737369</v>
      </c>
      <c r="AB45" s="128">
        <f t="shared" si="25"/>
        <v>211.20800089895516</v>
      </c>
      <c r="AC45" s="129">
        <f t="shared" si="26"/>
        <v>192.16822335351245</v>
      </c>
      <c r="AD45" s="128">
        <f t="shared" si="27"/>
        <v>342.3323341161377</v>
      </c>
      <c r="AE45" s="128">
        <f t="shared" si="28"/>
        <v>271.04851064737369</v>
      </c>
      <c r="AF45" s="128">
        <f t="shared" si="29"/>
        <v>211.20800089895516</v>
      </c>
      <c r="AG45" s="129">
        <f t="shared" si="30"/>
        <v>192.16822335351245</v>
      </c>
      <c r="AH45" s="128">
        <f t="shared" si="31"/>
        <v>342.3323341161377</v>
      </c>
      <c r="AI45" s="128">
        <f t="shared" si="32"/>
        <v>271.04851064737369</v>
      </c>
      <c r="AJ45" s="128">
        <f t="shared" si="33"/>
        <v>211.20800089895516</v>
      </c>
      <c r="AK45" s="128">
        <f t="shared" si="34"/>
        <v>192.16822335351245</v>
      </c>
      <c r="AL45" s="127">
        <f>IF($C45="",AH45,IF(AH44&gt;AH45,SUMPRODUCT(AH44:AH45,F44:F45)/SUM(F44:F45),AH45))</f>
        <v>379.09235061170688</v>
      </c>
      <c r="AM45" s="128">
        <f>IF($C45="",AI45,IF(AI44&gt;AI45,SUMPRODUCT(AI44:AI45,G44:G45)/SUM(G44:G45),AI45))</f>
        <v>271.04851064737369</v>
      </c>
      <c r="AN45" s="128">
        <f>IF($C45="",AJ45,IF(AJ44&gt;AJ45,SUMPRODUCT(AJ44:AJ45,H44:H45)/SUM(H44:H45),AJ45))</f>
        <v>211.20800089895516</v>
      </c>
      <c r="AO45" s="129">
        <f>IF($C45="",AK45,IF(AK44&gt;AK45,SUMPRODUCT(AK44:AK45,I44:I45)/SUM(I44:I45),AK45))</f>
        <v>192.16822335351245</v>
      </c>
      <c r="AP45" s="127">
        <f t="shared" si="35"/>
        <v>379.09235061170688</v>
      </c>
      <c r="AQ45" s="128">
        <f t="shared" si="36"/>
        <v>271.04851064737369</v>
      </c>
      <c r="AR45" s="128">
        <f t="shared" si="37"/>
        <v>211.20800089895516</v>
      </c>
      <c r="AS45" s="129">
        <f t="shared" si="38"/>
        <v>192.16822335351245</v>
      </c>
      <c r="AT45" s="18" t="str">
        <f t="shared" si="49"/>
        <v/>
      </c>
      <c r="AU45" s="19" t="str">
        <f t="shared" si="50"/>
        <v/>
      </c>
      <c r="AV45" s="19" t="str">
        <f t="shared" si="39"/>
        <v/>
      </c>
      <c r="AW45" s="19" t="str">
        <f t="shared" si="40"/>
        <v/>
      </c>
      <c r="AX45" s="19" t="str">
        <f t="shared" si="8"/>
        <v/>
      </c>
      <c r="AY45" s="323" t="str">
        <f t="shared" si="9"/>
        <v/>
      </c>
      <c r="AZ45" s="326">
        <f t="shared" si="10"/>
        <v>379.09235061170688</v>
      </c>
      <c r="BA45" s="323">
        <f t="shared" si="41"/>
        <v>271.04851064737369</v>
      </c>
      <c r="BB45" s="323">
        <f t="shared" si="11"/>
        <v>211.20800089895516</v>
      </c>
      <c r="BC45" s="327">
        <f t="shared" si="51"/>
        <v>192.16822335351245</v>
      </c>
      <c r="BD45" s="18" t="str">
        <f t="shared" si="42"/>
        <v/>
      </c>
      <c r="BE45" s="19" t="str">
        <f t="shared" si="43"/>
        <v/>
      </c>
      <c r="BF45" s="19" t="str">
        <f t="shared" si="44"/>
        <v/>
      </c>
      <c r="BG45" s="19" t="str">
        <f t="shared" si="45"/>
        <v/>
      </c>
      <c r="BH45" s="19" t="str">
        <f t="shared" si="46"/>
        <v/>
      </c>
      <c r="BI45" s="20" t="str">
        <f t="shared" si="47"/>
        <v/>
      </c>
      <c r="BJ45" s="744">
        <f t="shared" si="48"/>
        <v>5338484.5817967635</v>
      </c>
      <c r="BK45" s="321"/>
    </row>
    <row r="46" spans="1:63">
      <c r="A46" s="74">
        <v>320</v>
      </c>
      <c r="B46" s="89" t="s">
        <v>24</v>
      </c>
      <c r="C46" s="74" t="str">
        <f>$A$46&amp;"&amp;"&amp;$A$47</f>
        <v>320&amp;321</v>
      </c>
      <c r="D46" s="93" t="str">
        <f t="shared" si="13"/>
        <v>A</v>
      </c>
      <c r="E46" s="74">
        <f>IF(ISERROR(VLOOKUP(A46,Mandatory!A:A,1,FALSE)),0,1)</f>
        <v>1</v>
      </c>
      <c r="F46" s="75">
        <f>VLOOKUP(A46,'Front-loading'!A:AG,$F$6,FALSE)</f>
        <v>14302</v>
      </c>
      <c r="G46" s="76">
        <f>VLOOKUP(A46,'Front-loading'!A:AG,$G$6,FALSE)</f>
        <v>614730</v>
      </c>
      <c r="H46" s="76">
        <f>VLOOKUP(A46,'Front-loading'!A:AG,$H$6,FALSE)</f>
        <v>24071</v>
      </c>
      <c r="I46" s="77">
        <f>VLOOKUP(A46,'Front-loading'!A:AG,$I$6,FALSE)</f>
        <v>992924</v>
      </c>
      <c r="J46" s="75">
        <f>VLOOKUP(A46,'Front-loading'!A:AG,$J$6,FALSE)</f>
        <v>3420158.2387618478</v>
      </c>
      <c r="K46" s="76">
        <f>VLOOKUP(A46,'Front-loading'!A:AG,$K$6,FALSE)</f>
        <v>105960299.62135035</v>
      </c>
      <c r="L46" s="76">
        <f>VLOOKUP(A46,'Front-loading'!A:AG,$L$6,FALSE)</f>
        <v>3699459.302398812</v>
      </c>
      <c r="M46" s="77">
        <f>VLOOKUP(A46,'Front-loading'!A:AG,$M$6,FALSE)</f>
        <v>99320346.231097609</v>
      </c>
      <c r="N46" s="78">
        <f t="shared" si="14"/>
        <v>239.13845887021731</v>
      </c>
      <c r="O46" s="79">
        <f t="shared" si="14"/>
        <v>172.36884424275755</v>
      </c>
      <c r="P46" s="79">
        <f t="shared" si="14"/>
        <v>153.68947290926062</v>
      </c>
      <c r="Q46" s="80">
        <f t="shared" si="14"/>
        <v>100.02814538786212</v>
      </c>
      <c r="R46" s="101">
        <f t="shared" si="15"/>
        <v>239.13845887021731</v>
      </c>
      <c r="S46" s="102">
        <f t="shared" si="16"/>
        <v>172.36884424275755</v>
      </c>
      <c r="T46" s="102">
        <f t="shared" si="17"/>
        <v>153.68947290926062</v>
      </c>
      <c r="U46" s="102">
        <f t="shared" si="18"/>
        <v>100.02814538786212</v>
      </c>
      <c r="V46" s="95">
        <f t="shared" si="19"/>
        <v>239.13845887021731</v>
      </c>
      <c r="W46" s="96">
        <f t="shared" si="20"/>
        <v>172.36884424275755</v>
      </c>
      <c r="X46" s="96">
        <f t="shared" si="21"/>
        <v>153.68947290926062</v>
      </c>
      <c r="Y46" s="96">
        <f t="shared" si="22"/>
        <v>100.02814538786212</v>
      </c>
      <c r="Z46" s="60">
        <f t="shared" si="23"/>
        <v>239.13845887021731</v>
      </c>
      <c r="AA46" s="61">
        <f t="shared" si="24"/>
        <v>172.36884424275755</v>
      </c>
      <c r="AB46" s="61">
        <f t="shared" si="25"/>
        <v>153.68947290926062</v>
      </c>
      <c r="AC46" s="108">
        <f t="shared" si="26"/>
        <v>100.02814538786212</v>
      </c>
      <c r="AD46" s="61">
        <f t="shared" si="27"/>
        <v>239.13845887021731</v>
      </c>
      <c r="AE46" s="61">
        <f t="shared" si="28"/>
        <v>172.36884424275755</v>
      </c>
      <c r="AF46" s="61">
        <f t="shared" si="29"/>
        <v>153.68947290926062</v>
      </c>
      <c r="AG46" s="108">
        <f t="shared" si="30"/>
        <v>100.02814538786212</v>
      </c>
      <c r="AH46" s="61">
        <f t="shared" si="31"/>
        <v>239.13845887021731</v>
      </c>
      <c r="AI46" s="61">
        <f t="shared" si="32"/>
        <v>172.36884424275755</v>
      </c>
      <c r="AJ46" s="61">
        <f t="shared" si="33"/>
        <v>153.68947290926062</v>
      </c>
      <c r="AK46" s="61">
        <f t="shared" si="34"/>
        <v>100.02814538786212</v>
      </c>
      <c r="AL46" s="60">
        <f>IF($C46="",AH46,IF(AH46&gt;AH47,SUMPRODUCT(AH46:AH47,F46:F47)/SUM(F46:F47),AH46))</f>
        <v>239.13845887021731</v>
      </c>
      <c r="AM46" s="61">
        <f>IF($C46="",AI46,IF(AI46&gt;AI47,SUMPRODUCT(AI46:AI47,G46:G47)/SUM(G46:G47),AI46))</f>
        <v>172.36884424275755</v>
      </c>
      <c r="AN46" s="61">
        <f>IF($C46="",AJ46,IF(AJ46&gt;AJ47,SUMPRODUCT(AJ46:AJ47,H46:H47)/SUM(H46:H47),AJ46))</f>
        <v>153.68947290926062</v>
      </c>
      <c r="AO46" s="108">
        <f>IF($C46="",AK46,IF(AK46&gt;AK47,SUMPRODUCT(AK46:AK47,I46:I47)/SUM(I46:I47),AK46))</f>
        <v>100.02814538786212</v>
      </c>
      <c r="AP46" s="60">
        <f t="shared" si="35"/>
        <v>239.13845887021731</v>
      </c>
      <c r="AQ46" s="61">
        <f t="shared" si="36"/>
        <v>172.36884424275755</v>
      </c>
      <c r="AR46" s="61">
        <f t="shared" si="37"/>
        <v>153.68947290926062</v>
      </c>
      <c r="AS46" s="108">
        <f t="shared" si="38"/>
        <v>100.02814538786212</v>
      </c>
      <c r="AT46" s="81" t="str">
        <f t="shared" si="49"/>
        <v/>
      </c>
      <c r="AU46" s="82" t="str">
        <f t="shared" si="50"/>
        <v/>
      </c>
      <c r="AV46" s="82" t="str">
        <f t="shared" si="39"/>
        <v/>
      </c>
      <c r="AW46" s="82" t="str">
        <f t="shared" si="40"/>
        <v/>
      </c>
      <c r="AX46" s="82" t="str">
        <f t="shared" si="8"/>
        <v/>
      </c>
      <c r="AY46" s="324" t="str">
        <f t="shared" si="9"/>
        <v/>
      </c>
      <c r="AZ46" s="328">
        <f t="shared" si="10"/>
        <v>239.13845887021731</v>
      </c>
      <c r="BA46" s="324">
        <f t="shared" si="41"/>
        <v>172.36884424275755</v>
      </c>
      <c r="BB46" s="324">
        <f t="shared" si="11"/>
        <v>153.68947290926062</v>
      </c>
      <c r="BC46" s="329">
        <f t="shared" si="51"/>
        <v>100.02814538786212</v>
      </c>
      <c r="BD46" s="288" t="str">
        <f t="shared" si="42"/>
        <v/>
      </c>
      <c r="BE46" s="289" t="str">
        <f t="shared" si="43"/>
        <v/>
      </c>
      <c r="BF46" s="289" t="str">
        <f t="shared" si="44"/>
        <v/>
      </c>
      <c r="BG46" s="289" t="str">
        <f t="shared" si="45"/>
        <v/>
      </c>
      <c r="BH46" s="289" t="str">
        <f t="shared" si="46"/>
        <v/>
      </c>
      <c r="BI46" s="290" t="str">
        <f t="shared" si="47"/>
        <v/>
      </c>
      <c r="BJ46" s="744">
        <f t="shared" si="48"/>
        <v>212400263.39360863</v>
      </c>
      <c r="BK46" s="321"/>
    </row>
    <row r="47" spans="1:63">
      <c r="A47">
        <v>321</v>
      </c>
      <c r="B47" s="88" t="s">
        <v>25</v>
      </c>
      <c r="C47" t="str">
        <f>$A$46&amp;"&amp;"&amp;$A$47</f>
        <v>320&amp;321</v>
      </c>
      <c r="D47" s="62" t="str">
        <f t="shared" si="13"/>
        <v>C</v>
      </c>
      <c r="E47">
        <f>IF(ISERROR(VLOOKUP(A47,Mandatory!A:A,1,FALSE)),0,1)</f>
        <v>1</v>
      </c>
      <c r="F47" s="54">
        <f>VLOOKUP(A47,'Front-loading'!A:AG,$F$6,FALSE)</f>
        <v>2694</v>
      </c>
      <c r="G47" s="55">
        <f>VLOOKUP(A47,'Front-loading'!A:AG,$G$6,FALSE)</f>
        <v>25386</v>
      </c>
      <c r="H47" s="55">
        <f>VLOOKUP(A47,'Front-loading'!A:AG,$H$6,FALSE)</f>
        <v>3893</v>
      </c>
      <c r="I47" s="56">
        <f>VLOOKUP(A47,'Front-loading'!A:AG,$I$6,FALSE)</f>
        <v>66558</v>
      </c>
      <c r="J47" s="54">
        <f>VLOOKUP(A47,'Front-loading'!A:AG,$J$6,FALSE)</f>
        <v>648867.69920847833</v>
      </c>
      <c r="K47" s="55">
        <f>VLOOKUP(A47,'Front-loading'!A:AG,$K$6,FALSE)</f>
        <v>6036642.0173324253</v>
      </c>
      <c r="L47" s="55">
        <f>VLOOKUP(A47,'Front-loading'!A:AG,$L$6,FALSE)</f>
        <v>673707.48798657872</v>
      </c>
      <c r="M47" s="56">
        <f>VLOOKUP(A47,'Front-loading'!A:AG,$M$6,FALSE)</f>
        <v>8642394.9810841624</v>
      </c>
      <c r="N47" s="15">
        <f t="shared" si="14"/>
        <v>240.8566069816178</v>
      </c>
      <c r="O47" s="11">
        <f t="shared" si="14"/>
        <v>237.79413918429154</v>
      </c>
      <c r="P47" s="11">
        <f t="shared" si="14"/>
        <v>173.05612329478004</v>
      </c>
      <c r="Q47" s="12">
        <f t="shared" si="14"/>
        <v>129.84757626557533</v>
      </c>
      <c r="R47" s="99">
        <f t="shared" si="15"/>
        <v>240.8566069816178</v>
      </c>
      <c r="S47" s="100">
        <f t="shared" si="16"/>
        <v>237.79413918429154</v>
      </c>
      <c r="T47" s="100">
        <f t="shared" si="17"/>
        <v>173.05612329478004</v>
      </c>
      <c r="U47" s="100">
        <f t="shared" si="18"/>
        <v>129.84757626557533</v>
      </c>
      <c r="V47" s="125">
        <f t="shared" si="19"/>
        <v>240.8566069816178</v>
      </c>
      <c r="W47" s="126">
        <f t="shared" si="20"/>
        <v>237.79413918429154</v>
      </c>
      <c r="X47" s="126">
        <f t="shared" si="21"/>
        <v>173.05612329478004</v>
      </c>
      <c r="Y47" s="126">
        <f t="shared" si="22"/>
        <v>129.84757626557533</v>
      </c>
      <c r="Z47" s="127">
        <f t="shared" si="23"/>
        <v>240.8566069816178</v>
      </c>
      <c r="AA47" s="128">
        <f t="shared" si="24"/>
        <v>237.79413918429154</v>
      </c>
      <c r="AB47" s="128">
        <f t="shared" si="25"/>
        <v>173.05612329478004</v>
      </c>
      <c r="AC47" s="129">
        <f t="shared" si="26"/>
        <v>129.84757626557533</v>
      </c>
      <c r="AD47" s="128">
        <f t="shared" si="27"/>
        <v>240.8566069816178</v>
      </c>
      <c r="AE47" s="128">
        <f t="shared" si="28"/>
        <v>237.79413918429154</v>
      </c>
      <c r="AF47" s="128">
        <f t="shared" si="29"/>
        <v>173.05612329478004</v>
      </c>
      <c r="AG47" s="129">
        <f t="shared" si="30"/>
        <v>129.84757626557533</v>
      </c>
      <c r="AH47" s="128">
        <f t="shared" si="31"/>
        <v>240.8566069816178</v>
      </c>
      <c r="AI47" s="128">
        <f t="shared" si="32"/>
        <v>237.79413918429154</v>
      </c>
      <c r="AJ47" s="128">
        <f t="shared" si="33"/>
        <v>173.05612329478004</v>
      </c>
      <c r="AK47" s="128">
        <f t="shared" si="34"/>
        <v>129.84757626557533</v>
      </c>
      <c r="AL47" s="127">
        <f>IF($C47="",AH47,IF(AH46&gt;AH47,SUMPRODUCT(AH46:AH47,F46:F47)/SUM(F46:F47),AH47))</f>
        <v>240.8566069816178</v>
      </c>
      <c r="AM47" s="128">
        <f>IF($C47="",AI47,IF(AI46&gt;AI47,SUMPRODUCT(AI46:AI47,G46:G47)/SUM(G46:G47),AI47))</f>
        <v>237.79413918429154</v>
      </c>
      <c r="AN47" s="128">
        <f>IF($C47="",AJ47,IF(AJ46&gt;AJ47,SUMPRODUCT(AJ46:AJ47,H46:H47)/SUM(H46:H47),AJ47))</f>
        <v>173.05612329478004</v>
      </c>
      <c r="AO47" s="129">
        <f>IF($C47="",AK47,IF(AK46&gt;AK47,SUMPRODUCT(AK46:AK47,I46:I47)/SUM(I46:I47),AK47))</f>
        <v>129.84757626557533</v>
      </c>
      <c r="AP47" s="127">
        <f t="shared" si="35"/>
        <v>240.8566069816178</v>
      </c>
      <c r="AQ47" s="128">
        <f t="shared" si="36"/>
        <v>237.79413918429154</v>
      </c>
      <c r="AR47" s="128">
        <f t="shared" si="37"/>
        <v>173.05612329478004</v>
      </c>
      <c r="AS47" s="129">
        <f t="shared" si="38"/>
        <v>129.84757626557533</v>
      </c>
      <c r="AT47" s="18" t="str">
        <f t="shared" si="49"/>
        <v/>
      </c>
      <c r="AU47" s="19" t="str">
        <f t="shared" si="50"/>
        <v/>
      </c>
      <c r="AV47" s="19" t="str">
        <f t="shared" si="39"/>
        <v/>
      </c>
      <c r="AW47" s="19" t="str">
        <f t="shared" si="40"/>
        <v/>
      </c>
      <c r="AX47" s="19" t="str">
        <f t="shared" si="8"/>
        <v/>
      </c>
      <c r="AY47" s="323" t="str">
        <f t="shared" si="9"/>
        <v/>
      </c>
      <c r="AZ47" s="326">
        <f t="shared" si="10"/>
        <v>240.8566069816178</v>
      </c>
      <c r="BA47" s="323">
        <f t="shared" si="41"/>
        <v>237.79413918429154</v>
      </c>
      <c r="BB47" s="323">
        <f t="shared" si="11"/>
        <v>173.05612329478004</v>
      </c>
      <c r="BC47" s="327">
        <f t="shared" si="51"/>
        <v>129.84757626557533</v>
      </c>
      <c r="BD47" s="18" t="str">
        <f t="shared" si="42"/>
        <v/>
      </c>
      <c r="BE47" s="19" t="str">
        <f t="shared" si="43"/>
        <v/>
      </c>
      <c r="BF47" s="19" t="str">
        <f t="shared" si="44"/>
        <v/>
      </c>
      <c r="BG47" s="19" t="str">
        <f t="shared" si="45"/>
        <v/>
      </c>
      <c r="BH47" s="19" t="str">
        <f t="shared" si="46"/>
        <v/>
      </c>
      <c r="BI47" s="20" t="str">
        <f t="shared" si="47"/>
        <v/>
      </c>
      <c r="BJ47" s="744">
        <f t="shared" si="48"/>
        <v>16001612.185611645</v>
      </c>
      <c r="BK47" s="321"/>
    </row>
    <row r="48" spans="1:63">
      <c r="A48" s="74">
        <v>330</v>
      </c>
      <c r="B48" s="89" t="s">
        <v>26</v>
      </c>
      <c r="C48" s="74" t="str">
        <f>$A$48&amp;"&amp;"&amp;$A$49</f>
        <v>330&amp;257</v>
      </c>
      <c r="D48" s="93" t="str">
        <f t="shared" si="13"/>
        <v>A</v>
      </c>
      <c r="E48" s="74">
        <f>IF(ISERROR(VLOOKUP(A48,Mandatory!A:A,1,FALSE)),0,1)</f>
        <v>1</v>
      </c>
      <c r="F48" s="75">
        <f>VLOOKUP(A48,'Front-loading'!A:AG,$F$6,FALSE)</f>
        <v>5153</v>
      </c>
      <c r="G48" s="76">
        <f>VLOOKUP(A48,'Front-loading'!A:AG,$G$6,FALSE)</f>
        <v>694038</v>
      </c>
      <c r="H48" s="76">
        <f>VLOOKUP(A48,'Front-loading'!A:AG,$H$6,FALSE)</f>
        <v>11805</v>
      </c>
      <c r="I48" s="77">
        <f>VLOOKUP(A48,'Front-loading'!A:AG,$I$6,FALSE)</f>
        <v>1275277</v>
      </c>
      <c r="J48" s="75">
        <f>VLOOKUP(A48,'Front-loading'!A:AG,$J$6,FALSE)</f>
        <v>658246.96629534394</v>
      </c>
      <c r="K48" s="76">
        <f>VLOOKUP(A48,'Front-loading'!A:AG,$K$6,FALSE)</f>
        <v>77502103.537039012</v>
      </c>
      <c r="L48" s="76">
        <f>VLOOKUP(A48,'Front-loading'!A:AG,$L$6,FALSE)</f>
        <v>943407.94602636003</v>
      </c>
      <c r="M48" s="77">
        <f>VLOOKUP(A48,'Front-loading'!A:AG,$M$6,FALSE)</f>
        <v>92727779.928630233</v>
      </c>
      <c r="N48" s="78">
        <f t="shared" si="14"/>
        <v>127.74053295077508</v>
      </c>
      <c r="O48" s="79">
        <f t="shared" si="14"/>
        <v>111.66838636650877</v>
      </c>
      <c r="P48" s="79">
        <f t="shared" si="14"/>
        <v>79.915963238149942</v>
      </c>
      <c r="Q48" s="80">
        <f t="shared" si="14"/>
        <v>72.711873521305748</v>
      </c>
      <c r="R48" s="101">
        <f t="shared" si="15"/>
        <v>127.74053295077508</v>
      </c>
      <c r="S48" s="102">
        <f t="shared" si="16"/>
        <v>111.66838636650877</v>
      </c>
      <c r="T48" s="102">
        <f t="shared" si="17"/>
        <v>79.915963238149942</v>
      </c>
      <c r="U48" s="102">
        <f t="shared" si="18"/>
        <v>72.711873521305748</v>
      </c>
      <c r="V48" s="95">
        <f t="shared" si="19"/>
        <v>127.74053295077508</v>
      </c>
      <c r="W48" s="96">
        <f t="shared" si="20"/>
        <v>111.66838636650877</v>
      </c>
      <c r="X48" s="96">
        <f t="shared" si="21"/>
        <v>79.915963238149942</v>
      </c>
      <c r="Y48" s="96">
        <f t="shared" si="22"/>
        <v>72.711873521305748</v>
      </c>
      <c r="Z48" s="60">
        <f t="shared" si="23"/>
        <v>127.74053295077508</v>
      </c>
      <c r="AA48" s="61">
        <f t="shared" si="24"/>
        <v>111.66838636650877</v>
      </c>
      <c r="AB48" s="61">
        <f t="shared" si="25"/>
        <v>79.915963238149942</v>
      </c>
      <c r="AC48" s="108">
        <f t="shared" si="26"/>
        <v>72.711873521305748</v>
      </c>
      <c r="AD48" s="61">
        <f t="shared" si="27"/>
        <v>127.74053295077508</v>
      </c>
      <c r="AE48" s="61">
        <f t="shared" si="28"/>
        <v>111.66838636650877</v>
      </c>
      <c r="AF48" s="61">
        <f t="shared" si="29"/>
        <v>79.915963238149942</v>
      </c>
      <c r="AG48" s="108">
        <f t="shared" si="30"/>
        <v>72.711873521305748</v>
      </c>
      <c r="AH48" s="61">
        <f t="shared" si="31"/>
        <v>127.74053295077508</v>
      </c>
      <c r="AI48" s="61">
        <f t="shared" si="32"/>
        <v>111.66838636650877</v>
      </c>
      <c r="AJ48" s="61">
        <f t="shared" si="33"/>
        <v>79.915963238149942</v>
      </c>
      <c r="AK48" s="61">
        <f t="shared" si="34"/>
        <v>72.711873521305748</v>
      </c>
      <c r="AL48" s="60">
        <f>IF($C48="",AH48,IF(AH48&gt;AH49,SUMPRODUCT(AH48:AH49,F48:F49)/SUM(F48:F49),AH48))</f>
        <v>127.74053295077508</v>
      </c>
      <c r="AM48" s="61">
        <f>IF($C48="",AI48,IF(AI48&gt;AI49,SUMPRODUCT(AI48:AI49,G48:G49)/SUM(G48:G49),AI48))</f>
        <v>111.66838636650877</v>
      </c>
      <c r="AN48" s="61">
        <f>IF($C48="",AJ48,IF(AJ48&gt;AJ49,SUMPRODUCT(AJ48:AJ49,H48:H49)/SUM(H48:H49),AJ48))</f>
        <v>79.915963238149942</v>
      </c>
      <c r="AO48" s="108">
        <f>IF($C48="",AK48,IF(AK48&gt;AK49,SUMPRODUCT(AK48:AK49,I48:I49)/SUM(I48:I49),AK48))</f>
        <v>72.711873521305748</v>
      </c>
      <c r="AP48" s="60">
        <f t="shared" si="35"/>
        <v>127.74053295077508</v>
      </c>
      <c r="AQ48" s="61">
        <f t="shared" si="36"/>
        <v>111.66838636650877</v>
      </c>
      <c r="AR48" s="61">
        <f t="shared" si="37"/>
        <v>79.915963238149942</v>
      </c>
      <c r="AS48" s="108">
        <f t="shared" si="38"/>
        <v>72.711873521305748</v>
      </c>
      <c r="AT48" s="81" t="str">
        <f t="shared" si="49"/>
        <v/>
      </c>
      <c r="AU48" s="82" t="str">
        <f t="shared" si="50"/>
        <v/>
      </c>
      <c r="AV48" s="82" t="str">
        <f t="shared" si="39"/>
        <v/>
      </c>
      <c r="AW48" s="82" t="str">
        <f t="shared" si="40"/>
        <v/>
      </c>
      <c r="AX48" s="82" t="str">
        <f t="shared" si="8"/>
        <v/>
      </c>
      <c r="AY48" s="324" t="str">
        <f t="shared" si="9"/>
        <v/>
      </c>
      <c r="AZ48" s="328">
        <f t="shared" si="10"/>
        <v>127.74053295077508</v>
      </c>
      <c r="BA48" s="324">
        <f t="shared" si="41"/>
        <v>111.66838636650877</v>
      </c>
      <c r="BB48" s="324">
        <f t="shared" si="11"/>
        <v>79.915963238149942</v>
      </c>
      <c r="BC48" s="329">
        <f t="shared" si="51"/>
        <v>72.711873521305748</v>
      </c>
      <c r="BD48" s="288" t="str">
        <f t="shared" si="42"/>
        <v/>
      </c>
      <c r="BE48" s="289" t="str">
        <f t="shared" si="43"/>
        <v/>
      </c>
      <c r="BF48" s="289" t="str">
        <f t="shared" si="44"/>
        <v/>
      </c>
      <c r="BG48" s="289" t="str">
        <f t="shared" si="45"/>
        <v/>
      </c>
      <c r="BH48" s="289" t="str">
        <f t="shared" si="46"/>
        <v/>
      </c>
      <c r="BI48" s="290" t="str">
        <f t="shared" si="47"/>
        <v/>
      </c>
      <c r="BJ48" s="744">
        <f t="shared" si="48"/>
        <v>171831538.37799096</v>
      </c>
      <c r="BK48" s="321"/>
    </row>
    <row r="49" spans="1:63">
      <c r="A49">
        <v>257</v>
      </c>
      <c r="B49" s="88" t="s">
        <v>41</v>
      </c>
      <c r="C49" t="str">
        <f>$A$48&amp;"&amp;"&amp;$A$49</f>
        <v>330&amp;257</v>
      </c>
      <c r="D49" s="62" t="str">
        <f t="shared" si="13"/>
        <v>C</v>
      </c>
      <c r="E49">
        <f>IF(ISERROR(VLOOKUP(A49,Mandatory!A:A,1,FALSE)),0,1)</f>
        <v>1</v>
      </c>
      <c r="F49" s="54">
        <f>VLOOKUP(A49,'Front-loading'!A:AG,$F$6,FALSE)</f>
        <v>344</v>
      </c>
      <c r="G49" s="55">
        <f>VLOOKUP(A49,'Front-loading'!A:AG,$G$6,FALSE)</f>
        <v>19812</v>
      </c>
      <c r="H49" s="55">
        <f>VLOOKUP(A49,'Front-loading'!A:AG,$H$6,FALSE)</f>
        <v>452</v>
      </c>
      <c r="I49" s="56">
        <f>VLOOKUP(A49,'Front-loading'!A:AG,$I$6,FALSE)</f>
        <v>33316</v>
      </c>
      <c r="J49" s="54">
        <f>VLOOKUP(A49,'Front-loading'!A:AG,$J$6,FALSE)</f>
        <v>71795.27994040359</v>
      </c>
      <c r="K49" s="55">
        <f>VLOOKUP(A49,'Front-loading'!A:AG,$K$6,FALSE)</f>
        <v>2672690.2493226095</v>
      </c>
      <c r="L49" s="55">
        <f>VLOOKUP(A49,'Front-loading'!A:AG,$L$6,FALSE)</f>
        <v>77099.529024622709</v>
      </c>
      <c r="M49" s="56">
        <f>VLOOKUP(A49,'Front-loading'!A:AG,$M$6,FALSE)</f>
        <v>3256573.6233789185</v>
      </c>
      <c r="N49" s="15">
        <f t="shared" si="14"/>
        <v>208.70720912908021</v>
      </c>
      <c r="O49" s="11">
        <f t="shared" si="14"/>
        <v>134.90259687677212</v>
      </c>
      <c r="P49" s="11">
        <f t="shared" si="14"/>
        <v>170.57417925801485</v>
      </c>
      <c r="Q49" s="12">
        <f t="shared" si="14"/>
        <v>97.748037680961659</v>
      </c>
      <c r="R49" s="99">
        <f t="shared" si="15"/>
        <v>208.70720912908021</v>
      </c>
      <c r="S49" s="100">
        <f t="shared" si="16"/>
        <v>134.90259687677212</v>
      </c>
      <c r="T49" s="100">
        <f t="shared" si="17"/>
        <v>170.57417925801485</v>
      </c>
      <c r="U49" s="100">
        <f t="shared" si="18"/>
        <v>97.748037680961659</v>
      </c>
      <c r="V49" s="125">
        <f t="shared" si="19"/>
        <v>208.70720912908021</v>
      </c>
      <c r="W49" s="126">
        <f t="shared" si="20"/>
        <v>134.90259687677212</v>
      </c>
      <c r="X49" s="126">
        <f t="shared" si="21"/>
        <v>170.57417925801485</v>
      </c>
      <c r="Y49" s="126">
        <f t="shared" si="22"/>
        <v>97.748037680961659</v>
      </c>
      <c r="Z49" s="127">
        <f t="shared" si="23"/>
        <v>208.70720912908021</v>
      </c>
      <c r="AA49" s="128">
        <f t="shared" si="24"/>
        <v>134.90259687677212</v>
      </c>
      <c r="AB49" s="128">
        <f t="shared" si="25"/>
        <v>170.57417925801485</v>
      </c>
      <c r="AC49" s="129">
        <f t="shared" si="26"/>
        <v>97.748037680961659</v>
      </c>
      <c r="AD49" s="128">
        <f t="shared" si="27"/>
        <v>208.70720912908021</v>
      </c>
      <c r="AE49" s="128">
        <f t="shared" si="28"/>
        <v>134.90259687677212</v>
      </c>
      <c r="AF49" s="128">
        <f t="shared" si="29"/>
        <v>170.57417925801485</v>
      </c>
      <c r="AG49" s="129">
        <f t="shared" si="30"/>
        <v>97.748037680961659</v>
      </c>
      <c r="AH49" s="128">
        <f t="shared" si="31"/>
        <v>208.70720912908021</v>
      </c>
      <c r="AI49" s="128">
        <f t="shared" si="32"/>
        <v>134.90259687677212</v>
      </c>
      <c r="AJ49" s="128">
        <f t="shared" si="33"/>
        <v>170.57417925801485</v>
      </c>
      <c r="AK49" s="128">
        <f t="shared" si="34"/>
        <v>97.748037680961659</v>
      </c>
      <c r="AL49" s="127">
        <f>IF($C49="",AH49,IF(AH48&gt;AH49,SUMPRODUCT(AH48:AH49,F48:F49)/SUM(F48:F49),AH49))</f>
        <v>208.70720912908021</v>
      </c>
      <c r="AM49" s="128">
        <f>IF($C49="",AI49,IF(AI48&gt;AI49,SUMPRODUCT(AI48:AI49,G48:G49)/SUM(G48:G49),AI49))</f>
        <v>134.90259687677212</v>
      </c>
      <c r="AN49" s="128">
        <f>IF($C49="",AJ49,IF(AJ48&gt;AJ49,SUMPRODUCT(AJ48:AJ49,H48:H49)/SUM(H48:H49),AJ49))</f>
        <v>170.57417925801485</v>
      </c>
      <c r="AO49" s="129">
        <f>IF($C49="",AK49,IF(AK48&gt;AK49,SUMPRODUCT(AK48:AK49,I48:I49)/SUM(I48:I49),AK49))</f>
        <v>97.748037680961659</v>
      </c>
      <c r="AP49" s="127">
        <f t="shared" si="35"/>
        <v>208.70720912908021</v>
      </c>
      <c r="AQ49" s="128">
        <f t="shared" si="36"/>
        <v>134.90259687677212</v>
      </c>
      <c r="AR49" s="128">
        <f t="shared" si="37"/>
        <v>170.57417925801485</v>
      </c>
      <c r="AS49" s="129">
        <f t="shared" si="38"/>
        <v>97.748037680961659</v>
      </c>
      <c r="AT49" s="18" t="str">
        <f t="shared" si="49"/>
        <v/>
      </c>
      <c r="AU49" s="19" t="str">
        <f t="shared" si="50"/>
        <v/>
      </c>
      <c r="AV49" s="19" t="str">
        <f t="shared" si="39"/>
        <v/>
      </c>
      <c r="AW49" s="19" t="str">
        <f t="shared" si="40"/>
        <v/>
      </c>
      <c r="AX49" s="19" t="str">
        <f t="shared" si="8"/>
        <v/>
      </c>
      <c r="AY49" s="323" t="str">
        <f t="shared" si="9"/>
        <v/>
      </c>
      <c r="AZ49" s="326">
        <f t="shared" si="10"/>
        <v>208.70720912908021</v>
      </c>
      <c r="BA49" s="323">
        <f t="shared" si="41"/>
        <v>134.90259687677212</v>
      </c>
      <c r="BB49" s="323">
        <f t="shared" si="11"/>
        <v>170.57417925801485</v>
      </c>
      <c r="BC49" s="327">
        <f t="shared" si="51"/>
        <v>97.748037680961659</v>
      </c>
      <c r="BD49" s="18" t="str">
        <f t="shared" si="42"/>
        <v/>
      </c>
      <c r="BE49" s="19" t="str">
        <f t="shared" si="43"/>
        <v/>
      </c>
      <c r="BF49" s="19" t="str">
        <f t="shared" si="44"/>
        <v/>
      </c>
      <c r="BG49" s="19" t="str">
        <f t="shared" si="45"/>
        <v/>
      </c>
      <c r="BH49" s="19" t="str">
        <f t="shared" si="46"/>
        <v/>
      </c>
      <c r="BI49" s="20" t="str">
        <f t="shared" si="47"/>
        <v/>
      </c>
      <c r="BJ49" s="744">
        <f t="shared" si="48"/>
        <v>6078158.6816665549</v>
      </c>
      <c r="BK49" s="321"/>
    </row>
    <row r="50" spans="1:63">
      <c r="A50" s="74">
        <v>340</v>
      </c>
      <c r="B50" s="89" t="s">
        <v>27</v>
      </c>
      <c r="C50" s="74" t="str">
        <f>$A$50&amp;"&amp;"&amp;$A$51</f>
        <v>340&amp;258</v>
      </c>
      <c r="D50" s="93" t="str">
        <f t="shared" si="13"/>
        <v>A</v>
      </c>
      <c r="E50" s="74">
        <f>IF(ISERROR(VLOOKUP(A50,Mandatory!A:A,1,FALSE)),0,1)</f>
        <v>1</v>
      </c>
      <c r="F50" s="75">
        <f>VLOOKUP(A50,'Front-loading'!A:AG,$F$6,FALSE)</f>
        <v>9124</v>
      </c>
      <c r="G50" s="76">
        <f>VLOOKUP(A50,'Front-loading'!A:AG,$G$6,FALSE)</f>
        <v>348314</v>
      </c>
      <c r="H50" s="76">
        <f>VLOOKUP(A50,'Front-loading'!A:AG,$H$6,FALSE)</f>
        <v>27773</v>
      </c>
      <c r="I50" s="77">
        <f>VLOOKUP(A50,'Front-loading'!A:AG,$I$6,FALSE)</f>
        <v>757732</v>
      </c>
      <c r="J50" s="75">
        <f>VLOOKUP(A50,'Front-loading'!A:AG,$J$6,FALSE)</f>
        <v>2628004.479262955</v>
      </c>
      <c r="K50" s="76">
        <f>VLOOKUP(A50,'Front-loading'!A:AG,$K$6,FALSE)</f>
        <v>65810994.542288095</v>
      </c>
      <c r="L50" s="76">
        <f>VLOOKUP(A50,'Front-loading'!A:AG,$L$6,FALSE)</f>
        <v>5062146.2095924355</v>
      </c>
      <c r="M50" s="77">
        <f>VLOOKUP(A50,'Front-loading'!A:AG,$M$6,FALSE)</f>
        <v>83029102.71020101</v>
      </c>
      <c r="N50" s="78">
        <f t="shared" si="14"/>
        <v>288.0320560349578</v>
      </c>
      <c r="O50" s="79">
        <f t="shared" si="14"/>
        <v>188.94157151962912</v>
      </c>
      <c r="P50" s="79">
        <f t="shared" si="14"/>
        <v>182.26861374689216</v>
      </c>
      <c r="Q50" s="80">
        <f t="shared" si="14"/>
        <v>109.57581666103717</v>
      </c>
      <c r="R50" s="101">
        <f t="shared" si="15"/>
        <v>288.0320560349578</v>
      </c>
      <c r="S50" s="102">
        <f t="shared" si="16"/>
        <v>188.94157151962912</v>
      </c>
      <c r="T50" s="102">
        <f t="shared" si="17"/>
        <v>182.26861374689216</v>
      </c>
      <c r="U50" s="102">
        <f t="shared" si="18"/>
        <v>109.57581666103717</v>
      </c>
      <c r="V50" s="95">
        <f t="shared" si="19"/>
        <v>288.0320560349578</v>
      </c>
      <c r="W50" s="96">
        <f t="shared" si="20"/>
        <v>188.94157151962912</v>
      </c>
      <c r="X50" s="96">
        <f t="shared" si="21"/>
        <v>182.26861374689216</v>
      </c>
      <c r="Y50" s="96">
        <f t="shared" si="22"/>
        <v>109.57581666103717</v>
      </c>
      <c r="Z50" s="60">
        <f t="shared" si="23"/>
        <v>288.0320560349578</v>
      </c>
      <c r="AA50" s="61">
        <f t="shared" si="24"/>
        <v>188.94157151962912</v>
      </c>
      <c r="AB50" s="61">
        <f t="shared" si="25"/>
        <v>182.26861374689216</v>
      </c>
      <c r="AC50" s="108">
        <f t="shared" si="26"/>
        <v>109.57581666103717</v>
      </c>
      <c r="AD50" s="61">
        <f t="shared" si="27"/>
        <v>288.0320560349578</v>
      </c>
      <c r="AE50" s="61">
        <f t="shared" si="28"/>
        <v>188.94157151962912</v>
      </c>
      <c r="AF50" s="61">
        <f t="shared" si="29"/>
        <v>182.26861374689216</v>
      </c>
      <c r="AG50" s="108">
        <f t="shared" si="30"/>
        <v>109.57581666103717</v>
      </c>
      <c r="AH50" s="61">
        <f t="shared" si="31"/>
        <v>288.0320560349578</v>
      </c>
      <c r="AI50" s="61">
        <f t="shared" si="32"/>
        <v>188.94157151962912</v>
      </c>
      <c r="AJ50" s="61">
        <f t="shared" si="33"/>
        <v>182.26861374689216</v>
      </c>
      <c r="AK50" s="61">
        <f t="shared" si="34"/>
        <v>109.57581666103717</v>
      </c>
      <c r="AL50" s="60">
        <f>IF($C50="",AH50,IF(AH50&gt;AH51,SUMPRODUCT(AH50:AH51,F50:F51)/SUM(F50:F51),AH50))</f>
        <v>288.0320560349578</v>
      </c>
      <c r="AM50" s="61">
        <f>IF($C50="",AI50,IF(AI50&gt;AI51,SUMPRODUCT(AI50:AI51,G50:G51)/SUM(G50:G51),AI50))</f>
        <v>188.94157151962912</v>
      </c>
      <c r="AN50" s="61">
        <f>IF($C50="",AJ50,IF(AJ50&gt;AJ51,SUMPRODUCT(AJ50:AJ51,H50:H51)/SUM(H50:H51),AJ50))</f>
        <v>180.1454198954354</v>
      </c>
      <c r="AO50" s="108">
        <f>IF($C50="",AK50,IF(AK50&gt;AK51,SUMPRODUCT(AK50:AK51,I50:I51)/SUM(I50:I51),AK50))</f>
        <v>109.57581666103717</v>
      </c>
      <c r="AP50" s="60">
        <f t="shared" si="35"/>
        <v>288.0320560349578</v>
      </c>
      <c r="AQ50" s="61">
        <f t="shared" si="36"/>
        <v>188.94157151962912</v>
      </c>
      <c r="AR50" s="61">
        <f t="shared" si="37"/>
        <v>180.1454198954354</v>
      </c>
      <c r="AS50" s="108">
        <f t="shared" si="38"/>
        <v>109.57581666103717</v>
      </c>
      <c r="AT50" s="81" t="str">
        <f t="shared" si="49"/>
        <v/>
      </c>
      <c r="AU50" s="82" t="str">
        <f t="shared" si="50"/>
        <v/>
      </c>
      <c r="AV50" s="82" t="str">
        <f t="shared" si="39"/>
        <v/>
      </c>
      <c r="AW50" s="82" t="str">
        <f t="shared" si="40"/>
        <v/>
      </c>
      <c r="AX50" s="82" t="str">
        <f t="shared" si="8"/>
        <v/>
      </c>
      <c r="AY50" s="324" t="str">
        <f t="shared" si="9"/>
        <v/>
      </c>
      <c r="AZ50" s="328">
        <f t="shared" si="10"/>
        <v>288.0320560349578</v>
      </c>
      <c r="BA50" s="324">
        <f t="shared" si="41"/>
        <v>188.94157151962912</v>
      </c>
      <c r="BB50" s="324">
        <f t="shared" si="11"/>
        <v>180.1454198954354</v>
      </c>
      <c r="BC50" s="329">
        <f t="shared" si="51"/>
        <v>109.57581666103717</v>
      </c>
      <c r="BD50" s="288" t="str">
        <f t="shared" si="42"/>
        <v/>
      </c>
      <c r="BE50" s="289" t="str">
        <f t="shared" si="43"/>
        <v/>
      </c>
      <c r="BF50" s="289" t="str">
        <f t="shared" si="44"/>
        <v/>
      </c>
      <c r="BG50" s="289" t="str">
        <f t="shared" si="45"/>
        <v/>
      </c>
      <c r="BH50" s="289" t="str">
        <f t="shared" si="46"/>
        <v/>
      </c>
      <c r="BI50" s="290" t="str">
        <f t="shared" si="47"/>
        <v/>
      </c>
      <c r="BJ50" s="744">
        <f t="shared" si="48"/>
        <v>156471280.478508</v>
      </c>
      <c r="BK50" s="321"/>
    </row>
    <row r="51" spans="1:63">
      <c r="A51">
        <v>258</v>
      </c>
      <c r="B51" s="88" t="s">
        <v>42</v>
      </c>
      <c r="C51" t="str">
        <f>$A$50&amp;"&amp;"&amp;$A$51</f>
        <v>340&amp;258</v>
      </c>
      <c r="D51" s="62" t="str">
        <f t="shared" si="13"/>
        <v>C</v>
      </c>
      <c r="E51">
        <f>IF(ISERROR(VLOOKUP(A51,Mandatory!A:A,1,FALSE)),0,1)</f>
        <v>1</v>
      </c>
      <c r="F51" s="54">
        <f>VLOOKUP(A51,'Front-loading'!A:AG,$F$6,FALSE)</f>
        <v>802</v>
      </c>
      <c r="G51" s="55">
        <f>VLOOKUP(A51,'Front-loading'!A:AG,$G$6,FALSE)</f>
        <v>8971</v>
      </c>
      <c r="H51" s="55">
        <f>VLOOKUP(A51,'Front-loading'!A:AG,$H$6,FALSE)</f>
        <v>2665</v>
      </c>
      <c r="I51" s="56">
        <f>VLOOKUP(A51,'Front-loading'!A:AG,$I$6,FALSE)</f>
        <v>31940</v>
      </c>
      <c r="J51" s="54">
        <f>VLOOKUP(A51,'Front-loading'!A:AG,$J$6,FALSE)</f>
        <v>244890.55607673241</v>
      </c>
      <c r="K51" s="55">
        <f>VLOOKUP(A51,'Front-loading'!A:AG,$K$6,FALSE)</f>
        <v>2650916.2100510965</v>
      </c>
      <c r="L51" s="55">
        <f>VLOOKUP(A51,'Front-loading'!A:AG,$L$6,FALSE)</f>
        <v>421120.08118482662</v>
      </c>
      <c r="M51" s="56">
        <f>VLOOKUP(A51,'Front-loading'!A:AG,$M$6,FALSE)</f>
        <v>4989899.3666029163</v>
      </c>
      <c r="N51" s="15">
        <f t="shared" si="14"/>
        <v>305.34982054455412</v>
      </c>
      <c r="O51" s="11">
        <f t="shared" si="14"/>
        <v>295.4984070952064</v>
      </c>
      <c r="P51" s="11">
        <f t="shared" si="14"/>
        <v>158.01879218942838</v>
      </c>
      <c r="Q51" s="12">
        <f t="shared" si="14"/>
        <v>156.22728135888906</v>
      </c>
      <c r="R51" s="99">
        <f t="shared" si="15"/>
        <v>305.34982054455412</v>
      </c>
      <c r="S51" s="100">
        <f t="shared" si="16"/>
        <v>295.4984070952064</v>
      </c>
      <c r="T51" s="100">
        <f t="shared" si="17"/>
        <v>158.01879218942838</v>
      </c>
      <c r="U51" s="100">
        <f t="shared" si="18"/>
        <v>156.22728135888906</v>
      </c>
      <c r="V51" s="125">
        <f t="shared" si="19"/>
        <v>305.34982054455412</v>
      </c>
      <c r="W51" s="126">
        <f t="shared" si="20"/>
        <v>295.4984070952064</v>
      </c>
      <c r="X51" s="126">
        <f t="shared" si="21"/>
        <v>158.01879218942838</v>
      </c>
      <c r="Y51" s="126">
        <f t="shared" si="22"/>
        <v>156.22728135888906</v>
      </c>
      <c r="Z51" s="127">
        <f t="shared" si="23"/>
        <v>305.34982054455412</v>
      </c>
      <c r="AA51" s="128">
        <f t="shared" si="24"/>
        <v>295.4984070952064</v>
      </c>
      <c r="AB51" s="128">
        <f t="shared" si="25"/>
        <v>158.01879218942838</v>
      </c>
      <c r="AC51" s="129">
        <f t="shared" si="26"/>
        <v>156.22728135888906</v>
      </c>
      <c r="AD51" s="128">
        <f t="shared" si="27"/>
        <v>305.34982054455412</v>
      </c>
      <c r="AE51" s="128">
        <f t="shared" si="28"/>
        <v>295.4984070952064</v>
      </c>
      <c r="AF51" s="128">
        <f t="shared" si="29"/>
        <v>158.01879218942838</v>
      </c>
      <c r="AG51" s="129">
        <f t="shared" si="30"/>
        <v>156.22728135888906</v>
      </c>
      <c r="AH51" s="128">
        <f t="shared" si="31"/>
        <v>305.34982054455412</v>
      </c>
      <c r="AI51" s="128">
        <f t="shared" si="32"/>
        <v>295.4984070952064</v>
      </c>
      <c r="AJ51" s="128">
        <f t="shared" si="33"/>
        <v>158.01879218942838</v>
      </c>
      <c r="AK51" s="128">
        <f t="shared" si="34"/>
        <v>156.22728135888906</v>
      </c>
      <c r="AL51" s="127">
        <f>IF($C51="",AH51,IF(AH50&gt;AH51,SUMPRODUCT(AH50:AH51,F50:F51)/SUM(F50:F51),AH51))</f>
        <v>305.34982054455412</v>
      </c>
      <c r="AM51" s="128">
        <f>IF($C51="",AI51,IF(AI50&gt;AI51,SUMPRODUCT(AI50:AI51,G50:G51)/SUM(G50:G51),AI51))</f>
        <v>295.4984070952064</v>
      </c>
      <c r="AN51" s="128">
        <f>IF($C51="",AJ51,IF(AJ50&gt;AJ51,SUMPRODUCT(AJ50:AJ51,H50:H51)/SUM(H50:H51),AJ51))</f>
        <v>180.1454198954354</v>
      </c>
      <c r="AO51" s="129">
        <f>IF($C51="",AK51,IF(AK50&gt;AK51,SUMPRODUCT(AK50:AK51,I50:I51)/SUM(I50:I51),AK51))</f>
        <v>156.22728135888906</v>
      </c>
      <c r="AP51" s="127">
        <f t="shared" si="35"/>
        <v>305.34982054455412</v>
      </c>
      <c r="AQ51" s="128">
        <f t="shared" si="36"/>
        <v>295.4984070952064</v>
      </c>
      <c r="AR51" s="128">
        <f t="shared" si="37"/>
        <v>180.1454198954354</v>
      </c>
      <c r="AS51" s="129">
        <f t="shared" si="38"/>
        <v>156.22728135888906</v>
      </c>
      <c r="AT51" s="18" t="str">
        <f t="shared" si="49"/>
        <v/>
      </c>
      <c r="AU51" s="19" t="str">
        <f t="shared" si="50"/>
        <v/>
      </c>
      <c r="AV51" s="19" t="str">
        <f t="shared" si="39"/>
        <v/>
      </c>
      <c r="AW51" s="19" t="str">
        <f t="shared" si="40"/>
        <v/>
      </c>
      <c r="AX51" s="19" t="str">
        <f t="shared" si="8"/>
        <v/>
      </c>
      <c r="AY51" s="323" t="str">
        <f t="shared" si="9"/>
        <v/>
      </c>
      <c r="AZ51" s="326">
        <f t="shared" si="10"/>
        <v>305.34982054455412</v>
      </c>
      <c r="BA51" s="323">
        <f t="shared" si="41"/>
        <v>295.4984070952064</v>
      </c>
      <c r="BB51" s="323">
        <f t="shared" si="11"/>
        <v>180.1454198954354</v>
      </c>
      <c r="BC51" s="327">
        <f t="shared" si="51"/>
        <v>156.22728135888906</v>
      </c>
      <c r="BD51" s="18" t="str">
        <f t="shared" si="42"/>
        <v/>
      </c>
      <c r="BE51" s="19" t="str">
        <f t="shared" si="43"/>
        <v/>
      </c>
      <c r="BF51" s="19" t="str">
        <f t="shared" si="44"/>
        <v/>
      </c>
      <c r="BG51" s="19" t="str">
        <f t="shared" si="45"/>
        <v/>
      </c>
      <c r="BH51" s="19" t="str">
        <f t="shared" si="46"/>
        <v/>
      </c>
      <c r="BI51" s="20" t="str">
        <f t="shared" si="47"/>
        <v/>
      </c>
      <c r="BJ51" s="744">
        <f t="shared" si="48"/>
        <v>8365793.6767520811</v>
      </c>
      <c r="BK51" s="321"/>
    </row>
    <row r="52" spans="1:63">
      <c r="A52" s="74">
        <v>350</v>
      </c>
      <c r="B52" s="89" t="s">
        <v>28</v>
      </c>
      <c r="C52" s="74" t="str">
        <f>$A$52&amp;"&amp;"&amp;$A$53</f>
        <v>350&amp;256</v>
      </c>
      <c r="D52" s="93" t="str">
        <f t="shared" si="13"/>
        <v>A</v>
      </c>
      <c r="E52" s="74">
        <f>IF(ISERROR(VLOOKUP(A52,Mandatory!A:A,1,FALSE)),0,1)</f>
        <v>1</v>
      </c>
      <c r="F52" s="75">
        <f>VLOOKUP(A52,'Front-loading'!A:AG,$F$6,FALSE)</f>
        <v>750</v>
      </c>
      <c r="G52" s="76">
        <f>VLOOKUP(A52,'Front-loading'!A:AG,$G$6,FALSE)</f>
        <v>18813</v>
      </c>
      <c r="H52" s="76">
        <f>VLOOKUP(A52,'Front-loading'!A:AG,$H$6,FALSE)</f>
        <v>3740</v>
      </c>
      <c r="I52" s="77">
        <f>VLOOKUP(A52,'Front-loading'!A:AG,$I$6,FALSE)</f>
        <v>58416</v>
      </c>
      <c r="J52" s="75">
        <f>VLOOKUP(A52,'Front-loading'!A:AG,$J$6,FALSE)</f>
        <v>254692.50506900062</v>
      </c>
      <c r="K52" s="76">
        <f>VLOOKUP(A52,'Front-loading'!A:AG,$K$6,FALSE)</f>
        <v>6301547.9050845029</v>
      </c>
      <c r="L52" s="76">
        <f>VLOOKUP(A52,'Front-loading'!A:AG,$L$6,FALSE)</f>
        <v>670595.5494130014</v>
      </c>
      <c r="M52" s="77">
        <f>VLOOKUP(A52,'Front-loading'!A:AG,$M$6,FALSE)</f>
        <v>12807971.859265074</v>
      </c>
      <c r="N52" s="78">
        <f t="shared" si="14"/>
        <v>339.59000675866747</v>
      </c>
      <c r="O52" s="79">
        <f t="shared" si="14"/>
        <v>334.95709908491483</v>
      </c>
      <c r="P52" s="79">
        <f t="shared" si="14"/>
        <v>179.30362283770091</v>
      </c>
      <c r="Q52" s="80">
        <f t="shared" si="14"/>
        <v>219.25451690059359</v>
      </c>
      <c r="R52" s="101">
        <f t="shared" si="15"/>
        <v>339.59000675866747</v>
      </c>
      <c r="S52" s="102">
        <f t="shared" si="16"/>
        <v>334.95709908491483</v>
      </c>
      <c r="T52" s="102">
        <f t="shared" si="17"/>
        <v>179.30362283770091</v>
      </c>
      <c r="U52" s="102">
        <f t="shared" si="18"/>
        <v>219.25451690059359</v>
      </c>
      <c r="V52" s="95">
        <f t="shared" si="19"/>
        <v>339.59000675866747</v>
      </c>
      <c r="W52" s="96">
        <f t="shared" si="20"/>
        <v>334.95709908491483</v>
      </c>
      <c r="X52" s="96">
        <f t="shared" si="21"/>
        <v>179.30362283770091</v>
      </c>
      <c r="Y52" s="96">
        <f t="shared" si="22"/>
        <v>219.25451690059359</v>
      </c>
      <c r="Z52" s="60">
        <f t="shared" si="23"/>
        <v>339.59000675866747</v>
      </c>
      <c r="AA52" s="61">
        <f t="shared" si="24"/>
        <v>334.95709908491483</v>
      </c>
      <c r="AB52" s="61">
        <f t="shared" si="25"/>
        <v>179.30362283770091</v>
      </c>
      <c r="AC52" s="108">
        <f t="shared" si="26"/>
        <v>219.25451690059359</v>
      </c>
      <c r="AD52" s="61">
        <f t="shared" si="27"/>
        <v>339.59000675866747</v>
      </c>
      <c r="AE52" s="61">
        <f t="shared" si="28"/>
        <v>334.95709908491483</v>
      </c>
      <c r="AF52" s="61">
        <f t="shared" si="29"/>
        <v>216.85062437541146</v>
      </c>
      <c r="AG52" s="108">
        <f t="shared" si="30"/>
        <v>216.85062437541146</v>
      </c>
      <c r="AH52" s="61">
        <f t="shared" si="31"/>
        <v>339.59000675866747</v>
      </c>
      <c r="AI52" s="61">
        <f t="shared" si="32"/>
        <v>334.95709908491483</v>
      </c>
      <c r="AJ52" s="61">
        <f t="shared" si="33"/>
        <v>216.85062437541146</v>
      </c>
      <c r="AK52" s="61">
        <f t="shared" si="34"/>
        <v>216.85062437541146</v>
      </c>
      <c r="AL52" s="60">
        <f>IF($C52="",AH52,IF(AH52&gt;AH53,SUMPRODUCT(AH52:AH53,F52:F53)/SUM(F52:F53),AH52))</f>
        <v>339.59000675866747</v>
      </c>
      <c r="AM52" s="61">
        <f>IF($C52="",AI52,IF(AI52&gt;AI53,SUMPRODUCT(AI52:AI53,G52:G53)/SUM(G52:G53),AI52))</f>
        <v>334.95709908491483</v>
      </c>
      <c r="AN52" s="61">
        <f>IF($C52="",AJ52,IF(AJ52&gt;AJ53,SUMPRODUCT(AJ52:AJ53,H52:H53)/SUM(H52:H53),AJ52))</f>
        <v>216.85062437541146</v>
      </c>
      <c r="AO52" s="108">
        <f>IF($C52="",AK52,IF(AK52&gt;AK53,SUMPRODUCT(AK52:AK53,I52:I53)/SUM(I52:I53),AK52))</f>
        <v>216.85062437541146</v>
      </c>
      <c r="AP52" s="60">
        <f t="shared" si="35"/>
        <v>339.59000675866747</v>
      </c>
      <c r="AQ52" s="61">
        <f t="shared" si="36"/>
        <v>334.95709908491483</v>
      </c>
      <c r="AR52" s="61">
        <f t="shared" si="37"/>
        <v>216.85062437541146</v>
      </c>
      <c r="AS52" s="108">
        <f t="shared" si="38"/>
        <v>216.85062437541146</v>
      </c>
      <c r="AT52" s="81" t="str">
        <f t="shared" si="49"/>
        <v/>
      </c>
      <c r="AU52" s="82" t="str">
        <f t="shared" si="50"/>
        <v/>
      </c>
      <c r="AV52" s="82" t="str">
        <f t="shared" si="39"/>
        <v/>
      </c>
      <c r="AW52" s="82" t="str">
        <f t="shared" si="40"/>
        <v/>
      </c>
      <c r="AX52" s="82" t="str">
        <f t="shared" si="8"/>
        <v/>
      </c>
      <c r="AY52" s="324" t="str">
        <f t="shared" si="9"/>
        <v/>
      </c>
      <c r="AZ52" s="328">
        <f t="shared" si="10"/>
        <v>339.59000675866747</v>
      </c>
      <c r="BA52" s="324">
        <f t="shared" si="41"/>
        <v>334.95709908491483</v>
      </c>
      <c r="BB52" s="324">
        <f t="shared" si="11"/>
        <v>216.85062437541146</v>
      </c>
      <c r="BC52" s="329">
        <f t="shared" si="51"/>
        <v>216.85062437541146</v>
      </c>
      <c r="BD52" s="288" t="str">
        <f t="shared" si="42"/>
        <v/>
      </c>
      <c r="BE52" s="289" t="str">
        <f t="shared" si="43"/>
        <v/>
      </c>
      <c r="BF52" s="289" t="str">
        <f t="shared" si="44"/>
        <v/>
      </c>
      <c r="BG52" s="289" t="str">
        <f t="shared" si="45"/>
        <v/>
      </c>
      <c r="BH52" s="289" t="str">
        <f t="shared" si="46"/>
        <v/>
      </c>
      <c r="BI52" s="290" t="str">
        <f t="shared" si="47"/>
        <v/>
      </c>
      <c r="BJ52" s="744">
        <f t="shared" si="48"/>
        <v>20034807.818831578</v>
      </c>
      <c r="BK52" s="321"/>
    </row>
    <row r="53" spans="1:63">
      <c r="A53">
        <v>256</v>
      </c>
      <c r="B53" s="88" t="s">
        <v>495</v>
      </c>
      <c r="C53" t="str">
        <f>$A$52&amp;"&amp;"&amp;$A$53</f>
        <v>350&amp;256</v>
      </c>
      <c r="D53" s="62" t="str">
        <f t="shared" si="13"/>
        <v>C</v>
      </c>
      <c r="E53">
        <f>IF(ISERROR(VLOOKUP(A53,Mandatory!A:A,1,FALSE)),0,1)</f>
        <v>0</v>
      </c>
      <c r="F53" s="54">
        <f>VLOOKUP(A53,'Front-loading'!A:AG,$F$6,FALSE)</f>
        <v>3</v>
      </c>
      <c r="G53" s="55">
        <f>VLOOKUP(A53,'Front-loading'!A:AG,$G$6,FALSE)</f>
        <v>1328</v>
      </c>
      <c r="H53" s="55">
        <f>VLOOKUP(A53,'Front-loading'!A:AG,$H$6,FALSE)</f>
        <v>97</v>
      </c>
      <c r="I53" s="56">
        <f>VLOOKUP(A53,'Front-loading'!A:AG,$I$6,FALSE)</f>
        <v>4686</v>
      </c>
      <c r="J53" s="54">
        <f>VLOOKUP(A53,'Front-loading'!A:AG,$J$6,FALSE)</f>
        <v>1073.3883415619416</v>
      </c>
      <c r="K53" s="55">
        <f>VLOOKUP(A53,'Front-loading'!A:AG,$K$6,FALSE)</f>
        <v>481671.332385357</v>
      </c>
      <c r="L53" s="55">
        <f>VLOOKUP(A53,'Front-loading'!A:AG,$L$6,FALSE)</f>
        <v>12466.199951086679</v>
      </c>
      <c r="M53" s="56">
        <f>VLOOKUP(A53,'Front-loading'!A:AG,$M$6,FALSE)</f>
        <v>1244456.786881638</v>
      </c>
      <c r="N53" s="15">
        <f t="shared" si="14"/>
        <v>357.79611385398056</v>
      </c>
      <c r="O53" s="11">
        <f t="shared" si="14"/>
        <v>362.70431655523873</v>
      </c>
      <c r="P53" s="11">
        <f t="shared" si="14"/>
        <v>128.51752526893483</v>
      </c>
      <c r="Q53" s="12">
        <f t="shared" si="14"/>
        <v>265.56909664567604</v>
      </c>
      <c r="R53" s="99">
        <f t="shared" si="15"/>
        <v>135.39588292648622</v>
      </c>
      <c r="S53" s="100">
        <f t="shared" si="16"/>
        <v>362.70431655523873</v>
      </c>
      <c r="T53" s="100">
        <f t="shared" si="17"/>
        <v>135.39588292648622</v>
      </c>
      <c r="U53" s="100">
        <f t="shared" si="18"/>
        <v>265.56909664567604</v>
      </c>
      <c r="V53" s="125">
        <f t="shared" si="19"/>
        <v>135.39588292648622</v>
      </c>
      <c r="W53" s="126">
        <f t="shared" si="20"/>
        <v>362.70431655523873</v>
      </c>
      <c r="X53" s="126">
        <f t="shared" si="21"/>
        <v>135.39588292648622</v>
      </c>
      <c r="Y53" s="126">
        <f t="shared" si="22"/>
        <v>265.56909664567604</v>
      </c>
      <c r="Z53" s="127">
        <f t="shared" si="23"/>
        <v>135.39588292648622</v>
      </c>
      <c r="AA53" s="128">
        <f t="shared" si="24"/>
        <v>362.70431655523873</v>
      </c>
      <c r="AB53" s="128">
        <f t="shared" si="25"/>
        <v>135.39588292648622</v>
      </c>
      <c r="AC53" s="129">
        <f t="shared" si="26"/>
        <v>265.56909664567604</v>
      </c>
      <c r="AD53" s="128">
        <f t="shared" si="27"/>
        <v>362.19197598357368</v>
      </c>
      <c r="AE53" s="128">
        <f t="shared" si="28"/>
        <v>362.19197598357368</v>
      </c>
      <c r="AF53" s="128">
        <f t="shared" si="29"/>
        <v>262.92916318743613</v>
      </c>
      <c r="AG53" s="129">
        <f t="shared" si="30"/>
        <v>262.92916318743613</v>
      </c>
      <c r="AH53" s="128">
        <f t="shared" si="31"/>
        <v>362.19197598357368</v>
      </c>
      <c r="AI53" s="128">
        <f t="shared" si="32"/>
        <v>362.19197598357368</v>
      </c>
      <c r="AJ53" s="128">
        <f t="shared" si="33"/>
        <v>262.92916318743613</v>
      </c>
      <c r="AK53" s="128">
        <f t="shared" si="34"/>
        <v>262.92916318743613</v>
      </c>
      <c r="AL53" s="127">
        <f>IF($C53="",AH53,IF(AH52&gt;AH53,SUMPRODUCT(AH52:AH53,F52:F53)/SUM(F52:F53),AH53))</f>
        <v>362.19197598357368</v>
      </c>
      <c r="AM53" s="128">
        <f>IF($C53="",AI53,IF(AI52&gt;AI53,SUMPRODUCT(AI52:AI53,G52:G53)/SUM(G52:G53),AI53))</f>
        <v>362.19197598357368</v>
      </c>
      <c r="AN53" s="128">
        <f>IF($C53="",AJ53,IF(AJ52&gt;AJ53,SUMPRODUCT(AJ52:AJ53,H52:H53)/SUM(H52:H53),AJ53))</f>
        <v>262.92916318743613</v>
      </c>
      <c r="AO53" s="129">
        <f>IF($C53="",AK53,IF(AK52&gt;AK53,SUMPRODUCT(AK52:AK53,I52:I53)/SUM(I52:I53),AK53))</f>
        <v>262.92916318743613</v>
      </c>
      <c r="AP53" s="127">
        <f t="shared" si="35"/>
        <v>362.19197598357368</v>
      </c>
      <c r="AQ53" s="128">
        <f t="shared" si="36"/>
        <v>362.19197598357368</v>
      </c>
      <c r="AR53" s="128">
        <f t="shared" si="37"/>
        <v>262.92916318743613</v>
      </c>
      <c r="AS53" s="129">
        <f t="shared" si="38"/>
        <v>262.92916318743613</v>
      </c>
      <c r="AT53" s="18" t="str">
        <f t="shared" si="49"/>
        <v/>
      </c>
      <c r="AU53" s="19" t="str">
        <f t="shared" si="50"/>
        <v/>
      </c>
      <c r="AV53" s="19" t="str">
        <f t="shared" si="39"/>
        <v/>
      </c>
      <c r="AW53" s="19" t="str">
        <f t="shared" si="40"/>
        <v/>
      </c>
      <c r="AX53" s="19" t="str">
        <f t="shared" si="8"/>
        <v/>
      </c>
      <c r="AY53" s="323" t="str">
        <f t="shared" si="9"/>
        <v/>
      </c>
      <c r="AZ53" s="326">
        <f t="shared" si="10"/>
        <v>362.19197598357368</v>
      </c>
      <c r="BA53" s="323">
        <f t="shared" si="41"/>
        <v>362.19197598357368</v>
      </c>
      <c r="BB53" s="323">
        <f t="shared" si="11"/>
        <v>262.92916318743613</v>
      </c>
      <c r="BC53" s="327">
        <f t="shared" si="51"/>
        <v>262.92916318743613</v>
      </c>
      <c r="BD53" s="18" t="str">
        <f t="shared" si="42"/>
        <v/>
      </c>
      <c r="BE53" s="19" t="str">
        <f t="shared" si="43"/>
        <v/>
      </c>
      <c r="BF53" s="19" t="str">
        <f t="shared" si="44"/>
        <v/>
      </c>
      <c r="BG53" s="19" t="str">
        <f t="shared" si="45"/>
        <v/>
      </c>
      <c r="BH53" s="19" t="str">
        <f t="shared" si="46"/>
        <v/>
      </c>
      <c r="BI53" s="20" t="str">
        <f t="shared" si="47"/>
        <v/>
      </c>
      <c r="BJ53" s="744">
        <f t="shared" si="48"/>
        <v>1739667.7075596435</v>
      </c>
      <c r="BK53" s="321"/>
    </row>
    <row r="54" spans="1:63">
      <c r="A54" s="74">
        <v>361</v>
      </c>
      <c r="B54" s="89" t="s">
        <v>29</v>
      </c>
      <c r="C54" s="74" t="str">
        <f>$A$54&amp;"&amp;"&amp;$A$55</f>
        <v>361&amp;259</v>
      </c>
      <c r="D54" s="93" t="str">
        <f t="shared" si="13"/>
        <v>A</v>
      </c>
      <c r="E54" s="74">
        <f>IF(ISERROR(VLOOKUP(A54,Mandatory!A:A,1,FALSE)),0,1)</f>
        <v>1</v>
      </c>
      <c r="F54" s="75">
        <f>VLOOKUP(A54,'Front-loading'!A:AG,$F$6,FALSE)</f>
        <v>1454</v>
      </c>
      <c r="G54" s="76">
        <f>VLOOKUP(A54,'Front-loading'!A:AG,$G$6,FALSE)</f>
        <v>70458</v>
      </c>
      <c r="H54" s="76">
        <f>VLOOKUP(A54,'Front-loading'!A:AG,$H$6,FALSE)</f>
        <v>15040</v>
      </c>
      <c r="I54" s="77">
        <f>VLOOKUP(A54,'Front-loading'!A:AG,$I$6,FALSE)</f>
        <v>581903</v>
      </c>
      <c r="J54" s="75">
        <f>VLOOKUP(A54,'Front-loading'!A:AG,$J$6,FALSE)</f>
        <v>473008.57746126002</v>
      </c>
      <c r="K54" s="76">
        <f>VLOOKUP(A54,'Front-loading'!A:AG,$K$6,FALSE)</f>
        <v>19692316.88770286</v>
      </c>
      <c r="L54" s="76">
        <f>VLOOKUP(A54,'Front-loading'!A:AG,$L$6,FALSE)</f>
        <v>2330720.4790567351</v>
      </c>
      <c r="M54" s="77">
        <f>VLOOKUP(A54,'Front-loading'!A:AG,$M$6,FALSE)</f>
        <v>77799841.694290817</v>
      </c>
      <c r="N54" s="78">
        <f t="shared" si="14"/>
        <v>325.31539027596978</v>
      </c>
      <c r="O54" s="79">
        <f t="shared" si="14"/>
        <v>279.49014856656248</v>
      </c>
      <c r="P54" s="79">
        <f t="shared" si="14"/>
        <v>154.96811695855951</v>
      </c>
      <c r="Q54" s="80">
        <f t="shared" si="14"/>
        <v>133.6989871065982</v>
      </c>
      <c r="R54" s="101">
        <f t="shared" si="15"/>
        <v>325.31539027596978</v>
      </c>
      <c r="S54" s="102">
        <f t="shared" si="16"/>
        <v>279.49014856656248</v>
      </c>
      <c r="T54" s="102">
        <f t="shared" si="17"/>
        <v>154.96811695855951</v>
      </c>
      <c r="U54" s="102">
        <f t="shared" si="18"/>
        <v>133.6989871065982</v>
      </c>
      <c r="V54" s="95">
        <f t="shared" si="19"/>
        <v>325.31539027596978</v>
      </c>
      <c r="W54" s="96">
        <f t="shared" si="20"/>
        <v>279.49014856656248</v>
      </c>
      <c r="X54" s="96">
        <f t="shared" si="21"/>
        <v>154.96811695855951</v>
      </c>
      <c r="Y54" s="96">
        <f t="shared" si="22"/>
        <v>133.6989871065982</v>
      </c>
      <c r="Z54" s="60">
        <f t="shared" si="23"/>
        <v>325.31539027596978</v>
      </c>
      <c r="AA54" s="61">
        <f t="shared" si="24"/>
        <v>279.49014856656248</v>
      </c>
      <c r="AB54" s="61">
        <f t="shared" si="25"/>
        <v>154.96811695855951</v>
      </c>
      <c r="AC54" s="108">
        <f t="shared" si="26"/>
        <v>133.6989871065982</v>
      </c>
      <c r="AD54" s="61">
        <f t="shared" si="27"/>
        <v>325.31539027596978</v>
      </c>
      <c r="AE54" s="61">
        <f t="shared" si="28"/>
        <v>279.49014856656248</v>
      </c>
      <c r="AF54" s="61">
        <f t="shared" si="29"/>
        <v>154.96811695855951</v>
      </c>
      <c r="AG54" s="108">
        <f t="shared" si="30"/>
        <v>133.6989871065982</v>
      </c>
      <c r="AH54" s="61">
        <f t="shared" si="31"/>
        <v>325.31539027596978</v>
      </c>
      <c r="AI54" s="61">
        <f t="shared" si="32"/>
        <v>279.49014856656248</v>
      </c>
      <c r="AJ54" s="61">
        <f t="shared" si="33"/>
        <v>154.96811695855951</v>
      </c>
      <c r="AK54" s="61">
        <f t="shared" si="34"/>
        <v>133.6989871065982</v>
      </c>
      <c r="AL54" s="60">
        <f>IF($C54="",AH54,IF(AH54&gt;AH55,SUMPRODUCT(AH54:AH55,F54:F55)/SUM(F54:F55),AH54))</f>
        <v>325.31539027596978</v>
      </c>
      <c r="AM54" s="61">
        <f>IF($C54="",AI54,IF(AI54&gt;AI55,SUMPRODUCT(AI54:AI55,G54:G55)/SUM(G54:G55),AI54))</f>
        <v>279.49014856656248</v>
      </c>
      <c r="AN54" s="61">
        <f>IF($C54="",AJ54,IF(AJ54&gt;AJ55,SUMPRODUCT(AJ54:AJ55,H54:H55)/SUM(H54:H55),AJ54))</f>
        <v>154.96811695855951</v>
      </c>
      <c r="AO54" s="108">
        <f>IF($C54="",AK54,IF(AK54&gt;AK55,SUMPRODUCT(AK54:AK55,I54:I55)/SUM(I54:I55),AK54))</f>
        <v>133.6989871065982</v>
      </c>
      <c r="AP54" s="60">
        <f t="shared" si="35"/>
        <v>325.31539027596978</v>
      </c>
      <c r="AQ54" s="61">
        <f t="shared" si="36"/>
        <v>279.49014856656248</v>
      </c>
      <c r="AR54" s="61">
        <f t="shared" si="37"/>
        <v>154.96811695855951</v>
      </c>
      <c r="AS54" s="108">
        <f t="shared" si="38"/>
        <v>133.6989871065982</v>
      </c>
      <c r="AT54" s="81" t="str">
        <f t="shared" si="49"/>
        <v/>
      </c>
      <c r="AU54" s="82" t="str">
        <f t="shared" si="50"/>
        <v/>
      </c>
      <c r="AV54" s="82" t="str">
        <f t="shared" si="39"/>
        <v/>
      </c>
      <c r="AW54" s="82" t="str">
        <f t="shared" si="40"/>
        <v/>
      </c>
      <c r="AX54" s="82" t="str">
        <f t="shared" si="8"/>
        <v/>
      </c>
      <c r="AY54" s="324" t="str">
        <f t="shared" si="9"/>
        <v/>
      </c>
      <c r="AZ54" s="328">
        <f t="shared" si="10"/>
        <v>325.31539027596978</v>
      </c>
      <c r="BA54" s="324">
        <f t="shared" si="41"/>
        <v>279.49014856656248</v>
      </c>
      <c r="BB54" s="324">
        <f t="shared" si="11"/>
        <v>154.96811695855951</v>
      </c>
      <c r="BC54" s="329">
        <f t="shared" si="51"/>
        <v>133.6989871065982</v>
      </c>
      <c r="BD54" s="288" t="str">
        <f t="shared" si="42"/>
        <v/>
      </c>
      <c r="BE54" s="289" t="str">
        <f t="shared" si="43"/>
        <v/>
      </c>
      <c r="BF54" s="289" t="str">
        <f t="shared" si="44"/>
        <v/>
      </c>
      <c r="BG54" s="289" t="str">
        <f t="shared" si="45"/>
        <v/>
      </c>
      <c r="BH54" s="289" t="str">
        <f t="shared" si="46"/>
        <v/>
      </c>
      <c r="BI54" s="290" t="str">
        <f t="shared" si="47"/>
        <v/>
      </c>
      <c r="BJ54" s="744">
        <f t="shared" si="48"/>
        <v>100295887.63851167</v>
      </c>
      <c r="BK54" s="321"/>
    </row>
    <row r="55" spans="1:63">
      <c r="A55">
        <v>259</v>
      </c>
      <c r="B55" s="88" t="s">
        <v>496</v>
      </c>
      <c r="C55" t="str">
        <f>$A$54&amp;"&amp;"&amp;$A$55</f>
        <v>361&amp;259</v>
      </c>
      <c r="D55" s="62" t="str">
        <f t="shared" si="13"/>
        <v>C</v>
      </c>
      <c r="E55">
        <f>IF(ISERROR(VLOOKUP(A55,Mandatory!A:A,1,FALSE)),0,1)</f>
        <v>0</v>
      </c>
      <c r="F55" s="54">
        <f>VLOOKUP(A55,'Front-loading'!A:AG,$F$6,FALSE)</f>
        <v>96</v>
      </c>
      <c r="G55" s="55">
        <f>VLOOKUP(A55,'Front-loading'!A:AG,$G$6,FALSE)</f>
        <v>4002</v>
      </c>
      <c r="H55" s="55">
        <f>VLOOKUP(A55,'Front-loading'!A:AG,$H$6,FALSE)</f>
        <v>2345</v>
      </c>
      <c r="I55" s="56">
        <f>VLOOKUP(A55,'Front-loading'!A:AG,$I$6,FALSE)</f>
        <v>29674</v>
      </c>
      <c r="J55" s="54">
        <f>VLOOKUP(A55,'Front-loading'!A:AG,$J$6,FALSE)</f>
        <v>31318.447049417249</v>
      </c>
      <c r="K55" s="55">
        <f>VLOOKUP(A55,'Front-loading'!A:AG,$K$6,FALSE)</f>
        <v>1625309.6332266075</v>
      </c>
      <c r="L55" s="55">
        <f>VLOOKUP(A55,'Front-loading'!A:AG,$L$6,FALSE)</f>
        <v>320169.15880593302</v>
      </c>
      <c r="M55" s="56">
        <f>VLOOKUP(A55,'Front-loading'!A:AG,$M$6,FALSE)</f>
        <v>5988110.6774168098</v>
      </c>
      <c r="N55" s="15">
        <f t="shared" si="14"/>
        <v>326.2338234314297</v>
      </c>
      <c r="O55" s="11">
        <f t="shared" si="14"/>
        <v>406.12434613358505</v>
      </c>
      <c r="P55" s="11">
        <f t="shared" si="14"/>
        <v>136.53269032235949</v>
      </c>
      <c r="Q55" s="12">
        <f t="shared" si="14"/>
        <v>201.79654503662499</v>
      </c>
      <c r="R55" s="99">
        <f t="shared" si="15"/>
        <v>326.2338234314297</v>
      </c>
      <c r="S55" s="100">
        <f t="shared" si="16"/>
        <v>406.12434613358505</v>
      </c>
      <c r="T55" s="100">
        <f t="shared" si="17"/>
        <v>136.53269032235949</v>
      </c>
      <c r="U55" s="100">
        <f t="shared" si="18"/>
        <v>201.79654503662499</v>
      </c>
      <c r="V55" s="125">
        <f t="shared" si="19"/>
        <v>326.2338234314297</v>
      </c>
      <c r="W55" s="126">
        <f t="shared" si="20"/>
        <v>406.12434613358505</v>
      </c>
      <c r="X55" s="126">
        <f t="shared" si="21"/>
        <v>136.53269032235949</v>
      </c>
      <c r="Y55" s="126">
        <f t="shared" si="22"/>
        <v>201.79654503662499</v>
      </c>
      <c r="Z55" s="127">
        <f t="shared" si="23"/>
        <v>326.2338234314297</v>
      </c>
      <c r="AA55" s="128">
        <f t="shared" si="24"/>
        <v>406.12434613358505</v>
      </c>
      <c r="AB55" s="128">
        <f t="shared" si="25"/>
        <v>136.53269032235949</v>
      </c>
      <c r="AC55" s="129">
        <f t="shared" si="26"/>
        <v>201.79654503662499</v>
      </c>
      <c r="AD55" s="128">
        <f t="shared" si="27"/>
        <v>404.25282583602359</v>
      </c>
      <c r="AE55" s="128">
        <f t="shared" si="28"/>
        <v>404.25282583602359</v>
      </c>
      <c r="AF55" s="128">
        <f t="shared" si="29"/>
        <v>197.01676617704308</v>
      </c>
      <c r="AG55" s="129">
        <f t="shared" si="30"/>
        <v>197.01676617704308</v>
      </c>
      <c r="AH55" s="128">
        <f t="shared" si="31"/>
        <v>404.25282583602359</v>
      </c>
      <c r="AI55" s="128">
        <f t="shared" si="32"/>
        <v>404.25282583602359</v>
      </c>
      <c r="AJ55" s="128">
        <f t="shared" si="33"/>
        <v>197.01676617704308</v>
      </c>
      <c r="AK55" s="128">
        <f t="shared" si="34"/>
        <v>197.01676617704308</v>
      </c>
      <c r="AL55" s="127">
        <f>IF($C55="",AH55,IF(AH54&gt;AH55,SUMPRODUCT(AH54:AH55,F54:F55)/SUM(F54:F55),AH55))</f>
        <v>404.25282583602359</v>
      </c>
      <c r="AM55" s="128">
        <f>IF($C55="",AI55,IF(AI54&gt;AI55,SUMPRODUCT(AI54:AI55,G54:G55)/SUM(G54:G55),AI55))</f>
        <v>404.25282583602359</v>
      </c>
      <c r="AN55" s="128">
        <f>IF($C55="",AJ55,IF(AJ54&gt;AJ55,SUMPRODUCT(AJ54:AJ55,H54:H55)/SUM(H54:H55),AJ55))</f>
        <v>197.01676617704308</v>
      </c>
      <c r="AO55" s="129">
        <f>IF($C55="",AK55,IF(AK54&gt;AK55,SUMPRODUCT(AK54:AK55,I54:I55)/SUM(I54:I55),AK55))</f>
        <v>197.01676617704308</v>
      </c>
      <c r="AP55" s="127">
        <f t="shared" si="35"/>
        <v>404.25282583602359</v>
      </c>
      <c r="AQ55" s="128">
        <f t="shared" si="36"/>
        <v>404.25282583602359</v>
      </c>
      <c r="AR55" s="128">
        <f t="shared" si="37"/>
        <v>197.01676617704308</v>
      </c>
      <c r="AS55" s="129">
        <f t="shared" si="38"/>
        <v>197.01676617704308</v>
      </c>
      <c r="AT55" s="18" t="str">
        <f t="shared" si="49"/>
        <v/>
      </c>
      <c r="AU55" s="19" t="str">
        <f t="shared" si="50"/>
        <v/>
      </c>
      <c r="AV55" s="19" t="str">
        <f t="shared" si="39"/>
        <v/>
      </c>
      <c r="AW55" s="19" t="str">
        <f t="shared" si="40"/>
        <v/>
      </c>
      <c r="AX55" s="19" t="str">
        <f t="shared" si="8"/>
        <v/>
      </c>
      <c r="AY55" s="323" t="str">
        <f t="shared" si="9"/>
        <v/>
      </c>
      <c r="AZ55" s="326">
        <f t="shared" si="10"/>
        <v>404.25282583602359</v>
      </c>
      <c r="BA55" s="323">
        <f t="shared" si="41"/>
        <v>404.25282583602359</v>
      </c>
      <c r="BB55" s="323">
        <f t="shared" si="11"/>
        <v>197.01676617704308</v>
      </c>
      <c r="BC55" s="327">
        <f t="shared" si="51"/>
        <v>197.01676617704308</v>
      </c>
      <c r="BD55" s="18" t="str">
        <f t="shared" si="42"/>
        <v/>
      </c>
      <c r="BE55" s="19" t="str">
        <f t="shared" si="43"/>
        <v/>
      </c>
      <c r="BF55" s="19" t="str">
        <f t="shared" si="44"/>
        <v/>
      </c>
      <c r="BG55" s="19" t="str">
        <f t="shared" si="45"/>
        <v/>
      </c>
      <c r="BH55" s="19" t="str">
        <f t="shared" si="46"/>
        <v/>
      </c>
      <c r="BI55" s="20" t="str">
        <f t="shared" si="47"/>
        <v/>
      </c>
      <c r="BJ55" s="744">
        <f t="shared" si="48"/>
        <v>7964907.9164987672</v>
      </c>
      <c r="BK55" s="321"/>
    </row>
    <row r="56" spans="1:63">
      <c r="A56" s="74">
        <v>370</v>
      </c>
      <c r="B56" s="89" t="s">
        <v>30</v>
      </c>
      <c r="C56" s="74" t="str">
        <f>$A$56&amp;"&amp;"&amp;$A$57</f>
        <v>370&amp;260</v>
      </c>
      <c r="D56" s="93" t="str">
        <f t="shared" si="13"/>
        <v>A</v>
      </c>
      <c r="E56" s="74">
        <f>IF(ISERROR(VLOOKUP(A56,Mandatory!A:A,1,FALSE)),0,1)</f>
        <v>1</v>
      </c>
      <c r="F56" s="75">
        <f>VLOOKUP(A56,'Front-loading'!A:AG,$F$6,FALSE)</f>
        <v>6332</v>
      </c>
      <c r="G56" s="76">
        <f>VLOOKUP(A56,'Front-loading'!A:AG,$G$6,FALSE)</f>
        <v>83939</v>
      </c>
      <c r="H56" s="76">
        <f>VLOOKUP(A56,'Front-loading'!A:AG,$H$6,FALSE)</f>
        <v>36408</v>
      </c>
      <c r="I56" s="77">
        <f>VLOOKUP(A56,'Front-loading'!A:AG,$I$6,FALSE)</f>
        <v>605539</v>
      </c>
      <c r="J56" s="75">
        <f>VLOOKUP(A56,'Front-loading'!A:AG,$J$6,FALSE)</f>
        <v>1578284.7888053879</v>
      </c>
      <c r="K56" s="76">
        <f>VLOOKUP(A56,'Front-loading'!A:AG,$K$6,FALSE)</f>
        <v>19283864.052155469</v>
      </c>
      <c r="L56" s="76">
        <f>VLOOKUP(A56,'Front-loading'!A:AG,$L$6,FALSE)</f>
        <v>4512100.3942740122</v>
      </c>
      <c r="M56" s="77">
        <f>VLOOKUP(A56,'Front-loading'!A:AG,$M$6,FALSE)</f>
        <v>61182941.170562312</v>
      </c>
      <c r="N56" s="78">
        <f t="shared" si="14"/>
        <v>249.25533619794504</v>
      </c>
      <c r="O56" s="79">
        <f t="shared" si="14"/>
        <v>229.73664270667351</v>
      </c>
      <c r="P56" s="79">
        <f t="shared" si="14"/>
        <v>123.93156433404779</v>
      </c>
      <c r="Q56" s="80">
        <f t="shared" si="14"/>
        <v>101.03881198496268</v>
      </c>
      <c r="R56" s="101">
        <f t="shared" si="15"/>
        <v>249.25533619794504</v>
      </c>
      <c r="S56" s="102">
        <f t="shared" si="16"/>
        <v>229.73664270667351</v>
      </c>
      <c r="T56" s="102">
        <f t="shared" si="17"/>
        <v>123.93156433404779</v>
      </c>
      <c r="U56" s="102">
        <f t="shared" si="18"/>
        <v>101.03881198496268</v>
      </c>
      <c r="V56" s="95">
        <f t="shared" si="19"/>
        <v>249.25533619794504</v>
      </c>
      <c r="W56" s="96">
        <f t="shared" si="20"/>
        <v>229.73664270667351</v>
      </c>
      <c r="X56" s="96">
        <f t="shared" si="21"/>
        <v>123.93156433404779</v>
      </c>
      <c r="Y56" s="96">
        <f t="shared" si="22"/>
        <v>101.03881198496268</v>
      </c>
      <c r="Z56" s="60">
        <f t="shared" si="23"/>
        <v>249.25533619794504</v>
      </c>
      <c r="AA56" s="61">
        <f t="shared" si="24"/>
        <v>229.73664270667351</v>
      </c>
      <c r="AB56" s="61">
        <f t="shared" si="25"/>
        <v>123.93156433404779</v>
      </c>
      <c r="AC56" s="108">
        <f t="shared" si="26"/>
        <v>101.03881198496268</v>
      </c>
      <c r="AD56" s="61">
        <f t="shared" si="27"/>
        <v>249.25533619794504</v>
      </c>
      <c r="AE56" s="61">
        <f t="shared" si="28"/>
        <v>229.73664270667351</v>
      </c>
      <c r="AF56" s="61">
        <f t="shared" si="29"/>
        <v>123.93156433404779</v>
      </c>
      <c r="AG56" s="108">
        <f t="shared" si="30"/>
        <v>101.03881198496268</v>
      </c>
      <c r="AH56" s="61">
        <f t="shared" si="31"/>
        <v>249.25533619794504</v>
      </c>
      <c r="AI56" s="61">
        <f t="shared" si="32"/>
        <v>229.73664270667351</v>
      </c>
      <c r="AJ56" s="61">
        <f t="shared" si="33"/>
        <v>123.93156433404779</v>
      </c>
      <c r="AK56" s="61">
        <f t="shared" si="34"/>
        <v>101.03881198496268</v>
      </c>
      <c r="AL56" s="60">
        <f>IF($C56="",AH56,IF(AH56&gt;AH57,SUMPRODUCT(AH56:AH57,F56:F57)/SUM(F56:F57),AH56))</f>
        <v>249.25533619794504</v>
      </c>
      <c r="AM56" s="61">
        <f>IF($C56="",AI56,IF(AI56&gt;AI57,SUMPRODUCT(AI56:AI57,G56:G57)/SUM(G56:G57),AI56))</f>
        <v>229.73664270667351</v>
      </c>
      <c r="AN56" s="61">
        <f>IF($C56="",AJ56,IF(AJ56&gt;AJ57,SUMPRODUCT(AJ56:AJ57,H56:H57)/SUM(H56:H57),AJ56))</f>
        <v>123.93156433404779</v>
      </c>
      <c r="AO56" s="108">
        <f>IF($C56="",AK56,IF(AK56&gt;AK57,SUMPRODUCT(AK56:AK57,I56:I57)/SUM(I56:I57),AK56))</f>
        <v>101.03881198496268</v>
      </c>
      <c r="AP56" s="60">
        <f t="shared" si="35"/>
        <v>249.25533619794504</v>
      </c>
      <c r="AQ56" s="61">
        <f t="shared" si="36"/>
        <v>229.73664270667351</v>
      </c>
      <c r="AR56" s="61">
        <f t="shared" si="37"/>
        <v>123.93156433404779</v>
      </c>
      <c r="AS56" s="108">
        <f t="shared" si="38"/>
        <v>101.03881198496268</v>
      </c>
      <c r="AT56" s="81" t="str">
        <f t="shared" si="49"/>
        <v/>
      </c>
      <c r="AU56" s="82" t="str">
        <f t="shared" si="50"/>
        <v/>
      </c>
      <c r="AV56" s="82" t="str">
        <f t="shared" si="39"/>
        <v/>
      </c>
      <c r="AW56" s="82" t="str">
        <f t="shared" si="40"/>
        <v/>
      </c>
      <c r="AX56" s="82" t="str">
        <f t="shared" si="8"/>
        <v/>
      </c>
      <c r="AY56" s="324" t="str">
        <f t="shared" si="9"/>
        <v/>
      </c>
      <c r="AZ56" s="328">
        <f t="shared" si="10"/>
        <v>249.25533619794504</v>
      </c>
      <c r="BA56" s="324">
        <f t="shared" si="41"/>
        <v>229.73664270667351</v>
      </c>
      <c r="BB56" s="324">
        <f t="shared" si="11"/>
        <v>123.93156433404779</v>
      </c>
      <c r="BC56" s="329">
        <f t="shared" si="51"/>
        <v>101.03881198496268</v>
      </c>
      <c r="BD56" s="288" t="str">
        <f t="shared" si="42"/>
        <v/>
      </c>
      <c r="BE56" s="289" t="str">
        <f t="shared" si="43"/>
        <v/>
      </c>
      <c r="BF56" s="289" t="str">
        <f t="shared" si="44"/>
        <v/>
      </c>
      <c r="BG56" s="289" t="str">
        <f t="shared" si="45"/>
        <v/>
      </c>
      <c r="BH56" s="289" t="str">
        <f t="shared" si="46"/>
        <v/>
      </c>
      <c r="BI56" s="290" t="str">
        <f t="shared" si="47"/>
        <v/>
      </c>
      <c r="BJ56" s="744">
        <f t="shared" si="48"/>
        <v>86557190.405797184</v>
      </c>
      <c r="BK56" s="321"/>
    </row>
    <row r="57" spans="1:63">
      <c r="A57">
        <v>260</v>
      </c>
      <c r="B57" s="88" t="s">
        <v>497</v>
      </c>
      <c r="C57" t="str">
        <f>$A$56&amp;"&amp;"&amp;$A$57</f>
        <v>370&amp;260</v>
      </c>
      <c r="D57" s="62" t="str">
        <f t="shared" si="13"/>
        <v>C</v>
      </c>
      <c r="E57">
        <f>IF(ISERROR(VLOOKUP(A57,Mandatory!A:A,1,FALSE)),0,1)</f>
        <v>0</v>
      </c>
      <c r="F57" s="54">
        <f>VLOOKUP(A57,'Front-loading'!A:AG,$F$6,FALSE)</f>
        <v>226</v>
      </c>
      <c r="G57" s="55">
        <f>VLOOKUP(A57,'Front-loading'!A:AG,$G$6,FALSE)</f>
        <v>2135</v>
      </c>
      <c r="H57" s="55">
        <f>VLOOKUP(A57,'Front-loading'!A:AG,$H$6,FALSE)</f>
        <v>2390</v>
      </c>
      <c r="I57" s="56">
        <f>VLOOKUP(A57,'Front-loading'!A:AG,$I$6,FALSE)</f>
        <v>30863</v>
      </c>
      <c r="J57" s="54">
        <f>VLOOKUP(A57,'Front-loading'!A:AG,$J$6,FALSE)</f>
        <v>98361.868582918047</v>
      </c>
      <c r="K57" s="55">
        <f>VLOOKUP(A57,'Front-loading'!A:AG,$K$6,FALSE)</f>
        <v>960233.28452686546</v>
      </c>
      <c r="L57" s="55">
        <f>VLOOKUP(A57,'Front-loading'!A:AG,$L$6,FALSE)</f>
        <v>558581.48971273983</v>
      </c>
      <c r="M57" s="56">
        <f>VLOOKUP(A57,'Front-loading'!A:AG,$M$6,FALSE)</f>
        <v>6436847.5562226018</v>
      </c>
      <c r="N57" s="15">
        <f t="shared" si="14"/>
        <v>435.22950700406216</v>
      </c>
      <c r="O57" s="11">
        <f t="shared" si="14"/>
        <v>449.75797870110796</v>
      </c>
      <c r="P57" s="11">
        <f t="shared" si="14"/>
        <v>233.71610448231792</v>
      </c>
      <c r="Q57" s="12">
        <f t="shared" si="14"/>
        <v>208.56195302538967</v>
      </c>
      <c r="R57" s="99">
        <f t="shared" si="15"/>
        <v>435.22950700406216</v>
      </c>
      <c r="S57" s="100">
        <f t="shared" si="16"/>
        <v>449.75797870110796</v>
      </c>
      <c r="T57" s="100">
        <f t="shared" si="17"/>
        <v>233.71610448231792</v>
      </c>
      <c r="U57" s="100">
        <f t="shared" si="18"/>
        <v>208.56195302538967</v>
      </c>
      <c r="V57" s="125">
        <f t="shared" si="19"/>
        <v>435.22950700406216</v>
      </c>
      <c r="W57" s="126">
        <f t="shared" si="20"/>
        <v>449.75797870110796</v>
      </c>
      <c r="X57" s="126">
        <f t="shared" si="21"/>
        <v>233.71610448231792</v>
      </c>
      <c r="Y57" s="126">
        <f t="shared" si="22"/>
        <v>208.56195302538967</v>
      </c>
      <c r="Z57" s="127">
        <f t="shared" si="23"/>
        <v>435.22950700406216</v>
      </c>
      <c r="AA57" s="128">
        <f t="shared" si="24"/>
        <v>449.75797870110796</v>
      </c>
      <c r="AB57" s="128">
        <f t="shared" si="25"/>
        <v>233.71610448231792</v>
      </c>
      <c r="AC57" s="129">
        <f t="shared" si="26"/>
        <v>208.56195302538967</v>
      </c>
      <c r="AD57" s="128">
        <f t="shared" si="27"/>
        <v>448.3672821303615</v>
      </c>
      <c r="AE57" s="128">
        <f t="shared" si="28"/>
        <v>448.3672821303615</v>
      </c>
      <c r="AF57" s="128">
        <f t="shared" si="29"/>
        <v>233.71610448231792</v>
      </c>
      <c r="AG57" s="129">
        <f t="shared" si="30"/>
        <v>208.56195302538967</v>
      </c>
      <c r="AH57" s="128">
        <f t="shared" si="31"/>
        <v>448.3672821303615</v>
      </c>
      <c r="AI57" s="128">
        <f t="shared" si="32"/>
        <v>448.3672821303615</v>
      </c>
      <c r="AJ57" s="128">
        <f t="shared" si="33"/>
        <v>233.71610448231792</v>
      </c>
      <c r="AK57" s="128">
        <f t="shared" si="34"/>
        <v>208.56195302538967</v>
      </c>
      <c r="AL57" s="127">
        <f>IF($C57="",AH57,IF(AH56&gt;AH57,SUMPRODUCT(AH56:AH57,F56:F57)/SUM(F56:F57),AH57))</f>
        <v>448.3672821303615</v>
      </c>
      <c r="AM57" s="128">
        <f>IF($C57="",AI57,IF(AI56&gt;AI57,SUMPRODUCT(AI56:AI57,G56:G57)/SUM(G56:G57),AI57))</f>
        <v>448.3672821303615</v>
      </c>
      <c r="AN57" s="128">
        <f>IF($C57="",AJ57,IF(AJ56&gt;AJ57,SUMPRODUCT(AJ56:AJ57,H56:H57)/SUM(H56:H57),AJ57))</f>
        <v>233.71610448231792</v>
      </c>
      <c r="AO57" s="129">
        <f>IF($C57="",AK57,IF(AK56&gt;AK57,SUMPRODUCT(AK56:AK57,I56:I57)/SUM(I56:I57),AK57))</f>
        <v>208.56195302538967</v>
      </c>
      <c r="AP57" s="127">
        <f t="shared" si="35"/>
        <v>448.3672821303615</v>
      </c>
      <c r="AQ57" s="128">
        <f t="shared" si="36"/>
        <v>448.3672821303615</v>
      </c>
      <c r="AR57" s="128">
        <f t="shared" si="37"/>
        <v>233.71610448231792</v>
      </c>
      <c r="AS57" s="129">
        <f t="shared" si="38"/>
        <v>208.56195302538967</v>
      </c>
      <c r="AT57" s="18" t="str">
        <f t="shared" si="49"/>
        <v/>
      </c>
      <c r="AU57" s="19" t="str">
        <f t="shared" si="50"/>
        <v/>
      </c>
      <c r="AV57" s="19" t="str">
        <f t="shared" si="39"/>
        <v/>
      </c>
      <c r="AW57" s="19" t="str">
        <f t="shared" si="40"/>
        <v/>
      </c>
      <c r="AX57" s="19" t="str">
        <f t="shared" si="8"/>
        <v/>
      </c>
      <c r="AY57" s="323" t="str">
        <f t="shared" si="9"/>
        <v/>
      </c>
      <c r="AZ57" s="326">
        <f t="shared" si="10"/>
        <v>448.3672821303615</v>
      </c>
      <c r="BA57" s="323">
        <f t="shared" si="41"/>
        <v>448.3672821303615</v>
      </c>
      <c r="BB57" s="323">
        <f t="shared" si="11"/>
        <v>233.71610448231792</v>
      </c>
      <c r="BC57" s="327">
        <f t="shared" si="51"/>
        <v>208.56195302538967</v>
      </c>
      <c r="BD57" s="18" t="str">
        <f t="shared" si="42"/>
        <v/>
      </c>
      <c r="BE57" s="19" t="str">
        <f t="shared" si="43"/>
        <v/>
      </c>
      <c r="BF57" s="19" t="str">
        <f t="shared" si="44"/>
        <v/>
      </c>
      <c r="BG57" s="19" t="str">
        <f t="shared" si="45"/>
        <v/>
      </c>
      <c r="BH57" s="19" t="str">
        <f t="shared" si="46"/>
        <v/>
      </c>
      <c r="BI57" s="20" t="str">
        <f t="shared" si="47"/>
        <v/>
      </c>
      <c r="BJ57" s="744">
        <f t="shared" si="48"/>
        <v>8054024.1990451254</v>
      </c>
      <c r="BK57" s="321"/>
    </row>
    <row r="58" spans="1:63">
      <c r="A58" s="74">
        <v>400</v>
      </c>
      <c r="B58" s="89" t="s">
        <v>474</v>
      </c>
      <c r="C58" s="74" t="str">
        <f>$A$58&amp;"&amp;"&amp;$A$59</f>
        <v>400&amp;421</v>
      </c>
      <c r="D58" s="93" t="str">
        <f t="shared" si="13"/>
        <v>A</v>
      </c>
      <c r="E58" s="74">
        <f>IF(ISERROR(VLOOKUP(A58,Mandatory!A:A,1,FALSE)),0,1)</f>
        <v>0</v>
      </c>
      <c r="F58" s="75">
        <f>VLOOKUP(A58,'Front-loading'!A:AG,$F$6,FALSE)</f>
        <v>2313</v>
      </c>
      <c r="G58" s="76">
        <f>VLOOKUP(A58,'Front-loading'!A:AG,$G$6,FALSE)</f>
        <v>398898</v>
      </c>
      <c r="H58" s="76">
        <f>VLOOKUP(A58,'Front-loading'!A:AG,$H$6,FALSE)</f>
        <v>7354</v>
      </c>
      <c r="I58" s="77">
        <f>VLOOKUP(A58,'Front-loading'!A:AG,$I$6,FALSE)</f>
        <v>573589</v>
      </c>
      <c r="J58" s="75">
        <f>VLOOKUP(A58,'Front-loading'!A:AG,$J$6,FALSE)</f>
        <v>787088.96702916303</v>
      </c>
      <c r="K58" s="76">
        <f>VLOOKUP(A58,'Front-loading'!A:AG,$K$6,FALSE)</f>
        <v>81777644.188789278</v>
      </c>
      <c r="L58" s="76">
        <f>VLOOKUP(A58,'Front-loading'!A:AG,$L$6,FALSE)</f>
        <v>1037424.619345725</v>
      </c>
      <c r="M58" s="77">
        <f>VLOOKUP(A58,'Front-loading'!A:AG,$M$6,FALSE)</f>
        <v>69056696.362744197</v>
      </c>
      <c r="N58" s="78">
        <f t="shared" si="14"/>
        <v>340.2892205054747</v>
      </c>
      <c r="O58" s="79">
        <f t="shared" si="14"/>
        <v>205.00891001907576</v>
      </c>
      <c r="P58" s="79">
        <f t="shared" si="14"/>
        <v>141.06943423248913</v>
      </c>
      <c r="Q58" s="80">
        <f t="shared" si="14"/>
        <v>120.39403887233576</v>
      </c>
      <c r="R58" s="101">
        <f t="shared" si="15"/>
        <v>340.2892205054747</v>
      </c>
      <c r="S58" s="102">
        <f t="shared" si="16"/>
        <v>205.00891001907576</v>
      </c>
      <c r="T58" s="102">
        <f t="shared" si="17"/>
        <v>141.06943423248913</v>
      </c>
      <c r="U58" s="102">
        <f t="shared" si="18"/>
        <v>120.39403887233576</v>
      </c>
      <c r="V58" s="95">
        <f t="shared" si="19"/>
        <v>340.2892205054747</v>
      </c>
      <c r="W58" s="96">
        <f t="shared" si="20"/>
        <v>205.00891001907576</v>
      </c>
      <c r="X58" s="96">
        <f t="shared" si="21"/>
        <v>141.06943423248913</v>
      </c>
      <c r="Y58" s="96">
        <f t="shared" si="22"/>
        <v>120.39403887233576</v>
      </c>
      <c r="Z58" s="60">
        <f t="shared" si="23"/>
        <v>340.2892205054747</v>
      </c>
      <c r="AA58" s="61">
        <f t="shared" si="24"/>
        <v>205.00891001907576</v>
      </c>
      <c r="AB58" s="61">
        <f t="shared" si="25"/>
        <v>141.06943423248913</v>
      </c>
      <c r="AC58" s="108">
        <f t="shared" si="26"/>
        <v>120.39403887233576</v>
      </c>
      <c r="AD58" s="61">
        <f t="shared" si="27"/>
        <v>340.2892205054747</v>
      </c>
      <c r="AE58" s="61">
        <f t="shared" si="28"/>
        <v>205.00891001907576</v>
      </c>
      <c r="AF58" s="61">
        <f t="shared" si="29"/>
        <v>141.06943423248913</v>
      </c>
      <c r="AG58" s="108">
        <f t="shared" si="30"/>
        <v>120.39403887233576</v>
      </c>
      <c r="AH58" s="61">
        <f t="shared" si="31"/>
        <v>340.2892205054747</v>
      </c>
      <c r="AI58" s="61">
        <f t="shared" si="32"/>
        <v>205.00891001907576</v>
      </c>
      <c r="AJ58" s="61">
        <f t="shared" si="33"/>
        <v>141.06943423248913</v>
      </c>
      <c r="AK58" s="61">
        <f t="shared" si="34"/>
        <v>120.39403887233576</v>
      </c>
      <c r="AL58" s="60">
        <f>IF($C58="",AH58,IF(AH58&gt;AH59,SUMPRODUCT(AH58:AH59,F58:F59)/SUM(F58:F59),AH58))</f>
        <v>340.2892205054747</v>
      </c>
      <c r="AM58" s="61">
        <f>IF($C58="",AI58,IF(AI58&gt;AI59,SUMPRODUCT(AI58:AI59,G58:G59)/SUM(G58:G59),AI58))</f>
        <v>205.00891001907576</v>
      </c>
      <c r="AN58" s="61">
        <f>IF($C58="",AJ58,IF(AJ58&gt;AJ59,SUMPRODUCT(AJ58:AJ59,H58:H59)/SUM(H58:H59),AJ58))</f>
        <v>141.06943423248913</v>
      </c>
      <c r="AO58" s="108">
        <f>IF($C58="",AK58,IF(AK58&gt;AK59,SUMPRODUCT(AK58:AK59,I58:I59)/SUM(I58:I59),AK58))</f>
        <v>120.39403887233576</v>
      </c>
      <c r="AP58" s="60">
        <f t="shared" si="35"/>
        <v>340.2892205054747</v>
      </c>
      <c r="AQ58" s="61">
        <f t="shared" si="36"/>
        <v>205.00891001907576</v>
      </c>
      <c r="AR58" s="61">
        <f t="shared" si="37"/>
        <v>141.06943423248913</v>
      </c>
      <c r="AS58" s="108">
        <f t="shared" si="38"/>
        <v>120.39403887233576</v>
      </c>
      <c r="AT58" s="81" t="str">
        <f t="shared" si="49"/>
        <v/>
      </c>
      <c r="AU58" s="82" t="str">
        <f t="shared" si="50"/>
        <v/>
      </c>
      <c r="AV58" s="82" t="str">
        <f t="shared" si="39"/>
        <v/>
      </c>
      <c r="AW58" s="82" t="str">
        <f t="shared" si="40"/>
        <v/>
      </c>
      <c r="AX58" s="82" t="str">
        <f t="shared" si="8"/>
        <v/>
      </c>
      <c r="AY58" s="324" t="str">
        <f t="shared" si="9"/>
        <v/>
      </c>
      <c r="AZ58" s="328">
        <f t="shared" si="10"/>
        <v>340.2892205054747</v>
      </c>
      <c r="BA58" s="324">
        <f t="shared" si="41"/>
        <v>205.00891001907576</v>
      </c>
      <c r="BB58" s="324">
        <f t="shared" si="11"/>
        <v>141.06943423248913</v>
      </c>
      <c r="BC58" s="329">
        <f t="shared" si="51"/>
        <v>120.39403887233576</v>
      </c>
      <c r="BD58" s="288" t="str">
        <f t="shared" si="42"/>
        <v/>
      </c>
      <c r="BE58" s="289" t="str">
        <f t="shared" si="43"/>
        <v/>
      </c>
      <c r="BF58" s="289" t="str">
        <f t="shared" si="44"/>
        <v/>
      </c>
      <c r="BG58" s="289" t="str">
        <f t="shared" si="45"/>
        <v/>
      </c>
      <c r="BH58" s="289" t="str">
        <f t="shared" si="46"/>
        <v/>
      </c>
      <c r="BI58" s="290" t="str">
        <f t="shared" si="47"/>
        <v/>
      </c>
      <c r="BJ58" s="744">
        <f t="shared" si="48"/>
        <v>152658854.13790837</v>
      </c>
      <c r="BK58" s="321"/>
    </row>
    <row r="59" spans="1:63">
      <c r="A59">
        <v>421</v>
      </c>
      <c r="B59" s="88" t="s">
        <v>476</v>
      </c>
      <c r="C59" t="str">
        <f>$A$58&amp;"&amp;"&amp;$A$59</f>
        <v>400&amp;421</v>
      </c>
      <c r="D59" s="62" t="str">
        <f t="shared" si="13"/>
        <v>C</v>
      </c>
      <c r="E59">
        <f>IF(ISERROR(VLOOKUP(A59,Mandatory!A:A,1,FALSE)),0,1)</f>
        <v>0</v>
      </c>
      <c r="F59" s="54">
        <f>VLOOKUP(A59,'Front-loading'!A:AG,$F$6,FALSE)</f>
        <v>1083</v>
      </c>
      <c r="G59" s="55">
        <f>VLOOKUP(A59,'Front-loading'!A:AG,$G$6,FALSE)</f>
        <v>16512</v>
      </c>
      <c r="H59" s="55">
        <f>VLOOKUP(A59,'Front-loading'!A:AG,$H$6,FALSE)</f>
        <v>3012</v>
      </c>
      <c r="I59" s="56">
        <f>VLOOKUP(A59,'Front-loading'!A:AG,$I$6,FALSE)</f>
        <v>37696</v>
      </c>
      <c r="J59" s="54">
        <f>VLOOKUP(A59,'Front-loading'!A:AG,$J$6,FALSE)</f>
        <v>395476.60175348877</v>
      </c>
      <c r="K59" s="55">
        <f>VLOOKUP(A59,'Front-loading'!A:AG,$K$6,FALSE)</f>
        <v>6683904.3985001761</v>
      </c>
      <c r="L59" s="55">
        <f>VLOOKUP(A59,'Front-loading'!A:AG,$L$6,FALSE)</f>
        <v>646615.79258988425</v>
      </c>
      <c r="M59" s="56">
        <f>VLOOKUP(A59,'Front-loading'!A:AG,$M$6,FALSE)</f>
        <v>8662701.7931393925</v>
      </c>
      <c r="N59" s="15">
        <f t="shared" si="14"/>
        <v>365.16768398290742</v>
      </c>
      <c r="O59" s="11">
        <f t="shared" si="14"/>
        <v>404.79072180839245</v>
      </c>
      <c r="P59" s="11">
        <f t="shared" si="14"/>
        <v>214.67987801788985</v>
      </c>
      <c r="Q59" s="12">
        <f t="shared" si="14"/>
        <v>229.80427082818846</v>
      </c>
      <c r="R59" s="99">
        <f t="shared" si="15"/>
        <v>365.16768398290742</v>
      </c>
      <c r="S59" s="100">
        <f t="shared" si="16"/>
        <v>404.79072180839245</v>
      </c>
      <c r="T59" s="100">
        <f t="shared" si="17"/>
        <v>214.67987801788985</v>
      </c>
      <c r="U59" s="100">
        <f t="shared" si="18"/>
        <v>229.80427082818846</v>
      </c>
      <c r="V59" s="125">
        <f t="shared" si="19"/>
        <v>365.16768398290742</v>
      </c>
      <c r="W59" s="126">
        <f t="shared" si="20"/>
        <v>404.79072180839245</v>
      </c>
      <c r="X59" s="126">
        <f t="shared" si="21"/>
        <v>214.67987801788985</v>
      </c>
      <c r="Y59" s="126">
        <f t="shared" si="22"/>
        <v>229.80427082818846</v>
      </c>
      <c r="Z59" s="127">
        <f t="shared" si="23"/>
        <v>365.16768398290742</v>
      </c>
      <c r="AA59" s="128">
        <f t="shared" si="24"/>
        <v>404.79072180839245</v>
      </c>
      <c r="AB59" s="128">
        <f t="shared" si="25"/>
        <v>214.67987801788985</v>
      </c>
      <c r="AC59" s="129">
        <f t="shared" si="26"/>
        <v>229.80427082818846</v>
      </c>
      <c r="AD59" s="128">
        <f t="shared" si="27"/>
        <v>402.35186133865676</v>
      </c>
      <c r="AE59" s="128">
        <f t="shared" si="28"/>
        <v>402.35186133865676</v>
      </c>
      <c r="AF59" s="128">
        <f t="shared" si="29"/>
        <v>228.68521140142667</v>
      </c>
      <c r="AG59" s="129">
        <f t="shared" si="30"/>
        <v>228.68521140142667</v>
      </c>
      <c r="AH59" s="128">
        <f t="shared" si="31"/>
        <v>402.35186133865676</v>
      </c>
      <c r="AI59" s="128">
        <f t="shared" si="32"/>
        <v>402.35186133865676</v>
      </c>
      <c r="AJ59" s="128">
        <f t="shared" si="33"/>
        <v>228.68521140142667</v>
      </c>
      <c r="AK59" s="128">
        <f t="shared" si="34"/>
        <v>228.68521140142667</v>
      </c>
      <c r="AL59" s="127">
        <f>IF($C59="",AH59,IF(AH58&gt;AH59,SUMPRODUCT(AH58:AH59,F58:F59)/SUM(F58:F59),AH59))</f>
        <v>402.35186133865676</v>
      </c>
      <c r="AM59" s="128">
        <f>IF($C59="",AI59,IF(AI58&gt;AI59,SUMPRODUCT(AI58:AI59,G58:G59)/SUM(G58:G59),AI59))</f>
        <v>402.35186133865676</v>
      </c>
      <c r="AN59" s="128">
        <f>IF($C59="",AJ59,IF(AJ58&gt;AJ59,SUMPRODUCT(AJ58:AJ59,H58:H59)/SUM(H58:H59),AJ59))</f>
        <v>228.68521140142667</v>
      </c>
      <c r="AO59" s="129">
        <f>IF($C59="",AK59,IF(AK58&gt;AK59,SUMPRODUCT(AK58:AK59,I58:I59)/SUM(I58:I59),AK59))</f>
        <v>228.68521140142667</v>
      </c>
      <c r="AP59" s="127">
        <f t="shared" si="35"/>
        <v>402.35186133865676</v>
      </c>
      <c r="AQ59" s="128">
        <f t="shared" si="36"/>
        <v>402.35186133865676</v>
      </c>
      <c r="AR59" s="128">
        <f t="shared" si="37"/>
        <v>228.68521140142667</v>
      </c>
      <c r="AS59" s="129">
        <f t="shared" si="38"/>
        <v>228.68521140142667</v>
      </c>
      <c r="AT59" s="18" t="str">
        <f t="shared" si="49"/>
        <v/>
      </c>
      <c r="AU59" s="19" t="str">
        <f t="shared" si="50"/>
        <v/>
      </c>
      <c r="AV59" s="19" t="str">
        <f t="shared" si="39"/>
        <v/>
      </c>
      <c r="AW59" s="19" t="str">
        <f t="shared" si="40"/>
        <v/>
      </c>
      <c r="AX59" s="19" t="str">
        <f t="shared" si="8"/>
        <v/>
      </c>
      <c r="AY59" s="323" t="str">
        <f t="shared" si="9"/>
        <v/>
      </c>
      <c r="AZ59" s="326">
        <f t="shared" si="10"/>
        <v>402.35186133865676</v>
      </c>
      <c r="BA59" s="323">
        <f t="shared" si="41"/>
        <v>402.35186133865676</v>
      </c>
      <c r="BB59" s="323">
        <f t="shared" si="11"/>
        <v>228.68521140142667</v>
      </c>
      <c r="BC59" s="327">
        <f t="shared" si="51"/>
        <v>228.68521140142667</v>
      </c>
      <c r="BD59" s="18" t="str">
        <f t="shared" si="42"/>
        <v/>
      </c>
      <c r="BE59" s="19" t="str">
        <f t="shared" si="43"/>
        <v/>
      </c>
      <c r="BF59" s="19" t="str">
        <f t="shared" si="44"/>
        <v/>
      </c>
      <c r="BG59" s="19" t="str">
        <f t="shared" si="45"/>
        <v/>
      </c>
      <c r="BH59" s="19" t="str">
        <f t="shared" si="46"/>
        <v/>
      </c>
      <c r="BI59" s="20" t="str">
        <f t="shared" si="47"/>
        <v/>
      </c>
      <c r="BJ59" s="744">
        <f t="shared" si="48"/>
        <v>16388698.585982941</v>
      </c>
      <c r="BK59" s="321"/>
    </row>
    <row r="60" spans="1:63">
      <c r="A60" s="74">
        <v>401</v>
      </c>
      <c r="B60" s="89" t="s">
        <v>475</v>
      </c>
      <c r="C60" s="74" t="str">
        <f>$A$60&amp;"&amp;"&amp;$A$61</f>
        <v>401&amp;291</v>
      </c>
      <c r="D60" s="93" t="str">
        <f t="shared" si="13"/>
        <v>A</v>
      </c>
      <c r="E60" s="74">
        <f>IF(ISERROR(VLOOKUP(A60,Mandatory!A:A,1,FALSE)),0,1)</f>
        <v>0</v>
      </c>
      <c r="F60" s="75">
        <f>VLOOKUP(A60,'Front-loading'!A:AG,$F$6,FALSE)</f>
        <v>706</v>
      </c>
      <c r="G60" s="76">
        <f>VLOOKUP(A60,'Front-loading'!A:AG,$G$6,FALSE)</f>
        <v>63104</v>
      </c>
      <c r="H60" s="76">
        <f>VLOOKUP(A60,'Front-loading'!A:AG,$H$6,FALSE)</f>
        <v>60</v>
      </c>
      <c r="I60" s="77">
        <f>VLOOKUP(A60,'Front-loading'!A:AG,$I$6,FALSE)</f>
        <v>4631</v>
      </c>
      <c r="J60" s="75">
        <f>VLOOKUP(A60,'Front-loading'!A:AG,$J$6,FALSE)</f>
        <v>363900.89102496923</v>
      </c>
      <c r="K60" s="76">
        <f>VLOOKUP(A60,'Front-loading'!A:AG,$K$6,FALSE)</f>
        <v>10060037.552559312</v>
      </c>
      <c r="L60" s="76">
        <f>VLOOKUP(A60,'Front-loading'!A:AG,$L$6,FALSE)</f>
        <v>12593.180410868519</v>
      </c>
      <c r="M60" s="77">
        <f>VLOOKUP(A60,'Front-loading'!A:AG,$M$6,FALSE)</f>
        <v>661998.26074132358</v>
      </c>
      <c r="N60" s="78">
        <f t="shared" si="14"/>
        <v>515.44035555944652</v>
      </c>
      <c r="O60" s="79">
        <f t="shared" si="14"/>
        <v>159.41996628675381</v>
      </c>
      <c r="P60" s="79">
        <f t="shared" si="14"/>
        <v>209.88634018114197</v>
      </c>
      <c r="Q60" s="80">
        <f t="shared" si="14"/>
        <v>142.949311323974</v>
      </c>
      <c r="R60" s="101">
        <f t="shared" si="15"/>
        <v>515.44035555944652</v>
      </c>
      <c r="S60" s="102">
        <f t="shared" si="16"/>
        <v>159.41996628675381</v>
      </c>
      <c r="T60" s="102">
        <f t="shared" si="17"/>
        <v>209.88634018114197</v>
      </c>
      <c r="U60" s="102">
        <f t="shared" si="18"/>
        <v>142.949311323974</v>
      </c>
      <c r="V60" s="95">
        <f t="shared" si="19"/>
        <v>515.44035555944652</v>
      </c>
      <c r="W60" s="96">
        <f t="shared" si="20"/>
        <v>159.41996628675381</v>
      </c>
      <c r="X60" s="96">
        <f t="shared" si="21"/>
        <v>209.88634018114197</v>
      </c>
      <c r="Y60" s="96">
        <f t="shared" si="22"/>
        <v>142.949311323974</v>
      </c>
      <c r="Z60" s="60">
        <f t="shared" si="23"/>
        <v>515.44035555944652</v>
      </c>
      <c r="AA60" s="61">
        <f t="shared" si="24"/>
        <v>159.41996628675381</v>
      </c>
      <c r="AB60" s="61">
        <f t="shared" si="25"/>
        <v>209.88634018114197</v>
      </c>
      <c r="AC60" s="108">
        <f t="shared" si="26"/>
        <v>142.949311323974</v>
      </c>
      <c r="AD60" s="61">
        <f t="shared" si="27"/>
        <v>515.44035555944652</v>
      </c>
      <c r="AE60" s="61">
        <f t="shared" si="28"/>
        <v>159.41996628675381</v>
      </c>
      <c r="AF60" s="61">
        <f t="shared" si="29"/>
        <v>209.88634018114197</v>
      </c>
      <c r="AG60" s="108">
        <f t="shared" si="30"/>
        <v>142.949311323974</v>
      </c>
      <c r="AH60" s="61">
        <f t="shared" si="31"/>
        <v>323.14273803658881</v>
      </c>
      <c r="AI60" s="61">
        <f t="shared" si="32"/>
        <v>161.5713690182944</v>
      </c>
      <c r="AJ60" s="61">
        <f t="shared" si="33"/>
        <v>209.88634018114197</v>
      </c>
      <c r="AK60" s="61">
        <f t="shared" si="34"/>
        <v>142.949311323974</v>
      </c>
      <c r="AL60" s="60">
        <f>IF($C60="",AH60,IF(AH60&gt;AH61,SUMPRODUCT(AH60:AH61,F60:F61)/SUM(F60:F61),AH60))</f>
        <v>323.14273803658881</v>
      </c>
      <c r="AM60" s="61">
        <f>IF($C60="",AI60,IF(AI60&gt;AI61,SUMPRODUCT(AI60:AI61,G60:G61)/SUM(G60:G61),AI60))</f>
        <v>161.5713690182944</v>
      </c>
      <c r="AN60" s="61">
        <f>IF($C60="",AJ60,IF(AJ60&gt;AJ61,SUMPRODUCT(AJ60:AJ61,H60:H61)/SUM(H60:H61),AJ60))</f>
        <v>209.88634018114197</v>
      </c>
      <c r="AO60" s="108">
        <f>IF($C60="",AK60,IF(AK60&gt;AK61,SUMPRODUCT(AK60:AK61,I60:I61)/SUM(I60:I61),AK60))</f>
        <v>142.949311323974</v>
      </c>
      <c r="AP60" s="60">
        <f t="shared" si="35"/>
        <v>323.14273803658881</v>
      </c>
      <c r="AQ60" s="61">
        <f t="shared" si="36"/>
        <v>161.5713690182944</v>
      </c>
      <c r="AR60" s="61">
        <f t="shared" si="37"/>
        <v>209.88634018114197</v>
      </c>
      <c r="AS60" s="108">
        <f t="shared" si="38"/>
        <v>142.949311323974</v>
      </c>
      <c r="AT60" s="81" t="str">
        <f t="shared" si="49"/>
        <v/>
      </c>
      <c r="AU60" s="82" t="str">
        <f t="shared" si="50"/>
        <v/>
      </c>
      <c r="AV60" s="82" t="str">
        <f t="shared" si="39"/>
        <v/>
      </c>
      <c r="AW60" s="82" t="str">
        <f t="shared" si="40"/>
        <v/>
      </c>
      <c r="AX60" s="324" t="str">
        <f>IF(AP60&gt;2*AQ60,2*AQ60,"")</f>
        <v/>
      </c>
      <c r="AY60" s="324" t="str">
        <f t="shared" si="9"/>
        <v/>
      </c>
      <c r="AZ60" s="328">
        <f>IF(AX60="",AP60,AX60)</f>
        <v>323.14273803658881</v>
      </c>
      <c r="BA60" s="324">
        <f t="shared" si="41"/>
        <v>161.5713690182944</v>
      </c>
      <c r="BB60" s="324">
        <f t="shared" si="11"/>
        <v>209.88634018114197</v>
      </c>
      <c r="BC60" s="329">
        <f t="shared" si="51"/>
        <v>142.949311323974</v>
      </c>
      <c r="BD60" s="332" t="str">
        <f t="shared" si="42"/>
        <v/>
      </c>
      <c r="BE60" s="333" t="str">
        <f t="shared" si="43"/>
        <v/>
      </c>
      <c r="BF60" s="333" t="str">
        <f t="shared" si="44"/>
        <v/>
      </c>
      <c r="BG60" s="333" t="str">
        <f t="shared" si="45"/>
        <v/>
      </c>
      <c r="BH60" s="333" t="str">
        <f t="shared" si="46"/>
        <v/>
      </c>
      <c r="BI60" s="334" t="str">
        <f t="shared" si="47"/>
        <v/>
      </c>
      <c r="BJ60" s="744">
        <f t="shared" si="48"/>
        <v>11098529.884736475</v>
      </c>
      <c r="BK60" s="321"/>
    </row>
    <row r="61" spans="1:63">
      <c r="A61">
        <v>291</v>
      </c>
      <c r="B61" s="88" t="s">
        <v>500</v>
      </c>
      <c r="C61" s="83" t="str">
        <f>$A$60&amp;"&amp;"&amp;$A$61</f>
        <v>401&amp;291</v>
      </c>
      <c r="D61" s="62" t="str">
        <f t="shared" si="13"/>
        <v>C</v>
      </c>
      <c r="E61">
        <f>IF(ISERROR(VLOOKUP(A61,Mandatory!A:A,1,FALSE)),0,1)</f>
        <v>0</v>
      </c>
      <c r="F61" s="54">
        <f>VLOOKUP(A61,'Front-loading'!A:AG,$F$6,FALSE)</f>
        <v>514</v>
      </c>
      <c r="G61" s="55">
        <f>VLOOKUP(A61,'Front-loading'!A:AG,$G$6,FALSE)</f>
        <v>17723</v>
      </c>
      <c r="H61" s="55">
        <f>VLOOKUP(A61,'Front-loading'!A:AG,$H$6,FALSE)</f>
        <v>1596</v>
      </c>
      <c r="I61" s="56">
        <f>VLOOKUP(A61,'Front-loading'!A:AG,$I$6,FALSE)</f>
        <v>34655</v>
      </c>
      <c r="J61" s="54">
        <f>VLOOKUP(A61,'Front-loading'!A:AG,$J$6,FALSE)</f>
        <v>882203.48653750401</v>
      </c>
      <c r="K61" s="55">
        <f>VLOOKUP(A61,'Front-loading'!A:AG,$K$6,FALSE)</f>
        <v>8243816.2303346023</v>
      </c>
      <c r="L61" s="55">
        <f>VLOOKUP(A61,'Front-loading'!A:AG,$L$6,FALSE)</f>
        <v>1069201.8884137592</v>
      </c>
      <c r="M61" s="56">
        <f>VLOOKUP(A61,'Front-loading'!A:AG,$M$6,FALSE)</f>
        <v>8868542.079783177</v>
      </c>
      <c r="N61" s="15">
        <f t="shared" si="14"/>
        <v>1716.3491955982568</v>
      </c>
      <c r="O61" s="11">
        <f t="shared" si="14"/>
        <v>465.14789992295897</v>
      </c>
      <c r="P61" s="11">
        <f t="shared" si="14"/>
        <v>669.9259952467163</v>
      </c>
      <c r="Q61" s="12">
        <f t="shared" si="14"/>
        <v>255.90945259798519</v>
      </c>
      <c r="R61" s="99">
        <f t="shared" si="15"/>
        <v>1716.3491955982568</v>
      </c>
      <c r="S61" s="100">
        <f t="shared" si="16"/>
        <v>465.14789992295897</v>
      </c>
      <c r="T61" s="100">
        <f t="shared" si="17"/>
        <v>669.9259952467163</v>
      </c>
      <c r="U61" s="100">
        <f t="shared" si="18"/>
        <v>255.90945259798519</v>
      </c>
      <c r="V61" s="125">
        <f t="shared" si="19"/>
        <v>1716.3491955982568</v>
      </c>
      <c r="W61" s="126">
        <f t="shared" si="20"/>
        <v>465.14789992295897</v>
      </c>
      <c r="X61" s="126">
        <f t="shared" si="21"/>
        <v>669.9259952467163</v>
      </c>
      <c r="Y61" s="126">
        <f t="shared" si="22"/>
        <v>255.90945259798519</v>
      </c>
      <c r="Z61" s="127">
        <f t="shared" si="23"/>
        <v>1716.3491955982568</v>
      </c>
      <c r="AA61" s="128">
        <f t="shared" si="24"/>
        <v>465.14789992295897</v>
      </c>
      <c r="AB61" s="128">
        <f t="shared" si="25"/>
        <v>669.9259952467163</v>
      </c>
      <c r="AC61" s="129">
        <f t="shared" si="26"/>
        <v>255.90945259798519</v>
      </c>
      <c r="AD61" s="128">
        <f t="shared" si="27"/>
        <v>1716.3491955982568</v>
      </c>
      <c r="AE61" s="128">
        <f t="shared" si="28"/>
        <v>465.14789992295897</v>
      </c>
      <c r="AF61" s="128">
        <f t="shared" si="29"/>
        <v>669.9259952467163</v>
      </c>
      <c r="AG61" s="129">
        <f t="shared" si="30"/>
        <v>255.90945259798519</v>
      </c>
      <c r="AH61" s="128">
        <f t="shared" si="31"/>
        <v>973.39018898961194</v>
      </c>
      <c r="AI61" s="128">
        <f t="shared" si="32"/>
        <v>486.69509449480597</v>
      </c>
      <c r="AJ61" s="128">
        <f t="shared" si="33"/>
        <v>525.15359041387353</v>
      </c>
      <c r="AK61" s="128">
        <f t="shared" si="34"/>
        <v>262.57679520693677</v>
      </c>
      <c r="AL61" s="127">
        <f>IF($C61="",AH61,IF(AH60&gt;AH61,SUMPRODUCT(AH60:AH61,F60:F61)/SUM(F60:F61),AH61))</f>
        <v>973.39018898961194</v>
      </c>
      <c r="AM61" s="128">
        <f>IF($C61="",AI61,IF(AI60&gt;AI61,SUMPRODUCT(AI60:AI61,G60:G61)/SUM(G60:G61),AI61))</f>
        <v>486.69509449480597</v>
      </c>
      <c r="AN61" s="128">
        <f>IF($C61="",AJ61,IF(AJ60&gt;AJ61,SUMPRODUCT(AJ60:AJ61,H60:H61)/SUM(H60:H61),AJ61))</f>
        <v>525.15359041387353</v>
      </c>
      <c r="AO61" s="129">
        <f>IF($C61="",AK61,IF(AK60&gt;AK61,SUMPRODUCT(AK60:AK61,I60:I61)/SUM(I60:I61),AK61))</f>
        <v>262.57679520693677</v>
      </c>
      <c r="AP61" s="127">
        <f t="shared" si="35"/>
        <v>973.39018898961194</v>
      </c>
      <c r="AQ61" s="128">
        <f t="shared" si="36"/>
        <v>486.69509449480597</v>
      </c>
      <c r="AR61" s="128">
        <f t="shared" si="37"/>
        <v>525.15359041387353</v>
      </c>
      <c r="AS61" s="129">
        <f t="shared" si="38"/>
        <v>262.57679520693677</v>
      </c>
      <c r="AT61" s="18" t="str">
        <f t="shared" si="49"/>
        <v/>
      </c>
      <c r="AU61" s="19" t="str">
        <f t="shared" si="50"/>
        <v/>
      </c>
      <c r="AV61" s="19" t="str">
        <f t="shared" si="39"/>
        <v/>
      </c>
      <c r="AW61" s="19" t="str">
        <f t="shared" si="40"/>
        <v/>
      </c>
      <c r="AX61" s="323" t="str">
        <f t="shared" ref="AX61:AX119" si="52">IF(AP61&gt;2*AQ61,2*AQ61,"")</f>
        <v/>
      </c>
      <c r="AY61" s="323" t="str">
        <f>IF(AR61&gt;2*AS61,2*AS61,"")</f>
        <v/>
      </c>
      <c r="AZ61" s="326">
        <f t="shared" ref="AZ61:AZ119" si="53">IF(AX61="",AP61,AX61)</f>
        <v>973.39018898961194</v>
      </c>
      <c r="BA61" s="323">
        <f t="shared" si="41"/>
        <v>486.69509449480597</v>
      </c>
      <c r="BB61" s="323">
        <f t="shared" si="11"/>
        <v>525.15359041387353</v>
      </c>
      <c r="BC61" s="327">
        <f t="shared" si="51"/>
        <v>262.57679520693677</v>
      </c>
      <c r="BD61" s="326" t="str">
        <f t="shared" si="42"/>
        <v/>
      </c>
      <c r="BE61" s="323" t="str">
        <f t="shared" si="43"/>
        <v/>
      </c>
      <c r="BF61" s="323" t="str">
        <f t="shared" si="44"/>
        <v/>
      </c>
      <c r="BG61" s="323" t="str">
        <f t="shared" si="45"/>
        <v/>
      </c>
      <c r="BH61" s="323" t="str">
        <f t="shared" si="46"/>
        <v/>
      </c>
      <c r="BI61" s="327" t="str">
        <f t="shared" si="47"/>
        <v/>
      </c>
      <c r="BJ61" s="744">
        <f t="shared" si="48"/>
        <v>19063763.685069043</v>
      </c>
      <c r="BK61" s="321"/>
    </row>
    <row r="62" spans="1:63">
      <c r="A62" s="74">
        <v>410</v>
      </c>
      <c r="B62" s="89" t="s">
        <v>31</v>
      </c>
      <c r="C62" s="74" t="str">
        <f>$A$62&amp;"&amp;"&amp;$A$63</f>
        <v>410&amp;262</v>
      </c>
      <c r="D62" s="93" t="str">
        <f t="shared" si="13"/>
        <v>A</v>
      </c>
      <c r="E62" s="74">
        <f>IF(ISERROR(VLOOKUP(A62,Mandatory!A:A,1,FALSE)),0,1)</f>
        <v>1</v>
      </c>
      <c r="F62" s="75">
        <f>VLOOKUP(A62,'Front-loading'!A:AG,$F$6,FALSE)</f>
        <v>4256</v>
      </c>
      <c r="G62" s="76">
        <f>VLOOKUP(A62,'Front-loading'!A:AG,$G$6,FALSE)</f>
        <v>286103</v>
      </c>
      <c r="H62" s="76">
        <f>VLOOKUP(A62,'Front-loading'!A:AG,$H$6,FALSE)</f>
        <v>12294</v>
      </c>
      <c r="I62" s="77">
        <f>VLOOKUP(A62,'Front-loading'!A:AG,$I$6,FALSE)</f>
        <v>1208951</v>
      </c>
      <c r="J62" s="75">
        <f>VLOOKUP(A62,'Front-loading'!A:AG,$J$6,FALSE)</f>
        <v>1086062.2481302768</v>
      </c>
      <c r="K62" s="76">
        <f>VLOOKUP(A62,'Front-loading'!A:AG,$K$6,FALSE)</f>
        <v>66967960.824725568</v>
      </c>
      <c r="L62" s="76">
        <f>VLOOKUP(A62,'Front-loading'!A:AG,$L$6,FALSE)</f>
        <v>2102816.7025249321</v>
      </c>
      <c r="M62" s="77">
        <f>VLOOKUP(A62,'Front-loading'!A:AG,$M$6,FALSE)</f>
        <v>129852566.79537068</v>
      </c>
      <c r="N62" s="78">
        <f t="shared" si="14"/>
        <v>255.18379890279061</v>
      </c>
      <c r="O62" s="79">
        <f t="shared" si="14"/>
        <v>234.06941145225869</v>
      </c>
      <c r="P62" s="79">
        <f t="shared" si="14"/>
        <v>171.04414369000585</v>
      </c>
      <c r="Q62" s="80">
        <f t="shared" si="14"/>
        <v>107.40928854467276</v>
      </c>
      <c r="R62" s="101">
        <f t="shared" si="15"/>
        <v>255.18379890279061</v>
      </c>
      <c r="S62" s="102">
        <f t="shared" si="16"/>
        <v>234.06941145225869</v>
      </c>
      <c r="T62" s="102">
        <f t="shared" si="17"/>
        <v>171.04414369000585</v>
      </c>
      <c r="U62" s="102">
        <f t="shared" si="18"/>
        <v>107.40928854467276</v>
      </c>
      <c r="V62" s="95">
        <f t="shared" si="19"/>
        <v>255.18379890279061</v>
      </c>
      <c r="W62" s="96">
        <f t="shared" si="20"/>
        <v>234.06941145225869</v>
      </c>
      <c r="X62" s="96">
        <f t="shared" si="21"/>
        <v>171.04414369000585</v>
      </c>
      <c r="Y62" s="96">
        <f t="shared" si="22"/>
        <v>107.40928854467276</v>
      </c>
      <c r="Z62" s="60">
        <f t="shared" si="23"/>
        <v>255.18379890279061</v>
      </c>
      <c r="AA62" s="61">
        <f t="shared" si="24"/>
        <v>234.06941145225869</v>
      </c>
      <c r="AB62" s="61">
        <f t="shared" si="25"/>
        <v>171.04414369000585</v>
      </c>
      <c r="AC62" s="108">
        <f t="shared" si="26"/>
        <v>107.40928854467276</v>
      </c>
      <c r="AD62" s="61">
        <f t="shared" si="27"/>
        <v>255.18379890279061</v>
      </c>
      <c r="AE62" s="61">
        <f t="shared" si="28"/>
        <v>234.06941145225869</v>
      </c>
      <c r="AF62" s="61">
        <f t="shared" si="29"/>
        <v>171.04414369000585</v>
      </c>
      <c r="AG62" s="108">
        <f t="shared" si="30"/>
        <v>107.40928854467276</v>
      </c>
      <c r="AH62" s="61">
        <f t="shared" si="31"/>
        <v>255.18379890279061</v>
      </c>
      <c r="AI62" s="61">
        <f t="shared" si="32"/>
        <v>234.06941145225869</v>
      </c>
      <c r="AJ62" s="61">
        <f t="shared" si="33"/>
        <v>171.04414369000585</v>
      </c>
      <c r="AK62" s="61">
        <f t="shared" si="34"/>
        <v>107.40928854467276</v>
      </c>
      <c r="AL62" s="60">
        <f>IF($C62="",AH62,IF(AH62&gt;AH63,SUMPRODUCT(AH62:AH63,F62:F63)/SUM(F62:F63),AH62))</f>
        <v>255.18379890279061</v>
      </c>
      <c r="AM62" s="61">
        <f>IF($C62="",AI62,IF(AI62&gt;AI63,SUMPRODUCT(AI62:AI63,G62:G63)/SUM(G62:G63),AI62))</f>
        <v>234.06941145225869</v>
      </c>
      <c r="AN62" s="61">
        <f>IF($C62="",AJ62,IF(AJ62&gt;AJ63,SUMPRODUCT(AJ62:AJ63,H62:H63)/SUM(H62:H63),AJ62))</f>
        <v>171.04414369000585</v>
      </c>
      <c r="AO62" s="108">
        <f>IF($C62="",AK62,IF(AK62&gt;AK63,SUMPRODUCT(AK62:AK63,I62:I63)/SUM(I62:I63),AK62))</f>
        <v>107.40928854467276</v>
      </c>
      <c r="AP62" s="60">
        <f t="shared" si="35"/>
        <v>255.18379890279061</v>
      </c>
      <c r="AQ62" s="61">
        <f t="shared" si="36"/>
        <v>234.06941145225869</v>
      </c>
      <c r="AR62" s="61">
        <f t="shared" si="37"/>
        <v>171.04414369000585</v>
      </c>
      <c r="AS62" s="108">
        <f t="shared" si="38"/>
        <v>107.40928854467276</v>
      </c>
      <c r="AT62" s="81" t="str">
        <f t="shared" si="49"/>
        <v/>
      </c>
      <c r="AU62" s="82" t="str">
        <f t="shared" si="50"/>
        <v/>
      </c>
      <c r="AV62" s="82" t="str">
        <f t="shared" si="39"/>
        <v/>
      </c>
      <c r="AW62" s="82" t="str">
        <f t="shared" si="40"/>
        <v/>
      </c>
      <c r="AX62" s="82" t="str">
        <f t="shared" si="52"/>
        <v/>
      </c>
      <c r="AY62" s="324" t="str">
        <f t="shared" ref="AY62:AY119" si="54">IF(AR62&gt;2*AS62,2*AS62,"")</f>
        <v/>
      </c>
      <c r="AZ62" s="328">
        <f t="shared" si="53"/>
        <v>255.18379890279061</v>
      </c>
      <c r="BA62" s="324">
        <f t="shared" si="41"/>
        <v>234.06941145225869</v>
      </c>
      <c r="BB62" s="324">
        <f t="shared" si="11"/>
        <v>171.04414369000585</v>
      </c>
      <c r="BC62" s="329">
        <f t="shared" si="51"/>
        <v>107.40928854467276</v>
      </c>
      <c r="BD62" s="288" t="str">
        <f t="shared" si="42"/>
        <v/>
      </c>
      <c r="BE62" s="289" t="str">
        <f t="shared" si="43"/>
        <v/>
      </c>
      <c r="BF62" s="289" t="str">
        <f t="shared" si="44"/>
        <v/>
      </c>
      <c r="BG62" s="289" t="str">
        <f t="shared" si="45"/>
        <v/>
      </c>
      <c r="BH62" s="289" t="str">
        <f t="shared" si="46"/>
        <v/>
      </c>
      <c r="BI62" s="290" t="str">
        <f t="shared" si="47"/>
        <v/>
      </c>
      <c r="BJ62" s="744">
        <f t="shared" si="48"/>
        <v>200009406.57075146</v>
      </c>
      <c r="BK62" s="321"/>
    </row>
    <row r="63" spans="1:63">
      <c r="A63">
        <v>262</v>
      </c>
      <c r="B63" s="88" t="s">
        <v>499</v>
      </c>
      <c r="C63" s="83" t="str">
        <f>$A$62&amp;"&amp;"&amp;$A$63</f>
        <v>410&amp;262</v>
      </c>
      <c r="D63" s="62" t="str">
        <f t="shared" si="13"/>
        <v>C</v>
      </c>
      <c r="E63">
        <f>IF(ISERROR(VLOOKUP(A63,Mandatory!A:A,1,FALSE)),0,1)</f>
        <v>0</v>
      </c>
      <c r="F63" s="54">
        <f>VLOOKUP(A63,'Front-loading'!A:AG,$F$6,FALSE)</f>
        <v>604</v>
      </c>
      <c r="G63" s="55">
        <f>VLOOKUP(A63,'Front-loading'!A:AG,$G$6,FALSE)</f>
        <v>4424</v>
      </c>
      <c r="H63" s="55">
        <f>VLOOKUP(A63,'Front-loading'!A:AG,$H$6,FALSE)</f>
        <v>2137</v>
      </c>
      <c r="I63" s="56">
        <f>VLOOKUP(A63,'Front-loading'!A:AG,$I$6,FALSE)</f>
        <v>15871</v>
      </c>
      <c r="J63" s="54">
        <f>VLOOKUP(A63,'Front-loading'!A:AG,$J$6,FALSE)</f>
        <v>272600.77056943142</v>
      </c>
      <c r="K63" s="55">
        <f>VLOOKUP(A63,'Front-loading'!A:AG,$K$6,FALSE)</f>
        <v>1762013.2085686245</v>
      </c>
      <c r="L63" s="55">
        <f>VLOOKUP(A63,'Front-loading'!A:AG,$L$6,FALSE)</f>
        <v>610515.34661451972</v>
      </c>
      <c r="M63" s="56">
        <f>VLOOKUP(A63,'Front-loading'!A:AG,$M$6,FALSE)</f>
        <v>3231943.3680640911</v>
      </c>
      <c r="N63" s="15">
        <f t="shared" si="14"/>
        <v>451.32577908846264</v>
      </c>
      <c r="O63" s="11">
        <f t="shared" si="14"/>
        <v>398.28508331117189</v>
      </c>
      <c r="P63" s="11">
        <f t="shared" si="14"/>
        <v>285.6880424026765</v>
      </c>
      <c r="Q63" s="12">
        <f t="shared" si="14"/>
        <v>203.63829425140767</v>
      </c>
      <c r="R63" s="99">
        <f t="shared" si="15"/>
        <v>451.32577908846264</v>
      </c>
      <c r="S63" s="100">
        <f t="shared" si="16"/>
        <v>398.28508331117189</v>
      </c>
      <c r="T63" s="100">
        <f t="shared" si="17"/>
        <v>285.6880424026765</v>
      </c>
      <c r="U63" s="100">
        <f t="shared" si="18"/>
        <v>203.63829425140767</v>
      </c>
      <c r="V63" s="125">
        <f t="shared" si="19"/>
        <v>451.32577908846264</v>
      </c>
      <c r="W63" s="126">
        <f t="shared" si="20"/>
        <v>398.28508331117189</v>
      </c>
      <c r="X63" s="126">
        <f t="shared" si="21"/>
        <v>285.6880424026765</v>
      </c>
      <c r="Y63" s="126">
        <f t="shared" si="22"/>
        <v>203.63829425140767</v>
      </c>
      <c r="Z63" s="127">
        <f t="shared" si="23"/>
        <v>451.32577908846264</v>
      </c>
      <c r="AA63" s="128">
        <f t="shared" si="24"/>
        <v>398.28508331117189</v>
      </c>
      <c r="AB63" s="128">
        <f t="shared" si="25"/>
        <v>285.6880424026765</v>
      </c>
      <c r="AC63" s="129">
        <f t="shared" si="26"/>
        <v>203.63829425140767</v>
      </c>
      <c r="AD63" s="128">
        <f t="shared" si="27"/>
        <v>451.32577908846264</v>
      </c>
      <c r="AE63" s="128">
        <f t="shared" si="28"/>
        <v>398.28508331117189</v>
      </c>
      <c r="AF63" s="128">
        <f t="shared" si="29"/>
        <v>285.6880424026765</v>
      </c>
      <c r="AG63" s="129">
        <f t="shared" si="30"/>
        <v>203.63829425140767</v>
      </c>
      <c r="AH63" s="128">
        <f t="shared" si="31"/>
        <v>451.32577908846264</v>
      </c>
      <c r="AI63" s="128">
        <f t="shared" si="32"/>
        <v>398.28508331117189</v>
      </c>
      <c r="AJ63" s="128">
        <f t="shared" si="33"/>
        <v>285.6880424026765</v>
      </c>
      <c r="AK63" s="128">
        <f t="shared" si="34"/>
        <v>203.63829425140767</v>
      </c>
      <c r="AL63" s="127">
        <f>IF($C63="",AH63,IF(AH62&gt;AH63,SUMPRODUCT(AH62:AH63,F62:F63)/SUM(F62:F63),AH63))</f>
        <v>451.32577908846264</v>
      </c>
      <c r="AM63" s="128">
        <f>IF($C63="",AI63,IF(AI62&gt;AI63,SUMPRODUCT(AI62:AI63,G62:G63)/SUM(G62:G63),AI63))</f>
        <v>398.28508331117189</v>
      </c>
      <c r="AN63" s="128">
        <f>IF($C63="",AJ63,IF(AJ62&gt;AJ63,SUMPRODUCT(AJ62:AJ63,H62:H63)/SUM(H62:H63),AJ63))</f>
        <v>285.6880424026765</v>
      </c>
      <c r="AO63" s="129">
        <f>IF($C63="",AK63,IF(AK62&gt;AK63,SUMPRODUCT(AK62:AK63,I62:I63)/SUM(I62:I63),AK63))</f>
        <v>203.63829425140767</v>
      </c>
      <c r="AP63" s="127">
        <f t="shared" si="35"/>
        <v>451.32577908846264</v>
      </c>
      <c r="AQ63" s="128">
        <f t="shared" si="36"/>
        <v>398.28508331117189</v>
      </c>
      <c r="AR63" s="128">
        <f t="shared" si="37"/>
        <v>285.6880424026765</v>
      </c>
      <c r="AS63" s="129">
        <f t="shared" si="38"/>
        <v>203.63829425140767</v>
      </c>
      <c r="AT63" s="18" t="str">
        <f t="shared" si="49"/>
        <v/>
      </c>
      <c r="AU63" s="19" t="str">
        <f t="shared" si="50"/>
        <v/>
      </c>
      <c r="AV63" s="19" t="str">
        <f t="shared" si="39"/>
        <v/>
      </c>
      <c r="AW63" s="19" t="str">
        <f t="shared" si="40"/>
        <v/>
      </c>
      <c r="AX63" s="19" t="str">
        <f t="shared" si="52"/>
        <v/>
      </c>
      <c r="AY63" s="323" t="str">
        <f t="shared" si="54"/>
        <v/>
      </c>
      <c r="AZ63" s="326">
        <f t="shared" si="53"/>
        <v>451.32577908846264</v>
      </c>
      <c r="BA63" s="323">
        <f t="shared" si="41"/>
        <v>398.28508331117189</v>
      </c>
      <c r="BB63" s="323">
        <f t="shared" si="11"/>
        <v>285.6880424026765</v>
      </c>
      <c r="BC63" s="327">
        <f t="shared" si="51"/>
        <v>203.63829425140767</v>
      </c>
      <c r="BD63" s="18" t="str">
        <f t="shared" si="42"/>
        <v/>
      </c>
      <c r="BE63" s="19" t="str">
        <f t="shared" si="43"/>
        <v/>
      </c>
      <c r="BF63" s="19" t="str">
        <f t="shared" si="44"/>
        <v/>
      </c>
      <c r="BG63" s="19" t="str">
        <f t="shared" si="45"/>
        <v/>
      </c>
      <c r="BH63" s="19" t="str">
        <f t="shared" si="46"/>
        <v/>
      </c>
      <c r="BI63" s="20" t="str">
        <f t="shared" si="47"/>
        <v/>
      </c>
      <c r="BJ63" s="744">
        <f t="shared" si="48"/>
        <v>5877072.6938166665</v>
      </c>
      <c r="BK63" s="321"/>
    </row>
    <row r="64" spans="1:63">
      <c r="A64" s="74">
        <v>100</v>
      </c>
      <c r="B64" s="89" t="s">
        <v>1</v>
      </c>
      <c r="C64" s="74"/>
      <c r="D64" s="93" t="str">
        <f t="shared" si="13"/>
        <v>A</v>
      </c>
      <c r="E64" s="74">
        <f>IF(ISERROR(VLOOKUP(A64,Mandatory!A:A,1,FALSE)),0,1)</f>
        <v>1</v>
      </c>
      <c r="F64" s="75">
        <f>VLOOKUP(A64,'Front-loading'!A:AG,$F$6,FALSE)</f>
        <v>16535</v>
      </c>
      <c r="G64" s="76">
        <f>VLOOKUP(A64,'Front-loading'!A:AG,$G$6,FALSE)</f>
        <v>694397</v>
      </c>
      <c r="H64" s="76">
        <f>VLOOKUP(A64,'Front-loading'!A:AG,$H$6,FALSE)</f>
        <v>32120</v>
      </c>
      <c r="I64" s="77">
        <f>VLOOKUP(A64,'Front-loading'!A:AG,$I$6,FALSE)</f>
        <v>1051987</v>
      </c>
      <c r="J64" s="75">
        <f>VLOOKUP(A64,'Front-loading'!A:AG,$J$6,FALSE)</f>
        <v>3850493.9983386202</v>
      </c>
      <c r="K64" s="76">
        <f>VLOOKUP(A64,'Front-loading'!A:AG,$K$6,FALSE)</f>
        <v>103879447.93020947</v>
      </c>
      <c r="L64" s="76">
        <f>VLOOKUP(A64,'Front-loading'!A:AG,$L$6,FALSE)</f>
        <v>4288108.0683894306</v>
      </c>
      <c r="M64" s="77">
        <f>VLOOKUP(A64,'Front-loading'!A:AG,$M$6,FALSE)</f>
        <v>96616199.548459932</v>
      </c>
      <c r="N64" s="78">
        <f t="shared" si="14"/>
        <v>232.86930742900637</v>
      </c>
      <c r="O64" s="79">
        <f t="shared" si="14"/>
        <v>149.59662546095313</v>
      </c>
      <c r="P64" s="79">
        <f t="shared" si="14"/>
        <v>133.50274185521266</v>
      </c>
      <c r="Q64" s="80">
        <f t="shared" si="14"/>
        <v>91.841628792427983</v>
      </c>
      <c r="R64" s="101">
        <f t="shared" si="15"/>
        <v>232.86930742900637</v>
      </c>
      <c r="S64" s="102">
        <f t="shared" si="16"/>
        <v>149.59662546095313</v>
      </c>
      <c r="T64" s="102">
        <f t="shared" si="17"/>
        <v>133.50274185521266</v>
      </c>
      <c r="U64" s="102">
        <f t="shared" si="18"/>
        <v>91.841628792427983</v>
      </c>
      <c r="V64" s="95">
        <f t="shared" si="19"/>
        <v>232.86930742900637</v>
      </c>
      <c r="W64" s="96">
        <f t="shared" si="20"/>
        <v>149.59662546095313</v>
      </c>
      <c r="X64" s="96">
        <f t="shared" si="21"/>
        <v>133.50274185521266</v>
      </c>
      <c r="Y64" s="96">
        <f t="shared" si="22"/>
        <v>91.841628792427983</v>
      </c>
      <c r="Z64" s="60">
        <f t="shared" si="23"/>
        <v>232.86930742900637</v>
      </c>
      <c r="AA64" s="61">
        <f t="shared" si="24"/>
        <v>149.59662546095313</v>
      </c>
      <c r="AB64" s="61">
        <f t="shared" si="25"/>
        <v>133.50274185521266</v>
      </c>
      <c r="AC64" s="108">
        <f t="shared" si="26"/>
        <v>91.841628792427983</v>
      </c>
      <c r="AD64" s="61">
        <f t="shared" si="27"/>
        <v>232.86930742900637</v>
      </c>
      <c r="AE64" s="61">
        <f t="shared" si="28"/>
        <v>149.59662546095313</v>
      </c>
      <c r="AF64" s="61">
        <f t="shared" si="29"/>
        <v>133.50274185521266</v>
      </c>
      <c r="AG64" s="108">
        <f t="shared" si="30"/>
        <v>91.841628792427983</v>
      </c>
      <c r="AH64" s="61">
        <f t="shared" si="31"/>
        <v>232.86930742900637</v>
      </c>
      <c r="AI64" s="61">
        <f t="shared" si="32"/>
        <v>149.59662546095313</v>
      </c>
      <c r="AJ64" s="61">
        <f t="shared" si="33"/>
        <v>133.50274185521266</v>
      </c>
      <c r="AK64" s="61">
        <f t="shared" si="34"/>
        <v>91.841628792427983</v>
      </c>
      <c r="AL64" s="60">
        <f>IF($C64="",AH64,IF(AH64&gt;AH65,SUMPRODUCT(AH64:AH65,F64:F65)/SUM(F64:F65),AH64))</f>
        <v>232.86930742900637</v>
      </c>
      <c r="AM64" s="61">
        <f>IF($C64="",AI64,IF(AI64&gt;AI65,SUMPRODUCT(AI64:AI65,G64:G65)/SUM(G64:G65),AI64))</f>
        <v>149.59662546095313</v>
      </c>
      <c r="AN64" s="61">
        <f>IF($C64="",AJ64,IF(AJ64&gt;AJ65,SUMPRODUCT(AJ64:AJ65,H64:H65)/SUM(H64:H65),AJ64))</f>
        <v>133.50274185521266</v>
      </c>
      <c r="AO64" s="108">
        <f>IF($C64="",AK64,IF(AK64&gt;AK65,SUMPRODUCT(AK64:AK65,I64:I65)/SUM(I64:I65),AK64))</f>
        <v>91.841628792427983</v>
      </c>
      <c r="AP64" s="60">
        <f t="shared" si="35"/>
        <v>232.86930742900637</v>
      </c>
      <c r="AQ64" s="61">
        <f t="shared" si="36"/>
        <v>149.59662546095313</v>
      </c>
      <c r="AR64" s="61">
        <f t="shared" si="37"/>
        <v>133.50274185521266</v>
      </c>
      <c r="AS64" s="108">
        <f t="shared" si="38"/>
        <v>91.841628792427983</v>
      </c>
      <c r="AT64" s="81" t="str">
        <f t="shared" si="49"/>
        <v/>
      </c>
      <c r="AU64" s="82" t="str">
        <f t="shared" si="50"/>
        <v/>
      </c>
      <c r="AV64" s="82" t="str">
        <f t="shared" si="39"/>
        <v/>
      </c>
      <c r="AW64" s="82" t="str">
        <f t="shared" si="40"/>
        <v/>
      </c>
      <c r="AX64" s="82" t="str">
        <f t="shared" si="52"/>
        <v/>
      </c>
      <c r="AY64" s="324" t="str">
        <f t="shared" si="54"/>
        <v/>
      </c>
      <c r="AZ64" s="328">
        <f t="shared" si="53"/>
        <v>232.86930742900637</v>
      </c>
      <c r="BA64" s="324">
        <f t="shared" si="41"/>
        <v>149.59662546095313</v>
      </c>
      <c r="BB64" s="324">
        <f t="shared" si="11"/>
        <v>133.50274185521266</v>
      </c>
      <c r="BC64" s="329">
        <f t="shared" si="51"/>
        <v>91.841628792427983</v>
      </c>
      <c r="BD64" s="288" t="str">
        <f t="shared" si="42"/>
        <v/>
      </c>
      <c r="BE64" s="289" t="str">
        <f t="shared" si="43"/>
        <v/>
      </c>
      <c r="BF64" s="289" t="str">
        <f t="shared" si="44"/>
        <v/>
      </c>
      <c r="BG64" s="289" t="str">
        <f t="shared" si="45"/>
        <v/>
      </c>
      <c r="BH64" s="289" t="str">
        <f t="shared" si="46"/>
        <v/>
      </c>
      <c r="BI64" s="290" t="str">
        <f t="shared" si="47"/>
        <v/>
      </c>
      <c r="BJ64" s="744">
        <f t="shared" si="48"/>
        <v>208634249.54539746</v>
      </c>
      <c r="BK64" s="321"/>
    </row>
    <row r="65" spans="1:63">
      <c r="A65">
        <v>103</v>
      </c>
      <c r="B65" s="88" t="s">
        <v>3</v>
      </c>
      <c r="D65" s="62" t="str">
        <f t="shared" si="13"/>
        <v>A</v>
      </c>
      <c r="E65">
        <f>IF(ISERROR(VLOOKUP(A65,Mandatory!A:A,1,FALSE)),0,1)</f>
        <v>1</v>
      </c>
      <c r="F65" s="54">
        <f>VLOOKUP(A65,'Front-loading'!A:AG,$F$6,FALSE)</f>
        <v>34052</v>
      </c>
      <c r="G65" s="55">
        <f>VLOOKUP(A65,'Front-loading'!A:AG,$G$6,FALSE)</f>
        <v>266623</v>
      </c>
      <c r="H65" s="55">
        <f>VLOOKUP(A65,'Front-loading'!A:AG,$H$6,FALSE)</f>
        <v>31220</v>
      </c>
      <c r="I65" s="56">
        <f>VLOOKUP(A65,'Front-loading'!A:AG,$I$6,FALSE)</f>
        <v>404078</v>
      </c>
      <c r="J65" s="54">
        <f>VLOOKUP(A65,'Front-loading'!A:AG,$J$6,FALSE)</f>
        <v>5614665.281647305</v>
      </c>
      <c r="K65" s="55">
        <f>VLOOKUP(A65,'Front-loading'!A:AG,$K$6,FALSE)</f>
        <v>46772021.498451285</v>
      </c>
      <c r="L65" s="55">
        <f>VLOOKUP(A65,'Front-loading'!A:AG,$L$6,FALSE)</f>
        <v>2955079.6206164551</v>
      </c>
      <c r="M65" s="56">
        <f>VLOOKUP(A65,'Front-loading'!A:AG,$M$6,FALSE)</f>
        <v>40501270.779908471</v>
      </c>
      <c r="N65" s="15">
        <f t="shared" si="14"/>
        <v>164.88503705060805</v>
      </c>
      <c r="O65" s="11">
        <f t="shared" si="14"/>
        <v>175.42380626746862</v>
      </c>
      <c r="P65" s="11">
        <f t="shared" si="14"/>
        <v>94.653415138259291</v>
      </c>
      <c r="Q65" s="12">
        <f t="shared" si="14"/>
        <v>100.23131865607252</v>
      </c>
      <c r="R65" s="99">
        <f t="shared" si="15"/>
        <v>164.88503705060805</v>
      </c>
      <c r="S65" s="100">
        <f t="shared" si="16"/>
        <v>175.42380626746862</v>
      </c>
      <c r="T65" s="100">
        <f t="shared" si="17"/>
        <v>94.653415138259291</v>
      </c>
      <c r="U65" s="100">
        <f t="shared" si="18"/>
        <v>100.23131865607252</v>
      </c>
      <c r="V65" s="95">
        <f t="shared" si="19"/>
        <v>164.88503705060805</v>
      </c>
      <c r="W65" s="96">
        <f t="shared" si="20"/>
        <v>175.42380626746862</v>
      </c>
      <c r="X65" s="96">
        <f t="shared" si="21"/>
        <v>94.653415138259291</v>
      </c>
      <c r="Y65" s="96">
        <f t="shared" si="22"/>
        <v>100.23131865607252</v>
      </c>
      <c r="Z65" s="60">
        <f t="shared" si="23"/>
        <v>164.88503705060805</v>
      </c>
      <c r="AA65" s="61">
        <f t="shared" si="24"/>
        <v>175.42380626746862</v>
      </c>
      <c r="AB65" s="61">
        <f t="shared" si="25"/>
        <v>94.653415138259291</v>
      </c>
      <c r="AC65" s="108">
        <f t="shared" si="26"/>
        <v>100.23131865607252</v>
      </c>
      <c r="AD65" s="61">
        <f t="shared" si="27"/>
        <v>174.23027115689229</v>
      </c>
      <c r="AE65" s="61">
        <f t="shared" si="28"/>
        <v>174.23027115689229</v>
      </c>
      <c r="AF65" s="61">
        <f t="shared" si="29"/>
        <v>99.83126593856376</v>
      </c>
      <c r="AG65" s="108">
        <f t="shared" si="30"/>
        <v>99.83126593856376</v>
      </c>
      <c r="AH65" s="61">
        <f t="shared" si="31"/>
        <v>174.23027115689229</v>
      </c>
      <c r="AI65" s="61">
        <f t="shared" si="32"/>
        <v>174.23027115689229</v>
      </c>
      <c r="AJ65" s="61">
        <f t="shared" si="33"/>
        <v>99.83126593856376</v>
      </c>
      <c r="AK65" s="61">
        <f t="shared" si="34"/>
        <v>99.83126593856376</v>
      </c>
      <c r="AL65" s="60">
        <f>IF($C65="",AH65,IF(AH64&gt;AH65,SUMPRODUCT(AH64:AH65,F64:F65)/SUM(F64:F65),AH65))</f>
        <v>174.23027115689229</v>
      </c>
      <c r="AM65" s="61">
        <f>IF($C65="",AI65,IF(AI64&gt;AI65,SUMPRODUCT(AI64:AI65,G64:G65)/SUM(G64:G65),AI65))</f>
        <v>174.23027115689229</v>
      </c>
      <c r="AN65" s="61">
        <f>IF($C65="",AJ65,IF(AJ64&gt;AJ65,SUMPRODUCT(AJ64:AJ65,H64:H65)/SUM(H64:H65),AJ65))</f>
        <v>99.83126593856376</v>
      </c>
      <c r="AO65" s="108">
        <f>IF($C65="",AK65,IF(AK64&gt;AK65,SUMPRODUCT(AK64:AK65,I64:I65)/SUM(I64:I65),AK65))</f>
        <v>99.83126593856376</v>
      </c>
      <c r="AP65" s="60">
        <f t="shared" si="35"/>
        <v>174.23027115689229</v>
      </c>
      <c r="AQ65" s="61">
        <f t="shared" si="36"/>
        <v>174.23027115689229</v>
      </c>
      <c r="AR65" s="61">
        <f t="shared" si="37"/>
        <v>99.83126593856376</v>
      </c>
      <c r="AS65" s="108">
        <f t="shared" si="38"/>
        <v>99.83126593856376</v>
      </c>
      <c r="AT65" s="18" t="str">
        <f t="shared" si="49"/>
        <v/>
      </c>
      <c r="AU65" s="19" t="str">
        <f t="shared" si="50"/>
        <v/>
      </c>
      <c r="AV65" s="19" t="str">
        <f t="shared" si="39"/>
        <v/>
      </c>
      <c r="AW65" s="19" t="str">
        <f t="shared" si="40"/>
        <v/>
      </c>
      <c r="AX65" s="19" t="str">
        <f t="shared" si="52"/>
        <v/>
      </c>
      <c r="AY65" s="323" t="str">
        <f t="shared" si="54"/>
        <v/>
      </c>
      <c r="AZ65" s="326">
        <f t="shared" si="53"/>
        <v>174.23027115689229</v>
      </c>
      <c r="BA65" s="323">
        <f t="shared" si="41"/>
        <v>174.23027115689229</v>
      </c>
      <c r="BB65" s="323">
        <f t="shared" si="11"/>
        <v>99.83126593856376</v>
      </c>
      <c r="BC65" s="327">
        <f t="shared" si="51"/>
        <v>99.83126593856376</v>
      </c>
      <c r="BD65" s="18" t="str">
        <f t="shared" si="42"/>
        <v/>
      </c>
      <c r="BE65" s="19" t="str">
        <f t="shared" si="43"/>
        <v/>
      </c>
      <c r="BF65" s="19" t="str">
        <f t="shared" si="44"/>
        <v/>
      </c>
      <c r="BG65" s="19" t="str">
        <f t="shared" si="45"/>
        <v/>
      </c>
      <c r="BH65" s="19" t="str">
        <f t="shared" si="46"/>
        <v/>
      </c>
      <c r="BI65" s="20" t="str">
        <f t="shared" si="47"/>
        <v/>
      </c>
      <c r="BJ65" s="744">
        <f t="shared" si="48"/>
        <v>95843037.180623531</v>
      </c>
      <c r="BK65" s="321"/>
    </row>
    <row r="66" spans="1:63">
      <c r="A66">
        <v>104</v>
      </c>
      <c r="B66" s="88" t="s">
        <v>4</v>
      </c>
      <c r="D66" s="62" t="str">
        <f t="shared" si="13"/>
        <v>A</v>
      </c>
      <c r="E66">
        <f>IF(ISERROR(VLOOKUP(A66,Mandatory!A:A,1,FALSE)),0,1)</f>
        <v>1</v>
      </c>
      <c r="F66" s="54">
        <f>VLOOKUP(A66,'Front-loading'!A:AG,$F$6,FALSE)</f>
        <v>1127</v>
      </c>
      <c r="G66" s="55">
        <f>VLOOKUP(A66,'Front-loading'!A:AG,$G$6,FALSE)</f>
        <v>157148</v>
      </c>
      <c r="H66" s="55">
        <f>VLOOKUP(A66,'Front-loading'!A:AG,$H$6,FALSE)</f>
        <v>2377</v>
      </c>
      <c r="I66" s="56">
        <f>VLOOKUP(A66,'Front-loading'!A:AG,$I$6,FALSE)</f>
        <v>192025</v>
      </c>
      <c r="J66" s="54">
        <f>VLOOKUP(A66,'Front-loading'!A:AG,$J$6,FALSE)</f>
        <v>151126.92931965602</v>
      </c>
      <c r="K66" s="55">
        <f>VLOOKUP(A66,'Front-loading'!A:AG,$K$6,FALSE)</f>
        <v>19703474.309231896</v>
      </c>
      <c r="L66" s="55">
        <f>VLOOKUP(A66,'Front-loading'!A:AG,$L$6,FALSE)</f>
        <v>250865.02994503503</v>
      </c>
      <c r="M66" s="56">
        <f>VLOOKUP(A66,'Front-loading'!A:AG,$M$6,FALSE)</f>
        <v>15018982.493614076</v>
      </c>
      <c r="N66" s="15">
        <f t="shared" si="14"/>
        <v>134.09665423217038</v>
      </c>
      <c r="O66" s="11">
        <f t="shared" si="14"/>
        <v>125.38164220500354</v>
      </c>
      <c r="P66" s="11">
        <f t="shared" si="14"/>
        <v>105.53850649770089</v>
      </c>
      <c r="Q66" s="12">
        <f t="shared" si="14"/>
        <v>78.213683080922152</v>
      </c>
      <c r="R66" s="99">
        <f t="shared" si="15"/>
        <v>134.09665423217038</v>
      </c>
      <c r="S66" s="100">
        <f t="shared" si="16"/>
        <v>125.38164220500354</v>
      </c>
      <c r="T66" s="100">
        <f t="shared" si="17"/>
        <v>105.53850649770089</v>
      </c>
      <c r="U66" s="100">
        <f t="shared" si="18"/>
        <v>78.213683080922152</v>
      </c>
      <c r="V66" s="95">
        <f t="shared" si="19"/>
        <v>134.09665423217038</v>
      </c>
      <c r="W66" s="96">
        <f t="shared" si="20"/>
        <v>125.38164220500354</v>
      </c>
      <c r="X66" s="96">
        <f t="shared" si="21"/>
        <v>105.53850649770089</v>
      </c>
      <c r="Y66" s="96">
        <f t="shared" si="22"/>
        <v>78.213683080922152</v>
      </c>
      <c r="Z66" s="60">
        <f t="shared" si="23"/>
        <v>134.09665423217038</v>
      </c>
      <c r="AA66" s="61">
        <f t="shared" si="24"/>
        <v>125.38164220500354</v>
      </c>
      <c r="AB66" s="61">
        <f t="shared" si="25"/>
        <v>105.53850649770089</v>
      </c>
      <c r="AC66" s="108">
        <f t="shared" si="26"/>
        <v>78.213683080922152</v>
      </c>
      <c r="AD66" s="61">
        <f t="shared" si="27"/>
        <v>134.09665423217038</v>
      </c>
      <c r="AE66" s="61">
        <f t="shared" si="28"/>
        <v>125.38164220500354</v>
      </c>
      <c r="AF66" s="61">
        <f t="shared" si="29"/>
        <v>105.53850649770089</v>
      </c>
      <c r="AG66" s="108">
        <f t="shared" si="30"/>
        <v>78.213683080922152</v>
      </c>
      <c r="AH66" s="61">
        <f t="shared" si="31"/>
        <v>134.09665423217038</v>
      </c>
      <c r="AI66" s="61">
        <f t="shared" si="32"/>
        <v>125.38164220500354</v>
      </c>
      <c r="AJ66" s="61">
        <f t="shared" si="33"/>
        <v>105.53850649770089</v>
      </c>
      <c r="AK66" s="61">
        <f t="shared" si="34"/>
        <v>78.213683080922152</v>
      </c>
      <c r="AL66" s="60">
        <f>IF($C66="",AH66,IF(AH66&gt;AH67,SUMPRODUCT(AH66:AH67,F66:F67)/SUM(F66:F67),AH66))</f>
        <v>134.09665423217038</v>
      </c>
      <c r="AM66" s="61">
        <f>IF($C66="",AI66,IF(AI66&gt;AI67,SUMPRODUCT(AI66:AI67,G66:G67)/SUM(G66:G67),AI66))</f>
        <v>125.38164220500354</v>
      </c>
      <c r="AN66" s="61">
        <f>IF($C66="",AJ66,IF(AJ66&gt;AJ67,SUMPRODUCT(AJ66:AJ67,H66:H67)/SUM(H66:H67),AJ66))</f>
        <v>105.53850649770089</v>
      </c>
      <c r="AO66" s="108">
        <f>IF($C66="",AK66,IF(AK66&gt;AK67,SUMPRODUCT(AK66:AK67,I66:I67)/SUM(I66:I67),AK66))</f>
        <v>78.213683080922152</v>
      </c>
      <c r="AP66" s="60">
        <f t="shared" si="35"/>
        <v>134.09665423217038</v>
      </c>
      <c r="AQ66" s="61">
        <f t="shared" si="36"/>
        <v>125.38164220500354</v>
      </c>
      <c r="AR66" s="61">
        <f t="shared" si="37"/>
        <v>105.53850649770089</v>
      </c>
      <c r="AS66" s="108">
        <f t="shared" si="38"/>
        <v>78.213683080922152</v>
      </c>
      <c r="AT66" s="18" t="str">
        <f t="shared" si="49"/>
        <v/>
      </c>
      <c r="AU66" s="19" t="str">
        <f t="shared" si="50"/>
        <v/>
      </c>
      <c r="AV66" s="19" t="str">
        <f t="shared" si="39"/>
        <v/>
      </c>
      <c r="AW66" s="19" t="str">
        <f t="shared" si="40"/>
        <v/>
      </c>
      <c r="AX66" s="19" t="str">
        <f t="shared" si="52"/>
        <v/>
      </c>
      <c r="AY66" s="323" t="str">
        <f t="shared" si="54"/>
        <v/>
      </c>
      <c r="AZ66" s="326">
        <f t="shared" si="53"/>
        <v>134.09665423217038</v>
      </c>
      <c r="BA66" s="323">
        <f t="shared" si="41"/>
        <v>125.38164220500354</v>
      </c>
      <c r="BB66" s="323">
        <f t="shared" si="11"/>
        <v>105.53850649770089</v>
      </c>
      <c r="BC66" s="327">
        <f t="shared" si="51"/>
        <v>78.213683080922152</v>
      </c>
      <c r="BD66" s="18" t="str">
        <f t="shared" si="42"/>
        <v/>
      </c>
      <c r="BE66" s="19" t="str">
        <f t="shared" si="43"/>
        <v/>
      </c>
      <c r="BF66" s="19" t="str">
        <f t="shared" si="44"/>
        <v/>
      </c>
      <c r="BG66" s="19" t="str">
        <f t="shared" si="45"/>
        <v/>
      </c>
      <c r="BH66" s="19" t="str">
        <f t="shared" si="46"/>
        <v/>
      </c>
      <c r="BI66" s="20" t="str">
        <f t="shared" si="47"/>
        <v/>
      </c>
      <c r="BJ66" s="744">
        <f t="shared" si="48"/>
        <v>35124448.762110665</v>
      </c>
      <c r="BK66" s="321"/>
    </row>
    <row r="67" spans="1:63">
      <c r="A67">
        <v>105</v>
      </c>
      <c r="B67" s="88" t="s">
        <v>446</v>
      </c>
      <c r="D67" s="62" t="str">
        <f t="shared" si="13"/>
        <v>A</v>
      </c>
      <c r="E67">
        <f>IF(ISERROR(VLOOKUP(A67,Mandatory!A:A,1,FALSE)),0,1)</f>
        <v>1</v>
      </c>
      <c r="F67" s="54">
        <f>VLOOKUP(A67,'Front-loading'!A:AG,$F$6,FALSE)</f>
        <v>1417</v>
      </c>
      <c r="G67" s="55">
        <f>VLOOKUP(A67,'Front-loading'!A:AG,$G$6,FALSE)</f>
        <v>10162</v>
      </c>
      <c r="H67" s="55">
        <f>VLOOKUP(A67,'Front-loading'!A:AG,$H$6,FALSE)</f>
        <v>3455</v>
      </c>
      <c r="I67" s="56">
        <f>VLOOKUP(A67,'Front-loading'!A:AG,$I$6,FALSE)</f>
        <v>24207</v>
      </c>
      <c r="J67" s="54">
        <f>VLOOKUP(A67,'Front-loading'!A:AG,$J$6,FALSE)</f>
        <v>306339.76401244168</v>
      </c>
      <c r="K67" s="55">
        <f>VLOOKUP(A67,'Front-loading'!A:AG,$K$6,FALSE)</f>
        <v>1978059.2111134056</v>
      </c>
      <c r="L67" s="55">
        <f>VLOOKUP(A67,'Front-loading'!A:AG,$L$6,FALSE)</f>
        <v>505791.98227807833</v>
      </c>
      <c r="M67" s="56">
        <f>VLOOKUP(A67,'Front-loading'!A:AG,$M$6,FALSE)</f>
        <v>3021805.0480655129</v>
      </c>
      <c r="N67" s="15">
        <f t="shared" si="14"/>
        <v>216.18896542868148</v>
      </c>
      <c r="O67" s="11">
        <f t="shared" si="14"/>
        <v>194.65254980450754</v>
      </c>
      <c r="P67" s="11">
        <f t="shared" si="14"/>
        <v>146.39420615863338</v>
      </c>
      <c r="Q67" s="12">
        <f t="shared" si="14"/>
        <v>124.83186880098785</v>
      </c>
      <c r="R67" s="99">
        <f t="shared" si="15"/>
        <v>216.18896542868148</v>
      </c>
      <c r="S67" s="100">
        <f t="shared" si="16"/>
        <v>194.65254980450754</v>
      </c>
      <c r="T67" s="100">
        <f t="shared" si="17"/>
        <v>146.39420615863338</v>
      </c>
      <c r="U67" s="100">
        <f t="shared" si="18"/>
        <v>124.83186880098785</v>
      </c>
      <c r="V67" s="95">
        <f t="shared" si="19"/>
        <v>216.18896542868148</v>
      </c>
      <c r="W67" s="96">
        <f t="shared" si="20"/>
        <v>194.65254980450754</v>
      </c>
      <c r="X67" s="96">
        <f t="shared" si="21"/>
        <v>146.39420615863338</v>
      </c>
      <c r="Y67" s="96">
        <f t="shared" si="22"/>
        <v>124.83186880098785</v>
      </c>
      <c r="Z67" s="60">
        <f t="shared" si="23"/>
        <v>216.18896542868148</v>
      </c>
      <c r="AA67" s="61">
        <f t="shared" si="24"/>
        <v>194.65254980450754</v>
      </c>
      <c r="AB67" s="61">
        <f t="shared" si="25"/>
        <v>146.39420615863338</v>
      </c>
      <c r="AC67" s="108">
        <f t="shared" si="26"/>
        <v>124.83186880098785</v>
      </c>
      <c r="AD67" s="61">
        <f t="shared" si="27"/>
        <v>216.18896542868148</v>
      </c>
      <c r="AE67" s="61">
        <f t="shared" si="28"/>
        <v>194.65254980450754</v>
      </c>
      <c r="AF67" s="61">
        <f t="shared" si="29"/>
        <v>146.39420615863338</v>
      </c>
      <c r="AG67" s="108">
        <f t="shared" si="30"/>
        <v>124.83186880098785</v>
      </c>
      <c r="AH67" s="61">
        <f t="shared" si="31"/>
        <v>216.18896542868148</v>
      </c>
      <c r="AI67" s="61">
        <f t="shared" si="32"/>
        <v>194.65254980450754</v>
      </c>
      <c r="AJ67" s="61">
        <f t="shared" si="33"/>
        <v>146.39420615863338</v>
      </c>
      <c r="AK67" s="61">
        <f t="shared" si="34"/>
        <v>124.83186880098785</v>
      </c>
      <c r="AL67" s="60">
        <f>IF($C67="",AH67,IF(AH66&gt;AH67,SUMPRODUCT(AH66:AH67,F66:F67)/SUM(F66:F67),AH67))</f>
        <v>216.18896542868148</v>
      </c>
      <c r="AM67" s="61">
        <f>IF($C67="",AI67,IF(AI66&gt;AI67,SUMPRODUCT(AI66:AI67,G66:G67)/SUM(G66:G67),AI67))</f>
        <v>194.65254980450754</v>
      </c>
      <c r="AN67" s="61">
        <f>IF($C67="",AJ67,IF(AJ66&gt;AJ67,SUMPRODUCT(AJ66:AJ67,H66:H67)/SUM(H66:H67),AJ67))</f>
        <v>146.39420615863338</v>
      </c>
      <c r="AO67" s="108">
        <f>IF($C67="",AK67,IF(AK66&gt;AK67,SUMPRODUCT(AK66:AK67,I66:I67)/SUM(I66:I67),AK67))</f>
        <v>124.83186880098785</v>
      </c>
      <c r="AP67" s="60">
        <f t="shared" si="35"/>
        <v>216.18896542868148</v>
      </c>
      <c r="AQ67" s="61">
        <f t="shared" si="36"/>
        <v>194.65254980450754</v>
      </c>
      <c r="AR67" s="61">
        <f t="shared" si="37"/>
        <v>146.39420615863338</v>
      </c>
      <c r="AS67" s="108">
        <f t="shared" si="38"/>
        <v>124.83186880098785</v>
      </c>
      <c r="AT67" s="18" t="str">
        <f t="shared" si="49"/>
        <v/>
      </c>
      <c r="AU67" s="19" t="str">
        <f t="shared" si="50"/>
        <v/>
      </c>
      <c r="AV67" s="19" t="str">
        <f t="shared" si="39"/>
        <v/>
      </c>
      <c r="AW67" s="19" t="str">
        <f t="shared" si="40"/>
        <v/>
      </c>
      <c r="AX67" s="19" t="str">
        <f t="shared" si="52"/>
        <v/>
      </c>
      <c r="AY67" s="323" t="str">
        <f t="shared" si="54"/>
        <v/>
      </c>
      <c r="AZ67" s="326">
        <f t="shared" si="53"/>
        <v>216.18896542868148</v>
      </c>
      <c r="BA67" s="323">
        <f t="shared" si="41"/>
        <v>194.65254980450754</v>
      </c>
      <c r="BB67" s="323">
        <f t="shared" si="11"/>
        <v>146.39420615863338</v>
      </c>
      <c r="BC67" s="327">
        <f t="shared" si="51"/>
        <v>124.83186880098785</v>
      </c>
      <c r="BD67" s="18" t="str">
        <f t="shared" si="42"/>
        <v/>
      </c>
      <c r="BE67" s="19" t="str">
        <f t="shared" si="43"/>
        <v/>
      </c>
      <c r="BF67" s="19" t="str">
        <f t="shared" si="44"/>
        <v/>
      </c>
      <c r="BG67" s="19" t="str">
        <f t="shared" si="45"/>
        <v/>
      </c>
      <c r="BH67" s="19" t="str">
        <f t="shared" si="46"/>
        <v/>
      </c>
      <c r="BI67" s="20" t="str">
        <f t="shared" si="47"/>
        <v/>
      </c>
      <c r="BJ67" s="744">
        <f t="shared" si="48"/>
        <v>5811996.0054694386</v>
      </c>
      <c r="BK67" s="321"/>
    </row>
    <row r="68" spans="1:63">
      <c r="A68">
        <v>107</v>
      </c>
      <c r="B68" s="88" t="s">
        <v>6</v>
      </c>
      <c r="D68" s="62" t="str">
        <f t="shared" si="13"/>
        <v>A</v>
      </c>
      <c r="E68">
        <f>IF(ISERROR(VLOOKUP(A68,Mandatory!A:A,1,FALSE)),0,1)</f>
        <v>1</v>
      </c>
      <c r="F68" s="54">
        <f>VLOOKUP(A68,'Front-loading'!A:AG,$F$6,FALSE)</f>
        <v>1338</v>
      </c>
      <c r="G68" s="55">
        <f>VLOOKUP(A68,'Front-loading'!A:AG,$G$6,FALSE)</f>
        <v>135496</v>
      </c>
      <c r="H68" s="55">
        <f>VLOOKUP(A68,'Front-loading'!A:AG,$H$6,FALSE)</f>
        <v>2516</v>
      </c>
      <c r="I68" s="56">
        <f>VLOOKUP(A68,'Front-loading'!A:AG,$I$6,FALSE)</f>
        <v>197345</v>
      </c>
      <c r="J68" s="54">
        <f>VLOOKUP(A68,'Front-loading'!A:AG,$J$6,FALSE)</f>
        <v>246207.1986306129</v>
      </c>
      <c r="K68" s="55">
        <f>VLOOKUP(A68,'Front-loading'!A:AG,$K$6,FALSE)</f>
        <v>23245435.857504167</v>
      </c>
      <c r="L68" s="55">
        <f>VLOOKUP(A68,'Front-loading'!A:AG,$L$6,FALSE)</f>
        <v>312455.36006592208</v>
      </c>
      <c r="M68" s="56">
        <f>VLOOKUP(A68,'Front-loading'!A:AG,$M$6,FALSE)</f>
        <v>21457854.673092797</v>
      </c>
      <c r="N68" s="15">
        <f t="shared" si="14"/>
        <v>184.01135921570472</v>
      </c>
      <c r="O68" s="11">
        <f t="shared" si="14"/>
        <v>171.55809660435855</v>
      </c>
      <c r="P68" s="11">
        <f t="shared" si="14"/>
        <v>124.18734501825202</v>
      </c>
      <c r="Q68" s="12">
        <f t="shared" si="14"/>
        <v>108.73269995739845</v>
      </c>
      <c r="R68" s="99">
        <f t="shared" si="15"/>
        <v>184.01135921570472</v>
      </c>
      <c r="S68" s="100">
        <f t="shared" si="16"/>
        <v>171.55809660435855</v>
      </c>
      <c r="T68" s="100">
        <f t="shared" si="17"/>
        <v>124.18734501825202</v>
      </c>
      <c r="U68" s="100">
        <f t="shared" si="18"/>
        <v>108.73269995739845</v>
      </c>
      <c r="V68" s="95">
        <f t="shared" si="19"/>
        <v>184.01135921570472</v>
      </c>
      <c r="W68" s="96">
        <f t="shared" si="20"/>
        <v>171.55809660435855</v>
      </c>
      <c r="X68" s="96">
        <f t="shared" si="21"/>
        <v>124.18734501825202</v>
      </c>
      <c r="Y68" s="96">
        <f t="shared" si="22"/>
        <v>108.73269995739845</v>
      </c>
      <c r="Z68" s="60">
        <f t="shared" si="23"/>
        <v>184.01135921570472</v>
      </c>
      <c r="AA68" s="61">
        <f t="shared" si="24"/>
        <v>171.55809660435855</v>
      </c>
      <c r="AB68" s="61">
        <f t="shared" si="25"/>
        <v>124.18734501825202</v>
      </c>
      <c r="AC68" s="108">
        <f t="shared" si="26"/>
        <v>108.73269995739845</v>
      </c>
      <c r="AD68" s="61">
        <f t="shared" si="27"/>
        <v>184.01135921570472</v>
      </c>
      <c r="AE68" s="61">
        <f t="shared" si="28"/>
        <v>171.55809660435855</v>
      </c>
      <c r="AF68" s="61">
        <f t="shared" si="29"/>
        <v>124.18734501825202</v>
      </c>
      <c r="AG68" s="108">
        <f t="shared" si="30"/>
        <v>108.73269995739845</v>
      </c>
      <c r="AH68" s="61">
        <f t="shared" si="31"/>
        <v>184.01135921570472</v>
      </c>
      <c r="AI68" s="61">
        <f t="shared" si="32"/>
        <v>171.55809660435855</v>
      </c>
      <c r="AJ68" s="61">
        <f t="shared" si="33"/>
        <v>124.18734501825202</v>
      </c>
      <c r="AK68" s="61">
        <f t="shared" si="34"/>
        <v>108.73269995739845</v>
      </c>
      <c r="AL68" s="60">
        <f>IF($C68="",AH68,IF(AH68&gt;AH69,SUMPRODUCT(AH68:AH69,F68:F69)/SUM(F68:F69),AH68))</f>
        <v>184.01135921570472</v>
      </c>
      <c r="AM68" s="61">
        <f>IF($C68="",AI68,IF(AI68&gt;AI69,SUMPRODUCT(AI68:AI69,G68:G69)/SUM(G68:G69),AI68))</f>
        <v>171.55809660435855</v>
      </c>
      <c r="AN68" s="61">
        <f>IF($C68="",AJ68,IF(AJ68&gt;AJ69,SUMPRODUCT(AJ68:AJ69,H68:H69)/SUM(H68:H69),AJ68))</f>
        <v>124.18734501825202</v>
      </c>
      <c r="AO68" s="108">
        <f>IF($C68="",AK68,IF(AK68&gt;AK69,SUMPRODUCT(AK68:AK69,I68:I69)/SUM(I68:I69),AK68))</f>
        <v>108.73269995739845</v>
      </c>
      <c r="AP68" s="60">
        <f t="shared" si="35"/>
        <v>184.01135921570472</v>
      </c>
      <c r="AQ68" s="61">
        <f t="shared" si="36"/>
        <v>171.55809660435855</v>
      </c>
      <c r="AR68" s="61">
        <f t="shared" si="37"/>
        <v>124.18734501825202</v>
      </c>
      <c r="AS68" s="108">
        <f t="shared" si="38"/>
        <v>108.73269995739845</v>
      </c>
      <c r="AT68" s="18" t="str">
        <f t="shared" si="49"/>
        <v/>
      </c>
      <c r="AU68" s="19" t="str">
        <f t="shared" si="50"/>
        <v/>
      </c>
      <c r="AV68" s="19" t="str">
        <f t="shared" si="39"/>
        <v/>
      </c>
      <c r="AW68" s="19" t="str">
        <f t="shared" si="40"/>
        <v/>
      </c>
      <c r="AX68" s="19" t="str">
        <f t="shared" si="52"/>
        <v/>
      </c>
      <c r="AY68" s="323" t="str">
        <f t="shared" si="54"/>
        <v/>
      </c>
      <c r="AZ68" s="326">
        <f t="shared" si="53"/>
        <v>184.01135921570472</v>
      </c>
      <c r="BA68" s="323">
        <f t="shared" si="41"/>
        <v>171.55809660435855</v>
      </c>
      <c r="BB68" s="323">
        <f t="shared" si="11"/>
        <v>124.18734501825202</v>
      </c>
      <c r="BC68" s="327">
        <f t="shared" si="51"/>
        <v>108.73269995739845</v>
      </c>
      <c r="BD68" s="18" t="str">
        <f t="shared" si="42"/>
        <v/>
      </c>
      <c r="BE68" s="19" t="str">
        <f t="shared" si="43"/>
        <v/>
      </c>
      <c r="BF68" s="19" t="str">
        <f t="shared" si="44"/>
        <v/>
      </c>
      <c r="BG68" s="19" t="str">
        <f t="shared" si="45"/>
        <v/>
      </c>
      <c r="BH68" s="19" t="str">
        <f t="shared" si="46"/>
        <v/>
      </c>
      <c r="BI68" s="20" t="str">
        <f t="shared" si="47"/>
        <v/>
      </c>
      <c r="BJ68" s="744">
        <f t="shared" si="48"/>
        <v>45261953.089293495</v>
      </c>
      <c r="BK68" s="321"/>
    </row>
    <row r="69" spans="1:63">
      <c r="A69">
        <v>140</v>
      </c>
      <c r="B69" s="88" t="s">
        <v>10</v>
      </c>
      <c r="D69" s="62" t="str">
        <f t="shared" si="13"/>
        <v>A</v>
      </c>
      <c r="E69">
        <f>IF(ISERROR(VLOOKUP(A69,Mandatory!A:A,1,FALSE)),0,1)</f>
        <v>1</v>
      </c>
      <c r="F69" s="54">
        <f>VLOOKUP(A69,'Front-loading'!A:AG,$F$6,FALSE)</f>
        <v>3712</v>
      </c>
      <c r="G69" s="55">
        <f>VLOOKUP(A69,'Front-loading'!A:AG,$G$6,FALSE)</f>
        <v>358682</v>
      </c>
      <c r="H69" s="55">
        <f>VLOOKUP(A69,'Front-loading'!A:AG,$H$6,FALSE)</f>
        <v>5954</v>
      </c>
      <c r="I69" s="56">
        <f>VLOOKUP(A69,'Front-loading'!A:AG,$I$6,FALSE)</f>
        <v>378908</v>
      </c>
      <c r="J69" s="54">
        <f>VLOOKUP(A69,'Front-loading'!A:AG,$J$6,FALSE)</f>
        <v>712947.19884003571</v>
      </c>
      <c r="K69" s="55">
        <f>VLOOKUP(A69,'Front-loading'!A:AG,$K$6,FALSE)</f>
        <v>44351079.845975332</v>
      </c>
      <c r="L69" s="55">
        <f>VLOOKUP(A69,'Front-loading'!A:AG,$L$6,FALSE)</f>
        <v>793381.10244912724</v>
      </c>
      <c r="M69" s="56">
        <f>VLOOKUP(A69,'Front-loading'!A:AG,$M$6,FALSE)</f>
        <v>29243690.462163471</v>
      </c>
      <c r="N69" s="15">
        <f t="shared" si="14"/>
        <v>192.06551692888894</v>
      </c>
      <c r="O69" s="11">
        <f t="shared" si="14"/>
        <v>123.650140921416</v>
      </c>
      <c r="P69" s="11">
        <f t="shared" si="14"/>
        <v>133.25178072709559</v>
      </c>
      <c r="Q69" s="12">
        <f t="shared" si="14"/>
        <v>77.178867857536574</v>
      </c>
      <c r="R69" s="99">
        <f t="shared" si="15"/>
        <v>192.06551692888894</v>
      </c>
      <c r="S69" s="100">
        <f t="shared" si="16"/>
        <v>123.650140921416</v>
      </c>
      <c r="T69" s="100">
        <f t="shared" si="17"/>
        <v>133.25178072709559</v>
      </c>
      <c r="U69" s="100">
        <f t="shared" si="18"/>
        <v>77.178867857536574</v>
      </c>
      <c r="V69" s="95">
        <f t="shared" si="19"/>
        <v>192.06551692888894</v>
      </c>
      <c r="W69" s="96">
        <f t="shared" si="20"/>
        <v>123.650140921416</v>
      </c>
      <c r="X69" s="96">
        <f t="shared" si="21"/>
        <v>133.25178072709559</v>
      </c>
      <c r="Y69" s="96">
        <f t="shared" si="22"/>
        <v>77.178867857536574</v>
      </c>
      <c r="Z69" s="60">
        <f t="shared" si="23"/>
        <v>192.06551692888894</v>
      </c>
      <c r="AA69" s="61">
        <f t="shared" si="24"/>
        <v>123.650140921416</v>
      </c>
      <c r="AB69" s="61">
        <f t="shared" si="25"/>
        <v>133.25178072709559</v>
      </c>
      <c r="AC69" s="108">
        <f t="shared" si="26"/>
        <v>77.178867857536574</v>
      </c>
      <c r="AD69" s="61">
        <f t="shared" si="27"/>
        <v>192.06551692888894</v>
      </c>
      <c r="AE69" s="61">
        <f t="shared" si="28"/>
        <v>123.650140921416</v>
      </c>
      <c r="AF69" s="61">
        <f t="shared" si="29"/>
        <v>133.25178072709559</v>
      </c>
      <c r="AG69" s="108">
        <f t="shared" si="30"/>
        <v>77.178867857536574</v>
      </c>
      <c r="AH69" s="61">
        <f t="shared" si="31"/>
        <v>192.06551692888894</v>
      </c>
      <c r="AI69" s="61">
        <f t="shared" si="32"/>
        <v>123.650140921416</v>
      </c>
      <c r="AJ69" s="61">
        <f t="shared" si="33"/>
        <v>133.25178072709559</v>
      </c>
      <c r="AK69" s="61">
        <f t="shared" si="34"/>
        <v>77.178867857536574</v>
      </c>
      <c r="AL69" s="60">
        <f>IF($C69="",AH69,IF(AH68&gt;AH69,SUMPRODUCT(AH68:AH69,F68:F69)/SUM(F68:F69),AH69))</f>
        <v>192.06551692888894</v>
      </c>
      <c r="AM69" s="61">
        <f>IF($C69="",AI69,IF(AI68&gt;AI69,SUMPRODUCT(AI68:AI69,G68:G69)/SUM(G68:G69),AI69))</f>
        <v>123.650140921416</v>
      </c>
      <c r="AN69" s="61">
        <f>IF($C69="",AJ69,IF(AJ68&gt;AJ69,SUMPRODUCT(AJ68:AJ69,H68:H69)/SUM(H68:H69),AJ69))</f>
        <v>133.25178072709559</v>
      </c>
      <c r="AO69" s="108">
        <f>IF($C69="",AK69,IF(AK68&gt;AK69,SUMPRODUCT(AK68:AK69,I68:I69)/SUM(I68:I69),AK69))</f>
        <v>77.178867857536574</v>
      </c>
      <c r="AP69" s="60">
        <f t="shared" si="35"/>
        <v>192.06551692888894</v>
      </c>
      <c r="AQ69" s="61">
        <f t="shared" si="36"/>
        <v>123.650140921416</v>
      </c>
      <c r="AR69" s="61">
        <f t="shared" si="37"/>
        <v>133.25178072709559</v>
      </c>
      <c r="AS69" s="108">
        <f t="shared" si="38"/>
        <v>77.178867857536574</v>
      </c>
      <c r="AT69" s="18" t="str">
        <f t="shared" si="49"/>
        <v/>
      </c>
      <c r="AU69" s="19" t="str">
        <f t="shared" si="50"/>
        <v/>
      </c>
      <c r="AV69" s="19" t="str">
        <f t="shared" si="39"/>
        <v/>
      </c>
      <c r="AW69" s="19" t="str">
        <f t="shared" si="40"/>
        <v/>
      </c>
      <c r="AX69" s="19" t="str">
        <f t="shared" si="52"/>
        <v/>
      </c>
      <c r="AY69" s="323" t="str">
        <f t="shared" si="54"/>
        <v/>
      </c>
      <c r="AZ69" s="326">
        <f t="shared" si="53"/>
        <v>192.06551692888894</v>
      </c>
      <c r="BA69" s="323">
        <f t="shared" si="41"/>
        <v>123.650140921416</v>
      </c>
      <c r="BB69" s="323">
        <f t="shared" si="11"/>
        <v>133.25178072709559</v>
      </c>
      <c r="BC69" s="327">
        <f t="shared" si="51"/>
        <v>77.178867857536574</v>
      </c>
      <c r="BD69" s="18" t="str">
        <f t="shared" si="42"/>
        <v/>
      </c>
      <c r="BE69" s="19" t="str">
        <f t="shared" si="43"/>
        <v/>
      </c>
      <c r="BF69" s="19" t="str">
        <f t="shared" si="44"/>
        <v/>
      </c>
      <c r="BG69" s="19" t="str">
        <f t="shared" si="45"/>
        <v/>
      </c>
      <c r="BH69" s="19" t="str">
        <f t="shared" si="46"/>
        <v/>
      </c>
      <c r="BI69" s="20" t="str">
        <f t="shared" si="47"/>
        <v/>
      </c>
      <c r="BJ69" s="744">
        <f t="shared" si="48"/>
        <v>75101098.609427959</v>
      </c>
      <c r="BK69" s="321"/>
    </row>
    <row r="70" spans="1:63">
      <c r="A70">
        <v>141</v>
      </c>
      <c r="B70" s="88" t="s">
        <v>447</v>
      </c>
      <c r="D70" s="62" t="str">
        <f t="shared" si="13"/>
        <v>A</v>
      </c>
      <c r="E70">
        <f>IF(ISERROR(VLOOKUP(A70,Mandatory!A:A,1,FALSE)),0,1)</f>
        <v>0</v>
      </c>
      <c r="F70" s="54">
        <f>VLOOKUP(A70,'Front-loading'!A:AG,$F$6,FALSE)</f>
        <v>1004</v>
      </c>
      <c r="G70" s="55">
        <f>VLOOKUP(A70,'Front-loading'!A:AG,$G$6,FALSE)</f>
        <v>67944</v>
      </c>
      <c r="H70" s="55">
        <f>VLOOKUP(A70,'Front-loading'!A:AG,$H$6,FALSE)</f>
        <v>669</v>
      </c>
      <c r="I70" s="56">
        <f>VLOOKUP(A70,'Front-loading'!A:AG,$I$6,FALSE)</f>
        <v>171376</v>
      </c>
      <c r="J70" s="54">
        <f>VLOOKUP(A70,'Front-loading'!A:AG,$J$6,FALSE)</f>
        <v>162513.10873673722</v>
      </c>
      <c r="K70" s="55">
        <f>VLOOKUP(A70,'Front-loading'!A:AG,$K$6,FALSE)</f>
        <v>8174284.6245416552</v>
      </c>
      <c r="L70" s="55">
        <f>VLOOKUP(A70,'Front-loading'!A:AG,$L$6,FALSE)</f>
        <v>59978.93488616898</v>
      </c>
      <c r="M70" s="56">
        <f>VLOOKUP(A70,'Front-loading'!A:AG,$M$6,FALSE)</f>
        <v>14927913.108100632</v>
      </c>
      <c r="N70" s="15">
        <f t="shared" si="14"/>
        <v>161.8656461521287</v>
      </c>
      <c r="O70" s="11">
        <f t="shared" si="14"/>
        <v>120.30914612830648</v>
      </c>
      <c r="P70" s="11">
        <f t="shared" si="14"/>
        <v>89.654611190088161</v>
      </c>
      <c r="Q70" s="12">
        <f t="shared" si="14"/>
        <v>87.106205700335124</v>
      </c>
      <c r="R70" s="99">
        <f t="shared" si="15"/>
        <v>161.8656461521287</v>
      </c>
      <c r="S70" s="100">
        <f t="shared" si="16"/>
        <v>120.30914612830648</v>
      </c>
      <c r="T70" s="100">
        <f t="shared" si="17"/>
        <v>89.654611190088161</v>
      </c>
      <c r="U70" s="100">
        <f t="shared" si="18"/>
        <v>87.106205700335124</v>
      </c>
      <c r="V70" s="95">
        <f t="shared" si="19"/>
        <v>161.8656461521287</v>
      </c>
      <c r="W70" s="96">
        <f t="shared" si="20"/>
        <v>120.30914612830648</v>
      </c>
      <c r="X70" s="96">
        <f t="shared" si="21"/>
        <v>89.654611190088161</v>
      </c>
      <c r="Y70" s="96">
        <f t="shared" si="22"/>
        <v>87.106205700335124</v>
      </c>
      <c r="Z70" s="60">
        <f t="shared" si="23"/>
        <v>161.8656461521287</v>
      </c>
      <c r="AA70" s="61">
        <f t="shared" si="24"/>
        <v>120.30914612830648</v>
      </c>
      <c r="AB70" s="61">
        <f t="shared" si="25"/>
        <v>89.654611190088161</v>
      </c>
      <c r="AC70" s="108">
        <f t="shared" si="26"/>
        <v>87.106205700335124</v>
      </c>
      <c r="AD70" s="61">
        <f t="shared" si="27"/>
        <v>161.8656461521287</v>
      </c>
      <c r="AE70" s="61">
        <f t="shared" si="28"/>
        <v>120.30914612830648</v>
      </c>
      <c r="AF70" s="61">
        <f t="shared" si="29"/>
        <v>89.654611190088161</v>
      </c>
      <c r="AG70" s="108">
        <f t="shared" si="30"/>
        <v>87.106205700335124</v>
      </c>
      <c r="AH70" s="61">
        <f t="shared" si="31"/>
        <v>161.8656461521287</v>
      </c>
      <c r="AI70" s="61">
        <f t="shared" si="32"/>
        <v>120.30914612830648</v>
      </c>
      <c r="AJ70" s="61">
        <f t="shared" si="33"/>
        <v>89.654611190088161</v>
      </c>
      <c r="AK70" s="61">
        <f t="shared" si="34"/>
        <v>87.106205700335124</v>
      </c>
      <c r="AL70" s="60">
        <f>IF($C70="",AH70,IF(AH70&gt;AH71,SUMPRODUCT(AH70:AH71,F70:F71)/SUM(F70:F71),AH70))</f>
        <v>161.8656461521287</v>
      </c>
      <c r="AM70" s="61">
        <f>IF($C70="",AI70,IF(AI70&gt;AI71,SUMPRODUCT(AI70:AI71,G70:G71)/SUM(G70:G71),AI70))</f>
        <v>120.30914612830648</v>
      </c>
      <c r="AN70" s="61">
        <f>IF($C70="",AJ70,IF(AJ70&gt;AJ71,SUMPRODUCT(AJ70:AJ71,H70:H71)/SUM(H70:H71),AJ70))</f>
        <v>89.654611190088161</v>
      </c>
      <c r="AO70" s="108">
        <f>IF($C70="",AK70,IF(AK70&gt;AK71,SUMPRODUCT(AK70:AK71,I70:I71)/SUM(I70:I71),AK70))</f>
        <v>87.106205700335124</v>
      </c>
      <c r="AP70" s="60">
        <f t="shared" si="35"/>
        <v>161.8656461521287</v>
      </c>
      <c r="AQ70" s="61">
        <f t="shared" si="36"/>
        <v>120.30914612830648</v>
      </c>
      <c r="AR70" s="61">
        <f t="shared" si="37"/>
        <v>89.654611190088161</v>
      </c>
      <c r="AS70" s="108">
        <f t="shared" si="38"/>
        <v>87.106205700335124</v>
      </c>
      <c r="AT70" s="18" t="str">
        <f t="shared" si="49"/>
        <v/>
      </c>
      <c r="AU70" s="19" t="str">
        <f t="shared" si="50"/>
        <v/>
      </c>
      <c r="AV70" s="19" t="str">
        <f t="shared" si="39"/>
        <v/>
      </c>
      <c r="AW70" s="19" t="str">
        <f t="shared" si="40"/>
        <v/>
      </c>
      <c r="AX70" s="19" t="str">
        <f t="shared" si="52"/>
        <v/>
      </c>
      <c r="AY70" s="323" t="str">
        <f t="shared" si="54"/>
        <v/>
      </c>
      <c r="AZ70" s="326">
        <f t="shared" si="53"/>
        <v>161.8656461521287</v>
      </c>
      <c r="BA70" s="323">
        <f t="shared" si="41"/>
        <v>120.30914612830648</v>
      </c>
      <c r="BB70" s="323">
        <f t="shared" si="11"/>
        <v>89.654611190088161</v>
      </c>
      <c r="BC70" s="327">
        <f t="shared" si="51"/>
        <v>87.106205700335124</v>
      </c>
      <c r="BD70" s="18" t="str">
        <f t="shared" si="42"/>
        <v/>
      </c>
      <c r="BE70" s="19" t="str">
        <f t="shared" si="43"/>
        <v/>
      </c>
      <c r="BF70" s="19" t="str">
        <f t="shared" si="44"/>
        <v/>
      </c>
      <c r="BG70" s="19" t="str">
        <f t="shared" si="45"/>
        <v/>
      </c>
      <c r="BH70" s="19" t="str">
        <f t="shared" si="46"/>
        <v/>
      </c>
      <c r="BI70" s="20" t="str">
        <f t="shared" si="47"/>
        <v/>
      </c>
      <c r="BJ70" s="744">
        <f t="shared" si="48"/>
        <v>23324689.776265197</v>
      </c>
      <c r="BK70" s="321"/>
    </row>
    <row r="71" spans="1:63">
      <c r="A71">
        <v>143</v>
      </c>
      <c r="B71" s="88" t="s">
        <v>11</v>
      </c>
      <c r="D71" s="62" t="str">
        <f t="shared" si="13"/>
        <v>A</v>
      </c>
      <c r="E71">
        <f>IF(ISERROR(VLOOKUP(A71,Mandatory!A:A,1,FALSE)),0,1)</f>
        <v>1</v>
      </c>
      <c r="F71" s="54">
        <f>VLOOKUP(A71,'Front-loading'!A:AG,$F$6,FALSE)</f>
        <v>1365</v>
      </c>
      <c r="G71" s="55">
        <f>VLOOKUP(A71,'Front-loading'!A:AG,$G$6,FALSE)</f>
        <v>65160</v>
      </c>
      <c r="H71" s="55">
        <f>VLOOKUP(A71,'Front-loading'!A:AG,$H$6,FALSE)</f>
        <v>5219</v>
      </c>
      <c r="I71" s="56">
        <f>VLOOKUP(A71,'Front-loading'!A:AG,$I$6,FALSE)</f>
        <v>245076</v>
      </c>
      <c r="J71" s="54">
        <f>VLOOKUP(A71,'Front-loading'!A:AG,$J$6,FALSE)</f>
        <v>293169.13144898944</v>
      </c>
      <c r="K71" s="55">
        <f>VLOOKUP(A71,'Front-loading'!A:AG,$K$6,FALSE)</f>
        <v>10489486.204603951</v>
      </c>
      <c r="L71" s="55">
        <f>VLOOKUP(A71,'Front-loading'!A:AG,$L$6,FALSE)</f>
        <v>579117.05363541958</v>
      </c>
      <c r="M71" s="56">
        <f>VLOOKUP(A71,'Front-loading'!A:AG,$M$6,FALSE)</f>
        <v>19885562.481418315</v>
      </c>
      <c r="N71" s="15">
        <f t="shared" si="14"/>
        <v>214.77592047545014</v>
      </c>
      <c r="O71" s="11">
        <f t="shared" si="14"/>
        <v>160.9804512677095</v>
      </c>
      <c r="P71" s="11">
        <f t="shared" si="14"/>
        <v>110.96322162012255</v>
      </c>
      <c r="Q71" s="12">
        <f t="shared" si="14"/>
        <v>81.140391068151573</v>
      </c>
      <c r="R71" s="99">
        <f t="shared" si="15"/>
        <v>214.77592047545014</v>
      </c>
      <c r="S71" s="100">
        <f t="shared" si="16"/>
        <v>160.9804512677095</v>
      </c>
      <c r="T71" s="100">
        <f t="shared" si="17"/>
        <v>110.96322162012255</v>
      </c>
      <c r="U71" s="100">
        <f t="shared" si="18"/>
        <v>81.140391068151573</v>
      </c>
      <c r="V71" s="95">
        <f t="shared" si="19"/>
        <v>214.77592047545014</v>
      </c>
      <c r="W71" s="96">
        <f t="shared" si="20"/>
        <v>160.9804512677095</v>
      </c>
      <c r="X71" s="96">
        <f t="shared" si="21"/>
        <v>110.96322162012255</v>
      </c>
      <c r="Y71" s="96">
        <f t="shared" si="22"/>
        <v>81.140391068151573</v>
      </c>
      <c r="Z71" s="60">
        <f t="shared" si="23"/>
        <v>214.77592047545014</v>
      </c>
      <c r="AA71" s="61">
        <f t="shared" si="24"/>
        <v>160.9804512677095</v>
      </c>
      <c r="AB71" s="61">
        <f t="shared" si="25"/>
        <v>110.96322162012255</v>
      </c>
      <c r="AC71" s="108">
        <f t="shared" si="26"/>
        <v>81.140391068151573</v>
      </c>
      <c r="AD71" s="61">
        <f t="shared" si="27"/>
        <v>214.77592047545014</v>
      </c>
      <c r="AE71" s="61">
        <f t="shared" si="28"/>
        <v>160.9804512677095</v>
      </c>
      <c r="AF71" s="61">
        <f t="shared" si="29"/>
        <v>110.96322162012255</v>
      </c>
      <c r="AG71" s="108">
        <f t="shared" si="30"/>
        <v>81.140391068151573</v>
      </c>
      <c r="AH71" s="61">
        <f t="shared" si="31"/>
        <v>214.77592047545014</v>
      </c>
      <c r="AI71" s="61">
        <f t="shared" si="32"/>
        <v>160.9804512677095</v>
      </c>
      <c r="AJ71" s="61">
        <f t="shared" si="33"/>
        <v>110.96322162012255</v>
      </c>
      <c r="AK71" s="61">
        <f t="shared" si="34"/>
        <v>81.140391068151573</v>
      </c>
      <c r="AL71" s="60">
        <f>IF($C71="",AH71,IF(AH70&gt;AH71,SUMPRODUCT(AH70:AH71,F70:F71)/SUM(F70:F71),AH71))</f>
        <v>214.77592047545014</v>
      </c>
      <c r="AM71" s="61">
        <f>IF($C71="",AI71,IF(AI70&gt;AI71,SUMPRODUCT(AI70:AI71,G70:G71)/SUM(G70:G71),AI71))</f>
        <v>160.9804512677095</v>
      </c>
      <c r="AN71" s="61">
        <f>IF($C71="",AJ71,IF(AJ70&gt;AJ71,SUMPRODUCT(AJ70:AJ71,H70:H71)/SUM(H70:H71),AJ71))</f>
        <v>110.96322162012255</v>
      </c>
      <c r="AO71" s="108">
        <f>IF($C71="",AK71,IF(AK70&gt;AK71,SUMPRODUCT(AK70:AK71,I70:I71)/SUM(I70:I71),AK71))</f>
        <v>81.140391068151573</v>
      </c>
      <c r="AP71" s="60">
        <f t="shared" si="35"/>
        <v>214.77592047545014</v>
      </c>
      <c r="AQ71" s="61">
        <f t="shared" si="36"/>
        <v>160.9804512677095</v>
      </c>
      <c r="AR71" s="61">
        <f t="shared" si="37"/>
        <v>110.96322162012255</v>
      </c>
      <c r="AS71" s="108">
        <f t="shared" si="38"/>
        <v>81.140391068151573</v>
      </c>
      <c r="AT71" s="18" t="str">
        <f t="shared" si="49"/>
        <v/>
      </c>
      <c r="AU71" s="19" t="str">
        <f t="shared" si="50"/>
        <v/>
      </c>
      <c r="AV71" s="19" t="str">
        <f t="shared" si="39"/>
        <v/>
      </c>
      <c r="AW71" s="19" t="str">
        <f t="shared" si="40"/>
        <v/>
      </c>
      <c r="AX71" s="19" t="str">
        <f t="shared" si="52"/>
        <v/>
      </c>
      <c r="AY71" s="323" t="str">
        <f t="shared" si="54"/>
        <v/>
      </c>
      <c r="AZ71" s="326">
        <f t="shared" si="53"/>
        <v>214.77592047545014</v>
      </c>
      <c r="BA71" s="323">
        <f t="shared" si="41"/>
        <v>160.9804512677095</v>
      </c>
      <c r="BB71" s="323">
        <f t="shared" si="11"/>
        <v>110.96322162012255</v>
      </c>
      <c r="BC71" s="327">
        <f t="shared" si="51"/>
        <v>81.140391068151573</v>
      </c>
      <c r="BD71" s="18" t="str">
        <f t="shared" si="42"/>
        <v/>
      </c>
      <c r="BE71" s="19" t="str">
        <f t="shared" si="43"/>
        <v/>
      </c>
      <c r="BF71" s="19" t="str">
        <f t="shared" si="44"/>
        <v/>
      </c>
      <c r="BG71" s="19" t="str">
        <f t="shared" si="45"/>
        <v/>
      </c>
      <c r="BH71" s="19" t="str">
        <f t="shared" si="46"/>
        <v/>
      </c>
      <c r="BI71" s="20" t="str">
        <f t="shared" si="47"/>
        <v/>
      </c>
      <c r="BJ71" s="744">
        <f t="shared" si="48"/>
        <v>31247334.871106677</v>
      </c>
      <c r="BK71" s="321"/>
    </row>
    <row r="72" spans="1:63">
      <c r="A72">
        <v>170</v>
      </c>
      <c r="B72" s="88" t="s">
        <v>14</v>
      </c>
      <c r="D72" s="62" t="str">
        <f t="shared" si="13"/>
        <v>A</v>
      </c>
      <c r="E72">
        <f>IF(ISERROR(VLOOKUP(A72,Mandatory!A:A,1,FALSE)),0,1)</f>
        <v>1</v>
      </c>
      <c r="F72" s="54">
        <f>VLOOKUP(A72,'Front-loading'!A:AG,$F$6,FALSE)</f>
        <v>940</v>
      </c>
      <c r="G72" s="55">
        <f>VLOOKUP(A72,'Front-loading'!A:AG,$G$6,FALSE)</f>
        <v>22523</v>
      </c>
      <c r="H72" s="55">
        <f>VLOOKUP(A72,'Front-loading'!A:AG,$H$6,FALSE)</f>
        <v>600</v>
      </c>
      <c r="I72" s="56">
        <f>VLOOKUP(A72,'Front-loading'!A:AG,$I$6,FALSE)</f>
        <v>36193</v>
      </c>
      <c r="J72" s="54">
        <f>VLOOKUP(A72,'Front-loading'!A:AG,$J$6,FALSE)</f>
        <v>159461.63774170488</v>
      </c>
      <c r="K72" s="55">
        <f>VLOOKUP(A72,'Front-loading'!A:AG,$K$6,FALSE)</f>
        <v>6171505.6176169198</v>
      </c>
      <c r="L72" s="55">
        <f>VLOOKUP(A72,'Front-loading'!A:AG,$L$6,FALSE)</f>
        <v>129421.84788840511</v>
      </c>
      <c r="M72" s="56">
        <f>VLOOKUP(A72,'Front-loading'!A:AG,$M$6,FALSE)</f>
        <v>6682876.2143655401</v>
      </c>
      <c r="N72" s="15">
        <f t="shared" si="14"/>
        <v>169.64004015074988</v>
      </c>
      <c r="O72" s="11">
        <f t="shared" si="14"/>
        <v>274.00904043053413</v>
      </c>
      <c r="P72" s="11">
        <f t="shared" si="14"/>
        <v>215.70307981400853</v>
      </c>
      <c r="Q72" s="12">
        <f t="shared" si="14"/>
        <v>184.64554511550688</v>
      </c>
      <c r="R72" s="99">
        <f t="shared" si="15"/>
        <v>169.64004015074988</v>
      </c>
      <c r="S72" s="100">
        <f t="shared" si="16"/>
        <v>274.00904043053413</v>
      </c>
      <c r="T72" s="100">
        <f t="shared" si="17"/>
        <v>215.70307981400853</v>
      </c>
      <c r="U72" s="100">
        <f t="shared" si="18"/>
        <v>184.64554511550688</v>
      </c>
      <c r="V72" s="95">
        <f t="shared" si="19"/>
        <v>169.64004015074988</v>
      </c>
      <c r="W72" s="96">
        <f t="shared" si="20"/>
        <v>274.00904043053413</v>
      </c>
      <c r="X72" s="96">
        <f t="shared" si="21"/>
        <v>215.70307981400853</v>
      </c>
      <c r="Y72" s="96">
        <f t="shared" si="22"/>
        <v>184.64554511550688</v>
      </c>
      <c r="Z72" s="60">
        <f t="shared" si="23"/>
        <v>187.58667898059093</v>
      </c>
      <c r="AA72" s="61">
        <f t="shared" si="24"/>
        <v>274.00904043053413</v>
      </c>
      <c r="AB72" s="61">
        <f t="shared" si="25"/>
        <v>187.58667898059093</v>
      </c>
      <c r="AC72" s="108">
        <f t="shared" si="26"/>
        <v>184.64554511550688</v>
      </c>
      <c r="AD72" s="61">
        <f t="shared" si="27"/>
        <v>270.5466946195574</v>
      </c>
      <c r="AE72" s="61">
        <f t="shared" si="28"/>
        <v>270.5466946195574</v>
      </c>
      <c r="AF72" s="61">
        <f t="shared" si="29"/>
        <v>187.58667898059093</v>
      </c>
      <c r="AG72" s="108">
        <f t="shared" si="30"/>
        <v>184.64554511550688</v>
      </c>
      <c r="AH72" s="61">
        <f t="shared" si="31"/>
        <v>270.5466946195574</v>
      </c>
      <c r="AI72" s="61">
        <f t="shared" si="32"/>
        <v>270.5466946195574</v>
      </c>
      <c r="AJ72" s="61">
        <f t="shared" si="33"/>
        <v>187.58667898059093</v>
      </c>
      <c r="AK72" s="61">
        <f t="shared" si="34"/>
        <v>184.64554511550688</v>
      </c>
      <c r="AL72" s="60">
        <f>IF($C72="",AH72,IF(AH72&gt;AH73,SUMPRODUCT(AH72:AH73,F72:F73)/SUM(F72:F73),AH72))</f>
        <v>270.5466946195574</v>
      </c>
      <c r="AM72" s="61">
        <f>IF($C72="",AI72,IF(AI72&gt;AI73,SUMPRODUCT(AI72:AI73,G72:G73)/SUM(G72:G73),AI72))</f>
        <v>270.5466946195574</v>
      </c>
      <c r="AN72" s="61">
        <f>IF($C72="",AJ72,IF(AJ72&gt;AJ73,SUMPRODUCT(AJ72:AJ73,H72:H73)/SUM(H72:H73),AJ72))</f>
        <v>187.58667898059093</v>
      </c>
      <c r="AO72" s="108">
        <f>IF($C72="",AK72,IF(AK72&gt;AK73,SUMPRODUCT(AK72:AK73,I72:I73)/SUM(I72:I73),AK72))</f>
        <v>184.64554511550688</v>
      </c>
      <c r="AP72" s="60">
        <f t="shared" si="35"/>
        <v>270.5466946195574</v>
      </c>
      <c r="AQ72" s="61">
        <f t="shared" si="36"/>
        <v>270.5466946195574</v>
      </c>
      <c r="AR72" s="61">
        <f t="shared" si="37"/>
        <v>187.58667898059093</v>
      </c>
      <c r="AS72" s="108">
        <f t="shared" si="38"/>
        <v>184.64554511550688</v>
      </c>
      <c r="AT72" s="18" t="str">
        <f t="shared" si="49"/>
        <v/>
      </c>
      <c r="AU72" s="19" t="str">
        <f t="shared" si="50"/>
        <v/>
      </c>
      <c r="AV72" s="19" t="str">
        <f t="shared" si="39"/>
        <v/>
      </c>
      <c r="AW72" s="19" t="str">
        <f t="shared" si="40"/>
        <v/>
      </c>
      <c r="AX72" s="19" t="str">
        <f t="shared" si="52"/>
        <v/>
      </c>
      <c r="AY72" s="323" t="str">
        <f t="shared" si="54"/>
        <v/>
      </c>
      <c r="AZ72" s="326">
        <f t="shared" si="53"/>
        <v>270.5466946195574</v>
      </c>
      <c r="BA72" s="323">
        <f t="shared" si="41"/>
        <v>270.5466946195574</v>
      </c>
      <c r="BB72" s="323">
        <f t="shared" si="11"/>
        <v>187.58667898059093</v>
      </c>
      <c r="BC72" s="327">
        <f t="shared" si="51"/>
        <v>184.64554511550688</v>
      </c>
      <c r="BD72" s="18" t="str">
        <f t="shared" si="42"/>
        <v/>
      </c>
      <c r="BE72" s="19" t="str">
        <f t="shared" si="43"/>
        <v/>
      </c>
      <c r="BF72" s="19" t="str">
        <f t="shared" si="44"/>
        <v/>
      </c>
      <c r="BG72" s="19" t="str">
        <f t="shared" si="45"/>
        <v/>
      </c>
      <c r="BH72" s="19" t="str">
        <f t="shared" si="46"/>
        <v/>
      </c>
      <c r="BI72" s="20" t="str">
        <f t="shared" si="47"/>
        <v/>
      </c>
      <c r="BJ72" s="744">
        <f t="shared" si="48"/>
        <v>13143265.31761257</v>
      </c>
      <c r="BK72" s="321"/>
    </row>
    <row r="73" spans="1:63">
      <c r="A73">
        <v>174</v>
      </c>
      <c r="B73" s="88" t="s">
        <v>451</v>
      </c>
      <c r="D73" s="62" t="str">
        <f t="shared" si="13"/>
        <v>A</v>
      </c>
      <c r="E73">
        <f>IF(ISERROR(VLOOKUP(A73,Mandatory!A:A,1,FALSE)),0,1)</f>
        <v>0</v>
      </c>
      <c r="F73" s="54">
        <f>VLOOKUP(A73,'Front-loading'!A:AG,$F$6,FALSE)</f>
        <v>0</v>
      </c>
      <c r="G73" s="55">
        <f>VLOOKUP(A73,'Front-loading'!A:AG,$G$6,FALSE)</f>
        <v>185</v>
      </c>
      <c r="H73" s="55">
        <f>VLOOKUP(A73,'Front-loading'!A:AG,$H$6,FALSE)</f>
        <v>2803</v>
      </c>
      <c r="I73" s="56">
        <f>VLOOKUP(A73,'Front-loading'!A:AG,$I$6,FALSE)</f>
        <v>5844</v>
      </c>
      <c r="J73" s="54">
        <f>VLOOKUP(A73,'Front-loading'!A:AG,$J$6,FALSE)</f>
        <v>0</v>
      </c>
      <c r="K73" s="55">
        <f>VLOOKUP(A73,'Front-loading'!A:AG,$K$6,FALSE)</f>
        <v>104568.818179569</v>
      </c>
      <c r="L73" s="55">
        <f>VLOOKUP(A73,'Front-loading'!A:AG,$L$6,FALSE)</f>
        <v>590239.26635445177</v>
      </c>
      <c r="M73" s="56">
        <f>VLOOKUP(A73,'Front-loading'!A:AG,$M$6,FALSE)</f>
        <v>1168821.83995245</v>
      </c>
      <c r="N73" s="15">
        <f t="shared" si="14"/>
        <v>0</v>
      </c>
      <c r="O73" s="11">
        <f t="shared" si="14"/>
        <v>565.23685502469732</v>
      </c>
      <c r="P73" s="11">
        <f t="shared" si="14"/>
        <v>210.57412285210552</v>
      </c>
      <c r="Q73" s="12">
        <f t="shared" si="14"/>
        <v>200.00373715818787</v>
      </c>
      <c r="R73" s="99">
        <f t="shared" si="15"/>
        <v>210.57412285210552</v>
      </c>
      <c r="S73" s="100">
        <f t="shared" si="16"/>
        <v>565.23685502469732</v>
      </c>
      <c r="T73" s="100">
        <f t="shared" si="17"/>
        <v>210.57412285210552</v>
      </c>
      <c r="U73" s="100">
        <f t="shared" si="18"/>
        <v>200.00373715818787</v>
      </c>
      <c r="V73" s="95">
        <f t="shared" si="19"/>
        <v>210.57412285210552</v>
      </c>
      <c r="W73" s="96">
        <f t="shared" si="20"/>
        <v>565.23685502469732</v>
      </c>
      <c r="X73" s="96">
        <f t="shared" si="21"/>
        <v>210.57412285210552</v>
      </c>
      <c r="Y73" s="96">
        <f t="shared" si="22"/>
        <v>200.00373715818787</v>
      </c>
      <c r="Z73" s="60">
        <f t="shared" si="23"/>
        <v>210.57412285210552</v>
      </c>
      <c r="AA73" s="61">
        <f t="shared" si="24"/>
        <v>565.23685502469732</v>
      </c>
      <c r="AB73" s="61">
        <f t="shared" si="25"/>
        <v>210.57412285210552</v>
      </c>
      <c r="AC73" s="108">
        <f t="shared" si="26"/>
        <v>200.00373715818787</v>
      </c>
      <c r="AD73" s="61">
        <f t="shared" si="27"/>
        <v>565.23685502469732</v>
      </c>
      <c r="AE73" s="61">
        <f t="shared" si="28"/>
        <v>565.23685502469732</v>
      </c>
      <c r="AF73" s="61">
        <f t="shared" si="29"/>
        <v>210.57412285210552</v>
      </c>
      <c r="AG73" s="108">
        <f t="shared" si="30"/>
        <v>200.00373715818787</v>
      </c>
      <c r="AH73" s="61">
        <f t="shared" si="31"/>
        <v>565.23685502469732</v>
      </c>
      <c r="AI73" s="61">
        <f t="shared" si="32"/>
        <v>565.23685502469732</v>
      </c>
      <c r="AJ73" s="61">
        <f t="shared" si="33"/>
        <v>210.57412285210552</v>
      </c>
      <c r="AK73" s="61">
        <f t="shared" si="34"/>
        <v>200.00373715818787</v>
      </c>
      <c r="AL73" s="60">
        <f>IF($C73="",AH73,IF(AH72&gt;AH73,SUMPRODUCT(AH72:AH73,F72:F73)/SUM(F72:F73),AH73))</f>
        <v>565.23685502469732</v>
      </c>
      <c r="AM73" s="61">
        <f>IF($C73="",AI73,IF(AI72&gt;AI73,SUMPRODUCT(AI72:AI73,G72:G73)/SUM(G72:G73),AI73))</f>
        <v>565.23685502469732</v>
      </c>
      <c r="AN73" s="61">
        <f>IF($C73="",AJ73,IF(AJ72&gt;AJ73,SUMPRODUCT(AJ72:AJ73,H72:H73)/SUM(H72:H73),AJ73))</f>
        <v>210.57412285210552</v>
      </c>
      <c r="AO73" s="108">
        <f>IF($C73="",AK73,IF(AK72&gt;AK73,SUMPRODUCT(AK72:AK73,I72:I73)/SUM(I72:I73),AK73))</f>
        <v>200.00373715818787</v>
      </c>
      <c r="AP73" s="60">
        <f t="shared" si="35"/>
        <v>565.23685502469732</v>
      </c>
      <c r="AQ73" s="61">
        <f t="shared" si="36"/>
        <v>565.23685502469732</v>
      </c>
      <c r="AR73" s="61">
        <f t="shared" si="37"/>
        <v>210.57412285210552</v>
      </c>
      <c r="AS73" s="108">
        <f t="shared" si="38"/>
        <v>200.00373715818787</v>
      </c>
      <c r="AT73" s="18" t="str">
        <f t="shared" si="49"/>
        <v/>
      </c>
      <c r="AU73" s="19" t="str">
        <f t="shared" si="50"/>
        <v/>
      </c>
      <c r="AV73" s="19" t="str">
        <f t="shared" si="39"/>
        <v/>
      </c>
      <c r="AW73" s="19" t="str">
        <f t="shared" si="40"/>
        <v/>
      </c>
      <c r="AX73" s="19" t="str">
        <f t="shared" si="52"/>
        <v/>
      </c>
      <c r="AY73" s="323" t="str">
        <f t="shared" si="54"/>
        <v/>
      </c>
      <c r="AZ73" s="326">
        <f t="shared" si="53"/>
        <v>565.23685502469732</v>
      </c>
      <c r="BA73" s="323">
        <f t="shared" si="41"/>
        <v>565.23685502469732</v>
      </c>
      <c r="BB73" s="323">
        <f t="shared" si="11"/>
        <v>210.57412285210552</v>
      </c>
      <c r="BC73" s="327">
        <f t="shared" si="51"/>
        <v>200.00373715818787</v>
      </c>
      <c r="BD73" s="18" t="str">
        <f t="shared" si="42"/>
        <v/>
      </c>
      <c r="BE73" s="19" t="str">
        <f t="shared" si="43"/>
        <v/>
      </c>
      <c r="BF73" s="19" t="str">
        <f t="shared" si="44"/>
        <v/>
      </c>
      <c r="BG73" s="19" t="str">
        <f t="shared" si="45"/>
        <v/>
      </c>
      <c r="BH73" s="19" t="str">
        <f t="shared" si="46"/>
        <v/>
      </c>
      <c r="BI73" s="20" t="str">
        <f t="shared" si="47"/>
        <v/>
      </c>
      <c r="BJ73" s="744">
        <f t="shared" si="48"/>
        <v>1863629.9244864709</v>
      </c>
      <c r="BK73" s="321"/>
    </row>
    <row r="74" spans="1:63">
      <c r="A74">
        <v>180</v>
      </c>
      <c r="B74" s="88" t="s">
        <v>452</v>
      </c>
      <c r="D74" s="62" t="str">
        <f t="shared" si="13"/>
        <v>A</v>
      </c>
      <c r="E74">
        <f>IF(ISERROR(VLOOKUP(A74,Mandatory!A:A,1,FALSE)),0,1)</f>
        <v>0</v>
      </c>
      <c r="F74" s="54">
        <f>VLOOKUP(A74,'Front-loading'!A:AG,$F$6,FALSE)</f>
        <v>93</v>
      </c>
      <c r="G74" s="55">
        <f>VLOOKUP(A74,'Front-loading'!A:AG,$G$6,FALSE)</f>
        <v>151442</v>
      </c>
      <c r="H74" s="55">
        <f>VLOOKUP(A74,'Front-loading'!A:AG,$H$6,FALSE)</f>
        <v>28</v>
      </c>
      <c r="I74" s="56">
        <f>VLOOKUP(A74,'Front-loading'!A:AG,$I$6,FALSE)</f>
        <v>54306</v>
      </c>
      <c r="J74" s="54">
        <f>VLOOKUP(A74,'Front-loading'!A:AG,$J$6,FALSE)</f>
        <v>18167.823607280789</v>
      </c>
      <c r="K74" s="55">
        <f>VLOOKUP(A74,'Front-loading'!A:AG,$K$6,FALSE)</f>
        <v>18112004.575966936</v>
      </c>
      <c r="L74" s="55">
        <f>VLOOKUP(A74,'Front-loading'!A:AG,$L$6,FALSE)</f>
        <v>6728.902991558919</v>
      </c>
      <c r="M74" s="56">
        <f>VLOOKUP(A74,'Front-loading'!A:AG,$M$6,FALSE)</f>
        <v>5537842.2577694058</v>
      </c>
      <c r="N74" s="15">
        <f t="shared" ref="N74:Q119" si="55">IF(F74=0,0,J74/F74)</f>
        <v>195.35294201377192</v>
      </c>
      <c r="O74" s="11">
        <f t="shared" si="55"/>
        <v>119.59697161927956</v>
      </c>
      <c r="P74" s="11">
        <f t="shared" si="55"/>
        <v>240.31796398424711</v>
      </c>
      <c r="Q74" s="12">
        <f t="shared" si="55"/>
        <v>101.97477733159145</v>
      </c>
      <c r="R74" s="99">
        <f t="shared" si="15"/>
        <v>205.75807106479098</v>
      </c>
      <c r="S74" s="100">
        <f t="shared" si="16"/>
        <v>119.59697161927956</v>
      </c>
      <c r="T74" s="100">
        <f t="shared" si="17"/>
        <v>205.75807106479098</v>
      </c>
      <c r="U74" s="100">
        <f t="shared" si="18"/>
        <v>101.97477733159145</v>
      </c>
      <c r="V74" s="95">
        <f t="shared" si="19"/>
        <v>205.75807106479098</v>
      </c>
      <c r="W74" s="96">
        <f t="shared" si="20"/>
        <v>119.59697161927956</v>
      </c>
      <c r="X74" s="96">
        <f t="shared" si="21"/>
        <v>205.75807106479098</v>
      </c>
      <c r="Y74" s="96">
        <f t="shared" si="22"/>
        <v>101.97477733159145</v>
      </c>
      <c r="Z74" s="60">
        <f t="shared" si="23"/>
        <v>205.75807106479098</v>
      </c>
      <c r="AA74" s="61">
        <f t="shared" si="24"/>
        <v>119.59697161927956</v>
      </c>
      <c r="AB74" s="61">
        <f t="shared" si="25"/>
        <v>205.75807106479098</v>
      </c>
      <c r="AC74" s="108">
        <f t="shared" si="26"/>
        <v>101.97477733159145</v>
      </c>
      <c r="AD74" s="61">
        <f t="shared" si="27"/>
        <v>205.75807106479098</v>
      </c>
      <c r="AE74" s="61">
        <f t="shared" si="28"/>
        <v>119.59697161927956</v>
      </c>
      <c r="AF74" s="61">
        <f t="shared" si="29"/>
        <v>205.75807106479098</v>
      </c>
      <c r="AG74" s="108">
        <f t="shared" si="30"/>
        <v>101.97477733159145</v>
      </c>
      <c r="AH74" s="61">
        <f t="shared" si="31"/>
        <v>205.75807106479098</v>
      </c>
      <c r="AI74" s="61">
        <f t="shared" si="32"/>
        <v>119.59697161927956</v>
      </c>
      <c r="AJ74" s="61">
        <f t="shared" si="33"/>
        <v>203.95141767261026</v>
      </c>
      <c r="AK74" s="61">
        <f t="shared" si="34"/>
        <v>101.97570883630513</v>
      </c>
      <c r="AL74" s="60">
        <f>IF($C74="",AH74,IF(AH74&gt;AH75,SUMPRODUCT(AH74:AH75,F74:F75)/SUM(F74:F75),AH74))</f>
        <v>205.75807106479098</v>
      </c>
      <c r="AM74" s="61">
        <f>IF($C74="",AI74,IF(AI74&gt;AI75,SUMPRODUCT(AI74:AI75,G74:G75)/SUM(G74:G75),AI74))</f>
        <v>119.59697161927956</v>
      </c>
      <c r="AN74" s="61">
        <f>IF($C74="",AJ74,IF(AJ74&gt;AJ75,SUMPRODUCT(AJ74:AJ75,H74:H75)/SUM(H74:H75),AJ74))</f>
        <v>203.95141767261026</v>
      </c>
      <c r="AO74" s="108">
        <f>IF($C74="",AK74,IF(AK74&gt;AK75,SUMPRODUCT(AK74:AK75,I74:I75)/SUM(I74:I75),AK74))</f>
        <v>101.97570883630513</v>
      </c>
      <c r="AP74" s="60">
        <f t="shared" si="35"/>
        <v>205.75807106479098</v>
      </c>
      <c r="AQ74" s="61">
        <f t="shared" si="36"/>
        <v>119.59697161927956</v>
      </c>
      <c r="AR74" s="61">
        <f t="shared" si="37"/>
        <v>203.95141767261026</v>
      </c>
      <c r="AS74" s="108">
        <f t="shared" si="38"/>
        <v>101.97570883630513</v>
      </c>
      <c r="AT74" s="18" t="str">
        <f t="shared" si="49"/>
        <v/>
      </c>
      <c r="AU74" s="19" t="str">
        <f t="shared" si="50"/>
        <v/>
      </c>
      <c r="AV74" s="19" t="str">
        <f t="shared" si="39"/>
        <v/>
      </c>
      <c r="AW74" s="19" t="str">
        <f t="shared" si="40"/>
        <v/>
      </c>
      <c r="AX74" s="19" t="str">
        <f t="shared" si="52"/>
        <v/>
      </c>
      <c r="AY74" s="323" t="str">
        <f t="shared" si="54"/>
        <v/>
      </c>
      <c r="AZ74" s="326">
        <f t="shared" si="53"/>
        <v>205.75807106479098</v>
      </c>
      <c r="BA74" s="323">
        <f t="shared" si="41"/>
        <v>119.59697161927956</v>
      </c>
      <c r="BB74" s="323">
        <f t="shared" ref="BB74:BB85" si="56">IF(AT74&lt;&gt;"",AT74,IF(AY74&lt;&gt;"",AY74,AR74))</f>
        <v>203.95141767261026</v>
      </c>
      <c r="BC74" s="327">
        <f t="shared" si="51"/>
        <v>101.97570883630513</v>
      </c>
      <c r="BD74" s="18" t="str">
        <f t="shared" si="42"/>
        <v/>
      </c>
      <c r="BE74" s="19" t="str">
        <f t="shared" si="43"/>
        <v/>
      </c>
      <c r="BF74" s="19" t="str">
        <f t="shared" si="44"/>
        <v/>
      </c>
      <c r="BG74" s="19" t="str">
        <f t="shared" si="45"/>
        <v/>
      </c>
      <c r="BH74" s="19" t="str">
        <f t="shared" si="46"/>
        <v/>
      </c>
      <c r="BI74" s="20" t="str">
        <f t="shared" si="47"/>
        <v/>
      </c>
      <c r="BJ74" s="744">
        <f t="shared" si="48"/>
        <v>23674743.560335182</v>
      </c>
      <c r="BK74" s="321"/>
    </row>
    <row r="75" spans="1:63">
      <c r="A75">
        <v>190</v>
      </c>
      <c r="B75" s="88" t="s">
        <v>18</v>
      </c>
      <c r="D75" s="62" t="str">
        <f t="shared" ref="D75:D119" si="57">IF(ISERROR(FIND("Paed",B75,1)),"A","C")</f>
        <v>A</v>
      </c>
      <c r="E75">
        <f>IF(ISERROR(VLOOKUP(A75,Mandatory!A:A,1,FALSE)),0,1)</f>
        <v>1</v>
      </c>
      <c r="F75" s="54">
        <f>VLOOKUP(A75,'Front-loading'!A:AG,$F$6,FALSE)</f>
        <v>5</v>
      </c>
      <c r="G75" s="55">
        <f>VLOOKUP(A75,'Front-loading'!A:AG,$G$6,FALSE)</f>
        <v>62104</v>
      </c>
      <c r="H75" s="55">
        <f>VLOOKUP(A75,'Front-loading'!A:AG,$H$6,FALSE)</f>
        <v>1106</v>
      </c>
      <c r="I75" s="56">
        <f>VLOOKUP(A75,'Front-loading'!A:AG,$I$6,FALSE)</f>
        <v>143093</v>
      </c>
      <c r="J75" s="54">
        <f>VLOOKUP(A75,'Front-loading'!A:AG,$J$6,FALSE)</f>
        <v>2082.4972139884349</v>
      </c>
      <c r="K75" s="55">
        <f>VLOOKUP(A75,'Front-loading'!A:AG,$K$6,FALSE)</f>
        <v>6101954.8135049045</v>
      </c>
      <c r="L75" s="55">
        <f>VLOOKUP(A75,'Front-loading'!A:AG,$L$6,FALSE)</f>
        <v>95188.693417308008</v>
      </c>
      <c r="M75" s="56">
        <f>VLOOKUP(A75,'Front-loading'!A:AG,$M$6,FALSE)</f>
        <v>9034888.1004040092</v>
      </c>
      <c r="N75" s="15">
        <f t="shared" si="55"/>
        <v>416.49944279768698</v>
      </c>
      <c r="O75" s="11">
        <f t="shared" si="55"/>
        <v>98.25381317636392</v>
      </c>
      <c r="P75" s="11">
        <f t="shared" si="55"/>
        <v>86.065726417095846</v>
      </c>
      <c r="Q75" s="12">
        <f t="shared" si="55"/>
        <v>63.139972608052169</v>
      </c>
      <c r="R75" s="99">
        <f t="shared" ref="R75:R119" si="58">IF(F75&lt;50,(J75+L75)/(F75+H75),IF(H75&lt;50,(J75+L75)/(F75+H75),N75))</f>
        <v>87.552826850851886</v>
      </c>
      <c r="S75" s="100">
        <f t="shared" ref="S75:S119" si="59">IF(G75&lt;50,(K75+M75)/(G75+I75),IF(I75&lt;50,(K75+M75)/(G75+I75),O75))</f>
        <v>98.25381317636392</v>
      </c>
      <c r="T75" s="100">
        <f t="shared" ref="T75:T119" si="60">IF(F75&lt;50,(J75+L75)/(F75+H75),IF(H75&lt;50,(J75+L75)/(F75+H75),P75))</f>
        <v>87.552826850851886</v>
      </c>
      <c r="U75" s="100">
        <f t="shared" ref="U75:U119" si="61">IF(G75&lt;50,(K75+M75)/(G75+I75),IF(I75&lt;50,(K75+M75)/(G75+I75),Q75))</f>
        <v>63.139972608052169</v>
      </c>
      <c r="V75" s="95">
        <f t="shared" ref="V75:V119" si="62">IF(ISERROR(R75),S75,R75)</f>
        <v>87.552826850851886</v>
      </c>
      <c r="W75" s="96">
        <f t="shared" ref="W75:W119" si="63">S75</f>
        <v>98.25381317636392</v>
      </c>
      <c r="X75" s="96">
        <f t="shared" ref="X75:X119" si="64">IF(ISERROR(T75),U75,T75)</f>
        <v>87.552826850851886</v>
      </c>
      <c r="Y75" s="96">
        <f t="shared" ref="Y75:Y119" si="65">U75</f>
        <v>63.139972608052169</v>
      </c>
      <c r="Z75" s="60">
        <f t="shared" ref="Z75:Z119" si="66">IF(F75=0,V75,IF(V75&lt;X75,((V75*F75)+(H75*X75))/(F75+H75),V75))</f>
        <v>87.552826850851886</v>
      </c>
      <c r="AA75" s="61">
        <f t="shared" ref="AA75:AA119" si="67">IF(G75=0,W75,IF(W75&lt;Y75,((W75*G75)+(I75*Y75))/(G75+I75),W75))</f>
        <v>98.25381317636392</v>
      </c>
      <c r="AB75" s="61">
        <f t="shared" ref="AB75:AB119" si="68">IF(F75=0,X75,IF(V75&lt;X75,((V75*F75)+(H75*X75))/(F75+H75),X75))</f>
        <v>87.552826850851886</v>
      </c>
      <c r="AC75" s="108">
        <f t="shared" ref="AC75:AC119" si="69">IF(G75=0,Y75,IF(W75&lt;Y75,((W75*G75)+(I75*Y75))/(G75+I75),Y75))</f>
        <v>63.139972608052169</v>
      </c>
      <c r="AD75" s="61">
        <f t="shared" ref="AD75:AD119" si="70">IF(Z75&lt;AA75,SUMPRODUCT(Z75:AA75,F75:G75)/SUM(F75:G75),Z75)</f>
        <v>98.252951708112491</v>
      </c>
      <c r="AE75" s="61">
        <f t="shared" ref="AE75:AE119" si="71">IF(Z75&lt;AA75,SUMPRODUCT(Z75:AA75,F75:G75)/SUM(F75:G75),AA75)</f>
        <v>98.252951708112491</v>
      </c>
      <c r="AF75" s="61">
        <f t="shared" ref="AF75:AF119" si="72">IF(AB75&lt;AC75,SUMPRODUCT(AB75:AC75,H75:I75)/SUM(H75:I75),AB75)</f>
        <v>87.552826850851886</v>
      </c>
      <c r="AG75" s="108">
        <f t="shared" ref="AG75:AG119" si="73">IF(AB75&lt;AC75,SUMPRODUCT(AB75:AC75,H75:I75)/SUM(H75:I75),AC75)</f>
        <v>63.139972608052169</v>
      </c>
      <c r="AH75" s="61">
        <f t="shared" ref="AH75:AH119" si="74">IF(AD75&gt;2*AE75,(SUMPRODUCT(AD75:AE75,F75:G75)/(2*F75+G75))*2,AD75)</f>
        <v>98.252951708112491</v>
      </c>
      <c r="AI75" s="61">
        <f t="shared" ref="AI75:AI119" si="75">IF(AD75&gt;2*AE75,(SUMPRODUCT(AD75:AE75,F75:G75)/(2*F75+G75)),AE75)</f>
        <v>98.252951708112491</v>
      </c>
      <c r="AJ75" s="61">
        <f t="shared" ref="AJ75:AJ119" si="76">IF(AF75&gt;2*AG75,(SUMPRODUCT(AF75:AG75,H75:I75)/(2*H75+I75))*2,AF75)</f>
        <v>87.552826850851886</v>
      </c>
      <c r="AK75" s="61">
        <f t="shared" ref="AK75:AK119" si="77">IF(AF75&gt;2*AG75,(SUMPRODUCT(AF75:AG75,H75:I75)/(2*H75+I75)),AG75)</f>
        <v>63.139972608052169</v>
      </c>
      <c r="AL75" s="60">
        <f>IF($C75="",AH75,IF(AH74&gt;AH75,SUMPRODUCT(AH74:AH75,F74:F75)/SUM(F74:F75),AH75))</f>
        <v>98.252951708112491</v>
      </c>
      <c r="AM75" s="61">
        <f>IF($C75="",AI75,IF(AI74&gt;AI75,SUMPRODUCT(AI74:AI75,G74:G75)/SUM(G74:G75),AI75))</f>
        <v>98.252951708112491</v>
      </c>
      <c r="AN75" s="61">
        <f>IF($C75="",AJ75,IF(AJ74&gt;AJ75,SUMPRODUCT(AJ74:AJ75,H74:H75)/SUM(H74:H75),AJ75))</f>
        <v>87.552826850851886</v>
      </c>
      <c r="AO75" s="108">
        <f>IF($C75="",AK75,IF(AK74&gt;AK75,SUMPRODUCT(AK74:AK75,I74:I75)/SUM(I74:I75),AK75))</f>
        <v>63.139972608052169</v>
      </c>
      <c r="AP75" s="60">
        <f t="shared" ref="AP75:AP119" si="78">AL75</f>
        <v>98.252951708112491</v>
      </c>
      <c r="AQ75" s="61">
        <f t="shared" ref="AQ75:AQ119" si="79">AM75</f>
        <v>98.252951708112491</v>
      </c>
      <c r="AR75" s="61">
        <f t="shared" ref="AR75:AR119" si="80">AN75</f>
        <v>87.552826850851886</v>
      </c>
      <c r="AS75" s="108">
        <f t="shared" ref="AS75:AS119" si="81">AO75</f>
        <v>63.139972608052169</v>
      </c>
      <c r="AT75" s="18" t="str">
        <f t="shared" si="49"/>
        <v/>
      </c>
      <c r="AU75" s="19" t="str">
        <f t="shared" si="50"/>
        <v/>
      </c>
      <c r="AV75" s="19" t="str">
        <f t="shared" ref="AV75:AV119" si="82">IF(AP75&lt;AQ75,"2FA","")</f>
        <v/>
      </c>
      <c r="AW75" s="19" t="str">
        <f t="shared" ref="AW75:AW118" si="83">IF(AR75&lt;AS75,"2FU","")</f>
        <v/>
      </c>
      <c r="AX75" s="19" t="str">
        <f t="shared" si="52"/>
        <v/>
      </c>
      <c r="AY75" s="323" t="str">
        <f t="shared" si="54"/>
        <v/>
      </c>
      <c r="AZ75" s="326">
        <f t="shared" si="53"/>
        <v>98.252951708112491</v>
      </c>
      <c r="BA75" s="323">
        <f t="shared" ref="BA75:BA119" si="84">AQ75</f>
        <v>98.252951708112491</v>
      </c>
      <c r="BB75" s="323">
        <f t="shared" si="56"/>
        <v>87.552826850851886</v>
      </c>
      <c r="BC75" s="327">
        <f t="shared" si="51"/>
        <v>63.139972608052169</v>
      </c>
      <c r="BD75" s="18" t="str">
        <f t="shared" ref="BD75:BD119" si="85">IF(AZ75&lt;BB75,"1FA","")</f>
        <v/>
      </c>
      <c r="BE75" s="19" t="str">
        <f t="shared" ref="BE75:BE119" si="86">IF(BA75&lt;BC75,"1FU","")</f>
        <v/>
      </c>
      <c r="BF75" s="19" t="str">
        <f t="shared" ref="BF75:BF119" si="87">IF(AZ75&lt;BA75,"2FA","")</f>
        <v/>
      </c>
      <c r="BG75" s="19" t="str">
        <f t="shared" ref="BG75:BG119" si="88">IF(BB75&lt;BC75,"2FU","")</f>
        <v/>
      </c>
      <c r="BH75" s="19" t="str">
        <f t="shared" ref="BH75:BH119" si="89">IF(AZ75&gt;2*BA75,"3FA","")</f>
        <v/>
      </c>
      <c r="BI75" s="20" t="str">
        <f t="shared" ref="BI75:BI119" si="90">IF(BB75&gt;2*BC75,"3FU","")</f>
        <v/>
      </c>
      <c r="BJ75" s="744">
        <f t="shared" ref="BJ75:BJ119" si="91">SUMPRODUCT(AZ75:BC75,F75:I75)</f>
        <v>15234114.10454021</v>
      </c>
      <c r="BK75" s="321"/>
    </row>
    <row r="76" spans="1:63">
      <c r="A76">
        <v>192</v>
      </c>
      <c r="B76" s="88" t="s">
        <v>453</v>
      </c>
      <c r="D76" s="62" t="str">
        <f t="shared" si="57"/>
        <v>A</v>
      </c>
      <c r="E76">
        <f>IF(ISERROR(VLOOKUP(A76,Mandatory!A:A,1,FALSE)),0,1)</f>
        <v>0</v>
      </c>
      <c r="F76" s="54">
        <f>VLOOKUP(A76,'Front-loading'!A:AG,$F$6,FALSE)</f>
        <v>0</v>
      </c>
      <c r="G76" s="55">
        <f>VLOOKUP(A76,'Front-loading'!A:AG,$G$6,FALSE)</f>
        <v>276</v>
      </c>
      <c r="H76" s="55">
        <f>VLOOKUP(A76,'Front-loading'!A:AG,$H$6,FALSE)</f>
        <v>0</v>
      </c>
      <c r="I76" s="56">
        <f>VLOOKUP(A76,'Front-loading'!A:AG,$I$6,FALSE)</f>
        <v>839</v>
      </c>
      <c r="J76" s="54">
        <f>VLOOKUP(A76,'Front-loading'!A:AG,$J$6,FALSE)</f>
        <v>0</v>
      </c>
      <c r="K76" s="55">
        <f>VLOOKUP(A76,'Front-loading'!A:AG,$K$6,FALSE)</f>
        <v>113623.77628854409</v>
      </c>
      <c r="L76" s="55">
        <f>VLOOKUP(A76,'Front-loading'!A:AG,$L$6,FALSE)</f>
        <v>0</v>
      </c>
      <c r="M76" s="56">
        <f>VLOOKUP(A76,'Front-loading'!A:AG,$M$6,FALSE)</f>
        <v>152272.2069365184</v>
      </c>
      <c r="N76" s="15">
        <f t="shared" si="55"/>
        <v>0</v>
      </c>
      <c r="O76" s="11">
        <f t="shared" si="55"/>
        <v>411.68034887153658</v>
      </c>
      <c r="P76" s="11">
        <f t="shared" si="55"/>
        <v>0</v>
      </c>
      <c r="Q76" s="12">
        <f t="shared" si="55"/>
        <v>181.49249932838904</v>
      </c>
      <c r="R76" s="99" t="e">
        <f t="shared" si="58"/>
        <v>#DIV/0!</v>
      </c>
      <c r="S76" s="100">
        <f t="shared" si="59"/>
        <v>411.68034887153658</v>
      </c>
      <c r="T76" s="100" t="e">
        <f t="shared" si="60"/>
        <v>#DIV/0!</v>
      </c>
      <c r="U76" s="100">
        <f t="shared" si="61"/>
        <v>181.49249932838904</v>
      </c>
      <c r="V76" s="95">
        <f t="shared" si="62"/>
        <v>411.68034887153658</v>
      </c>
      <c r="W76" s="96">
        <f t="shared" si="63"/>
        <v>411.68034887153658</v>
      </c>
      <c r="X76" s="96">
        <f t="shared" si="64"/>
        <v>181.49249932838904</v>
      </c>
      <c r="Y76" s="96">
        <f t="shared" si="65"/>
        <v>181.49249932838904</v>
      </c>
      <c r="Z76" s="60">
        <f t="shared" si="66"/>
        <v>411.68034887153658</v>
      </c>
      <c r="AA76" s="61">
        <f t="shared" si="67"/>
        <v>411.68034887153658</v>
      </c>
      <c r="AB76" s="61">
        <f t="shared" si="68"/>
        <v>181.49249932838904</v>
      </c>
      <c r="AC76" s="108">
        <f t="shared" si="69"/>
        <v>181.49249932838904</v>
      </c>
      <c r="AD76" s="61">
        <f t="shared" si="70"/>
        <v>411.68034887153658</v>
      </c>
      <c r="AE76" s="61">
        <f t="shared" si="71"/>
        <v>411.68034887153658</v>
      </c>
      <c r="AF76" s="61">
        <f t="shared" si="72"/>
        <v>181.49249932838904</v>
      </c>
      <c r="AG76" s="108">
        <f t="shared" si="73"/>
        <v>181.49249932838904</v>
      </c>
      <c r="AH76" s="61">
        <f t="shared" si="74"/>
        <v>411.68034887153658</v>
      </c>
      <c r="AI76" s="61">
        <f t="shared" si="75"/>
        <v>411.68034887153658</v>
      </c>
      <c r="AJ76" s="61">
        <f t="shared" si="76"/>
        <v>181.49249932838904</v>
      </c>
      <c r="AK76" s="61">
        <f t="shared" si="77"/>
        <v>181.49249932838904</v>
      </c>
      <c r="AL76" s="60">
        <f t="shared" ref="AL76:AO77" si="92">IF($C76="",AH76,IF(AH76&gt;AH78,SUMPRODUCT(AH76:AH78,F76:F78)/SUM(F76:F78),AH76))</f>
        <v>411.68034887153658</v>
      </c>
      <c r="AM76" s="61">
        <f t="shared" si="92"/>
        <v>411.68034887153658</v>
      </c>
      <c r="AN76" s="61">
        <f t="shared" si="92"/>
        <v>181.49249932838904</v>
      </c>
      <c r="AO76" s="108">
        <f t="shared" si="92"/>
        <v>181.49249932838904</v>
      </c>
      <c r="AP76" s="60">
        <f t="shared" si="78"/>
        <v>411.68034887153658</v>
      </c>
      <c r="AQ76" s="61">
        <f t="shared" si="79"/>
        <v>411.68034887153658</v>
      </c>
      <c r="AR76" s="61">
        <f t="shared" si="80"/>
        <v>181.49249932838904</v>
      </c>
      <c r="AS76" s="108">
        <f t="shared" si="81"/>
        <v>181.49249932838904</v>
      </c>
      <c r="AT76" s="18" t="str">
        <f t="shared" si="49"/>
        <v/>
      </c>
      <c r="AU76" s="19" t="str">
        <f t="shared" si="50"/>
        <v/>
      </c>
      <c r="AV76" s="19" t="str">
        <f t="shared" si="82"/>
        <v/>
      </c>
      <c r="AW76" s="19" t="str">
        <f t="shared" si="83"/>
        <v/>
      </c>
      <c r="AX76" s="19" t="str">
        <f t="shared" si="52"/>
        <v/>
      </c>
      <c r="AY76" s="323" t="str">
        <f t="shared" si="54"/>
        <v/>
      </c>
      <c r="AZ76" s="326">
        <f t="shared" si="53"/>
        <v>411.68034887153658</v>
      </c>
      <c r="BA76" s="323">
        <f t="shared" si="84"/>
        <v>411.68034887153658</v>
      </c>
      <c r="BB76" s="323">
        <f t="shared" si="56"/>
        <v>181.49249932838904</v>
      </c>
      <c r="BC76" s="327">
        <f t="shared" si="51"/>
        <v>181.49249932838904</v>
      </c>
      <c r="BD76" s="18" t="str">
        <f t="shared" si="85"/>
        <v/>
      </c>
      <c r="BE76" s="19" t="str">
        <f t="shared" si="86"/>
        <v/>
      </c>
      <c r="BF76" s="19" t="str">
        <f t="shared" si="87"/>
        <v/>
      </c>
      <c r="BG76" s="19" t="str">
        <f t="shared" si="88"/>
        <v/>
      </c>
      <c r="BH76" s="19" t="str">
        <f t="shared" si="89"/>
        <v/>
      </c>
      <c r="BI76" s="20" t="str">
        <f t="shared" si="90"/>
        <v/>
      </c>
      <c r="BJ76" s="744">
        <f t="shared" si="91"/>
        <v>265895.98322506249</v>
      </c>
      <c r="BK76" s="321"/>
    </row>
    <row r="77" spans="1:63" s="255" customFormat="1">
      <c r="A77" s="255">
        <v>263</v>
      </c>
      <c r="B77" s="88" t="s">
        <v>61</v>
      </c>
      <c r="D77" s="62" t="str">
        <f t="shared" si="57"/>
        <v>C</v>
      </c>
      <c r="E77" s="255">
        <f>IF(ISERROR(VLOOKUP(A77,Mandatory!A:A,1,FALSE)),0,1)</f>
        <v>1</v>
      </c>
      <c r="F77" s="259">
        <f>VLOOKUP(A77,'Front-loading'!A:AG,$F$6,FALSE)</f>
        <v>497</v>
      </c>
      <c r="G77" s="260">
        <f>VLOOKUP(A77,'Front-loading'!A:AG,$G$6,FALSE)</f>
        <v>2264</v>
      </c>
      <c r="H77" s="260">
        <f>VLOOKUP(A77,'Front-loading'!A:AG,$H$6,FALSE)</f>
        <v>3428</v>
      </c>
      <c r="I77" s="261">
        <f>VLOOKUP(A77,'Front-loading'!A:AG,$I$6,FALSE)</f>
        <v>17682</v>
      </c>
      <c r="J77" s="259">
        <f>VLOOKUP(A77,'Front-loading'!A:AG,$J$6,FALSE)</f>
        <v>43790.199378030156</v>
      </c>
      <c r="K77" s="260">
        <f>VLOOKUP(A77,'Front-loading'!A:AG,$K$6,FALSE)</f>
        <v>374363.09679349203</v>
      </c>
      <c r="L77" s="260">
        <f>VLOOKUP(A77,'Front-loading'!A:AG,$L$6,FALSE)</f>
        <v>355455.68945477216</v>
      </c>
      <c r="M77" s="261">
        <f>VLOOKUP(A77,'Front-loading'!A:AG,$M$6,FALSE)</f>
        <v>1248010.1038767511</v>
      </c>
      <c r="N77" s="258">
        <f t="shared" ref="N77" si="93">IF(F77=0,0,J77/F77)</f>
        <v>88.109053074507358</v>
      </c>
      <c r="O77" s="256">
        <f t="shared" ref="O77" si="94">IF(G77=0,0,K77/G77)</f>
        <v>165.3547247321078</v>
      </c>
      <c r="P77" s="256">
        <f t="shared" ref="P77" si="95">IF(H77=0,0,L77/H77)</f>
        <v>103.69185806731977</v>
      </c>
      <c r="Q77" s="257">
        <f t="shared" ref="Q77" si="96">IF(I77=0,0,M77/I77)</f>
        <v>70.580822524417556</v>
      </c>
      <c r="R77" s="99">
        <f t="shared" ref="R77" si="97">IF(F77&lt;50,(J77+L77)/(F77+H77),IF(H77&lt;50,(J77+L77)/(F77+H77),N77))</f>
        <v>88.109053074507358</v>
      </c>
      <c r="S77" s="100">
        <f t="shared" ref="S77" si="98">IF(G77&lt;50,(K77+M77)/(G77+I77),IF(I77&lt;50,(K77+M77)/(G77+I77),O77))</f>
        <v>165.3547247321078</v>
      </c>
      <c r="T77" s="100">
        <f t="shared" ref="T77" si="99">IF(F77&lt;50,(J77+L77)/(F77+H77),IF(H77&lt;50,(J77+L77)/(F77+H77),P77))</f>
        <v>103.69185806731977</v>
      </c>
      <c r="U77" s="100">
        <f t="shared" ref="U77" si="100">IF(G77&lt;50,(K77+M77)/(G77+I77),IF(I77&lt;50,(K77+M77)/(G77+I77),Q77))</f>
        <v>70.580822524417556</v>
      </c>
      <c r="V77" s="95">
        <f t="shared" ref="V77" si="101">IF(ISERROR(R77),S77,R77)</f>
        <v>88.109053074507358</v>
      </c>
      <c r="W77" s="96">
        <f t="shared" ref="W77" si="102">S77</f>
        <v>165.3547247321078</v>
      </c>
      <c r="X77" s="96">
        <f t="shared" ref="X77" si="103">IF(ISERROR(T77),U77,T77)</f>
        <v>103.69185806731977</v>
      </c>
      <c r="Y77" s="96">
        <f t="shared" ref="Y77" si="104">U77</f>
        <v>70.580822524417556</v>
      </c>
      <c r="Z77" s="60">
        <f t="shared" ref="Z77" si="105">IF(F77=0,V77,IF(V77&lt;X77,((V77*F77)+(H77*X77))/(F77+H77),V77))</f>
        <v>101.71869779179677</v>
      </c>
      <c r="AA77" s="61">
        <f t="shared" ref="AA77" si="106">IF(G77=0,W77,IF(W77&lt;Y77,((W77*G77)+(I77*Y77))/(G77+I77),W77))</f>
        <v>165.3547247321078</v>
      </c>
      <c r="AB77" s="61">
        <f t="shared" ref="AB77" si="107">IF(F77=0,X77,IF(V77&lt;X77,((V77*F77)+(H77*X77))/(F77+H77),X77))</f>
        <v>101.71869779179677</v>
      </c>
      <c r="AC77" s="108">
        <f t="shared" ref="AC77" si="108">IF(G77=0,Y77,IF(W77&lt;Y77,((W77*G77)+(I77*Y77))/(G77+I77),Y77))</f>
        <v>70.580822524417556</v>
      </c>
      <c r="AD77" s="61">
        <f t="shared" ref="AD77" si="109">IF(Z77&lt;AA77,SUMPRODUCT(Z77:AA77,F77:G77)/SUM(F77:G77),Z77)</f>
        <v>153.8997789192376</v>
      </c>
      <c r="AE77" s="61">
        <f t="shared" ref="AE77" si="110">IF(Z77&lt;AA77,SUMPRODUCT(Z77:AA77,F77:G77)/SUM(F77:G77),AA77)</f>
        <v>153.8997789192376</v>
      </c>
      <c r="AF77" s="61">
        <f t="shared" ref="AF77" si="111">IF(AB77&lt;AC77,SUMPRODUCT(AB77:AC77,H77:I77)/SUM(H77:I77),AB77)</f>
        <v>101.71869779179677</v>
      </c>
      <c r="AG77" s="108">
        <f t="shared" ref="AG77" si="112">IF(AB77&lt;AC77,SUMPRODUCT(AB77:AC77,H77:I77)/SUM(H77:I77),AC77)</f>
        <v>70.580822524417556</v>
      </c>
      <c r="AH77" s="61">
        <f t="shared" ref="AH77" si="113">IF(AD77&gt;2*AE77,(SUMPRODUCT(AD77:AE77,F77:G77)/(2*F77+G77))*2,AD77)</f>
        <v>153.8997789192376</v>
      </c>
      <c r="AI77" s="61">
        <f t="shared" ref="AI77" si="114">IF(AD77&gt;2*AE77,(SUMPRODUCT(AD77:AE77,F77:G77)/(2*F77+G77)),AE77)</f>
        <v>153.8997789192376</v>
      </c>
      <c r="AJ77" s="61">
        <f t="shared" ref="AJ77" si="115">IF(AF77&gt;2*AG77,(SUMPRODUCT(AF77:AG77,H77:I77)/(2*H77+I77))*2,AF77)</f>
        <v>101.71869779179677</v>
      </c>
      <c r="AK77" s="61">
        <f t="shared" ref="AK77" si="116">IF(AF77&gt;2*AG77,(SUMPRODUCT(AF77:AG77,H77:I77)/(2*H77+I77)),AG77)</f>
        <v>70.580822524417556</v>
      </c>
      <c r="AL77" s="60">
        <f t="shared" si="92"/>
        <v>153.8997789192376</v>
      </c>
      <c r="AM77" s="61">
        <f t="shared" si="92"/>
        <v>153.8997789192376</v>
      </c>
      <c r="AN77" s="61">
        <f t="shared" si="92"/>
        <v>101.71869779179677</v>
      </c>
      <c r="AO77" s="108">
        <f t="shared" si="92"/>
        <v>70.580822524417556</v>
      </c>
      <c r="AP77" s="60">
        <f t="shared" si="78"/>
        <v>153.8997789192376</v>
      </c>
      <c r="AQ77" s="61">
        <f t="shared" si="79"/>
        <v>153.8997789192376</v>
      </c>
      <c r="AR77" s="61">
        <f t="shared" si="80"/>
        <v>101.71869779179677</v>
      </c>
      <c r="AS77" s="108">
        <f t="shared" si="81"/>
        <v>70.580822524417556</v>
      </c>
      <c r="AT77" s="18" t="str">
        <f t="shared" ref="AT77" si="117">IF(AP77&lt;AR77,AP77,"")</f>
        <v/>
      </c>
      <c r="AU77" s="19" t="str">
        <f t="shared" ref="AU77" si="118">IF(AQ77&lt;AS77,AQ77,"")</f>
        <v/>
      </c>
      <c r="AV77" s="19" t="str">
        <f t="shared" ref="AV77" si="119">IF(AP77&lt;AQ77,"2FA","")</f>
        <v/>
      </c>
      <c r="AW77" s="19" t="str">
        <f t="shared" ref="AW77" si="120">IF(AR77&lt;AS77,"2FU","")</f>
        <v/>
      </c>
      <c r="AX77" s="19" t="str">
        <f t="shared" ref="AX77" si="121">IF(AP77&gt;2*AQ77,2*AQ77,"")</f>
        <v/>
      </c>
      <c r="AY77" s="323" t="str">
        <f t="shared" si="54"/>
        <v/>
      </c>
      <c r="AZ77" s="326">
        <f t="shared" ref="AZ77" si="122">IF(AX77="",AP77,AX77)</f>
        <v>153.8997789192376</v>
      </c>
      <c r="BA77" s="323">
        <f t="shared" ref="BA77" si="123">AQ77</f>
        <v>153.8997789192376</v>
      </c>
      <c r="BB77" s="323">
        <f t="shared" ref="BB77" si="124">IF(AT77&lt;&gt;"",AT77,IF(AY77&lt;&gt;"",AY77,AR77))</f>
        <v>101.71869779179677</v>
      </c>
      <c r="BC77" s="327">
        <f t="shared" ref="BC77" si="125">IF(AU77="",AS77,AU77)</f>
        <v>70.580822524417556</v>
      </c>
      <c r="BD77" s="18" t="str">
        <f t="shared" ref="BD77" si="126">IF(AZ77&lt;BB77,"1FA","")</f>
        <v/>
      </c>
      <c r="BE77" s="19" t="str">
        <f t="shared" ref="BE77" si="127">IF(BA77&lt;BC77,"1FU","")</f>
        <v/>
      </c>
      <c r="BF77" s="19" t="str">
        <f t="shared" ref="BF77" si="128">IF(AZ77&lt;BA77,"2FA","")</f>
        <v/>
      </c>
      <c r="BG77" s="19" t="str">
        <f t="shared" ref="BG77" si="129">IF(BB77&lt;BC77,"2FU","")</f>
        <v/>
      </c>
      <c r="BH77" s="19" t="str">
        <f t="shared" ref="BH77" si="130">IF(AZ77&gt;2*BA77,"3FA","")</f>
        <v/>
      </c>
      <c r="BI77" s="20" t="str">
        <f t="shared" ref="BI77" si="131">IF(BB77&gt;2*BC77,"3FU","")</f>
        <v/>
      </c>
      <c r="BJ77" s="744">
        <f t="shared" ref="BJ77" si="132">SUMPRODUCT(AZ77:BC77,F77:I77)</f>
        <v>2021619.0895030454</v>
      </c>
      <c r="BK77" s="321"/>
    </row>
    <row r="78" spans="1:63">
      <c r="A78">
        <v>300</v>
      </c>
      <c r="B78" s="88" t="s">
        <v>43</v>
      </c>
      <c r="D78" s="62" t="str">
        <f t="shared" si="57"/>
        <v>A</v>
      </c>
      <c r="E78">
        <f>IF(ISERROR(VLOOKUP(A78,Mandatory!A:A,1,FALSE)),0,1)</f>
        <v>1</v>
      </c>
      <c r="F78" s="54">
        <f>VLOOKUP(A78,'Front-loading'!A:AG,$F$6,FALSE)</f>
        <v>3833</v>
      </c>
      <c r="G78" s="55">
        <f>VLOOKUP(A78,'Front-loading'!A:AG,$G$6,FALSE)</f>
        <v>361039</v>
      </c>
      <c r="H78" s="55">
        <f>VLOOKUP(A78,'Front-loading'!A:AG,$H$6,FALSE)</f>
        <v>11253</v>
      </c>
      <c r="I78" s="56">
        <f>VLOOKUP(A78,'Front-loading'!A:AG,$I$6,FALSE)</f>
        <v>623402</v>
      </c>
      <c r="J78" s="54">
        <f>VLOOKUP(A78,'Front-loading'!A:AG,$J$6,FALSE)</f>
        <v>1049903.5407638929</v>
      </c>
      <c r="K78" s="55">
        <f>VLOOKUP(A78,'Front-loading'!A:AG,$K$6,FALSE)</f>
        <v>73248763.022992238</v>
      </c>
      <c r="L78" s="55">
        <f>VLOOKUP(A78,'Front-loading'!A:AG,$L$6,FALSE)</f>
        <v>1573061.189315184</v>
      </c>
      <c r="M78" s="56">
        <f>VLOOKUP(A78,'Front-loading'!A:AG,$M$6,FALSE)</f>
        <v>76734127.212612554</v>
      </c>
      <c r="N78" s="15">
        <f t="shared" si="55"/>
        <v>273.91169860785101</v>
      </c>
      <c r="O78" s="11">
        <f t="shared" si="55"/>
        <v>202.88324259426886</v>
      </c>
      <c r="P78" s="11">
        <f t="shared" si="55"/>
        <v>139.79038383677099</v>
      </c>
      <c r="Q78" s="12">
        <f t="shared" si="55"/>
        <v>123.08931830923314</v>
      </c>
      <c r="R78" s="99">
        <f t="shared" si="58"/>
        <v>273.91169860785101</v>
      </c>
      <c r="S78" s="100">
        <f t="shared" si="59"/>
        <v>202.88324259426886</v>
      </c>
      <c r="T78" s="100">
        <f t="shared" si="60"/>
        <v>139.79038383677099</v>
      </c>
      <c r="U78" s="100">
        <f t="shared" si="61"/>
        <v>123.08931830923314</v>
      </c>
      <c r="V78" s="95">
        <f t="shared" si="62"/>
        <v>273.91169860785101</v>
      </c>
      <c r="W78" s="96">
        <f t="shared" si="63"/>
        <v>202.88324259426886</v>
      </c>
      <c r="X78" s="96">
        <f t="shared" si="64"/>
        <v>139.79038383677099</v>
      </c>
      <c r="Y78" s="96">
        <f t="shared" si="65"/>
        <v>123.08931830923314</v>
      </c>
      <c r="Z78" s="60">
        <f t="shared" si="66"/>
        <v>273.91169860785101</v>
      </c>
      <c r="AA78" s="61">
        <f t="shared" si="67"/>
        <v>202.88324259426886</v>
      </c>
      <c r="AB78" s="61">
        <f t="shared" si="68"/>
        <v>139.79038383677099</v>
      </c>
      <c r="AC78" s="108">
        <f t="shared" si="69"/>
        <v>123.08931830923314</v>
      </c>
      <c r="AD78" s="61">
        <f t="shared" si="70"/>
        <v>273.91169860785101</v>
      </c>
      <c r="AE78" s="61">
        <f t="shared" si="71"/>
        <v>202.88324259426886</v>
      </c>
      <c r="AF78" s="61">
        <f t="shared" si="72"/>
        <v>139.79038383677099</v>
      </c>
      <c r="AG78" s="108">
        <f t="shared" si="73"/>
        <v>123.08931830923314</v>
      </c>
      <c r="AH78" s="61">
        <f t="shared" si="74"/>
        <v>273.91169860785101</v>
      </c>
      <c r="AI78" s="61">
        <f t="shared" si="75"/>
        <v>202.88324259426886</v>
      </c>
      <c r="AJ78" s="61">
        <f t="shared" si="76"/>
        <v>139.79038383677099</v>
      </c>
      <c r="AK78" s="61">
        <f t="shared" si="77"/>
        <v>123.08931830923314</v>
      </c>
      <c r="AL78" s="60">
        <f>IF($C78="",AH78,IF(AH76&gt;AH78,SUMPRODUCT(AH76:AH78,F76:F78)/SUM(F76:F78),AH78))</f>
        <v>273.91169860785101</v>
      </c>
      <c r="AM78" s="61">
        <f>IF($C78="",AI78,IF(AI76&gt;AI78,SUMPRODUCT(AI76:AI78,G76:G78)/SUM(G76:G78),AI78))</f>
        <v>202.88324259426886</v>
      </c>
      <c r="AN78" s="61">
        <f>IF($C78="",AJ78,IF(AJ76&gt;AJ78,SUMPRODUCT(AJ76:AJ78,H76:H78)/SUM(H76:H78),AJ78))</f>
        <v>139.79038383677099</v>
      </c>
      <c r="AO78" s="108">
        <f>IF($C78="",AK78,IF(AK76&gt;AK78,SUMPRODUCT(AK76:AK78,I76:I78)/SUM(I76:I78),AK78))</f>
        <v>123.08931830923314</v>
      </c>
      <c r="AP78" s="60">
        <f t="shared" si="78"/>
        <v>273.91169860785101</v>
      </c>
      <c r="AQ78" s="61">
        <f t="shared" si="79"/>
        <v>202.88324259426886</v>
      </c>
      <c r="AR78" s="61">
        <f t="shared" si="80"/>
        <v>139.79038383677099</v>
      </c>
      <c r="AS78" s="108">
        <f t="shared" si="81"/>
        <v>123.08931830923314</v>
      </c>
      <c r="AT78" s="18" t="str">
        <f t="shared" si="49"/>
        <v/>
      </c>
      <c r="AU78" s="19" t="str">
        <f t="shared" si="50"/>
        <v/>
      </c>
      <c r="AV78" s="19" t="str">
        <f t="shared" si="82"/>
        <v/>
      </c>
      <c r="AW78" s="19" t="str">
        <f t="shared" si="83"/>
        <v/>
      </c>
      <c r="AX78" s="19" t="str">
        <f t="shared" si="52"/>
        <v/>
      </c>
      <c r="AY78" s="323" t="str">
        <f t="shared" si="54"/>
        <v/>
      </c>
      <c r="AZ78" s="326">
        <f t="shared" si="53"/>
        <v>273.91169860785101</v>
      </c>
      <c r="BA78" s="323">
        <f t="shared" si="84"/>
        <v>202.88324259426886</v>
      </c>
      <c r="BB78" s="323">
        <f t="shared" si="56"/>
        <v>139.79038383677099</v>
      </c>
      <c r="BC78" s="327">
        <f t="shared" si="51"/>
        <v>123.08931830923314</v>
      </c>
      <c r="BD78" s="18" t="str">
        <f t="shared" si="85"/>
        <v/>
      </c>
      <c r="BE78" s="19" t="str">
        <f t="shared" si="86"/>
        <v/>
      </c>
      <c r="BF78" s="19" t="str">
        <f t="shared" si="87"/>
        <v/>
      </c>
      <c r="BG78" s="19" t="str">
        <f t="shared" si="88"/>
        <v/>
      </c>
      <c r="BH78" s="19" t="str">
        <f t="shared" si="89"/>
        <v/>
      </c>
      <c r="BI78" s="20" t="str">
        <f t="shared" si="90"/>
        <v/>
      </c>
      <c r="BJ78" s="744">
        <f t="shared" si="91"/>
        <v>152605854.96568388</v>
      </c>
      <c r="BK78" s="321"/>
    </row>
    <row r="79" spans="1:63">
      <c r="A79">
        <v>304</v>
      </c>
      <c r="B79" s="88" t="s">
        <v>501</v>
      </c>
      <c r="D79" s="62" t="str">
        <f t="shared" si="57"/>
        <v>A</v>
      </c>
      <c r="E79">
        <f>IF(ISERROR(VLOOKUP(A79,Mandatory!A:A,1,FALSE)),0,1)</f>
        <v>0</v>
      </c>
      <c r="F79" s="54">
        <f>VLOOKUP(A79,'Front-loading'!A:AG,$F$6,FALSE)</f>
        <v>1</v>
      </c>
      <c r="G79" s="55">
        <f>VLOOKUP(A79,'Front-loading'!A:AG,$G$6,FALSE)</f>
        <v>10972</v>
      </c>
      <c r="H79" s="55">
        <f>VLOOKUP(A79,'Front-loading'!A:AG,$H$6,FALSE)</f>
        <v>0</v>
      </c>
      <c r="I79" s="56">
        <f>VLOOKUP(A79,'Front-loading'!A:AG,$I$6,FALSE)</f>
        <v>15534</v>
      </c>
      <c r="J79" s="54">
        <f>VLOOKUP(A79,'Front-loading'!A:AG,$J$6,FALSE)</f>
        <v>73.325639826787594</v>
      </c>
      <c r="K79" s="55">
        <f>VLOOKUP(A79,'Front-loading'!A:AG,$K$6,FALSE)</f>
        <v>1777907.2857042674</v>
      </c>
      <c r="L79" s="55">
        <f>VLOOKUP(A79,'Front-loading'!A:AG,$L$6,FALSE)</f>
        <v>0</v>
      </c>
      <c r="M79" s="56">
        <f>VLOOKUP(A79,'Front-loading'!A:AG,$M$6,FALSE)</f>
        <v>972703.68085250142</v>
      </c>
      <c r="N79" s="15">
        <f t="shared" si="55"/>
        <v>73.325639826787594</v>
      </c>
      <c r="O79" s="11">
        <f t="shared" si="55"/>
        <v>162.04040154067329</v>
      </c>
      <c r="P79" s="11">
        <f t="shared" si="55"/>
        <v>0</v>
      </c>
      <c r="Q79" s="12">
        <f t="shared" si="55"/>
        <v>62.617721182728303</v>
      </c>
      <c r="R79" s="99">
        <f t="shared" si="58"/>
        <v>73.325639826787594</v>
      </c>
      <c r="S79" s="100">
        <f t="shared" si="59"/>
        <v>162.04040154067329</v>
      </c>
      <c r="T79" s="100">
        <f t="shared" si="60"/>
        <v>73.325639826787594</v>
      </c>
      <c r="U79" s="100">
        <f t="shared" si="61"/>
        <v>62.617721182728303</v>
      </c>
      <c r="V79" s="95">
        <f t="shared" si="62"/>
        <v>73.325639826787594</v>
      </c>
      <c r="W79" s="96">
        <f t="shared" si="63"/>
        <v>162.04040154067329</v>
      </c>
      <c r="X79" s="96">
        <f t="shared" si="64"/>
        <v>73.325639826787594</v>
      </c>
      <c r="Y79" s="96">
        <f t="shared" si="65"/>
        <v>62.617721182728303</v>
      </c>
      <c r="Z79" s="60">
        <f t="shared" si="66"/>
        <v>73.325639826787594</v>
      </c>
      <c r="AA79" s="61">
        <f t="shared" si="67"/>
        <v>162.04040154067329</v>
      </c>
      <c r="AB79" s="61">
        <f t="shared" si="68"/>
        <v>73.325639826787594</v>
      </c>
      <c r="AC79" s="108">
        <f t="shared" si="69"/>
        <v>62.617721182728303</v>
      </c>
      <c r="AD79" s="61">
        <f t="shared" si="70"/>
        <v>162.03231671777033</v>
      </c>
      <c r="AE79" s="61">
        <f t="shared" si="71"/>
        <v>162.03231671777033</v>
      </c>
      <c r="AF79" s="61">
        <f t="shared" si="72"/>
        <v>73.325639826787594</v>
      </c>
      <c r="AG79" s="108">
        <f t="shared" si="73"/>
        <v>62.617721182728303</v>
      </c>
      <c r="AH79" s="61">
        <f t="shared" si="74"/>
        <v>162.03231671777033</v>
      </c>
      <c r="AI79" s="61">
        <f t="shared" si="75"/>
        <v>162.03231671777033</v>
      </c>
      <c r="AJ79" s="61">
        <f t="shared" si="76"/>
        <v>73.325639826787594</v>
      </c>
      <c r="AK79" s="61">
        <f t="shared" si="77"/>
        <v>62.617721182728303</v>
      </c>
      <c r="AL79" s="60">
        <f>IF($C79="",AH79,IF(AH79&gt;AH80,SUMPRODUCT(AH79:AH80,F79:F80)/SUM(F79:F80),AH79))</f>
        <v>162.03231671777033</v>
      </c>
      <c r="AM79" s="61">
        <f>IF($C79="",AI79,IF(AI79&gt;AI80,SUMPRODUCT(AI79:AI80,G79:G80)/SUM(G79:G80),AI79))</f>
        <v>162.03231671777033</v>
      </c>
      <c r="AN79" s="61">
        <f>IF($C79="",AJ79,IF(AJ79&gt;AJ80,SUMPRODUCT(AJ79:AJ80,H79:H80)/SUM(H79:H80),AJ79))</f>
        <v>73.325639826787594</v>
      </c>
      <c r="AO79" s="108">
        <f>IF($C79="",AK79,IF(AK79&gt;AK80,SUMPRODUCT(AK79:AK80,I79:I80)/SUM(I79:I80),AK79))</f>
        <v>62.617721182728303</v>
      </c>
      <c r="AP79" s="60">
        <f t="shared" si="78"/>
        <v>162.03231671777033</v>
      </c>
      <c r="AQ79" s="61">
        <f t="shared" si="79"/>
        <v>162.03231671777033</v>
      </c>
      <c r="AR79" s="61">
        <f t="shared" si="80"/>
        <v>73.325639826787594</v>
      </c>
      <c r="AS79" s="108">
        <f t="shared" si="81"/>
        <v>62.617721182728303</v>
      </c>
      <c r="AT79" s="18" t="str">
        <f t="shared" si="49"/>
        <v/>
      </c>
      <c r="AU79" s="19" t="str">
        <f t="shared" si="50"/>
        <v/>
      </c>
      <c r="AV79" s="19" t="str">
        <f t="shared" si="82"/>
        <v/>
      </c>
      <c r="AW79" s="19" t="str">
        <f t="shared" si="83"/>
        <v/>
      </c>
      <c r="AX79" s="19" t="str">
        <f t="shared" si="52"/>
        <v/>
      </c>
      <c r="AY79" s="323" t="str">
        <f t="shared" si="54"/>
        <v/>
      </c>
      <c r="AZ79" s="326">
        <f t="shared" si="53"/>
        <v>162.03231671777033</v>
      </c>
      <c r="BA79" s="323">
        <f t="shared" si="84"/>
        <v>162.03231671777033</v>
      </c>
      <c r="BB79" s="323">
        <f t="shared" si="56"/>
        <v>73.325639826787594</v>
      </c>
      <c r="BC79" s="327">
        <f t="shared" si="51"/>
        <v>62.617721182728303</v>
      </c>
      <c r="BD79" s="18" t="str">
        <f t="shared" si="85"/>
        <v/>
      </c>
      <c r="BE79" s="19" t="str">
        <f t="shared" si="86"/>
        <v/>
      </c>
      <c r="BF79" s="19" t="str">
        <f t="shared" si="87"/>
        <v/>
      </c>
      <c r="BG79" s="19" t="str">
        <f t="shared" si="88"/>
        <v/>
      </c>
      <c r="BH79" s="19" t="str">
        <f t="shared" si="89"/>
        <v/>
      </c>
      <c r="BI79" s="20" t="str">
        <f t="shared" si="90"/>
        <v/>
      </c>
      <c r="BJ79" s="744">
        <f t="shared" si="91"/>
        <v>2750684.2921965951</v>
      </c>
      <c r="BK79" s="321"/>
    </row>
    <row r="80" spans="1:63">
      <c r="A80">
        <v>305</v>
      </c>
      <c r="B80" s="88" t="s">
        <v>502</v>
      </c>
      <c r="D80" s="62" t="str">
        <f t="shared" si="57"/>
        <v>A</v>
      </c>
      <c r="E80">
        <f>IF(ISERROR(VLOOKUP(A80,Mandatory!A:A,1,FALSE)),0,1)</f>
        <v>0</v>
      </c>
      <c r="F80" s="54">
        <f>VLOOKUP(A80,'Front-loading'!A:AG,$F$6,FALSE)</f>
        <v>2</v>
      </c>
      <c r="G80" s="55">
        <f>VLOOKUP(A80,'Front-loading'!A:AG,$G$6,FALSE)</f>
        <v>1914</v>
      </c>
      <c r="H80" s="55">
        <f>VLOOKUP(A80,'Front-loading'!A:AG,$H$6,FALSE)</f>
        <v>10</v>
      </c>
      <c r="I80" s="56">
        <f>VLOOKUP(A80,'Front-loading'!A:AG,$I$6,FALSE)</f>
        <v>10751</v>
      </c>
      <c r="J80" s="54">
        <f>VLOOKUP(A80,'Front-loading'!A:AG,$J$6,FALSE)</f>
        <v>443.080775532541</v>
      </c>
      <c r="K80" s="55">
        <f>VLOOKUP(A80,'Front-loading'!A:AG,$K$6,FALSE)</f>
        <v>392763.85247384699</v>
      </c>
      <c r="L80" s="55">
        <f>VLOOKUP(A80,'Front-loading'!A:AG,$L$6,FALSE)</f>
        <v>1236.8359090813321</v>
      </c>
      <c r="M80" s="56">
        <f>VLOOKUP(A80,'Front-loading'!A:AG,$M$6,FALSE)</f>
        <v>1063246.0139786252</v>
      </c>
      <c r="N80" s="15">
        <f t="shared" si="55"/>
        <v>221.5403877662705</v>
      </c>
      <c r="O80" s="11">
        <f t="shared" si="55"/>
        <v>205.20577454223979</v>
      </c>
      <c r="P80" s="11">
        <f t="shared" si="55"/>
        <v>123.68359090813321</v>
      </c>
      <c r="Q80" s="12">
        <f t="shared" si="55"/>
        <v>98.897406192784416</v>
      </c>
      <c r="R80" s="99">
        <f t="shared" si="58"/>
        <v>139.99305705115611</v>
      </c>
      <c r="S80" s="100">
        <f t="shared" si="59"/>
        <v>205.20577454223979</v>
      </c>
      <c r="T80" s="100">
        <f t="shared" si="60"/>
        <v>139.99305705115611</v>
      </c>
      <c r="U80" s="100">
        <f t="shared" si="61"/>
        <v>98.897406192784416</v>
      </c>
      <c r="V80" s="95">
        <f t="shared" si="62"/>
        <v>139.99305705115611</v>
      </c>
      <c r="W80" s="96">
        <f t="shared" si="63"/>
        <v>205.20577454223979</v>
      </c>
      <c r="X80" s="96">
        <f t="shared" si="64"/>
        <v>139.99305705115611</v>
      </c>
      <c r="Y80" s="96">
        <f t="shared" si="65"/>
        <v>98.897406192784416</v>
      </c>
      <c r="Z80" s="60">
        <f t="shared" si="66"/>
        <v>139.99305705115611</v>
      </c>
      <c r="AA80" s="61">
        <f t="shared" si="67"/>
        <v>205.20577454223979</v>
      </c>
      <c r="AB80" s="61">
        <f t="shared" si="68"/>
        <v>139.99305705115611</v>
      </c>
      <c r="AC80" s="108">
        <f t="shared" si="69"/>
        <v>98.897406192784416</v>
      </c>
      <c r="AD80" s="61">
        <f t="shared" si="70"/>
        <v>205.1377028120821</v>
      </c>
      <c r="AE80" s="61">
        <f t="shared" si="71"/>
        <v>205.1377028120821</v>
      </c>
      <c r="AF80" s="61">
        <f t="shared" si="72"/>
        <v>139.99305705115611</v>
      </c>
      <c r="AG80" s="108">
        <f t="shared" si="73"/>
        <v>98.897406192784416</v>
      </c>
      <c r="AH80" s="61">
        <f t="shared" si="74"/>
        <v>205.1377028120821</v>
      </c>
      <c r="AI80" s="61">
        <f t="shared" si="75"/>
        <v>205.1377028120821</v>
      </c>
      <c r="AJ80" s="61">
        <f t="shared" si="76"/>
        <v>139.99305705115611</v>
      </c>
      <c r="AK80" s="61">
        <f t="shared" si="77"/>
        <v>98.897406192784416</v>
      </c>
      <c r="AL80" s="60">
        <f>IF($C80="",AH80,IF(AH79&gt;AH80,SUMPRODUCT(AH79:AH80,F79:F80)/SUM(F79:F80),AH80))</f>
        <v>205.1377028120821</v>
      </c>
      <c r="AM80" s="61">
        <f>IF($C80="",AI80,IF(AI79&gt;AI80,SUMPRODUCT(AI79:AI80,G79:G80)/SUM(G79:G80),AI80))</f>
        <v>205.1377028120821</v>
      </c>
      <c r="AN80" s="61">
        <f>IF($C80="",AJ80,IF(AJ79&gt;AJ80,SUMPRODUCT(AJ79:AJ80,H79:H80)/SUM(H79:H80),AJ80))</f>
        <v>139.99305705115611</v>
      </c>
      <c r="AO80" s="108">
        <f>IF($C80="",AK80,IF(AK79&gt;AK80,SUMPRODUCT(AK79:AK80,I79:I80)/SUM(I79:I80),AK80))</f>
        <v>98.897406192784416</v>
      </c>
      <c r="AP80" s="60">
        <f t="shared" si="78"/>
        <v>205.1377028120821</v>
      </c>
      <c r="AQ80" s="61">
        <f t="shared" si="79"/>
        <v>205.1377028120821</v>
      </c>
      <c r="AR80" s="61">
        <f t="shared" si="80"/>
        <v>139.99305705115611</v>
      </c>
      <c r="AS80" s="108">
        <f t="shared" si="81"/>
        <v>98.897406192784416</v>
      </c>
      <c r="AT80" s="18" t="str">
        <f t="shared" si="49"/>
        <v/>
      </c>
      <c r="AU80" s="19" t="str">
        <f t="shared" si="50"/>
        <v/>
      </c>
      <c r="AV80" s="19" t="str">
        <f t="shared" si="82"/>
        <v/>
      </c>
      <c r="AW80" s="19" t="str">
        <f t="shared" si="83"/>
        <v/>
      </c>
      <c r="AX80" s="19" t="str">
        <f t="shared" si="52"/>
        <v/>
      </c>
      <c r="AY80" s="323" t="str">
        <f t="shared" si="54"/>
        <v/>
      </c>
      <c r="AZ80" s="326">
        <f t="shared" si="53"/>
        <v>205.1377028120821</v>
      </c>
      <c r="BA80" s="323">
        <f t="shared" si="84"/>
        <v>205.1377028120821</v>
      </c>
      <c r="BB80" s="323">
        <f t="shared" si="56"/>
        <v>139.99305705115611</v>
      </c>
      <c r="BC80" s="327">
        <f t="shared" si="51"/>
        <v>98.897406192784416</v>
      </c>
      <c r="BD80" s="18" t="str">
        <f t="shared" si="85"/>
        <v/>
      </c>
      <c r="BE80" s="19" t="str">
        <f t="shared" si="86"/>
        <v/>
      </c>
      <c r="BF80" s="19" t="str">
        <f t="shared" si="87"/>
        <v/>
      </c>
      <c r="BG80" s="19" t="str">
        <f t="shared" si="88"/>
        <v/>
      </c>
      <c r="BH80" s="19" t="str">
        <f t="shared" si="89"/>
        <v/>
      </c>
      <c r="BI80" s="20" t="str">
        <f t="shared" si="90"/>
        <v/>
      </c>
      <c r="BJ80" s="744">
        <f t="shared" si="91"/>
        <v>1457689.7831370861</v>
      </c>
      <c r="BK80" s="321"/>
    </row>
    <row r="81" spans="1:63">
      <c r="A81">
        <v>306</v>
      </c>
      <c r="B81" s="88" t="s">
        <v>47</v>
      </c>
      <c r="D81" s="62" t="str">
        <f t="shared" si="57"/>
        <v>A</v>
      </c>
      <c r="E81">
        <f>IF(ISERROR(VLOOKUP(A81,Mandatory!A:A,1,FALSE)),0,1)</f>
        <v>1</v>
      </c>
      <c r="F81" s="54">
        <f>VLOOKUP(A81,'Front-loading'!A:AG,$F$6,FALSE)</f>
        <v>2821</v>
      </c>
      <c r="G81" s="55">
        <f>VLOOKUP(A81,'Front-loading'!A:AG,$G$6,FALSE)</f>
        <v>22778</v>
      </c>
      <c r="H81" s="55">
        <f>VLOOKUP(A81,'Front-loading'!A:AG,$H$6,FALSE)</f>
        <v>17274</v>
      </c>
      <c r="I81" s="56">
        <f>VLOOKUP(A81,'Front-loading'!A:AG,$I$6,FALSE)</f>
        <v>103410</v>
      </c>
      <c r="J81" s="54">
        <f>VLOOKUP(A81,'Front-loading'!A:AG,$J$6,FALSE)</f>
        <v>1033439.5958832171</v>
      </c>
      <c r="K81" s="55">
        <f>VLOOKUP(A81,'Front-loading'!A:AG,$K$6,FALSE)</f>
        <v>6172294.2890530555</v>
      </c>
      <c r="L81" s="55">
        <f>VLOOKUP(A81,'Front-loading'!A:AG,$L$6,FALSE)</f>
        <v>3039632.5128200371</v>
      </c>
      <c r="M81" s="56">
        <f>VLOOKUP(A81,'Front-loading'!A:AG,$M$6,FALSE)</f>
        <v>15716851.11603578</v>
      </c>
      <c r="N81" s="15">
        <f t="shared" si="55"/>
        <v>366.33803469805639</v>
      </c>
      <c r="O81" s="11">
        <f t="shared" si="55"/>
        <v>270.97612999618298</v>
      </c>
      <c r="P81" s="11">
        <f t="shared" si="55"/>
        <v>175.96575852842636</v>
      </c>
      <c r="Q81" s="12">
        <f t="shared" si="55"/>
        <v>151.98579553269298</v>
      </c>
      <c r="R81" s="99">
        <f t="shared" si="58"/>
        <v>366.33803469805639</v>
      </c>
      <c r="S81" s="100">
        <f t="shared" si="59"/>
        <v>270.97612999618298</v>
      </c>
      <c r="T81" s="100">
        <f t="shared" si="60"/>
        <v>175.96575852842636</v>
      </c>
      <c r="U81" s="100">
        <f t="shared" si="61"/>
        <v>151.98579553269298</v>
      </c>
      <c r="V81" s="95">
        <f t="shared" si="62"/>
        <v>366.33803469805639</v>
      </c>
      <c r="W81" s="96">
        <f t="shared" si="63"/>
        <v>270.97612999618298</v>
      </c>
      <c r="X81" s="96">
        <f t="shared" si="64"/>
        <v>175.96575852842636</v>
      </c>
      <c r="Y81" s="96">
        <f t="shared" si="65"/>
        <v>151.98579553269298</v>
      </c>
      <c r="Z81" s="60">
        <f t="shared" si="66"/>
        <v>366.33803469805639</v>
      </c>
      <c r="AA81" s="61">
        <f t="shared" si="67"/>
        <v>270.97612999618298</v>
      </c>
      <c r="AB81" s="61">
        <f t="shared" si="68"/>
        <v>175.96575852842636</v>
      </c>
      <c r="AC81" s="108">
        <f t="shared" si="69"/>
        <v>151.98579553269298</v>
      </c>
      <c r="AD81" s="61">
        <f t="shared" si="70"/>
        <v>366.33803469805639</v>
      </c>
      <c r="AE81" s="61">
        <f t="shared" si="71"/>
        <v>270.97612999618298</v>
      </c>
      <c r="AF81" s="61">
        <f t="shared" si="72"/>
        <v>175.96575852842636</v>
      </c>
      <c r="AG81" s="108">
        <f t="shared" si="73"/>
        <v>151.98579553269298</v>
      </c>
      <c r="AH81" s="61">
        <f t="shared" si="74"/>
        <v>366.33803469805639</v>
      </c>
      <c r="AI81" s="61">
        <f t="shared" si="75"/>
        <v>270.97612999618298</v>
      </c>
      <c r="AJ81" s="61">
        <f t="shared" si="76"/>
        <v>175.96575852842636</v>
      </c>
      <c r="AK81" s="61">
        <f t="shared" si="77"/>
        <v>151.98579553269298</v>
      </c>
      <c r="AL81" s="60">
        <f>IF($C81="",AH81,IF(AH81&gt;AH82,SUMPRODUCT(AH81:AH82,F81:F82)/SUM(F81:F82),AH81))</f>
        <v>366.33803469805639</v>
      </c>
      <c r="AM81" s="61">
        <f>IF($C81="",AI81,IF(AI81&gt;AI82,SUMPRODUCT(AI81:AI82,G81:G82)/SUM(G81:G82),AI81))</f>
        <v>270.97612999618298</v>
      </c>
      <c r="AN81" s="61">
        <f>IF($C81="",AJ81,IF(AJ81&gt;AJ82,SUMPRODUCT(AJ81:AJ82,H81:H82)/SUM(H81:H82),AJ81))</f>
        <v>175.96575852842636</v>
      </c>
      <c r="AO81" s="108">
        <f>IF($C81="",AK81,IF(AK81&gt;AK82,SUMPRODUCT(AK81:AK82,I81:I82)/SUM(I81:I82),AK81))</f>
        <v>151.98579553269298</v>
      </c>
      <c r="AP81" s="60">
        <f t="shared" si="78"/>
        <v>366.33803469805639</v>
      </c>
      <c r="AQ81" s="61">
        <f t="shared" si="79"/>
        <v>270.97612999618298</v>
      </c>
      <c r="AR81" s="61">
        <f t="shared" si="80"/>
        <v>175.96575852842636</v>
      </c>
      <c r="AS81" s="108">
        <f t="shared" si="81"/>
        <v>151.98579553269298</v>
      </c>
      <c r="AT81" s="18" t="str">
        <f t="shared" si="49"/>
        <v/>
      </c>
      <c r="AU81" s="19" t="str">
        <f t="shared" si="50"/>
        <v/>
      </c>
      <c r="AV81" s="19" t="str">
        <f t="shared" si="82"/>
        <v/>
      </c>
      <c r="AW81" s="19" t="str">
        <f t="shared" si="83"/>
        <v/>
      </c>
      <c r="AX81" s="19" t="str">
        <f t="shared" si="52"/>
        <v/>
      </c>
      <c r="AY81" s="323" t="str">
        <f t="shared" si="54"/>
        <v/>
      </c>
      <c r="AZ81" s="326">
        <f t="shared" si="53"/>
        <v>366.33803469805639</v>
      </c>
      <c r="BA81" s="323">
        <f t="shared" si="84"/>
        <v>270.97612999618298</v>
      </c>
      <c r="BB81" s="323">
        <f t="shared" si="56"/>
        <v>175.96575852842636</v>
      </c>
      <c r="BC81" s="327">
        <f t="shared" si="51"/>
        <v>151.98579553269298</v>
      </c>
      <c r="BD81" s="18" t="str">
        <f t="shared" si="85"/>
        <v/>
      </c>
      <c r="BE81" s="19" t="str">
        <f t="shared" si="86"/>
        <v/>
      </c>
      <c r="BF81" s="19" t="str">
        <f t="shared" si="87"/>
        <v/>
      </c>
      <c r="BG81" s="19" t="str">
        <f t="shared" si="88"/>
        <v/>
      </c>
      <c r="BH81" s="19" t="str">
        <f t="shared" si="89"/>
        <v/>
      </c>
      <c r="BI81" s="20" t="str">
        <f t="shared" si="90"/>
        <v/>
      </c>
      <c r="BJ81" s="744">
        <f t="shared" si="91"/>
        <v>25962217.51379209</v>
      </c>
      <c r="BK81" s="321"/>
    </row>
    <row r="82" spans="1:63">
      <c r="A82">
        <v>307</v>
      </c>
      <c r="B82" s="88" t="s">
        <v>48</v>
      </c>
      <c r="D82" s="62" t="str">
        <f t="shared" si="57"/>
        <v>A</v>
      </c>
      <c r="E82">
        <f>IF(ISERROR(VLOOKUP(A82,Mandatory!A:A,1,FALSE)),0,1)</f>
        <v>1</v>
      </c>
      <c r="F82" s="54">
        <f>VLOOKUP(A82,'Front-loading'!A:AG,$F$6,FALSE)</f>
        <v>11275</v>
      </c>
      <c r="G82" s="55">
        <f>VLOOKUP(A82,'Front-loading'!A:AG,$G$6,FALSE)</f>
        <v>101644</v>
      </c>
      <c r="H82" s="55">
        <f>VLOOKUP(A82,'Front-loading'!A:AG,$H$6,FALSE)</f>
        <v>51643</v>
      </c>
      <c r="I82" s="56">
        <f>VLOOKUP(A82,'Front-loading'!A:AG,$I$6,FALSE)</f>
        <v>565045</v>
      </c>
      <c r="J82" s="54">
        <f>VLOOKUP(A82,'Front-loading'!A:AG,$J$6,FALSE)</f>
        <v>2458774.4336504973</v>
      </c>
      <c r="K82" s="55">
        <f>VLOOKUP(A82,'Front-loading'!A:AG,$K$6,FALSE)</f>
        <v>21594776.756176189</v>
      </c>
      <c r="L82" s="55">
        <f>VLOOKUP(A82,'Front-loading'!A:AG,$L$6,FALSE)</f>
        <v>6011713.683056403</v>
      </c>
      <c r="M82" s="56">
        <f>VLOOKUP(A82,'Front-loading'!A:AG,$M$6,FALSE)</f>
        <v>56031626.100108951</v>
      </c>
      <c r="N82" s="15">
        <f t="shared" si="55"/>
        <v>218.07312050115277</v>
      </c>
      <c r="O82" s="11">
        <f t="shared" si="55"/>
        <v>212.45500724269203</v>
      </c>
      <c r="P82" s="11">
        <f t="shared" si="55"/>
        <v>116.40907156935893</v>
      </c>
      <c r="Q82" s="12">
        <f t="shared" si="55"/>
        <v>99.163121698464636</v>
      </c>
      <c r="R82" s="99">
        <f t="shared" si="58"/>
        <v>218.07312050115277</v>
      </c>
      <c r="S82" s="100">
        <f t="shared" si="59"/>
        <v>212.45500724269203</v>
      </c>
      <c r="T82" s="100">
        <f t="shared" si="60"/>
        <v>116.40907156935893</v>
      </c>
      <c r="U82" s="100">
        <f t="shared" si="61"/>
        <v>99.163121698464636</v>
      </c>
      <c r="V82" s="95">
        <f t="shared" si="62"/>
        <v>218.07312050115277</v>
      </c>
      <c r="W82" s="96">
        <f t="shared" si="63"/>
        <v>212.45500724269203</v>
      </c>
      <c r="X82" s="96">
        <f t="shared" si="64"/>
        <v>116.40907156935893</v>
      </c>
      <c r="Y82" s="96">
        <f t="shared" si="65"/>
        <v>99.163121698464636</v>
      </c>
      <c r="Z82" s="60">
        <f t="shared" si="66"/>
        <v>218.07312050115277</v>
      </c>
      <c r="AA82" s="61">
        <f t="shared" si="67"/>
        <v>212.45500724269203</v>
      </c>
      <c r="AB82" s="61">
        <f t="shared" si="68"/>
        <v>116.40907156935893</v>
      </c>
      <c r="AC82" s="108">
        <f t="shared" si="69"/>
        <v>99.163121698464636</v>
      </c>
      <c r="AD82" s="61">
        <f t="shared" si="70"/>
        <v>218.07312050115277</v>
      </c>
      <c r="AE82" s="61">
        <f t="shared" si="71"/>
        <v>212.45500724269203</v>
      </c>
      <c r="AF82" s="61">
        <f t="shared" si="72"/>
        <v>116.40907156935893</v>
      </c>
      <c r="AG82" s="108">
        <f t="shared" si="73"/>
        <v>99.163121698464636</v>
      </c>
      <c r="AH82" s="61">
        <f t="shared" si="74"/>
        <v>218.07312050115277</v>
      </c>
      <c r="AI82" s="61">
        <f t="shared" si="75"/>
        <v>212.45500724269203</v>
      </c>
      <c r="AJ82" s="61">
        <f t="shared" si="76"/>
        <v>116.40907156935893</v>
      </c>
      <c r="AK82" s="61">
        <f t="shared" si="77"/>
        <v>99.163121698464636</v>
      </c>
      <c r="AL82" s="60">
        <f>IF($C82="",AH82,IF(AH81&gt;AH82,SUMPRODUCT(AH81:AH82,F81:F82)/SUM(F81:F82),AH82))</f>
        <v>218.07312050115277</v>
      </c>
      <c r="AM82" s="61">
        <f>IF($C82="",AI82,IF(AI81&gt;AI82,SUMPRODUCT(AI81:AI82,G81:G82)/SUM(G81:G82),AI82))</f>
        <v>212.45500724269203</v>
      </c>
      <c r="AN82" s="61">
        <f>IF($C82="",AJ82,IF(AJ81&gt;AJ82,SUMPRODUCT(AJ81:AJ82,H81:H82)/SUM(H81:H82),AJ82))</f>
        <v>116.40907156935893</v>
      </c>
      <c r="AO82" s="108">
        <f>IF($C82="",AK82,IF(AK81&gt;AK82,SUMPRODUCT(AK81:AK82,I81:I82)/SUM(I81:I82),AK82))</f>
        <v>99.163121698464636</v>
      </c>
      <c r="AP82" s="60">
        <f t="shared" si="78"/>
        <v>218.07312050115277</v>
      </c>
      <c r="AQ82" s="61">
        <f t="shared" si="79"/>
        <v>212.45500724269203</v>
      </c>
      <c r="AR82" s="61">
        <f t="shared" si="80"/>
        <v>116.40907156935893</v>
      </c>
      <c r="AS82" s="108">
        <f t="shared" si="81"/>
        <v>99.163121698464636</v>
      </c>
      <c r="AT82" s="18" t="str">
        <f t="shared" si="49"/>
        <v/>
      </c>
      <c r="AU82" s="19" t="str">
        <f t="shared" si="50"/>
        <v/>
      </c>
      <c r="AV82" s="19" t="str">
        <f t="shared" si="82"/>
        <v/>
      </c>
      <c r="AW82" s="19" t="str">
        <f t="shared" si="83"/>
        <v/>
      </c>
      <c r="AX82" s="19" t="str">
        <f t="shared" si="52"/>
        <v/>
      </c>
      <c r="AY82" s="323" t="str">
        <f t="shared" si="54"/>
        <v/>
      </c>
      <c r="AZ82" s="326">
        <f t="shared" si="53"/>
        <v>218.07312050115277</v>
      </c>
      <c r="BA82" s="323">
        <f t="shared" si="84"/>
        <v>212.45500724269203</v>
      </c>
      <c r="BB82" s="323">
        <f t="shared" si="56"/>
        <v>116.40907156935893</v>
      </c>
      <c r="BC82" s="327">
        <f t="shared" si="51"/>
        <v>99.163121698464636</v>
      </c>
      <c r="BD82" s="18" t="str">
        <f t="shared" si="85"/>
        <v/>
      </c>
      <c r="BE82" s="19" t="str">
        <f t="shared" si="86"/>
        <v/>
      </c>
      <c r="BF82" s="19" t="str">
        <f t="shared" si="87"/>
        <v/>
      </c>
      <c r="BG82" s="19" t="str">
        <f t="shared" si="88"/>
        <v/>
      </c>
      <c r="BH82" s="19" t="str">
        <f t="shared" si="89"/>
        <v/>
      </c>
      <c r="BI82" s="20" t="str">
        <f t="shared" si="90"/>
        <v/>
      </c>
      <c r="BJ82" s="744">
        <f t="shared" si="91"/>
        <v>86096890.972992033</v>
      </c>
      <c r="BK82" s="321"/>
    </row>
    <row r="83" spans="1:63">
      <c r="A83">
        <v>309</v>
      </c>
      <c r="B83" s="88" t="s">
        <v>503</v>
      </c>
      <c r="D83" s="62" t="str">
        <f t="shared" si="57"/>
        <v>A</v>
      </c>
      <c r="E83">
        <f>IF(ISERROR(VLOOKUP(A83,Mandatory!A:A,1,FALSE)),0,1)</f>
        <v>0</v>
      </c>
      <c r="F83" s="54">
        <f>VLOOKUP(A83,'Front-loading'!A:AG,$F$6,FALSE)</f>
        <v>209</v>
      </c>
      <c r="G83" s="55">
        <f>VLOOKUP(A83,'Front-loading'!A:AG,$G$6,FALSE)</f>
        <v>4127</v>
      </c>
      <c r="H83" s="55">
        <f>VLOOKUP(A83,'Front-loading'!A:AG,$H$6,FALSE)</f>
        <v>714</v>
      </c>
      <c r="I83" s="56">
        <f>VLOOKUP(A83,'Front-loading'!A:AG,$I$6,FALSE)</f>
        <v>18180</v>
      </c>
      <c r="J83" s="54">
        <f>VLOOKUP(A83,'Front-loading'!A:AG,$J$6,FALSE)</f>
        <v>136146.05125014231</v>
      </c>
      <c r="K83" s="55">
        <f>VLOOKUP(A83,'Front-loading'!A:AG,$K$6,FALSE)</f>
        <v>4545261.9690215699</v>
      </c>
      <c r="L83" s="55">
        <f>VLOOKUP(A83,'Front-loading'!A:AG,$L$6,FALSE)</f>
        <v>390123.82892531069</v>
      </c>
      <c r="M83" s="56">
        <f>VLOOKUP(A83,'Front-loading'!A:AG,$M$6,FALSE)</f>
        <v>10240889.03369181</v>
      </c>
      <c r="N83" s="15">
        <f t="shared" si="55"/>
        <v>651.41651315857564</v>
      </c>
      <c r="O83" s="11">
        <f t="shared" si="55"/>
        <v>1101.3477026948315</v>
      </c>
      <c r="P83" s="11">
        <f t="shared" si="55"/>
        <v>546.39191726233992</v>
      </c>
      <c r="Q83" s="12">
        <f t="shared" si="55"/>
        <v>563.30522737578713</v>
      </c>
      <c r="R83" s="99">
        <f t="shared" si="58"/>
        <v>651.41651315857564</v>
      </c>
      <c r="S83" s="100">
        <f t="shared" si="59"/>
        <v>1101.3477026948315</v>
      </c>
      <c r="T83" s="100">
        <f t="shared" si="60"/>
        <v>546.39191726233992</v>
      </c>
      <c r="U83" s="100">
        <f t="shared" si="61"/>
        <v>563.30522737578713</v>
      </c>
      <c r="V83" s="95">
        <f t="shared" si="62"/>
        <v>651.41651315857564</v>
      </c>
      <c r="W83" s="96">
        <f t="shared" si="63"/>
        <v>1101.3477026948315</v>
      </c>
      <c r="X83" s="96">
        <f t="shared" si="64"/>
        <v>546.39191726233992</v>
      </c>
      <c r="Y83" s="96">
        <f t="shared" si="65"/>
        <v>563.30522737578713</v>
      </c>
      <c r="Z83" s="60">
        <f t="shared" si="66"/>
        <v>651.41651315857564</v>
      </c>
      <c r="AA83" s="61">
        <f t="shared" si="67"/>
        <v>1101.3477026948315</v>
      </c>
      <c r="AB83" s="61">
        <f t="shared" si="68"/>
        <v>546.39191726233992</v>
      </c>
      <c r="AC83" s="108">
        <f t="shared" si="69"/>
        <v>563.30522737578713</v>
      </c>
      <c r="AD83" s="61">
        <f t="shared" si="70"/>
        <v>1079.6605212803763</v>
      </c>
      <c r="AE83" s="61">
        <f t="shared" si="71"/>
        <v>1079.6605212803763</v>
      </c>
      <c r="AF83" s="61">
        <f t="shared" si="72"/>
        <v>562.66607720001707</v>
      </c>
      <c r="AG83" s="108">
        <f t="shared" si="73"/>
        <v>562.66607720001707</v>
      </c>
      <c r="AH83" s="61">
        <f t="shared" si="74"/>
        <v>1079.6605212803763</v>
      </c>
      <c r="AI83" s="61">
        <f t="shared" si="75"/>
        <v>1079.6605212803763</v>
      </c>
      <c r="AJ83" s="61">
        <f t="shared" si="76"/>
        <v>562.66607720001707</v>
      </c>
      <c r="AK83" s="61">
        <f t="shared" si="77"/>
        <v>562.66607720001707</v>
      </c>
      <c r="AL83" s="60">
        <f>IF($C83="",AH83,IF(AH83&gt;AH84,SUMPRODUCT(AH83:AH84,F83:F84)/SUM(F83:F84),AH83))</f>
        <v>1079.6605212803763</v>
      </c>
      <c r="AM83" s="61">
        <f>IF($C83="",AI83,IF(AI83&gt;AI84,SUMPRODUCT(AI83:AI84,G83:G84)/SUM(G83:G84),AI83))</f>
        <v>1079.6605212803763</v>
      </c>
      <c r="AN83" s="61">
        <f>IF($C83="",AJ83,IF(AJ83&gt;AJ84,SUMPRODUCT(AJ83:AJ84,H83:H84)/SUM(H83:H84),AJ83))</f>
        <v>562.66607720001707</v>
      </c>
      <c r="AO83" s="108">
        <f>IF($C83="",AK83,IF(AK83&gt;AK84,SUMPRODUCT(AK83:AK84,I83:I84)/SUM(I83:I84),AK83))</f>
        <v>562.66607720001707</v>
      </c>
      <c r="AP83" s="60">
        <f t="shared" si="78"/>
        <v>1079.6605212803763</v>
      </c>
      <c r="AQ83" s="61">
        <f t="shared" si="79"/>
        <v>1079.6605212803763</v>
      </c>
      <c r="AR83" s="61">
        <f t="shared" si="80"/>
        <v>562.66607720001707</v>
      </c>
      <c r="AS83" s="108">
        <f t="shared" si="81"/>
        <v>562.66607720001707</v>
      </c>
      <c r="AT83" s="18" t="str">
        <f t="shared" si="49"/>
        <v/>
      </c>
      <c r="AU83" s="19" t="str">
        <f t="shared" si="50"/>
        <v/>
      </c>
      <c r="AV83" s="19" t="str">
        <f t="shared" si="82"/>
        <v/>
      </c>
      <c r="AW83" s="19" t="str">
        <f t="shared" si="83"/>
        <v/>
      </c>
      <c r="AX83" s="19" t="str">
        <f t="shared" si="52"/>
        <v/>
      </c>
      <c r="AY83" s="323" t="str">
        <f t="shared" si="54"/>
        <v/>
      </c>
      <c r="AZ83" s="326">
        <f t="shared" si="53"/>
        <v>1079.6605212803763</v>
      </c>
      <c r="BA83" s="323">
        <f t="shared" si="84"/>
        <v>1079.6605212803763</v>
      </c>
      <c r="BB83" s="323">
        <f t="shared" si="56"/>
        <v>562.66607720001707</v>
      </c>
      <c r="BC83" s="327">
        <f t="shared" si="51"/>
        <v>562.66607720001707</v>
      </c>
      <c r="BD83" s="18" t="str">
        <f t="shared" si="85"/>
        <v/>
      </c>
      <c r="BE83" s="19" t="str">
        <f t="shared" si="86"/>
        <v/>
      </c>
      <c r="BF83" s="19" t="str">
        <f t="shared" si="87"/>
        <v/>
      </c>
      <c r="BG83" s="19" t="str">
        <f t="shared" si="88"/>
        <v/>
      </c>
      <c r="BH83" s="19" t="str">
        <f t="shared" si="89"/>
        <v/>
      </c>
      <c r="BI83" s="20" t="str">
        <f t="shared" si="90"/>
        <v/>
      </c>
      <c r="BJ83" s="744">
        <f t="shared" si="91"/>
        <v>15312420.882888835</v>
      </c>
      <c r="BK83" s="321"/>
    </row>
    <row r="84" spans="1:63">
      <c r="A84">
        <v>311</v>
      </c>
      <c r="B84" s="88" t="s">
        <v>461</v>
      </c>
      <c r="D84" s="62" t="str">
        <f t="shared" si="57"/>
        <v>A</v>
      </c>
      <c r="E84">
        <f>IF(ISERROR(VLOOKUP(A84,Mandatory!A:A,1,FALSE)),0,1)</f>
        <v>0</v>
      </c>
      <c r="F84" s="54">
        <f>VLOOKUP(A84,'Front-loading'!A:AG,$F$6,FALSE)</f>
        <v>22</v>
      </c>
      <c r="G84" s="55">
        <f>VLOOKUP(A84,'Front-loading'!A:AG,$G$6,FALSE)</f>
        <v>42502</v>
      </c>
      <c r="H84" s="55">
        <f>VLOOKUP(A84,'Front-loading'!A:AG,$H$6,FALSE)</f>
        <v>66</v>
      </c>
      <c r="I84" s="56">
        <f>VLOOKUP(A84,'Front-loading'!A:AG,$I$6,FALSE)</f>
        <v>23418</v>
      </c>
      <c r="J84" s="54">
        <f>VLOOKUP(A84,'Front-loading'!A:AG,$J$6,FALSE)</f>
        <v>6480.67240387332</v>
      </c>
      <c r="K84" s="55">
        <f>VLOOKUP(A84,'Front-loading'!A:AG,$K$6,FALSE)</f>
        <v>26989842.978607468</v>
      </c>
      <c r="L84" s="55">
        <f>VLOOKUP(A84,'Front-loading'!A:AG,$L$6,FALSE)</f>
        <v>10397.943326681911</v>
      </c>
      <c r="M84" s="56">
        <f>VLOOKUP(A84,'Front-loading'!A:AG,$M$6,FALSE)</f>
        <v>10551910.76444493</v>
      </c>
      <c r="N84" s="15">
        <f t="shared" si="55"/>
        <v>294.57601835787818</v>
      </c>
      <c r="O84" s="11">
        <f t="shared" si="55"/>
        <v>635.0252453674525</v>
      </c>
      <c r="P84" s="11">
        <f t="shared" si="55"/>
        <v>157.54459585881682</v>
      </c>
      <c r="Q84" s="12">
        <f t="shared" si="55"/>
        <v>450.58974995494623</v>
      </c>
      <c r="R84" s="99">
        <f t="shared" si="58"/>
        <v>191.80245148358216</v>
      </c>
      <c r="S84" s="100">
        <f t="shared" si="59"/>
        <v>635.0252453674525</v>
      </c>
      <c r="T84" s="100">
        <f t="shared" si="60"/>
        <v>191.80245148358216</v>
      </c>
      <c r="U84" s="100">
        <f t="shared" si="61"/>
        <v>450.58974995494623</v>
      </c>
      <c r="V84" s="95">
        <f t="shared" si="62"/>
        <v>191.80245148358216</v>
      </c>
      <c r="W84" s="96">
        <f t="shared" si="63"/>
        <v>635.0252453674525</v>
      </c>
      <c r="X84" s="96">
        <f t="shared" si="64"/>
        <v>191.80245148358216</v>
      </c>
      <c r="Y84" s="96">
        <f t="shared" si="65"/>
        <v>450.58974995494623</v>
      </c>
      <c r="Z84" s="60">
        <f t="shared" si="66"/>
        <v>191.80245148358216</v>
      </c>
      <c r="AA84" s="61">
        <f t="shared" si="67"/>
        <v>635.0252453674525</v>
      </c>
      <c r="AB84" s="61">
        <f t="shared" si="68"/>
        <v>191.80245148358216</v>
      </c>
      <c r="AC84" s="108">
        <f t="shared" si="69"/>
        <v>450.58974995494623</v>
      </c>
      <c r="AD84" s="61">
        <f t="shared" si="70"/>
        <v>634.79594188082262</v>
      </c>
      <c r="AE84" s="61">
        <f t="shared" si="71"/>
        <v>634.79594188082262</v>
      </c>
      <c r="AF84" s="61">
        <f t="shared" si="72"/>
        <v>449.86244788974824</v>
      </c>
      <c r="AG84" s="108">
        <f t="shared" si="73"/>
        <v>449.86244788974824</v>
      </c>
      <c r="AH84" s="61">
        <f t="shared" si="74"/>
        <v>634.79594188082262</v>
      </c>
      <c r="AI84" s="61">
        <f t="shared" si="75"/>
        <v>634.79594188082262</v>
      </c>
      <c r="AJ84" s="61">
        <f t="shared" si="76"/>
        <v>449.86244788974824</v>
      </c>
      <c r="AK84" s="61">
        <f t="shared" si="77"/>
        <v>449.86244788974824</v>
      </c>
      <c r="AL84" s="60">
        <f>IF($C84="",AH84,IF(AH83&gt;AH84,SUMPRODUCT(AH83:AH84,F83:F84)/SUM(F83:F84),AH84))</f>
        <v>634.79594188082262</v>
      </c>
      <c r="AM84" s="61">
        <f>IF($C84="",AI84,IF(AI83&gt;AI84,SUMPRODUCT(AI83:AI84,G83:G84)/SUM(G83:G84),AI84))</f>
        <v>634.79594188082262</v>
      </c>
      <c r="AN84" s="61">
        <f>IF($C84="",AJ84,IF(AJ83&gt;AJ84,SUMPRODUCT(AJ83:AJ84,H83:H84)/SUM(H83:H84),AJ84))</f>
        <v>449.86244788974824</v>
      </c>
      <c r="AO84" s="108">
        <f>IF($C84="",AK84,IF(AK83&gt;AK84,SUMPRODUCT(AK83:AK84,I83:I84)/SUM(I83:I84),AK84))</f>
        <v>449.86244788974824</v>
      </c>
      <c r="AP84" s="60">
        <f t="shared" si="78"/>
        <v>634.79594188082262</v>
      </c>
      <c r="AQ84" s="61">
        <f t="shared" si="79"/>
        <v>634.79594188082262</v>
      </c>
      <c r="AR84" s="61">
        <f t="shared" si="80"/>
        <v>449.86244788974824</v>
      </c>
      <c r="AS84" s="108">
        <f t="shared" si="81"/>
        <v>449.86244788974824</v>
      </c>
      <c r="AT84" s="18" t="str">
        <f t="shared" si="49"/>
        <v/>
      </c>
      <c r="AU84" s="19" t="str">
        <f t="shared" si="50"/>
        <v/>
      </c>
      <c r="AV84" s="19" t="str">
        <f t="shared" si="82"/>
        <v/>
      </c>
      <c r="AW84" s="19" t="str">
        <f t="shared" si="83"/>
        <v/>
      </c>
      <c r="AX84" s="19" t="str">
        <f t="shared" si="52"/>
        <v/>
      </c>
      <c r="AY84" s="323" t="str">
        <f t="shared" si="54"/>
        <v/>
      </c>
      <c r="AZ84" s="326">
        <f t="shared" si="53"/>
        <v>634.79594188082262</v>
      </c>
      <c r="BA84" s="323">
        <f t="shared" si="84"/>
        <v>634.79594188082262</v>
      </c>
      <c r="BB84" s="323">
        <f t="shared" si="56"/>
        <v>449.86244788974824</v>
      </c>
      <c r="BC84" s="327">
        <f t="shared" si="51"/>
        <v>449.86244788974824</v>
      </c>
      <c r="BD84" s="18" t="str">
        <f t="shared" si="85"/>
        <v/>
      </c>
      <c r="BE84" s="19" t="str">
        <f t="shared" si="86"/>
        <v/>
      </c>
      <c r="BF84" s="19" t="str">
        <f t="shared" si="87"/>
        <v/>
      </c>
      <c r="BG84" s="19" t="str">
        <f t="shared" si="88"/>
        <v/>
      </c>
      <c r="BH84" s="19" t="str">
        <f t="shared" si="89"/>
        <v/>
      </c>
      <c r="BI84" s="20" t="str">
        <f t="shared" si="90"/>
        <v/>
      </c>
      <c r="BJ84" s="744">
        <f t="shared" si="91"/>
        <v>37558632.358782947</v>
      </c>
      <c r="BK84" s="321"/>
    </row>
    <row r="85" spans="1:63">
      <c r="A85">
        <v>314</v>
      </c>
      <c r="B85" s="88" t="s">
        <v>463</v>
      </c>
      <c r="D85" s="62" t="str">
        <f t="shared" si="57"/>
        <v>A</v>
      </c>
      <c r="E85">
        <f>IF(ISERROR(VLOOKUP(A85,Mandatory!A:A,1,FALSE)),0,1)</f>
        <v>0</v>
      </c>
      <c r="F85" s="54">
        <f>VLOOKUP(A85,'Front-loading'!A:AG,$F$6,FALSE)</f>
        <v>1949</v>
      </c>
      <c r="G85" s="55">
        <f>VLOOKUP(A85,'Front-loading'!A:AG,$G$6,FALSE)</f>
        <v>24009</v>
      </c>
      <c r="H85" s="55">
        <f>VLOOKUP(A85,'Front-loading'!A:AG,$H$6,FALSE)</f>
        <v>2187</v>
      </c>
      <c r="I85" s="56">
        <f>VLOOKUP(A85,'Front-loading'!A:AG,$I$6,FALSE)</f>
        <v>42470</v>
      </c>
      <c r="J85" s="54">
        <f>VLOOKUP(A85,'Front-loading'!A:AG,$J$6,FALSE)</f>
        <v>463274.68946829461</v>
      </c>
      <c r="K85" s="55">
        <f>VLOOKUP(A85,'Front-loading'!A:AG,$K$6,FALSE)</f>
        <v>4898231.5756330956</v>
      </c>
      <c r="L85" s="55">
        <f>VLOOKUP(A85,'Front-loading'!A:AG,$L$6,FALSE)</f>
        <v>367669.12402692542</v>
      </c>
      <c r="M85" s="56">
        <f>VLOOKUP(A85,'Front-loading'!A:AG,$M$6,FALSE)</f>
        <v>6133876.7647412503</v>
      </c>
      <c r="N85" s="15">
        <f t="shared" si="55"/>
        <v>237.69866057890951</v>
      </c>
      <c r="O85" s="11">
        <f t="shared" si="55"/>
        <v>204.01647613949334</v>
      </c>
      <c r="P85" s="11">
        <f t="shared" si="55"/>
        <v>168.11574029580495</v>
      </c>
      <c r="Q85" s="12">
        <f t="shared" si="55"/>
        <v>144.4284616138745</v>
      </c>
      <c r="R85" s="99">
        <f t="shared" si="58"/>
        <v>237.69866057890951</v>
      </c>
      <c r="S85" s="100">
        <f t="shared" si="59"/>
        <v>204.01647613949334</v>
      </c>
      <c r="T85" s="100">
        <f t="shared" si="60"/>
        <v>168.11574029580495</v>
      </c>
      <c r="U85" s="100">
        <f t="shared" si="61"/>
        <v>144.4284616138745</v>
      </c>
      <c r="V85" s="95">
        <f t="shared" si="62"/>
        <v>237.69866057890951</v>
      </c>
      <c r="W85" s="96">
        <f t="shared" si="63"/>
        <v>204.01647613949334</v>
      </c>
      <c r="X85" s="96">
        <f t="shared" si="64"/>
        <v>168.11574029580495</v>
      </c>
      <c r="Y85" s="96">
        <f t="shared" si="65"/>
        <v>144.4284616138745</v>
      </c>
      <c r="Z85" s="60">
        <f t="shared" si="66"/>
        <v>237.69866057890951</v>
      </c>
      <c r="AA85" s="61">
        <f t="shared" si="67"/>
        <v>204.01647613949334</v>
      </c>
      <c r="AB85" s="61">
        <f t="shared" si="68"/>
        <v>168.11574029580495</v>
      </c>
      <c r="AC85" s="108">
        <f t="shared" si="69"/>
        <v>144.4284616138745</v>
      </c>
      <c r="AD85" s="61">
        <f t="shared" si="70"/>
        <v>237.69866057890951</v>
      </c>
      <c r="AE85" s="61">
        <f t="shared" si="71"/>
        <v>204.01647613949334</v>
      </c>
      <c r="AF85" s="61">
        <f t="shared" si="72"/>
        <v>168.11574029580495</v>
      </c>
      <c r="AG85" s="108">
        <f t="shared" si="73"/>
        <v>144.4284616138745</v>
      </c>
      <c r="AH85" s="61">
        <f t="shared" si="74"/>
        <v>237.69866057890951</v>
      </c>
      <c r="AI85" s="61">
        <f t="shared" si="75"/>
        <v>204.01647613949334</v>
      </c>
      <c r="AJ85" s="61">
        <f t="shared" si="76"/>
        <v>168.11574029580495</v>
      </c>
      <c r="AK85" s="61">
        <f t="shared" si="77"/>
        <v>144.4284616138745</v>
      </c>
      <c r="AL85" s="60">
        <f>IF($C85="",AH85,IF(#REF!&gt;AH85,SUMPRODUCT(AH85:AH85,F85:F85)/SUM(F85:F85),AH85))</f>
        <v>237.69866057890951</v>
      </c>
      <c r="AM85" s="61">
        <f>IF($C85="",AI85,IF(#REF!&gt;AI85,SUMPRODUCT(AI85:AI85,G85:G85)/SUM(G85:G85),AI85))</f>
        <v>204.01647613949334</v>
      </c>
      <c r="AN85" s="61">
        <f>IF($C85="",AJ85,IF(#REF!&gt;AJ85,SUMPRODUCT(AJ85:AJ85,H85:H85)/SUM(H85:H85),AJ85))</f>
        <v>168.11574029580495</v>
      </c>
      <c r="AO85" s="108">
        <f>IF($C85="",AK85,IF(#REF!&gt;AK85,SUMPRODUCT(AK85:AK85,I85:I85)/SUM(I85:I85),AK85))</f>
        <v>144.4284616138745</v>
      </c>
      <c r="AP85" s="60">
        <f t="shared" si="78"/>
        <v>237.69866057890951</v>
      </c>
      <c r="AQ85" s="61">
        <f t="shared" si="79"/>
        <v>204.01647613949334</v>
      </c>
      <c r="AR85" s="61">
        <f t="shared" si="80"/>
        <v>168.11574029580495</v>
      </c>
      <c r="AS85" s="108">
        <f t="shared" si="81"/>
        <v>144.4284616138745</v>
      </c>
      <c r="AT85" s="18" t="str">
        <f t="shared" si="49"/>
        <v/>
      </c>
      <c r="AU85" s="19" t="str">
        <f t="shared" si="50"/>
        <v/>
      </c>
      <c r="AV85" s="19" t="str">
        <f t="shared" si="82"/>
        <v/>
      </c>
      <c r="AW85" s="19" t="str">
        <f t="shared" si="83"/>
        <v/>
      </c>
      <c r="AX85" s="19" t="str">
        <f t="shared" si="52"/>
        <v/>
      </c>
      <c r="AY85" s="323" t="str">
        <f t="shared" si="54"/>
        <v/>
      </c>
      <c r="AZ85" s="326">
        <f t="shared" si="53"/>
        <v>237.69866057890951</v>
      </c>
      <c r="BA85" s="323">
        <f t="shared" si="84"/>
        <v>204.01647613949334</v>
      </c>
      <c r="BB85" s="323">
        <f t="shared" si="56"/>
        <v>168.11574029580495</v>
      </c>
      <c r="BC85" s="327">
        <f t="shared" si="51"/>
        <v>144.4284616138745</v>
      </c>
      <c r="BD85" s="18" t="str">
        <f t="shared" si="85"/>
        <v/>
      </c>
      <c r="BE85" s="19" t="str">
        <f t="shared" si="86"/>
        <v/>
      </c>
      <c r="BF85" s="19" t="str">
        <f t="shared" si="87"/>
        <v/>
      </c>
      <c r="BG85" s="19" t="str">
        <f t="shared" si="88"/>
        <v/>
      </c>
      <c r="BH85" s="19" t="str">
        <f t="shared" si="89"/>
        <v/>
      </c>
      <c r="BI85" s="20" t="str">
        <f t="shared" si="90"/>
        <v/>
      </c>
      <c r="BJ85" s="744">
        <f t="shared" si="91"/>
        <v>11863052.153869566</v>
      </c>
      <c r="BK85" s="321"/>
    </row>
    <row r="86" spans="1:63">
      <c r="A86">
        <v>315</v>
      </c>
      <c r="B86" s="88" t="s">
        <v>464</v>
      </c>
      <c r="D86" s="62" t="str">
        <f t="shared" si="57"/>
        <v>A</v>
      </c>
      <c r="E86">
        <f>IF(ISERROR(VLOOKUP(A86,Mandatory!A:A,1,FALSE)),0,1)</f>
        <v>0</v>
      </c>
      <c r="F86" s="54">
        <f>VLOOKUP(A86,'Front-loading'!A:AG,$F$6,FALSE)</f>
        <v>29</v>
      </c>
      <c r="G86" s="55">
        <f>VLOOKUP(A86,'Front-loading'!A:AG,$G$6,FALSE)</f>
        <v>5023</v>
      </c>
      <c r="H86" s="55">
        <f>VLOOKUP(A86,'Front-loading'!A:AG,$H$6,FALSE)</f>
        <v>64</v>
      </c>
      <c r="I86" s="56">
        <f>VLOOKUP(A86,'Front-loading'!A:AG,$I$6,FALSE)</f>
        <v>12640</v>
      </c>
      <c r="J86" s="54">
        <f>VLOOKUP(A86,'Front-loading'!A:AG,$J$6,FALSE)</f>
        <v>16199.995248080031</v>
      </c>
      <c r="K86" s="55">
        <f>VLOOKUP(A86,'Front-loading'!A:AG,$K$6,FALSE)</f>
        <v>1510588.068004902</v>
      </c>
      <c r="L86" s="55">
        <f>VLOOKUP(A86,'Front-loading'!A:AG,$L$6,FALSE)</f>
        <v>27095.490753746668</v>
      </c>
      <c r="M86" s="56">
        <f>VLOOKUP(A86,'Front-loading'!A:AG,$M$6,FALSE)</f>
        <v>2734501.5927767879</v>
      </c>
      <c r="N86" s="15">
        <f t="shared" si="55"/>
        <v>558.62052579586316</v>
      </c>
      <c r="O86" s="11">
        <f t="shared" si="55"/>
        <v>300.73423611485208</v>
      </c>
      <c r="P86" s="11">
        <f t="shared" si="55"/>
        <v>423.36704302729169</v>
      </c>
      <c r="Q86" s="12">
        <f t="shared" si="55"/>
        <v>216.33715132727752</v>
      </c>
      <c r="R86" s="99">
        <f t="shared" si="58"/>
        <v>465.54286023469569</v>
      </c>
      <c r="S86" s="100">
        <f t="shared" si="59"/>
        <v>300.73423611485208</v>
      </c>
      <c r="T86" s="100">
        <f t="shared" si="60"/>
        <v>465.54286023469569</v>
      </c>
      <c r="U86" s="100">
        <f t="shared" si="61"/>
        <v>216.33715132727752</v>
      </c>
      <c r="V86" s="95">
        <f t="shared" si="62"/>
        <v>465.54286023469569</v>
      </c>
      <c r="W86" s="96">
        <f t="shared" si="63"/>
        <v>300.73423611485208</v>
      </c>
      <c r="X86" s="96">
        <f t="shared" si="64"/>
        <v>465.54286023469569</v>
      </c>
      <c r="Y86" s="96">
        <f t="shared" si="65"/>
        <v>216.33715132727752</v>
      </c>
      <c r="Z86" s="60">
        <f t="shared" si="66"/>
        <v>465.54286023469569</v>
      </c>
      <c r="AA86" s="61">
        <f t="shared" si="67"/>
        <v>300.73423611485208</v>
      </c>
      <c r="AB86" s="61">
        <f t="shared" si="68"/>
        <v>465.54286023469569</v>
      </c>
      <c r="AC86" s="108">
        <f t="shared" si="69"/>
        <v>216.33715132727752</v>
      </c>
      <c r="AD86" s="61">
        <f t="shared" si="70"/>
        <v>465.54286023469569</v>
      </c>
      <c r="AE86" s="61">
        <f t="shared" si="71"/>
        <v>300.73423611485208</v>
      </c>
      <c r="AF86" s="61">
        <f t="shared" si="72"/>
        <v>465.54286023469569</v>
      </c>
      <c r="AG86" s="108">
        <f t="shared" si="73"/>
        <v>216.33715132727752</v>
      </c>
      <c r="AH86" s="61">
        <f t="shared" si="74"/>
        <v>465.54286023469569</v>
      </c>
      <c r="AI86" s="61">
        <f t="shared" si="75"/>
        <v>300.73423611485208</v>
      </c>
      <c r="AJ86" s="61">
        <f t="shared" si="76"/>
        <v>433.00381200372937</v>
      </c>
      <c r="AK86" s="61">
        <f t="shared" si="77"/>
        <v>216.50190600186468</v>
      </c>
      <c r="AL86" s="60">
        <f>IF($C86="",AH86,IF(AH86&gt;AH87,SUMPRODUCT(AH86:AH87,F86:F87)/SUM(F86:F87),AH86))</f>
        <v>465.54286023469569</v>
      </c>
      <c r="AM86" s="61">
        <f>IF($C86="",AI86,IF(AI86&gt;AI87,SUMPRODUCT(AI86:AI87,G86:G87)/SUM(G86:G87),AI86))</f>
        <v>300.73423611485208</v>
      </c>
      <c r="AN86" s="61">
        <f>IF($C86="",AJ86,IF(AJ86&gt;AJ87,SUMPRODUCT(AJ86:AJ87,H86:H87)/SUM(H86:H87),AJ86))</f>
        <v>433.00381200372937</v>
      </c>
      <c r="AO86" s="108">
        <f>IF($C86="",AK86,IF(AK86&gt;AK87,SUMPRODUCT(AK86:AK87,I86:I87)/SUM(I86:I87),AK86))</f>
        <v>216.50190600186468</v>
      </c>
      <c r="AP86" s="60">
        <f t="shared" si="78"/>
        <v>465.54286023469569</v>
      </c>
      <c r="AQ86" s="61">
        <f t="shared" si="79"/>
        <v>300.73423611485208</v>
      </c>
      <c r="AR86" s="61">
        <f t="shared" si="80"/>
        <v>433.00381200372937</v>
      </c>
      <c r="AS86" s="108">
        <f t="shared" si="81"/>
        <v>216.50190600186468</v>
      </c>
      <c r="AT86" s="18" t="str">
        <f t="shared" si="49"/>
        <v/>
      </c>
      <c r="AU86" s="19" t="str">
        <f t="shared" si="50"/>
        <v/>
      </c>
      <c r="AV86" s="19" t="str">
        <f t="shared" si="82"/>
        <v/>
      </c>
      <c r="AW86" s="19" t="str">
        <f t="shared" si="83"/>
        <v/>
      </c>
      <c r="AX86" s="19" t="str">
        <f t="shared" si="52"/>
        <v/>
      </c>
      <c r="AY86" s="323" t="str">
        <f t="shared" si="54"/>
        <v/>
      </c>
      <c r="AZ86" s="326">
        <f t="shared" si="53"/>
        <v>465.54286023469569</v>
      </c>
      <c r="BA86" s="323">
        <f t="shared" si="84"/>
        <v>300.73423611485208</v>
      </c>
      <c r="BB86" s="323">
        <f t="shared" ref="BB86:BB119" si="133">IF(AT86&lt;&gt;"",AT86,IF(AY86&lt;&gt;"",AY86,AR86))</f>
        <v>433.00381200372937</v>
      </c>
      <c r="BC86" s="327">
        <f t="shared" si="51"/>
        <v>216.50190600186468</v>
      </c>
      <c r="BD86" s="18" t="str">
        <f t="shared" si="85"/>
        <v/>
      </c>
      <c r="BE86" s="19" t="str">
        <f t="shared" si="86"/>
        <v/>
      </c>
      <c r="BF86" s="19" t="str">
        <f t="shared" si="87"/>
        <v/>
      </c>
      <c r="BG86" s="19" t="str">
        <f t="shared" si="88"/>
        <v/>
      </c>
      <c r="BH86" s="19" t="str">
        <f t="shared" si="89"/>
        <v/>
      </c>
      <c r="BI86" s="20" t="str">
        <f t="shared" si="90"/>
        <v/>
      </c>
      <c r="BJ86" s="744">
        <f t="shared" si="91"/>
        <v>4288385.1467835167</v>
      </c>
      <c r="BK86" s="321"/>
    </row>
    <row r="87" spans="1:63">
      <c r="A87">
        <v>316</v>
      </c>
      <c r="B87" s="88" t="s">
        <v>465</v>
      </c>
      <c r="D87" s="62" t="str">
        <f t="shared" si="57"/>
        <v>A</v>
      </c>
      <c r="E87">
        <f>IF(ISERROR(VLOOKUP(A87,Mandatory!A:A,1,FALSE)),0,1)</f>
        <v>0</v>
      </c>
      <c r="F87" s="54">
        <f>VLOOKUP(A87,'Front-loading'!A:AG,$F$6,FALSE)</f>
        <v>608</v>
      </c>
      <c r="G87" s="55">
        <f>VLOOKUP(A87,'Front-loading'!A:AG,$G$6,FALSE)</f>
        <v>4506</v>
      </c>
      <c r="H87" s="55">
        <f>VLOOKUP(A87,'Front-loading'!A:AG,$H$6,FALSE)</f>
        <v>1554</v>
      </c>
      <c r="I87" s="56">
        <f>VLOOKUP(A87,'Front-loading'!A:AG,$I$6,FALSE)</f>
        <v>10512</v>
      </c>
      <c r="J87" s="54">
        <f>VLOOKUP(A87,'Front-loading'!A:AG,$J$6,FALSE)</f>
        <v>204178.27758333221</v>
      </c>
      <c r="K87" s="55">
        <f>VLOOKUP(A87,'Front-loading'!A:AG,$K$6,FALSE)</f>
        <v>1295868.9600077593</v>
      </c>
      <c r="L87" s="55">
        <f>VLOOKUP(A87,'Front-loading'!A:AG,$L$6,FALSE)</f>
        <v>280453.17235440778</v>
      </c>
      <c r="M87" s="56">
        <f>VLOOKUP(A87,'Front-loading'!A:AG,$M$6,FALSE)</f>
        <v>1817324.0586071482</v>
      </c>
      <c r="N87" s="15">
        <f t="shared" si="55"/>
        <v>335.81953549890164</v>
      </c>
      <c r="O87" s="11">
        <f t="shared" si="55"/>
        <v>287.58743009493105</v>
      </c>
      <c r="P87" s="11">
        <f t="shared" si="55"/>
        <v>180.4717968818583</v>
      </c>
      <c r="Q87" s="12">
        <f t="shared" si="55"/>
        <v>172.88090359657042</v>
      </c>
      <c r="R87" s="99">
        <f t="shared" si="58"/>
        <v>335.81953549890164</v>
      </c>
      <c r="S87" s="100">
        <f t="shared" si="59"/>
        <v>287.58743009493105</v>
      </c>
      <c r="T87" s="100">
        <f t="shared" si="60"/>
        <v>180.4717968818583</v>
      </c>
      <c r="U87" s="100">
        <f t="shared" si="61"/>
        <v>172.88090359657042</v>
      </c>
      <c r="V87" s="95">
        <f t="shared" si="62"/>
        <v>335.81953549890164</v>
      </c>
      <c r="W87" s="96">
        <f t="shared" si="63"/>
        <v>287.58743009493105</v>
      </c>
      <c r="X87" s="96">
        <f t="shared" si="64"/>
        <v>180.4717968818583</v>
      </c>
      <c r="Y87" s="96">
        <f t="shared" si="65"/>
        <v>172.88090359657042</v>
      </c>
      <c r="Z87" s="60">
        <f t="shared" si="66"/>
        <v>335.81953549890164</v>
      </c>
      <c r="AA87" s="61">
        <f t="shared" si="67"/>
        <v>287.58743009493105</v>
      </c>
      <c r="AB87" s="61">
        <f t="shared" si="68"/>
        <v>180.4717968818583</v>
      </c>
      <c r="AC87" s="108">
        <f t="shared" si="69"/>
        <v>172.88090359657042</v>
      </c>
      <c r="AD87" s="61">
        <f t="shared" si="70"/>
        <v>335.81953549890164</v>
      </c>
      <c r="AE87" s="61">
        <f t="shared" si="71"/>
        <v>287.58743009493105</v>
      </c>
      <c r="AF87" s="61">
        <f t="shared" si="72"/>
        <v>180.4717968818583</v>
      </c>
      <c r="AG87" s="108">
        <f t="shared" si="73"/>
        <v>172.88090359657042</v>
      </c>
      <c r="AH87" s="61">
        <f t="shared" si="74"/>
        <v>335.81953549890164</v>
      </c>
      <c r="AI87" s="61">
        <f t="shared" si="75"/>
        <v>287.58743009493105</v>
      </c>
      <c r="AJ87" s="61">
        <f t="shared" si="76"/>
        <v>180.4717968818583</v>
      </c>
      <c r="AK87" s="61">
        <f t="shared" si="77"/>
        <v>172.88090359657042</v>
      </c>
      <c r="AL87" s="60">
        <f>IF($C87="",AH87,IF(AH86&gt;AH87,SUMPRODUCT(AH86:AH87,F86:F87)/SUM(F86:F87),AH87))</f>
        <v>335.81953549890164</v>
      </c>
      <c r="AM87" s="61">
        <f>IF($C87="",AI87,IF(AI86&gt;AI87,SUMPRODUCT(AI86:AI87,G86:G87)/SUM(G86:G87),AI87))</f>
        <v>287.58743009493105</v>
      </c>
      <c r="AN87" s="61">
        <f>IF($C87="",AJ87,IF(AJ86&gt;AJ87,SUMPRODUCT(AJ86:AJ87,H86:H87)/SUM(H86:H87),AJ87))</f>
        <v>180.4717968818583</v>
      </c>
      <c r="AO87" s="108">
        <f>IF($C87="",AK87,IF(AK86&gt;AK87,SUMPRODUCT(AK86:AK87,I86:I87)/SUM(I86:I87),AK87))</f>
        <v>172.88090359657042</v>
      </c>
      <c r="AP87" s="60">
        <f t="shared" si="78"/>
        <v>335.81953549890164</v>
      </c>
      <c r="AQ87" s="61">
        <f t="shared" si="79"/>
        <v>287.58743009493105</v>
      </c>
      <c r="AR87" s="61">
        <f t="shared" si="80"/>
        <v>180.4717968818583</v>
      </c>
      <c r="AS87" s="108">
        <f t="shared" si="81"/>
        <v>172.88090359657042</v>
      </c>
      <c r="AT87" s="18" t="str">
        <f t="shared" si="49"/>
        <v/>
      </c>
      <c r="AU87" s="19" t="str">
        <f t="shared" si="50"/>
        <v/>
      </c>
      <c r="AV87" s="19" t="str">
        <f t="shared" si="82"/>
        <v/>
      </c>
      <c r="AW87" s="19" t="str">
        <f t="shared" si="83"/>
        <v/>
      </c>
      <c r="AX87" s="19" t="str">
        <f t="shared" si="52"/>
        <v/>
      </c>
      <c r="AY87" s="323" t="str">
        <f t="shared" si="54"/>
        <v/>
      </c>
      <c r="AZ87" s="326">
        <f t="shared" si="53"/>
        <v>335.81953549890164</v>
      </c>
      <c r="BA87" s="323">
        <f t="shared" si="84"/>
        <v>287.58743009493105</v>
      </c>
      <c r="BB87" s="323">
        <f t="shared" si="133"/>
        <v>180.4717968818583</v>
      </c>
      <c r="BC87" s="327">
        <f t="shared" si="51"/>
        <v>172.88090359657042</v>
      </c>
      <c r="BD87" s="18" t="str">
        <f t="shared" si="85"/>
        <v/>
      </c>
      <c r="BE87" s="19" t="str">
        <f t="shared" si="86"/>
        <v/>
      </c>
      <c r="BF87" s="19" t="str">
        <f t="shared" si="87"/>
        <v/>
      </c>
      <c r="BG87" s="19" t="str">
        <f t="shared" si="88"/>
        <v/>
      </c>
      <c r="BH87" s="19" t="str">
        <f t="shared" si="89"/>
        <v/>
      </c>
      <c r="BI87" s="20" t="str">
        <f t="shared" si="90"/>
        <v/>
      </c>
      <c r="BJ87" s="744">
        <f t="shared" si="91"/>
        <v>3597824.4685526476</v>
      </c>
      <c r="BK87" s="321"/>
    </row>
    <row r="88" spans="1:63">
      <c r="A88">
        <v>317</v>
      </c>
      <c r="B88" s="88" t="s">
        <v>466</v>
      </c>
      <c r="D88" s="62" t="str">
        <f t="shared" si="57"/>
        <v>A</v>
      </c>
      <c r="E88">
        <f>IF(ISERROR(VLOOKUP(A88,Mandatory!A:A,1,FALSE)),0,1)</f>
        <v>0</v>
      </c>
      <c r="F88" s="54">
        <f>VLOOKUP(A88,'Front-loading'!A:AG,$F$6,FALSE)</f>
        <v>20</v>
      </c>
      <c r="G88" s="55">
        <f>VLOOKUP(A88,'Front-loading'!A:AG,$G$6,FALSE)</f>
        <v>13089</v>
      </c>
      <c r="H88" s="55">
        <f>VLOOKUP(A88,'Front-loading'!A:AG,$H$6,FALSE)</f>
        <v>76</v>
      </c>
      <c r="I88" s="56">
        <f>VLOOKUP(A88,'Front-loading'!A:AG,$I$6,FALSE)</f>
        <v>15385</v>
      </c>
      <c r="J88" s="54">
        <f>VLOOKUP(A88,'Front-loading'!A:AG,$J$6,FALSE)</f>
        <v>5080.4251219561347</v>
      </c>
      <c r="K88" s="55">
        <f>VLOOKUP(A88,'Front-loading'!A:AG,$K$6,FALSE)</f>
        <v>1949090.7290241919</v>
      </c>
      <c r="L88" s="55">
        <f>VLOOKUP(A88,'Front-loading'!A:AG,$L$6,FALSE)</f>
        <v>16189.71973136055</v>
      </c>
      <c r="M88" s="56">
        <f>VLOOKUP(A88,'Front-loading'!A:AG,$M$6,FALSE)</f>
        <v>1578879.4241104382</v>
      </c>
      <c r="N88" s="15">
        <f t="shared" si="55"/>
        <v>254.02125609780674</v>
      </c>
      <c r="O88" s="11">
        <f t="shared" si="55"/>
        <v>148.91059126168477</v>
      </c>
      <c r="P88" s="11">
        <f t="shared" si="55"/>
        <v>213.02262804421775</v>
      </c>
      <c r="Q88" s="12">
        <f t="shared" si="55"/>
        <v>102.62459695225468</v>
      </c>
      <c r="R88" s="99">
        <f t="shared" si="58"/>
        <v>221.56400888871545</v>
      </c>
      <c r="S88" s="100">
        <f t="shared" si="59"/>
        <v>148.91059126168477</v>
      </c>
      <c r="T88" s="100">
        <f t="shared" si="60"/>
        <v>221.56400888871545</v>
      </c>
      <c r="U88" s="100">
        <f t="shared" si="61"/>
        <v>102.62459695225468</v>
      </c>
      <c r="V88" s="95">
        <f t="shared" si="62"/>
        <v>221.56400888871545</v>
      </c>
      <c r="W88" s="96">
        <f t="shared" si="63"/>
        <v>148.91059126168477</v>
      </c>
      <c r="X88" s="96">
        <f t="shared" si="64"/>
        <v>221.56400888871545</v>
      </c>
      <c r="Y88" s="96">
        <f t="shared" si="65"/>
        <v>102.62459695225468</v>
      </c>
      <c r="Z88" s="60">
        <f t="shared" si="66"/>
        <v>221.56400888871545</v>
      </c>
      <c r="AA88" s="61">
        <f t="shared" si="67"/>
        <v>148.91059126168477</v>
      </c>
      <c r="AB88" s="61">
        <f t="shared" si="68"/>
        <v>221.56400888871545</v>
      </c>
      <c r="AC88" s="108">
        <f t="shared" si="69"/>
        <v>102.62459695225468</v>
      </c>
      <c r="AD88" s="61">
        <f t="shared" si="70"/>
        <v>221.56400888871545</v>
      </c>
      <c r="AE88" s="61">
        <f t="shared" si="71"/>
        <v>148.91059126168477</v>
      </c>
      <c r="AF88" s="61">
        <f t="shared" si="72"/>
        <v>221.56400888871545</v>
      </c>
      <c r="AG88" s="108">
        <f t="shared" si="73"/>
        <v>102.62459695225468</v>
      </c>
      <c r="AH88" s="61">
        <f t="shared" si="74"/>
        <v>221.56400888871545</v>
      </c>
      <c r="AI88" s="61">
        <f t="shared" si="75"/>
        <v>148.91059126168477</v>
      </c>
      <c r="AJ88" s="61">
        <f t="shared" si="76"/>
        <v>205.40880334504482</v>
      </c>
      <c r="AK88" s="61">
        <f t="shared" si="77"/>
        <v>102.70440167252241</v>
      </c>
      <c r="AL88" s="60">
        <f>IF($C88="",AH88,IF(AH88&gt;AH89,SUMPRODUCT(AH88:AH89,F88:F89)/SUM(F88:F89),AH88))</f>
        <v>221.56400888871545</v>
      </c>
      <c r="AM88" s="61">
        <f>IF($C88="",AI88,IF(AI88&gt;AI89,SUMPRODUCT(AI88:AI89,G88:G89)/SUM(G88:G89),AI88))</f>
        <v>148.91059126168477</v>
      </c>
      <c r="AN88" s="61">
        <f>IF($C88="",AJ88,IF(AJ88&gt;AJ89,SUMPRODUCT(AJ88:AJ89,H88:H89)/SUM(H88:H89),AJ88))</f>
        <v>205.40880334504482</v>
      </c>
      <c r="AO88" s="108">
        <f>IF($C88="",AK88,IF(AK88&gt;AK89,SUMPRODUCT(AK88:AK89,I88:I89)/SUM(I88:I89),AK88))</f>
        <v>102.70440167252241</v>
      </c>
      <c r="AP88" s="60">
        <f t="shared" si="78"/>
        <v>221.56400888871545</v>
      </c>
      <c r="AQ88" s="61">
        <f t="shared" si="79"/>
        <v>148.91059126168477</v>
      </c>
      <c r="AR88" s="61">
        <f t="shared" si="80"/>
        <v>205.40880334504482</v>
      </c>
      <c r="AS88" s="108">
        <f t="shared" si="81"/>
        <v>102.70440167252241</v>
      </c>
      <c r="AT88" s="18" t="str">
        <f t="shared" si="49"/>
        <v/>
      </c>
      <c r="AU88" s="19" t="str">
        <f t="shared" si="50"/>
        <v/>
      </c>
      <c r="AV88" s="19" t="str">
        <f t="shared" si="82"/>
        <v/>
      </c>
      <c r="AW88" s="19" t="str">
        <f t="shared" si="83"/>
        <v/>
      </c>
      <c r="AX88" s="19" t="str">
        <f t="shared" si="52"/>
        <v/>
      </c>
      <c r="AY88" s="323" t="str">
        <f t="shared" si="54"/>
        <v/>
      </c>
      <c r="AZ88" s="326">
        <f t="shared" si="53"/>
        <v>221.56400888871545</v>
      </c>
      <c r="BA88" s="323">
        <f t="shared" si="84"/>
        <v>148.91059126168477</v>
      </c>
      <c r="BB88" s="323">
        <f t="shared" si="133"/>
        <v>205.40880334504482</v>
      </c>
      <c r="BC88" s="327">
        <f t="shared" si="51"/>
        <v>102.70440167252241</v>
      </c>
      <c r="BD88" s="18" t="str">
        <f t="shared" si="85"/>
        <v/>
      </c>
      <c r="BE88" s="19" t="str">
        <f t="shared" si="86"/>
        <v/>
      </c>
      <c r="BF88" s="19" t="str">
        <f t="shared" si="87"/>
        <v/>
      </c>
      <c r="BG88" s="19" t="str">
        <f t="shared" si="88"/>
        <v/>
      </c>
      <c r="BH88" s="19" t="str">
        <f t="shared" si="89"/>
        <v/>
      </c>
      <c r="BI88" s="20" t="str">
        <f t="shared" si="90"/>
        <v/>
      </c>
      <c r="BJ88" s="744">
        <f t="shared" si="91"/>
        <v>3549240.2979879472</v>
      </c>
      <c r="BK88" s="321"/>
    </row>
    <row r="89" spans="1:63">
      <c r="A89">
        <v>322</v>
      </c>
      <c r="B89" s="88" t="s">
        <v>467</v>
      </c>
      <c r="D89" s="62" t="str">
        <f t="shared" si="57"/>
        <v>A</v>
      </c>
      <c r="E89">
        <f>IF(ISERROR(VLOOKUP(A89,Mandatory!A:A,1,FALSE)),0,1)</f>
        <v>0</v>
      </c>
      <c r="F89" s="54">
        <f>VLOOKUP(A89,'Front-loading'!A:AG,$F$6,FALSE)</f>
        <v>0</v>
      </c>
      <c r="G89" s="55">
        <f>VLOOKUP(A89,'Front-loading'!A:AG,$G$6,FALSE)</f>
        <v>233</v>
      </c>
      <c r="H89" s="55">
        <f>VLOOKUP(A89,'Front-loading'!A:AG,$H$6,FALSE)</f>
        <v>0</v>
      </c>
      <c r="I89" s="56">
        <f>VLOOKUP(A89,'Front-loading'!A:AG,$I$6,FALSE)</f>
        <v>394</v>
      </c>
      <c r="J89" s="54">
        <f>VLOOKUP(A89,'Front-loading'!A:AG,$J$6,FALSE)</f>
        <v>0</v>
      </c>
      <c r="K89" s="55">
        <f>VLOOKUP(A89,'Front-loading'!A:AG,$K$6,FALSE)</f>
        <v>50899.05231226734</v>
      </c>
      <c r="L89" s="55">
        <f>VLOOKUP(A89,'Front-loading'!A:AG,$L$6,FALSE)</f>
        <v>0</v>
      </c>
      <c r="M89" s="56">
        <f>VLOOKUP(A89,'Front-loading'!A:AG,$M$6,FALSE)</f>
        <v>42725.526057425166</v>
      </c>
      <c r="N89" s="15">
        <f t="shared" si="55"/>
        <v>0</v>
      </c>
      <c r="O89" s="11">
        <f t="shared" si="55"/>
        <v>218.45086829299288</v>
      </c>
      <c r="P89" s="11">
        <f t="shared" si="55"/>
        <v>0</v>
      </c>
      <c r="Q89" s="12">
        <f t="shared" si="55"/>
        <v>108.44042146554611</v>
      </c>
      <c r="R89" s="99" t="e">
        <f t="shared" si="58"/>
        <v>#DIV/0!</v>
      </c>
      <c r="S89" s="100">
        <f t="shared" si="59"/>
        <v>218.45086829299288</v>
      </c>
      <c r="T89" s="100" t="e">
        <f t="shared" si="60"/>
        <v>#DIV/0!</v>
      </c>
      <c r="U89" s="100">
        <f t="shared" si="61"/>
        <v>108.44042146554611</v>
      </c>
      <c r="V89" s="95">
        <f t="shared" si="62"/>
        <v>218.45086829299288</v>
      </c>
      <c r="W89" s="96">
        <f t="shared" si="63"/>
        <v>218.45086829299288</v>
      </c>
      <c r="X89" s="96">
        <f t="shared" si="64"/>
        <v>108.44042146554611</v>
      </c>
      <c r="Y89" s="96">
        <f t="shared" si="65"/>
        <v>108.44042146554611</v>
      </c>
      <c r="Z89" s="60">
        <f t="shared" si="66"/>
        <v>218.45086829299288</v>
      </c>
      <c r="AA89" s="61">
        <f t="shared" si="67"/>
        <v>218.45086829299288</v>
      </c>
      <c r="AB89" s="61">
        <f t="shared" si="68"/>
        <v>108.44042146554611</v>
      </c>
      <c r="AC89" s="108">
        <f t="shared" si="69"/>
        <v>108.44042146554611</v>
      </c>
      <c r="AD89" s="61">
        <f t="shared" si="70"/>
        <v>218.45086829299288</v>
      </c>
      <c r="AE89" s="61">
        <f t="shared" si="71"/>
        <v>218.45086829299288</v>
      </c>
      <c r="AF89" s="61">
        <f t="shared" si="72"/>
        <v>108.44042146554611</v>
      </c>
      <c r="AG89" s="108">
        <f t="shared" si="73"/>
        <v>108.44042146554611</v>
      </c>
      <c r="AH89" s="61">
        <f t="shared" si="74"/>
        <v>218.45086829299288</v>
      </c>
      <c r="AI89" s="61">
        <f t="shared" si="75"/>
        <v>218.45086829299288</v>
      </c>
      <c r="AJ89" s="61">
        <f t="shared" si="76"/>
        <v>108.44042146554611</v>
      </c>
      <c r="AK89" s="61">
        <f t="shared" si="77"/>
        <v>108.44042146554611</v>
      </c>
      <c r="AL89" s="60">
        <f>IF($C89="",AH89,IF(AH88&gt;AH89,SUMPRODUCT(AH88:AH89,F88:F89)/SUM(F88:F89),AH89))</f>
        <v>218.45086829299288</v>
      </c>
      <c r="AM89" s="61">
        <f>IF($C89="",AI89,IF(AI88&gt;AI89,SUMPRODUCT(AI88:AI89,G88:G89)/SUM(G88:G89),AI89))</f>
        <v>218.45086829299288</v>
      </c>
      <c r="AN89" s="61">
        <f>IF($C89="",AJ89,IF(AJ88&gt;AJ89,SUMPRODUCT(AJ88:AJ89,H88:H89)/SUM(H88:H89),AJ89))</f>
        <v>108.44042146554611</v>
      </c>
      <c r="AO89" s="108">
        <f>IF($C89="",AK89,IF(AK88&gt;AK89,SUMPRODUCT(AK88:AK89,I88:I89)/SUM(I88:I89),AK89))</f>
        <v>108.44042146554611</v>
      </c>
      <c r="AP89" s="60">
        <f t="shared" si="78"/>
        <v>218.45086829299288</v>
      </c>
      <c r="AQ89" s="61">
        <f t="shared" si="79"/>
        <v>218.45086829299288</v>
      </c>
      <c r="AR89" s="61">
        <f t="shared" si="80"/>
        <v>108.44042146554611</v>
      </c>
      <c r="AS89" s="108">
        <f t="shared" si="81"/>
        <v>108.44042146554611</v>
      </c>
      <c r="AT89" s="18" t="str">
        <f t="shared" si="49"/>
        <v/>
      </c>
      <c r="AU89" s="19" t="str">
        <f t="shared" si="50"/>
        <v/>
      </c>
      <c r="AV89" s="19" t="str">
        <f t="shared" si="82"/>
        <v/>
      </c>
      <c r="AW89" s="19" t="str">
        <f t="shared" si="83"/>
        <v/>
      </c>
      <c r="AX89" s="19" t="str">
        <f t="shared" si="52"/>
        <v/>
      </c>
      <c r="AY89" s="323" t="str">
        <f t="shared" si="54"/>
        <v/>
      </c>
      <c r="AZ89" s="326">
        <f t="shared" si="53"/>
        <v>218.45086829299288</v>
      </c>
      <c r="BA89" s="323">
        <f t="shared" si="84"/>
        <v>218.45086829299288</v>
      </c>
      <c r="BB89" s="323">
        <f t="shared" si="133"/>
        <v>108.44042146554611</v>
      </c>
      <c r="BC89" s="327">
        <f t="shared" si="51"/>
        <v>108.44042146554611</v>
      </c>
      <c r="BD89" s="18" t="str">
        <f t="shared" si="85"/>
        <v/>
      </c>
      <c r="BE89" s="19" t="str">
        <f t="shared" si="86"/>
        <v/>
      </c>
      <c r="BF89" s="19" t="str">
        <f t="shared" si="87"/>
        <v/>
      </c>
      <c r="BG89" s="19" t="str">
        <f t="shared" si="88"/>
        <v/>
      </c>
      <c r="BH89" s="19" t="str">
        <f t="shared" si="89"/>
        <v/>
      </c>
      <c r="BI89" s="20" t="str">
        <f t="shared" si="90"/>
        <v/>
      </c>
      <c r="BJ89" s="744">
        <f t="shared" si="91"/>
        <v>93624.578369692506</v>
      </c>
      <c r="BK89" s="321"/>
    </row>
    <row r="90" spans="1:63">
      <c r="A90">
        <v>323</v>
      </c>
      <c r="B90" s="88" t="s">
        <v>468</v>
      </c>
      <c r="D90" s="62" t="str">
        <f t="shared" si="57"/>
        <v>A</v>
      </c>
      <c r="E90">
        <f>IF(ISERROR(VLOOKUP(A90,Mandatory!A:A,1,FALSE)),0,1)</f>
        <v>0</v>
      </c>
      <c r="F90" s="54">
        <f>VLOOKUP(A90,'Front-loading'!A:AG,$F$6,FALSE)</f>
        <v>3</v>
      </c>
      <c r="G90" s="55">
        <f>VLOOKUP(A90,'Front-loading'!A:AG,$G$6,FALSE)</f>
        <v>1161</v>
      </c>
      <c r="H90" s="55">
        <f>VLOOKUP(A90,'Front-loading'!A:AG,$H$6,FALSE)</f>
        <v>66</v>
      </c>
      <c r="I90" s="56">
        <f>VLOOKUP(A90,'Front-loading'!A:AG,$I$6,FALSE)</f>
        <v>14977</v>
      </c>
      <c r="J90" s="54">
        <f>VLOOKUP(A90,'Front-loading'!A:AG,$J$6,FALSE)</f>
        <v>1965.0515214034049</v>
      </c>
      <c r="K90" s="55">
        <f>VLOOKUP(A90,'Front-loading'!A:AG,$K$6,FALSE)</f>
        <v>711746.06364705064</v>
      </c>
      <c r="L90" s="55">
        <f>VLOOKUP(A90,'Front-loading'!A:AG,$L$6,FALSE)</f>
        <v>13111.737152520331</v>
      </c>
      <c r="M90" s="56">
        <f>VLOOKUP(A90,'Front-loading'!A:AG,$M$6,FALSE)</f>
        <v>4184507.8380682138</v>
      </c>
      <c r="N90" s="15">
        <f t="shared" si="55"/>
        <v>655.01717380113496</v>
      </c>
      <c r="O90" s="11">
        <f t="shared" si="55"/>
        <v>613.04570512235193</v>
      </c>
      <c r="P90" s="11">
        <f t="shared" si="55"/>
        <v>198.66268412909591</v>
      </c>
      <c r="Q90" s="12">
        <f t="shared" si="55"/>
        <v>279.39559578475087</v>
      </c>
      <c r="R90" s="99">
        <f t="shared" si="58"/>
        <v>218.50418368005415</v>
      </c>
      <c r="S90" s="100">
        <f t="shared" si="59"/>
        <v>613.04570512235193</v>
      </c>
      <c r="T90" s="100">
        <f t="shared" si="60"/>
        <v>218.50418368005415</v>
      </c>
      <c r="U90" s="100">
        <f t="shared" si="61"/>
        <v>279.39559578475087</v>
      </c>
      <c r="V90" s="95">
        <f t="shared" si="62"/>
        <v>218.50418368005415</v>
      </c>
      <c r="W90" s="96">
        <f t="shared" si="63"/>
        <v>613.04570512235193</v>
      </c>
      <c r="X90" s="96">
        <f t="shared" si="64"/>
        <v>218.50418368005415</v>
      </c>
      <c r="Y90" s="96">
        <f t="shared" si="65"/>
        <v>279.39559578475087</v>
      </c>
      <c r="Z90" s="60">
        <f t="shared" si="66"/>
        <v>218.50418368005415</v>
      </c>
      <c r="AA90" s="61">
        <f t="shared" si="67"/>
        <v>613.04570512235193</v>
      </c>
      <c r="AB90" s="61">
        <f t="shared" si="68"/>
        <v>218.50418368005415</v>
      </c>
      <c r="AC90" s="108">
        <f t="shared" si="69"/>
        <v>279.39559578475087</v>
      </c>
      <c r="AD90" s="61">
        <f t="shared" si="70"/>
        <v>612.0288455310058</v>
      </c>
      <c r="AE90" s="61">
        <f t="shared" si="71"/>
        <v>612.0288455310058</v>
      </c>
      <c r="AF90" s="61">
        <f t="shared" si="72"/>
        <v>279.12843941973659</v>
      </c>
      <c r="AG90" s="108">
        <f t="shared" si="73"/>
        <v>279.12843941973659</v>
      </c>
      <c r="AH90" s="61">
        <f t="shared" si="74"/>
        <v>612.0288455310058</v>
      </c>
      <c r="AI90" s="61">
        <f t="shared" si="75"/>
        <v>612.0288455310058</v>
      </c>
      <c r="AJ90" s="61">
        <f t="shared" si="76"/>
        <v>279.12843941973659</v>
      </c>
      <c r="AK90" s="61">
        <f t="shared" si="77"/>
        <v>279.12843941973659</v>
      </c>
      <c r="AL90" s="60">
        <f>IF($C90="",AH90,IF(AH90&gt;AH91,SUMPRODUCT(AH90:AH91,F90:F91)/SUM(F90:F91),AH90))</f>
        <v>612.0288455310058</v>
      </c>
      <c r="AM90" s="61">
        <f>IF($C90="",AI90,IF(AI90&gt;AI91,SUMPRODUCT(AI90:AI91,G90:G91)/SUM(G90:G91),AI90))</f>
        <v>612.0288455310058</v>
      </c>
      <c r="AN90" s="61">
        <f>IF($C90="",AJ90,IF(AJ90&gt;AJ91,SUMPRODUCT(AJ90:AJ91,H90:H91)/SUM(H90:H91),AJ90))</f>
        <v>279.12843941973659</v>
      </c>
      <c r="AO90" s="108">
        <f>IF($C90="",AK90,IF(AK90&gt;AK91,SUMPRODUCT(AK90:AK91,I90:I91)/SUM(I90:I91),AK90))</f>
        <v>279.12843941973659</v>
      </c>
      <c r="AP90" s="60">
        <f t="shared" si="78"/>
        <v>612.0288455310058</v>
      </c>
      <c r="AQ90" s="61">
        <f t="shared" si="79"/>
        <v>612.0288455310058</v>
      </c>
      <c r="AR90" s="61">
        <f t="shared" si="80"/>
        <v>279.12843941973659</v>
      </c>
      <c r="AS90" s="108">
        <f t="shared" si="81"/>
        <v>279.12843941973659</v>
      </c>
      <c r="AT90" s="18" t="str">
        <f t="shared" si="49"/>
        <v/>
      </c>
      <c r="AU90" s="19" t="str">
        <f t="shared" si="50"/>
        <v/>
      </c>
      <c r="AV90" s="19" t="str">
        <f t="shared" si="82"/>
        <v/>
      </c>
      <c r="AW90" s="19" t="str">
        <f t="shared" si="83"/>
        <v/>
      </c>
      <c r="AX90" s="19" t="str">
        <f t="shared" si="52"/>
        <v/>
      </c>
      <c r="AY90" s="323" t="str">
        <f t="shared" si="54"/>
        <v/>
      </c>
      <c r="AZ90" s="326">
        <f t="shared" si="53"/>
        <v>612.0288455310058</v>
      </c>
      <c r="BA90" s="323">
        <f t="shared" si="84"/>
        <v>612.0288455310058</v>
      </c>
      <c r="BB90" s="323">
        <f t="shared" si="133"/>
        <v>279.12843941973659</v>
      </c>
      <c r="BC90" s="327">
        <f t="shared" si="51"/>
        <v>279.12843941973659</v>
      </c>
      <c r="BD90" s="18" t="str">
        <f t="shared" si="85"/>
        <v/>
      </c>
      <c r="BE90" s="19" t="str">
        <f t="shared" si="86"/>
        <v/>
      </c>
      <c r="BF90" s="19" t="str">
        <f t="shared" si="87"/>
        <v/>
      </c>
      <c r="BG90" s="19" t="str">
        <f t="shared" si="88"/>
        <v/>
      </c>
      <c r="BH90" s="19" t="str">
        <f t="shared" si="89"/>
        <v/>
      </c>
      <c r="BI90" s="20" t="str">
        <f t="shared" si="90"/>
        <v/>
      </c>
      <c r="BJ90" s="744">
        <f t="shared" si="91"/>
        <v>4911330.690389188</v>
      </c>
      <c r="BK90" s="321"/>
    </row>
    <row r="91" spans="1:63">
      <c r="A91">
        <v>324</v>
      </c>
      <c r="B91" s="88" t="s">
        <v>469</v>
      </c>
      <c r="D91" s="62" t="str">
        <f t="shared" si="57"/>
        <v>A</v>
      </c>
      <c r="E91">
        <f>IF(ISERROR(VLOOKUP(A91,Mandatory!A:A,1,FALSE)),0,1)</f>
        <v>0</v>
      </c>
      <c r="F91" s="54">
        <f>VLOOKUP(A91,'Front-loading'!A:AG,$F$6,FALSE)</f>
        <v>690</v>
      </c>
      <c r="G91" s="55">
        <f>VLOOKUP(A91,'Front-loading'!A:AG,$G$6,FALSE)</f>
        <v>147297</v>
      </c>
      <c r="H91" s="55">
        <f>VLOOKUP(A91,'Front-loading'!A:AG,$H$6,FALSE)</f>
        <v>335</v>
      </c>
      <c r="I91" s="56">
        <f>VLOOKUP(A91,'Front-loading'!A:AG,$I$6,FALSE)</f>
        <v>1404563</v>
      </c>
      <c r="J91" s="54">
        <f>VLOOKUP(A91,'Front-loading'!A:AG,$J$6,FALSE)</f>
        <v>28115.330485804319</v>
      </c>
      <c r="K91" s="55">
        <f>VLOOKUP(A91,'Front-loading'!A:AG,$K$6,FALSE)</f>
        <v>5976023.2872399632</v>
      </c>
      <c r="L91" s="55">
        <f>VLOOKUP(A91,'Front-loading'!A:AG,$L$6,FALSE)</f>
        <v>7462.223787515527</v>
      </c>
      <c r="M91" s="56">
        <f>VLOOKUP(A91,'Front-loading'!A:AG,$M$6,FALSE)</f>
        <v>26553594.667285334</v>
      </c>
      <c r="N91" s="15">
        <f t="shared" si="55"/>
        <v>40.746855776528001</v>
      </c>
      <c r="O91" s="11">
        <f t="shared" si="55"/>
        <v>40.571249158095299</v>
      </c>
      <c r="P91" s="11">
        <f t="shared" si="55"/>
        <v>22.27529488810605</v>
      </c>
      <c r="Q91" s="12">
        <f t="shared" si="55"/>
        <v>18.905235768908433</v>
      </c>
      <c r="R91" s="99">
        <f t="shared" si="58"/>
        <v>40.746855776528001</v>
      </c>
      <c r="S91" s="100">
        <f t="shared" si="59"/>
        <v>40.571249158095299</v>
      </c>
      <c r="T91" s="100">
        <f t="shared" si="60"/>
        <v>22.27529488810605</v>
      </c>
      <c r="U91" s="100">
        <f t="shared" si="61"/>
        <v>18.905235768908433</v>
      </c>
      <c r="V91" s="95">
        <f t="shared" si="62"/>
        <v>40.746855776528001</v>
      </c>
      <c r="W91" s="96">
        <f t="shared" si="63"/>
        <v>40.571249158095299</v>
      </c>
      <c r="X91" s="96">
        <f t="shared" si="64"/>
        <v>22.27529488810605</v>
      </c>
      <c r="Y91" s="96">
        <f t="shared" si="65"/>
        <v>18.905235768908433</v>
      </c>
      <c r="Z91" s="60">
        <f t="shared" si="66"/>
        <v>40.746855776528001</v>
      </c>
      <c r="AA91" s="61">
        <f t="shared" si="67"/>
        <v>40.571249158095299</v>
      </c>
      <c r="AB91" s="61">
        <f t="shared" si="68"/>
        <v>22.27529488810605</v>
      </c>
      <c r="AC91" s="108">
        <f t="shared" si="69"/>
        <v>18.905235768908433</v>
      </c>
      <c r="AD91" s="61">
        <f t="shared" si="70"/>
        <v>40.746855776528001</v>
      </c>
      <c r="AE91" s="61">
        <f t="shared" si="71"/>
        <v>40.571249158095299</v>
      </c>
      <c r="AF91" s="61">
        <f t="shared" si="72"/>
        <v>22.27529488810605</v>
      </c>
      <c r="AG91" s="108">
        <f t="shared" si="73"/>
        <v>18.905235768908433</v>
      </c>
      <c r="AH91" s="61">
        <f t="shared" si="74"/>
        <v>40.746855776528001</v>
      </c>
      <c r="AI91" s="61">
        <f t="shared" si="75"/>
        <v>40.571249158095299</v>
      </c>
      <c r="AJ91" s="61">
        <f t="shared" si="76"/>
        <v>22.27529488810605</v>
      </c>
      <c r="AK91" s="61">
        <f t="shared" si="77"/>
        <v>18.905235768908433</v>
      </c>
      <c r="AL91" s="60">
        <f t="shared" ref="AL91:AO92" si="134">IF($C91="",AH91,IF(AH90&gt;AH91,SUMPRODUCT(AH90:AH91,F90:F91)/SUM(F90:F91),AH91))</f>
        <v>40.746855776528001</v>
      </c>
      <c r="AM91" s="61">
        <f t="shared" si="134"/>
        <v>40.571249158095299</v>
      </c>
      <c r="AN91" s="61">
        <f t="shared" si="134"/>
        <v>22.27529488810605</v>
      </c>
      <c r="AO91" s="108">
        <f t="shared" si="134"/>
        <v>18.905235768908433</v>
      </c>
      <c r="AP91" s="60">
        <f t="shared" si="78"/>
        <v>40.746855776528001</v>
      </c>
      <c r="AQ91" s="61">
        <f t="shared" si="79"/>
        <v>40.571249158095299</v>
      </c>
      <c r="AR91" s="61">
        <f t="shared" si="80"/>
        <v>22.27529488810605</v>
      </c>
      <c r="AS91" s="108">
        <f t="shared" si="81"/>
        <v>18.905235768908433</v>
      </c>
      <c r="AT91" s="18" t="str">
        <f t="shared" si="49"/>
        <v/>
      </c>
      <c r="AU91" s="19" t="str">
        <f t="shared" si="50"/>
        <v/>
      </c>
      <c r="AV91" s="19" t="str">
        <f t="shared" si="82"/>
        <v/>
      </c>
      <c r="AW91" s="19" t="str">
        <f t="shared" si="83"/>
        <v/>
      </c>
      <c r="AX91" s="19" t="str">
        <f t="shared" si="52"/>
        <v/>
      </c>
      <c r="AY91" s="323" t="str">
        <f t="shared" si="54"/>
        <v/>
      </c>
      <c r="AZ91" s="326">
        <f t="shared" si="53"/>
        <v>40.746855776528001</v>
      </c>
      <c r="BA91" s="323">
        <f t="shared" si="84"/>
        <v>40.571249158095299</v>
      </c>
      <c r="BB91" s="323">
        <f t="shared" si="133"/>
        <v>22.27529488810605</v>
      </c>
      <c r="BC91" s="327">
        <f t="shared" si="51"/>
        <v>18.905235768908433</v>
      </c>
      <c r="BD91" s="18" t="str">
        <f t="shared" si="85"/>
        <v/>
      </c>
      <c r="BE91" s="19" t="str">
        <f t="shared" si="86"/>
        <v/>
      </c>
      <c r="BF91" s="19" t="str">
        <f t="shared" si="87"/>
        <v/>
      </c>
      <c r="BG91" s="19" t="str">
        <f t="shared" si="88"/>
        <v/>
      </c>
      <c r="BH91" s="19" t="str">
        <f t="shared" si="89"/>
        <v/>
      </c>
      <c r="BI91" s="20" t="str">
        <f t="shared" si="90"/>
        <v/>
      </c>
      <c r="BJ91" s="744">
        <f t="shared" si="91"/>
        <v>32565195.508798618</v>
      </c>
      <c r="BK91" s="321"/>
    </row>
    <row r="92" spans="1:63" s="255" customFormat="1">
      <c r="A92" s="255">
        <v>329</v>
      </c>
      <c r="B92" s="88" t="s">
        <v>62</v>
      </c>
      <c r="D92" s="62" t="str">
        <f t="shared" si="57"/>
        <v>A</v>
      </c>
      <c r="E92" s="255">
        <f>IF(ISERROR(VLOOKUP(A92,Mandatory!A:A,1,FALSE)),0,1)</f>
        <v>1</v>
      </c>
      <c r="F92" s="259">
        <f>VLOOKUP(A92,'Front-loading'!A:AG,$F$6,FALSE)</f>
        <v>1648</v>
      </c>
      <c r="G92" s="260">
        <f>VLOOKUP(A92,'Front-loading'!A:AG,$G$6,FALSE)</f>
        <v>8772</v>
      </c>
      <c r="H92" s="260">
        <f>VLOOKUP(A92,'Front-loading'!A:AG,$H$6,FALSE)</f>
        <v>15</v>
      </c>
      <c r="I92" s="261">
        <f>VLOOKUP(A92,'Front-loading'!A:AG,$I$6,FALSE)</f>
        <v>3340</v>
      </c>
      <c r="J92" s="259">
        <f>VLOOKUP(A92,'Front-loading'!A:AG,$J$6,FALSE)</f>
        <v>683291.79564397223</v>
      </c>
      <c r="K92" s="260">
        <f>VLOOKUP(A92,'Front-loading'!A:AG,$K$6,FALSE)</f>
        <v>1779581.2443912707</v>
      </c>
      <c r="L92" s="260">
        <f>VLOOKUP(A92,'Front-loading'!A:AG,$L$6,FALSE)</f>
        <v>6186.9184745330704</v>
      </c>
      <c r="M92" s="261">
        <f>VLOOKUP(A92,'Front-loading'!A:AG,$M$6,FALSE)</f>
        <v>503228.02149891719</v>
      </c>
      <c r="N92" s="258">
        <f t="shared" ref="N92" si="135">IF(F92=0,0,J92/F92)</f>
        <v>414.61880803639093</v>
      </c>
      <c r="O92" s="256">
        <f t="shared" ref="O92" si="136">IF(G92=0,0,K92/G92)</f>
        <v>202.8706388954937</v>
      </c>
      <c r="P92" s="256">
        <f t="shared" ref="P92" si="137">IF(H92=0,0,L92/H92)</f>
        <v>412.46123163553801</v>
      </c>
      <c r="Q92" s="257">
        <f t="shared" ref="Q92" si="138">IF(I92=0,0,M92/I92)</f>
        <v>150.66707230506503</v>
      </c>
      <c r="R92" s="99">
        <f t="shared" ref="R92" si="139">IF(F92&lt;50,(J92+L92)/(F92+H92),IF(H92&lt;50,(J92+L92)/(F92+H92),N92))</f>
        <v>414.59934703457924</v>
      </c>
      <c r="S92" s="100">
        <f t="shared" ref="S92" si="140">IF(G92&lt;50,(K92+M92)/(G92+I92),IF(I92&lt;50,(K92+M92)/(G92+I92),O92))</f>
        <v>202.8706388954937</v>
      </c>
      <c r="T92" s="100">
        <f t="shared" ref="T92" si="141">IF(F92&lt;50,(J92+L92)/(F92+H92),IF(H92&lt;50,(J92+L92)/(F92+H92),P92))</f>
        <v>414.59934703457924</v>
      </c>
      <c r="U92" s="100">
        <f t="shared" ref="U92" si="142">IF(G92&lt;50,(K92+M92)/(G92+I92),IF(I92&lt;50,(K92+M92)/(G92+I92),Q92))</f>
        <v>150.66707230506503</v>
      </c>
      <c r="V92" s="95">
        <f t="shared" ref="V92" si="143">IF(ISERROR(R92),S92,R92)</f>
        <v>414.59934703457924</v>
      </c>
      <c r="W92" s="96">
        <f t="shared" ref="W92" si="144">S92</f>
        <v>202.8706388954937</v>
      </c>
      <c r="X92" s="96">
        <f t="shared" ref="X92" si="145">IF(ISERROR(T92),U92,T92)</f>
        <v>414.59934703457924</v>
      </c>
      <c r="Y92" s="96">
        <f t="shared" ref="Y92" si="146">U92</f>
        <v>150.66707230506503</v>
      </c>
      <c r="Z92" s="60">
        <f t="shared" ref="Z92" si="147">IF(F92=0,V92,IF(V92&lt;X92,((V92*F92)+(H92*X92))/(F92+H92),V92))</f>
        <v>414.59934703457924</v>
      </c>
      <c r="AA92" s="61">
        <f t="shared" ref="AA92" si="148">IF(G92=0,W92,IF(W92&lt;Y92,((W92*G92)+(I92*Y92))/(G92+I92),W92))</f>
        <v>202.8706388954937</v>
      </c>
      <c r="AB92" s="61">
        <f t="shared" ref="AB92" si="149">IF(F92=0,X92,IF(V92&lt;X92,((V92*F92)+(H92*X92))/(F92+H92),X92))</f>
        <v>414.59934703457924</v>
      </c>
      <c r="AC92" s="108">
        <f t="shared" ref="AC92" si="150">IF(G92=0,Y92,IF(W92&lt;Y92,((W92*G92)+(I92*Y92))/(G92+I92),Y92))</f>
        <v>150.66707230506503</v>
      </c>
      <c r="AD92" s="61">
        <f t="shared" ref="AD92" si="151">IF(Z92&lt;AA92,SUMPRODUCT(Z92:AA92,F92:G92)/SUM(F92:G92),Z92)</f>
        <v>414.59934703457924</v>
      </c>
      <c r="AE92" s="61">
        <f t="shared" ref="AE92" si="152">IF(Z92&lt;AA92,SUMPRODUCT(Z92:AA92,F92:G92)/SUM(F92:G92),AA92)</f>
        <v>202.8706388954937</v>
      </c>
      <c r="AF92" s="61">
        <f t="shared" ref="AF92" si="153">IF(AB92&lt;AC92,SUMPRODUCT(AB92:AC92,H92:I92)/SUM(H92:I92),AB92)</f>
        <v>414.59934703457924</v>
      </c>
      <c r="AG92" s="108">
        <f t="shared" ref="AG92" si="154">IF(AB92&lt;AC92,SUMPRODUCT(AB92:AC92,H92:I92)/SUM(H92:I92),AC92)</f>
        <v>150.66707230506503</v>
      </c>
      <c r="AH92" s="61">
        <f t="shared" ref="AH92" si="155">IF(AD92&gt;2*AE92,(SUMPRODUCT(AD92:AE92,F92:G92)/(2*F92+G92))*2,AD92)</f>
        <v>408.16058473719875</v>
      </c>
      <c r="AI92" s="61">
        <f t="shared" ref="AI92" si="156">IF(AD92&gt;2*AE92,(SUMPRODUCT(AD92:AE92,F92:G92)/(2*F92+G92)),AE92)</f>
        <v>204.08029236859937</v>
      </c>
      <c r="AJ92" s="61">
        <f t="shared" ref="AJ92" si="157">IF(AF92&gt;2*AG92,(SUMPRODUCT(AF92:AG92,H92:I92)/(2*H92+I92))*2,AF92)</f>
        <v>302.34244018067409</v>
      </c>
      <c r="AK92" s="61">
        <f t="shared" ref="AK92" si="158">IF(AF92&gt;2*AG92,(SUMPRODUCT(AF92:AG92,H92:I92)/(2*H92+I92)),AG92)</f>
        <v>151.17122009033704</v>
      </c>
      <c r="AL92" s="60">
        <f t="shared" si="134"/>
        <v>408.16058473719875</v>
      </c>
      <c r="AM92" s="61">
        <f t="shared" si="134"/>
        <v>204.08029236859937</v>
      </c>
      <c r="AN92" s="61">
        <f t="shared" si="134"/>
        <v>302.34244018067409</v>
      </c>
      <c r="AO92" s="108">
        <f t="shared" si="134"/>
        <v>151.17122009033704</v>
      </c>
      <c r="AP92" s="60">
        <f t="shared" si="78"/>
        <v>408.16058473719875</v>
      </c>
      <c r="AQ92" s="61">
        <f t="shared" si="79"/>
        <v>204.08029236859937</v>
      </c>
      <c r="AR92" s="61">
        <f t="shared" si="80"/>
        <v>302.34244018067409</v>
      </c>
      <c r="AS92" s="108">
        <f t="shared" si="81"/>
        <v>151.17122009033704</v>
      </c>
      <c r="AT92" s="18" t="str">
        <f t="shared" ref="AT92" si="159">IF(AP92&lt;AR92,AP92,"")</f>
        <v/>
      </c>
      <c r="AU92" s="19" t="str">
        <f t="shared" ref="AU92" si="160">IF(AQ92&lt;AS92,AQ92,"")</f>
        <v/>
      </c>
      <c r="AV92" s="19" t="str">
        <f t="shared" ref="AV92" si="161">IF(AP92&lt;AQ92,"2FA","")</f>
        <v/>
      </c>
      <c r="AW92" s="19" t="str">
        <f t="shared" ref="AW92" si="162">IF(AR92&lt;AS92,"2FU","")</f>
        <v/>
      </c>
      <c r="AX92" s="19" t="str">
        <f t="shared" ref="AX92" si="163">IF(AP92&gt;2*AQ92,2*AQ92,"")</f>
        <v/>
      </c>
      <c r="AY92" s="323" t="str">
        <f t="shared" si="54"/>
        <v/>
      </c>
      <c r="AZ92" s="326">
        <f t="shared" ref="AZ92" si="164">IF(AX92="",AP92,AX92)</f>
        <v>408.16058473719875</v>
      </c>
      <c r="BA92" s="323">
        <f t="shared" ref="BA92" si="165">AQ92</f>
        <v>204.08029236859937</v>
      </c>
      <c r="BB92" s="323">
        <f t="shared" ref="BB92" si="166">IF(AT92&lt;&gt;"",AT92,IF(AY92&lt;&gt;"",AY92,AR92))</f>
        <v>302.34244018067409</v>
      </c>
      <c r="BC92" s="327">
        <f t="shared" ref="BC92" si="167">IF(AU92="",AS92,AU92)</f>
        <v>151.17122009033704</v>
      </c>
      <c r="BD92" s="18" t="str">
        <f t="shared" ref="BD92" si="168">IF(AZ92&lt;BB92,"1FA","")</f>
        <v/>
      </c>
      <c r="BE92" s="19" t="str">
        <f t="shared" ref="BE92" si="169">IF(BA92&lt;BC92,"1FU","")</f>
        <v/>
      </c>
      <c r="BF92" s="19" t="str">
        <f t="shared" ref="BF92" si="170">IF(AZ92&lt;BA92,"2FA","")</f>
        <v/>
      </c>
      <c r="BG92" s="19" t="str">
        <f t="shared" ref="BG92" si="171">IF(BB92&lt;BC92,"2FU","")</f>
        <v/>
      </c>
      <c r="BH92" s="19" t="str">
        <f t="shared" ref="BH92" si="172">IF(AZ92&gt;2*BA92,"3FA","")</f>
        <v/>
      </c>
      <c r="BI92" s="20" t="str">
        <f t="shared" ref="BI92" si="173">IF(BB92&gt;2*BC92,"3FU","")</f>
        <v/>
      </c>
      <c r="BJ92" s="744">
        <f t="shared" ref="BJ92" si="174">SUMPRODUCT(AZ92:BC92,F92:I92)</f>
        <v>2972287.9800086929</v>
      </c>
      <c r="BK92" s="321"/>
    </row>
    <row r="93" spans="1:63">
      <c r="A93">
        <v>341</v>
      </c>
      <c r="B93" s="88" t="s">
        <v>470</v>
      </c>
      <c r="D93" s="62" t="str">
        <f t="shared" si="57"/>
        <v>A</v>
      </c>
      <c r="E93">
        <f>IF(ISERROR(VLOOKUP(A93,Mandatory!A:A,1,FALSE)),0,1)</f>
        <v>1</v>
      </c>
      <c r="F93" s="54">
        <f>VLOOKUP(A93,'Front-loading'!A:AG,$F$6,FALSE)</f>
        <v>237</v>
      </c>
      <c r="G93" s="55">
        <f>VLOOKUP(A93,'Front-loading'!A:AG,$G$6,FALSE)</f>
        <v>22928</v>
      </c>
      <c r="H93" s="55">
        <f>VLOOKUP(A93,'Front-loading'!A:AG,$H$6,FALSE)</f>
        <v>132</v>
      </c>
      <c r="I93" s="56">
        <f>VLOOKUP(A93,'Front-loading'!A:AG,$I$6,FALSE)</f>
        <v>54149</v>
      </c>
      <c r="J93" s="54">
        <f>VLOOKUP(A93,'Front-loading'!A:AG,$J$6,FALSE)</f>
        <v>137038.3246661853</v>
      </c>
      <c r="K93" s="55">
        <f>VLOOKUP(A93,'Front-loading'!A:AG,$K$6,FALSE)</f>
        <v>3920224.1734910174</v>
      </c>
      <c r="L93" s="55">
        <f>VLOOKUP(A93,'Front-loading'!A:AG,$L$6,FALSE)</f>
        <v>69413.674981556527</v>
      </c>
      <c r="M93" s="56">
        <f>VLOOKUP(A93,'Front-loading'!A:AG,$M$6,FALSE)</f>
        <v>7658256.0670657977</v>
      </c>
      <c r="N93" s="15">
        <f t="shared" si="55"/>
        <v>578.22077918221646</v>
      </c>
      <c r="O93" s="11">
        <f t="shared" si="55"/>
        <v>170.9797703022949</v>
      </c>
      <c r="P93" s="11">
        <f t="shared" si="55"/>
        <v>525.86117410270094</v>
      </c>
      <c r="Q93" s="12">
        <f t="shared" si="55"/>
        <v>141.4293166460285</v>
      </c>
      <c r="R93" s="99">
        <f t="shared" si="58"/>
        <v>578.22077918221646</v>
      </c>
      <c r="S93" s="100">
        <f t="shared" si="59"/>
        <v>170.9797703022949</v>
      </c>
      <c r="T93" s="100">
        <f t="shared" si="60"/>
        <v>525.86117410270094</v>
      </c>
      <c r="U93" s="100">
        <f t="shared" si="61"/>
        <v>141.4293166460285</v>
      </c>
      <c r="V93" s="95">
        <f t="shared" si="62"/>
        <v>578.22077918221646</v>
      </c>
      <c r="W93" s="96">
        <f t="shared" si="63"/>
        <v>170.9797703022949</v>
      </c>
      <c r="X93" s="96">
        <f t="shared" si="64"/>
        <v>525.86117410270094</v>
      </c>
      <c r="Y93" s="96">
        <f t="shared" si="65"/>
        <v>141.4293166460285</v>
      </c>
      <c r="Z93" s="60">
        <f t="shared" si="66"/>
        <v>578.22077918221646</v>
      </c>
      <c r="AA93" s="61">
        <f t="shared" si="67"/>
        <v>170.9797703022949</v>
      </c>
      <c r="AB93" s="61">
        <f t="shared" si="68"/>
        <v>525.86117410270094</v>
      </c>
      <c r="AC93" s="108">
        <f t="shared" si="69"/>
        <v>141.4293166460285</v>
      </c>
      <c r="AD93" s="61">
        <f t="shared" si="70"/>
        <v>578.22077918221646</v>
      </c>
      <c r="AE93" s="61">
        <f t="shared" si="71"/>
        <v>170.9797703022949</v>
      </c>
      <c r="AF93" s="61">
        <f t="shared" si="72"/>
        <v>525.86117410270094</v>
      </c>
      <c r="AG93" s="108">
        <f t="shared" si="73"/>
        <v>141.4293166460285</v>
      </c>
      <c r="AH93" s="61">
        <f t="shared" si="74"/>
        <v>346.7449361727376</v>
      </c>
      <c r="AI93" s="61">
        <f t="shared" si="75"/>
        <v>173.3724680863688</v>
      </c>
      <c r="AJ93" s="61">
        <f t="shared" si="76"/>
        <v>284.0376285831457</v>
      </c>
      <c r="AK93" s="61">
        <f t="shared" si="77"/>
        <v>142.01881429157285</v>
      </c>
      <c r="AL93" s="60">
        <f>IF($C93="",AH93,IF(AH93&gt;AH94,SUMPRODUCT(AH93:AH94,F93:F94)/SUM(F93:F94),AH93))</f>
        <v>346.7449361727376</v>
      </c>
      <c r="AM93" s="61">
        <f>IF($C93="",AI93,IF(AI93&gt;AI94,SUMPRODUCT(AI93:AI94,G93:G94)/SUM(G93:G94),AI93))</f>
        <v>173.3724680863688</v>
      </c>
      <c r="AN93" s="61">
        <f>IF($C93="",AJ93,IF(AJ93&gt;AJ94,SUMPRODUCT(AJ93:AJ94,H93:H94)/SUM(H93:H94),AJ93))</f>
        <v>284.0376285831457</v>
      </c>
      <c r="AO93" s="108">
        <f>IF($C93="",AK93,IF(AK93&gt;AK94,SUMPRODUCT(AK93:AK94,I93:I94)/SUM(I93:I94),AK93))</f>
        <v>142.01881429157285</v>
      </c>
      <c r="AP93" s="60">
        <f t="shared" si="78"/>
        <v>346.7449361727376</v>
      </c>
      <c r="AQ93" s="61">
        <f t="shared" si="79"/>
        <v>173.3724680863688</v>
      </c>
      <c r="AR93" s="61">
        <f t="shared" si="80"/>
        <v>284.0376285831457</v>
      </c>
      <c r="AS93" s="108">
        <f t="shared" si="81"/>
        <v>142.01881429157285</v>
      </c>
      <c r="AT93" s="18" t="str">
        <f t="shared" si="49"/>
        <v/>
      </c>
      <c r="AU93" s="19" t="str">
        <f t="shared" si="50"/>
        <v/>
      </c>
      <c r="AV93" s="19" t="str">
        <f t="shared" si="82"/>
        <v/>
      </c>
      <c r="AW93" s="19" t="str">
        <f t="shared" si="83"/>
        <v/>
      </c>
      <c r="AX93" s="19" t="str">
        <f t="shared" si="52"/>
        <v/>
      </c>
      <c r="AY93" s="323" t="str">
        <f t="shared" si="54"/>
        <v/>
      </c>
      <c r="AZ93" s="326">
        <f t="shared" si="53"/>
        <v>346.7449361727376</v>
      </c>
      <c r="BA93" s="323">
        <f t="shared" si="84"/>
        <v>173.3724680863688</v>
      </c>
      <c r="BB93" s="323">
        <f t="shared" si="133"/>
        <v>284.0376285831457</v>
      </c>
      <c r="BC93" s="327">
        <f t="shared" si="51"/>
        <v>142.01881429157285</v>
      </c>
      <c r="BD93" s="18" t="str">
        <f t="shared" si="85"/>
        <v/>
      </c>
      <c r="BE93" s="19" t="str">
        <f t="shared" si="86"/>
        <v/>
      </c>
      <c r="BF93" s="19" t="str">
        <f t="shared" si="87"/>
        <v/>
      </c>
      <c r="BG93" s="19" t="str">
        <f t="shared" si="88"/>
        <v/>
      </c>
      <c r="BH93" s="19" t="str">
        <f t="shared" si="89"/>
        <v/>
      </c>
      <c r="BI93" s="20" t="str">
        <f t="shared" si="90"/>
        <v/>
      </c>
      <c r="BJ93" s="744">
        <f t="shared" si="91"/>
        <v>11784932.240204556</v>
      </c>
      <c r="BK93" s="321"/>
    </row>
    <row r="94" spans="1:63">
      <c r="A94">
        <v>352</v>
      </c>
      <c r="B94" s="88" t="s">
        <v>471</v>
      </c>
      <c r="D94" s="62" t="str">
        <f t="shared" si="57"/>
        <v>A</v>
      </c>
      <c r="E94">
        <f>IF(ISERROR(VLOOKUP(A94,Mandatory!A:A,1,FALSE)),0,1)</f>
        <v>0</v>
      </c>
      <c r="F94" s="54">
        <f>VLOOKUP(A94,'Front-loading'!A:AG,$F$6,FALSE)</f>
        <v>1423</v>
      </c>
      <c r="G94" s="55">
        <f>VLOOKUP(A94,'Front-loading'!A:AG,$G$6,FALSE)</f>
        <v>2672</v>
      </c>
      <c r="H94" s="55">
        <f>VLOOKUP(A94,'Front-loading'!A:AG,$H$6,FALSE)</f>
        <v>47</v>
      </c>
      <c r="I94" s="56">
        <f>VLOOKUP(A94,'Front-loading'!A:AG,$I$6,FALSE)</f>
        <v>1670</v>
      </c>
      <c r="J94" s="54">
        <f>VLOOKUP(A94,'Front-loading'!A:AG,$J$6,FALSE)</f>
        <v>332822.04988730408</v>
      </c>
      <c r="K94" s="55">
        <f>VLOOKUP(A94,'Front-loading'!A:AG,$K$6,FALSE)</f>
        <v>632043.13088491373</v>
      </c>
      <c r="L94" s="55">
        <f>VLOOKUP(A94,'Front-loading'!A:AG,$L$6,FALSE)</f>
        <v>7945.5535838199903</v>
      </c>
      <c r="M94" s="56">
        <f>VLOOKUP(A94,'Front-loading'!A:AG,$M$6,FALSE)</f>
        <v>283412.04986061633</v>
      </c>
      <c r="N94" s="15">
        <f t="shared" si="55"/>
        <v>233.88759654764868</v>
      </c>
      <c r="O94" s="11">
        <f t="shared" si="55"/>
        <v>236.54308790603059</v>
      </c>
      <c r="P94" s="11">
        <f t="shared" si="55"/>
        <v>169.05433157063808</v>
      </c>
      <c r="Q94" s="12">
        <f t="shared" si="55"/>
        <v>169.70781428779421</v>
      </c>
      <c r="R94" s="99">
        <f t="shared" si="58"/>
        <v>231.81469623885991</v>
      </c>
      <c r="S94" s="100">
        <f t="shared" si="59"/>
        <v>236.54308790603059</v>
      </c>
      <c r="T94" s="100">
        <f t="shared" si="60"/>
        <v>231.81469623885991</v>
      </c>
      <c r="U94" s="100">
        <f t="shared" si="61"/>
        <v>169.70781428779421</v>
      </c>
      <c r="V94" s="95">
        <f t="shared" si="62"/>
        <v>231.81469623885991</v>
      </c>
      <c r="W94" s="96">
        <f t="shared" si="63"/>
        <v>236.54308790603059</v>
      </c>
      <c r="X94" s="96">
        <f t="shared" si="64"/>
        <v>231.81469623885991</v>
      </c>
      <c r="Y94" s="96">
        <f t="shared" si="65"/>
        <v>169.70781428779421</v>
      </c>
      <c r="Z94" s="60">
        <f t="shared" si="66"/>
        <v>231.81469623885991</v>
      </c>
      <c r="AA94" s="61">
        <f t="shared" si="67"/>
        <v>236.54308790603059</v>
      </c>
      <c r="AB94" s="61">
        <f t="shared" si="68"/>
        <v>231.81469623885991</v>
      </c>
      <c r="AC94" s="108">
        <f t="shared" si="69"/>
        <v>169.70781428779421</v>
      </c>
      <c r="AD94" s="61">
        <f t="shared" si="70"/>
        <v>234.89998623511875</v>
      </c>
      <c r="AE94" s="61">
        <f t="shared" si="71"/>
        <v>234.89998623511875</v>
      </c>
      <c r="AF94" s="61">
        <f t="shared" si="72"/>
        <v>231.81469623885991</v>
      </c>
      <c r="AG94" s="108">
        <f t="shared" si="73"/>
        <v>169.70781428779421</v>
      </c>
      <c r="AH94" s="61">
        <f t="shared" si="74"/>
        <v>234.89998623511875</v>
      </c>
      <c r="AI94" s="61">
        <f t="shared" si="75"/>
        <v>234.89998623511875</v>
      </c>
      <c r="AJ94" s="61">
        <f t="shared" si="76"/>
        <v>231.81469623885991</v>
      </c>
      <c r="AK94" s="61">
        <f t="shared" si="77"/>
        <v>169.70781428779421</v>
      </c>
      <c r="AL94" s="60">
        <f>IF($C94="",AH94,IF(AH93&gt;AH94,SUMPRODUCT(AH93:AH94,F93:F94)/SUM(F93:F94),AH94))</f>
        <v>234.89998623511875</v>
      </c>
      <c r="AM94" s="61">
        <f>IF($C94="",AI94,IF(AI93&gt;AI94,SUMPRODUCT(AI93:AI94,G93:G94)/SUM(G93:G94),AI94))</f>
        <v>234.89998623511875</v>
      </c>
      <c r="AN94" s="61">
        <f>IF($C94="",AJ94,IF(AJ93&gt;AJ94,SUMPRODUCT(AJ93:AJ94,H93:H94)/SUM(H93:H94),AJ94))</f>
        <v>231.81469623885991</v>
      </c>
      <c r="AO94" s="108">
        <f>IF($C94="",AK94,IF(AK93&gt;AK94,SUMPRODUCT(AK93:AK94,I93:I94)/SUM(I93:I94),AK94))</f>
        <v>169.70781428779421</v>
      </c>
      <c r="AP94" s="60">
        <f t="shared" si="78"/>
        <v>234.89998623511875</v>
      </c>
      <c r="AQ94" s="61">
        <f t="shared" si="79"/>
        <v>234.89998623511875</v>
      </c>
      <c r="AR94" s="61">
        <f t="shared" si="80"/>
        <v>231.81469623885991</v>
      </c>
      <c r="AS94" s="108">
        <f t="shared" si="81"/>
        <v>169.70781428779421</v>
      </c>
      <c r="AT94" s="18" t="str">
        <f t="shared" si="49"/>
        <v/>
      </c>
      <c r="AU94" s="19" t="str">
        <f t="shared" si="50"/>
        <v/>
      </c>
      <c r="AV94" s="19" t="str">
        <f t="shared" si="82"/>
        <v/>
      </c>
      <c r="AW94" s="19" t="str">
        <f t="shared" si="83"/>
        <v/>
      </c>
      <c r="AX94" s="19" t="str">
        <f t="shared" si="52"/>
        <v/>
      </c>
      <c r="AY94" s="323" t="str">
        <f t="shared" si="54"/>
        <v/>
      </c>
      <c r="AZ94" s="326">
        <f t="shared" si="53"/>
        <v>234.89998623511875</v>
      </c>
      <c r="BA94" s="323">
        <f t="shared" si="84"/>
        <v>234.89998623511875</v>
      </c>
      <c r="BB94" s="323">
        <f t="shared" si="133"/>
        <v>231.81469623885991</v>
      </c>
      <c r="BC94" s="327">
        <f t="shared" si="51"/>
        <v>169.70781428779421</v>
      </c>
      <c r="BD94" s="18" t="str">
        <f t="shared" si="85"/>
        <v/>
      </c>
      <c r="BE94" s="19" t="str">
        <f t="shared" si="86"/>
        <v/>
      </c>
      <c r="BF94" s="19" t="str">
        <f t="shared" si="87"/>
        <v/>
      </c>
      <c r="BG94" s="19" t="str">
        <f t="shared" si="88"/>
        <v/>
      </c>
      <c r="BH94" s="19" t="str">
        <f t="shared" si="89"/>
        <v/>
      </c>
      <c r="BI94" s="20" t="str">
        <f t="shared" si="90"/>
        <v/>
      </c>
      <c r="BJ94" s="744">
        <f t="shared" si="91"/>
        <v>1256222.784216654</v>
      </c>
      <c r="BK94" s="321"/>
    </row>
    <row r="95" spans="1:63">
      <c r="A95">
        <v>360</v>
      </c>
      <c r="B95" s="88" t="s">
        <v>472</v>
      </c>
      <c r="D95" s="62" t="str">
        <f t="shared" si="57"/>
        <v>A</v>
      </c>
      <c r="E95">
        <f>IF(ISERROR(VLOOKUP(A95,Mandatory!A:A,1,FALSE)),0,1)</f>
        <v>1</v>
      </c>
      <c r="F95" s="54">
        <f>VLOOKUP(A95,'Front-loading'!A:AG,$F$6,FALSE)</f>
        <v>35862</v>
      </c>
      <c r="G95" s="55">
        <f>VLOOKUP(A95,'Front-loading'!A:AG,$G$6,FALSE)</f>
        <v>1093998</v>
      </c>
      <c r="H95" s="55">
        <f>VLOOKUP(A95,'Front-loading'!A:AG,$H$6,FALSE)</f>
        <v>20909</v>
      </c>
      <c r="I95" s="56">
        <f>VLOOKUP(A95,'Front-loading'!A:AG,$I$6,FALSE)</f>
        <v>687388</v>
      </c>
      <c r="J95" s="54">
        <f>VLOOKUP(A95,'Front-loading'!A:AG,$J$6,FALSE)</f>
        <v>4535896.4103949862</v>
      </c>
      <c r="K95" s="55">
        <f>VLOOKUP(A95,'Front-loading'!A:AG,$K$6,FALSE)</f>
        <v>155160984.50119621</v>
      </c>
      <c r="L95" s="55">
        <f>VLOOKUP(A95,'Front-loading'!A:AG,$L$6,FALSE)</f>
        <v>1963445.3531359739</v>
      </c>
      <c r="M95" s="56">
        <f>VLOOKUP(A95,'Front-loading'!A:AG,$M$6,FALSE)</f>
        <v>75921295.261123717</v>
      </c>
      <c r="N95" s="15">
        <f t="shared" si="55"/>
        <v>126.48197006287954</v>
      </c>
      <c r="O95" s="11">
        <f t="shared" si="55"/>
        <v>141.82931276034893</v>
      </c>
      <c r="P95" s="11">
        <f t="shared" si="55"/>
        <v>93.904316473096458</v>
      </c>
      <c r="Q95" s="12">
        <f t="shared" si="55"/>
        <v>110.44896806625039</v>
      </c>
      <c r="R95" s="99">
        <f t="shared" si="58"/>
        <v>126.48197006287954</v>
      </c>
      <c r="S95" s="100">
        <f t="shared" si="59"/>
        <v>141.82931276034893</v>
      </c>
      <c r="T95" s="100">
        <f t="shared" si="60"/>
        <v>93.904316473096458</v>
      </c>
      <c r="U95" s="100">
        <f t="shared" si="61"/>
        <v>110.44896806625039</v>
      </c>
      <c r="V95" s="95">
        <f t="shared" si="62"/>
        <v>126.48197006287954</v>
      </c>
      <c r="W95" s="96">
        <f t="shared" si="63"/>
        <v>141.82931276034893</v>
      </c>
      <c r="X95" s="96">
        <f t="shared" si="64"/>
        <v>93.904316473096458</v>
      </c>
      <c r="Y95" s="96">
        <f t="shared" si="65"/>
        <v>110.44896806625039</v>
      </c>
      <c r="Z95" s="60">
        <f t="shared" si="66"/>
        <v>126.48197006287954</v>
      </c>
      <c r="AA95" s="61">
        <f t="shared" si="67"/>
        <v>141.82931276034893</v>
      </c>
      <c r="AB95" s="61">
        <f t="shared" si="68"/>
        <v>93.904316473096458</v>
      </c>
      <c r="AC95" s="108">
        <f t="shared" si="69"/>
        <v>110.44896806625039</v>
      </c>
      <c r="AD95" s="61">
        <f t="shared" si="70"/>
        <v>141.34218479421452</v>
      </c>
      <c r="AE95" s="61">
        <f t="shared" si="71"/>
        <v>141.34218479421452</v>
      </c>
      <c r="AF95" s="61">
        <f t="shared" si="72"/>
        <v>109.96056825633836</v>
      </c>
      <c r="AG95" s="108">
        <f t="shared" si="73"/>
        <v>109.96056825633836</v>
      </c>
      <c r="AH95" s="61">
        <f t="shared" si="74"/>
        <v>141.34218479421452</v>
      </c>
      <c r="AI95" s="61">
        <f t="shared" si="75"/>
        <v>141.34218479421452</v>
      </c>
      <c r="AJ95" s="61">
        <f t="shared" si="76"/>
        <v>109.96056825633836</v>
      </c>
      <c r="AK95" s="61">
        <f t="shared" si="77"/>
        <v>109.96056825633836</v>
      </c>
      <c r="AL95" s="60">
        <f>IF($C95="",AH95,IF(AH95&gt;AH96,SUMPRODUCT(AH95:AH96,F95:F96)/SUM(F95:F96),AH95))</f>
        <v>141.34218479421452</v>
      </c>
      <c r="AM95" s="61">
        <f>IF($C95="",AI95,IF(AI95&gt;AI96,SUMPRODUCT(AI95:AI96,G95:G96)/SUM(G95:G96),AI95))</f>
        <v>141.34218479421452</v>
      </c>
      <c r="AN95" s="61">
        <f>IF($C95="",AJ95,IF(AJ95&gt;AJ96,SUMPRODUCT(AJ95:AJ96,H95:H96)/SUM(H95:H96),AJ95))</f>
        <v>109.96056825633836</v>
      </c>
      <c r="AO95" s="108">
        <f>IF($C95="",AK95,IF(AK95&gt;AK96,SUMPRODUCT(AK95:AK96,I95:I96)/SUM(I95:I96),AK95))</f>
        <v>109.96056825633836</v>
      </c>
      <c r="AP95" s="60">
        <f t="shared" si="78"/>
        <v>141.34218479421452</v>
      </c>
      <c r="AQ95" s="61">
        <f t="shared" si="79"/>
        <v>141.34218479421452</v>
      </c>
      <c r="AR95" s="61">
        <f t="shared" si="80"/>
        <v>109.96056825633836</v>
      </c>
      <c r="AS95" s="108">
        <f t="shared" si="81"/>
        <v>109.96056825633836</v>
      </c>
      <c r="AT95" s="18" t="str">
        <f t="shared" si="49"/>
        <v/>
      </c>
      <c r="AU95" s="19" t="str">
        <f t="shared" si="50"/>
        <v/>
      </c>
      <c r="AV95" s="19" t="str">
        <f t="shared" si="82"/>
        <v/>
      </c>
      <c r="AW95" s="19" t="str">
        <f t="shared" si="83"/>
        <v/>
      </c>
      <c r="AX95" s="19" t="str">
        <f t="shared" si="52"/>
        <v/>
      </c>
      <c r="AY95" s="323" t="str">
        <f t="shared" si="54"/>
        <v/>
      </c>
      <c r="AZ95" s="326">
        <f t="shared" si="53"/>
        <v>141.34218479421452</v>
      </c>
      <c r="BA95" s="323">
        <f t="shared" si="84"/>
        <v>141.34218479421452</v>
      </c>
      <c r="BB95" s="323">
        <f t="shared" si="133"/>
        <v>109.96056825633836</v>
      </c>
      <c r="BC95" s="327">
        <f t="shared" si="51"/>
        <v>109.96056825633836</v>
      </c>
      <c r="BD95" s="18" t="str">
        <f t="shared" si="85"/>
        <v/>
      </c>
      <c r="BE95" s="19" t="str">
        <f t="shared" si="86"/>
        <v/>
      </c>
      <c r="BF95" s="19" t="str">
        <f t="shared" si="87"/>
        <v/>
      </c>
      <c r="BG95" s="19" t="str">
        <f t="shared" si="88"/>
        <v/>
      </c>
      <c r="BH95" s="19" t="str">
        <f t="shared" si="89"/>
        <v/>
      </c>
      <c r="BI95" s="20" t="str">
        <f t="shared" si="90"/>
        <v/>
      </c>
      <c r="BJ95" s="744">
        <f t="shared" si="91"/>
        <v>237581621.52585089</v>
      </c>
      <c r="BK95" s="321"/>
    </row>
    <row r="96" spans="1:63">
      <c r="A96">
        <v>371</v>
      </c>
      <c r="B96" s="88" t="s">
        <v>473</v>
      </c>
      <c r="D96" s="62" t="str">
        <f t="shared" si="57"/>
        <v>A</v>
      </c>
      <c r="E96">
        <f>IF(ISERROR(VLOOKUP(A96,Mandatory!A:A,1,FALSE)),0,1)</f>
        <v>0</v>
      </c>
      <c r="F96" s="54">
        <f>VLOOKUP(A96,'Front-loading'!A:AG,$F$6,FALSE)</f>
        <v>0</v>
      </c>
      <c r="G96" s="55">
        <f>VLOOKUP(A96,'Front-loading'!A:AG,$G$6,FALSE)</f>
        <v>2391</v>
      </c>
      <c r="H96" s="55">
        <f>VLOOKUP(A96,'Front-loading'!A:AG,$H$6,FALSE)</f>
        <v>0</v>
      </c>
      <c r="I96" s="56">
        <f>VLOOKUP(A96,'Front-loading'!A:AG,$I$6,FALSE)</f>
        <v>4515</v>
      </c>
      <c r="J96" s="54">
        <f>VLOOKUP(A96,'Front-loading'!A:AG,$J$6,FALSE)</f>
        <v>0</v>
      </c>
      <c r="K96" s="55">
        <f>VLOOKUP(A96,'Front-loading'!A:AG,$K$6,FALSE)</f>
        <v>529818.13817526924</v>
      </c>
      <c r="L96" s="55">
        <f>VLOOKUP(A96,'Front-loading'!A:AG,$L$6,FALSE)</f>
        <v>0</v>
      </c>
      <c r="M96" s="56">
        <f>VLOOKUP(A96,'Front-loading'!A:AG,$M$6,FALSE)</f>
        <v>283194.99491319997</v>
      </c>
      <c r="N96" s="15">
        <f t="shared" si="55"/>
        <v>0</v>
      </c>
      <c r="O96" s="11">
        <f t="shared" si="55"/>
        <v>221.58851450241289</v>
      </c>
      <c r="P96" s="11">
        <f t="shared" si="55"/>
        <v>0</v>
      </c>
      <c r="Q96" s="12">
        <f t="shared" si="55"/>
        <v>62.72314394533776</v>
      </c>
      <c r="R96" s="99" t="e">
        <f t="shared" si="58"/>
        <v>#DIV/0!</v>
      </c>
      <c r="S96" s="100">
        <f t="shared" si="59"/>
        <v>221.58851450241289</v>
      </c>
      <c r="T96" s="100" t="e">
        <f t="shared" si="60"/>
        <v>#DIV/0!</v>
      </c>
      <c r="U96" s="100">
        <f t="shared" si="61"/>
        <v>62.72314394533776</v>
      </c>
      <c r="V96" s="95">
        <f t="shared" si="62"/>
        <v>221.58851450241289</v>
      </c>
      <c r="W96" s="96">
        <f t="shared" si="63"/>
        <v>221.58851450241289</v>
      </c>
      <c r="X96" s="96">
        <f t="shared" si="64"/>
        <v>62.72314394533776</v>
      </c>
      <c r="Y96" s="96">
        <f t="shared" si="65"/>
        <v>62.72314394533776</v>
      </c>
      <c r="Z96" s="60">
        <f t="shared" si="66"/>
        <v>221.58851450241289</v>
      </c>
      <c r="AA96" s="61">
        <f t="shared" si="67"/>
        <v>221.58851450241289</v>
      </c>
      <c r="AB96" s="61">
        <f t="shared" si="68"/>
        <v>62.72314394533776</v>
      </c>
      <c r="AC96" s="108">
        <f t="shared" si="69"/>
        <v>62.72314394533776</v>
      </c>
      <c r="AD96" s="61">
        <f t="shared" si="70"/>
        <v>221.58851450241289</v>
      </c>
      <c r="AE96" s="61">
        <f t="shared" si="71"/>
        <v>221.58851450241289</v>
      </c>
      <c r="AF96" s="61">
        <f t="shared" si="72"/>
        <v>62.72314394533776</v>
      </c>
      <c r="AG96" s="108">
        <f t="shared" si="73"/>
        <v>62.72314394533776</v>
      </c>
      <c r="AH96" s="61">
        <f t="shared" si="74"/>
        <v>221.58851450241289</v>
      </c>
      <c r="AI96" s="61">
        <f t="shared" si="75"/>
        <v>221.58851450241289</v>
      </c>
      <c r="AJ96" s="61">
        <f t="shared" si="76"/>
        <v>62.72314394533776</v>
      </c>
      <c r="AK96" s="61">
        <f t="shared" si="77"/>
        <v>62.72314394533776</v>
      </c>
      <c r="AL96" s="60">
        <f>IF($C96="",AH96,IF(AH95&gt;AH96,SUMPRODUCT(AH95:AH96,F95:F96)/SUM(F95:F96),AH96))</f>
        <v>221.58851450241289</v>
      </c>
      <c r="AM96" s="61">
        <f>IF($C96="",AI96,IF(AI95&gt;AI96,SUMPRODUCT(AI95:AI96,G95:G96)/SUM(G95:G96),AI96))</f>
        <v>221.58851450241289</v>
      </c>
      <c r="AN96" s="61">
        <f>IF($C96="",AJ96,IF(AJ95&gt;AJ96,SUMPRODUCT(AJ95:AJ96,H95:H96)/SUM(H95:H96),AJ96))</f>
        <v>62.72314394533776</v>
      </c>
      <c r="AO96" s="108">
        <f>IF($C96="",AK96,IF(AK95&gt;AK96,SUMPRODUCT(AK95:AK96,I95:I96)/SUM(I95:I96),AK96))</f>
        <v>62.72314394533776</v>
      </c>
      <c r="AP96" s="60">
        <f t="shared" si="78"/>
        <v>221.58851450241289</v>
      </c>
      <c r="AQ96" s="61">
        <f t="shared" si="79"/>
        <v>221.58851450241289</v>
      </c>
      <c r="AR96" s="61">
        <f t="shared" si="80"/>
        <v>62.72314394533776</v>
      </c>
      <c r="AS96" s="108">
        <f t="shared" si="81"/>
        <v>62.72314394533776</v>
      </c>
      <c r="AT96" s="18" t="str">
        <f t="shared" si="49"/>
        <v/>
      </c>
      <c r="AU96" s="19" t="str">
        <f t="shared" si="50"/>
        <v/>
      </c>
      <c r="AV96" s="19" t="str">
        <f t="shared" si="82"/>
        <v/>
      </c>
      <c r="AW96" s="19" t="str">
        <f t="shared" si="83"/>
        <v/>
      </c>
      <c r="AX96" s="19" t="str">
        <f t="shared" si="52"/>
        <v/>
      </c>
      <c r="AY96" s="323" t="str">
        <f t="shared" si="54"/>
        <v/>
      </c>
      <c r="AZ96" s="326">
        <f t="shared" si="53"/>
        <v>221.58851450241289</v>
      </c>
      <c r="BA96" s="323">
        <f t="shared" si="84"/>
        <v>221.58851450241289</v>
      </c>
      <c r="BB96" s="323">
        <f t="shared" si="133"/>
        <v>62.72314394533776</v>
      </c>
      <c r="BC96" s="327">
        <f t="shared" si="51"/>
        <v>62.72314394533776</v>
      </c>
      <c r="BD96" s="18" t="str">
        <f t="shared" si="85"/>
        <v/>
      </c>
      <c r="BE96" s="19" t="str">
        <f t="shared" si="86"/>
        <v/>
      </c>
      <c r="BF96" s="19" t="str">
        <f t="shared" si="87"/>
        <v/>
      </c>
      <c r="BG96" s="19" t="str">
        <f t="shared" si="88"/>
        <v/>
      </c>
      <c r="BH96" s="19" t="str">
        <f t="shared" si="89"/>
        <v/>
      </c>
      <c r="BI96" s="20" t="str">
        <f t="shared" si="90"/>
        <v/>
      </c>
      <c r="BJ96" s="744">
        <f t="shared" si="91"/>
        <v>813013.13308846927</v>
      </c>
      <c r="BK96" s="321"/>
    </row>
    <row r="97" spans="1:63">
      <c r="A97">
        <v>422</v>
      </c>
      <c r="B97" s="88" t="s">
        <v>477</v>
      </c>
      <c r="D97" s="62" t="str">
        <f t="shared" si="57"/>
        <v>A</v>
      </c>
      <c r="E97">
        <f>IF(ISERROR(VLOOKUP(A97,Mandatory!A:A,1,FALSE)),0,1)</f>
        <v>0</v>
      </c>
      <c r="F97" s="54">
        <f>VLOOKUP(A97,'Front-loading'!A:AG,$F$6,FALSE)</f>
        <v>132</v>
      </c>
      <c r="G97" s="55">
        <f>VLOOKUP(A97,'Front-loading'!A:AG,$G$6,FALSE)</f>
        <v>10676</v>
      </c>
      <c r="H97" s="55">
        <f>VLOOKUP(A97,'Front-loading'!A:AG,$H$6,FALSE)</f>
        <v>516</v>
      </c>
      <c r="I97" s="56">
        <f>VLOOKUP(A97,'Front-loading'!A:AG,$I$6,FALSE)</f>
        <v>18607</v>
      </c>
      <c r="J97" s="54">
        <f>VLOOKUP(A97,'Front-loading'!A:AG,$J$6,FALSE)</f>
        <v>46696.220239410599</v>
      </c>
      <c r="K97" s="55">
        <f>VLOOKUP(A97,'Front-loading'!A:AG,$K$6,FALSE)</f>
        <v>2255237.6139690559</v>
      </c>
      <c r="L97" s="55">
        <f>VLOOKUP(A97,'Front-loading'!A:AG,$L$6,FALSE)</f>
        <v>142880.9907968406</v>
      </c>
      <c r="M97" s="56">
        <f>VLOOKUP(A97,'Front-loading'!A:AG,$M$6,FALSE)</f>
        <v>2539484.2242120244</v>
      </c>
      <c r="N97" s="15">
        <f t="shared" si="55"/>
        <v>353.75924423795908</v>
      </c>
      <c r="O97" s="11">
        <f t="shared" si="55"/>
        <v>211.24368808252677</v>
      </c>
      <c r="P97" s="11">
        <f t="shared" si="55"/>
        <v>276.90114495511745</v>
      </c>
      <c r="Q97" s="12">
        <f t="shared" si="55"/>
        <v>136.48004644553257</v>
      </c>
      <c r="R97" s="99">
        <f t="shared" si="58"/>
        <v>353.75924423795908</v>
      </c>
      <c r="S97" s="100">
        <f t="shared" si="59"/>
        <v>211.24368808252677</v>
      </c>
      <c r="T97" s="100">
        <f t="shared" si="60"/>
        <v>276.90114495511745</v>
      </c>
      <c r="U97" s="100">
        <f t="shared" si="61"/>
        <v>136.48004644553257</v>
      </c>
      <c r="V97" s="95">
        <f t="shared" si="62"/>
        <v>353.75924423795908</v>
      </c>
      <c r="W97" s="96">
        <f t="shared" si="63"/>
        <v>211.24368808252677</v>
      </c>
      <c r="X97" s="96">
        <f t="shared" si="64"/>
        <v>276.90114495511745</v>
      </c>
      <c r="Y97" s="96">
        <f t="shared" si="65"/>
        <v>136.48004644553257</v>
      </c>
      <c r="Z97" s="60">
        <f t="shared" si="66"/>
        <v>353.75924423795908</v>
      </c>
      <c r="AA97" s="61">
        <f t="shared" si="67"/>
        <v>211.24368808252677</v>
      </c>
      <c r="AB97" s="61">
        <f t="shared" si="68"/>
        <v>276.90114495511745</v>
      </c>
      <c r="AC97" s="108">
        <f t="shared" si="69"/>
        <v>136.48004644553257</v>
      </c>
      <c r="AD97" s="61">
        <f t="shared" si="70"/>
        <v>353.75924423795908</v>
      </c>
      <c r="AE97" s="61">
        <f t="shared" si="71"/>
        <v>211.24368808252677</v>
      </c>
      <c r="AF97" s="61">
        <f t="shared" si="72"/>
        <v>276.90114495511745</v>
      </c>
      <c r="AG97" s="108">
        <f t="shared" si="73"/>
        <v>136.48004644553257</v>
      </c>
      <c r="AH97" s="61">
        <f t="shared" si="74"/>
        <v>353.75924423795908</v>
      </c>
      <c r="AI97" s="61">
        <f t="shared" si="75"/>
        <v>211.24368808252677</v>
      </c>
      <c r="AJ97" s="61">
        <f t="shared" si="76"/>
        <v>273.16718926715873</v>
      </c>
      <c r="AK97" s="61">
        <f t="shared" si="77"/>
        <v>136.58359463357937</v>
      </c>
      <c r="AL97" s="60">
        <f>IF($C97="",AH97,IF(AH97&gt;AH98,SUMPRODUCT(AH97:AH98,F97:F98)/SUM(F97:F98),AH97))</f>
        <v>353.75924423795908</v>
      </c>
      <c r="AM97" s="61">
        <f>IF($C97="",AI97,IF(AI97&gt;AI98,SUMPRODUCT(AI97:AI98,G97:G98)/SUM(G97:G98),AI97))</f>
        <v>211.24368808252677</v>
      </c>
      <c r="AN97" s="61">
        <f>IF($C97="",AJ97,IF(AJ97&gt;AJ98,SUMPRODUCT(AJ97:AJ98,H97:H98)/SUM(H97:H98),AJ97))</f>
        <v>273.16718926715873</v>
      </c>
      <c r="AO97" s="108">
        <f>IF($C97="",AK97,IF(AK97&gt;AK98,SUMPRODUCT(AK97:AK98,I97:I98)/SUM(I97:I98),AK97))</f>
        <v>136.58359463357937</v>
      </c>
      <c r="AP97" s="60">
        <f t="shared" si="78"/>
        <v>353.75924423795908</v>
      </c>
      <c r="AQ97" s="61">
        <f t="shared" si="79"/>
        <v>211.24368808252677</v>
      </c>
      <c r="AR97" s="61">
        <f t="shared" si="80"/>
        <v>273.16718926715873</v>
      </c>
      <c r="AS97" s="108">
        <f t="shared" si="81"/>
        <v>136.58359463357937</v>
      </c>
      <c r="AT97" s="18" t="str">
        <f t="shared" si="49"/>
        <v/>
      </c>
      <c r="AU97" s="19" t="str">
        <f t="shared" si="50"/>
        <v/>
      </c>
      <c r="AV97" s="19" t="str">
        <f t="shared" si="82"/>
        <v/>
      </c>
      <c r="AW97" s="19" t="str">
        <f t="shared" si="83"/>
        <v/>
      </c>
      <c r="AX97" s="19" t="str">
        <f t="shared" si="52"/>
        <v/>
      </c>
      <c r="AY97" s="323" t="str">
        <f t="shared" si="54"/>
        <v/>
      </c>
      <c r="AZ97" s="326">
        <f t="shared" si="53"/>
        <v>353.75924423795908</v>
      </c>
      <c r="BA97" s="323">
        <f t="shared" si="84"/>
        <v>211.24368808252677</v>
      </c>
      <c r="BB97" s="323">
        <f t="shared" si="133"/>
        <v>273.16718926715873</v>
      </c>
      <c r="BC97" s="327">
        <f t="shared" si="51"/>
        <v>136.58359463357937</v>
      </c>
      <c r="BD97" s="18" t="str">
        <f t="shared" si="85"/>
        <v/>
      </c>
      <c r="BE97" s="19" t="str">
        <f t="shared" si="86"/>
        <v/>
      </c>
      <c r="BF97" s="19" t="str">
        <f t="shared" si="87"/>
        <v/>
      </c>
      <c r="BG97" s="19" t="str">
        <f t="shared" si="88"/>
        <v/>
      </c>
      <c r="BH97" s="19" t="str">
        <f t="shared" si="89"/>
        <v/>
      </c>
      <c r="BI97" s="20" t="str">
        <f t="shared" si="90"/>
        <v/>
      </c>
      <c r="BJ97" s="744">
        <f t="shared" si="91"/>
        <v>4984299.0492173322</v>
      </c>
      <c r="BK97" s="321"/>
    </row>
    <row r="98" spans="1:63">
      <c r="A98">
        <v>430</v>
      </c>
      <c r="B98" s="88" t="s">
        <v>33</v>
      </c>
      <c r="D98" s="62" t="str">
        <f t="shared" si="57"/>
        <v>A</v>
      </c>
      <c r="E98">
        <f>IF(ISERROR(VLOOKUP(A98,Mandatory!A:A,1,FALSE)),0,1)</f>
        <v>1</v>
      </c>
      <c r="F98" s="54">
        <f>VLOOKUP(A98,'Front-loading'!A:AG,$F$6,FALSE)</f>
        <v>4676</v>
      </c>
      <c r="G98" s="55">
        <f>VLOOKUP(A98,'Front-loading'!A:AG,$G$6,FALSE)</f>
        <v>173372</v>
      </c>
      <c r="H98" s="55">
        <f>VLOOKUP(A98,'Front-loading'!A:AG,$H$6,FALSE)</f>
        <v>6145</v>
      </c>
      <c r="I98" s="56">
        <f>VLOOKUP(A98,'Front-loading'!A:AG,$I$6,FALSE)</f>
        <v>254914</v>
      </c>
      <c r="J98" s="54">
        <f>VLOOKUP(A98,'Front-loading'!A:AG,$J$6,FALSE)</f>
        <v>976635.30715426442</v>
      </c>
      <c r="K98" s="55">
        <f>VLOOKUP(A98,'Front-loading'!A:AG,$K$6,FALSE)</f>
        <v>44228527.504881181</v>
      </c>
      <c r="L98" s="55">
        <f>VLOOKUP(A98,'Front-loading'!A:AG,$L$6,FALSE)</f>
        <v>781277.87211786455</v>
      </c>
      <c r="M98" s="56">
        <f>VLOOKUP(A98,'Front-loading'!A:AG,$M$6,FALSE)</f>
        <v>36493255.165990338</v>
      </c>
      <c r="N98" s="15">
        <f t="shared" si="55"/>
        <v>208.8612718465065</v>
      </c>
      <c r="O98" s="11">
        <f t="shared" si="55"/>
        <v>255.10767312415604</v>
      </c>
      <c r="P98" s="11">
        <f t="shared" si="55"/>
        <v>127.14041857084858</v>
      </c>
      <c r="Q98" s="12">
        <f t="shared" si="55"/>
        <v>143.15908567591555</v>
      </c>
      <c r="R98" s="99">
        <f t="shared" si="58"/>
        <v>208.8612718465065</v>
      </c>
      <c r="S98" s="100">
        <f t="shared" si="59"/>
        <v>255.10767312415604</v>
      </c>
      <c r="T98" s="100">
        <f t="shared" si="60"/>
        <v>127.14041857084858</v>
      </c>
      <c r="U98" s="100">
        <f t="shared" si="61"/>
        <v>143.15908567591555</v>
      </c>
      <c r="V98" s="95">
        <f t="shared" si="62"/>
        <v>208.8612718465065</v>
      </c>
      <c r="W98" s="96">
        <f t="shared" si="63"/>
        <v>255.10767312415604</v>
      </c>
      <c r="X98" s="96">
        <f t="shared" si="64"/>
        <v>127.14041857084858</v>
      </c>
      <c r="Y98" s="96">
        <f t="shared" si="65"/>
        <v>143.15908567591555</v>
      </c>
      <c r="Z98" s="60">
        <f t="shared" si="66"/>
        <v>208.8612718465065</v>
      </c>
      <c r="AA98" s="61">
        <f t="shared" si="67"/>
        <v>255.10767312415604</v>
      </c>
      <c r="AB98" s="61">
        <f t="shared" si="68"/>
        <v>127.14041857084858</v>
      </c>
      <c r="AC98" s="108">
        <f t="shared" si="69"/>
        <v>143.15908567591555</v>
      </c>
      <c r="AD98" s="61">
        <f t="shared" si="70"/>
        <v>253.89312327032849</v>
      </c>
      <c r="AE98" s="61">
        <f t="shared" si="71"/>
        <v>253.89312327032849</v>
      </c>
      <c r="AF98" s="61">
        <f t="shared" si="72"/>
        <v>142.78202643122128</v>
      </c>
      <c r="AG98" s="108">
        <f t="shared" si="73"/>
        <v>142.78202643122128</v>
      </c>
      <c r="AH98" s="61">
        <f t="shared" si="74"/>
        <v>253.89312327032849</v>
      </c>
      <c r="AI98" s="61">
        <f t="shared" si="75"/>
        <v>253.89312327032849</v>
      </c>
      <c r="AJ98" s="61">
        <f t="shared" si="76"/>
        <v>142.78202643122128</v>
      </c>
      <c r="AK98" s="61">
        <f t="shared" si="77"/>
        <v>142.78202643122128</v>
      </c>
      <c r="AL98" s="60">
        <f>IF($C98="",AH98,IF(AH97&gt;AH98,SUMPRODUCT(AH97:AH98,F97:F98)/SUM(F97:F98),AH98))</f>
        <v>253.89312327032849</v>
      </c>
      <c r="AM98" s="61">
        <f>IF($C98="",AI98,IF(AI97&gt;AI98,SUMPRODUCT(AI97:AI98,G97:G98)/SUM(G97:G98),AI98))</f>
        <v>253.89312327032849</v>
      </c>
      <c r="AN98" s="61">
        <f>IF($C98="",AJ98,IF(AJ97&gt;AJ98,SUMPRODUCT(AJ97:AJ98,H97:H98)/SUM(H97:H98),AJ98))</f>
        <v>142.78202643122128</v>
      </c>
      <c r="AO98" s="108">
        <f>IF($C98="",AK98,IF(AK97&gt;AK98,SUMPRODUCT(AK97:AK98,I97:I98)/SUM(I97:I98),AK98))</f>
        <v>142.78202643122128</v>
      </c>
      <c r="AP98" s="60">
        <f t="shared" si="78"/>
        <v>253.89312327032849</v>
      </c>
      <c r="AQ98" s="61">
        <f t="shared" si="79"/>
        <v>253.89312327032849</v>
      </c>
      <c r="AR98" s="61">
        <f t="shared" si="80"/>
        <v>142.78202643122128</v>
      </c>
      <c r="AS98" s="108">
        <f t="shared" si="81"/>
        <v>142.78202643122128</v>
      </c>
      <c r="AT98" s="18" t="str">
        <f t="shared" si="49"/>
        <v/>
      </c>
      <c r="AU98" s="19" t="str">
        <f t="shared" si="50"/>
        <v/>
      </c>
      <c r="AV98" s="19" t="str">
        <f t="shared" si="82"/>
        <v/>
      </c>
      <c r="AW98" s="19" t="str">
        <f t="shared" si="83"/>
        <v/>
      </c>
      <c r="AX98" s="19" t="str">
        <f t="shared" si="52"/>
        <v/>
      </c>
      <c r="AY98" s="323" t="str">
        <f t="shared" si="54"/>
        <v/>
      </c>
      <c r="AZ98" s="326">
        <f t="shared" si="53"/>
        <v>253.89312327032849</v>
      </c>
      <c r="BA98" s="323">
        <f t="shared" si="84"/>
        <v>253.89312327032849</v>
      </c>
      <c r="BB98" s="323">
        <f t="shared" si="133"/>
        <v>142.78202643122128</v>
      </c>
      <c r="BC98" s="327">
        <f t="shared" si="51"/>
        <v>142.78202643122128</v>
      </c>
      <c r="BD98" s="18" t="str">
        <f t="shared" si="85"/>
        <v/>
      </c>
      <c r="BE98" s="19" t="str">
        <f t="shared" si="86"/>
        <v/>
      </c>
      <c r="BF98" s="19" t="str">
        <f t="shared" si="87"/>
        <v/>
      </c>
      <c r="BG98" s="19" t="str">
        <f t="shared" si="88"/>
        <v/>
      </c>
      <c r="BH98" s="19" t="str">
        <f t="shared" si="89"/>
        <v/>
      </c>
      <c r="BI98" s="20" t="str">
        <f t="shared" si="90"/>
        <v/>
      </c>
      <c r="BJ98" s="744">
        <f t="shared" si="91"/>
        <v>82479695.850143641</v>
      </c>
      <c r="BK98" s="321"/>
    </row>
    <row r="99" spans="1:63">
      <c r="A99">
        <v>450</v>
      </c>
      <c r="B99" s="88" t="s">
        <v>478</v>
      </c>
      <c r="D99" s="62" t="str">
        <f t="shared" si="57"/>
        <v>A</v>
      </c>
      <c r="E99">
        <f>IF(ISERROR(VLOOKUP(A99,Mandatory!A:A,1,FALSE)),0,1)</f>
        <v>0</v>
      </c>
      <c r="F99" s="54">
        <f>VLOOKUP(A99,'Front-loading'!A:AG,$F$6,FALSE)</f>
        <v>20</v>
      </c>
      <c r="G99" s="55">
        <f>VLOOKUP(A99,'Front-loading'!A:AG,$G$6,FALSE)</f>
        <v>21147</v>
      </c>
      <c r="H99" s="55">
        <f>VLOOKUP(A99,'Front-loading'!A:AG,$H$6,FALSE)</f>
        <v>62</v>
      </c>
      <c r="I99" s="56">
        <f>VLOOKUP(A99,'Front-loading'!A:AG,$I$6,FALSE)</f>
        <v>23928</v>
      </c>
      <c r="J99" s="54">
        <f>VLOOKUP(A99,'Front-loading'!A:AG,$J$6,FALSE)</f>
        <v>4740.8679727261479</v>
      </c>
      <c r="K99" s="55">
        <f>VLOOKUP(A99,'Front-loading'!A:AG,$K$6,FALSE)</f>
        <v>2336991.6554513178</v>
      </c>
      <c r="L99" s="55">
        <f>VLOOKUP(A99,'Front-loading'!A:AG,$L$6,FALSE)</f>
        <v>5460.2596950236821</v>
      </c>
      <c r="M99" s="56">
        <f>VLOOKUP(A99,'Front-loading'!A:AG,$M$6,FALSE)</f>
        <v>1873793.6494884719</v>
      </c>
      <c r="N99" s="15">
        <f t="shared" si="55"/>
        <v>237.04339863630739</v>
      </c>
      <c r="O99" s="11">
        <f t="shared" si="55"/>
        <v>110.51173478277381</v>
      </c>
      <c r="P99" s="11">
        <f t="shared" si="55"/>
        <v>88.068704758446486</v>
      </c>
      <c r="Q99" s="12">
        <f t="shared" si="55"/>
        <v>78.309664388518556</v>
      </c>
      <c r="R99" s="99">
        <f t="shared" si="58"/>
        <v>124.40399594816866</v>
      </c>
      <c r="S99" s="100">
        <f t="shared" si="59"/>
        <v>110.51173478277381</v>
      </c>
      <c r="T99" s="100">
        <f t="shared" si="60"/>
        <v>124.40399594816866</v>
      </c>
      <c r="U99" s="100">
        <f t="shared" si="61"/>
        <v>78.309664388518556</v>
      </c>
      <c r="V99" s="95">
        <f t="shared" si="62"/>
        <v>124.40399594816866</v>
      </c>
      <c r="W99" s="96">
        <f t="shared" si="63"/>
        <v>110.51173478277381</v>
      </c>
      <c r="X99" s="96">
        <f t="shared" si="64"/>
        <v>124.40399594816866</v>
      </c>
      <c r="Y99" s="96">
        <f t="shared" si="65"/>
        <v>78.309664388518556</v>
      </c>
      <c r="Z99" s="60">
        <f t="shared" si="66"/>
        <v>124.40399594816866</v>
      </c>
      <c r="AA99" s="61">
        <f t="shared" si="67"/>
        <v>110.51173478277381</v>
      </c>
      <c r="AB99" s="61">
        <f t="shared" si="68"/>
        <v>124.40399594816866</v>
      </c>
      <c r="AC99" s="108">
        <f t="shared" si="69"/>
        <v>78.309664388518556</v>
      </c>
      <c r="AD99" s="61">
        <f t="shared" si="70"/>
        <v>124.40399594816866</v>
      </c>
      <c r="AE99" s="61">
        <f t="shared" si="71"/>
        <v>110.51173478277381</v>
      </c>
      <c r="AF99" s="61">
        <f t="shared" si="72"/>
        <v>124.40399594816866</v>
      </c>
      <c r="AG99" s="108">
        <f t="shared" si="73"/>
        <v>78.309664388518556</v>
      </c>
      <c r="AH99" s="61">
        <f t="shared" si="74"/>
        <v>124.40399594816866</v>
      </c>
      <c r="AI99" s="61">
        <f t="shared" si="75"/>
        <v>110.51173478277381</v>
      </c>
      <c r="AJ99" s="61">
        <f t="shared" si="76"/>
        <v>124.40399594816866</v>
      </c>
      <c r="AK99" s="61">
        <f t="shared" si="77"/>
        <v>78.309664388518556</v>
      </c>
      <c r="AL99" s="60">
        <f>IF($C99="",AH99,IF(AH99&gt;AH100,SUMPRODUCT(AH99:AH100,F99:F100)/SUM(F99:F100),AH99))</f>
        <v>124.40399594816866</v>
      </c>
      <c r="AM99" s="61">
        <f>IF($C99="",AI99,IF(AI99&gt;AI100,SUMPRODUCT(AI99:AI100,G99:G100)/SUM(G99:G100),AI99))</f>
        <v>110.51173478277381</v>
      </c>
      <c r="AN99" s="61">
        <f>IF($C99="",AJ99,IF(AJ99&gt;AJ100,SUMPRODUCT(AJ99:AJ100,H99:H100)/SUM(H99:H100),AJ99))</f>
        <v>124.40399594816866</v>
      </c>
      <c r="AO99" s="108">
        <f>IF($C99="",AK99,IF(AK99&gt;AK100,SUMPRODUCT(AK99:AK100,I99:I100)/SUM(I99:I100),AK99))</f>
        <v>78.309664388518556</v>
      </c>
      <c r="AP99" s="60">
        <f t="shared" si="78"/>
        <v>124.40399594816866</v>
      </c>
      <c r="AQ99" s="61">
        <f t="shared" si="79"/>
        <v>110.51173478277381</v>
      </c>
      <c r="AR99" s="61">
        <f t="shared" si="80"/>
        <v>124.40399594816866</v>
      </c>
      <c r="AS99" s="108">
        <f t="shared" si="81"/>
        <v>78.309664388518556</v>
      </c>
      <c r="AT99" s="18" t="str">
        <f t="shared" si="49"/>
        <v/>
      </c>
      <c r="AU99" s="19" t="str">
        <f t="shared" si="50"/>
        <v/>
      </c>
      <c r="AV99" s="19" t="str">
        <f t="shared" si="82"/>
        <v/>
      </c>
      <c r="AW99" s="19" t="str">
        <f t="shared" si="83"/>
        <v/>
      </c>
      <c r="AX99" s="19" t="str">
        <f t="shared" si="52"/>
        <v/>
      </c>
      <c r="AY99" s="323" t="str">
        <f t="shared" si="54"/>
        <v/>
      </c>
      <c r="AZ99" s="326">
        <f t="shared" si="53"/>
        <v>124.40399594816866</v>
      </c>
      <c r="BA99" s="323">
        <f t="shared" si="84"/>
        <v>110.51173478277381</v>
      </c>
      <c r="BB99" s="323">
        <f t="shared" si="133"/>
        <v>124.40399594816866</v>
      </c>
      <c r="BC99" s="327">
        <f t="shared" si="51"/>
        <v>78.309664388518556</v>
      </c>
      <c r="BD99" s="18" t="str">
        <f t="shared" si="85"/>
        <v/>
      </c>
      <c r="BE99" s="19" t="str">
        <f t="shared" si="86"/>
        <v/>
      </c>
      <c r="BF99" s="19" t="str">
        <f t="shared" si="87"/>
        <v/>
      </c>
      <c r="BG99" s="19" t="str">
        <f t="shared" si="88"/>
        <v/>
      </c>
      <c r="BH99" s="19" t="str">
        <f t="shared" si="89"/>
        <v/>
      </c>
      <c r="BI99" s="20" t="str">
        <f t="shared" si="90"/>
        <v/>
      </c>
      <c r="BJ99" s="744">
        <f t="shared" si="91"/>
        <v>4220986.432607539</v>
      </c>
      <c r="BK99" s="321"/>
    </row>
    <row r="100" spans="1:63">
      <c r="A100">
        <v>460</v>
      </c>
      <c r="B100" s="88" t="s">
        <v>479</v>
      </c>
      <c r="D100" s="62" t="str">
        <f t="shared" si="57"/>
        <v>A</v>
      </c>
      <c r="E100">
        <f>IF(ISERROR(VLOOKUP(A100,Mandatory!A:A,1,FALSE)),0,1)</f>
        <v>0</v>
      </c>
      <c r="F100" s="54">
        <f>VLOOKUP(A100,'Front-loading'!A:AG,$F$6,FALSE)</f>
        <v>101</v>
      </c>
      <c r="G100" s="55">
        <f>VLOOKUP(A100,'Front-loading'!A:AG,$G$6,FALSE)</f>
        <v>5018</v>
      </c>
      <c r="H100" s="55">
        <f>VLOOKUP(A100,'Front-loading'!A:AG,$H$6,FALSE)</f>
        <v>722</v>
      </c>
      <c r="I100" s="56">
        <f>VLOOKUP(A100,'Front-loading'!A:AG,$I$6,FALSE)</f>
        <v>18228</v>
      </c>
      <c r="J100" s="54">
        <f>VLOOKUP(A100,'Front-loading'!A:AG,$J$6,FALSE)</f>
        <v>9491.8764668613894</v>
      </c>
      <c r="K100" s="55">
        <f>VLOOKUP(A100,'Front-loading'!A:AG,$K$6,FALSE)</f>
        <v>621680.28084613266</v>
      </c>
      <c r="L100" s="55">
        <f>VLOOKUP(A100,'Front-loading'!A:AG,$L$6,FALSE)</f>
        <v>75501.374207066096</v>
      </c>
      <c r="M100" s="56">
        <f>VLOOKUP(A100,'Front-loading'!A:AG,$M$6,FALSE)</f>
        <v>1149209.0196624533</v>
      </c>
      <c r="N100" s="15">
        <f t="shared" si="55"/>
        <v>93.978974919419699</v>
      </c>
      <c r="O100" s="11">
        <f t="shared" si="55"/>
        <v>123.89005198209101</v>
      </c>
      <c r="P100" s="11">
        <f t="shared" si="55"/>
        <v>104.57254045300013</v>
      </c>
      <c r="Q100" s="12">
        <f t="shared" si="55"/>
        <v>63.046358331273495</v>
      </c>
      <c r="R100" s="99">
        <f t="shared" si="58"/>
        <v>93.978974919419699</v>
      </c>
      <c r="S100" s="100">
        <f t="shared" si="59"/>
        <v>123.89005198209101</v>
      </c>
      <c r="T100" s="100">
        <f t="shared" si="60"/>
        <v>104.57254045300013</v>
      </c>
      <c r="U100" s="100">
        <f t="shared" si="61"/>
        <v>63.046358331273495</v>
      </c>
      <c r="V100" s="95">
        <f t="shared" si="62"/>
        <v>93.978974919419699</v>
      </c>
      <c r="W100" s="96">
        <f t="shared" si="63"/>
        <v>123.89005198209101</v>
      </c>
      <c r="X100" s="96">
        <f t="shared" si="64"/>
        <v>104.57254045300013</v>
      </c>
      <c r="Y100" s="96">
        <f t="shared" si="65"/>
        <v>63.046358331273495</v>
      </c>
      <c r="Z100" s="60">
        <f t="shared" si="66"/>
        <v>103.27247955519742</v>
      </c>
      <c r="AA100" s="61">
        <f t="shared" si="67"/>
        <v>123.89005198209101</v>
      </c>
      <c r="AB100" s="61">
        <f t="shared" si="68"/>
        <v>103.27247955519742</v>
      </c>
      <c r="AC100" s="108">
        <f t="shared" si="69"/>
        <v>63.046358331273495</v>
      </c>
      <c r="AD100" s="61">
        <f t="shared" si="70"/>
        <v>123.48325869920055</v>
      </c>
      <c r="AE100" s="61">
        <f t="shared" si="71"/>
        <v>123.48325869920055</v>
      </c>
      <c r="AF100" s="61">
        <f t="shared" si="72"/>
        <v>103.27247955519742</v>
      </c>
      <c r="AG100" s="108">
        <f t="shared" si="73"/>
        <v>63.046358331273495</v>
      </c>
      <c r="AH100" s="61">
        <f t="shared" si="74"/>
        <v>123.48325869920055</v>
      </c>
      <c r="AI100" s="61">
        <f t="shared" si="75"/>
        <v>123.48325869920055</v>
      </c>
      <c r="AJ100" s="61">
        <f t="shared" si="76"/>
        <v>103.27247955519742</v>
      </c>
      <c r="AK100" s="61">
        <f t="shared" si="77"/>
        <v>63.046358331273495</v>
      </c>
      <c r="AL100" s="60">
        <f>IF($C100="",AH100,IF(AH99&gt;AH100,SUMPRODUCT(AH99:AH100,F99:F100)/SUM(F99:F100),AH100))</f>
        <v>123.48325869920055</v>
      </c>
      <c r="AM100" s="61">
        <f>IF($C100="",AI100,IF(AI99&gt;AI100,SUMPRODUCT(AI99:AI100,G99:G100)/SUM(G99:G100),AI100))</f>
        <v>123.48325869920055</v>
      </c>
      <c r="AN100" s="61">
        <f>IF($C100="",AJ100,IF(AJ99&gt;AJ100,SUMPRODUCT(AJ99:AJ100,H99:H100)/SUM(H99:H100),AJ100))</f>
        <v>103.27247955519742</v>
      </c>
      <c r="AO100" s="108">
        <f>IF($C100="",AK100,IF(AK99&gt;AK100,SUMPRODUCT(AK99:AK100,I99:I100)/SUM(I99:I100),AK100))</f>
        <v>63.046358331273495</v>
      </c>
      <c r="AP100" s="60">
        <f t="shared" si="78"/>
        <v>123.48325869920055</v>
      </c>
      <c r="AQ100" s="61">
        <f t="shared" si="79"/>
        <v>123.48325869920055</v>
      </c>
      <c r="AR100" s="61">
        <f t="shared" si="80"/>
        <v>103.27247955519742</v>
      </c>
      <c r="AS100" s="108">
        <f t="shared" si="81"/>
        <v>63.046358331273495</v>
      </c>
      <c r="AT100" s="18" t="str">
        <f t="shared" si="49"/>
        <v/>
      </c>
      <c r="AU100" s="19" t="str">
        <f t="shared" si="50"/>
        <v/>
      </c>
      <c r="AV100" s="19" t="str">
        <f t="shared" si="82"/>
        <v/>
      </c>
      <c r="AW100" s="19" t="str">
        <f t="shared" si="83"/>
        <v/>
      </c>
      <c r="AX100" s="19" t="str">
        <f t="shared" si="52"/>
        <v/>
      </c>
      <c r="AY100" s="323" t="str">
        <f t="shared" si="54"/>
        <v/>
      </c>
      <c r="AZ100" s="326">
        <f t="shared" si="53"/>
        <v>123.48325869920055</v>
      </c>
      <c r="BA100" s="323">
        <f t="shared" si="84"/>
        <v>123.48325869920055</v>
      </c>
      <c r="BB100" s="323">
        <f t="shared" si="133"/>
        <v>103.27247955519742</v>
      </c>
      <c r="BC100" s="327">
        <f t="shared" si="51"/>
        <v>63.046358331273495</v>
      </c>
      <c r="BD100" s="18" t="str">
        <f t="shared" si="85"/>
        <v/>
      </c>
      <c r="BE100" s="19" t="str">
        <f t="shared" si="86"/>
        <v/>
      </c>
      <c r="BF100" s="19" t="str">
        <f t="shared" si="87"/>
        <v/>
      </c>
      <c r="BG100" s="19" t="str">
        <f t="shared" si="88"/>
        <v/>
      </c>
      <c r="BH100" s="19" t="str">
        <f t="shared" si="89"/>
        <v/>
      </c>
      <c r="BI100" s="20" t="str">
        <f t="shared" si="90"/>
        <v/>
      </c>
      <c r="BJ100" s="744">
        <f t="shared" si="91"/>
        <v>1855882.5511825136</v>
      </c>
      <c r="BK100" s="321"/>
    </row>
    <row r="101" spans="1:63">
      <c r="A101">
        <v>501</v>
      </c>
      <c r="B101" s="88" t="s">
        <v>480</v>
      </c>
      <c r="D101" s="62" t="str">
        <f t="shared" si="57"/>
        <v>A</v>
      </c>
      <c r="E101">
        <f>IF(ISERROR(VLOOKUP(A101,Mandatory!A:A,1,FALSE)),0,1)</f>
        <v>1</v>
      </c>
      <c r="F101" s="54">
        <f>VLOOKUP(A101,'Front-loading'!A:AG,$F$6,FALSE)</f>
        <v>37561</v>
      </c>
      <c r="G101" s="55">
        <f>VLOOKUP(A101,'Front-loading'!A:AG,$G$6,FALSE)</f>
        <v>934756</v>
      </c>
      <c r="H101" s="55">
        <f>VLOOKUP(A101,'Front-loading'!A:AG,$H$6,FALSE)</f>
        <v>112461</v>
      </c>
      <c r="I101" s="56">
        <f>VLOOKUP(A101,'Front-loading'!A:AG,$I$6,FALSE)</f>
        <v>2191837</v>
      </c>
      <c r="J101" s="54">
        <f>VLOOKUP(A101,'Front-loading'!A:AG,$J$6,FALSE)</f>
        <v>6613869.7888065688</v>
      </c>
      <c r="K101" s="55">
        <f>VLOOKUP(A101,'Front-loading'!A:AG,$K$6,FALSE)</f>
        <v>143069201.85763755</v>
      </c>
      <c r="L101" s="55">
        <f>VLOOKUP(A101,'Front-loading'!A:AG,$L$6,FALSE)</f>
        <v>10867131.17188767</v>
      </c>
      <c r="M101" s="56">
        <f>VLOOKUP(A101,'Front-loading'!A:AG,$M$6,FALSE)</f>
        <v>182038296.76794609</v>
      </c>
      <c r="N101" s="15">
        <f t="shared" si="55"/>
        <v>176.0834319854788</v>
      </c>
      <c r="O101" s="11">
        <f t="shared" si="55"/>
        <v>153.05513081235912</v>
      </c>
      <c r="P101" s="11">
        <f t="shared" si="55"/>
        <v>96.630220004158502</v>
      </c>
      <c r="Q101" s="12">
        <f t="shared" si="55"/>
        <v>83.052844152163729</v>
      </c>
      <c r="R101" s="99">
        <f t="shared" si="58"/>
        <v>176.0834319854788</v>
      </c>
      <c r="S101" s="100">
        <f t="shared" si="59"/>
        <v>153.05513081235912</v>
      </c>
      <c r="T101" s="100">
        <f t="shared" si="60"/>
        <v>96.630220004158502</v>
      </c>
      <c r="U101" s="100">
        <f t="shared" si="61"/>
        <v>83.052844152163729</v>
      </c>
      <c r="V101" s="95">
        <f t="shared" si="62"/>
        <v>176.0834319854788</v>
      </c>
      <c r="W101" s="96">
        <f t="shared" si="63"/>
        <v>153.05513081235912</v>
      </c>
      <c r="X101" s="96">
        <f t="shared" si="64"/>
        <v>96.630220004158502</v>
      </c>
      <c r="Y101" s="96">
        <f t="shared" si="65"/>
        <v>83.052844152163729</v>
      </c>
      <c r="Z101" s="60">
        <f t="shared" si="66"/>
        <v>176.0834319854788</v>
      </c>
      <c r="AA101" s="61">
        <f t="shared" si="67"/>
        <v>153.05513081235912</v>
      </c>
      <c r="AB101" s="61">
        <f t="shared" si="68"/>
        <v>96.630220004158502</v>
      </c>
      <c r="AC101" s="108">
        <f t="shared" si="69"/>
        <v>83.052844152163729</v>
      </c>
      <c r="AD101" s="61">
        <f t="shared" si="70"/>
        <v>176.0834319854788</v>
      </c>
      <c r="AE101" s="61">
        <f t="shared" si="71"/>
        <v>153.05513081235912</v>
      </c>
      <c r="AF101" s="61">
        <f t="shared" si="72"/>
        <v>96.630220004158502</v>
      </c>
      <c r="AG101" s="108">
        <f t="shared" si="73"/>
        <v>83.052844152163729</v>
      </c>
      <c r="AH101" s="61">
        <f t="shared" si="74"/>
        <v>176.0834319854788</v>
      </c>
      <c r="AI101" s="61">
        <f t="shared" si="75"/>
        <v>153.05513081235912</v>
      </c>
      <c r="AJ101" s="61">
        <f t="shared" si="76"/>
        <v>96.630220004158502</v>
      </c>
      <c r="AK101" s="61">
        <f t="shared" si="77"/>
        <v>83.052844152163729</v>
      </c>
      <c r="AL101" s="60">
        <f>IF($C101="",AH101,IF(AH101&gt;AH102,SUMPRODUCT(AH101:AH102,F101:F102)/SUM(F101:F102),AH101))</f>
        <v>176.0834319854788</v>
      </c>
      <c r="AM101" s="61">
        <f>IF($C101="",AI101,IF(AI101&gt;AI102,SUMPRODUCT(AI101:AI102,G101:G102)/SUM(G101:G102),AI101))</f>
        <v>153.05513081235912</v>
      </c>
      <c r="AN101" s="61">
        <f>IF($C101="",AJ101,IF(AJ101&gt;AJ102,SUMPRODUCT(AJ101:AJ102,H101:H102)/SUM(H101:H102),AJ101))</f>
        <v>96.630220004158502</v>
      </c>
      <c r="AO101" s="108">
        <f>IF($C101="",AK101,IF(AK101&gt;AK102,SUMPRODUCT(AK101:AK102,I101:I102)/SUM(I101:I102),AK101))</f>
        <v>83.052844152163729</v>
      </c>
      <c r="AP101" s="60">
        <f t="shared" si="78"/>
        <v>176.0834319854788</v>
      </c>
      <c r="AQ101" s="61">
        <f t="shared" si="79"/>
        <v>153.05513081235912</v>
      </c>
      <c r="AR101" s="61">
        <f t="shared" si="80"/>
        <v>96.630220004158502</v>
      </c>
      <c r="AS101" s="108">
        <f t="shared" si="81"/>
        <v>83.052844152163729</v>
      </c>
      <c r="AT101" s="18" t="str">
        <f t="shared" si="49"/>
        <v/>
      </c>
      <c r="AU101" s="19" t="str">
        <f t="shared" si="50"/>
        <v/>
      </c>
      <c r="AV101" s="19" t="str">
        <f t="shared" si="82"/>
        <v/>
      </c>
      <c r="AW101" s="19" t="str">
        <f t="shared" si="83"/>
        <v/>
      </c>
      <c r="AX101" s="19" t="str">
        <f t="shared" si="52"/>
        <v/>
      </c>
      <c r="AY101" s="323" t="str">
        <f t="shared" si="54"/>
        <v/>
      </c>
      <c r="AZ101" s="326">
        <f t="shared" si="53"/>
        <v>176.0834319854788</v>
      </c>
      <c r="BA101" s="323">
        <f t="shared" si="84"/>
        <v>153.05513081235912</v>
      </c>
      <c r="BB101" s="323">
        <f t="shared" si="133"/>
        <v>96.630220004158502</v>
      </c>
      <c r="BC101" s="327">
        <f t="shared" si="51"/>
        <v>83.052844152163729</v>
      </c>
      <c r="BD101" s="18" t="str">
        <f t="shared" si="85"/>
        <v/>
      </c>
      <c r="BE101" s="19" t="str">
        <f t="shared" si="86"/>
        <v/>
      </c>
      <c r="BF101" s="19" t="str">
        <f t="shared" si="87"/>
        <v/>
      </c>
      <c r="BG101" s="19" t="str">
        <f t="shared" si="88"/>
        <v/>
      </c>
      <c r="BH101" s="19" t="str">
        <f t="shared" si="89"/>
        <v/>
      </c>
      <c r="BI101" s="20" t="str">
        <f t="shared" si="90"/>
        <v/>
      </c>
      <c r="BJ101" s="744">
        <f t="shared" si="91"/>
        <v>342588499.58627784</v>
      </c>
      <c r="BK101" s="321"/>
    </row>
    <row r="102" spans="1:63">
      <c r="A102">
        <v>502</v>
      </c>
      <c r="B102" s="88" t="s">
        <v>34</v>
      </c>
      <c r="D102" s="62" t="str">
        <f t="shared" si="57"/>
        <v>A</v>
      </c>
      <c r="E102">
        <f>IF(ISERROR(VLOOKUP(A102,Mandatory!A:A,1,FALSE)),0,1)</f>
        <v>1</v>
      </c>
      <c r="F102" s="54">
        <f>VLOOKUP(A102,'Front-loading'!A:AG,$F$6,FALSE)</f>
        <v>27132</v>
      </c>
      <c r="G102" s="55">
        <f>VLOOKUP(A102,'Front-loading'!A:AG,$G$6,FALSE)</f>
        <v>882248</v>
      </c>
      <c r="H102" s="55">
        <f>VLOOKUP(A102,'Front-loading'!A:AG,$H$6,FALSE)</f>
        <v>29684</v>
      </c>
      <c r="I102" s="56">
        <f>VLOOKUP(A102,'Front-loading'!A:AG,$I$6,FALSE)</f>
        <v>1076943</v>
      </c>
      <c r="J102" s="54">
        <f>VLOOKUP(A102,'Front-loading'!A:AG,$J$6,FALSE)</f>
        <v>4240084.0941202566</v>
      </c>
      <c r="K102" s="55">
        <f>VLOOKUP(A102,'Front-loading'!A:AG,$K$6,FALSE)</f>
        <v>126520909.30987649</v>
      </c>
      <c r="L102" s="55">
        <f>VLOOKUP(A102,'Front-loading'!A:AG,$L$6,FALSE)</f>
        <v>3247944.6078217528</v>
      </c>
      <c r="M102" s="56">
        <f>VLOOKUP(A102,'Front-loading'!A:AG,$M$6,FALSE)</f>
        <v>99686178.414104417</v>
      </c>
      <c r="N102" s="15">
        <f t="shared" si="55"/>
        <v>156.27613497420967</v>
      </c>
      <c r="O102" s="11">
        <f t="shared" si="55"/>
        <v>143.40741980698905</v>
      </c>
      <c r="P102" s="11">
        <f t="shared" si="55"/>
        <v>109.41734967732626</v>
      </c>
      <c r="Q102" s="12">
        <f t="shared" si="55"/>
        <v>92.56402466435496</v>
      </c>
      <c r="R102" s="99">
        <f t="shared" si="58"/>
        <v>156.27613497420967</v>
      </c>
      <c r="S102" s="100">
        <f t="shared" si="59"/>
        <v>143.40741980698905</v>
      </c>
      <c r="T102" s="100">
        <f t="shared" si="60"/>
        <v>109.41734967732626</v>
      </c>
      <c r="U102" s="100">
        <f t="shared" si="61"/>
        <v>92.56402466435496</v>
      </c>
      <c r="V102" s="95">
        <f t="shared" si="62"/>
        <v>156.27613497420967</v>
      </c>
      <c r="W102" s="96">
        <f t="shared" si="63"/>
        <v>143.40741980698905</v>
      </c>
      <c r="X102" s="96">
        <f t="shared" si="64"/>
        <v>109.41734967732626</v>
      </c>
      <c r="Y102" s="96">
        <f t="shared" si="65"/>
        <v>92.56402466435496</v>
      </c>
      <c r="Z102" s="60">
        <f t="shared" si="66"/>
        <v>156.27613497420967</v>
      </c>
      <c r="AA102" s="61">
        <f t="shared" si="67"/>
        <v>143.40741980698905</v>
      </c>
      <c r="AB102" s="61">
        <f t="shared" si="68"/>
        <v>109.41734967732626</v>
      </c>
      <c r="AC102" s="108">
        <f t="shared" si="69"/>
        <v>92.56402466435496</v>
      </c>
      <c r="AD102" s="61">
        <f t="shared" si="70"/>
        <v>156.27613497420967</v>
      </c>
      <c r="AE102" s="61">
        <f t="shared" si="71"/>
        <v>143.40741980698905</v>
      </c>
      <c r="AF102" s="61">
        <f t="shared" si="72"/>
        <v>109.41734967732626</v>
      </c>
      <c r="AG102" s="108">
        <f t="shared" si="73"/>
        <v>92.56402466435496</v>
      </c>
      <c r="AH102" s="61">
        <f t="shared" si="74"/>
        <v>156.27613497420967</v>
      </c>
      <c r="AI102" s="61">
        <f t="shared" si="75"/>
        <v>143.40741980698905</v>
      </c>
      <c r="AJ102" s="61">
        <f t="shared" si="76"/>
        <v>109.41734967732626</v>
      </c>
      <c r="AK102" s="61">
        <f t="shared" si="77"/>
        <v>92.56402466435496</v>
      </c>
      <c r="AL102" s="60">
        <f>IF($C102="",AH102,IF(AH101&gt;AH102,SUMPRODUCT(AH101:AH102,F101:F102)/SUM(F101:F102),AH102))</f>
        <v>156.27613497420967</v>
      </c>
      <c r="AM102" s="61">
        <f>IF($C102="",AI102,IF(AI101&gt;AI102,SUMPRODUCT(AI101:AI102,G101:G102)/SUM(G101:G102),AI102))</f>
        <v>143.40741980698905</v>
      </c>
      <c r="AN102" s="61">
        <f>IF($C102="",AJ102,IF(AJ101&gt;AJ102,SUMPRODUCT(AJ101:AJ102,H101:H102)/SUM(H101:H102),AJ102))</f>
        <v>109.41734967732626</v>
      </c>
      <c r="AO102" s="108">
        <f>IF($C102="",AK102,IF(AK101&gt;AK102,SUMPRODUCT(AK101:AK102,I101:I102)/SUM(I101:I102),AK102))</f>
        <v>92.56402466435496</v>
      </c>
      <c r="AP102" s="60">
        <f t="shared" si="78"/>
        <v>156.27613497420967</v>
      </c>
      <c r="AQ102" s="61">
        <f t="shared" si="79"/>
        <v>143.40741980698905</v>
      </c>
      <c r="AR102" s="61">
        <f t="shared" si="80"/>
        <v>109.41734967732626</v>
      </c>
      <c r="AS102" s="108">
        <f t="shared" si="81"/>
        <v>92.56402466435496</v>
      </c>
      <c r="AT102" s="18" t="str">
        <f t="shared" si="49"/>
        <v/>
      </c>
      <c r="AU102" s="19" t="str">
        <f t="shared" si="50"/>
        <v/>
      </c>
      <c r="AV102" s="19" t="str">
        <f t="shared" si="82"/>
        <v/>
      </c>
      <c r="AW102" s="19" t="str">
        <f t="shared" si="83"/>
        <v/>
      </c>
      <c r="AX102" s="19" t="str">
        <f t="shared" si="52"/>
        <v/>
      </c>
      <c r="AY102" s="323" t="str">
        <f t="shared" si="54"/>
        <v/>
      </c>
      <c r="AZ102" s="326">
        <f t="shared" si="53"/>
        <v>156.27613497420967</v>
      </c>
      <c r="BA102" s="323">
        <f t="shared" si="84"/>
        <v>143.40741980698905</v>
      </c>
      <c r="BB102" s="323">
        <f t="shared" si="133"/>
        <v>109.41734967732626</v>
      </c>
      <c r="BC102" s="327">
        <f t="shared" si="51"/>
        <v>92.56402466435496</v>
      </c>
      <c r="BD102" s="18" t="str">
        <f t="shared" si="85"/>
        <v/>
      </c>
      <c r="BE102" s="19" t="str">
        <f t="shared" si="86"/>
        <v/>
      </c>
      <c r="BF102" s="19" t="str">
        <f t="shared" si="87"/>
        <v/>
      </c>
      <c r="BG102" s="19" t="str">
        <f t="shared" si="88"/>
        <v/>
      </c>
      <c r="BH102" s="19" t="str">
        <f t="shared" si="89"/>
        <v/>
      </c>
      <c r="BI102" s="20" t="str">
        <f t="shared" si="90"/>
        <v/>
      </c>
      <c r="BJ102" s="744">
        <f t="shared" si="91"/>
        <v>233695116.4259229</v>
      </c>
      <c r="BK102" s="321"/>
    </row>
    <row r="103" spans="1:63">
      <c r="A103">
        <v>503</v>
      </c>
      <c r="B103" s="88" t="s">
        <v>35</v>
      </c>
      <c r="D103" s="62" t="str">
        <f t="shared" si="57"/>
        <v>A</v>
      </c>
      <c r="E103">
        <f>IF(ISERROR(VLOOKUP(A103,Mandatory!A:A,1,FALSE)),0,1)</f>
        <v>1</v>
      </c>
      <c r="F103" s="54">
        <f>VLOOKUP(A103,'Front-loading'!A:AG,$F$6,FALSE)</f>
        <v>2136</v>
      </c>
      <c r="G103" s="55">
        <f>VLOOKUP(A103,'Front-loading'!A:AG,$G$6,FALSE)</f>
        <v>26395</v>
      </c>
      <c r="H103" s="55">
        <f>VLOOKUP(A103,'Front-loading'!A:AG,$H$6,FALSE)</f>
        <v>7239</v>
      </c>
      <c r="I103" s="56">
        <f>VLOOKUP(A103,'Front-loading'!A:AG,$I$6,FALSE)</f>
        <v>53257</v>
      </c>
      <c r="J103" s="54">
        <f>VLOOKUP(A103,'Front-loading'!A:AG,$J$6,FALSE)</f>
        <v>449868.90865064104</v>
      </c>
      <c r="K103" s="55">
        <f>VLOOKUP(A103,'Front-loading'!A:AG,$K$6,FALSE)</f>
        <v>4383732.1860022955</v>
      </c>
      <c r="L103" s="55">
        <f>VLOOKUP(A103,'Front-loading'!A:AG,$L$6,FALSE)</f>
        <v>814473.97997017507</v>
      </c>
      <c r="M103" s="56">
        <f>VLOOKUP(A103,'Front-loading'!A:AG,$M$6,FALSE)</f>
        <v>5282092.8037426947</v>
      </c>
      <c r="N103" s="15">
        <f t="shared" si="55"/>
        <v>210.61278494880199</v>
      </c>
      <c r="O103" s="11">
        <f t="shared" si="55"/>
        <v>166.08191649942395</v>
      </c>
      <c r="P103" s="11">
        <f t="shared" si="55"/>
        <v>112.51194639731663</v>
      </c>
      <c r="Q103" s="12">
        <f t="shared" si="55"/>
        <v>99.181193152875579</v>
      </c>
      <c r="R103" s="99">
        <f t="shared" si="58"/>
        <v>210.61278494880199</v>
      </c>
      <c r="S103" s="100">
        <f t="shared" si="59"/>
        <v>166.08191649942395</v>
      </c>
      <c r="T103" s="100">
        <f t="shared" si="60"/>
        <v>112.51194639731663</v>
      </c>
      <c r="U103" s="100">
        <f t="shared" si="61"/>
        <v>99.181193152875579</v>
      </c>
      <c r="V103" s="95">
        <f t="shared" si="62"/>
        <v>210.61278494880199</v>
      </c>
      <c r="W103" s="96">
        <f t="shared" si="63"/>
        <v>166.08191649942395</v>
      </c>
      <c r="X103" s="96">
        <f t="shared" si="64"/>
        <v>112.51194639731663</v>
      </c>
      <c r="Y103" s="96">
        <f t="shared" si="65"/>
        <v>99.181193152875579</v>
      </c>
      <c r="Z103" s="60">
        <f t="shared" si="66"/>
        <v>210.61278494880199</v>
      </c>
      <c r="AA103" s="61">
        <f t="shared" si="67"/>
        <v>166.08191649942395</v>
      </c>
      <c r="AB103" s="61">
        <f t="shared" si="68"/>
        <v>112.51194639731663</v>
      </c>
      <c r="AC103" s="108">
        <f t="shared" si="69"/>
        <v>99.181193152875579</v>
      </c>
      <c r="AD103" s="61">
        <f t="shared" si="70"/>
        <v>210.61278494880199</v>
      </c>
      <c r="AE103" s="61">
        <f t="shared" si="71"/>
        <v>166.08191649942395</v>
      </c>
      <c r="AF103" s="61">
        <f t="shared" si="72"/>
        <v>112.51194639731663</v>
      </c>
      <c r="AG103" s="108">
        <f t="shared" si="73"/>
        <v>99.181193152875579</v>
      </c>
      <c r="AH103" s="61">
        <f t="shared" si="74"/>
        <v>210.61278494880199</v>
      </c>
      <c r="AI103" s="61">
        <f t="shared" si="75"/>
        <v>166.08191649942395</v>
      </c>
      <c r="AJ103" s="61">
        <f t="shared" si="76"/>
        <v>112.51194639731663</v>
      </c>
      <c r="AK103" s="61">
        <f t="shared" si="77"/>
        <v>99.181193152875579</v>
      </c>
      <c r="AL103" s="60">
        <f>IF($C103="",AH103,IF(AH103&gt;AH104,SUMPRODUCT(AH103:AH104,F103:F104)/SUM(F103:F104),AH103))</f>
        <v>210.61278494880199</v>
      </c>
      <c r="AM103" s="61">
        <f>IF($C103="",AI103,IF(AI103&gt;AI104,SUMPRODUCT(AI103:AI104,G103:G104)/SUM(G103:G104),AI103))</f>
        <v>166.08191649942395</v>
      </c>
      <c r="AN103" s="61">
        <f>IF($C103="",AJ103,IF(AJ103&gt;AJ104,SUMPRODUCT(AJ103:AJ104,H103:H104)/SUM(H103:H104),AJ103))</f>
        <v>112.51194639731663</v>
      </c>
      <c r="AO103" s="108">
        <f>IF($C103="",AK103,IF(AK103&gt;AK104,SUMPRODUCT(AK103:AK104,I103:I104)/SUM(I103:I104),AK103))</f>
        <v>99.181193152875579</v>
      </c>
      <c r="AP103" s="60">
        <f t="shared" si="78"/>
        <v>210.61278494880199</v>
      </c>
      <c r="AQ103" s="61">
        <f t="shared" si="79"/>
        <v>166.08191649942395</v>
      </c>
      <c r="AR103" s="61">
        <f t="shared" si="80"/>
        <v>112.51194639731663</v>
      </c>
      <c r="AS103" s="108">
        <f t="shared" si="81"/>
        <v>99.181193152875579</v>
      </c>
      <c r="AT103" s="18" t="str">
        <f t="shared" si="49"/>
        <v/>
      </c>
      <c r="AU103" s="19" t="str">
        <f t="shared" si="50"/>
        <v/>
      </c>
      <c r="AV103" s="19" t="str">
        <f t="shared" si="82"/>
        <v/>
      </c>
      <c r="AW103" s="19" t="str">
        <f t="shared" si="83"/>
        <v/>
      </c>
      <c r="AX103" s="19" t="str">
        <f t="shared" si="52"/>
        <v/>
      </c>
      <c r="AY103" s="323" t="str">
        <f t="shared" si="54"/>
        <v/>
      </c>
      <c r="AZ103" s="326">
        <f t="shared" si="53"/>
        <v>210.61278494880199</v>
      </c>
      <c r="BA103" s="323">
        <f t="shared" si="84"/>
        <v>166.08191649942395</v>
      </c>
      <c r="BB103" s="323">
        <f t="shared" si="133"/>
        <v>112.51194639731663</v>
      </c>
      <c r="BC103" s="327">
        <f t="shared" si="51"/>
        <v>99.181193152875579</v>
      </c>
      <c r="BD103" s="18" t="str">
        <f t="shared" si="85"/>
        <v/>
      </c>
      <c r="BE103" s="19" t="str">
        <f t="shared" si="86"/>
        <v/>
      </c>
      <c r="BF103" s="19" t="str">
        <f t="shared" si="87"/>
        <v/>
      </c>
      <c r="BG103" s="19" t="str">
        <f t="shared" si="88"/>
        <v/>
      </c>
      <c r="BH103" s="19" t="str">
        <f t="shared" si="89"/>
        <v/>
      </c>
      <c r="BI103" s="20" t="str">
        <f t="shared" si="90"/>
        <v/>
      </c>
      <c r="BJ103" s="744">
        <f t="shared" si="91"/>
        <v>10930167.878365807</v>
      </c>
      <c r="BK103" s="321"/>
    </row>
    <row r="104" spans="1:63">
      <c r="A104">
        <v>560</v>
      </c>
      <c r="B104" s="88" t="s">
        <v>481</v>
      </c>
      <c r="D104" s="62" t="str">
        <f t="shared" si="57"/>
        <v>A</v>
      </c>
      <c r="E104">
        <f>IF(ISERROR(VLOOKUP(A104,Mandatory!A:A,1,FALSE)),0,1)</f>
        <v>1</v>
      </c>
      <c r="F104" s="54">
        <f>VLOOKUP(A104,'Front-loading'!A:AG,$F$6,FALSE)</f>
        <v>6587</v>
      </c>
      <c r="G104" s="55">
        <f>VLOOKUP(A104,'Front-loading'!A:AG,$G$6,FALSE)</f>
        <v>535439</v>
      </c>
      <c r="H104" s="55">
        <f>VLOOKUP(A104,'Front-loading'!A:AG,$H$6,FALSE)</f>
        <v>26022</v>
      </c>
      <c r="I104" s="56">
        <f>VLOOKUP(A104,'Front-loading'!A:AG,$I$6,FALSE)</f>
        <v>2209157</v>
      </c>
      <c r="J104" s="54">
        <f>VLOOKUP(A104,'Front-loading'!A:AG,$J$6,FALSE)</f>
        <v>552381.72816965694</v>
      </c>
      <c r="K104" s="55">
        <f>VLOOKUP(A104,'Front-loading'!A:AG,$K$6,FALSE)</f>
        <v>61226917.641808838</v>
      </c>
      <c r="L104" s="55">
        <f>VLOOKUP(A104,'Front-loading'!A:AG,$L$6,FALSE)</f>
        <v>737195.21260156797</v>
      </c>
      <c r="M104" s="56">
        <f>VLOOKUP(A104,'Front-loading'!A:AG,$M$6,FALSE)</f>
        <v>100736243.59642342</v>
      </c>
      <c r="N104" s="15">
        <f t="shared" si="55"/>
        <v>83.859378802134046</v>
      </c>
      <c r="O104" s="11">
        <f t="shared" si="55"/>
        <v>114.34900640746908</v>
      </c>
      <c r="P104" s="11">
        <f t="shared" si="55"/>
        <v>28.329690746351854</v>
      </c>
      <c r="Q104" s="12">
        <f t="shared" si="55"/>
        <v>45.599404477102993</v>
      </c>
      <c r="R104" s="99">
        <f t="shared" si="58"/>
        <v>83.859378802134046</v>
      </c>
      <c r="S104" s="100">
        <f t="shared" si="59"/>
        <v>114.34900640746908</v>
      </c>
      <c r="T104" s="100">
        <f t="shared" si="60"/>
        <v>28.329690746351854</v>
      </c>
      <c r="U104" s="100">
        <f t="shared" si="61"/>
        <v>45.599404477102993</v>
      </c>
      <c r="V104" s="95">
        <f t="shared" si="62"/>
        <v>83.859378802134046</v>
      </c>
      <c r="W104" s="96">
        <f t="shared" si="63"/>
        <v>114.34900640746908</v>
      </c>
      <c r="X104" s="96">
        <f t="shared" si="64"/>
        <v>28.329690746351854</v>
      </c>
      <c r="Y104" s="96">
        <f t="shared" si="65"/>
        <v>45.599404477102993</v>
      </c>
      <c r="Z104" s="60">
        <f t="shared" si="66"/>
        <v>83.859378802134046</v>
      </c>
      <c r="AA104" s="61">
        <f t="shared" si="67"/>
        <v>114.34900640746908</v>
      </c>
      <c r="AB104" s="61">
        <f t="shared" si="68"/>
        <v>28.329690746351854</v>
      </c>
      <c r="AC104" s="108">
        <f t="shared" si="69"/>
        <v>45.599404477102993</v>
      </c>
      <c r="AD104" s="61">
        <f t="shared" si="70"/>
        <v>113.97847957474087</v>
      </c>
      <c r="AE104" s="61">
        <f t="shared" si="71"/>
        <v>113.97847957474087</v>
      </c>
      <c r="AF104" s="61">
        <f t="shared" si="72"/>
        <v>45.398350113805201</v>
      </c>
      <c r="AG104" s="108">
        <f t="shared" si="73"/>
        <v>45.398350113805201</v>
      </c>
      <c r="AH104" s="61">
        <f t="shared" si="74"/>
        <v>113.97847957474087</v>
      </c>
      <c r="AI104" s="61">
        <f t="shared" si="75"/>
        <v>113.97847957474087</v>
      </c>
      <c r="AJ104" s="61">
        <f t="shared" si="76"/>
        <v>45.398350113805201</v>
      </c>
      <c r="AK104" s="61">
        <f t="shared" si="77"/>
        <v>45.398350113805201</v>
      </c>
      <c r="AL104" s="60">
        <f>IF($C104="",AH104,IF(AH103&gt;AH104,SUMPRODUCT(AH103:AH104,F103:F104)/SUM(F103:F104),AH104))</f>
        <v>113.97847957474087</v>
      </c>
      <c r="AM104" s="61">
        <f>IF($C104="",AI104,IF(AI103&gt;AI104,SUMPRODUCT(AI103:AI104,G103:G104)/SUM(G103:G104),AI104))</f>
        <v>113.97847957474087</v>
      </c>
      <c r="AN104" s="61">
        <f>IF($C104="",AJ104,IF(AJ103&gt;AJ104,SUMPRODUCT(AJ103:AJ104,H103:H104)/SUM(H103:H104),AJ104))</f>
        <v>45.398350113805201</v>
      </c>
      <c r="AO104" s="108">
        <f>IF($C104="",AK104,IF(AK103&gt;AK104,SUMPRODUCT(AK103:AK104,I103:I104)/SUM(I103:I104),AK104))</f>
        <v>45.398350113805201</v>
      </c>
      <c r="AP104" s="60">
        <f t="shared" si="78"/>
        <v>113.97847957474087</v>
      </c>
      <c r="AQ104" s="61">
        <f t="shared" si="79"/>
        <v>113.97847957474087</v>
      </c>
      <c r="AR104" s="61">
        <f t="shared" si="80"/>
        <v>45.398350113805201</v>
      </c>
      <c r="AS104" s="108">
        <f t="shared" si="81"/>
        <v>45.398350113805201</v>
      </c>
      <c r="AT104" s="18" t="str">
        <f t="shared" si="49"/>
        <v/>
      </c>
      <c r="AU104" s="19" t="str">
        <f t="shared" si="50"/>
        <v/>
      </c>
      <c r="AV104" s="19" t="str">
        <f t="shared" si="82"/>
        <v/>
      </c>
      <c r="AW104" s="19" t="str">
        <f t="shared" si="83"/>
        <v/>
      </c>
      <c r="AX104" s="19" t="str">
        <f t="shared" si="52"/>
        <v/>
      </c>
      <c r="AY104" s="323" t="str">
        <f t="shared" si="54"/>
        <v/>
      </c>
      <c r="AZ104" s="326">
        <f t="shared" si="53"/>
        <v>113.97847957474087</v>
      </c>
      <c r="BA104" s="323">
        <f t="shared" si="84"/>
        <v>113.97847957474087</v>
      </c>
      <c r="BB104" s="323">
        <f t="shared" si="133"/>
        <v>45.398350113805201</v>
      </c>
      <c r="BC104" s="327">
        <f t="shared" si="51"/>
        <v>45.398350113805201</v>
      </c>
      <c r="BD104" s="18" t="str">
        <f t="shared" si="85"/>
        <v/>
      </c>
      <c r="BE104" s="19" t="str">
        <f t="shared" si="86"/>
        <v/>
      </c>
      <c r="BF104" s="19" t="str">
        <f t="shared" si="87"/>
        <v/>
      </c>
      <c r="BG104" s="19" t="str">
        <f t="shared" si="88"/>
        <v/>
      </c>
      <c r="BH104" s="19" t="str">
        <f t="shared" si="89"/>
        <v/>
      </c>
      <c r="BI104" s="20" t="str">
        <f t="shared" si="90"/>
        <v/>
      </c>
      <c r="BJ104" s="744">
        <f t="shared" si="91"/>
        <v>163252738.17900348</v>
      </c>
      <c r="BK104" s="321"/>
    </row>
    <row r="105" spans="1:63">
      <c r="A105">
        <v>650</v>
      </c>
      <c r="B105" s="88" t="s">
        <v>482</v>
      </c>
      <c r="D105" s="62" t="str">
        <f t="shared" si="57"/>
        <v>A</v>
      </c>
      <c r="E105">
        <f>IF(ISERROR(VLOOKUP(A105,Mandatory!A:A,1,FALSE)),0,1)</f>
        <v>0</v>
      </c>
      <c r="F105" s="54">
        <f>VLOOKUP(A105,'Front-loading'!A:AG,$F$6,FALSE)</f>
        <v>1323</v>
      </c>
      <c r="G105" s="55">
        <f>VLOOKUP(A105,'Front-loading'!A:AG,$G$6,FALSE)</f>
        <v>142467</v>
      </c>
      <c r="H105" s="55">
        <f>VLOOKUP(A105,'Front-loading'!A:AG,$H$6,FALSE)</f>
        <v>15416</v>
      </c>
      <c r="I105" s="56">
        <f>VLOOKUP(A105,'Front-loading'!A:AG,$I$6,FALSE)</f>
        <v>506980</v>
      </c>
      <c r="J105" s="54">
        <f>VLOOKUP(A105,'Front-loading'!A:AG,$J$6,FALSE)</f>
        <v>83452.685012412898</v>
      </c>
      <c r="K105" s="55">
        <f>VLOOKUP(A105,'Front-loading'!A:AG,$K$6,FALSE)</f>
        <v>8319745.1266298015</v>
      </c>
      <c r="L105" s="55">
        <f>VLOOKUP(A105,'Front-loading'!A:AG,$L$6,FALSE)</f>
        <v>625510.93901321886</v>
      </c>
      <c r="M105" s="56">
        <f>VLOOKUP(A105,'Front-loading'!A:AG,$M$6,FALSE)</f>
        <v>17672314.164353274</v>
      </c>
      <c r="N105" s="15">
        <f t="shared" si="55"/>
        <v>63.078371135610659</v>
      </c>
      <c r="O105" s="11">
        <f t="shared" si="55"/>
        <v>58.397700005122601</v>
      </c>
      <c r="P105" s="11">
        <f t="shared" si="55"/>
        <v>40.575437144085292</v>
      </c>
      <c r="Q105" s="12">
        <f t="shared" si="55"/>
        <v>34.858010502097272</v>
      </c>
      <c r="R105" s="99">
        <f t="shared" si="58"/>
        <v>63.078371135610659</v>
      </c>
      <c r="S105" s="100">
        <f t="shared" si="59"/>
        <v>58.397700005122601</v>
      </c>
      <c r="T105" s="100">
        <f t="shared" si="60"/>
        <v>40.575437144085292</v>
      </c>
      <c r="U105" s="100">
        <f t="shared" si="61"/>
        <v>34.858010502097272</v>
      </c>
      <c r="V105" s="95">
        <f t="shared" si="62"/>
        <v>63.078371135610659</v>
      </c>
      <c r="W105" s="96">
        <f t="shared" si="63"/>
        <v>58.397700005122601</v>
      </c>
      <c r="X105" s="96">
        <f t="shared" si="64"/>
        <v>40.575437144085292</v>
      </c>
      <c r="Y105" s="96">
        <f t="shared" si="65"/>
        <v>34.858010502097272</v>
      </c>
      <c r="Z105" s="60">
        <f t="shared" si="66"/>
        <v>63.078371135610659</v>
      </c>
      <c r="AA105" s="61">
        <f t="shared" si="67"/>
        <v>58.397700005122601</v>
      </c>
      <c r="AB105" s="61">
        <f t="shared" si="68"/>
        <v>40.575437144085292</v>
      </c>
      <c r="AC105" s="108">
        <f t="shared" si="69"/>
        <v>34.858010502097272</v>
      </c>
      <c r="AD105" s="61">
        <f t="shared" si="70"/>
        <v>63.078371135610659</v>
      </c>
      <c r="AE105" s="61">
        <f t="shared" si="71"/>
        <v>58.397700005122601</v>
      </c>
      <c r="AF105" s="61">
        <f t="shared" si="72"/>
        <v>40.575437144085292</v>
      </c>
      <c r="AG105" s="108">
        <f t="shared" si="73"/>
        <v>34.858010502097272</v>
      </c>
      <c r="AH105" s="61">
        <f t="shared" si="74"/>
        <v>63.078371135610659</v>
      </c>
      <c r="AI105" s="61">
        <f t="shared" si="75"/>
        <v>58.397700005122601</v>
      </c>
      <c r="AJ105" s="61">
        <f t="shared" si="76"/>
        <v>40.575437144085292</v>
      </c>
      <c r="AK105" s="61">
        <f t="shared" si="77"/>
        <v>34.858010502097272</v>
      </c>
      <c r="AL105" s="60">
        <f>IF($C105="",AH105,IF(AH105&gt;AH106,SUMPRODUCT(AH105:AH106,F105:F106)/SUM(F105:F106),AH105))</f>
        <v>63.078371135610659</v>
      </c>
      <c r="AM105" s="61">
        <f>IF($C105="",AI105,IF(AI105&gt;AI106,SUMPRODUCT(AI105:AI106,G105:G106)/SUM(G105:G106),AI105))</f>
        <v>58.397700005122601</v>
      </c>
      <c r="AN105" s="61">
        <f>IF($C105="",AJ105,IF(AJ105&gt;AJ106,SUMPRODUCT(AJ105:AJ106,H105:H106)/SUM(H105:H106),AJ105))</f>
        <v>40.575437144085292</v>
      </c>
      <c r="AO105" s="108">
        <f>IF($C105="",AK105,IF(AK105&gt;AK106,SUMPRODUCT(AK105:AK106,I105:I106)/SUM(I105:I106),AK105))</f>
        <v>34.858010502097272</v>
      </c>
      <c r="AP105" s="60">
        <f t="shared" si="78"/>
        <v>63.078371135610659</v>
      </c>
      <c r="AQ105" s="61">
        <f t="shared" si="79"/>
        <v>58.397700005122601</v>
      </c>
      <c r="AR105" s="61">
        <f t="shared" si="80"/>
        <v>40.575437144085292</v>
      </c>
      <c r="AS105" s="108">
        <f t="shared" si="81"/>
        <v>34.858010502097272</v>
      </c>
      <c r="AT105" s="18" t="str">
        <f t="shared" si="49"/>
        <v/>
      </c>
      <c r="AU105" s="19" t="str">
        <f t="shared" si="50"/>
        <v/>
      </c>
      <c r="AV105" s="19" t="str">
        <f t="shared" si="82"/>
        <v/>
      </c>
      <c r="AW105" s="19" t="str">
        <f t="shared" si="83"/>
        <v/>
      </c>
      <c r="AX105" s="19" t="str">
        <f t="shared" si="52"/>
        <v/>
      </c>
      <c r="AY105" s="323" t="str">
        <f t="shared" si="54"/>
        <v/>
      </c>
      <c r="AZ105" s="326">
        <f t="shared" si="53"/>
        <v>63.078371135610659</v>
      </c>
      <c r="BA105" s="323">
        <f t="shared" si="84"/>
        <v>58.397700005122601</v>
      </c>
      <c r="BB105" s="323">
        <f t="shared" si="133"/>
        <v>40.575437144085292</v>
      </c>
      <c r="BC105" s="327">
        <f t="shared" si="51"/>
        <v>34.858010502097272</v>
      </c>
      <c r="BD105" s="18" t="str">
        <f t="shared" si="85"/>
        <v/>
      </c>
      <c r="BE105" s="19" t="str">
        <f t="shared" si="86"/>
        <v/>
      </c>
      <c r="BF105" s="19" t="str">
        <f t="shared" si="87"/>
        <v/>
      </c>
      <c r="BG105" s="19" t="str">
        <f t="shared" si="88"/>
        <v/>
      </c>
      <c r="BH105" s="19" t="str">
        <f t="shared" si="89"/>
        <v/>
      </c>
      <c r="BI105" s="20" t="str">
        <f t="shared" si="90"/>
        <v/>
      </c>
      <c r="BJ105" s="744">
        <f t="shared" si="91"/>
        <v>26701022.915008709</v>
      </c>
      <c r="BK105" s="321"/>
    </row>
    <row r="106" spans="1:63">
      <c r="A106">
        <v>651</v>
      </c>
      <c r="B106" s="88" t="s">
        <v>483</v>
      </c>
      <c r="D106" s="62" t="str">
        <f t="shared" si="57"/>
        <v>A</v>
      </c>
      <c r="E106">
        <f>IF(ISERROR(VLOOKUP(A106,Mandatory!A:A,1,FALSE)),0,1)</f>
        <v>0</v>
      </c>
      <c r="F106" s="54">
        <f>VLOOKUP(A106,'Front-loading'!A:AG,$F$6,FALSE)</f>
        <v>147</v>
      </c>
      <c r="G106" s="55">
        <f>VLOOKUP(A106,'Front-loading'!A:AG,$G$6,FALSE)</f>
        <v>12379</v>
      </c>
      <c r="H106" s="55">
        <f>VLOOKUP(A106,'Front-loading'!A:AG,$H$6,FALSE)</f>
        <v>590</v>
      </c>
      <c r="I106" s="56">
        <f>VLOOKUP(A106,'Front-loading'!A:AG,$I$6,FALSE)</f>
        <v>49559</v>
      </c>
      <c r="J106" s="54">
        <f>VLOOKUP(A106,'Front-loading'!A:AG,$J$6,FALSE)</f>
        <v>6123.7449386759808</v>
      </c>
      <c r="K106" s="55">
        <f>VLOOKUP(A106,'Front-loading'!A:AG,$K$6,FALSE)</f>
        <v>889138.43242629361</v>
      </c>
      <c r="L106" s="55">
        <f>VLOOKUP(A106,'Front-loading'!A:AG,$L$6,FALSE)</f>
        <v>16230.2036201829</v>
      </c>
      <c r="M106" s="56">
        <f>VLOOKUP(A106,'Front-loading'!A:AG,$M$6,FALSE)</f>
        <v>2036763.7999214008</v>
      </c>
      <c r="N106" s="15">
        <f t="shared" si="55"/>
        <v>41.65812883453048</v>
      </c>
      <c r="O106" s="11">
        <f t="shared" si="55"/>
        <v>71.826353697899151</v>
      </c>
      <c r="P106" s="11">
        <f t="shared" si="55"/>
        <v>27.508819695225252</v>
      </c>
      <c r="Q106" s="12">
        <f t="shared" si="55"/>
        <v>41.097758225981174</v>
      </c>
      <c r="R106" s="99">
        <f t="shared" si="58"/>
        <v>41.65812883453048</v>
      </c>
      <c r="S106" s="100">
        <f t="shared" si="59"/>
        <v>71.826353697899151</v>
      </c>
      <c r="T106" s="100">
        <f t="shared" si="60"/>
        <v>27.508819695225252</v>
      </c>
      <c r="U106" s="100">
        <f t="shared" si="61"/>
        <v>41.097758225981174</v>
      </c>
      <c r="V106" s="95">
        <f t="shared" si="62"/>
        <v>41.65812883453048</v>
      </c>
      <c r="W106" s="96">
        <f t="shared" si="63"/>
        <v>71.826353697899151</v>
      </c>
      <c r="X106" s="96">
        <f t="shared" si="64"/>
        <v>27.508819695225252</v>
      </c>
      <c r="Y106" s="96">
        <f t="shared" si="65"/>
        <v>41.097758225981174</v>
      </c>
      <c r="Z106" s="60">
        <f t="shared" si="66"/>
        <v>41.65812883453048</v>
      </c>
      <c r="AA106" s="61">
        <f t="shared" si="67"/>
        <v>71.826353697899151</v>
      </c>
      <c r="AB106" s="61">
        <f t="shared" si="68"/>
        <v>27.508819695225252</v>
      </c>
      <c r="AC106" s="108">
        <f t="shared" si="69"/>
        <v>41.097758225981174</v>
      </c>
      <c r="AD106" s="61">
        <f t="shared" si="70"/>
        <v>71.47231178069373</v>
      </c>
      <c r="AE106" s="61">
        <f t="shared" si="71"/>
        <v>71.47231178069373</v>
      </c>
      <c r="AF106" s="61">
        <f t="shared" si="72"/>
        <v>40.937885173016092</v>
      </c>
      <c r="AG106" s="108">
        <f t="shared" si="73"/>
        <v>40.937885173016092</v>
      </c>
      <c r="AH106" s="61">
        <f t="shared" si="74"/>
        <v>71.47231178069373</v>
      </c>
      <c r="AI106" s="61">
        <f t="shared" si="75"/>
        <v>71.47231178069373</v>
      </c>
      <c r="AJ106" s="61">
        <f t="shared" si="76"/>
        <v>40.937885173016092</v>
      </c>
      <c r="AK106" s="61">
        <f t="shared" si="77"/>
        <v>40.937885173016092</v>
      </c>
      <c r="AL106" s="60">
        <f>IF($C106="",AH106,IF(AH105&gt;AH106,SUMPRODUCT(AH105:AH106,F105:F106)/SUM(F105:F106),AH106))</f>
        <v>71.47231178069373</v>
      </c>
      <c r="AM106" s="61">
        <f>IF($C106="",AI106,IF(AI105&gt;AI106,SUMPRODUCT(AI105:AI106,G105:G106)/SUM(G105:G106),AI106))</f>
        <v>71.47231178069373</v>
      </c>
      <c r="AN106" s="61">
        <f>IF($C106="",AJ106,IF(AJ105&gt;AJ106,SUMPRODUCT(AJ105:AJ106,H105:H106)/SUM(H105:H106),AJ106))</f>
        <v>40.937885173016092</v>
      </c>
      <c r="AO106" s="108">
        <f>IF($C106="",AK106,IF(AK105&gt;AK106,SUMPRODUCT(AK105:AK106,I105:I106)/SUM(I105:I106),AK106))</f>
        <v>40.937885173016092</v>
      </c>
      <c r="AP106" s="60">
        <f t="shared" si="78"/>
        <v>71.47231178069373</v>
      </c>
      <c r="AQ106" s="61">
        <f t="shared" si="79"/>
        <v>71.47231178069373</v>
      </c>
      <c r="AR106" s="61">
        <f t="shared" si="80"/>
        <v>40.937885173016092</v>
      </c>
      <c r="AS106" s="108">
        <f t="shared" si="81"/>
        <v>40.937885173016092</v>
      </c>
      <c r="AT106" s="18" t="str">
        <f t="shared" si="49"/>
        <v/>
      </c>
      <c r="AU106" s="19" t="str">
        <f t="shared" si="50"/>
        <v/>
      </c>
      <c r="AV106" s="19" t="str">
        <f t="shared" si="82"/>
        <v/>
      </c>
      <c r="AW106" s="19" t="str">
        <f t="shared" si="83"/>
        <v/>
      </c>
      <c r="AX106" s="19" t="str">
        <f t="shared" si="52"/>
        <v/>
      </c>
      <c r="AY106" s="323" t="str">
        <f t="shared" si="54"/>
        <v/>
      </c>
      <c r="AZ106" s="326">
        <f t="shared" si="53"/>
        <v>71.47231178069373</v>
      </c>
      <c r="BA106" s="323">
        <f t="shared" si="84"/>
        <v>71.47231178069373</v>
      </c>
      <c r="BB106" s="323">
        <f t="shared" si="133"/>
        <v>40.937885173016092</v>
      </c>
      <c r="BC106" s="327">
        <f t="shared" si="51"/>
        <v>40.937885173016092</v>
      </c>
      <c r="BD106" s="18" t="str">
        <f t="shared" si="85"/>
        <v/>
      </c>
      <c r="BE106" s="19" t="str">
        <f t="shared" si="86"/>
        <v/>
      </c>
      <c r="BF106" s="19" t="str">
        <f t="shared" si="87"/>
        <v/>
      </c>
      <c r="BG106" s="19" t="str">
        <f t="shared" si="88"/>
        <v/>
      </c>
      <c r="BH106" s="19" t="str">
        <f t="shared" si="89"/>
        <v/>
      </c>
      <c r="BI106" s="20" t="str">
        <f t="shared" si="90"/>
        <v/>
      </c>
      <c r="BJ106" s="744">
        <f t="shared" si="91"/>
        <v>2948256.1809065538</v>
      </c>
      <c r="BK106" s="321"/>
    </row>
    <row r="107" spans="1:63">
      <c r="A107">
        <v>652</v>
      </c>
      <c r="B107" s="88" t="s">
        <v>484</v>
      </c>
      <c r="D107" s="62" t="str">
        <f t="shared" si="57"/>
        <v>A</v>
      </c>
      <c r="E107">
        <f>IF(ISERROR(VLOOKUP(A107,Mandatory!A:A,1,FALSE)),0,1)</f>
        <v>0</v>
      </c>
      <c r="F107" s="54">
        <f>VLOOKUP(A107,'Front-loading'!A:AG,$F$6,FALSE)</f>
        <v>0</v>
      </c>
      <c r="G107" s="55">
        <f>VLOOKUP(A107,'Front-loading'!A:AG,$G$6,FALSE)</f>
        <v>4211</v>
      </c>
      <c r="H107" s="55">
        <f>VLOOKUP(A107,'Front-loading'!A:AG,$H$6,FALSE)</f>
        <v>1197</v>
      </c>
      <c r="I107" s="56">
        <f>VLOOKUP(A107,'Front-loading'!A:AG,$I$6,FALSE)</f>
        <v>13208</v>
      </c>
      <c r="J107" s="54">
        <f>VLOOKUP(A107,'Front-loading'!A:AG,$J$6,FALSE)</f>
        <v>0</v>
      </c>
      <c r="K107" s="55">
        <f>VLOOKUP(A107,'Front-loading'!A:AG,$K$6,FALSE)</f>
        <v>458474.44231293374</v>
      </c>
      <c r="L107" s="55">
        <f>VLOOKUP(A107,'Front-loading'!A:AG,$L$6,FALSE)</f>
        <v>20500.000281602821</v>
      </c>
      <c r="M107" s="56">
        <f>VLOOKUP(A107,'Front-loading'!A:AG,$M$6,FALSE)</f>
        <v>757431.7462545915</v>
      </c>
      <c r="N107" s="15">
        <f t="shared" si="55"/>
        <v>0</v>
      </c>
      <c r="O107" s="11">
        <f t="shared" si="55"/>
        <v>108.87543156327089</v>
      </c>
      <c r="P107" s="11">
        <f t="shared" si="55"/>
        <v>17.126148940353232</v>
      </c>
      <c r="Q107" s="12">
        <f t="shared" si="55"/>
        <v>57.346437481419706</v>
      </c>
      <c r="R107" s="99">
        <f t="shared" si="58"/>
        <v>17.126148940353232</v>
      </c>
      <c r="S107" s="100">
        <f t="shared" si="59"/>
        <v>108.87543156327089</v>
      </c>
      <c r="T107" s="100">
        <f t="shared" si="60"/>
        <v>17.126148940353232</v>
      </c>
      <c r="U107" s="100">
        <f t="shared" si="61"/>
        <v>57.346437481419706</v>
      </c>
      <c r="V107" s="95">
        <f t="shared" si="62"/>
        <v>17.126148940353232</v>
      </c>
      <c r="W107" s="96">
        <f t="shared" si="63"/>
        <v>108.87543156327089</v>
      </c>
      <c r="X107" s="96">
        <f t="shared" si="64"/>
        <v>17.126148940353232</v>
      </c>
      <c r="Y107" s="96">
        <f t="shared" si="65"/>
        <v>57.346437481419706</v>
      </c>
      <c r="Z107" s="60">
        <f t="shared" si="66"/>
        <v>17.126148940353232</v>
      </c>
      <c r="AA107" s="61">
        <f t="shared" si="67"/>
        <v>108.87543156327089</v>
      </c>
      <c r="AB107" s="61">
        <f t="shared" si="68"/>
        <v>17.126148940353232</v>
      </c>
      <c r="AC107" s="108">
        <f t="shared" si="69"/>
        <v>57.346437481419706</v>
      </c>
      <c r="AD107" s="61">
        <f t="shared" si="70"/>
        <v>108.87543156327089</v>
      </c>
      <c r="AE107" s="61">
        <f t="shared" si="71"/>
        <v>108.87543156327089</v>
      </c>
      <c r="AF107" s="61">
        <f t="shared" si="72"/>
        <v>54.004286465546294</v>
      </c>
      <c r="AG107" s="108">
        <f t="shared" si="73"/>
        <v>54.004286465546294</v>
      </c>
      <c r="AH107" s="61">
        <f t="shared" si="74"/>
        <v>108.87543156327089</v>
      </c>
      <c r="AI107" s="61">
        <f t="shared" si="75"/>
        <v>108.87543156327089</v>
      </c>
      <c r="AJ107" s="61">
        <f t="shared" si="76"/>
        <v>54.004286465546294</v>
      </c>
      <c r="AK107" s="61">
        <f t="shared" si="77"/>
        <v>54.004286465546294</v>
      </c>
      <c r="AL107" s="60">
        <f>IF($C107="",AH107,IF(AH107&gt;AH108,SUMPRODUCT(AH107:AH108,F107:F108)/SUM(F107:F108),AH107))</f>
        <v>108.87543156327089</v>
      </c>
      <c r="AM107" s="61">
        <f>IF($C107="",AI107,IF(AI107&gt;AI108,SUMPRODUCT(AI107:AI108,G107:G108)/SUM(G107:G108),AI107))</f>
        <v>108.87543156327089</v>
      </c>
      <c r="AN107" s="61">
        <f>IF($C107="",AJ107,IF(AJ107&gt;AJ108,SUMPRODUCT(AJ107:AJ108,H107:H108)/SUM(H107:H108),AJ107))</f>
        <v>54.004286465546294</v>
      </c>
      <c r="AO107" s="108">
        <f>IF($C107="",AK107,IF(AK107&gt;AK108,SUMPRODUCT(AK107:AK108,I107:I108)/SUM(I107:I108),AK107))</f>
        <v>54.004286465546294</v>
      </c>
      <c r="AP107" s="60">
        <f t="shared" si="78"/>
        <v>108.87543156327089</v>
      </c>
      <c r="AQ107" s="61">
        <f t="shared" si="79"/>
        <v>108.87543156327089</v>
      </c>
      <c r="AR107" s="61">
        <f t="shared" si="80"/>
        <v>54.004286465546294</v>
      </c>
      <c r="AS107" s="108">
        <f t="shared" si="81"/>
        <v>54.004286465546294</v>
      </c>
      <c r="AT107" s="18" t="str">
        <f t="shared" si="49"/>
        <v/>
      </c>
      <c r="AU107" s="19" t="str">
        <f t="shared" si="50"/>
        <v/>
      </c>
      <c r="AV107" s="19" t="str">
        <f t="shared" si="82"/>
        <v/>
      </c>
      <c r="AW107" s="19" t="str">
        <f t="shared" si="83"/>
        <v/>
      </c>
      <c r="AX107" s="19" t="str">
        <f t="shared" si="52"/>
        <v/>
      </c>
      <c r="AY107" s="323" t="str">
        <f t="shared" si="54"/>
        <v/>
      </c>
      <c r="AZ107" s="326">
        <f t="shared" si="53"/>
        <v>108.87543156327089</v>
      </c>
      <c r="BA107" s="323">
        <f t="shared" si="84"/>
        <v>108.87543156327089</v>
      </c>
      <c r="BB107" s="323">
        <f t="shared" si="133"/>
        <v>54.004286465546294</v>
      </c>
      <c r="BC107" s="327">
        <f t="shared" si="51"/>
        <v>54.004286465546294</v>
      </c>
      <c r="BD107" s="18" t="str">
        <f t="shared" si="85"/>
        <v/>
      </c>
      <c r="BE107" s="19" t="str">
        <f t="shared" si="86"/>
        <v/>
      </c>
      <c r="BF107" s="19" t="str">
        <f t="shared" si="87"/>
        <v/>
      </c>
      <c r="BG107" s="19" t="str">
        <f t="shared" si="88"/>
        <v/>
      </c>
      <c r="BH107" s="19" t="str">
        <f t="shared" si="89"/>
        <v/>
      </c>
      <c r="BI107" s="20" t="str">
        <f t="shared" si="90"/>
        <v/>
      </c>
      <c r="BJ107" s="744">
        <f t="shared" si="91"/>
        <v>1236406.1888491281</v>
      </c>
      <c r="BK107" s="321"/>
    </row>
    <row r="108" spans="1:63">
      <c r="A108">
        <v>653</v>
      </c>
      <c r="B108" s="88" t="s">
        <v>485</v>
      </c>
      <c r="D108" s="62" t="str">
        <f t="shared" si="57"/>
        <v>A</v>
      </c>
      <c r="E108">
        <f>IF(ISERROR(VLOOKUP(A108,Mandatory!A:A,1,FALSE)),0,1)</f>
        <v>0</v>
      </c>
      <c r="F108" s="54">
        <f>VLOOKUP(A108,'Front-loading'!A:AG,$F$6,FALSE)</f>
        <v>370</v>
      </c>
      <c r="G108" s="55">
        <f>VLOOKUP(A108,'Front-loading'!A:AG,$G$6,FALSE)</f>
        <v>13448</v>
      </c>
      <c r="H108" s="55">
        <f>VLOOKUP(A108,'Front-loading'!A:AG,$H$6,FALSE)</f>
        <v>3242</v>
      </c>
      <c r="I108" s="56">
        <f>VLOOKUP(A108,'Front-loading'!A:AG,$I$6,FALSE)</f>
        <v>82920</v>
      </c>
      <c r="J108" s="54">
        <f>VLOOKUP(A108,'Front-loading'!A:AG,$J$6,FALSE)</f>
        <v>132784.55068477109</v>
      </c>
      <c r="K108" s="55">
        <f>VLOOKUP(A108,'Front-loading'!A:AG,$K$6,FALSE)</f>
        <v>2030377.4133846008</v>
      </c>
      <c r="L108" s="55">
        <f>VLOOKUP(A108,'Front-loading'!A:AG,$L$6,FALSE)</f>
        <v>528150.65965806786</v>
      </c>
      <c r="M108" s="56">
        <f>VLOOKUP(A108,'Front-loading'!A:AG,$M$6,FALSE)</f>
        <v>3973865.0279998467</v>
      </c>
      <c r="N108" s="15">
        <f t="shared" si="55"/>
        <v>358.87716401289487</v>
      </c>
      <c r="O108" s="11">
        <f t="shared" si="55"/>
        <v>150.97987904406608</v>
      </c>
      <c r="P108" s="11">
        <f t="shared" si="55"/>
        <v>162.90890180693026</v>
      </c>
      <c r="Q108" s="12">
        <f t="shared" si="55"/>
        <v>47.924083791604517</v>
      </c>
      <c r="R108" s="99">
        <f t="shared" si="58"/>
        <v>358.87716401289487</v>
      </c>
      <c r="S108" s="100">
        <f t="shared" si="59"/>
        <v>150.97987904406608</v>
      </c>
      <c r="T108" s="100">
        <f t="shared" si="60"/>
        <v>162.90890180693026</v>
      </c>
      <c r="U108" s="100">
        <f t="shared" si="61"/>
        <v>47.924083791604517</v>
      </c>
      <c r="V108" s="95">
        <f t="shared" si="62"/>
        <v>358.87716401289487</v>
      </c>
      <c r="W108" s="96">
        <f t="shared" si="63"/>
        <v>150.97987904406608</v>
      </c>
      <c r="X108" s="96">
        <f t="shared" si="64"/>
        <v>162.90890180693026</v>
      </c>
      <c r="Y108" s="96">
        <f t="shared" si="65"/>
        <v>47.924083791604517</v>
      </c>
      <c r="Z108" s="60">
        <f t="shared" si="66"/>
        <v>358.87716401289487</v>
      </c>
      <c r="AA108" s="61">
        <f t="shared" si="67"/>
        <v>150.97987904406608</v>
      </c>
      <c r="AB108" s="61">
        <f t="shared" si="68"/>
        <v>162.90890180693026</v>
      </c>
      <c r="AC108" s="108">
        <f t="shared" si="69"/>
        <v>47.924083791604517</v>
      </c>
      <c r="AD108" s="61">
        <f t="shared" si="70"/>
        <v>358.87716401289487</v>
      </c>
      <c r="AE108" s="61">
        <f t="shared" si="71"/>
        <v>150.97987904406608</v>
      </c>
      <c r="AF108" s="61">
        <f t="shared" si="72"/>
        <v>162.90890180693026</v>
      </c>
      <c r="AG108" s="108">
        <f t="shared" si="73"/>
        <v>47.924083791604517</v>
      </c>
      <c r="AH108" s="61">
        <f t="shared" si="74"/>
        <v>304.92838512395991</v>
      </c>
      <c r="AI108" s="61">
        <f t="shared" si="75"/>
        <v>152.46419256197996</v>
      </c>
      <c r="AJ108" s="61">
        <f t="shared" si="76"/>
        <v>100.71172850561307</v>
      </c>
      <c r="AK108" s="61">
        <f t="shared" si="77"/>
        <v>50.355864252806533</v>
      </c>
      <c r="AL108" s="60">
        <f>IF($C108="",AH108,IF(AH107&gt;AH108,SUMPRODUCT(AH107:AH108,F107:F108)/SUM(F107:F108),AH108))</f>
        <v>304.92838512395991</v>
      </c>
      <c r="AM108" s="61">
        <f>IF($C108="",AI108,IF(AI107&gt;AI108,SUMPRODUCT(AI107:AI108,G107:G108)/SUM(G107:G108),AI108))</f>
        <v>152.46419256197996</v>
      </c>
      <c r="AN108" s="61">
        <f>IF($C108="",AJ108,IF(AJ107&gt;AJ108,SUMPRODUCT(AJ107:AJ108,H107:H108)/SUM(H107:H108),AJ108))</f>
        <v>100.71172850561307</v>
      </c>
      <c r="AO108" s="108">
        <f>IF($C108="",AK108,IF(AK107&gt;AK108,SUMPRODUCT(AK107:AK108,I107:I108)/SUM(I107:I108),AK108))</f>
        <v>50.355864252806533</v>
      </c>
      <c r="AP108" s="60">
        <f t="shared" si="78"/>
        <v>304.92838512395991</v>
      </c>
      <c r="AQ108" s="61">
        <f t="shared" si="79"/>
        <v>152.46419256197996</v>
      </c>
      <c r="AR108" s="61">
        <f t="shared" si="80"/>
        <v>100.71172850561307</v>
      </c>
      <c r="AS108" s="108">
        <f t="shared" si="81"/>
        <v>50.355864252806533</v>
      </c>
      <c r="AT108" s="18" t="str">
        <f t="shared" si="49"/>
        <v/>
      </c>
      <c r="AU108" s="19" t="str">
        <f t="shared" si="50"/>
        <v/>
      </c>
      <c r="AV108" s="19" t="str">
        <f t="shared" si="82"/>
        <v/>
      </c>
      <c r="AW108" s="19" t="str">
        <f t="shared" si="83"/>
        <v/>
      </c>
      <c r="AX108" s="19" t="str">
        <f t="shared" si="52"/>
        <v/>
      </c>
      <c r="AY108" s="323" t="str">
        <f t="shared" si="54"/>
        <v/>
      </c>
      <c r="AZ108" s="326">
        <f t="shared" si="53"/>
        <v>304.92838512395991</v>
      </c>
      <c r="BA108" s="323">
        <f t="shared" si="84"/>
        <v>152.46419256197996</v>
      </c>
      <c r="BB108" s="323">
        <f t="shared" si="133"/>
        <v>100.71172850561307</v>
      </c>
      <c r="BC108" s="327">
        <f t="shared" si="51"/>
        <v>50.355864252806533</v>
      </c>
      <c r="BD108" s="18" t="str">
        <f t="shared" si="85"/>
        <v/>
      </c>
      <c r="BE108" s="19" t="str">
        <f t="shared" si="86"/>
        <v/>
      </c>
      <c r="BF108" s="19" t="str">
        <f t="shared" si="87"/>
        <v/>
      </c>
      <c r="BG108" s="19" t="str">
        <f t="shared" si="88"/>
        <v/>
      </c>
      <c r="BH108" s="19" t="str">
        <f t="shared" si="89"/>
        <v/>
      </c>
      <c r="BI108" s="20" t="str">
        <f t="shared" si="90"/>
        <v/>
      </c>
      <c r="BJ108" s="744">
        <f t="shared" si="91"/>
        <v>6665177.6517272871</v>
      </c>
      <c r="BK108" s="321"/>
    </row>
    <row r="109" spans="1:63">
      <c r="A109">
        <v>654</v>
      </c>
      <c r="B109" s="88" t="s">
        <v>486</v>
      </c>
      <c r="D109" s="62" t="str">
        <f t="shared" si="57"/>
        <v>A</v>
      </c>
      <c r="E109">
        <f>IF(ISERROR(VLOOKUP(A109,Mandatory!A:A,1,FALSE)),0,1)</f>
        <v>0</v>
      </c>
      <c r="F109" s="54">
        <f>VLOOKUP(A109,'Front-loading'!A:AG,$F$6,FALSE)</f>
        <v>400</v>
      </c>
      <c r="G109" s="55">
        <f>VLOOKUP(A109,'Front-loading'!A:AG,$G$6,FALSE)</f>
        <v>12114</v>
      </c>
      <c r="H109" s="55">
        <f>VLOOKUP(A109,'Front-loading'!A:AG,$H$6,FALSE)</f>
        <v>3216</v>
      </c>
      <c r="I109" s="56">
        <f>VLOOKUP(A109,'Front-loading'!A:AG,$I$6,FALSE)</f>
        <v>19721</v>
      </c>
      <c r="J109" s="54">
        <f>VLOOKUP(A109,'Front-loading'!A:AG,$J$6,FALSE)</f>
        <v>10810.555415259751</v>
      </c>
      <c r="K109" s="55">
        <f>VLOOKUP(A109,'Front-loading'!A:AG,$K$6,FALSE)</f>
        <v>1204022.8076472429</v>
      </c>
      <c r="L109" s="55">
        <f>VLOOKUP(A109,'Front-loading'!A:AG,$L$6,FALSE)</f>
        <v>45854.764615243083</v>
      </c>
      <c r="M109" s="56">
        <f>VLOOKUP(A109,'Front-loading'!A:AG,$M$6,FALSE)</f>
        <v>1550634.1748639133</v>
      </c>
      <c r="N109" s="15">
        <f t="shared" si="55"/>
        <v>27.026388538149376</v>
      </c>
      <c r="O109" s="11">
        <f t="shared" si="55"/>
        <v>99.391019287373524</v>
      </c>
      <c r="P109" s="11">
        <f t="shared" si="55"/>
        <v>14.258322330610412</v>
      </c>
      <c r="Q109" s="12">
        <f t="shared" si="55"/>
        <v>78.628577397896322</v>
      </c>
      <c r="R109" s="99">
        <f t="shared" si="58"/>
        <v>27.026388538149376</v>
      </c>
      <c r="S109" s="100">
        <f t="shared" si="59"/>
        <v>99.391019287373524</v>
      </c>
      <c r="T109" s="100">
        <f t="shared" si="60"/>
        <v>14.258322330610412</v>
      </c>
      <c r="U109" s="100">
        <f t="shared" si="61"/>
        <v>78.628577397896322</v>
      </c>
      <c r="V109" s="95">
        <f t="shared" si="62"/>
        <v>27.026388538149376</v>
      </c>
      <c r="W109" s="96">
        <f t="shared" si="63"/>
        <v>99.391019287373524</v>
      </c>
      <c r="X109" s="96">
        <f t="shared" si="64"/>
        <v>14.258322330610412</v>
      </c>
      <c r="Y109" s="96">
        <f t="shared" si="65"/>
        <v>78.628577397896322</v>
      </c>
      <c r="Z109" s="60">
        <f t="shared" si="66"/>
        <v>27.026388538149376</v>
      </c>
      <c r="AA109" s="61">
        <f t="shared" si="67"/>
        <v>99.391019287373524</v>
      </c>
      <c r="AB109" s="61">
        <f t="shared" si="68"/>
        <v>14.258322330610412</v>
      </c>
      <c r="AC109" s="108">
        <f t="shared" si="69"/>
        <v>78.628577397896322</v>
      </c>
      <c r="AD109" s="61">
        <f t="shared" si="70"/>
        <v>97.077941750239944</v>
      </c>
      <c r="AE109" s="61">
        <f t="shared" si="71"/>
        <v>97.077941750239944</v>
      </c>
      <c r="AF109" s="61">
        <f t="shared" si="72"/>
        <v>69.603214870260118</v>
      </c>
      <c r="AG109" s="108">
        <f t="shared" si="73"/>
        <v>69.603214870260118</v>
      </c>
      <c r="AH109" s="61">
        <f t="shared" si="74"/>
        <v>97.077941750239944</v>
      </c>
      <c r="AI109" s="61">
        <f t="shared" si="75"/>
        <v>97.077941750239944</v>
      </c>
      <c r="AJ109" s="61">
        <f t="shared" si="76"/>
        <v>69.603214870260118</v>
      </c>
      <c r="AK109" s="61">
        <f t="shared" si="77"/>
        <v>69.603214870260118</v>
      </c>
      <c r="AL109" s="60">
        <f>IF($C109="",AH109,IF(AH109&gt;AH110,SUMPRODUCT(AH109:AH110,F109:F110)/SUM(F109:F110),AH109))</f>
        <v>97.077941750239944</v>
      </c>
      <c r="AM109" s="61">
        <f>IF($C109="",AI109,IF(AI109&gt;AI110,SUMPRODUCT(AI109:AI110,G109:G110)/SUM(G109:G110),AI109))</f>
        <v>97.077941750239944</v>
      </c>
      <c r="AN109" s="61">
        <f>IF($C109="",AJ109,IF(AJ109&gt;AJ110,SUMPRODUCT(AJ109:AJ110,H109:H110)/SUM(H109:H110),AJ109))</f>
        <v>69.603214870260118</v>
      </c>
      <c r="AO109" s="108">
        <f>IF($C109="",AK109,IF(AK109&gt;AK110,SUMPRODUCT(AK109:AK110,I109:I110)/SUM(I109:I110),AK109))</f>
        <v>69.603214870260118</v>
      </c>
      <c r="AP109" s="60">
        <f t="shared" si="78"/>
        <v>97.077941750239944</v>
      </c>
      <c r="AQ109" s="61">
        <f t="shared" si="79"/>
        <v>97.077941750239944</v>
      </c>
      <c r="AR109" s="61">
        <f t="shared" si="80"/>
        <v>69.603214870260118</v>
      </c>
      <c r="AS109" s="108">
        <f t="shared" si="81"/>
        <v>69.603214870260118</v>
      </c>
      <c r="AT109" s="18" t="str">
        <f t="shared" ref="AT109:AT119" si="175">IF(AP109&lt;AR109,AP109,"")</f>
        <v/>
      </c>
      <c r="AU109" s="19" t="str">
        <f t="shared" ref="AU109:AU119" si="176">IF(AQ109&lt;AS109,AQ109,"")</f>
        <v/>
      </c>
      <c r="AV109" s="19" t="str">
        <f t="shared" si="82"/>
        <v/>
      </c>
      <c r="AW109" s="19" t="str">
        <f t="shared" si="83"/>
        <v/>
      </c>
      <c r="AX109" s="19" t="str">
        <f t="shared" si="52"/>
        <v/>
      </c>
      <c r="AY109" s="323" t="str">
        <f t="shared" si="54"/>
        <v/>
      </c>
      <c r="AZ109" s="326">
        <f t="shared" si="53"/>
        <v>97.077941750239944</v>
      </c>
      <c r="BA109" s="323">
        <f t="shared" si="84"/>
        <v>97.077941750239944</v>
      </c>
      <c r="BB109" s="323">
        <f t="shared" si="133"/>
        <v>69.603214870260118</v>
      </c>
      <c r="BC109" s="327">
        <f t="shared" ref="BC109:BC119" si="177">IF(AU109="",AS109,AU109)</f>
        <v>69.603214870260118</v>
      </c>
      <c r="BD109" s="18" t="str">
        <f t="shared" si="85"/>
        <v/>
      </c>
      <c r="BE109" s="19" t="str">
        <f t="shared" si="86"/>
        <v/>
      </c>
      <c r="BF109" s="19" t="str">
        <f t="shared" si="87"/>
        <v/>
      </c>
      <c r="BG109" s="19" t="str">
        <f t="shared" si="88"/>
        <v/>
      </c>
      <c r="BH109" s="19" t="str">
        <f t="shared" si="89"/>
        <v/>
      </c>
      <c r="BI109" s="20" t="str">
        <f t="shared" si="90"/>
        <v/>
      </c>
      <c r="BJ109" s="744">
        <f t="shared" si="91"/>
        <v>2811322.3025416587</v>
      </c>
      <c r="BK109" s="321"/>
    </row>
    <row r="110" spans="1:63">
      <c r="A110">
        <v>655</v>
      </c>
      <c r="B110" s="88" t="s">
        <v>487</v>
      </c>
      <c r="D110" s="62" t="str">
        <f t="shared" si="57"/>
        <v>A</v>
      </c>
      <c r="E110">
        <f>IF(ISERROR(VLOOKUP(A110,Mandatory!A:A,1,FALSE)),0,1)</f>
        <v>0</v>
      </c>
      <c r="F110" s="54">
        <f>VLOOKUP(A110,'Front-loading'!A:AG,$F$6,FALSE)</f>
        <v>8</v>
      </c>
      <c r="G110" s="55">
        <f>VLOOKUP(A110,'Front-loading'!A:AG,$G$6,FALSE)</f>
        <v>17669</v>
      </c>
      <c r="H110" s="55">
        <f>VLOOKUP(A110,'Front-loading'!A:AG,$H$6,FALSE)</f>
        <v>203</v>
      </c>
      <c r="I110" s="56">
        <f>VLOOKUP(A110,'Front-loading'!A:AG,$I$6,FALSE)</f>
        <v>103237</v>
      </c>
      <c r="J110" s="54">
        <f>VLOOKUP(A110,'Front-loading'!A:AG,$J$6,FALSE)</f>
        <v>1852.1998345895101</v>
      </c>
      <c r="K110" s="55">
        <f>VLOOKUP(A110,'Front-loading'!A:AG,$K$6,FALSE)</f>
        <v>1938485.7131492167</v>
      </c>
      <c r="L110" s="55">
        <f>VLOOKUP(A110,'Front-loading'!A:AG,$L$6,FALSE)</f>
        <v>29608.561519811283</v>
      </c>
      <c r="M110" s="56">
        <f>VLOOKUP(A110,'Front-loading'!A:AG,$M$6,FALSE)</f>
        <v>4983124.0617912458</v>
      </c>
      <c r="N110" s="15">
        <f t="shared" si="55"/>
        <v>231.52497932368877</v>
      </c>
      <c r="O110" s="11">
        <f t="shared" si="55"/>
        <v>109.71111625724244</v>
      </c>
      <c r="P110" s="11">
        <f t="shared" si="55"/>
        <v>145.85498285621321</v>
      </c>
      <c r="Q110" s="12">
        <f t="shared" si="55"/>
        <v>48.268780202749461</v>
      </c>
      <c r="R110" s="99">
        <f t="shared" si="58"/>
        <v>149.10313438104643</v>
      </c>
      <c r="S110" s="100">
        <f t="shared" si="59"/>
        <v>109.71111625724244</v>
      </c>
      <c r="T110" s="100">
        <f t="shared" si="60"/>
        <v>149.10313438104643</v>
      </c>
      <c r="U110" s="100">
        <f t="shared" si="61"/>
        <v>48.268780202749461</v>
      </c>
      <c r="V110" s="95">
        <f t="shared" si="62"/>
        <v>149.10313438104643</v>
      </c>
      <c r="W110" s="96">
        <f t="shared" si="63"/>
        <v>109.71111625724244</v>
      </c>
      <c r="X110" s="96">
        <f t="shared" si="64"/>
        <v>149.10313438104643</v>
      </c>
      <c r="Y110" s="96">
        <f t="shared" si="65"/>
        <v>48.268780202749461</v>
      </c>
      <c r="Z110" s="60">
        <f t="shared" si="66"/>
        <v>149.10313438104643</v>
      </c>
      <c r="AA110" s="61">
        <f t="shared" si="67"/>
        <v>109.71111625724244</v>
      </c>
      <c r="AB110" s="61">
        <f t="shared" si="68"/>
        <v>149.10313438104643</v>
      </c>
      <c r="AC110" s="108">
        <f t="shared" si="69"/>
        <v>48.268780202749461</v>
      </c>
      <c r="AD110" s="61">
        <f t="shared" si="70"/>
        <v>149.10313438104643</v>
      </c>
      <c r="AE110" s="61">
        <f t="shared" si="71"/>
        <v>109.71111625724244</v>
      </c>
      <c r="AF110" s="61">
        <f t="shared" si="72"/>
        <v>149.10313438104643</v>
      </c>
      <c r="AG110" s="108">
        <f t="shared" si="73"/>
        <v>48.268780202749461</v>
      </c>
      <c r="AH110" s="61">
        <f t="shared" si="74"/>
        <v>149.10313438104643</v>
      </c>
      <c r="AI110" s="61">
        <f t="shared" si="75"/>
        <v>109.71111625724244</v>
      </c>
      <c r="AJ110" s="61">
        <f t="shared" si="76"/>
        <v>96.743475161286312</v>
      </c>
      <c r="AK110" s="61">
        <f t="shared" si="77"/>
        <v>48.371737580643156</v>
      </c>
      <c r="AL110" s="60">
        <f>IF($C110="",AH110,IF(AH109&gt;AH110,SUMPRODUCT(AH109:AH110,F109:F110)/SUM(F109:F110),AH110))</f>
        <v>149.10313438104643</v>
      </c>
      <c r="AM110" s="61">
        <f>IF($C110="",AI110,IF(AI109&gt;AI110,SUMPRODUCT(AI109:AI110,G109:G110)/SUM(G109:G110),AI110))</f>
        <v>109.71111625724244</v>
      </c>
      <c r="AN110" s="61">
        <f>IF($C110="",AJ110,IF(AJ109&gt;AJ110,SUMPRODUCT(AJ109:AJ110,H109:H110)/SUM(H109:H110),AJ110))</f>
        <v>96.743475161286312</v>
      </c>
      <c r="AO110" s="108">
        <f>IF($C110="",AK110,IF(AK109&gt;AK110,SUMPRODUCT(AK109:AK110,I109:I110)/SUM(I109:I110),AK110))</f>
        <v>48.371737580643156</v>
      </c>
      <c r="AP110" s="60">
        <f t="shared" si="78"/>
        <v>149.10313438104643</v>
      </c>
      <c r="AQ110" s="61">
        <f t="shared" si="79"/>
        <v>109.71111625724244</v>
      </c>
      <c r="AR110" s="61">
        <f t="shared" si="80"/>
        <v>96.743475161286312</v>
      </c>
      <c r="AS110" s="108">
        <f t="shared" si="81"/>
        <v>48.371737580643156</v>
      </c>
      <c r="AT110" s="18" t="str">
        <f t="shared" si="175"/>
        <v/>
      </c>
      <c r="AU110" s="19" t="str">
        <f t="shared" si="176"/>
        <v/>
      </c>
      <c r="AV110" s="19" t="str">
        <f t="shared" si="82"/>
        <v/>
      </c>
      <c r="AW110" s="19" t="str">
        <f t="shared" si="83"/>
        <v/>
      </c>
      <c r="AX110" s="19" t="str">
        <f t="shared" si="52"/>
        <v/>
      </c>
      <c r="AY110" s="323" t="str">
        <f t="shared" si="54"/>
        <v/>
      </c>
      <c r="AZ110" s="326">
        <f t="shared" si="53"/>
        <v>149.10313438104643</v>
      </c>
      <c r="BA110" s="323">
        <f t="shared" si="84"/>
        <v>109.71111625724244</v>
      </c>
      <c r="BB110" s="323">
        <f t="shared" si="133"/>
        <v>96.743475161286312</v>
      </c>
      <c r="BC110" s="327">
        <f t="shared" si="177"/>
        <v>48.371737580643156</v>
      </c>
      <c r="BD110" s="18" t="str">
        <f t="shared" si="85"/>
        <v/>
      </c>
      <c r="BE110" s="19" t="str">
        <f t="shared" si="86"/>
        <v/>
      </c>
      <c r="BF110" s="19" t="str">
        <f t="shared" si="87"/>
        <v/>
      </c>
      <c r="BG110" s="19" t="str">
        <f t="shared" si="88"/>
        <v/>
      </c>
      <c r="BH110" s="19" t="str">
        <f t="shared" si="89"/>
        <v/>
      </c>
      <c r="BI110" s="20" t="str">
        <f t="shared" si="90"/>
        <v/>
      </c>
      <c r="BJ110" s="744">
        <f t="shared" si="91"/>
        <v>6953070.5362948636</v>
      </c>
      <c r="BK110" s="321"/>
    </row>
    <row r="111" spans="1:63">
      <c r="A111">
        <v>800</v>
      </c>
      <c r="B111" s="88" t="s">
        <v>36</v>
      </c>
      <c r="D111" s="62" t="str">
        <f t="shared" si="57"/>
        <v>A</v>
      </c>
      <c r="E111">
        <f>IF(ISERROR(VLOOKUP(A111,Mandatory!A:A,1,FALSE)),0,1)</f>
        <v>1</v>
      </c>
      <c r="F111" s="54">
        <f>VLOOKUP(A111,'Front-loading'!A:AG,$F$6,FALSE)</f>
        <v>11208</v>
      </c>
      <c r="G111" s="55">
        <f>VLOOKUP(A111,'Front-loading'!A:AG,$G$6,FALSE)</f>
        <v>132585</v>
      </c>
      <c r="H111" s="55">
        <f>VLOOKUP(A111,'Front-loading'!A:AG,$H$6,FALSE)</f>
        <v>51082</v>
      </c>
      <c r="I111" s="56">
        <f>VLOOKUP(A111,'Front-loading'!A:AG,$I$6,FALSE)</f>
        <v>819677</v>
      </c>
      <c r="J111" s="54">
        <f>VLOOKUP(A111,'Front-loading'!A:AG,$J$6,FALSE)</f>
        <v>1796437.369112215</v>
      </c>
      <c r="K111" s="55">
        <f>VLOOKUP(A111,'Front-loading'!A:AG,$K$6,FALSE)</f>
        <v>28298613.003533974</v>
      </c>
      <c r="L111" s="55">
        <f>VLOOKUP(A111,'Front-loading'!A:AG,$L$6,FALSE)</f>
        <v>4227883.6772425957</v>
      </c>
      <c r="M111" s="56">
        <f>VLOOKUP(A111,'Front-loading'!A:AG,$M$6,FALSE)</f>
        <v>77517556.148177862</v>
      </c>
      <c r="N111" s="15">
        <f t="shared" si="55"/>
        <v>160.28170673734965</v>
      </c>
      <c r="O111" s="11">
        <f t="shared" si="55"/>
        <v>213.43751558271279</v>
      </c>
      <c r="P111" s="11">
        <f t="shared" si="55"/>
        <v>82.766604229329232</v>
      </c>
      <c r="Q111" s="12">
        <f t="shared" si="55"/>
        <v>94.570856749887895</v>
      </c>
      <c r="R111" s="99">
        <f t="shared" si="58"/>
        <v>160.28170673734965</v>
      </c>
      <c r="S111" s="100">
        <f t="shared" si="59"/>
        <v>213.43751558271279</v>
      </c>
      <c r="T111" s="100">
        <f t="shared" si="60"/>
        <v>82.766604229329232</v>
      </c>
      <c r="U111" s="100">
        <f t="shared" si="61"/>
        <v>94.570856749887895</v>
      </c>
      <c r="V111" s="95">
        <f t="shared" si="62"/>
        <v>160.28170673734965</v>
      </c>
      <c r="W111" s="96">
        <f t="shared" si="63"/>
        <v>213.43751558271279</v>
      </c>
      <c r="X111" s="96">
        <f t="shared" si="64"/>
        <v>82.766604229329232</v>
      </c>
      <c r="Y111" s="96">
        <f t="shared" si="65"/>
        <v>94.570856749887895</v>
      </c>
      <c r="Z111" s="60">
        <f t="shared" si="66"/>
        <v>160.28170673734965</v>
      </c>
      <c r="AA111" s="61">
        <f t="shared" si="67"/>
        <v>213.43751558271279</v>
      </c>
      <c r="AB111" s="61">
        <f t="shared" si="68"/>
        <v>82.766604229329232</v>
      </c>
      <c r="AC111" s="108">
        <f t="shared" si="69"/>
        <v>94.570856749887895</v>
      </c>
      <c r="AD111" s="61">
        <f t="shared" si="70"/>
        <v>209.29426587279067</v>
      </c>
      <c r="AE111" s="61">
        <f t="shared" si="71"/>
        <v>209.29426587279067</v>
      </c>
      <c r="AF111" s="61">
        <f t="shared" si="72"/>
        <v>93.878374872290095</v>
      </c>
      <c r="AG111" s="108">
        <f t="shared" si="73"/>
        <v>93.878374872290095</v>
      </c>
      <c r="AH111" s="61">
        <f t="shared" si="74"/>
        <v>209.29426587279067</v>
      </c>
      <c r="AI111" s="61">
        <f t="shared" si="75"/>
        <v>209.29426587279067</v>
      </c>
      <c r="AJ111" s="61">
        <f t="shared" si="76"/>
        <v>93.878374872290095</v>
      </c>
      <c r="AK111" s="61">
        <f t="shared" si="77"/>
        <v>93.878374872290095</v>
      </c>
      <c r="AL111" s="60">
        <f>IF($C111="",AH111,IF(AH111&gt;AH112,SUMPRODUCT(AH111:AH112,F111:F112)/SUM(F111:F112),AH111))</f>
        <v>209.29426587279067</v>
      </c>
      <c r="AM111" s="61">
        <f>IF($C111="",AI111,IF(AI111&gt;AI112,SUMPRODUCT(AI111:AI112,G111:G112)/SUM(G111:G112),AI111))</f>
        <v>209.29426587279067</v>
      </c>
      <c r="AN111" s="61">
        <f>IF($C111="",AJ111,IF(AJ111&gt;AJ112,SUMPRODUCT(AJ111:AJ112,H111:H112)/SUM(H111:H112),AJ111))</f>
        <v>93.878374872290095</v>
      </c>
      <c r="AO111" s="108">
        <f>IF($C111="",AK111,IF(AK111&gt;AK112,SUMPRODUCT(AK111:AK112,I111:I112)/SUM(I111:I112),AK111))</f>
        <v>93.878374872290095</v>
      </c>
      <c r="AP111" s="60">
        <f t="shared" si="78"/>
        <v>209.29426587279067</v>
      </c>
      <c r="AQ111" s="61">
        <f t="shared" si="79"/>
        <v>209.29426587279067</v>
      </c>
      <c r="AR111" s="61">
        <f t="shared" si="80"/>
        <v>93.878374872290095</v>
      </c>
      <c r="AS111" s="108">
        <f t="shared" si="81"/>
        <v>93.878374872290095</v>
      </c>
      <c r="AT111" s="18" t="str">
        <f t="shared" si="175"/>
        <v/>
      </c>
      <c r="AU111" s="19" t="str">
        <f t="shared" si="176"/>
        <v/>
      </c>
      <c r="AV111" s="19" t="str">
        <f t="shared" si="82"/>
        <v/>
      </c>
      <c r="AW111" s="19" t="str">
        <f t="shared" si="83"/>
        <v/>
      </c>
      <c r="AX111" s="19" t="str">
        <f t="shared" si="52"/>
        <v/>
      </c>
      <c r="AY111" s="323" t="str">
        <f t="shared" si="54"/>
        <v/>
      </c>
      <c r="AZ111" s="326">
        <f t="shared" si="53"/>
        <v>209.29426587279067</v>
      </c>
      <c r="BA111" s="323">
        <f t="shared" si="84"/>
        <v>209.29426587279067</v>
      </c>
      <c r="BB111" s="323">
        <f t="shared" si="133"/>
        <v>93.878374872290095</v>
      </c>
      <c r="BC111" s="327">
        <f t="shared" si="177"/>
        <v>93.878374872290095</v>
      </c>
      <c r="BD111" s="18" t="str">
        <f t="shared" si="85"/>
        <v/>
      </c>
      <c r="BE111" s="19" t="str">
        <f t="shared" si="86"/>
        <v/>
      </c>
      <c r="BF111" s="19" t="str">
        <f t="shared" si="87"/>
        <v/>
      </c>
      <c r="BG111" s="19" t="str">
        <f t="shared" si="88"/>
        <v/>
      </c>
      <c r="BH111" s="19" t="str">
        <f t="shared" si="89"/>
        <v/>
      </c>
      <c r="BI111" s="20" t="str">
        <f t="shared" si="90"/>
        <v/>
      </c>
      <c r="BJ111" s="744">
        <f t="shared" si="91"/>
        <v>111840490.19806664</v>
      </c>
      <c r="BK111" s="321"/>
    </row>
    <row r="112" spans="1:63">
      <c r="A112">
        <v>812</v>
      </c>
      <c r="B112" s="88" t="s">
        <v>37</v>
      </c>
      <c r="D112" s="62" t="str">
        <f t="shared" si="57"/>
        <v>A</v>
      </c>
      <c r="E112">
        <f>IF(ISERROR(VLOOKUP(A112,Mandatory!A:A,1,FALSE)),0,1)</f>
        <v>0</v>
      </c>
      <c r="F112" s="54">
        <f>VLOOKUP(A112,'Front-loading'!A:AG,$F$6,FALSE)</f>
        <v>0</v>
      </c>
      <c r="G112" s="55">
        <f>VLOOKUP(A112,'Front-loading'!A:AG,$G$6,FALSE)</f>
        <v>52186</v>
      </c>
      <c r="H112" s="55">
        <f>VLOOKUP(A112,'Front-loading'!A:AG,$H$6,FALSE)</f>
        <v>2</v>
      </c>
      <c r="I112" s="56">
        <f>VLOOKUP(A112,'Front-loading'!A:AG,$I$6,FALSE)</f>
        <v>43829</v>
      </c>
      <c r="J112" s="54">
        <f>VLOOKUP(A112,'Front-loading'!A:AG,$J$6,FALSE)</f>
        <v>0</v>
      </c>
      <c r="K112" s="55">
        <f>VLOOKUP(A112,'Front-loading'!A:AG,$K$6,FALSE)</f>
        <v>1542005.498391438</v>
      </c>
      <c r="L112" s="55">
        <f>VLOOKUP(A112,'Front-loading'!A:AG,$L$6,FALSE)</f>
        <v>173.04850999121851</v>
      </c>
      <c r="M112" s="56">
        <f>VLOOKUP(A112,'Front-loading'!A:AG,$M$6,FALSE)</f>
        <v>1663601.9763846421</v>
      </c>
      <c r="N112" s="15">
        <f t="shared" si="55"/>
        <v>0</v>
      </c>
      <c r="O112" s="11">
        <f t="shared" si="55"/>
        <v>29.548260038926877</v>
      </c>
      <c r="P112" s="11">
        <f t="shared" si="55"/>
        <v>86.524254995609255</v>
      </c>
      <c r="Q112" s="12">
        <f t="shared" si="55"/>
        <v>37.956649168008447</v>
      </c>
      <c r="R112" s="99">
        <f t="shared" si="58"/>
        <v>86.524254995609255</v>
      </c>
      <c r="S112" s="100">
        <f t="shared" si="59"/>
        <v>29.548260038926877</v>
      </c>
      <c r="T112" s="100">
        <f t="shared" si="60"/>
        <v>86.524254995609255</v>
      </c>
      <c r="U112" s="100">
        <f t="shared" si="61"/>
        <v>37.956649168008447</v>
      </c>
      <c r="V112" s="95">
        <f t="shared" si="62"/>
        <v>86.524254995609255</v>
      </c>
      <c r="W112" s="96">
        <f t="shared" si="63"/>
        <v>29.548260038926877</v>
      </c>
      <c r="X112" s="96">
        <f t="shared" si="64"/>
        <v>86.524254995609255</v>
      </c>
      <c r="Y112" s="96">
        <f t="shared" si="65"/>
        <v>37.956649168008447</v>
      </c>
      <c r="Z112" s="60">
        <f t="shared" si="66"/>
        <v>86.524254995609255</v>
      </c>
      <c r="AA112" s="61">
        <f t="shared" si="67"/>
        <v>33.386527883935642</v>
      </c>
      <c r="AB112" s="61">
        <f t="shared" si="68"/>
        <v>86.524254995609255</v>
      </c>
      <c r="AC112" s="108">
        <f t="shared" si="69"/>
        <v>33.386527883935642</v>
      </c>
      <c r="AD112" s="61">
        <f t="shared" si="70"/>
        <v>86.524254995609255</v>
      </c>
      <c r="AE112" s="61">
        <f t="shared" si="71"/>
        <v>33.386527883935642</v>
      </c>
      <c r="AF112" s="61">
        <f t="shared" si="72"/>
        <v>86.524254995609255</v>
      </c>
      <c r="AG112" s="108">
        <f t="shared" si="73"/>
        <v>33.386527883935642</v>
      </c>
      <c r="AH112" s="61">
        <f t="shared" si="74"/>
        <v>66.773055767871284</v>
      </c>
      <c r="AI112" s="61">
        <f t="shared" si="75"/>
        <v>33.386527883935642</v>
      </c>
      <c r="AJ112" s="61">
        <f t="shared" si="76"/>
        <v>66.77485817238184</v>
      </c>
      <c r="AK112" s="61">
        <f t="shared" si="77"/>
        <v>33.38742908619092</v>
      </c>
      <c r="AL112" s="60">
        <f>IF($C112="",AH112,IF(AH111&gt;AH112,SUMPRODUCT(AH111:AH112,F111:F112)/SUM(F111:F112),AH112))</f>
        <v>66.773055767871284</v>
      </c>
      <c r="AM112" s="61">
        <f>IF($C112="",AI112,IF(AI111&gt;AI112,SUMPRODUCT(AI111:AI112,G111:G112)/SUM(G111:G112),AI112))</f>
        <v>33.386527883935642</v>
      </c>
      <c r="AN112" s="61">
        <f>IF($C112="",AJ112,IF(AJ111&gt;AJ112,SUMPRODUCT(AJ111:AJ112,H111:H112)/SUM(H111:H112),AJ112))</f>
        <v>66.77485817238184</v>
      </c>
      <c r="AO112" s="108">
        <f>IF($C112="",AK112,IF(AK111&gt;AK112,SUMPRODUCT(AK111:AK112,I111:I112)/SUM(I111:I112),AK112))</f>
        <v>33.38742908619092</v>
      </c>
      <c r="AP112" s="60">
        <f t="shared" si="78"/>
        <v>66.773055767871284</v>
      </c>
      <c r="AQ112" s="61">
        <f t="shared" si="79"/>
        <v>33.386527883935642</v>
      </c>
      <c r="AR112" s="61">
        <f t="shared" si="80"/>
        <v>66.77485817238184</v>
      </c>
      <c r="AS112" s="108">
        <f t="shared" si="81"/>
        <v>33.38742908619092</v>
      </c>
      <c r="AT112" s="18">
        <f t="shared" si="175"/>
        <v>66.773055767871284</v>
      </c>
      <c r="AU112" s="19">
        <f t="shared" si="176"/>
        <v>33.386527883935642</v>
      </c>
      <c r="AV112" s="19" t="str">
        <f t="shared" si="82"/>
        <v/>
      </c>
      <c r="AW112" s="19" t="str">
        <f t="shared" si="83"/>
        <v/>
      </c>
      <c r="AX112" s="19" t="str">
        <f t="shared" si="52"/>
        <v/>
      </c>
      <c r="AY112" s="323" t="str">
        <f t="shared" si="54"/>
        <v/>
      </c>
      <c r="AZ112" s="326">
        <f t="shared" si="53"/>
        <v>66.773055767871284</v>
      </c>
      <c r="BA112" s="323">
        <f t="shared" si="84"/>
        <v>33.386527883935642</v>
      </c>
      <c r="BB112" s="323">
        <f t="shared" si="133"/>
        <v>66.773055767871284</v>
      </c>
      <c r="BC112" s="327">
        <f t="shared" si="177"/>
        <v>33.386527883935642</v>
      </c>
      <c r="BD112" s="18" t="str">
        <f t="shared" si="85"/>
        <v/>
      </c>
      <c r="BE112" s="19" t="str">
        <f t="shared" si="86"/>
        <v/>
      </c>
      <c r="BF112" s="19" t="str">
        <f t="shared" si="87"/>
        <v/>
      </c>
      <c r="BG112" s="19" t="str">
        <f t="shared" si="88"/>
        <v/>
      </c>
      <c r="BH112" s="19" t="str">
        <f t="shared" si="89"/>
        <v/>
      </c>
      <c r="BI112" s="20" t="str">
        <f t="shared" si="90"/>
        <v/>
      </c>
      <c r="BJ112" s="744">
        <f t="shared" si="91"/>
        <v>3205741.0208876166</v>
      </c>
      <c r="BK112" s="321"/>
    </row>
    <row r="113" spans="1:63">
      <c r="A113">
        <v>822</v>
      </c>
      <c r="B113" s="88" t="s">
        <v>488</v>
      </c>
      <c r="D113" s="62" t="str">
        <f t="shared" si="57"/>
        <v>A</v>
      </c>
      <c r="E113">
        <f>IF(ISERROR(VLOOKUP(A113,Mandatory!A:A,1,FALSE)),0,1)</f>
        <v>0</v>
      </c>
      <c r="F113" s="54">
        <f>VLOOKUP(A113,'Front-loading'!A:AG,$F$6,FALSE)</f>
        <v>145</v>
      </c>
      <c r="G113" s="55">
        <f>VLOOKUP(A113,'Front-loading'!A:AG,$G$6,FALSE)</f>
        <v>16925</v>
      </c>
      <c r="H113" s="55">
        <f>VLOOKUP(A113,'Front-loading'!A:AG,$H$6,FALSE)</f>
        <v>638</v>
      </c>
      <c r="I113" s="56">
        <f>VLOOKUP(A113,'Front-loading'!A:AG,$I$6,FALSE)</f>
        <v>40294</v>
      </c>
      <c r="J113" s="54">
        <f>VLOOKUP(A113,'Front-loading'!A:AG,$J$6,FALSE)</f>
        <v>32793.036856248269</v>
      </c>
      <c r="K113" s="55">
        <f>VLOOKUP(A113,'Front-loading'!A:AG,$K$6,FALSE)</f>
        <v>1350470.8397268937</v>
      </c>
      <c r="L113" s="55">
        <f>VLOOKUP(A113,'Front-loading'!A:AG,$L$6,FALSE)</f>
        <v>75296.995263526231</v>
      </c>
      <c r="M113" s="56">
        <f>VLOOKUP(A113,'Front-loading'!A:AG,$M$6,FALSE)</f>
        <v>2116147.8404434328</v>
      </c>
      <c r="N113" s="15">
        <f t="shared" si="55"/>
        <v>226.15887487067772</v>
      </c>
      <c r="O113" s="11">
        <f t="shared" si="55"/>
        <v>79.791482406315723</v>
      </c>
      <c r="P113" s="11">
        <f t="shared" si="55"/>
        <v>118.02036875160852</v>
      </c>
      <c r="Q113" s="12">
        <f t="shared" si="55"/>
        <v>52.517690982365437</v>
      </c>
      <c r="R113" s="99">
        <f t="shared" si="58"/>
        <v>226.15887487067772</v>
      </c>
      <c r="S113" s="100">
        <f t="shared" si="59"/>
        <v>79.791482406315723</v>
      </c>
      <c r="T113" s="100">
        <f t="shared" si="60"/>
        <v>118.02036875160852</v>
      </c>
      <c r="U113" s="100">
        <f t="shared" si="61"/>
        <v>52.517690982365437</v>
      </c>
      <c r="V113" s="95">
        <f t="shared" si="62"/>
        <v>226.15887487067772</v>
      </c>
      <c r="W113" s="96">
        <f t="shared" si="63"/>
        <v>79.791482406315723</v>
      </c>
      <c r="X113" s="96">
        <f t="shared" si="64"/>
        <v>118.02036875160852</v>
      </c>
      <c r="Y113" s="96">
        <f t="shared" si="65"/>
        <v>52.517690982365437</v>
      </c>
      <c r="Z113" s="60">
        <f t="shared" si="66"/>
        <v>226.15887487067772</v>
      </c>
      <c r="AA113" s="61">
        <f t="shared" si="67"/>
        <v>79.791482406315723</v>
      </c>
      <c r="AB113" s="61">
        <f t="shared" si="68"/>
        <v>118.02036875160852</v>
      </c>
      <c r="AC113" s="108">
        <f t="shared" si="69"/>
        <v>52.517690982365437</v>
      </c>
      <c r="AD113" s="61">
        <f t="shared" si="70"/>
        <v>226.15887487067772</v>
      </c>
      <c r="AE113" s="61">
        <f t="shared" si="71"/>
        <v>79.791482406315723</v>
      </c>
      <c r="AF113" s="61">
        <f t="shared" si="72"/>
        <v>118.02036875160852</v>
      </c>
      <c r="AG113" s="108">
        <f t="shared" si="73"/>
        <v>52.517690982365437</v>
      </c>
      <c r="AH113" s="61">
        <f t="shared" si="74"/>
        <v>160.70448754959534</v>
      </c>
      <c r="AI113" s="61">
        <f t="shared" si="75"/>
        <v>80.352243774797671</v>
      </c>
      <c r="AJ113" s="61">
        <f t="shared" si="76"/>
        <v>105.43395889857874</v>
      </c>
      <c r="AK113" s="61">
        <f t="shared" si="77"/>
        <v>52.716979449289369</v>
      </c>
      <c r="AL113" s="60">
        <f>IF($C113="",AH113,IF(AH113&gt;AH114,SUMPRODUCT(AH113:AH114,F113:F114)/SUM(F113:F114),AH113))</f>
        <v>160.70448754959534</v>
      </c>
      <c r="AM113" s="61">
        <f>IF($C113="",AI113,IF(AI113&gt;AI114,SUMPRODUCT(AI113:AI114,G113:G114)/SUM(G113:G114),AI113))</f>
        <v>80.352243774797671</v>
      </c>
      <c r="AN113" s="61">
        <f>IF($C113="",AJ113,IF(AJ113&gt;AJ114,SUMPRODUCT(AJ113:AJ114,H113:H114)/SUM(H113:H114),AJ113))</f>
        <v>105.43395889857874</v>
      </c>
      <c r="AO113" s="108">
        <f>IF($C113="",AK113,IF(AK113&gt;AK114,SUMPRODUCT(AK113:AK114,I113:I114)/SUM(I113:I114),AK113))</f>
        <v>52.716979449289369</v>
      </c>
      <c r="AP113" s="60">
        <f t="shared" si="78"/>
        <v>160.70448754959534</v>
      </c>
      <c r="AQ113" s="61">
        <f t="shared" si="79"/>
        <v>80.352243774797671</v>
      </c>
      <c r="AR113" s="61">
        <f t="shared" si="80"/>
        <v>105.43395889857874</v>
      </c>
      <c r="AS113" s="108">
        <f t="shared" si="81"/>
        <v>52.716979449289369</v>
      </c>
      <c r="AT113" s="18" t="str">
        <f t="shared" si="175"/>
        <v/>
      </c>
      <c r="AU113" s="19" t="str">
        <f t="shared" si="176"/>
        <v/>
      </c>
      <c r="AV113" s="19" t="str">
        <f t="shared" si="82"/>
        <v/>
      </c>
      <c r="AW113" s="19" t="str">
        <f t="shared" si="83"/>
        <v/>
      </c>
      <c r="AX113" s="19" t="str">
        <f t="shared" si="52"/>
        <v/>
      </c>
      <c r="AY113" s="323" t="str">
        <f t="shared" si="54"/>
        <v/>
      </c>
      <c r="AZ113" s="326">
        <f t="shared" si="53"/>
        <v>160.70448754959534</v>
      </c>
      <c r="BA113" s="323">
        <f t="shared" si="84"/>
        <v>80.352243774797671</v>
      </c>
      <c r="BB113" s="323">
        <f t="shared" si="133"/>
        <v>105.43395889857874</v>
      </c>
      <c r="BC113" s="327">
        <f t="shared" si="177"/>
        <v>52.716979449289369</v>
      </c>
      <c r="BD113" s="18" t="str">
        <f t="shared" si="85"/>
        <v/>
      </c>
      <c r="BE113" s="19" t="str">
        <f t="shared" si="86"/>
        <v/>
      </c>
      <c r="BF113" s="19" t="str">
        <f t="shared" si="87"/>
        <v/>
      </c>
      <c r="BG113" s="19" t="str">
        <f t="shared" si="88"/>
        <v/>
      </c>
      <c r="BH113" s="19" t="str">
        <f t="shared" si="89"/>
        <v/>
      </c>
      <c r="BI113" s="20" t="str">
        <f t="shared" si="90"/>
        <v/>
      </c>
      <c r="BJ113" s="744">
        <f t="shared" si="91"/>
        <v>3574708.7122901008</v>
      </c>
      <c r="BK113" s="321"/>
    </row>
    <row r="114" spans="1:63">
      <c r="A114">
        <v>840</v>
      </c>
      <c r="B114" s="88" t="s">
        <v>489</v>
      </c>
      <c r="D114" s="62" t="str">
        <f t="shared" si="57"/>
        <v>A</v>
      </c>
      <c r="E114">
        <f>IF(ISERROR(VLOOKUP(A114,Mandatory!A:A,1,FALSE)),0,1)</f>
        <v>0</v>
      </c>
      <c r="F114" s="54">
        <f>VLOOKUP(A114,'Front-loading'!A:AG,$F$6,FALSE)</f>
        <v>24</v>
      </c>
      <c r="G114" s="55">
        <f>VLOOKUP(A114,'Front-loading'!A:AG,$G$6,FALSE)</f>
        <v>8598</v>
      </c>
      <c r="H114" s="55">
        <f>VLOOKUP(A114,'Front-loading'!A:AG,$H$6,FALSE)</f>
        <v>13</v>
      </c>
      <c r="I114" s="56">
        <f>VLOOKUP(A114,'Front-loading'!A:AG,$I$6,FALSE)</f>
        <v>33724</v>
      </c>
      <c r="J114" s="54">
        <f>VLOOKUP(A114,'Front-loading'!A:AG,$J$6,FALSE)</f>
        <v>280.20546763184893</v>
      </c>
      <c r="K114" s="55">
        <f>VLOOKUP(A114,'Front-loading'!A:AG,$K$6,FALSE)</f>
        <v>749804.06683516304</v>
      </c>
      <c r="L114" s="55">
        <f>VLOOKUP(A114,'Front-loading'!A:AG,$L$6,FALSE)</f>
        <v>204.4677418241931</v>
      </c>
      <c r="M114" s="56">
        <f>VLOOKUP(A114,'Front-loading'!A:AG,$M$6,FALSE)</f>
        <v>1492819.0999995703</v>
      </c>
      <c r="N114" s="15">
        <f t="shared" si="55"/>
        <v>11.675227817993706</v>
      </c>
      <c r="O114" s="11">
        <f t="shared" si="55"/>
        <v>87.206800050612131</v>
      </c>
      <c r="P114" s="11">
        <f t="shared" si="55"/>
        <v>15.728287832630238</v>
      </c>
      <c r="Q114" s="12">
        <f t="shared" si="55"/>
        <v>44.265778080879201</v>
      </c>
      <c r="R114" s="99">
        <f t="shared" si="58"/>
        <v>13.09927593124438</v>
      </c>
      <c r="S114" s="100">
        <f t="shared" si="59"/>
        <v>87.206800050612131</v>
      </c>
      <c r="T114" s="100">
        <f t="shared" si="60"/>
        <v>13.09927593124438</v>
      </c>
      <c r="U114" s="100">
        <f t="shared" si="61"/>
        <v>44.265778080879201</v>
      </c>
      <c r="V114" s="95">
        <f t="shared" si="62"/>
        <v>13.09927593124438</v>
      </c>
      <c r="W114" s="96">
        <f t="shared" si="63"/>
        <v>87.206800050612131</v>
      </c>
      <c r="X114" s="96">
        <f t="shared" si="64"/>
        <v>13.09927593124438</v>
      </c>
      <c r="Y114" s="96">
        <f t="shared" si="65"/>
        <v>44.265778080879201</v>
      </c>
      <c r="Z114" s="60">
        <f t="shared" si="66"/>
        <v>13.09927593124438</v>
      </c>
      <c r="AA114" s="61">
        <f t="shared" si="67"/>
        <v>87.206800050612131</v>
      </c>
      <c r="AB114" s="61">
        <f t="shared" si="68"/>
        <v>13.09927593124438</v>
      </c>
      <c r="AC114" s="108">
        <f t="shared" si="69"/>
        <v>44.265778080879201</v>
      </c>
      <c r="AD114" s="61">
        <f t="shared" si="70"/>
        <v>87.000516058630595</v>
      </c>
      <c r="AE114" s="61">
        <f t="shared" si="71"/>
        <v>87.000516058630595</v>
      </c>
      <c r="AF114" s="61">
        <f t="shared" si="72"/>
        <v>44.25376858009534</v>
      </c>
      <c r="AG114" s="108">
        <f t="shared" si="73"/>
        <v>44.25376858009534</v>
      </c>
      <c r="AH114" s="61">
        <f t="shared" si="74"/>
        <v>87.000516058630595</v>
      </c>
      <c r="AI114" s="61">
        <f t="shared" si="75"/>
        <v>87.000516058630595</v>
      </c>
      <c r="AJ114" s="61">
        <f t="shared" si="76"/>
        <v>44.25376858009534</v>
      </c>
      <c r="AK114" s="61">
        <f t="shared" si="77"/>
        <v>44.25376858009534</v>
      </c>
      <c r="AL114" s="60">
        <f>IF($C114="",AH114,IF(AH113&gt;AH114,SUMPRODUCT(AH113:AH114,F113:F114)/SUM(F113:F114),AH114))</f>
        <v>87.000516058630595</v>
      </c>
      <c r="AM114" s="61">
        <f>IF($C114="",AI114,IF(AI113&gt;AI114,SUMPRODUCT(AI113:AI114,G113:G114)/SUM(G113:G114),AI114))</f>
        <v>87.000516058630595</v>
      </c>
      <c r="AN114" s="61">
        <f>IF($C114="",AJ114,IF(AJ113&gt;AJ114,SUMPRODUCT(AJ113:AJ114,H113:H114)/SUM(H113:H114),AJ114))</f>
        <v>44.25376858009534</v>
      </c>
      <c r="AO114" s="108">
        <f>IF($C114="",AK114,IF(AK113&gt;AK114,SUMPRODUCT(AK113:AK114,I113:I114)/SUM(I113:I114),AK114))</f>
        <v>44.25376858009534</v>
      </c>
      <c r="AP114" s="60">
        <f t="shared" si="78"/>
        <v>87.000516058630595</v>
      </c>
      <c r="AQ114" s="61">
        <f t="shared" si="79"/>
        <v>87.000516058630595</v>
      </c>
      <c r="AR114" s="61">
        <f t="shared" si="80"/>
        <v>44.25376858009534</v>
      </c>
      <c r="AS114" s="108">
        <f t="shared" si="81"/>
        <v>44.25376858009534</v>
      </c>
      <c r="AT114" s="18" t="str">
        <f t="shared" si="175"/>
        <v/>
      </c>
      <c r="AU114" s="19" t="str">
        <f t="shared" si="176"/>
        <v/>
      </c>
      <c r="AV114" s="19" t="str">
        <f t="shared" si="82"/>
        <v/>
      </c>
      <c r="AW114" s="19" t="str">
        <f t="shared" si="83"/>
        <v/>
      </c>
      <c r="AX114" s="19" t="str">
        <f t="shared" si="52"/>
        <v/>
      </c>
      <c r="AY114" s="323" t="str">
        <f t="shared" si="54"/>
        <v/>
      </c>
      <c r="AZ114" s="326">
        <f t="shared" si="53"/>
        <v>87.000516058630595</v>
      </c>
      <c r="BA114" s="323">
        <f t="shared" si="84"/>
        <v>87.000516058630595</v>
      </c>
      <c r="BB114" s="323">
        <f t="shared" si="133"/>
        <v>44.25376858009534</v>
      </c>
      <c r="BC114" s="327">
        <f t="shared" si="177"/>
        <v>44.25376858009534</v>
      </c>
      <c r="BD114" s="18" t="str">
        <f t="shared" si="85"/>
        <v/>
      </c>
      <c r="BE114" s="19" t="str">
        <f t="shared" si="86"/>
        <v/>
      </c>
      <c r="BF114" s="19" t="str">
        <f t="shared" si="87"/>
        <v/>
      </c>
      <c r="BG114" s="19" t="str">
        <f t="shared" si="88"/>
        <v/>
      </c>
      <c r="BH114" s="19" t="str">
        <f t="shared" si="89"/>
        <v/>
      </c>
      <c r="BI114" s="20" t="str">
        <f t="shared" si="90"/>
        <v/>
      </c>
      <c r="BJ114" s="744">
        <f t="shared" si="91"/>
        <v>2243107.8400441892</v>
      </c>
      <c r="BK114" s="321"/>
    </row>
    <row r="115" spans="1:63">
      <c r="A115">
        <v>142</v>
      </c>
      <c r="B115" s="88" t="s">
        <v>448</v>
      </c>
      <c r="D115" s="62" t="str">
        <f t="shared" si="57"/>
        <v>C</v>
      </c>
      <c r="E115">
        <f>IF(ISERROR(VLOOKUP(A115,Mandatory!A:A,1,FALSE)),0,1)</f>
        <v>0</v>
      </c>
      <c r="F115" s="54">
        <f>VLOOKUP(A115,'Front-loading'!A:AG,$F$6,FALSE)</f>
        <v>92</v>
      </c>
      <c r="G115" s="55">
        <f>VLOOKUP(A115,'Front-loading'!A:AG,$G$6,FALSE)</f>
        <v>21322</v>
      </c>
      <c r="H115" s="55">
        <f>VLOOKUP(A115,'Front-loading'!A:AG,$H$6,FALSE)</f>
        <v>198</v>
      </c>
      <c r="I115" s="56">
        <f>VLOOKUP(A115,'Front-loading'!A:AG,$I$6,FALSE)</f>
        <v>52632</v>
      </c>
      <c r="J115" s="54">
        <f>VLOOKUP(A115,'Front-loading'!A:AG,$J$6,FALSE)</f>
        <v>9482.62666118384</v>
      </c>
      <c r="K115" s="55">
        <f>VLOOKUP(A115,'Front-loading'!A:AG,$K$6,FALSE)</f>
        <v>2543647.2761697304</v>
      </c>
      <c r="L115" s="55">
        <f>VLOOKUP(A115,'Front-loading'!A:AG,$L$6,FALSE)</f>
        <v>9089.8182209048409</v>
      </c>
      <c r="M115" s="56">
        <f>VLOOKUP(A115,'Front-loading'!A:AG,$M$6,FALSE)</f>
        <v>4250244.1472603874</v>
      </c>
      <c r="N115" s="15">
        <f t="shared" si="55"/>
        <v>103.07202892591131</v>
      </c>
      <c r="O115" s="11">
        <f t="shared" si="55"/>
        <v>119.29684251804382</v>
      </c>
      <c r="P115" s="11">
        <f t="shared" si="55"/>
        <v>45.908172832852735</v>
      </c>
      <c r="Q115" s="12">
        <f t="shared" si="55"/>
        <v>80.75399276600524</v>
      </c>
      <c r="R115" s="99">
        <f t="shared" si="58"/>
        <v>103.07202892591131</v>
      </c>
      <c r="S115" s="100">
        <f t="shared" si="59"/>
        <v>119.29684251804382</v>
      </c>
      <c r="T115" s="100">
        <f t="shared" si="60"/>
        <v>45.908172832852735</v>
      </c>
      <c r="U115" s="100">
        <f t="shared" si="61"/>
        <v>80.75399276600524</v>
      </c>
      <c r="V115" s="95">
        <f t="shared" si="62"/>
        <v>103.07202892591131</v>
      </c>
      <c r="W115" s="96">
        <f t="shared" si="63"/>
        <v>119.29684251804382</v>
      </c>
      <c r="X115" s="96">
        <f t="shared" si="64"/>
        <v>45.908172832852735</v>
      </c>
      <c r="Y115" s="96">
        <f t="shared" si="65"/>
        <v>80.75399276600524</v>
      </c>
      <c r="Z115" s="60">
        <f t="shared" si="66"/>
        <v>103.07202892591131</v>
      </c>
      <c r="AA115" s="61">
        <f t="shared" si="67"/>
        <v>119.29684251804382</v>
      </c>
      <c r="AB115" s="61">
        <f t="shared" si="68"/>
        <v>45.908172832852735</v>
      </c>
      <c r="AC115" s="108">
        <f t="shared" si="69"/>
        <v>80.75399276600524</v>
      </c>
      <c r="AD115" s="61">
        <f t="shared" si="70"/>
        <v>119.22713658498712</v>
      </c>
      <c r="AE115" s="61">
        <f t="shared" si="71"/>
        <v>119.22713658498712</v>
      </c>
      <c r="AF115" s="61">
        <f t="shared" si="72"/>
        <v>80.623395144449987</v>
      </c>
      <c r="AG115" s="108">
        <f t="shared" si="73"/>
        <v>80.623395144449987</v>
      </c>
      <c r="AH115" s="61">
        <f t="shared" si="74"/>
        <v>119.22713658498712</v>
      </c>
      <c r="AI115" s="61">
        <f t="shared" si="75"/>
        <v>119.22713658498712</v>
      </c>
      <c r="AJ115" s="61">
        <f t="shared" si="76"/>
        <v>80.623395144449987</v>
      </c>
      <c r="AK115" s="61">
        <f t="shared" si="77"/>
        <v>80.623395144449987</v>
      </c>
      <c r="AL115" s="60">
        <f>IF($C115="",AH115,IF(AH115&gt;AH116,SUMPRODUCT(AH115:AH116,F115:F116)/SUM(F115:F116),AH115))</f>
        <v>119.22713658498712</v>
      </c>
      <c r="AM115" s="61">
        <f>IF($C115="",AI115,IF(AI115&gt;AI116,SUMPRODUCT(AI115:AI116,G115:G116)/SUM(G115:G116),AI115))</f>
        <v>119.22713658498712</v>
      </c>
      <c r="AN115" s="61">
        <f>IF($C115="",AJ115,IF(AJ115&gt;AJ116,SUMPRODUCT(AJ115:AJ116,H115:H116)/SUM(H115:H116),AJ115))</f>
        <v>80.623395144449987</v>
      </c>
      <c r="AO115" s="108">
        <f>IF($C115="",AK115,IF(AK115&gt;AK116,SUMPRODUCT(AK115:AK116,I115:I116)/SUM(I115:I116),AK115))</f>
        <v>80.623395144449987</v>
      </c>
      <c r="AP115" s="60">
        <f t="shared" si="78"/>
        <v>119.22713658498712</v>
      </c>
      <c r="AQ115" s="61">
        <f t="shared" si="79"/>
        <v>119.22713658498712</v>
      </c>
      <c r="AR115" s="61">
        <f t="shared" si="80"/>
        <v>80.623395144449987</v>
      </c>
      <c r="AS115" s="108">
        <f t="shared" si="81"/>
        <v>80.623395144449987</v>
      </c>
      <c r="AT115" s="18" t="str">
        <f t="shared" si="175"/>
        <v/>
      </c>
      <c r="AU115" s="19" t="str">
        <f t="shared" si="176"/>
        <v/>
      </c>
      <c r="AV115" s="19" t="str">
        <f t="shared" si="82"/>
        <v/>
      </c>
      <c r="AW115" s="19" t="str">
        <f t="shared" si="83"/>
        <v/>
      </c>
      <c r="AX115" s="19" t="str">
        <f t="shared" si="52"/>
        <v/>
      </c>
      <c r="AY115" s="323" t="str">
        <f t="shared" si="54"/>
        <v/>
      </c>
      <c r="AZ115" s="326">
        <f t="shared" si="53"/>
        <v>119.22713658498712</v>
      </c>
      <c r="BA115" s="323">
        <f t="shared" si="84"/>
        <v>119.22713658498712</v>
      </c>
      <c r="BB115" s="323">
        <f t="shared" si="133"/>
        <v>80.623395144449987</v>
      </c>
      <c r="BC115" s="327">
        <f t="shared" si="177"/>
        <v>80.623395144449987</v>
      </c>
      <c r="BD115" s="18" t="str">
        <f t="shared" si="85"/>
        <v/>
      </c>
      <c r="BE115" s="19" t="str">
        <f t="shared" si="86"/>
        <v/>
      </c>
      <c r="BF115" s="19" t="str">
        <f t="shared" si="87"/>
        <v/>
      </c>
      <c r="BG115" s="19" t="str">
        <f t="shared" si="88"/>
        <v/>
      </c>
      <c r="BH115" s="19" t="str">
        <f t="shared" si="89"/>
        <v/>
      </c>
      <c r="BI115" s="20" t="str">
        <f t="shared" si="90"/>
        <v/>
      </c>
      <c r="BJ115" s="744">
        <f t="shared" si="91"/>
        <v>6812463.8683122061</v>
      </c>
      <c r="BK115" s="321"/>
    </row>
    <row r="116" spans="1:63">
      <c r="A116">
        <v>171</v>
      </c>
      <c r="B116" s="88" t="s">
        <v>15</v>
      </c>
      <c r="D116" s="62" t="str">
        <f t="shared" si="57"/>
        <v>C</v>
      </c>
      <c r="E116">
        <f>IF(ISERROR(VLOOKUP(A116,Mandatory!A:A,1,FALSE)),0,1)</f>
        <v>1</v>
      </c>
      <c r="F116" s="54">
        <f>VLOOKUP(A116,'Front-loading'!A:AG,$F$6,FALSE)</f>
        <v>963</v>
      </c>
      <c r="G116" s="55">
        <f>VLOOKUP(A116,'Front-loading'!A:AG,$G$6,FALSE)</f>
        <v>48931</v>
      </c>
      <c r="H116" s="55">
        <f>VLOOKUP(A116,'Front-loading'!A:AG,$H$6,FALSE)</f>
        <v>1794</v>
      </c>
      <c r="I116" s="56">
        <f>VLOOKUP(A116,'Front-loading'!A:AG,$I$6,FALSE)</f>
        <v>74228</v>
      </c>
      <c r="J116" s="54">
        <f>VLOOKUP(A116,'Front-loading'!A:AG,$J$6,FALSE)</f>
        <v>152019.07957637761</v>
      </c>
      <c r="K116" s="55">
        <f>VLOOKUP(A116,'Front-loading'!A:AG,$K$6,FALSE)</f>
        <v>8633384.0694232304</v>
      </c>
      <c r="L116" s="55">
        <f>VLOOKUP(A116,'Front-loading'!A:AG,$L$6,FALSE)</f>
        <v>210069.9920260584</v>
      </c>
      <c r="M116" s="56">
        <f>VLOOKUP(A116,'Front-loading'!A:AG,$M$6,FALSE)</f>
        <v>8525192.1788792182</v>
      </c>
      <c r="N116" s="15">
        <f t="shared" si="55"/>
        <v>157.85989571794144</v>
      </c>
      <c r="O116" s="11">
        <f t="shared" si="55"/>
        <v>176.43996790221394</v>
      </c>
      <c r="P116" s="11">
        <f t="shared" si="55"/>
        <v>117.0958706945699</v>
      </c>
      <c r="Q116" s="12">
        <f t="shared" si="55"/>
        <v>114.85143313681115</v>
      </c>
      <c r="R116" s="99">
        <f t="shared" si="58"/>
        <v>157.85989571794144</v>
      </c>
      <c r="S116" s="100">
        <f t="shared" si="59"/>
        <v>176.43996790221394</v>
      </c>
      <c r="T116" s="100">
        <f t="shared" si="60"/>
        <v>117.0958706945699</v>
      </c>
      <c r="U116" s="100">
        <f t="shared" si="61"/>
        <v>114.85143313681115</v>
      </c>
      <c r="V116" s="95">
        <f t="shared" si="62"/>
        <v>157.85989571794144</v>
      </c>
      <c r="W116" s="96">
        <f t="shared" si="63"/>
        <v>176.43996790221394</v>
      </c>
      <c r="X116" s="96">
        <f t="shared" si="64"/>
        <v>117.0958706945699</v>
      </c>
      <c r="Y116" s="96">
        <f t="shared" si="65"/>
        <v>114.85143313681115</v>
      </c>
      <c r="Z116" s="60">
        <f t="shared" si="66"/>
        <v>157.85989571794144</v>
      </c>
      <c r="AA116" s="61">
        <f t="shared" si="67"/>
        <v>176.43996790221394</v>
      </c>
      <c r="AB116" s="61">
        <f t="shared" si="68"/>
        <v>117.0958706945699</v>
      </c>
      <c r="AC116" s="108">
        <f t="shared" si="69"/>
        <v>114.85143313681115</v>
      </c>
      <c r="AD116" s="61">
        <f t="shared" si="70"/>
        <v>176.08135545355367</v>
      </c>
      <c r="AE116" s="61">
        <f t="shared" si="71"/>
        <v>176.08135545355367</v>
      </c>
      <c r="AF116" s="61">
        <f t="shared" si="72"/>
        <v>117.0958706945699</v>
      </c>
      <c r="AG116" s="108">
        <f t="shared" si="73"/>
        <v>114.85143313681115</v>
      </c>
      <c r="AH116" s="61">
        <f t="shared" si="74"/>
        <v>176.08135545355367</v>
      </c>
      <c r="AI116" s="61">
        <f t="shared" si="75"/>
        <v>176.08135545355367</v>
      </c>
      <c r="AJ116" s="61">
        <f t="shared" si="76"/>
        <v>117.0958706945699</v>
      </c>
      <c r="AK116" s="61">
        <f t="shared" si="77"/>
        <v>114.85143313681115</v>
      </c>
      <c r="AL116" s="60">
        <f>IF($C116="",AH116,IF(AH115&gt;AH116,SUMPRODUCT(AH115:AH116,F115:F116)/SUM(F115:F116),AH116))</f>
        <v>176.08135545355367</v>
      </c>
      <c r="AM116" s="61">
        <f>IF($C116="",AI116,IF(AI115&gt;AI116,SUMPRODUCT(AI115:AI116,G115:G116)/SUM(G115:G116),AI116))</f>
        <v>176.08135545355367</v>
      </c>
      <c r="AN116" s="61">
        <f>IF($C116="",AJ116,IF(AJ115&gt;AJ116,SUMPRODUCT(AJ115:AJ116,H115:H116)/SUM(H115:H116),AJ116))</f>
        <v>117.0958706945699</v>
      </c>
      <c r="AO116" s="108">
        <f>IF($C116="",AK116,IF(AK115&gt;AK116,SUMPRODUCT(AK115:AK116,I115:I116)/SUM(I115:I116),AK116))</f>
        <v>114.85143313681115</v>
      </c>
      <c r="AP116" s="60">
        <f t="shared" si="78"/>
        <v>176.08135545355367</v>
      </c>
      <c r="AQ116" s="61">
        <f t="shared" si="79"/>
        <v>176.08135545355367</v>
      </c>
      <c r="AR116" s="61">
        <f t="shared" si="80"/>
        <v>117.0958706945699</v>
      </c>
      <c r="AS116" s="108">
        <f t="shared" si="81"/>
        <v>114.85143313681115</v>
      </c>
      <c r="AT116" s="18" t="str">
        <f t="shared" si="175"/>
        <v/>
      </c>
      <c r="AU116" s="19" t="str">
        <f t="shared" si="176"/>
        <v/>
      </c>
      <c r="AV116" s="19" t="str">
        <f t="shared" si="82"/>
        <v/>
      </c>
      <c r="AW116" s="19" t="str">
        <f t="shared" si="83"/>
        <v/>
      </c>
      <c r="AX116" s="19" t="str">
        <f t="shared" si="52"/>
        <v/>
      </c>
      <c r="AY116" s="323" t="str">
        <f t="shared" si="54"/>
        <v/>
      </c>
      <c r="AZ116" s="326">
        <f t="shared" si="53"/>
        <v>176.08135545355367</v>
      </c>
      <c r="BA116" s="323">
        <f t="shared" si="84"/>
        <v>176.08135545355367</v>
      </c>
      <c r="BB116" s="323">
        <f t="shared" si="133"/>
        <v>117.0958706945699</v>
      </c>
      <c r="BC116" s="327">
        <f t="shared" si="177"/>
        <v>114.85143313681115</v>
      </c>
      <c r="BD116" s="18" t="str">
        <f t="shared" si="85"/>
        <v/>
      </c>
      <c r="BE116" s="19" t="str">
        <f t="shared" si="86"/>
        <v/>
      </c>
      <c r="BF116" s="19" t="str">
        <f t="shared" si="87"/>
        <v/>
      </c>
      <c r="BG116" s="19" t="str">
        <f t="shared" si="88"/>
        <v/>
      </c>
      <c r="BH116" s="19" t="str">
        <f t="shared" si="89"/>
        <v/>
      </c>
      <c r="BI116" s="20" t="str">
        <f t="shared" si="90"/>
        <v/>
      </c>
      <c r="BJ116" s="744">
        <f t="shared" si="91"/>
        <v>17520665.319904882</v>
      </c>
      <c r="BK116" s="321"/>
    </row>
    <row r="117" spans="1:63">
      <c r="A117">
        <v>242</v>
      </c>
      <c r="B117" s="88" t="s">
        <v>492</v>
      </c>
      <c r="D117" s="62" t="str">
        <f t="shared" si="57"/>
        <v>C</v>
      </c>
      <c r="E117">
        <f>IF(ISERROR(VLOOKUP(A117,Mandatory!A:A,1,FALSE)),0,1)</f>
        <v>0</v>
      </c>
      <c r="F117" s="54">
        <f>VLOOKUP(A117,'Front-loading'!A:AG,$F$6,FALSE)</f>
        <v>0</v>
      </c>
      <c r="G117" s="55">
        <f>VLOOKUP(A117,'Front-loading'!A:AG,$G$6,FALSE)</f>
        <v>1</v>
      </c>
      <c r="H117" s="55">
        <f>VLOOKUP(A117,'Front-loading'!A:AG,$H$6,FALSE)</f>
        <v>0</v>
      </c>
      <c r="I117" s="56">
        <f>VLOOKUP(A117,'Front-loading'!A:AG,$I$6,FALSE)</f>
        <v>32</v>
      </c>
      <c r="J117" s="54">
        <f>VLOOKUP(A117,'Front-loading'!A:AG,$J$6,FALSE)</f>
        <v>0</v>
      </c>
      <c r="K117" s="55">
        <f>VLOOKUP(A117,'Front-loading'!A:AG,$K$6,FALSE)</f>
        <v>1022.3184735566624</v>
      </c>
      <c r="L117" s="55">
        <f>VLOOKUP(A117,'Front-loading'!A:AG,$L$6,FALSE)</f>
        <v>0</v>
      </c>
      <c r="M117" s="56">
        <f>VLOOKUP(A117,'Front-loading'!A:AG,$M$6,FALSE)</f>
        <v>4502.1395312435079</v>
      </c>
      <c r="N117" s="15">
        <f t="shared" si="55"/>
        <v>0</v>
      </c>
      <c r="O117" s="11">
        <f t="shared" si="55"/>
        <v>1022.3184735566624</v>
      </c>
      <c r="P117" s="11">
        <f t="shared" si="55"/>
        <v>0</v>
      </c>
      <c r="Q117" s="12">
        <f t="shared" si="55"/>
        <v>140.69186035135962</v>
      </c>
      <c r="R117" s="99" t="e">
        <f t="shared" si="58"/>
        <v>#DIV/0!</v>
      </c>
      <c r="S117" s="100">
        <f t="shared" si="59"/>
        <v>167.40781832727788</v>
      </c>
      <c r="T117" s="100" t="e">
        <f t="shared" si="60"/>
        <v>#DIV/0!</v>
      </c>
      <c r="U117" s="100">
        <f t="shared" si="61"/>
        <v>167.40781832727788</v>
      </c>
      <c r="V117" s="95">
        <f t="shared" si="62"/>
        <v>167.40781832727788</v>
      </c>
      <c r="W117" s="96">
        <f t="shared" si="63"/>
        <v>167.40781832727788</v>
      </c>
      <c r="X117" s="96">
        <f t="shared" si="64"/>
        <v>167.40781832727788</v>
      </c>
      <c r="Y117" s="96">
        <f t="shared" si="65"/>
        <v>167.40781832727788</v>
      </c>
      <c r="Z117" s="60">
        <f t="shared" si="66"/>
        <v>167.40781832727788</v>
      </c>
      <c r="AA117" s="61">
        <f t="shared" si="67"/>
        <v>167.40781832727788</v>
      </c>
      <c r="AB117" s="61">
        <f t="shared" si="68"/>
        <v>167.40781832727788</v>
      </c>
      <c r="AC117" s="108">
        <f t="shared" si="69"/>
        <v>167.40781832727788</v>
      </c>
      <c r="AD117" s="61">
        <f t="shared" si="70"/>
        <v>167.40781832727788</v>
      </c>
      <c r="AE117" s="61">
        <f t="shared" si="71"/>
        <v>167.40781832727788</v>
      </c>
      <c r="AF117" s="61">
        <f t="shared" si="72"/>
        <v>167.40781832727788</v>
      </c>
      <c r="AG117" s="108">
        <f t="shared" si="73"/>
        <v>167.40781832727788</v>
      </c>
      <c r="AH117" s="61">
        <f t="shared" si="74"/>
        <v>167.40781832727788</v>
      </c>
      <c r="AI117" s="61">
        <f t="shared" si="75"/>
        <v>167.40781832727788</v>
      </c>
      <c r="AJ117" s="61">
        <f t="shared" si="76"/>
        <v>167.40781832727788</v>
      </c>
      <c r="AK117" s="61">
        <f t="shared" si="77"/>
        <v>167.40781832727788</v>
      </c>
      <c r="AL117" s="60">
        <f>IF($C117="",AH117,IF(AH117&gt;AH118,SUMPRODUCT(AH117:AH118,F117:F118)/SUM(F117:F118),AH117))</f>
        <v>167.40781832727788</v>
      </c>
      <c r="AM117" s="61">
        <f>IF($C117="",AI117,IF(AI117&gt;AI118,SUMPRODUCT(AI117:AI118,G117:G118)/SUM(G117:G118),AI117))</f>
        <v>167.40781832727788</v>
      </c>
      <c r="AN117" s="61">
        <f>IF($C117="",AJ117,IF(AJ117&gt;AJ118,SUMPRODUCT(AJ117:AJ118,H117:H118)/SUM(H117:H118),AJ117))</f>
        <v>167.40781832727788</v>
      </c>
      <c r="AO117" s="108">
        <f>IF($C117="",AK117,IF(AK117&gt;AK118,SUMPRODUCT(AK117:AK118,I117:I118)/SUM(I117:I118),AK117))</f>
        <v>167.40781832727788</v>
      </c>
      <c r="AP117" s="60">
        <f t="shared" si="78"/>
        <v>167.40781832727788</v>
      </c>
      <c r="AQ117" s="61">
        <f t="shared" si="79"/>
        <v>167.40781832727788</v>
      </c>
      <c r="AR117" s="61">
        <f t="shared" si="80"/>
        <v>167.40781832727788</v>
      </c>
      <c r="AS117" s="108">
        <f t="shared" si="81"/>
        <v>167.40781832727788</v>
      </c>
      <c r="AT117" s="18" t="str">
        <f t="shared" si="175"/>
        <v/>
      </c>
      <c r="AU117" s="19" t="str">
        <f t="shared" si="176"/>
        <v/>
      </c>
      <c r="AV117" s="19" t="str">
        <f t="shared" si="82"/>
        <v/>
      </c>
      <c r="AW117" s="19" t="str">
        <f t="shared" si="83"/>
        <v/>
      </c>
      <c r="AX117" s="19" t="str">
        <f t="shared" si="52"/>
        <v/>
      </c>
      <c r="AY117" s="323" t="str">
        <f t="shared" si="54"/>
        <v/>
      </c>
      <c r="AZ117" s="326">
        <f t="shared" si="53"/>
        <v>167.40781832727788</v>
      </c>
      <c r="BA117" s="323">
        <f t="shared" si="84"/>
        <v>167.40781832727788</v>
      </c>
      <c r="BB117" s="323">
        <f t="shared" si="133"/>
        <v>167.40781832727788</v>
      </c>
      <c r="BC117" s="327">
        <f t="shared" si="177"/>
        <v>167.40781832727788</v>
      </c>
      <c r="BD117" s="326" t="str">
        <f t="shared" si="85"/>
        <v/>
      </c>
      <c r="BE117" s="323" t="str">
        <f t="shared" si="86"/>
        <v/>
      </c>
      <c r="BF117" s="323" t="str">
        <f t="shared" si="87"/>
        <v/>
      </c>
      <c r="BG117" s="323" t="str">
        <f t="shared" si="88"/>
        <v/>
      </c>
      <c r="BH117" s="323" t="str">
        <f t="shared" si="89"/>
        <v/>
      </c>
      <c r="BI117" s="327" t="str">
        <f t="shared" si="90"/>
        <v/>
      </c>
      <c r="BJ117" s="744">
        <f t="shared" si="91"/>
        <v>5524.4580048001699</v>
      </c>
      <c r="BK117" s="321"/>
    </row>
    <row r="118" spans="1:63">
      <c r="A118">
        <v>261</v>
      </c>
      <c r="B118" s="88" t="s">
        <v>498</v>
      </c>
      <c r="D118" s="62" t="str">
        <f t="shared" si="57"/>
        <v>C</v>
      </c>
      <c r="E118">
        <f>IF(ISERROR(VLOOKUP(A118,Mandatory!A:A,1,FALSE)),0,1)</f>
        <v>0</v>
      </c>
      <c r="F118" s="54">
        <f>VLOOKUP(A118,'Front-loading'!A:AG,$F$6,FALSE)</f>
        <v>24</v>
      </c>
      <c r="G118" s="55">
        <f>VLOOKUP(A118,'Front-loading'!A:AG,$G$6,FALSE)</f>
        <v>967</v>
      </c>
      <c r="H118" s="55">
        <f>VLOOKUP(A118,'Front-loading'!A:AG,$H$6,FALSE)</f>
        <v>497</v>
      </c>
      <c r="I118" s="56">
        <f>VLOOKUP(A118,'Front-loading'!A:AG,$I$6,FALSE)</f>
        <v>5098</v>
      </c>
      <c r="J118" s="54">
        <f>VLOOKUP(A118,'Front-loading'!A:AG,$J$6,FALSE)</f>
        <v>35801.128502444553</v>
      </c>
      <c r="K118" s="55">
        <f>VLOOKUP(A118,'Front-loading'!A:AG,$K$6,FALSE)</f>
        <v>1230095.7845875931</v>
      </c>
      <c r="L118" s="55">
        <f>VLOOKUP(A118,'Front-loading'!A:AG,$L$6,FALSE)</f>
        <v>1126544.276156832</v>
      </c>
      <c r="M118" s="56">
        <f>VLOOKUP(A118,'Front-loading'!A:AG,$M$6,FALSE)</f>
        <v>3452060.5930024739</v>
      </c>
      <c r="N118" s="15">
        <f t="shared" si="55"/>
        <v>1491.7136876018565</v>
      </c>
      <c r="O118" s="11">
        <f t="shared" si="55"/>
        <v>1272.0742343201582</v>
      </c>
      <c r="P118" s="11">
        <f t="shared" si="55"/>
        <v>2266.6886844201849</v>
      </c>
      <c r="Q118" s="12">
        <f t="shared" si="55"/>
        <v>677.14017124411021</v>
      </c>
      <c r="R118" s="99">
        <f t="shared" si="58"/>
        <v>2230.9892603824887</v>
      </c>
      <c r="S118" s="100">
        <f t="shared" si="59"/>
        <v>1272.0742343201582</v>
      </c>
      <c r="T118" s="100">
        <f t="shared" si="60"/>
        <v>2230.9892603824887</v>
      </c>
      <c r="U118" s="100">
        <f t="shared" si="61"/>
        <v>677.14017124411021</v>
      </c>
      <c r="V118" s="95">
        <f t="shared" si="62"/>
        <v>2230.9892603824887</v>
      </c>
      <c r="W118" s="96">
        <f t="shared" si="63"/>
        <v>1272.0742343201582</v>
      </c>
      <c r="X118" s="96">
        <f t="shared" si="64"/>
        <v>2230.9892603824887</v>
      </c>
      <c r="Y118" s="96">
        <f t="shared" si="65"/>
        <v>677.14017124411021</v>
      </c>
      <c r="Z118" s="60">
        <f t="shared" si="66"/>
        <v>2230.9892603824887</v>
      </c>
      <c r="AA118" s="61">
        <f t="shared" si="67"/>
        <v>1272.0742343201582</v>
      </c>
      <c r="AB118" s="61">
        <f t="shared" si="68"/>
        <v>2230.9892603824887</v>
      </c>
      <c r="AC118" s="108">
        <f t="shared" si="69"/>
        <v>677.14017124411021</v>
      </c>
      <c r="AD118" s="61">
        <f t="shared" si="70"/>
        <v>2230.9892603824887</v>
      </c>
      <c r="AE118" s="61">
        <f t="shared" si="71"/>
        <v>1272.0742343201582</v>
      </c>
      <c r="AF118" s="61">
        <f t="shared" si="72"/>
        <v>2230.9892603824887</v>
      </c>
      <c r="AG118" s="108">
        <f t="shared" si="73"/>
        <v>677.14017124411021</v>
      </c>
      <c r="AH118" s="61">
        <f t="shared" si="74"/>
        <v>2230.9892603824887</v>
      </c>
      <c r="AI118" s="61">
        <f t="shared" si="75"/>
        <v>1272.0742343201582</v>
      </c>
      <c r="AJ118" s="61">
        <f t="shared" si="76"/>
        <v>1497.3283832608572</v>
      </c>
      <c r="AK118" s="61">
        <f t="shared" si="77"/>
        <v>748.6641916304286</v>
      </c>
      <c r="AL118" s="60">
        <f>IF($C118="",AH118,IF(AH117&gt;AH118,SUMPRODUCT(AH117:AH118,F117:F118)/SUM(F117:F118),AH118))</f>
        <v>2230.9892603824887</v>
      </c>
      <c r="AM118" s="61">
        <f>IF($C118="",AI118,IF(AI117&gt;AI118,SUMPRODUCT(AI117:AI118,G117:G118)/SUM(G117:G118),AI118))</f>
        <v>1272.0742343201582</v>
      </c>
      <c r="AN118" s="61">
        <f>IF($C118="",AJ118,IF(AJ117&gt;AJ118,SUMPRODUCT(AJ117:AJ118,H117:H118)/SUM(H117:H118),AJ118))</f>
        <v>1497.3283832608572</v>
      </c>
      <c r="AO118" s="108">
        <f>IF($C118="",AK118,IF(AK117&gt;AK118,SUMPRODUCT(AK117:AK118,I117:I118)/SUM(I117:I118),AK118))</f>
        <v>748.6641916304286</v>
      </c>
      <c r="AP118" s="60">
        <f t="shared" si="78"/>
        <v>2230.9892603824887</v>
      </c>
      <c r="AQ118" s="61">
        <f t="shared" si="79"/>
        <v>1272.0742343201582</v>
      </c>
      <c r="AR118" s="61">
        <f t="shared" si="80"/>
        <v>1497.3283832608572</v>
      </c>
      <c r="AS118" s="108">
        <f t="shared" si="81"/>
        <v>748.6641916304286</v>
      </c>
      <c r="AT118" s="18" t="str">
        <f t="shared" si="175"/>
        <v/>
      </c>
      <c r="AU118" s="19" t="str">
        <f t="shared" si="176"/>
        <v/>
      </c>
      <c r="AV118" s="19" t="str">
        <f t="shared" si="82"/>
        <v/>
      </c>
      <c r="AW118" s="19" t="str">
        <f t="shared" si="83"/>
        <v/>
      </c>
      <c r="AX118" s="19" t="str">
        <f t="shared" si="52"/>
        <v/>
      </c>
      <c r="AY118" s="323" t="str">
        <f t="shared" si="54"/>
        <v/>
      </c>
      <c r="AZ118" s="326">
        <f t="shared" si="53"/>
        <v>2230.9892603824887</v>
      </c>
      <c r="BA118" s="323">
        <f t="shared" si="84"/>
        <v>1272.0742343201582</v>
      </c>
      <c r="BB118" s="323">
        <f t="shared" si="133"/>
        <v>1497.3283832608572</v>
      </c>
      <c r="BC118" s="327">
        <f t="shared" si="177"/>
        <v>748.6641916304286</v>
      </c>
      <c r="BD118" s="326" t="str">
        <f t="shared" si="85"/>
        <v/>
      </c>
      <c r="BE118" s="323" t="str">
        <f t="shared" si="86"/>
        <v/>
      </c>
      <c r="BF118" s="323" t="str">
        <f t="shared" si="87"/>
        <v/>
      </c>
      <c r="BG118" s="323" t="str">
        <f t="shared" si="88"/>
        <v/>
      </c>
      <c r="BH118" s="323" t="str">
        <f t="shared" si="89"/>
        <v/>
      </c>
      <c r="BI118" s="327" t="str">
        <f t="shared" si="90"/>
        <v/>
      </c>
      <c r="BJ118" s="744">
        <f t="shared" si="91"/>
        <v>5844501.7822493436</v>
      </c>
      <c r="BK118" s="321"/>
    </row>
    <row r="119" spans="1:63" ht="15.75" thickBot="1">
      <c r="A119" s="91">
        <v>420</v>
      </c>
      <c r="B119" s="322" t="s">
        <v>32</v>
      </c>
      <c r="C119" s="90"/>
      <c r="D119" s="315" t="str">
        <f t="shared" si="57"/>
        <v>C</v>
      </c>
      <c r="E119" s="91">
        <f>IF(ISERROR(VLOOKUP(A119,Mandatory!A:A,1,FALSE)),0,1)</f>
        <v>1</v>
      </c>
      <c r="F119" s="57">
        <f>VLOOKUP(A119,'Front-loading'!A:AG,$F$6,FALSE)</f>
        <v>10863</v>
      </c>
      <c r="G119" s="58">
        <f>VLOOKUP(A119,'Front-loading'!A:AG,$G$6,FALSE)</f>
        <v>546391</v>
      </c>
      <c r="H119" s="58">
        <f>VLOOKUP(A119,'Front-loading'!A:AG,$H$6,FALSE)</f>
        <v>24569</v>
      </c>
      <c r="I119" s="59">
        <f>VLOOKUP(A119,'Front-loading'!A:AG,$I$6,FALSE)</f>
        <v>836252</v>
      </c>
      <c r="J119" s="57">
        <f>VLOOKUP(A119,'Front-loading'!A:AG,$J$6,FALSE)</f>
        <v>2654350.398932484</v>
      </c>
      <c r="K119" s="58">
        <f>VLOOKUP(A119,'Front-loading'!A:AG,$K$6,FALSE)</f>
        <v>125934289.50181077</v>
      </c>
      <c r="L119" s="58">
        <f>VLOOKUP(A119,'Front-loading'!A:AG,$L$6,FALSE)</f>
        <v>3982650.0821724064</v>
      </c>
      <c r="M119" s="59">
        <f>VLOOKUP(A119,'Front-loading'!A:AG,$M$6,FALSE)</f>
        <v>117232237.52604501</v>
      </c>
      <c r="N119" s="16">
        <f t="shared" si="55"/>
        <v>244.34782278675172</v>
      </c>
      <c r="O119" s="13">
        <f t="shared" si="55"/>
        <v>230.4838284338702</v>
      </c>
      <c r="P119" s="13">
        <f t="shared" si="55"/>
        <v>162.10061794018503</v>
      </c>
      <c r="Q119" s="14">
        <f t="shared" si="55"/>
        <v>140.1876916599841</v>
      </c>
      <c r="R119" s="103">
        <f t="shared" si="58"/>
        <v>244.34782278675172</v>
      </c>
      <c r="S119" s="104">
        <f t="shared" si="59"/>
        <v>230.4838284338702</v>
      </c>
      <c r="T119" s="104">
        <f t="shared" si="60"/>
        <v>162.10061794018503</v>
      </c>
      <c r="U119" s="104">
        <f t="shared" si="61"/>
        <v>140.1876916599841</v>
      </c>
      <c r="V119" s="97">
        <f t="shared" si="62"/>
        <v>244.34782278675172</v>
      </c>
      <c r="W119" s="98">
        <f t="shared" si="63"/>
        <v>230.4838284338702</v>
      </c>
      <c r="X119" s="98">
        <f t="shared" si="64"/>
        <v>162.10061794018503</v>
      </c>
      <c r="Y119" s="98">
        <f t="shared" si="65"/>
        <v>140.1876916599841</v>
      </c>
      <c r="Z119" s="92">
        <f t="shared" si="66"/>
        <v>244.34782278675172</v>
      </c>
      <c r="AA119" s="109">
        <f t="shared" si="67"/>
        <v>230.4838284338702</v>
      </c>
      <c r="AB119" s="109">
        <f t="shared" si="68"/>
        <v>162.10061794018503</v>
      </c>
      <c r="AC119" s="110">
        <f t="shared" si="69"/>
        <v>140.1876916599841</v>
      </c>
      <c r="AD119" s="109">
        <f t="shared" si="70"/>
        <v>244.34782278675172</v>
      </c>
      <c r="AE119" s="109">
        <f t="shared" si="71"/>
        <v>230.4838284338702</v>
      </c>
      <c r="AF119" s="109">
        <f t="shared" si="72"/>
        <v>162.10061794018503</v>
      </c>
      <c r="AG119" s="110">
        <f t="shared" si="73"/>
        <v>140.1876916599841</v>
      </c>
      <c r="AH119" s="109">
        <f t="shared" si="74"/>
        <v>244.34782278675172</v>
      </c>
      <c r="AI119" s="109">
        <f t="shared" si="75"/>
        <v>230.4838284338702</v>
      </c>
      <c r="AJ119" s="109">
        <f t="shared" si="76"/>
        <v>162.10061794018503</v>
      </c>
      <c r="AK119" s="109">
        <f t="shared" si="77"/>
        <v>140.1876916599841</v>
      </c>
      <c r="AL119" s="92">
        <f>IF($C119="",AH119,IF(AH119&gt;AH120,SUMPRODUCT(AH119:AH120,F119:F120)/SUM(F119:F120),AH119))</f>
        <v>244.34782278675172</v>
      </c>
      <c r="AM119" s="109">
        <f>IF($C119="",AI119,IF(AI119&gt;AI120,SUMPRODUCT(AI119:AI120,G119:G120)/SUM(G119:G120),AI119))</f>
        <v>230.4838284338702</v>
      </c>
      <c r="AN119" s="109">
        <f>IF($C119="",AJ119,IF(AJ119&gt;AJ120,SUMPRODUCT(AJ119:AJ120,H119:H120)/SUM(H119:H120),AJ119))</f>
        <v>162.10061794018503</v>
      </c>
      <c r="AO119" s="110">
        <f>IF($C119="",AK119,IF(AK119&gt;AK120,SUMPRODUCT(AK119:AK120,I119:I120)/SUM(I119:I120),AK119))</f>
        <v>140.1876916599841</v>
      </c>
      <c r="AP119" s="92">
        <f t="shared" si="78"/>
        <v>244.34782278675172</v>
      </c>
      <c r="AQ119" s="109">
        <f t="shared" si="79"/>
        <v>230.4838284338702</v>
      </c>
      <c r="AR119" s="109">
        <f t="shared" si="80"/>
        <v>162.10061794018503</v>
      </c>
      <c r="AS119" s="110">
        <f t="shared" si="81"/>
        <v>140.1876916599841</v>
      </c>
      <c r="AT119" s="21" t="str">
        <f t="shared" si="175"/>
        <v/>
      </c>
      <c r="AU119" s="22" t="str">
        <f t="shared" si="176"/>
        <v/>
      </c>
      <c r="AV119" s="22" t="str">
        <f t="shared" si="82"/>
        <v/>
      </c>
      <c r="AW119" s="22" t="str">
        <f>IF(AR119&lt;AS119,"2FU","")</f>
        <v/>
      </c>
      <c r="AX119" s="22" t="str">
        <f t="shared" si="52"/>
        <v/>
      </c>
      <c r="AY119" s="325" t="str">
        <f t="shared" si="54"/>
        <v/>
      </c>
      <c r="AZ119" s="330">
        <f t="shared" si="53"/>
        <v>244.34782278675172</v>
      </c>
      <c r="BA119" s="325">
        <f t="shared" si="84"/>
        <v>230.4838284338702</v>
      </c>
      <c r="BB119" s="325">
        <f t="shared" si="133"/>
        <v>162.10061794018503</v>
      </c>
      <c r="BC119" s="331">
        <f t="shared" si="177"/>
        <v>140.1876916599841</v>
      </c>
      <c r="BD119" s="330" t="str">
        <f t="shared" si="85"/>
        <v/>
      </c>
      <c r="BE119" s="325" t="str">
        <f t="shared" si="86"/>
        <v/>
      </c>
      <c r="BF119" s="325" t="str">
        <f t="shared" si="87"/>
        <v/>
      </c>
      <c r="BG119" s="325" t="str">
        <f t="shared" si="88"/>
        <v/>
      </c>
      <c r="BH119" s="325" t="str">
        <f t="shared" si="89"/>
        <v/>
      </c>
      <c r="BI119" s="331" t="str">
        <f t="shared" si="90"/>
        <v/>
      </c>
      <c r="BJ119" s="745">
        <f t="shared" si="91"/>
        <v>249803527.50896069</v>
      </c>
      <c r="BK119" s="321"/>
    </row>
    <row r="121" spans="1:63">
      <c r="BK121" s="321"/>
    </row>
  </sheetData>
  <mergeCells count="15">
    <mergeCell ref="F7:Q7"/>
    <mergeCell ref="R7:AC7"/>
    <mergeCell ref="F8:I8"/>
    <mergeCell ref="J8:M8"/>
    <mergeCell ref="N8:Q8"/>
    <mergeCell ref="R8:U8"/>
    <mergeCell ref="V8:Y8"/>
    <mergeCell ref="Z8:AC8"/>
    <mergeCell ref="AT8:AY8"/>
    <mergeCell ref="BD8:BI8"/>
    <mergeCell ref="AD8:AG8"/>
    <mergeCell ref="AH8:AK8"/>
    <mergeCell ref="AL8:AO8"/>
    <mergeCell ref="AZ8:BC8"/>
    <mergeCell ref="AP8:AS8"/>
  </mergeCells>
  <conditionalFormatting sqref="V10:Y119">
    <cfRule type="cellIs" dxfId="5" priority="2" operator="equal">
      <formula>1</formula>
    </cfRule>
  </conditionalFormatting>
  <conditionalFormatting sqref="AZ10:BI119">
    <cfRule type="expression" dxfId="4" priority="1">
      <formula>AZ10&lt;&gt;AP10</formula>
    </cfRule>
  </conditionalFormatting>
  <hyperlinks>
    <hyperlink ref="A3"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sheetPr>
  <dimension ref="A2:O8"/>
  <sheetViews>
    <sheetView showGridLines="0" zoomScale="90" zoomScaleNormal="90" workbookViewId="0"/>
  </sheetViews>
  <sheetFormatPr defaultRowHeight="15"/>
  <cols>
    <col min="1" max="1" width="14" style="507" customWidth="1"/>
    <col min="2" max="2" width="60" style="507" customWidth="1"/>
    <col min="3" max="3" width="31.5703125" style="507" customWidth="1"/>
    <col min="4" max="4" width="12.140625" style="507" customWidth="1"/>
    <col min="5" max="5" width="5" style="507" bestFit="1" customWidth="1"/>
    <col min="6" max="6" width="4.28515625" style="507" bestFit="1" customWidth="1"/>
    <col min="7" max="7" width="5" style="507" bestFit="1" customWidth="1"/>
    <col min="8" max="8" width="7.7109375" style="507" bestFit="1" customWidth="1"/>
    <col min="9" max="9" width="7.5703125" style="507" customWidth="1"/>
    <col min="10" max="10" width="7.7109375" style="507" bestFit="1" customWidth="1"/>
    <col min="11" max="11" width="6.7109375" style="507" bestFit="1" customWidth="1"/>
    <col min="12" max="12" width="13.140625" style="507" customWidth="1"/>
    <col min="13" max="13" width="7.7109375" style="507" customWidth="1"/>
    <col min="14" max="14" width="6.5703125" style="507" customWidth="1"/>
    <col min="15" max="15" width="9.7109375" style="507" customWidth="1"/>
    <col min="16" max="16384" width="9.140625" style="507"/>
  </cols>
  <sheetData>
    <row r="2" spans="1:15">
      <c r="A2" s="507">
        <v>1</v>
      </c>
      <c r="B2" s="507">
        <v>2</v>
      </c>
      <c r="C2" s="507">
        <v>3</v>
      </c>
      <c r="D2" s="507">
        <v>4</v>
      </c>
      <c r="E2" s="507">
        <v>5</v>
      </c>
      <c r="F2" s="507">
        <v>6</v>
      </c>
      <c r="G2" s="507">
        <v>7</v>
      </c>
      <c r="H2" s="507">
        <v>8</v>
      </c>
      <c r="I2" s="507">
        <v>9</v>
      </c>
      <c r="J2" s="507">
        <v>10</v>
      </c>
      <c r="K2" s="507">
        <v>11</v>
      </c>
      <c r="L2" s="507">
        <v>12</v>
      </c>
      <c r="M2" s="507">
        <v>13</v>
      </c>
      <c r="N2" s="507">
        <v>14</v>
      </c>
      <c r="O2" s="507">
        <v>15</v>
      </c>
    </row>
    <row r="3" spans="1:15" ht="15.75" thickBot="1">
      <c r="A3" s="699" t="s">
        <v>974</v>
      </c>
      <c r="L3" s="358"/>
    </row>
    <row r="4" spans="1:15" ht="15.75" thickBot="1">
      <c r="D4" s="337" t="s">
        <v>947</v>
      </c>
      <c r="E4" s="337"/>
      <c r="F4" s="337"/>
      <c r="G4" s="337"/>
      <c r="H4" s="337" t="s">
        <v>374</v>
      </c>
      <c r="I4" s="337"/>
      <c r="J4" s="337"/>
      <c r="K4" s="337"/>
      <c r="L4" s="804" t="s">
        <v>440</v>
      </c>
      <c r="M4" s="805"/>
      <c r="N4" s="805"/>
      <c r="O4" s="806"/>
    </row>
    <row r="5" spans="1:15" ht="30.75" thickBot="1">
      <c r="A5" s="337" t="s">
        <v>439</v>
      </c>
      <c r="B5" s="337" t="s">
        <v>966</v>
      </c>
      <c r="C5" s="337" t="s">
        <v>967</v>
      </c>
      <c r="D5" s="608" t="s">
        <v>411</v>
      </c>
      <c r="E5" s="608" t="s">
        <v>410</v>
      </c>
      <c r="F5" s="608" t="s">
        <v>413</v>
      </c>
      <c r="G5" s="608" t="s">
        <v>412</v>
      </c>
      <c r="H5" s="608" t="s">
        <v>411</v>
      </c>
      <c r="I5" s="608" t="s">
        <v>410</v>
      </c>
      <c r="J5" s="608" t="s">
        <v>413</v>
      </c>
      <c r="K5" s="608" t="s">
        <v>412</v>
      </c>
      <c r="L5" s="608" t="s">
        <v>411</v>
      </c>
      <c r="M5" s="608" t="s">
        <v>410</v>
      </c>
      <c r="N5" s="608" t="s">
        <v>413</v>
      </c>
      <c r="O5" s="608" t="s">
        <v>412</v>
      </c>
    </row>
    <row r="6" spans="1:15" ht="45">
      <c r="A6" s="641">
        <v>300</v>
      </c>
      <c r="B6" s="610"/>
      <c r="C6" s="610" t="s">
        <v>946</v>
      </c>
      <c r="D6" s="642">
        <f>VLOOKUP($A6,PRICES!$A:$BP,65,FALSE)</f>
        <v>191.91069660421488</v>
      </c>
      <c r="E6" s="642">
        <f>VLOOKUP($A6,PRICES!$A:$BP,66,FALSE)</f>
        <v>259.09771657682171</v>
      </c>
      <c r="F6" s="642">
        <f>VLOOKUP($A6,PRICES!$A:$BP,67,FALSE)</f>
        <v>116.43227168102328</v>
      </c>
      <c r="G6" s="642">
        <f>VLOOKUP($A6,PRICES!$A:$BP,68,FALSE)</f>
        <v>132.2300925283177</v>
      </c>
      <c r="H6" s="610">
        <f>VLOOKUP($A6,'Further adjustment'!$A:$Q,7,FALSE)</f>
        <v>361039</v>
      </c>
      <c r="I6" s="610">
        <f>VLOOKUP($A6,'Further adjustment'!$A:$Q,6,FALSE)</f>
        <v>3833</v>
      </c>
      <c r="J6" s="610">
        <f>VLOOKUP($A6,'Further adjustment'!$A:$Q,9,FALSE)</f>
        <v>623402</v>
      </c>
      <c r="K6" s="610">
        <f>VLOOKUP($A6,'Further adjustment'!$A:$Q,8,FALSE)</f>
        <v>11253</v>
      </c>
      <c r="L6" s="609">
        <f>((D6*H6)+(D7*H7)+(D8*H8))/SUM(H6:H8)</f>
        <v>179.42538274948325</v>
      </c>
      <c r="M6" s="609">
        <f t="shared" ref="M6:O6" si="0">((E6*I6)+(E7*I7)+(E8*I8))/SUM(I6:I8)</f>
        <v>254.16505358315513</v>
      </c>
      <c r="N6" s="609">
        <f t="shared" si="0"/>
        <v>105.99908880083886</v>
      </c>
      <c r="O6" s="609">
        <f t="shared" si="0"/>
        <v>137.11673478243065</v>
      </c>
    </row>
    <row r="7" spans="1:15" ht="75">
      <c r="A7" s="622">
        <v>301</v>
      </c>
      <c r="B7" s="610" t="s">
        <v>968</v>
      </c>
      <c r="C7" s="610" t="s">
        <v>970</v>
      </c>
      <c r="D7" s="642">
        <f>VLOOKUP($A7,PRICES!$A:$BP,65,FALSE)</f>
        <v>161.90518970854444</v>
      </c>
      <c r="E7" s="642">
        <f>VLOOKUP($A7,PRICES!$A:$BP,66,FALSE)</f>
        <v>169.53292023194703</v>
      </c>
      <c r="F7" s="642">
        <f>VLOOKUP($A7,PRICES!$A:$BP,67,FALSE)</f>
        <v>90.371828210357734</v>
      </c>
      <c r="G7" s="642">
        <f>VLOOKUP($A7,PRICES!$A:$BP,68,FALSE)</f>
        <v>90.371828210357734</v>
      </c>
      <c r="H7" s="610">
        <f>VLOOKUP($A7,'Further adjustment'!$A:$Q,7,FALSE)</f>
        <v>357257</v>
      </c>
      <c r="I7" s="610">
        <f>VLOOKUP($A7,'Further adjustment'!$A:$Q,6,FALSE)</f>
        <v>3302</v>
      </c>
      <c r="J7" s="610">
        <f>VLOOKUP($A7,'Further adjustment'!$A:$Q,9,FALSE)</f>
        <v>666114</v>
      </c>
      <c r="K7" s="610">
        <f>VLOOKUP($A7,'Further adjustment'!$A:$Q,8,FALSE)</f>
        <v>9663</v>
      </c>
      <c r="L7" s="609">
        <f>((D6*H6)+(D7*H7)+(D8*H8))/SUM(H6:H8)</f>
        <v>179.42538274948325</v>
      </c>
      <c r="M7" s="609">
        <f>((E6*I6)+(E7*I7)+(E8*I8))/SUM(I6:I8)</f>
        <v>254.16505358315513</v>
      </c>
      <c r="N7" s="609">
        <f>((F6*J6)+(F7*J7)+(F8*J8))/SUM(J6:J8)</f>
        <v>105.99908880083886</v>
      </c>
      <c r="O7" s="609">
        <f>((G6*K6)+(G7*K7)+(G8*K8))/SUM(K6:K8)</f>
        <v>137.11673478243065</v>
      </c>
    </row>
    <row r="8" spans="1:15" ht="60">
      <c r="A8" s="622">
        <v>306</v>
      </c>
      <c r="B8" s="610" t="s">
        <v>969</v>
      </c>
      <c r="C8" s="610" t="s">
        <v>945</v>
      </c>
      <c r="D8" s="642">
        <f>VLOOKUP($A8,PRICES!$A:$BP,65,FALSE)</f>
        <v>256.32091248994442</v>
      </c>
      <c r="E8" s="642">
        <f>VLOOKUP($A8,PRICES!$A:$BP,66,FALSE)</f>
        <v>346.52535385645012</v>
      </c>
      <c r="F8" s="642">
        <f>VLOOKUP($A8,PRICES!$A:$BP,67,FALSE)</f>
        <v>143.76593907735983</v>
      </c>
      <c r="G8" s="642">
        <f>VLOOKUP($A8,PRICES!$A:$BP,68,FALSE)</f>
        <v>166.44899236558882</v>
      </c>
      <c r="H8" s="610">
        <f>VLOOKUP($A8,'Further adjustment'!$A:$Q,7,FALSE)</f>
        <v>22778</v>
      </c>
      <c r="I8" s="610">
        <f>VLOOKUP($A8,'Further adjustment'!$A:$Q,6,FALSE)</f>
        <v>2821</v>
      </c>
      <c r="J8" s="610">
        <f>VLOOKUP($A8,'Further adjustment'!$A:$Q,9,FALSE)</f>
        <v>103410</v>
      </c>
      <c r="K8" s="610">
        <f>VLOOKUP($A8,'Further adjustment'!$A:$Q,8,FALSE)</f>
        <v>17274</v>
      </c>
      <c r="L8" s="609">
        <f>((D6*H6)+(D7*H7)+(D8*H8))/SUM(H6:H8)</f>
        <v>179.42538274948325</v>
      </c>
      <c r="M8" s="609">
        <f>((E6*I6)+(E7*I7)+(E8*I8))/SUM(I6:I8)</f>
        <v>254.16505358315513</v>
      </c>
      <c r="N8" s="609">
        <f>((F6*J6)+(F7*J7)+(F8*J8))/SUM(J6:J8)</f>
        <v>105.99908880083886</v>
      </c>
      <c r="O8" s="609">
        <f>((G6*K6)+(G7*K7)+(G8*K8))/SUM(K6:K8)</f>
        <v>137.11673478243065</v>
      </c>
    </row>
  </sheetData>
  <mergeCells count="1">
    <mergeCell ref="L4:O4"/>
  </mergeCells>
  <hyperlinks>
    <hyperlink ref="A3"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8"/>
  </sheetPr>
  <dimension ref="A1:CP69"/>
  <sheetViews>
    <sheetView showGridLines="0" zoomScale="80" zoomScaleNormal="80" workbookViewId="0">
      <pane xSplit="2" ySplit="5" topLeftCell="C6" activePane="bottomRight" state="frozen"/>
      <selection pane="topRight"/>
      <selection pane="bottomLeft"/>
      <selection pane="bottomRight" activeCell="C6" sqref="C6"/>
    </sheetView>
  </sheetViews>
  <sheetFormatPr defaultRowHeight="15"/>
  <cols>
    <col min="2" max="2" width="36.140625" customWidth="1"/>
    <col min="3" max="3" width="9.140625" customWidth="1"/>
    <col min="4" max="6" width="9.140625" style="141" customWidth="1"/>
    <col min="7" max="7" width="0.85546875" style="141" customWidth="1"/>
    <col min="8" max="11" width="9.140625" style="357" customWidth="1"/>
    <col min="12" max="15" width="9.140625" style="357"/>
    <col min="16" max="16" width="0.85546875" style="357" customWidth="1"/>
    <col min="17" max="20" width="9.140625" style="141" customWidth="1"/>
    <col min="21" max="21" width="9.7109375" style="158" bestFit="1" customWidth="1"/>
    <col min="22" max="24" width="9.140625" style="158"/>
    <col min="25" max="25" width="0.85546875" style="357" customWidth="1"/>
    <col min="27" max="29" width="9.140625" style="141"/>
    <col min="30" max="33" width="9.140625" style="154"/>
    <col min="34" max="34" width="0.85546875" style="357" customWidth="1"/>
    <col min="35" max="35" width="12" style="357" bestFit="1" customWidth="1"/>
    <col min="36" max="36" width="12" style="492" customWidth="1"/>
    <col min="37" max="37" width="12" style="158" bestFit="1" customWidth="1"/>
    <col min="38" max="40" width="9.140625" style="158"/>
    <col min="41" max="44" width="9.140625" style="357"/>
    <col min="45" max="49" width="9.42578125" style="158" customWidth="1"/>
    <col min="50" max="50" width="0.85546875" style="357" customWidth="1"/>
    <col min="51" max="51" width="13.42578125" style="158" customWidth="1"/>
    <col min="52" max="54" width="13.42578125" style="445" customWidth="1"/>
    <col min="55" max="55" width="12" style="158" bestFit="1" customWidth="1"/>
    <col min="56" max="57" width="9.140625" style="158"/>
    <col min="58" max="58" width="10.28515625" style="158" bestFit="1" customWidth="1"/>
    <col min="59" max="62" width="10.28515625" style="255" customWidth="1"/>
    <col min="63" max="63" width="0.85546875" style="357" customWidth="1"/>
    <col min="64" max="67" width="10.28515625" style="255" customWidth="1"/>
    <col min="68" max="68" width="10.28515625" style="507" customWidth="1"/>
    <col min="69" max="69" width="0.85546875" style="357" customWidth="1"/>
    <col min="70" max="70" width="18.42578125" style="507" customWidth="1"/>
    <col min="71" max="74" width="10.28515625" style="507" customWidth="1"/>
    <col min="75" max="75" width="15.85546875" style="357" customWidth="1"/>
    <col min="76" max="76" width="10.42578125" style="357" customWidth="1"/>
    <col min="77" max="83" width="10.28515625" style="357" customWidth="1"/>
    <col min="84" max="84" width="0.85546875" style="357" customWidth="1"/>
    <col min="85" max="85" width="10.42578125" style="357" customWidth="1"/>
    <col min="86" max="88" width="10.28515625" style="357" customWidth="1"/>
  </cols>
  <sheetData>
    <row r="1" spans="1:94" ht="21" thickBot="1">
      <c r="A1" s="336">
        <v>1</v>
      </c>
      <c r="B1" s="142" t="s">
        <v>926</v>
      </c>
      <c r="C1" s="143"/>
      <c r="D1" s="143"/>
      <c r="E1" s="335">
        <v>5</v>
      </c>
      <c r="F1" s="335">
        <v>6</v>
      </c>
      <c r="G1" s="335">
        <v>7</v>
      </c>
      <c r="H1" s="335">
        <v>8</v>
      </c>
      <c r="I1" s="335">
        <v>9</v>
      </c>
      <c r="J1" s="335">
        <v>10</v>
      </c>
      <c r="K1" s="335">
        <v>11</v>
      </c>
      <c r="L1" s="335">
        <v>12</v>
      </c>
      <c r="M1" s="335">
        <v>13</v>
      </c>
      <c r="N1" s="335">
        <v>14</v>
      </c>
      <c r="O1" s="335">
        <v>15</v>
      </c>
      <c r="P1" s="335">
        <v>16</v>
      </c>
      <c r="Q1" s="335">
        <v>17</v>
      </c>
      <c r="R1" s="335">
        <v>18</v>
      </c>
      <c r="S1" s="335">
        <v>19</v>
      </c>
      <c r="T1" s="335">
        <v>20</v>
      </c>
      <c r="U1" s="335">
        <v>21</v>
      </c>
      <c r="V1" s="335">
        <v>22</v>
      </c>
      <c r="W1" s="335">
        <v>23</v>
      </c>
      <c r="X1" s="335">
        <v>24</v>
      </c>
      <c r="Y1" s="335">
        <v>25</v>
      </c>
      <c r="Z1" s="335">
        <v>26</v>
      </c>
      <c r="AA1" s="335">
        <v>27</v>
      </c>
      <c r="AB1" s="335">
        <v>28</v>
      </c>
      <c r="AC1" s="335">
        <v>29</v>
      </c>
      <c r="AD1" s="335">
        <v>30</v>
      </c>
      <c r="AE1" s="335">
        <v>31</v>
      </c>
      <c r="AF1" s="335">
        <v>32</v>
      </c>
      <c r="AG1" s="335">
        <v>33</v>
      </c>
      <c r="AH1" s="335">
        <v>34</v>
      </c>
      <c r="AI1" s="335">
        <v>35</v>
      </c>
      <c r="AJ1" s="335">
        <v>36</v>
      </c>
      <c r="AK1" s="335">
        <v>37</v>
      </c>
      <c r="AL1" s="335">
        <v>38</v>
      </c>
      <c r="AM1" s="335">
        <v>39</v>
      </c>
      <c r="AN1" s="335">
        <v>40</v>
      </c>
      <c r="AO1" s="335">
        <v>41</v>
      </c>
      <c r="AP1" s="335">
        <v>42</v>
      </c>
      <c r="AQ1" s="335">
        <v>43</v>
      </c>
      <c r="AR1" s="335">
        <v>44</v>
      </c>
      <c r="AS1" s="335">
        <v>45</v>
      </c>
      <c r="AT1" s="335">
        <v>46</v>
      </c>
      <c r="AU1" s="335">
        <v>47</v>
      </c>
      <c r="AV1" s="335">
        <v>48</v>
      </c>
      <c r="AW1" s="335">
        <v>49</v>
      </c>
      <c r="AX1" s="335">
        <v>50</v>
      </c>
      <c r="AY1" s="335">
        <v>51</v>
      </c>
      <c r="AZ1" s="335">
        <v>52</v>
      </c>
      <c r="BA1" s="335">
        <v>53</v>
      </c>
      <c r="BB1" s="335">
        <v>54</v>
      </c>
      <c r="BC1" s="335">
        <v>55</v>
      </c>
      <c r="BD1" s="335">
        <v>56</v>
      </c>
      <c r="BE1" s="335">
        <v>57</v>
      </c>
      <c r="BF1" s="335">
        <v>58</v>
      </c>
      <c r="BG1" s="335">
        <v>59</v>
      </c>
      <c r="BH1" s="335">
        <v>60</v>
      </c>
      <c r="BI1" s="335">
        <v>61</v>
      </c>
      <c r="BJ1" s="335">
        <v>62</v>
      </c>
      <c r="BK1" s="335">
        <v>63</v>
      </c>
      <c r="BL1" s="335">
        <v>64</v>
      </c>
      <c r="BM1" s="335">
        <v>65</v>
      </c>
      <c r="BN1" s="335">
        <v>66</v>
      </c>
      <c r="BO1" s="335">
        <v>67</v>
      </c>
      <c r="BP1" s="335">
        <v>68</v>
      </c>
      <c r="BQ1" s="335">
        <v>69</v>
      </c>
      <c r="BR1" s="335">
        <v>70</v>
      </c>
      <c r="BS1" s="335">
        <v>71</v>
      </c>
      <c r="BT1" s="335">
        <v>72</v>
      </c>
      <c r="BU1" s="335">
        <v>73</v>
      </c>
      <c r="BV1" s="335">
        <v>74</v>
      </c>
      <c r="BW1" s="335">
        <v>75</v>
      </c>
      <c r="BX1" s="335">
        <v>76</v>
      </c>
      <c r="BY1" s="335">
        <v>77</v>
      </c>
      <c r="BZ1" s="335">
        <v>78</v>
      </c>
      <c r="CA1" s="335">
        <v>79</v>
      </c>
      <c r="CB1" s="335">
        <v>80</v>
      </c>
      <c r="CC1" s="335">
        <v>81</v>
      </c>
      <c r="CD1" s="335">
        <v>82</v>
      </c>
      <c r="CE1" s="335">
        <v>83</v>
      </c>
      <c r="CF1" s="335">
        <v>84</v>
      </c>
      <c r="CG1" s="335">
        <v>85</v>
      </c>
      <c r="CH1" s="335">
        <v>86</v>
      </c>
      <c r="CI1" s="335">
        <v>87</v>
      </c>
      <c r="CJ1" s="335">
        <v>88</v>
      </c>
    </row>
    <row r="2" spans="1:94" ht="19.5" customHeight="1" thickBot="1">
      <c r="A2" s="699" t="s">
        <v>974</v>
      </c>
      <c r="B2" s="409"/>
      <c r="C2" s="815" t="s">
        <v>735</v>
      </c>
      <c r="D2" s="815"/>
      <c r="E2" s="815"/>
      <c r="F2" s="815"/>
      <c r="G2" s="145"/>
      <c r="H2" s="816" t="s">
        <v>734</v>
      </c>
      <c r="I2" s="817"/>
      <c r="J2" s="817"/>
      <c r="K2" s="817"/>
      <c r="L2" s="817"/>
      <c r="M2" s="817"/>
      <c r="N2" s="817"/>
      <c r="O2" s="818"/>
      <c r="P2" s="145"/>
      <c r="Q2" s="822" t="s">
        <v>733</v>
      </c>
      <c r="R2" s="823"/>
      <c r="S2" s="823"/>
      <c r="T2" s="823"/>
      <c r="U2" s="823"/>
      <c r="V2" s="823"/>
      <c r="W2" s="823"/>
      <c r="X2" s="824"/>
      <c r="Y2" s="145"/>
      <c r="Z2" s="825" t="s">
        <v>732</v>
      </c>
      <c r="AA2" s="826"/>
      <c r="AB2" s="826"/>
      <c r="AC2" s="826"/>
      <c r="AD2" s="826"/>
      <c r="AE2" s="826"/>
      <c r="AF2" s="826"/>
      <c r="AG2" s="827"/>
      <c r="AH2" s="145"/>
      <c r="AI2" s="819" t="s">
        <v>731</v>
      </c>
      <c r="AJ2" s="820"/>
      <c r="AK2" s="820"/>
      <c r="AL2" s="820"/>
      <c r="AM2" s="820"/>
      <c r="AN2" s="820"/>
      <c r="AO2" s="820"/>
      <c r="AP2" s="820"/>
      <c r="AQ2" s="820"/>
      <c r="AR2" s="820"/>
      <c r="AS2" s="820"/>
      <c r="AT2" s="820"/>
      <c r="AU2" s="820"/>
      <c r="AV2" s="820"/>
      <c r="AW2" s="821"/>
      <c r="AX2" s="145"/>
      <c r="AY2" s="848" t="s">
        <v>730</v>
      </c>
      <c r="AZ2" s="849"/>
      <c r="BA2" s="849"/>
      <c r="BB2" s="849"/>
      <c r="BC2" s="849"/>
      <c r="BD2" s="849"/>
      <c r="BE2" s="849"/>
      <c r="BF2" s="849"/>
      <c r="BG2" s="849"/>
      <c r="BH2" s="849"/>
      <c r="BI2" s="849"/>
      <c r="BJ2" s="850"/>
      <c r="BK2" s="145"/>
      <c r="BL2" s="841" t="s">
        <v>930</v>
      </c>
      <c r="BM2" s="841"/>
      <c r="BN2" s="841"/>
      <c r="BO2" s="841"/>
      <c r="BP2" s="842"/>
      <c r="BQ2" s="145"/>
      <c r="BR2" s="840" t="s">
        <v>948</v>
      </c>
      <c r="BS2" s="841"/>
      <c r="BT2" s="841"/>
      <c r="BU2" s="841"/>
      <c r="BV2" s="842"/>
      <c r="BW2" s="841" t="s">
        <v>931</v>
      </c>
      <c r="BX2" s="841"/>
      <c r="BY2" s="841"/>
      <c r="BZ2" s="841"/>
      <c r="CA2" s="841"/>
      <c r="CB2" s="841"/>
      <c r="CC2" s="841"/>
      <c r="CD2" s="841"/>
      <c r="CE2" s="842"/>
      <c r="CF2" s="145"/>
      <c r="CG2" s="840" t="s">
        <v>932</v>
      </c>
      <c r="CH2" s="841"/>
      <c r="CI2" s="841"/>
      <c r="CJ2" s="842"/>
    </row>
    <row r="3" spans="1:94" ht="32.25" customHeight="1" thickBot="1">
      <c r="A3" s="335"/>
      <c r="B3" s="409"/>
      <c r="C3" s="807" t="s">
        <v>521</v>
      </c>
      <c r="D3" s="807"/>
      <c r="E3" s="807"/>
      <c r="F3" s="808"/>
      <c r="G3" s="144"/>
      <c r="H3" s="809" t="s">
        <v>727</v>
      </c>
      <c r="I3" s="810"/>
      <c r="J3" s="810"/>
      <c r="K3" s="811"/>
      <c r="L3" s="809" t="s">
        <v>443</v>
      </c>
      <c r="M3" s="810"/>
      <c r="N3" s="810"/>
      <c r="O3" s="811"/>
      <c r="P3" s="144"/>
      <c r="Q3" s="828" t="s">
        <v>523</v>
      </c>
      <c r="R3" s="829"/>
      <c r="S3" s="829"/>
      <c r="T3" s="830"/>
      <c r="U3" s="831" t="s">
        <v>443</v>
      </c>
      <c r="V3" s="832"/>
      <c r="W3" s="832"/>
      <c r="X3" s="833"/>
      <c r="Y3" s="144"/>
      <c r="Z3" s="834" t="s">
        <v>524</v>
      </c>
      <c r="AA3" s="835"/>
      <c r="AB3" s="835"/>
      <c r="AC3" s="836"/>
      <c r="AD3" s="837" t="s">
        <v>443</v>
      </c>
      <c r="AE3" s="838"/>
      <c r="AF3" s="838"/>
      <c r="AG3" s="839"/>
      <c r="AH3" s="144"/>
      <c r="AI3" s="813" t="s">
        <v>728</v>
      </c>
      <c r="AJ3" s="813"/>
      <c r="AK3" s="813"/>
      <c r="AL3" s="813"/>
      <c r="AM3" s="813"/>
      <c r="AN3" s="813"/>
      <c r="AO3" s="813"/>
      <c r="AP3" s="813"/>
      <c r="AQ3" s="813"/>
      <c r="AR3" s="814"/>
      <c r="AS3" s="812" t="s">
        <v>729</v>
      </c>
      <c r="AT3" s="813"/>
      <c r="AU3" s="813"/>
      <c r="AV3" s="813"/>
      <c r="AW3" s="814"/>
      <c r="AX3" s="144"/>
      <c r="AY3" s="857"/>
      <c r="AZ3" s="858"/>
      <c r="BA3" s="858"/>
      <c r="BB3" s="858"/>
      <c r="BC3" s="858"/>
      <c r="BD3" s="858"/>
      <c r="BE3" s="858"/>
      <c r="BF3" s="858"/>
      <c r="BG3" s="858"/>
      <c r="BH3" s="858"/>
      <c r="BI3" s="858"/>
      <c r="BJ3" s="859"/>
      <c r="BK3" s="144"/>
      <c r="BL3" s="825"/>
      <c r="BM3" s="826"/>
      <c r="BN3" s="826"/>
      <c r="BO3" s="826"/>
      <c r="BP3" s="826"/>
      <c r="BQ3" s="144"/>
      <c r="BR3" s="844"/>
      <c r="BS3" s="844"/>
      <c r="BT3" s="844"/>
      <c r="BU3" s="844"/>
      <c r="BV3" s="845"/>
      <c r="BW3" s="612"/>
      <c r="BX3" s="612"/>
      <c r="BY3" s="612"/>
      <c r="BZ3" s="612"/>
      <c r="CA3" s="612"/>
      <c r="CB3" s="612"/>
      <c r="CC3" s="612"/>
      <c r="CD3" s="612"/>
      <c r="CE3" s="613"/>
      <c r="CF3" s="144"/>
      <c r="CG3" s="840"/>
      <c r="CH3" s="841"/>
      <c r="CI3" s="841"/>
      <c r="CJ3" s="842"/>
    </row>
    <row r="4" spans="1:94" s="357" customFormat="1" ht="32.25" customHeight="1" thickBot="1">
      <c r="A4" s="335"/>
      <c r="B4" s="410"/>
      <c r="C4" s="390"/>
      <c r="D4" s="375"/>
      <c r="E4" s="353"/>
      <c r="F4" s="350"/>
      <c r="G4" s="144"/>
      <c r="H4" s="400"/>
      <c r="I4" s="401"/>
      <c r="J4" s="401"/>
      <c r="K4" s="402"/>
      <c r="L4" s="401"/>
      <c r="M4" s="401"/>
      <c r="N4" s="401"/>
      <c r="O4" s="402"/>
      <c r="P4" s="144"/>
      <c r="Q4" s="345"/>
      <c r="R4" s="356"/>
      <c r="S4" s="356"/>
      <c r="T4" s="356"/>
      <c r="U4" s="346"/>
      <c r="V4" s="349"/>
      <c r="W4" s="349"/>
      <c r="X4" s="348"/>
      <c r="Y4" s="144"/>
      <c r="Z4" s="408"/>
      <c r="AA4" s="408"/>
      <c r="AB4" s="355"/>
      <c r="AC4" s="354"/>
      <c r="AD4" s="834"/>
      <c r="AE4" s="835"/>
      <c r="AF4" s="835"/>
      <c r="AG4" s="836"/>
      <c r="AH4" s="144"/>
      <c r="AI4" s="813" t="s">
        <v>682</v>
      </c>
      <c r="AJ4" s="813"/>
      <c r="AK4" s="813"/>
      <c r="AL4" s="813"/>
      <c r="AM4" s="813"/>
      <c r="AN4" s="814"/>
      <c r="AO4" s="813" t="s">
        <v>443</v>
      </c>
      <c r="AP4" s="813"/>
      <c r="AQ4" s="813"/>
      <c r="AR4" s="814"/>
      <c r="AS4" s="812" t="s">
        <v>673</v>
      </c>
      <c r="AT4" s="813"/>
      <c r="AU4" s="813"/>
      <c r="AV4" s="813"/>
      <c r="AW4" s="814"/>
      <c r="AX4" s="144"/>
      <c r="AY4" s="851" t="s">
        <v>730</v>
      </c>
      <c r="AZ4" s="852"/>
      <c r="BA4" s="852"/>
      <c r="BB4" s="852"/>
      <c r="BC4" s="852"/>
      <c r="BD4" s="852"/>
      <c r="BE4" s="852"/>
      <c r="BF4" s="853"/>
      <c r="BG4" s="854" t="s">
        <v>443</v>
      </c>
      <c r="BH4" s="855"/>
      <c r="BI4" s="855"/>
      <c r="BJ4" s="856"/>
      <c r="BK4" s="144"/>
      <c r="BL4" s="846" t="s">
        <v>723</v>
      </c>
      <c r="BM4" s="847"/>
      <c r="BN4" s="847"/>
      <c r="BO4" s="847"/>
      <c r="BP4" s="847"/>
      <c r="BQ4" s="144"/>
      <c r="BR4" s="825" t="s">
        <v>949</v>
      </c>
      <c r="BS4" s="826"/>
      <c r="BT4" s="826"/>
      <c r="BU4" s="826"/>
      <c r="BV4" s="827"/>
      <c r="BW4" s="843" t="s">
        <v>936</v>
      </c>
      <c r="BX4" s="844"/>
      <c r="BY4" s="844"/>
      <c r="BZ4" s="844"/>
      <c r="CA4" s="845"/>
      <c r="CB4" s="825" t="s">
        <v>443</v>
      </c>
      <c r="CC4" s="826"/>
      <c r="CD4" s="826"/>
      <c r="CE4" s="826"/>
      <c r="CF4" s="144"/>
      <c r="CG4" s="840" t="s">
        <v>955</v>
      </c>
      <c r="CH4" s="841"/>
      <c r="CI4" s="841"/>
      <c r="CJ4" s="842"/>
    </row>
    <row r="5" spans="1:94" ht="35.25" customHeight="1" thickBot="1">
      <c r="A5" s="147" t="s">
        <v>372</v>
      </c>
      <c r="B5" s="291" t="s">
        <v>51</v>
      </c>
      <c r="C5" s="148" t="s">
        <v>411</v>
      </c>
      <c r="D5" s="148" t="s">
        <v>410</v>
      </c>
      <c r="E5" s="148" t="s">
        <v>413</v>
      </c>
      <c r="F5" s="148" t="s">
        <v>412</v>
      </c>
      <c r="G5" s="146"/>
      <c r="H5" s="403" t="s">
        <v>411</v>
      </c>
      <c r="I5" s="403" t="s">
        <v>410</v>
      </c>
      <c r="J5" s="403" t="s">
        <v>413</v>
      </c>
      <c r="K5" s="403" t="s">
        <v>412</v>
      </c>
      <c r="L5" s="404" t="s">
        <v>411</v>
      </c>
      <c r="M5" s="403" t="s">
        <v>410</v>
      </c>
      <c r="N5" s="403" t="s">
        <v>413</v>
      </c>
      <c r="O5" s="403" t="s">
        <v>412</v>
      </c>
      <c r="P5" s="146"/>
      <c r="Q5" s="149" t="s">
        <v>411</v>
      </c>
      <c r="R5" s="149" t="s">
        <v>410</v>
      </c>
      <c r="S5" s="149" t="s">
        <v>413</v>
      </c>
      <c r="T5" s="149" t="s">
        <v>412</v>
      </c>
      <c r="U5" s="149" t="s">
        <v>411</v>
      </c>
      <c r="V5" s="149" t="s">
        <v>410</v>
      </c>
      <c r="W5" s="149" t="s">
        <v>413</v>
      </c>
      <c r="X5" s="149" t="s">
        <v>412</v>
      </c>
      <c r="Y5" s="146"/>
      <c r="Z5" s="151" t="s">
        <v>411</v>
      </c>
      <c r="AA5" s="151" t="s">
        <v>410</v>
      </c>
      <c r="AB5" s="151" t="s">
        <v>413</v>
      </c>
      <c r="AC5" s="151" t="s">
        <v>412</v>
      </c>
      <c r="AD5" s="411" t="s">
        <v>411</v>
      </c>
      <c r="AE5" s="151" t="s">
        <v>410</v>
      </c>
      <c r="AF5" s="151" t="s">
        <v>413</v>
      </c>
      <c r="AG5" s="151" t="s">
        <v>412</v>
      </c>
      <c r="AH5" s="146"/>
      <c r="AI5" s="153" t="s">
        <v>681</v>
      </c>
      <c r="AJ5" s="153" t="s">
        <v>780</v>
      </c>
      <c r="AK5" s="153" t="s">
        <v>411</v>
      </c>
      <c r="AL5" s="153" t="s">
        <v>410</v>
      </c>
      <c r="AM5" s="153" t="s">
        <v>413</v>
      </c>
      <c r="AN5" s="153" t="s">
        <v>412</v>
      </c>
      <c r="AO5" s="263" t="s">
        <v>411</v>
      </c>
      <c r="AP5" s="153" t="s">
        <v>410</v>
      </c>
      <c r="AQ5" s="153" t="s">
        <v>413</v>
      </c>
      <c r="AR5" s="153" t="s">
        <v>412</v>
      </c>
      <c r="AS5" s="153" t="s">
        <v>681</v>
      </c>
      <c r="AT5" s="153" t="s">
        <v>411</v>
      </c>
      <c r="AU5" s="153" t="s">
        <v>410</v>
      </c>
      <c r="AV5" s="153" t="s">
        <v>413</v>
      </c>
      <c r="AW5" s="153" t="s">
        <v>412</v>
      </c>
      <c r="AX5" s="146"/>
      <c r="AY5" s="264" t="s">
        <v>741</v>
      </c>
      <c r="AZ5" s="264" t="s">
        <v>742</v>
      </c>
      <c r="BA5" s="264" t="s">
        <v>743</v>
      </c>
      <c r="BB5" s="264" t="s">
        <v>744</v>
      </c>
      <c r="BC5" s="264" t="s">
        <v>411</v>
      </c>
      <c r="BD5" s="264" t="s">
        <v>410</v>
      </c>
      <c r="BE5" s="264" t="s">
        <v>413</v>
      </c>
      <c r="BF5" s="264" t="s">
        <v>412</v>
      </c>
      <c r="BG5" s="264" t="s">
        <v>411</v>
      </c>
      <c r="BH5" s="264" t="s">
        <v>410</v>
      </c>
      <c r="BI5" s="264" t="s">
        <v>413</v>
      </c>
      <c r="BJ5" s="264" t="s">
        <v>412</v>
      </c>
      <c r="BK5" s="146"/>
      <c r="BL5" s="151" t="s">
        <v>890</v>
      </c>
      <c r="BM5" s="151" t="s">
        <v>411</v>
      </c>
      <c r="BN5" s="151" t="s">
        <v>410</v>
      </c>
      <c r="BO5" s="151" t="s">
        <v>413</v>
      </c>
      <c r="BP5" s="382" t="s">
        <v>412</v>
      </c>
      <c r="BQ5" s="146"/>
      <c r="BR5" s="151" t="s">
        <v>957</v>
      </c>
      <c r="BS5" s="151" t="s">
        <v>411</v>
      </c>
      <c r="BT5" s="151" t="s">
        <v>410</v>
      </c>
      <c r="BU5" s="151" t="s">
        <v>413</v>
      </c>
      <c r="BV5" s="151" t="s">
        <v>412</v>
      </c>
      <c r="BW5" s="151" t="s">
        <v>724</v>
      </c>
      <c r="BX5" s="151" t="s">
        <v>411</v>
      </c>
      <c r="BY5" s="151" t="s">
        <v>410</v>
      </c>
      <c r="BZ5" s="151" t="s">
        <v>413</v>
      </c>
      <c r="CA5" s="151" t="s">
        <v>412</v>
      </c>
      <c r="CB5" s="411" t="s">
        <v>411</v>
      </c>
      <c r="CC5" s="151" t="s">
        <v>410</v>
      </c>
      <c r="CD5" s="151" t="s">
        <v>413</v>
      </c>
      <c r="CE5" s="382" t="s">
        <v>412</v>
      </c>
      <c r="CF5" s="146"/>
      <c r="CG5" s="151" t="s">
        <v>411</v>
      </c>
      <c r="CH5" s="151" t="s">
        <v>410</v>
      </c>
      <c r="CI5" s="151" t="s">
        <v>413</v>
      </c>
      <c r="CJ5" s="151" t="s">
        <v>412</v>
      </c>
    </row>
    <row r="6" spans="1:94" ht="16.5" customHeight="1">
      <c r="A6" s="295">
        <v>100</v>
      </c>
      <c r="B6" s="292" t="s">
        <v>1</v>
      </c>
      <c r="C6" s="293">
        <f>IF(ISERROR(VLOOKUP($A6,'Allocate OPROC cost'!A:M,11,FALSE)),"-",VLOOKUP($A6,'Allocate OPROC cost'!A:M,11,FALSE))</f>
        <v>133.80797264686638</v>
      </c>
      <c r="D6" s="140">
        <f>IF(ISERROR(VLOOKUP($A6,'Allocate OPROC cost'!A:M,10,FALSE)),"-",VLOOKUP($A6,'Allocate OPROC cost'!A:M,10,FALSE))</f>
        <v>204.0542816023798</v>
      </c>
      <c r="E6" s="140">
        <f>IF(ISERROR(VLOOKUP($A6,'Allocate OPROC cost'!A:M,13,FALSE)),"-",VLOOKUP($A6,'Allocate OPROC cost'!A:M,13,FALSE))</f>
        <v>101.66325023439084</v>
      </c>
      <c r="F6" s="294">
        <f>IF(ISERROR(VLOOKUP($A6,'Allocate OPROC cost'!A:M,12,FALSE)),"-",VLOOKUP($A6,'Allocate OPROC cost'!A:M,12,FALSE))</f>
        <v>148.33637983912516</v>
      </c>
      <c r="G6" s="297"/>
      <c r="H6" s="405">
        <f>IF(ISERROR(VLOOKUP($A6,'Allocate OPROC cost'!A:AO,39,FALSE)),"-",VLOOKUP($A6,'Allocate OPROC cost'!A:AO,39,FALSE))</f>
        <v>134.13697733003926</v>
      </c>
      <c r="I6" s="406">
        <f>IF(ISERROR(VLOOKUP($A6,'Allocate OPROC cost'!A:AO,38,FALSE)),"-",VLOOKUP($A6,'Allocate OPROC cost'!A:AO,38,FALSE))</f>
        <v>204.0542816023798</v>
      </c>
      <c r="J6" s="406">
        <f>IF(ISERROR(VLOOKUP($A6,'Allocate OPROC cost'!A:AO,41,FALSE)),"-",VLOOKUP($A6,'Allocate OPROC cost'!A:AO,41,FALSE))</f>
        <v>102.04625421380885</v>
      </c>
      <c r="K6" s="407">
        <f>IF(ISERROR(VLOOKUP($A6,'Allocate OPROC cost'!A:AO,40,FALSE)),"-",VLOOKUP($A6,'Allocate OPROC cost'!A:AO,40,FALSE))</f>
        <v>148.33637983912516</v>
      </c>
      <c r="L6" s="425">
        <f t="shared" ref="L6:L37" si="0">IF(ISERROR(H6/C6-1),"-",H6/C6-1)</f>
        <v>2.4587823629997896E-3</v>
      </c>
      <c r="M6" s="426">
        <f t="shared" ref="M6:M37" si="1">IF(ISERROR(I6/D6-1),"-",I6/D6-1)</f>
        <v>0</v>
      </c>
      <c r="N6" s="426">
        <f t="shared" ref="N6:N37" si="2">IF(ISERROR(J6/E6-1),"-",J6/E6-1)</f>
        <v>3.7673788565186772E-3</v>
      </c>
      <c r="O6" s="425">
        <f t="shared" ref="O6:O37" si="3">IF(ISERROR(K6/F6-1),"-",K6/F6-1)</f>
        <v>0</v>
      </c>
      <c r="P6" s="297"/>
      <c r="Q6" s="299">
        <f>IF(ISERROR(VLOOKUP($A6,'Front-loading'!$A:$AG,27,FALSE)),"-",VLOOKUP($A6,'Front-loading'!$A:$AG,27,FALSE))</f>
        <v>149.59662546095313</v>
      </c>
      <c r="R6" s="150">
        <f>IF(ISERROR(VLOOKUP($A6,'Front-loading'!$A:$AG,26,FALSE)),"-",VLOOKUP($A6,'Front-loading'!$A:$AG,26,FALSE))</f>
        <v>232.86930742900637</v>
      </c>
      <c r="S6" s="150">
        <f>IF(ISERROR(VLOOKUP($A6,'Front-loading'!$A:$AG,29,FALSE)),"-",VLOOKUP($A6,'Front-loading'!$A:$AG,29,FALSE))</f>
        <v>91.841628792427983</v>
      </c>
      <c r="T6" s="300">
        <f>IF(ISERROR(VLOOKUP($A6,'Front-loading'!$A:$AG,28,FALSE)),"-",VLOOKUP($A6,'Front-loading'!$A:$AG,28,FALSE))</f>
        <v>133.50274185521266</v>
      </c>
      <c r="U6" s="429">
        <f t="shared" ref="U6:U37" si="4">IF(ISERROR(Q6/H6-1),"-",Q6/H6-1)</f>
        <v>0.11525269495879553</v>
      </c>
      <c r="V6" s="430">
        <f t="shared" ref="V6:V37" si="5">IF(ISERROR(R6/I6-1),"-",R6/I6-1)</f>
        <v>0.14121255187762016</v>
      </c>
      <c r="W6" s="430">
        <f t="shared" ref="W6:W37" si="6">IF(ISERROR(S6/J6-1),"-",S6/J6-1)</f>
        <v>-9.9999999999999867E-2</v>
      </c>
      <c r="X6" s="431">
        <f t="shared" ref="X6:X37" si="7">IF(ISERROR(T6/K6-1),"-",T6/K6-1)</f>
        <v>-9.9999999999999867E-2</v>
      </c>
      <c r="Y6" s="297"/>
      <c r="Z6" s="152">
        <f>IF(ISERROR(VLOOKUP($A6,'Further adjustment'!$A:$BC,53,FALSE)),"-",VLOOKUP($A6,'Further adjustment'!$A:$BC,53,FALSE))</f>
        <v>149.59662546095313</v>
      </c>
      <c r="AA6" s="152">
        <f>IF(ISERROR(VLOOKUP($A6,'Further adjustment'!$A:$BC,52,FALSE)),"-",VLOOKUP($A6,'Further adjustment'!$A:$BC,52,FALSE))</f>
        <v>232.86930742900637</v>
      </c>
      <c r="AB6" s="152">
        <f>IF(ISERROR(VLOOKUP($A6,'Further adjustment'!$A:$BC,55,FALSE)),"-",VLOOKUP($A6,'Further adjustment'!$A:$BC,55,FALSE))</f>
        <v>91.841628792427983</v>
      </c>
      <c r="AC6" s="412">
        <f>IF(ISERROR(VLOOKUP($A6,'Further adjustment'!$A:$BC,54,FALSE)),"-",VLOOKUP($A6,'Further adjustment'!$A:$BC,54,FALSE))</f>
        <v>133.50274185521266</v>
      </c>
      <c r="AD6" s="435">
        <f t="shared" ref="AD6:AD37" si="8">IF(ISERROR(Z6/Q6-1),"-",Z6/Q6-1)</f>
        <v>0</v>
      </c>
      <c r="AE6" s="436">
        <f t="shared" ref="AE6:AE37" si="9">IF(ISERROR(AA6/R6-1),"-",AA6/R6-1)</f>
        <v>0</v>
      </c>
      <c r="AF6" s="436">
        <f t="shared" ref="AF6:AF37" si="10">IF(ISERROR(AB6/S6-1),"-",AB6/S6-1)</f>
        <v>0</v>
      </c>
      <c r="AG6" s="436">
        <f t="shared" ref="AG6:AG37" si="11">IF(ISERROR(AC6/T6-1),"-",AC6/T6-1)</f>
        <v>0</v>
      </c>
      <c r="AH6" s="297"/>
      <c r="AI6" s="347">
        <f>'Price Adjustments'!$H$7</f>
        <v>-4.2387925000000104E-2</v>
      </c>
      <c r="AJ6" s="467">
        <f>'Price Adjustments'!$G$91</f>
        <v>0</v>
      </c>
      <c r="AK6" s="352">
        <f>IF(ISERROR(Z6*(1+$AI6)*(1+$AJ6)),"-",Z6*(1+$AI6)*(1+$AJ6))</f>
        <v>143.25553492066115</v>
      </c>
      <c r="AL6" s="352">
        <f>IF(ISERROR(AA6*(1+$AI6)*(1+$AJ6)),"-",AA6*(1+$AI6)*(1+$AJ6))</f>
        <v>222.99846069090367</v>
      </c>
      <c r="AM6" s="352">
        <f>IF(ISERROR(AB6*(1+$AI6)*(1+$AJ6)),"-",AB6*(1+$AI6)*(1+$AJ6))</f>
        <v>87.948652719296689</v>
      </c>
      <c r="AN6" s="413">
        <f>IF(ISERROR(AC6*(1+$AI6)*(1+$AJ6)),"-",AC6*(1+$AI6)*(1+$AJ6))</f>
        <v>127.84383764615953</v>
      </c>
      <c r="AO6" s="439">
        <f t="shared" ref="AO6:AO37" si="12">IF(ISERROR(AK6/Z6-1),"-",AK6/Z6-1)</f>
        <v>-4.2387925000000104E-2</v>
      </c>
      <c r="AP6" s="440">
        <f t="shared" ref="AP6:AP37" si="13">IF(ISERROR(AL6/AA6-1),"-",AL6/AA6-1)</f>
        <v>-4.2387925000000104E-2</v>
      </c>
      <c r="AQ6" s="440">
        <f t="shared" ref="AQ6:AQ37" si="14">IF(ISERROR(AM6/AB6-1),"-",AM6/AB6-1)</f>
        <v>-4.2387925000000215E-2</v>
      </c>
      <c r="AR6" s="441">
        <f t="shared" ref="AR6:AR37" si="15">IF(ISERROR(AN6/AC6-1),"-",AN6/AC6-1)</f>
        <v>-4.2387925000000104E-2</v>
      </c>
      <c r="AS6" s="359">
        <f>'Price Adjustments'!$G$7</f>
        <v>0</v>
      </c>
      <c r="AT6" s="250">
        <f>IF(ISERROR(VLOOKUP($A6,'14-15 tariff'!$A:$F,3,FALSE)*(1+$AS$6)),"-",VLOOKUP($A6,'14-15 tariff'!$A:$F,3,FALSE)*(1+$AS$6))</f>
        <v>140</v>
      </c>
      <c r="AU6" s="250">
        <f>IF(ISERROR(VLOOKUP($A6,'14-15 tariff'!$A:$F,4,FALSE)*(1+$AS$6)),"-",VLOOKUP($A6,'14-15 tariff'!$A:$F,4,FALSE)*(1+$AS$6))</f>
        <v>150</v>
      </c>
      <c r="AV6" s="250">
        <f>IF(ISERROR(VLOOKUP($A6,'14-15 tariff'!$A:$F,5,FALSE)*(1+$AS$6)),"-",VLOOKUP($A6,'14-15 tariff'!$A:$F,5,FALSE)*(1+$AS$6))</f>
        <v>81</v>
      </c>
      <c r="AW6" s="250">
        <f>IF(ISERROR(VLOOKUP($A6,'14-15 tariff'!$A:$F,6,FALSE)*(1+$AS$6)),"-",VLOOKUP($A6,'14-15 tariff'!$A:$F,6,FALSE)*(1+$AS$6))</f>
        <v>95</v>
      </c>
      <c r="AX6" s="297"/>
      <c r="AY6" s="620" t="s">
        <v>522</v>
      </c>
      <c r="AZ6" s="621" t="s">
        <v>522</v>
      </c>
      <c r="BA6" s="621" t="s">
        <v>522</v>
      </c>
      <c r="BB6" s="499" t="s">
        <v>522</v>
      </c>
      <c r="BC6" s="339">
        <f t="shared" ref="BC6:BC37" si="16">IF(AY6="Modelled",AK6,IF(AY6="Roll-over",AT6,"Error"))</f>
        <v>143.25553492066115</v>
      </c>
      <c r="BD6" s="339">
        <f t="shared" ref="BD6:BD37" si="17">IF(AZ6="Modelled",AL6,IF(AZ6="Roll-over",AU6,"Error"))</f>
        <v>222.99846069090367</v>
      </c>
      <c r="BE6" s="339">
        <f t="shared" ref="BE6:BE37" si="18">IF(BA6="Modelled",AM6,IF(BA6="Roll-over",AV6,"Error"))</f>
        <v>87.948652719296689</v>
      </c>
      <c r="BF6" s="340">
        <f t="shared" ref="BF6:BF37" si="19">IF(BB6="Modelled",AN6,IF(BB6="Roll-over",AW6,"Error"))</f>
        <v>127.84383764615953</v>
      </c>
      <c r="BG6" s="265">
        <f t="shared" ref="BG6:BG37" si="20">IF(ISERROR(BC6/Z6-1),"-",BC6/Z6-1)</f>
        <v>-4.2387925000000104E-2</v>
      </c>
      <c r="BH6" s="265">
        <f t="shared" ref="BH6:BH37" si="21">IF(ISERROR(BD6/AA6-1),"-",BD6/AA6-1)</f>
        <v>-4.2387925000000104E-2</v>
      </c>
      <c r="BI6" s="265">
        <f t="shared" ref="BI6:BI37" si="22">IF(ISERROR(BE6/AB6-1),"-",BE6/AB6-1)</f>
        <v>-4.2387925000000215E-2</v>
      </c>
      <c r="BJ6" s="265">
        <f t="shared" ref="BJ6:BJ37" si="23">IF(ISERROR(BF6/AC6-1),"-",BF6/AC6-1)</f>
        <v>-4.2387925000000104E-2</v>
      </c>
      <c r="BK6" s="297"/>
      <c r="BL6" s="502">
        <f>'Price Adjustments'!$C$66</f>
        <v>-1.22128076562165E-2</v>
      </c>
      <c r="BM6" s="376">
        <f t="shared" ref="BM6:BM37" si="24">BC6*(1+$BL6)</f>
        <v>141.50598262698671</v>
      </c>
      <c r="BN6" s="376">
        <f t="shared" ref="BN6:BN37" si="25">BD6*(1+$BL6)</f>
        <v>220.27502338285331</v>
      </c>
      <c r="BO6" s="376">
        <f t="shared" ref="BO6:BO37" si="26">BE6*(1+$BL6)</f>
        <v>86.874552740012533</v>
      </c>
      <c r="BP6" s="376">
        <f t="shared" ref="BP6:BP37" si="27">BF6*(1+$BL6)</f>
        <v>126.28250544695442</v>
      </c>
      <c r="BQ6" s="297"/>
      <c r="BR6" s="617" t="str">
        <f>IF(COUNTIF('Manual adjustments'!$A:$A,A6)=1,"Y","")</f>
        <v/>
      </c>
      <c r="BS6" s="378">
        <f>IF($BR6="",BM6,IF(AND($BR6="Y",VLOOKUP($A6,'Manual adjustments'!$A:$O,12,FALSE)&lt;&gt;""),VLOOKUP($A6,'Manual adjustments'!$A:$O,12,FALSE),BM6))</f>
        <v>141.50598262698671</v>
      </c>
      <c r="BT6" s="378">
        <f>IF($BR6="",BN6,IF(AND($BR6="Y",VLOOKUP($A6,'Manual adjustments'!$A:$O,13,FALSE)&lt;&gt;""),VLOOKUP($A6,'Manual adjustments'!$A:$O,13,FALSE),BN6))</f>
        <v>220.27502338285331</v>
      </c>
      <c r="BU6" s="378">
        <f>IF($BR6="",BO6,IF(AND($BR6="Y",VLOOKUP($A6,'Manual adjustments'!$A:$O,14,FALSE)&lt;&gt;""),VLOOKUP($A6,'Manual adjustments'!$A:$O,14,FALSE),BO6))</f>
        <v>86.874552740012533</v>
      </c>
      <c r="BV6" s="378">
        <f>IF($BR6="",BP6,IF(AND($BR6="Y",VLOOKUP($A6,'Manual adjustments'!$A:$O,15,FALSE)&lt;&gt;""),VLOOKUP($A6,'Manual adjustments'!$A:$O,15,FALSE),BP6))</f>
        <v>126.28250544695442</v>
      </c>
      <c r="BW6" s="383">
        <f>'Price Adjustments'!$D$66</f>
        <v>0</v>
      </c>
      <c r="BX6" s="376">
        <f>BS6*(1+$BW6)</f>
        <v>141.50598262698671</v>
      </c>
      <c r="BY6" s="376">
        <f>BT6*(1+$BW6)</f>
        <v>220.27502338285331</v>
      </c>
      <c r="BZ6" s="376">
        <f>BU6*(1+$BW6)</f>
        <v>86.874552740012533</v>
      </c>
      <c r="CA6" s="377">
        <f>BV6*(1+$BW6)</f>
        <v>126.28250544695442</v>
      </c>
      <c r="CB6" s="614">
        <f>IF(ISERROR(BX6/BS6-1),0,BX6/BS6-1)</f>
        <v>0</v>
      </c>
      <c r="CC6" s="422">
        <f t="shared" ref="CC6:CE6" si="28">IF(ISERROR(BY6/BT6-1),0,BY6/BT6-1)</f>
        <v>0</v>
      </c>
      <c r="CD6" s="422">
        <f t="shared" si="28"/>
        <v>0</v>
      </c>
      <c r="CE6" s="422">
        <f t="shared" si="28"/>
        <v>0</v>
      </c>
      <c r="CF6" s="297"/>
      <c r="CG6" s="387">
        <f>ROUND(BX6,0)</f>
        <v>142</v>
      </c>
      <c r="CH6" s="376">
        <f t="shared" ref="CH6:CJ6" si="29">ROUND(BY6,0)</f>
        <v>220</v>
      </c>
      <c r="CI6" s="376">
        <f t="shared" si="29"/>
        <v>87</v>
      </c>
      <c r="CJ6" s="377">
        <f t="shared" si="29"/>
        <v>126</v>
      </c>
      <c r="CN6" s="507"/>
      <c r="CO6" s="507"/>
      <c r="CP6" s="507"/>
    </row>
    <row r="7" spans="1:94" ht="16.5" customHeight="1">
      <c r="A7" s="296">
        <v>101</v>
      </c>
      <c r="B7" s="292" t="s">
        <v>2</v>
      </c>
      <c r="C7" s="293">
        <f>IF(ISERROR(VLOOKUP($A7,'Allocate OPROC cost'!A:M,11,FALSE)),"-",VLOOKUP($A7,'Allocate OPROC cost'!A:M,11,FALSE))</f>
        <v>118.80336335121679</v>
      </c>
      <c r="D7" s="140">
        <f>IF(ISERROR(VLOOKUP($A7,'Allocate OPROC cost'!A:M,10,FALSE)),"-",VLOOKUP($A7,'Allocate OPROC cost'!A:M,10,FALSE))</f>
        <v>167.48950092280452</v>
      </c>
      <c r="E7" s="140">
        <f>IF(ISERROR(VLOOKUP($A7,'Allocate OPROC cost'!A:M,13,FALSE)),"-",VLOOKUP($A7,'Allocate OPROC cost'!A:M,13,FALSE))</f>
        <v>86.564528215895606</v>
      </c>
      <c r="F7" s="294">
        <f>IF(ISERROR(VLOOKUP($A7,'Allocate OPROC cost'!A:M,12,FALSE)),"-",VLOOKUP($A7,'Allocate OPROC cost'!A:M,12,FALSE))</f>
        <v>121.5422373044277</v>
      </c>
      <c r="G7" s="298"/>
      <c r="H7" s="405">
        <f>IF(ISERROR(VLOOKUP($A7,'Allocate OPROC cost'!A:AO,39,FALSE)),"-",VLOOKUP($A7,'Allocate OPROC cost'!A:AO,39,FALSE))</f>
        <v>119.33072782477159</v>
      </c>
      <c r="I7" s="406">
        <f>IF(ISERROR(VLOOKUP($A7,'Allocate OPROC cost'!A:AO,38,FALSE)),"-",VLOOKUP($A7,'Allocate OPROC cost'!A:AO,38,FALSE))</f>
        <v>167.48950092280452</v>
      </c>
      <c r="J7" s="406">
        <f>IF(ISERROR(VLOOKUP($A7,'Allocate OPROC cost'!A:AO,41,FALSE)),"-",VLOOKUP($A7,'Allocate OPROC cost'!A:AO,41,FALSE))</f>
        <v>87.398491487116743</v>
      </c>
      <c r="K7" s="407">
        <f>IF(ISERROR(VLOOKUP($A7,'Allocate OPROC cost'!A:AO,40,FALSE)),"-",VLOOKUP($A7,'Allocate OPROC cost'!A:AO,40,FALSE))</f>
        <v>121.5422373044277</v>
      </c>
      <c r="L7" s="425">
        <f t="shared" si="0"/>
        <v>4.4389692234196865E-3</v>
      </c>
      <c r="M7" s="426">
        <f t="shared" si="1"/>
        <v>0</v>
      </c>
      <c r="N7" s="426">
        <f t="shared" si="2"/>
        <v>9.6340070050540128E-3</v>
      </c>
      <c r="O7" s="425">
        <f t="shared" si="3"/>
        <v>0</v>
      </c>
      <c r="P7" s="298"/>
      <c r="Q7" s="299">
        <f>IF(ISERROR(VLOOKUP($A7,'Front-loading'!$A:$AG,27,FALSE)),"-",VLOOKUP($A7,'Front-loading'!$A:$AG,27,FALSE))</f>
        <v>137.88518914259626</v>
      </c>
      <c r="R7" s="150">
        <f>IF(ISERROR(VLOOKUP($A7,'Front-loading'!$A:$AG,26,FALSE)),"-",VLOOKUP($A7,'Front-loading'!$A:$AG,26,FALSE))</f>
        <v>211.30212788183368</v>
      </c>
      <c r="S7" s="150">
        <f>IF(ISERROR(VLOOKUP($A7,'Front-loading'!$A:$AG,29,FALSE)),"-",VLOOKUP($A7,'Front-loading'!$A:$AG,29,FALSE))</f>
        <v>78.658642338405073</v>
      </c>
      <c r="T7" s="300">
        <f>IF(ISERROR(VLOOKUP($A7,'Front-loading'!$A:$AG,28,FALSE)),"-",VLOOKUP($A7,'Front-loading'!$A:$AG,28,FALSE))</f>
        <v>109.38801357398494</v>
      </c>
      <c r="U7" s="429">
        <f t="shared" si="4"/>
        <v>0.1554877076176937</v>
      </c>
      <c r="V7" s="430">
        <f t="shared" si="5"/>
        <v>0.26158431852526864</v>
      </c>
      <c r="W7" s="430">
        <f t="shared" si="6"/>
        <v>-9.9999999999999978E-2</v>
      </c>
      <c r="X7" s="431">
        <f t="shared" si="7"/>
        <v>-9.9999999999999978E-2</v>
      </c>
      <c r="Y7" s="298"/>
      <c r="Z7" s="152">
        <f>IF(ISERROR(VLOOKUP($A7,'Further adjustment'!$A:$BC,53,FALSE)),"-",VLOOKUP($A7,'Further adjustment'!$A:$BC,53,FALSE))</f>
        <v>137.88518914259626</v>
      </c>
      <c r="AA7" s="152">
        <f>IF(ISERROR(VLOOKUP($A7,'Further adjustment'!$A:$BC,52,FALSE)),"-",VLOOKUP($A7,'Further adjustment'!$A:$BC,52,FALSE))</f>
        <v>211.30212788183368</v>
      </c>
      <c r="AB7" s="152">
        <f>IF(ISERROR(VLOOKUP($A7,'Further adjustment'!$A:$BC,55,FALSE)),"-",VLOOKUP($A7,'Further adjustment'!$A:$BC,55,FALSE))</f>
        <v>78.658642338405073</v>
      </c>
      <c r="AC7" s="412">
        <f>IF(ISERROR(VLOOKUP($A7,'Further adjustment'!$A:$BC,54,FALSE)),"-",VLOOKUP($A7,'Further adjustment'!$A:$BC,54,FALSE))</f>
        <v>109.38801357398494</v>
      </c>
      <c r="AD7" s="435">
        <f t="shared" si="8"/>
        <v>0</v>
      </c>
      <c r="AE7" s="436">
        <f t="shared" si="9"/>
        <v>0</v>
      </c>
      <c r="AF7" s="436">
        <f t="shared" si="10"/>
        <v>0</v>
      </c>
      <c r="AG7" s="436">
        <f t="shared" si="11"/>
        <v>0</v>
      </c>
      <c r="AH7" s="298"/>
      <c r="AI7" s="347">
        <f>'Price Adjustments'!$H$7</f>
        <v>-4.2387925000000104E-2</v>
      </c>
      <c r="AJ7" s="467">
        <f>'Price Adjustments'!$G$91</f>
        <v>0</v>
      </c>
      <c r="AK7" s="352">
        <f t="shared" ref="AK7:AK61" si="30">IF(ISERROR(Z7*(1+$AI7)*(1+$AJ7)),"-",Z7*(1+$AI7)*(1+$AJ7))</f>
        <v>132.04052208660906</v>
      </c>
      <c r="AL7" s="352">
        <f t="shared" ref="AL7:AL61" si="31">IF(ISERROR(AA7*(1+$AI7)*(1+$AJ7)),"-",AA7*(1+$AI7)*(1+$AJ7))</f>
        <v>202.34546913283808</v>
      </c>
      <c r="AM7" s="352">
        <f t="shared" ref="AM7:AM61" si="32">IF(ISERROR(AB7*(1+$AI7)*(1+$AJ7)),"-",AB7*(1+$AI7)*(1+$AJ7))</f>
        <v>75.324465706362929</v>
      </c>
      <c r="AN7" s="413">
        <f t="shared" ref="AN7:AN61" si="33">IF(ISERROR(AC7*(1+$AI7)*(1+$AJ7)),"-",AC7*(1+$AI7)*(1+$AJ7))</f>
        <v>104.75128265871187</v>
      </c>
      <c r="AO7" s="439">
        <f t="shared" si="12"/>
        <v>-4.2387925000000104E-2</v>
      </c>
      <c r="AP7" s="440">
        <f t="shared" si="13"/>
        <v>-4.2387925000000104E-2</v>
      </c>
      <c r="AQ7" s="440">
        <f t="shared" si="14"/>
        <v>-4.2387925000000104E-2</v>
      </c>
      <c r="AR7" s="441">
        <f t="shared" si="15"/>
        <v>-4.2387925000000104E-2</v>
      </c>
      <c r="AS7" s="359">
        <f>'Price Adjustments'!$G$7</f>
        <v>0</v>
      </c>
      <c r="AT7" s="250">
        <f>IF(ISERROR(VLOOKUP($A7,'14-15 tariff'!$A:$F,3,FALSE)*(1+$AS$6)),"-",VLOOKUP($A7,'14-15 tariff'!$A:$F,3,FALSE)*(1+$AS$6))</f>
        <v>127</v>
      </c>
      <c r="AU7" s="250">
        <f>IF(ISERROR(VLOOKUP($A7,'14-15 tariff'!$A:$F,4,FALSE)*(1+$AS$6)),"-",VLOOKUP($A7,'14-15 tariff'!$A:$F,4,FALSE)*(1+$AS$6))</f>
        <v>155</v>
      </c>
      <c r="AV7" s="250">
        <f>IF(ISERROR(VLOOKUP($A7,'14-15 tariff'!$A:$F,5,FALSE)*(1+$AS$6)),"-",VLOOKUP($A7,'14-15 tariff'!$A:$F,5,FALSE)*(1+$AS$6))</f>
        <v>70</v>
      </c>
      <c r="AW7" s="250">
        <f>IF(ISERROR(VLOOKUP($A7,'14-15 tariff'!$A:$F,6,FALSE)*(1+$AS$6)),"-",VLOOKUP($A7,'14-15 tariff'!$A:$F,6,FALSE)*(1+$AS$6))</f>
        <v>106</v>
      </c>
      <c r="AX7" s="298"/>
      <c r="AY7" s="498" t="s">
        <v>522</v>
      </c>
      <c r="AZ7" s="499" t="s">
        <v>522</v>
      </c>
      <c r="BA7" s="499" t="s">
        <v>522</v>
      </c>
      <c r="BB7" s="499" t="s">
        <v>522</v>
      </c>
      <c r="BC7" s="339">
        <f t="shared" si="16"/>
        <v>132.04052208660906</v>
      </c>
      <c r="BD7" s="339">
        <f t="shared" si="17"/>
        <v>202.34546913283808</v>
      </c>
      <c r="BE7" s="339">
        <f t="shared" si="18"/>
        <v>75.324465706362929</v>
      </c>
      <c r="BF7" s="340">
        <f t="shared" si="19"/>
        <v>104.75128265871187</v>
      </c>
      <c r="BG7" s="265">
        <f t="shared" si="20"/>
        <v>-4.2387925000000104E-2</v>
      </c>
      <c r="BH7" s="265">
        <f t="shared" si="21"/>
        <v>-4.2387925000000104E-2</v>
      </c>
      <c r="BI7" s="265">
        <f t="shared" si="22"/>
        <v>-4.2387925000000104E-2</v>
      </c>
      <c r="BJ7" s="265">
        <f t="shared" si="23"/>
        <v>-4.2387925000000104E-2</v>
      </c>
      <c r="BK7" s="298"/>
      <c r="BL7" s="503">
        <f>'Price Adjustments'!$C$66</f>
        <v>-1.22128076562165E-2</v>
      </c>
      <c r="BM7" s="378">
        <f t="shared" si="24"/>
        <v>130.42793658753891</v>
      </c>
      <c r="BN7" s="378">
        <f t="shared" si="25"/>
        <v>199.87426283821185</v>
      </c>
      <c r="BO7" s="378">
        <f t="shared" si="26"/>
        <v>74.404542494883842</v>
      </c>
      <c r="BP7" s="506">
        <f t="shared" si="27"/>
        <v>103.47197539185906</v>
      </c>
      <c r="BQ7" s="298"/>
      <c r="BR7" s="618" t="str">
        <f>IF(COUNTIF('Manual adjustments'!$A:$A,A7)=1,"Y","")</f>
        <v/>
      </c>
      <c r="BS7" s="378">
        <f>IF($BR7="",BM7,IF(AND($BR7="Y",VLOOKUP($A7,'Manual adjustments'!$A:$O,12,FALSE)&lt;&gt;""),VLOOKUP($A7,'Manual adjustments'!$A:$O,12,FALSE),BM7))</f>
        <v>130.42793658753891</v>
      </c>
      <c r="BT7" s="378">
        <f>IF($BR7="",BN7,IF(AND($BR7="Y",VLOOKUP($A7,'Manual adjustments'!$A:$O,13,FALSE)&lt;&gt;""),VLOOKUP($A7,'Manual adjustments'!$A:$O,13,FALSE),BN7))</f>
        <v>199.87426283821185</v>
      </c>
      <c r="BU7" s="378">
        <f>IF($BR7="",BO7,IF(AND($BR7="Y",VLOOKUP($A7,'Manual adjustments'!$A:$O,14,FALSE)&lt;&gt;""),VLOOKUP($A7,'Manual adjustments'!$A:$O,14,FALSE),BO7))</f>
        <v>74.404542494883842</v>
      </c>
      <c r="BV7" s="378">
        <f>IF($BR7="",BP7,IF(AND($BR7="Y",VLOOKUP($A7,'Manual adjustments'!$A:$O,15,FALSE)&lt;&gt;""),VLOOKUP($A7,'Manual adjustments'!$A:$O,15,FALSE),BP7))</f>
        <v>103.47197539185906</v>
      </c>
      <c r="BW7" s="384">
        <f>'Price Adjustments'!$D$66</f>
        <v>0</v>
      </c>
      <c r="BX7" s="378">
        <f t="shared" ref="BX7:BX61" si="34">BS7*(1+$BW7)</f>
        <v>130.42793658753891</v>
      </c>
      <c r="BY7" s="378">
        <f t="shared" ref="BY7:BY61" si="35">BT7*(1+$BW7)</f>
        <v>199.87426283821185</v>
      </c>
      <c r="BZ7" s="378">
        <f t="shared" ref="BZ7:BZ61" si="36">BU7*(1+$BW7)</f>
        <v>74.404542494883842</v>
      </c>
      <c r="CA7" s="379">
        <f t="shared" ref="CA7:CA61" si="37">BV7*(1+$BW7)</f>
        <v>103.47197539185906</v>
      </c>
      <c r="CB7" s="615">
        <f t="shared" ref="CB7:CB61" si="38">IF(ISERROR(BX7/BS7-1),0,BX7/BS7-1)</f>
        <v>0</v>
      </c>
      <c r="CC7" s="423">
        <f t="shared" ref="CC7:CC61" si="39">IF(ISERROR(BY7/BT7-1),0,BY7/BT7-1)</f>
        <v>0</v>
      </c>
      <c r="CD7" s="423">
        <f t="shared" ref="CD7:CD61" si="40">IF(ISERROR(BZ7/BU7-1),0,BZ7/BU7-1)</f>
        <v>0</v>
      </c>
      <c r="CE7" s="423">
        <f t="shared" ref="CE7:CE61" si="41">IF(ISERROR(CA7/BV7-1),0,CA7/BV7-1)</f>
        <v>0</v>
      </c>
      <c r="CF7" s="298"/>
      <c r="CG7" s="388">
        <f t="shared" ref="CG7:CG61" si="42">ROUND(BX7,0)</f>
        <v>130</v>
      </c>
      <c r="CH7" s="378">
        <f t="shared" ref="CH7:CH61" si="43">ROUND(BY7,0)</f>
        <v>200</v>
      </c>
      <c r="CI7" s="378">
        <f t="shared" ref="CI7:CI61" si="44">ROUND(BZ7,0)</f>
        <v>74</v>
      </c>
      <c r="CJ7" s="379">
        <f t="shared" ref="CJ7:CJ61" si="45">ROUND(CA7,0)</f>
        <v>103</v>
      </c>
      <c r="CM7" s="507"/>
      <c r="CN7" s="507"/>
      <c r="CO7" s="507"/>
      <c r="CP7" s="507"/>
    </row>
    <row r="8" spans="1:94" ht="16.5" customHeight="1">
      <c r="A8" s="296">
        <v>103</v>
      </c>
      <c r="B8" s="292" t="s">
        <v>3</v>
      </c>
      <c r="C8" s="293">
        <f>IF(ISERROR(VLOOKUP($A8,'Allocate OPROC cost'!A:M,11,FALSE)),"-",VLOOKUP($A8,'Allocate OPROC cost'!A:M,11,FALSE))</f>
        <v>158.57939557572857</v>
      </c>
      <c r="D8" s="140">
        <f>IF(ISERROR(VLOOKUP($A8,'Allocate OPROC cost'!A:M,10,FALSE)),"-",VLOOKUP($A8,'Allocate OPROC cost'!A:M,10,FALSE))</f>
        <v>155.24266127037501</v>
      </c>
      <c r="E8" s="140">
        <f>IF(ISERROR(VLOOKUP($A8,'Allocate OPROC cost'!A:M,13,FALSE)),"-",VLOOKUP($A8,'Allocate OPROC cost'!A:M,13,FALSE))</f>
        <v>111.18370329089724</v>
      </c>
      <c r="F8" s="294">
        <f>IF(ISERROR(VLOOKUP($A8,'Allocate OPROC cost'!A:M,12,FALSE)),"-",VLOOKUP($A8,'Allocate OPROC cost'!A:M,12,FALSE))</f>
        <v>105.17046126473254</v>
      </c>
      <c r="G8" s="298"/>
      <c r="H8" s="405">
        <f>IF(ISERROR(VLOOKUP($A8,'Allocate OPROC cost'!A:AO,39,FALSE)),"-",VLOOKUP($A8,'Allocate OPROC cost'!A:AO,39,FALSE))</f>
        <v>158.54551295531022</v>
      </c>
      <c r="I8" s="406">
        <f>IF(ISERROR(VLOOKUP($A8,'Allocate OPROC cost'!A:AO,38,FALSE)),"-",VLOOKUP($A8,'Allocate OPROC cost'!A:AO,38,FALSE))</f>
        <v>155.24266127037501</v>
      </c>
      <c r="J8" s="406">
        <f>IF(ISERROR(VLOOKUP($A8,'Allocate OPROC cost'!A:AO,41,FALSE)),"-",VLOOKUP($A8,'Allocate OPROC cost'!A:AO,41,FALSE))</f>
        <v>111.36813184008058</v>
      </c>
      <c r="K8" s="407">
        <f>IF(ISERROR(VLOOKUP($A8,'Allocate OPROC cost'!A:AO,40,FALSE)),"-",VLOOKUP($A8,'Allocate OPROC cost'!A:AO,40,FALSE))</f>
        <v>105.17046126473254</v>
      </c>
      <c r="L8" s="425">
        <f t="shared" si="0"/>
        <v>-2.1366344786055702E-4</v>
      </c>
      <c r="M8" s="426">
        <f t="shared" si="1"/>
        <v>0</v>
      </c>
      <c r="N8" s="426">
        <f t="shared" si="2"/>
        <v>1.6587732169777158E-3</v>
      </c>
      <c r="O8" s="425">
        <f t="shared" si="3"/>
        <v>0</v>
      </c>
      <c r="P8" s="298"/>
      <c r="Q8" s="299">
        <f>IF(ISERROR(VLOOKUP($A8,'Front-loading'!$A:$AG,27,FALSE)),"-",VLOOKUP($A8,'Front-loading'!$A:$AG,27,FALSE))</f>
        <v>175.42380626746862</v>
      </c>
      <c r="R8" s="150">
        <f>IF(ISERROR(VLOOKUP($A8,'Front-loading'!$A:$AG,26,FALSE)),"-",VLOOKUP($A8,'Front-loading'!$A:$AG,26,FALSE))</f>
        <v>164.88503705060805</v>
      </c>
      <c r="S8" s="150">
        <f>IF(ISERROR(VLOOKUP($A8,'Front-loading'!$A:$AG,29,FALSE)),"-",VLOOKUP($A8,'Front-loading'!$A:$AG,29,FALSE))</f>
        <v>100.23131865607252</v>
      </c>
      <c r="T8" s="300">
        <f>IF(ISERROR(VLOOKUP($A8,'Front-loading'!$A:$AG,28,FALSE)),"-",VLOOKUP($A8,'Front-loading'!$A:$AG,28,FALSE))</f>
        <v>94.653415138259291</v>
      </c>
      <c r="U8" s="429">
        <f t="shared" si="4"/>
        <v>0.1064570860287668</v>
      </c>
      <c r="V8" s="430">
        <f t="shared" si="5"/>
        <v>6.2111636719752061E-2</v>
      </c>
      <c r="W8" s="430">
        <f t="shared" si="6"/>
        <v>-0.10000000000000009</v>
      </c>
      <c r="X8" s="431">
        <f t="shared" si="7"/>
        <v>-9.9999999999999978E-2</v>
      </c>
      <c r="Y8" s="298"/>
      <c r="Z8" s="152">
        <f>IF(ISERROR(VLOOKUP($A8,'Further adjustment'!$A:$BC,53,FALSE)),"-",VLOOKUP($A8,'Further adjustment'!$A:$BC,53,FALSE))</f>
        <v>174.23027115689229</v>
      </c>
      <c r="AA8" s="152">
        <f>IF(ISERROR(VLOOKUP($A8,'Further adjustment'!$A:$BC,52,FALSE)),"-",VLOOKUP($A8,'Further adjustment'!$A:$BC,52,FALSE))</f>
        <v>174.23027115689229</v>
      </c>
      <c r="AB8" s="152">
        <f>IF(ISERROR(VLOOKUP($A8,'Further adjustment'!$A:$BC,55,FALSE)),"-",VLOOKUP($A8,'Further adjustment'!$A:$BC,55,FALSE))</f>
        <v>99.83126593856376</v>
      </c>
      <c r="AC8" s="412">
        <f>IF(ISERROR(VLOOKUP($A8,'Further adjustment'!$A:$BC,54,FALSE)),"-",VLOOKUP($A8,'Further adjustment'!$A:$BC,54,FALSE))</f>
        <v>99.83126593856376</v>
      </c>
      <c r="AD8" s="435">
        <f t="shared" si="8"/>
        <v>-6.803723713282972E-3</v>
      </c>
      <c r="AE8" s="436">
        <f t="shared" si="9"/>
        <v>5.6677272076640417E-2</v>
      </c>
      <c r="AF8" s="436">
        <f t="shared" si="10"/>
        <v>-3.9912945661373378E-3</v>
      </c>
      <c r="AG8" s="436">
        <f t="shared" si="11"/>
        <v>5.4703264459515122E-2</v>
      </c>
      <c r="AH8" s="298"/>
      <c r="AI8" s="347">
        <f>'Price Adjustments'!$H$7</f>
        <v>-4.2387925000000104E-2</v>
      </c>
      <c r="AJ8" s="467">
        <f>'Price Adjustments'!$G$91</f>
        <v>0</v>
      </c>
      <c r="AK8" s="352">
        <f t="shared" si="30"/>
        <v>166.84501149036424</v>
      </c>
      <c r="AL8" s="352">
        <f t="shared" si="31"/>
        <v>166.84501149036424</v>
      </c>
      <c r="AM8" s="352">
        <f t="shared" si="32"/>
        <v>95.599625725304861</v>
      </c>
      <c r="AN8" s="413">
        <f t="shared" si="33"/>
        <v>95.599625725304861</v>
      </c>
      <c r="AO8" s="439">
        <f t="shared" si="12"/>
        <v>-4.2387925000000215E-2</v>
      </c>
      <c r="AP8" s="440">
        <f t="shared" si="13"/>
        <v>-4.2387925000000215E-2</v>
      </c>
      <c r="AQ8" s="440">
        <f t="shared" si="14"/>
        <v>-4.2387924999999993E-2</v>
      </c>
      <c r="AR8" s="441">
        <f t="shared" si="15"/>
        <v>-4.2387924999999993E-2</v>
      </c>
      <c r="AS8" s="359">
        <f>'Price Adjustments'!$G$7</f>
        <v>0</v>
      </c>
      <c r="AT8" s="250">
        <f>IF(ISERROR(VLOOKUP($A8,'14-15 tariff'!$A:$F,3,FALSE)*(1+$AS$6)),"-",VLOOKUP($A8,'14-15 tariff'!$A:$F,3,FALSE)*(1+$AS$6))</f>
        <v>148</v>
      </c>
      <c r="AU8" s="250">
        <f>IF(ISERROR(VLOOKUP($A8,'14-15 tariff'!$A:$F,4,FALSE)*(1+$AS$6)),"-",VLOOKUP($A8,'14-15 tariff'!$A:$F,4,FALSE)*(1+$AS$6))</f>
        <v>148</v>
      </c>
      <c r="AV8" s="250">
        <f>IF(ISERROR(VLOOKUP($A8,'14-15 tariff'!$A:$F,5,FALSE)*(1+$AS$6)),"-",VLOOKUP($A8,'14-15 tariff'!$A:$F,5,FALSE)*(1+$AS$6))</f>
        <v>85</v>
      </c>
      <c r="AW8" s="250">
        <f>IF(ISERROR(VLOOKUP($A8,'14-15 tariff'!$A:$F,6,FALSE)*(1+$AS$6)),"-",VLOOKUP($A8,'14-15 tariff'!$A:$F,6,FALSE)*(1+$AS$6))</f>
        <v>98</v>
      </c>
      <c r="AX8" s="298"/>
      <c r="AY8" s="498" t="s">
        <v>522</v>
      </c>
      <c r="AZ8" s="499" t="s">
        <v>522</v>
      </c>
      <c r="BA8" s="499" t="s">
        <v>522</v>
      </c>
      <c r="BB8" s="499" t="s">
        <v>522</v>
      </c>
      <c r="BC8" s="339">
        <f t="shared" si="16"/>
        <v>166.84501149036424</v>
      </c>
      <c r="BD8" s="339">
        <f t="shared" si="17"/>
        <v>166.84501149036424</v>
      </c>
      <c r="BE8" s="339">
        <f t="shared" si="18"/>
        <v>95.599625725304861</v>
      </c>
      <c r="BF8" s="340">
        <f t="shared" si="19"/>
        <v>95.599625725304861</v>
      </c>
      <c r="BG8" s="265">
        <f t="shared" si="20"/>
        <v>-4.2387925000000215E-2</v>
      </c>
      <c r="BH8" s="265">
        <f t="shared" si="21"/>
        <v>-4.2387925000000215E-2</v>
      </c>
      <c r="BI8" s="265">
        <f t="shared" si="22"/>
        <v>-4.2387924999999993E-2</v>
      </c>
      <c r="BJ8" s="265">
        <f t="shared" si="23"/>
        <v>-4.2387924999999993E-2</v>
      </c>
      <c r="BK8" s="298"/>
      <c r="BL8" s="503">
        <f>'Price Adjustments'!$C$66</f>
        <v>-1.22128076562165E-2</v>
      </c>
      <c r="BM8" s="378">
        <f t="shared" si="24"/>
        <v>164.80736545663319</v>
      </c>
      <c r="BN8" s="378">
        <f t="shared" si="25"/>
        <v>164.80736545663319</v>
      </c>
      <c r="BO8" s="378">
        <f t="shared" si="26"/>
        <v>94.432085884315427</v>
      </c>
      <c r="BP8" s="506">
        <f t="shared" si="27"/>
        <v>94.432085884315427</v>
      </c>
      <c r="BQ8" s="298"/>
      <c r="BR8" s="618" t="str">
        <f>IF(COUNTIF('Manual adjustments'!$A:$A,A8)=1,"Y","")</f>
        <v/>
      </c>
      <c r="BS8" s="378">
        <f>IF($BR8="",BM8,IF(AND($BR8="Y",VLOOKUP($A8,'Manual adjustments'!$A:$O,12,FALSE)&lt;&gt;""),VLOOKUP($A8,'Manual adjustments'!$A:$O,12,FALSE),BM8))</f>
        <v>164.80736545663319</v>
      </c>
      <c r="BT8" s="378">
        <f>IF($BR8="",BN8,IF(AND($BR8="Y",VLOOKUP($A8,'Manual adjustments'!$A:$O,13,FALSE)&lt;&gt;""),VLOOKUP($A8,'Manual adjustments'!$A:$O,13,FALSE),BN8))</f>
        <v>164.80736545663319</v>
      </c>
      <c r="BU8" s="378">
        <f>IF($BR8="",BO8,IF(AND($BR8="Y",VLOOKUP($A8,'Manual adjustments'!$A:$O,14,FALSE)&lt;&gt;""),VLOOKUP($A8,'Manual adjustments'!$A:$O,14,FALSE),BO8))</f>
        <v>94.432085884315427</v>
      </c>
      <c r="BV8" s="378">
        <f>IF($BR8="",BP8,IF(AND($BR8="Y",VLOOKUP($A8,'Manual adjustments'!$A:$O,15,FALSE)&lt;&gt;""),VLOOKUP($A8,'Manual adjustments'!$A:$O,15,FALSE),BP8))</f>
        <v>94.432085884315427</v>
      </c>
      <c r="BW8" s="384">
        <f>'Price Adjustments'!$D$66</f>
        <v>0</v>
      </c>
      <c r="BX8" s="378">
        <f t="shared" si="34"/>
        <v>164.80736545663319</v>
      </c>
      <c r="BY8" s="378">
        <f t="shared" si="35"/>
        <v>164.80736545663319</v>
      </c>
      <c r="BZ8" s="378">
        <f t="shared" si="36"/>
        <v>94.432085884315427</v>
      </c>
      <c r="CA8" s="379">
        <f t="shared" si="37"/>
        <v>94.432085884315427</v>
      </c>
      <c r="CB8" s="615">
        <f t="shared" si="38"/>
        <v>0</v>
      </c>
      <c r="CC8" s="423">
        <f t="shared" si="39"/>
        <v>0</v>
      </c>
      <c r="CD8" s="423">
        <f t="shared" si="40"/>
        <v>0</v>
      </c>
      <c r="CE8" s="423">
        <f t="shared" si="41"/>
        <v>0</v>
      </c>
      <c r="CF8" s="298"/>
      <c r="CG8" s="388">
        <f t="shared" si="42"/>
        <v>165</v>
      </c>
      <c r="CH8" s="378">
        <f t="shared" si="43"/>
        <v>165</v>
      </c>
      <c r="CI8" s="378">
        <f t="shared" si="44"/>
        <v>94</v>
      </c>
      <c r="CJ8" s="379">
        <f t="shared" si="45"/>
        <v>94</v>
      </c>
      <c r="CM8" s="507"/>
      <c r="CN8" s="507"/>
      <c r="CO8" s="507"/>
      <c r="CP8" s="507"/>
    </row>
    <row r="9" spans="1:94" ht="16.5" customHeight="1">
      <c r="A9" s="296">
        <v>104</v>
      </c>
      <c r="B9" s="292" t="s">
        <v>4</v>
      </c>
      <c r="C9" s="293">
        <f>IF(ISERROR(VLOOKUP($A9,'Allocate OPROC cost'!A:M,11,FALSE)),"-",VLOOKUP($A9,'Allocate OPROC cost'!A:M,11,FALSE))</f>
        <v>113.21668616361097</v>
      </c>
      <c r="D9" s="140">
        <f>IF(ISERROR(VLOOKUP($A9,'Allocate OPROC cost'!A:M,10,FALSE)),"-",VLOOKUP($A9,'Allocate OPROC cost'!A:M,10,FALSE))</f>
        <v>109.36383061538687</v>
      </c>
      <c r="E9" s="140">
        <f>IF(ISERROR(VLOOKUP($A9,'Allocate OPROC cost'!A:M,13,FALSE)),"-",VLOOKUP($A9,'Allocate OPROC cost'!A:M,13,FALSE))</f>
        <v>85.971586919007294</v>
      </c>
      <c r="F9" s="294">
        <f>IF(ISERROR(VLOOKUP($A9,'Allocate OPROC cost'!A:M,12,FALSE)),"-",VLOOKUP($A9,'Allocate OPROC cost'!A:M,12,FALSE))</f>
        <v>117.26500721966765</v>
      </c>
      <c r="G9" s="298"/>
      <c r="H9" s="405">
        <f>IF(ISERROR(VLOOKUP($A9,'Allocate OPROC cost'!A:AO,39,FALSE)),"-",VLOOKUP($A9,'Allocate OPROC cost'!A:AO,39,FALSE))</f>
        <v>114.7625071690897</v>
      </c>
      <c r="I9" s="406">
        <f>IF(ISERROR(VLOOKUP($A9,'Allocate OPROC cost'!A:AO,38,FALSE)),"-",VLOOKUP($A9,'Allocate OPROC cost'!A:AO,38,FALSE))</f>
        <v>109.36383061538687</v>
      </c>
      <c r="J9" s="406">
        <f>IF(ISERROR(VLOOKUP($A9,'Allocate OPROC cost'!A:AO,41,FALSE)),"-",VLOOKUP($A9,'Allocate OPROC cost'!A:AO,41,FALSE))</f>
        <v>86.904092312135717</v>
      </c>
      <c r="K9" s="407">
        <f>IF(ISERROR(VLOOKUP($A9,'Allocate OPROC cost'!A:AO,40,FALSE)),"-",VLOOKUP($A9,'Allocate OPROC cost'!A:AO,40,FALSE))</f>
        <v>117.26500721966765</v>
      </c>
      <c r="L9" s="425">
        <f t="shared" si="0"/>
        <v>1.3653649986229421E-2</v>
      </c>
      <c r="M9" s="426">
        <f t="shared" si="1"/>
        <v>0</v>
      </c>
      <c r="N9" s="426">
        <f t="shared" si="2"/>
        <v>1.0846669539867015E-2</v>
      </c>
      <c r="O9" s="425">
        <f t="shared" si="3"/>
        <v>0</v>
      </c>
      <c r="P9" s="298"/>
      <c r="Q9" s="299">
        <f>IF(ISERROR(VLOOKUP($A9,'Front-loading'!$A:$AG,27,FALSE)),"-",VLOOKUP($A9,'Front-loading'!$A:$AG,27,FALSE))</f>
        <v>125.38164220500354</v>
      </c>
      <c r="R9" s="150">
        <f>IF(ISERROR(VLOOKUP($A9,'Front-loading'!$A:$AG,26,FALSE)),"-",VLOOKUP($A9,'Front-loading'!$A:$AG,26,FALSE))</f>
        <v>134.09665423217038</v>
      </c>
      <c r="S9" s="150">
        <f>IF(ISERROR(VLOOKUP($A9,'Front-loading'!$A:$AG,29,FALSE)),"-",VLOOKUP($A9,'Front-loading'!$A:$AG,29,FALSE))</f>
        <v>78.213683080922152</v>
      </c>
      <c r="T9" s="300">
        <f>IF(ISERROR(VLOOKUP($A9,'Front-loading'!$A:$AG,28,FALSE)),"-",VLOOKUP($A9,'Front-loading'!$A:$AG,28,FALSE))</f>
        <v>105.53850649770089</v>
      </c>
      <c r="U9" s="429">
        <f t="shared" si="4"/>
        <v>9.2531396340685967E-2</v>
      </c>
      <c r="V9" s="430">
        <f t="shared" si="5"/>
        <v>0.22615176770612977</v>
      </c>
      <c r="W9" s="430">
        <f t="shared" si="6"/>
        <v>-9.9999999999999867E-2</v>
      </c>
      <c r="X9" s="431">
        <f t="shared" si="7"/>
        <v>-9.9999999999999978E-2</v>
      </c>
      <c r="Y9" s="298"/>
      <c r="Z9" s="152">
        <f>IF(ISERROR(VLOOKUP($A9,'Further adjustment'!$A:$BC,53,FALSE)),"-",VLOOKUP($A9,'Further adjustment'!$A:$BC,53,FALSE))</f>
        <v>125.38164220500354</v>
      </c>
      <c r="AA9" s="152">
        <f>IF(ISERROR(VLOOKUP($A9,'Further adjustment'!$A:$BC,52,FALSE)),"-",VLOOKUP($A9,'Further adjustment'!$A:$BC,52,FALSE))</f>
        <v>134.09665423217038</v>
      </c>
      <c r="AB9" s="152">
        <f>IF(ISERROR(VLOOKUP($A9,'Further adjustment'!$A:$BC,55,FALSE)),"-",VLOOKUP($A9,'Further adjustment'!$A:$BC,55,FALSE))</f>
        <v>78.213683080922152</v>
      </c>
      <c r="AC9" s="412">
        <f>IF(ISERROR(VLOOKUP($A9,'Further adjustment'!$A:$BC,54,FALSE)),"-",VLOOKUP($A9,'Further adjustment'!$A:$BC,54,FALSE))</f>
        <v>105.53850649770089</v>
      </c>
      <c r="AD9" s="435">
        <f t="shared" si="8"/>
        <v>0</v>
      </c>
      <c r="AE9" s="436">
        <f t="shared" si="9"/>
        <v>0</v>
      </c>
      <c r="AF9" s="436">
        <f t="shared" si="10"/>
        <v>0</v>
      </c>
      <c r="AG9" s="436">
        <f t="shared" si="11"/>
        <v>0</v>
      </c>
      <c r="AH9" s="298"/>
      <c r="AI9" s="347">
        <f>'Price Adjustments'!$H$7</f>
        <v>-4.2387925000000104E-2</v>
      </c>
      <c r="AJ9" s="467">
        <f>'Price Adjustments'!$G$91</f>
        <v>0</v>
      </c>
      <c r="AK9" s="352">
        <f t="shared" si="30"/>
        <v>120.06697455884101</v>
      </c>
      <c r="AL9" s="352">
        <f t="shared" si="31"/>
        <v>128.4125753098262</v>
      </c>
      <c r="AM9" s="352">
        <f t="shared" si="32"/>
        <v>74.898367348514242</v>
      </c>
      <c r="AN9" s="413">
        <f t="shared" si="33"/>
        <v>101.06494819966433</v>
      </c>
      <c r="AO9" s="439">
        <f t="shared" si="12"/>
        <v>-4.2387925000000104E-2</v>
      </c>
      <c r="AP9" s="440">
        <f t="shared" si="13"/>
        <v>-4.2387925000000104E-2</v>
      </c>
      <c r="AQ9" s="440">
        <f t="shared" si="14"/>
        <v>-4.2387925000000215E-2</v>
      </c>
      <c r="AR9" s="441">
        <f t="shared" si="15"/>
        <v>-4.2387925000000104E-2</v>
      </c>
      <c r="AS9" s="359">
        <f>'Price Adjustments'!$G$7</f>
        <v>0</v>
      </c>
      <c r="AT9" s="250">
        <f>IF(ISERROR(VLOOKUP($A9,'14-15 tariff'!$A:$F,3,FALSE)*(1+$AS$6)),"-",VLOOKUP($A9,'14-15 tariff'!$A:$F,3,FALSE)*(1+$AS$6))</f>
        <v>118</v>
      </c>
      <c r="AU9" s="250">
        <f>IF(ISERROR(VLOOKUP($A9,'14-15 tariff'!$A:$F,4,FALSE)*(1+$AS$6)),"-",VLOOKUP($A9,'14-15 tariff'!$A:$F,4,FALSE)*(1+$AS$6))</f>
        <v>118</v>
      </c>
      <c r="AV9" s="250">
        <f>IF(ISERROR(VLOOKUP($A9,'14-15 tariff'!$A:$F,5,FALSE)*(1+$AS$6)),"-",VLOOKUP($A9,'14-15 tariff'!$A:$F,5,FALSE)*(1+$AS$6))</f>
        <v>71</v>
      </c>
      <c r="AW9" s="250">
        <f>IF(ISERROR(VLOOKUP($A9,'14-15 tariff'!$A:$F,6,FALSE)*(1+$AS$6)),"-",VLOOKUP($A9,'14-15 tariff'!$A:$F,6,FALSE)*(1+$AS$6))</f>
        <v>108</v>
      </c>
      <c r="AX9" s="298"/>
      <c r="AY9" s="498" t="s">
        <v>522</v>
      </c>
      <c r="AZ9" s="499" t="s">
        <v>522</v>
      </c>
      <c r="BA9" s="499" t="s">
        <v>522</v>
      </c>
      <c r="BB9" s="499" t="s">
        <v>522</v>
      </c>
      <c r="BC9" s="339">
        <f t="shared" si="16"/>
        <v>120.06697455884101</v>
      </c>
      <c r="BD9" s="339">
        <f t="shared" si="17"/>
        <v>128.4125753098262</v>
      </c>
      <c r="BE9" s="339">
        <f t="shared" si="18"/>
        <v>74.898367348514242</v>
      </c>
      <c r="BF9" s="340">
        <f t="shared" si="19"/>
        <v>101.06494819966433</v>
      </c>
      <c r="BG9" s="265">
        <f t="shared" si="20"/>
        <v>-4.2387925000000104E-2</v>
      </c>
      <c r="BH9" s="265">
        <f t="shared" si="21"/>
        <v>-4.2387925000000104E-2</v>
      </c>
      <c r="BI9" s="265">
        <f t="shared" si="22"/>
        <v>-4.2387925000000215E-2</v>
      </c>
      <c r="BJ9" s="265">
        <f t="shared" si="23"/>
        <v>-4.2387925000000104E-2</v>
      </c>
      <c r="BK9" s="298"/>
      <c r="BL9" s="503">
        <f>'Price Adjustments'!$C$66</f>
        <v>-1.22128076562165E-2</v>
      </c>
      <c r="BM9" s="378">
        <f t="shared" si="24"/>
        <v>118.60061969269005</v>
      </c>
      <c r="BN9" s="378">
        <f t="shared" si="25"/>
        <v>126.84429722692788</v>
      </c>
      <c r="BO9" s="378">
        <f t="shared" si="26"/>
        <v>73.983647994322197</v>
      </c>
      <c r="BP9" s="506">
        <f t="shared" si="27"/>
        <v>99.830661426516343</v>
      </c>
      <c r="BQ9" s="298"/>
      <c r="BR9" s="618" t="str">
        <f>IF(COUNTIF('Manual adjustments'!$A:$A,A9)=1,"Y","")</f>
        <v/>
      </c>
      <c r="BS9" s="378">
        <f>IF($BR9="",BM9,IF(AND($BR9="Y",VLOOKUP($A9,'Manual adjustments'!$A:$O,12,FALSE)&lt;&gt;""),VLOOKUP($A9,'Manual adjustments'!$A:$O,12,FALSE),BM9))</f>
        <v>118.60061969269005</v>
      </c>
      <c r="BT9" s="378">
        <f>IF($BR9="",BN9,IF(AND($BR9="Y",VLOOKUP($A9,'Manual adjustments'!$A:$O,13,FALSE)&lt;&gt;""),VLOOKUP($A9,'Manual adjustments'!$A:$O,13,FALSE),BN9))</f>
        <v>126.84429722692788</v>
      </c>
      <c r="BU9" s="378">
        <f>IF($BR9="",BO9,IF(AND($BR9="Y",VLOOKUP($A9,'Manual adjustments'!$A:$O,14,FALSE)&lt;&gt;""),VLOOKUP($A9,'Manual adjustments'!$A:$O,14,FALSE),BO9))</f>
        <v>73.983647994322197</v>
      </c>
      <c r="BV9" s="378">
        <f>IF($BR9="",BP9,IF(AND($BR9="Y",VLOOKUP($A9,'Manual adjustments'!$A:$O,15,FALSE)&lt;&gt;""),VLOOKUP($A9,'Manual adjustments'!$A:$O,15,FALSE),BP9))</f>
        <v>99.830661426516343</v>
      </c>
      <c r="BW9" s="384">
        <f>'Price Adjustments'!$D$66</f>
        <v>0</v>
      </c>
      <c r="BX9" s="378">
        <f t="shared" si="34"/>
        <v>118.60061969269005</v>
      </c>
      <c r="BY9" s="378">
        <f t="shared" si="35"/>
        <v>126.84429722692788</v>
      </c>
      <c r="BZ9" s="378">
        <f t="shared" si="36"/>
        <v>73.983647994322197</v>
      </c>
      <c r="CA9" s="379">
        <f t="shared" si="37"/>
        <v>99.830661426516343</v>
      </c>
      <c r="CB9" s="615">
        <f t="shared" si="38"/>
        <v>0</v>
      </c>
      <c r="CC9" s="423">
        <f t="shared" si="39"/>
        <v>0</v>
      </c>
      <c r="CD9" s="423">
        <f t="shared" si="40"/>
        <v>0</v>
      </c>
      <c r="CE9" s="423">
        <f t="shared" si="41"/>
        <v>0</v>
      </c>
      <c r="CF9" s="298"/>
      <c r="CG9" s="388">
        <f t="shared" si="42"/>
        <v>119</v>
      </c>
      <c r="CH9" s="378">
        <f t="shared" si="43"/>
        <v>127</v>
      </c>
      <c r="CI9" s="378">
        <f t="shared" si="44"/>
        <v>74</v>
      </c>
      <c r="CJ9" s="379">
        <f t="shared" si="45"/>
        <v>100</v>
      </c>
      <c r="CM9" s="507"/>
      <c r="CN9" s="507"/>
      <c r="CO9" s="507"/>
      <c r="CP9" s="507"/>
    </row>
    <row r="10" spans="1:94" ht="16.5" customHeight="1">
      <c r="A10" s="296">
        <v>105</v>
      </c>
      <c r="B10" s="292" t="s">
        <v>56</v>
      </c>
      <c r="C10" s="293">
        <f>IF(ISERROR(VLOOKUP($A10,'Allocate OPROC cost'!A:M,11,FALSE)),"-",VLOOKUP($A10,'Allocate OPROC cost'!A:M,11,FALSE))</f>
        <v>161.65152996091356</v>
      </c>
      <c r="D10" s="140">
        <f>IF(ISERROR(VLOOKUP($A10,'Allocate OPROC cost'!A:M,10,FALSE)),"-",VLOOKUP($A10,'Allocate OPROC cost'!A:M,10,FALSE))</f>
        <v>176.52833794667114</v>
      </c>
      <c r="E10" s="140">
        <f>IF(ISERROR(VLOOKUP($A10,'Allocate OPROC cost'!A:M,13,FALSE)),"-",VLOOKUP($A10,'Allocate OPROC cost'!A:M,13,FALSE))</f>
        <v>138.63153967263949</v>
      </c>
      <c r="F10" s="294">
        <f>IF(ISERROR(VLOOKUP($A10,'Allocate OPROC cost'!A:M,12,FALSE)),"-",VLOOKUP($A10,'Allocate OPROC cost'!A:M,12,FALSE))</f>
        <v>162.6602290651482</v>
      </c>
      <c r="G10" s="298"/>
      <c r="H10" s="405">
        <f>IF(ISERROR(VLOOKUP($A10,'Allocate OPROC cost'!A:AO,39,FALSE)),"-",VLOOKUP($A10,'Allocate OPROC cost'!A:AO,39,FALSE))</f>
        <v>161.61219195647331</v>
      </c>
      <c r="I10" s="406">
        <f>IF(ISERROR(VLOOKUP($A10,'Allocate OPROC cost'!A:AO,38,FALSE)),"-",VLOOKUP($A10,'Allocate OPROC cost'!A:AO,38,FALSE))</f>
        <v>176.52833794667114</v>
      </c>
      <c r="J10" s="406">
        <f>IF(ISERROR(VLOOKUP($A10,'Allocate OPROC cost'!A:AO,41,FALSE)),"-",VLOOKUP($A10,'Allocate OPROC cost'!A:AO,41,FALSE))</f>
        <v>138.70207644554205</v>
      </c>
      <c r="K10" s="407">
        <f>IF(ISERROR(VLOOKUP($A10,'Allocate OPROC cost'!A:AO,40,FALSE)),"-",VLOOKUP($A10,'Allocate OPROC cost'!A:AO,40,FALSE))</f>
        <v>162.6602290651482</v>
      </c>
      <c r="L10" s="425">
        <f t="shared" si="0"/>
        <v>-2.4335064722103006E-4</v>
      </c>
      <c r="M10" s="426">
        <f t="shared" si="1"/>
        <v>0</v>
      </c>
      <c r="N10" s="426">
        <f t="shared" si="2"/>
        <v>5.0880754169746467E-4</v>
      </c>
      <c r="O10" s="425">
        <f t="shared" si="3"/>
        <v>0</v>
      </c>
      <c r="P10" s="298"/>
      <c r="Q10" s="299">
        <f>IF(ISERROR(VLOOKUP($A10,'Front-loading'!$A:$AG,27,FALSE)),"-",VLOOKUP($A10,'Front-loading'!$A:$AG,27,FALSE))</f>
        <v>194.65254980450754</v>
      </c>
      <c r="R10" s="150">
        <f>IF(ISERROR(VLOOKUP($A10,'Front-loading'!$A:$AG,26,FALSE)),"-",VLOOKUP($A10,'Front-loading'!$A:$AG,26,FALSE))</f>
        <v>216.18896542868148</v>
      </c>
      <c r="S10" s="150">
        <f>IF(ISERROR(VLOOKUP($A10,'Front-loading'!$A:$AG,29,FALSE)),"-",VLOOKUP($A10,'Front-loading'!$A:$AG,29,FALSE))</f>
        <v>124.83186880098785</v>
      </c>
      <c r="T10" s="300">
        <f>IF(ISERROR(VLOOKUP($A10,'Front-loading'!$A:$AG,28,FALSE)),"-",VLOOKUP($A10,'Front-loading'!$A:$AG,28,FALSE))</f>
        <v>146.39420615863338</v>
      </c>
      <c r="U10" s="429">
        <f t="shared" si="4"/>
        <v>0.20444223574996689</v>
      </c>
      <c r="V10" s="430">
        <f t="shared" si="5"/>
        <v>0.22467003283060283</v>
      </c>
      <c r="W10" s="430">
        <f t="shared" si="6"/>
        <v>-9.9999999999999978E-2</v>
      </c>
      <c r="X10" s="431">
        <f t="shared" si="7"/>
        <v>-9.9999999999999978E-2</v>
      </c>
      <c r="Y10" s="298"/>
      <c r="Z10" s="152">
        <f>IF(ISERROR(VLOOKUP($A10,'Further adjustment'!$A:$BC,53,FALSE)),"-",VLOOKUP($A10,'Further adjustment'!$A:$BC,53,FALSE))</f>
        <v>194.65254980450754</v>
      </c>
      <c r="AA10" s="152">
        <f>IF(ISERROR(VLOOKUP($A10,'Further adjustment'!$A:$BC,52,FALSE)),"-",VLOOKUP($A10,'Further adjustment'!$A:$BC,52,FALSE))</f>
        <v>216.18896542868148</v>
      </c>
      <c r="AB10" s="152">
        <f>IF(ISERROR(VLOOKUP($A10,'Further adjustment'!$A:$BC,55,FALSE)),"-",VLOOKUP($A10,'Further adjustment'!$A:$BC,55,FALSE))</f>
        <v>124.83186880098785</v>
      </c>
      <c r="AC10" s="412">
        <f>IF(ISERROR(VLOOKUP($A10,'Further adjustment'!$A:$BC,54,FALSE)),"-",VLOOKUP($A10,'Further adjustment'!$A:$BC,54,FALSE))</f>
        <v>146.39420615863338</v>
      </c>
      <c r="AD10" s="435">
        <f t="shared" si="8"/>
        <v>0</v>
      </c>
      <c r="AE10" s="436">
        <f t="shared" si="9"/>
        <v>0</v>
      </c>
      <c r="AF10" s="436">
        <f t="shared" si="10"/>
        <v>0</v>
      </c>
      <c r="AG10" s="436">
        <f t="shared" si="11"/>
        <v>0</v>
      </c>
      <c r="AH10" s="298"/>
      <c r="AI10" s="347">
        <f>'Price Adjustments'!$H$7</f>
        <v>-4.2387925000000104E-2</v>
      </c>
      <c r="AJ10" s="467">
        <f>'Price Adjustments'!$G$91</f>
        <v>0</v>
      </c>
      <c r="AK10" s="352">
        <f t="shared" si="30"/>
        <v>186.40163212233529</v>
      </c>
      <c r="AL10" s="352">
        <f t="shared" si="31"/>
        <v>207.02516377626293</v>
      </c>
      <c r="AM10" s="352">
        <f t="shared" si="32"/>
        <v>119.54050490864172</v>
      </c>
      <c r="AN10" s="413">
        <f t="shared" si="33"/>
        <v>140.18885952754667</v>
      </c>
      <c r="AO10" s="439">
        <f t="shared" si="12"/>
        <v>-4.2387925000000104E-2</v>
      </c>
      <c r="AP10" s="440">
        <f t="shared" si="13"/>
        <v>-4.2387925000000104E-2</v>
      </c>
      <c r="AQ10" s="440">
        <f t="shared" si="14"/>
        <v>-4.2387925000000104E-2</v>
      </c>
      <c r="AR10" s="441">
        <f t="shared" si="15"/>
        <v>-4.2387925000000104E-2</v>
      </c>
      <c r="AS10" s="359">
        <f>'Price Adjustments'!$G$7</f>
        <v>0</v>
      </c>
      <c r="AT10" s="250">
        <f>IF(ISERROR(VLOOKUP($A10,'14-15 tariff'!$A:$F,3,FALSE)*(1+$AS$6)),"-",VLOOKUP($A10,'14-15 tariff'!$A:$F,3,FALSE)*(1+$AS$6))</f>
        <v>155</v>
      </c>
      <c r="AU10" s="250">
        <f>IF(ISERROR(VLOOKUP($A10,'14-15 tariff'!$A:$F,4,FALSE)*(1+$AS$6)),"-",VLOOKUP($A10,'14-15 tariff'!$A:$F,4,FALSE)*(1+$AS$6))</f>
        <v>228</v>
      </c>
      <c r="AV10" s="250">
        <f>IF(ISERROR(VLOOKUP($A10,'14-15 tariff'!$A:$F,5,FALSE)*(1+$AS$6)),"-",VLOOKUP($A10,'14-15 tariff'!$A:$F,5,FALSE)*(1+$AS$6))</f>
        <v>101</v>
      </c>
      <c r="AW10" s="250">
        <f>IF(ISERROR(VLOOKUP($A10,'14-15 tariff'!$A:$F,6,FALSE)*(1+$AS$6)),"-",VLOOKUP($A10,'14-15 tariff'!$A:$F,6,FALSE)*(1+$AS$6))</f>
        <v>158</v>
      </c>
      <c r="AX10" s="298"/>
      <c r="AY10" s="498" t="s">
        <v>522</v>
      </c>
      <c r="AZ10" s="499" t="s">
        <v>522</v>
      </c>
      <c r="BA10" s="499" t="s">
        <v>522</v>
      </c>
      <c r="BB10" s="499" t="s">
        <v>522</v>
      </c>
      <c r="BC10" s="339">
        <f t="shared" si="16"/>
        <v>186.40163212233529</v>
      </c>
      <c r="BD10" s="339">
        <f t="shared" si="17"/>
        <v>207.02516377626293</v>
      </c>
      <c r="BE10" s="339">
        <f t="shared" si="18"/>
        <v>119.54050490864172</v>
      </c>
      <c r="BF10" s="340">
        <f t="shared" si="19"/>
        <v>140.18885952754667</v>
      </c>
      <c r="BG10" s="265">
        <f t="shared" si="20"/>
        <v>-4.2387925000000104E-2</v>
      </c>
      <c r="BH10" s="265">
        <f t="shared" si="21"/>
        <v>-4.2387925000000104E-2</v>
      </c>
      <c r="BI10" s="265">
        <f t="shared" si="22"/>
        <v>-4.2387925000000104E-2</v>
      </c>
      <c r="BJ10" s="265">
        <f t="shared" si="23"/>
        <v>-4.2387925000000104E-2</v>
      </c>
      <c r="BK10" s="298"/>
      <c r="BL10" s="503">
        <f>'Price Adjustments'!$C$66</f>
        <v>-1.22128076562165E-2</v>
      </c>
      <c r="BM10" s="378">
        <f t="shared" si="24"/>
        <v>184.12514484242038</v>
      </c>
      <c r="BN10" s="378">
        <f t="shared" si="25"/>
        <v>204.49680527106671</v>
      </c>
      <c r="BO10" s="378">
        <f t="shared" si="26"/>
        <v>118.08057971506548</v>
      </c>
      <c r="BP10" s="506">
        <f t="shared" si="27"/>
        <v>138.4767599505924</v>
      </c>
      <c r="BQ10" s="298"/>
      <c r="BR10" s="618" t="str">
        <f>IF(COUNTIF('Manual adjustments'!$A:$A,A10)=1,"Y","")</f>
        <v/>
      </c>
      <c r="BS10" s="378">
        <f>IF($BR10="",BM10,IF(AND($BR10="Y",VLOOKUP($A10,'Manual adjustments'!$A:$O,12,FALSE)&lt;&gt;""),VLOOKUP($A10,'Manual adjustments'!$A:$O,12,FALSE),BM10))</f>
        <v>184.12514484242038</v>
      </c>
      <c r="BT10" s="378">
        <f>IF($BR10="",BN10,IF(AND($BR10="Y",VLOOKUP($A10,'Manual adjustments'!$A:$O,13,FALSE)&lt;&gt;""),VLOOKUP($A10,'Manual adjustments'!$A:$O,13,FALSE),BN10))</f>
        <v>204.49680527106671</v>
      </c>
      <c r="BU10" s="378">
        <f>IF($BR10="",BO10,IF(AND($BR10="Y",VLOOKUP($A10,'Manual adjustments'!$A:$O,14,FALSE)&lt;&gt;""),VLOOKUP($A10,'Manual adjustments'!$A:$O,14,FALSE),BO10))</f>
        <v>118.08057971506548</v>
      </c>
      <c r="BV10" s="378">
        <f>IF($BR10="",BP10,IF(AND($BR10="Y",VLOOKUP($A10,'Manual adjustments'!$A:$O,15,FALSE)&lt;&gt;""),VLOOKUP($A10,'Manual adjustments'!$A:$O,15,FALSE),BP10))</f>
        <v>138.4767599505924</v>
      </c>
      <c r="BW10" s="384">
        <f>'Price Adjustments'!$D$66</f>
        <v>0</v>
      </c>
      <c r="BX10" s="378">
        <f t="shared" si="34"/>
        <v>184.12514484242038</v>
      </c>
      <c r="BY10" s="378">
        <f t="shared" si="35"/>
        <v>204.49680527106671</v>
      </c>
      <c r="BZ10" s="378">
        <f t="shared" si="36"/>
        <v>118.08057971506548</v>
      </c>
      <c r="CA10" s="379">
        <f t="shared" si="37"/>
        <v>138.4767599505924</v>
      </c>
      <c r="CB10" s="615">
        <f t="shared" si="38"/>
        <v>0</v>
      </c>
      <c r="CC10" s="423">
        <f t="shared" si="39"/>
        <v>0</v>
      </c>
      <c r="CD10" s="423">
        <f t="shared" si="40"/>
        <v>0</v>
      </c>
      <c r="CE10" s="423">
        <f t="shared" si="41"/>
        <v>0</v>
      </c>
      <c r="CF10" s="298"/>
      <c r="CG10" s="388">
        <f t="shared" si="42"/>
        <v>184</v>
      </c>
      <c r="CH10" s="378">
        <f t="shared" si="43"/>
        <v>204</v>
      </c>
      <c r="CI10" s="378">
        <f t="shared" si="44"/>
        <v>118</v>
      </c>
      <c r="CJ10" s="379">
        <f t="shared" si="45"/>
        <v>138</v>
      </c>
      <c r="CM10" s="507"/>
      <c r="CN10" s="507"/>
      <c r="CO10" s="507"/>
      <c r="CP10" s="507"/>
    </row>
    <row r="11" spans="1:94" ht="16.5" customHeight="1">
      <c r="A11" s="296">
        <v>106</v>
      </c>
      <c r="B11" s="292" t="s">
        <v>5</v>
      </c>
      <c r="C11" s="293">
        <f>IF(ISERROR(VLOOKUP($A11,'Allocate OPROC cost'!A:M,11,FALSE)),"-",VLOOKUP($A11,'Allocate OPROC cost'!A:M,11,FALSE))</f>
        <v>107.02342339334434</v>
      </c>
      <c r="D11" s="140">
        <f>IF(ISERROR(VLOOKUP($A11,'Allocate OPROC cost'!A:M,10,FALSE)),"-",VLOOKUP($A11,'Allocate OPROC cost'!A:M,10,FALSE))</f>
        <v>131.04048513979259</v>
      </c>
      <c r="E11" s="140">
        <f>IF(ISERROR(VLOOKUP($A11,'Allocate OPROC cost'!A:M,13,FALSE)),"-",VLOOKUP($A11,'Allocate OPROC cost'!A:M,13,FALSE))</f>
        <v>93.221105591490286</v>
      </c>
      <c r="F11" s="294">
        <f>IF(ISERROR(VLOOKUP($A11,'Allocate OPROC cost'!A:M,12,FALSE)),"-",VLOOKUP($A11,'Allocate OPROC cost'!A:M,12,FALSE))</f>
        <v>116.55677619637997</v>
      </c>
      <c r="G11" s="298"/>
      <c r="H11" s="405">
        <f>IF(ISERROR(VLOOKUP($A11,'Allocate OPROC cost'!A:AO,39,FALSE)),"-",VLOOKUP($A11,'Allocate OPROC cost'!A:AO,39,FALSE))</f>
        <v>107.11987882502659</v>
      </c>
      <c r="I11" s="406">
        <f>IF(ISERROR(VLOOKUP($A11,'Allocate OPROC cost'!A:AO,38,FALSE)),"-",VLOOKUP($A11,'Allocate OPROC cost'!A:AO,38,FALSE))</f>
        <v>131.04048513979259</v>
      </c>
      <c r="J11" s="406">
        <f>IF(ISERROR(VLOOKUP($A11,'Allocate OPROC cost'!A:AO,41,FALSE)),"-",VLOOKUP($A11,'Allocate OPROC cost'!A:AO,41,FALSE))</f>
        <v>93.43099382017536</v>
      </c>
      <c r="K11" s="407">
        <f>IF(ISERROR(VLOOKUP($A11,'Allocate OPROC cost'!A:AO,40,FALSE)),"-",VLOOKUP($A11,'Allocate OPROC cost'!A:AO,40,FALSE))</f>
        <v>116.55677619637997</v>
      </c>
      <c r="L11" s="425">
        <f t="shared" si="0"/>
        <v>9.0125533854146234E-4</v>
      </c>
      <c r="M11" s="426">
        <f t="shared" si="1"/>
        <v>0</v>
      </c>
      <c r="N11" s="426">
        <f t="shared" si="2"/>
        <v>2.2515097557933572E-3</v>
      </c>
      <c r="O11" s="425">
        <f t="shared" si="3"/>
        <v>0</v>
      </c>
      <c r="P11" s="298"/>
      <c r="Q11" s="299">
        <f>IF(ISERROR(VLOOKUP($A11,'Front-loading'!$A:$AG,27,FALSE)),"-",VLOOKUP($A11,'Front-loading'!$A:$AG,27,FALSE))</f>
        <v>117.95805166074985</v>
      </c>
      <c r="R11" s="150">
        <f>IF(ISERROR(VLOOKUP($A11,'Front-loading'!$A:$AG,26,FALSE)),"-",VLOOKUP($A11,'Front-loading'!$A:$AG,26,FALSE))</f>
        <v>150.01333815398112</v>
      </c>
      <c r="S11" s="150">
        <f>IF(ISERROR(VLOOKUP($A11,'Front-loading'!$A:$AG,29,FALSE)),"-",VLOOKUP($A11,'Front-loading'!$A:$AG,29,FALSE))</f>
        <v>84.087894438157832</v>
      </c>
      <c r="T11" s="300">
        <f>IF(ISERROR(VLOOKUP($A11,'Front-loading'!$A:$AG,28,FALSE)),"-",VLOOKUP($A11,'Front-loading'!$A:$AG,28,FALSE))</f>
        <v>104.90109857674197</v>
      </c>
      <c r="U11" s="429">
        <f t="shared" si="4"/>
        <v>0.10117797886447111</v>
      </c>
      <c r="V11" s="430">
        <f t="shared" si="5"/>
        <v>0.14478619331993836</v>
      </c>
      <c r="W11" s="430">
        <f t="shared" si="6"/>
        <v>-9.9999999999999867E-2</v>
      </c>
      <c r="X11" s="431">
        <f t="shared" si="7"/>
        <v>-9.9999999999999978E-2</v>
      </c>
      <c r="Y11" s="298"/>
      <c r="Z11" s="152">
        <f>IF(ISERROR(VLOOKUP($A11,'Further adjustment'!$A:$BC,53,FALSE)),"-",VLOOKUP($A11,'Further adjustment'!$A:$BC,53,FALSE))</f>
        <v>117.93965069497196</v>
      </c>
      <c r="AA11" s="152">
        <f>IF(ISERROR(VLOOKUP($A11,'Further adjustment'!$A:$BC,52,FALSE)),"-",VLOOKUP($A11,'Further adjustment'!$A:$BC,52,FALSE))</f>
        <v>150.01333815398112</v>
      </c>
      <c r="AB11" s="152">
        <f>IF(ISERROR(VLOOKUP($A11,'Further adjustment'!$A:$BC,55,FALSE)),"-",VLOOKUP($A11,'Further adjustment'!$A:$BC,55,FALSE))</f>
        <v>84.087187344156931</v>
      </c>
      <c r="AC11" s="412">
        <f>IF(ISERROR(VLOOKUP($A11,'Further adjustment'!$A:$BC,54,FALSE)),"-",VLOOKUP($A11,'Further adjustment'!$A:$BC,54,FALSE))</f>
        <v>104.56339001549483</v>
      </c>
      <c r="AD11" s="435">
        <f t="shared" si="8"/>
        <v>-1.5599584359704544E-4</v>
      </c>
      <c r="AE11" s="436">
        <f t="shared" si="9"/>
        <v>0</v>
      </c>
      <c r="AF11" s="436">
        <f t="shared" si="10"/>
        <v>-8.4089868777059706E-6</v>
      </c>
      <c r="AG11" s="436">
        <f t="shared" si="11"/>
        <v>-3.2193043335965177E-3</v>
      </c>
      <c r="AH11" s="298"/>
      <c r="AI11" s="347">
        <f>'Price Adjustments'!$H$7</f>
        <v>-4.2387925000000104E-2</v>
      </c>
      <c r="AJ11" s="467">
        <f>'Price Adjustments'!$G$91</f>
        <v>0</v>
      </c>
      <c r="AK11" s="352">
        <f t="shared" si="30"/>
        <v>112.94043362678728</v>
      </c>
      <c r="AL11" s="352">
        <f t="shared" si="31"/>
        <v>143.65458402731051</v>
      </c>
      <c r="AM11" s="352">
        <f t="shared" si="32"/>
        <v>80.522905953551842</v>
      </c>
      <c r="AN11" s="413">
        <f t="shared" si="33"/>
        <v>100.13116488177228</v>
      </c>
      <c r="AO11" s="439">
        <f t="shared" si="12"/>
        <v>-4.2387925000000104E-2</v>
      </c>
      <c r="AP11" s="440">
        <f t="shared" si="13"/>
        <v>-4.2387925000000215E-2</v>
      </c>
      <c r="AQ11" s="440">
        <f t="shared" si="14"/>
        <v>-4.2387925000000215E-2</v>
      </c>
      <c r="AR11" s="441">
        <f t="shared" si="15"/>
        <v>-4.2387925000000104E-2</v>
      </c>
      <c r="AS11" s="359">
        <f>'Price Adjustments'!$G$7</f>
        <v>0</v>
      </c>
      <c r="AT11" s="250">
        <f>IF(ISERROR(VLOOKUP($A11,'14-15 tariff'!$A:$F,3,FALSE)*(1+$AS$6)),"-",VLOOKUP($A11,'14-15 tariff'!$A:$F,3,FALSE)*(1+$AS$6))</f>
        <v>118</v>
      </c>
      <c r="AU11" s="250">
        <f>IF(ISERROR(VLOOKUP($A11,'14-15 tariff'!$A:$F,4,FALSE)*(1+$AS$6)),"-",VLOOKUP($A11,'14-15 tariff'!$A:$F,4,FALSE)*(1+$AS$6))</f>
        <v>134</v>
      </c>
      <c r="AV11" s="250">
        <f>IF(ISERROR(VLOOKUP($A11,'14-15 tariff'!$A:$F,5,FALSE)*(1+$AS$6)),"-",VLOOKUP($A11,'14-15 tariff'!$A:$F,5,FALSE)*(1+$AS$6))</f>
        <v>75</v>
      </c>
      <c r="AW11" s="250">
        <f>IF(ISERROR(VLOOKUP($A11,'14-15 tariff'!$A:$F,6,FALSE)*(1+$AS$6)),"-",VLOOKUP($A11,'14-15 tariff'!$A:$F,6,FALSE)*(1+$AS$6))</f>
        <v>97</v>
      </c>
      <c r="AX11" s="298"/>
      <c r="AY11" s="498" t="s">
        <v>522</v>
      </c>
      <c r="AZ11" s="499" t="s">
        <v>522</v>
      </c>
      <c r="BA11" s="499" t="s">
        <v>522</v>
      </c>
      <c r="BB11" s="499" t="s">
        <v>522</v>
      </c>
      <c r="BC11" s="339">
        <f t="shared" si="16"/>
        <v>112.94043362678728</v>
      </c>
      <c r="BD11" s="339">
        <f t="shared" si="17"/>
        <v>143.65458402731051</v>
      </c>
      <c r="BE11" s="339">
        <f t="shared" si="18"/>
        <v>80.522905953551842</v>
      </c>
      <c r="BF11" s="340">
        <f t="shared" si="19"/>
        <v>100.13116488177228</v>
      </c>
      <c r="BG11" s="265">
        <f t="shared" si="20"/>
        <v>-4.2387925000000104E-2</v>
      </c>
      <c r="BH11" s="265">
        <f t="shared" si="21"/>
        <v>-4.2387925000000215E-2</v>
      </c>
      <c r="BI11" s="265">
        <f t="shared" si="22"/>
        <v>-4.2387925000000215E-2</v>
      </c>
      <c r="BJ11" s="265">
        <f t="shared" si="23"/>
        <v>-4.2387925000000104E-2</v>
      </c>
      <c r="BK11" s="298"/>
      <c r="BL11" s="503">
        <f>'Price Adjustments'!$C$66</f>
        <v>-1.22128076562165E-2</v>
      </c>
      <c r="BM11" s="378">
        <f t="shared" si="24"/>
        <v>111.56111383429365</v>
      </c>
      <c r="BN11" s="378">
        <f t="shared" si="25"/>
        <v>141.90015822365118</v>
      </c>
      <c r="BO11" s="378">
        <f t="shared" si="26"/>
        <v>79.539495191221505</v>
      </c>
      <c r="BP11" s="506">
        <f t="shared" si="27"/>
        <v>98.908282224678302</v>
      </c>
      <c r="BQ11" s="298"/>
      <c r="BR11" s="618" t="str">
        <f>IF(COUNTIF('Manual adjustments'!$A:$A,A11)=1,"Y","")</f>
        <v/>
      </c>
      <c r="BS11" s="378">
        <f>IF($BR11="",BM11,IF(AND($BR11="Y",VLOOKUP($A11,'Manual adjustments'!$A:$O,12,FALSE)&lt;&gt;""),VLOOKUP($A11,'Manual adjustments'!$A:$O,12,FALSE),BM11))</f>
        <v>111.56111383429365</v>
      </c>
      <c r="BT11" s="378">
        <f>IF($BR11="",BN11,IF(AND($BR11="Y",VLOOKUP($A11,'Manual adjustments'!$A:$O,13,FALSE)&lt;&gt;""),VLOOKUP($A11,'Manual adjustments'!$A:$O,13,FALSE),BN11))</f>
        <v>141.90015822365118</v>
      </c>
      <c r="BU11" s="378">
        <f>IF($BR11="",BO11,IF(AND($BR11="Y",VLOOKUP($A11,'Manual adjustments'!$A:$O,14,FALSE)&lt;&gt;""),VLOOKUP($A11,'Manual adjustments'!$A:$O,14,FALSE),BO11))</f>
        <v>79.539495191221505</v>
      </c>
      <c r="BV11" s="378">
        <f>IF($BR11="",BP11,IF(AND($BR11="Y",VLOOKUP($A11,'Manual adjustments'!$A:$O,15,FALSE)&lt;&gt;""),VLOOKUP($A11,'Manual adjustments'!$A:$O,15,FALSE),BP11))</f>
        <v>98.908282224678302</v>
      </c>
      <c r="BW11" s="384">
        <f>'Price Adjustments'!$D$66</f>
        <v>0</v>
      </c>
      <c r="BX11" s="378">
        <f t="shared" si="34"/>
        <v>111.56111383429365</v>
      </c>
      <c r="BY11" s="378">
        <f t="shared" si="35"/>
        <v>141.90015822365118</v>
      </c>
      <c r="BZ11" s="378">
        <f t="shared" si="36"/>
        <v>79.539495191221505</v>
      </c>
      <c r="CA11" s="379">
        <f t="shared" si="37"/>
        <v>98.908282224678302</v>
      </c>
      <c r="CB11" s="615">
        <f t="shared" si="38"/>
        <v>0</v>
      </c>
      <c r="CC11" s="423">
        <f t="shared" si="39"/>
        <v>0</v>
      </c>
      <c r="CD11" s="423">
        <f t="shared" si="40"/>
        <v>0</v>
      </c>
      <c r="CE11" s="423">
        <f t="shared" si="41"/>
        <v>0</v>
      </c>
      <c r="CF11" s="298"/>
      <c r="CG11" s="388">
        <f t="shared" si="42"/>
        <v>112</v>
      </c>
      <c r="CH11" s="378">
        <f t="shared" si="43"/>
        <v>142</v>
      </c>
      <c r="CI11" s="378">
        <f t="shared" si="44"/>
        <v>80</v>
      </c>
      <c r="CJ11" s="379">
        <f t="shared" si="45"/>
        <v>99</v>
      </c>
      <c r="CM11" s="507"/>
      <c r="CN11" s="507"/>
      <c r="CO11" s="507"/>
      <c r="CP11" s="507"/>
    </row>
    <row r="12" spans="1:94" ht="16.5" customHeight="1">
      <c r="A12" s="296">
        <v>107</v>
      </c>
      <c r="B12" s="292" t="s">
        <v>6</v>
      </c>
      <c r="C12" s="293">
        <f>IF(ISERROR(VLOOKUP($A12,'Allocate OPROC cost'!A:M,11,FALSE)),"-",VLOOKUP($A12,'Allocate OPROC cost'!A:M,11,FALSE))</f>
        <v>154.6831409315644</v>
      </c>
      <c r="D12" s="140">
        <f>IF(ISERROR(VLOOKUP($A12,'Allocate OPROC cost'!A:M,10,FALSE)),"-",VLOOKUP($A12,'Allocate OPROC cost'!A:M,10,FALSE))</f>
        <v>158.06422750453362</v>
      </c>
      <c r="E12" s="140">
        <f>IF(ISERROR(VLOOKUP($A12,'Allocate OPROC cost'!A:M,13,FALSE)),"-",VLOOKUP($A12,'Allocate OPROC cost'!A:M,13,FALSE))</f>
        <v>121.39251041576027</v>
      </c>
      <c r="F12" s="294">
        <f>IF(ISERROR(VLOOKUP($A12,'Allocate OPROC cost'!A:M,12,FALSE)),"-",VLOOKUP($A12,'Allocate OPROC cost'!A:M,12,FALSE))</f>
        <v>137.98593890916891</v>
      </c>
      <c r="G12" s="298"/>
      <c r="H12" s="405">
        <f>IF(ISERROR(VLOOKUP($A12,'Allocate OPROC cost'!A:AO,39,FALSE)),"-",VLOOKUP($A12,'Allocate OPROC cost'!A:AO,39,FALSE))</f>
        <v>153.96196037311861</v>
      </c>
      <c r="I12" s="406">
        <f>IF(ISERROR(VLOOKUP($A12,'Allocate OPROC cost'!A:AO,38,FALSE)),"-",VLOOKUP($A12,'Allocate OPROC cost'!A:AO,38,FALSE))</f>
        <v>158.06422750453362</v>
      </c>
      <c r="J12" s="406">
        <f>IF(ISERROR(VLOOKUP($A12,'Allocate OPROC cost'!A:AO,41,FALSE)),"-",VLOOKUP($A12,'Allocate OPROC cost'!A:AO,41,FALSE))</f>
        <v>120.81411106377604</v>
      </c>
      <c r="K12" s="407">
        <f>IF(ISERROR(VLOOKUP($A12,'Allocate OPROC cost'!A:AO,40,FALSE)),"-",VLOOKUP($A12,'Allocate OPROC cost'!A:AO,40,FALSE))</f>
        <v>137.98593890916891</v>
      </c>
      <c r="L12" s="425">
        <f t="shared" si="0"/>
        <v>-4.6623087306253419E-3</v>
      </c>
      <c r="M12" s="426">
        <f t="shared" si="1"/>
        <v>0</v>
      </c>
      <c r="N12" s="426">
        <f t="shared" si="2"/>
        <v>-4.764703769641554E-3</v>
      </c>
      <c r="O12" s="425">
        <f t="shared" si="3"/>
        <v>0</v>
      </c>
      <c r="P12" s="298"/>
      <c r="Q12" s="299">
        <f>IF(ISERROR(VLOOKUP($A12,'Front-loading'!$A:$AG,27,FALSE)),"-",VLOOKUP($A12,'Front-loading'!$A:$AG,27,FALSE))</f>
        <v>171.55809660435855</v>
      </c>
      <c r="R12" s="150">
        <f>IF(ISERROR(VLOOKUP($A12,'Front-loading'!$A:$AG,26,FALSE)),"-",VLOOKUP($A12,'Front-loading'!$A:$AG,26,FALSE))</f>
        <v>184.01135921570472</v>
      </c>
      <c r="S12" s="150">
        <f>IF(ISERROR(VLOOKUP($A12,'Front-loading'!$A:$AG,29,FALSE)),"-",VLOOKUP($A12,'Front-loading'!$A:$AG,29,FALSE))</f>
        <v>108.73269995739845</v>
      </c>
      <c r="T12" s="300">
        <f>IF(ISERROR(VLOOKUP($A12,'Front-loading'!$A:$AG,28,FALSE)),"-",VLOOKUP($A12,'Front-loading'!$A:$AG,28,FALSE))</f>
        <v>124.18734501825202</v>
      </c>
      <c r="U12" s="429">
        <f t="shared" si="4"/>
        <v>0.11428885543283962</v>
      </c>
      <c r="V12" s="430">
        <f t="shared" si="5"/>
        <v>0.16415562281748342</v>
      </c>
      <c r="W12" s="430">
        <f t="shared" si="6"/>
        <v>-9.9999999999999867E-2</v>
      </c>
      <c r="X12" s="431">
        <f t="shared" si="7"/>
        <v>-9.9999999999999978E-2</v>
      </c>
      <c r="Y12" s="298"/>
      <c r="Z12" s="152">
        <f>IF(ISERROR(VLOOKUP($A12,'Further adjustment'!$A:$BC,53,FALSE)),"-",VLOOKUP($A12,'Further adjustment'!$A:$BC,53,FALSE))</f>
        <v>171.55809660435855</v>
      </c>
      <c r="AA12" s="152">
        <f>IF(ISERROR(VLOOKUP($A12,'Further adjustment'!$A:$BC,52,FALSE)),"-",VLOOKUP($A12,'Further adjustment'!$A:$BC,52,FALSE))</f>
        <v>184.01135921570472</v>
      </c>
      <c r="AB12" s="152">
        <f>IF(ISERROR(VLOOKUP($A12,'Further adjustment'!$A:$BC,55,FALSE)),"-",VLOOKUP($A12,'Further adjustment'!$A:$BC,55,FALSE))</f>
        <v>108.73269995739845</v>
      </c>
      <c r="AC12" s="412">
        <f>IF(ISERROR(VLOOKUP($A12,'Further adjustment'!$A:$BC,54,FALSE)),"-",VLOOKUP($A12,'Further adjustment'!$A:$BC,54,FALSE))</f>
        <v>124.18734501825202</v>
      </c>
      <c r="AD12" s="435">
        <f t="shared" si="8"/>
        <v>0</v>
      </c>
      <c r="AE12" s="436">
        <f t="shared" si="9"/>
        <v>0</v>
      </c>
      <c r="AF12" s="436">
        <f t="shared" si="10"/>
        <v>0</v>
      </c>
      <c r="AG12" s="436">
        <f t="shared" si="11"/>
        <v>0</v>
      </c>
      <c r="AH12" s="298"/>
      <c r="AI12" s="347">
        <f>'Price Adjustments'!$H$7</f>
        <v>-4.2387925000000104E-2</v>
      </c>
      <c r="AJ12" s="467">
        <f>'Price Adjustments'!$G$91</f>
        <v>0</v>
      </c>
      <c r="AK12" s="352">
        <f t="shared" si="30"/>
        <v>164.28610487235022</v>
      </c>
      <c r="AL12" s="352">
        <f t="shared" si="31"/>
        <v>176.21149952212136</v>
      </c>
      <c r="AM12" s="352">
        <f t="shared" si="32"/>
        <v>104.12374642655674</v>
      </c>
      <c r="AN12" s="413">
        <f t="shared" si="33"/>
        <v>118.92330115166921</v>
      </c>
      <c r="AO12" s="439">
        <f t="shared" si="12"/>
        <v>-4.2387925000000104E-2</v>
      </c>
      <c r="AP12" s="440">
        <f t="shared" si="13"/>
        <v>-4.2387924999999993E-2</v>
      </c>
      <c r="AQ12" s="440">
        <f t="shared" si="14"/>
        <v>-4.2387925000000104E-2</v>
      </c>
      <c r="AR12" s="441">
        <f t="shared" si="15"/>
        <v>-4.2387925000000215E-2</v>
      </c>
      <c r="AS12" s="359">
        <f>'Price Adjustments'!$G$7</f>
        <v>0</v>
      </c>
      <c r="AT12" s="250">
        <f>IF(ISERROR(VLOOKUP($A12,'14-15 tariff'!$A:$F,3,FALSE)*(1+$AS$6)),"-",VLOOKUP($A12,'14-15 tariff'!$A:$F,3,FALSE)*(1+$AS$6))</f>
        <v>154</v>
      </c>
      <c r="AU12" s="250">
        <f>IF(ISERROR(VLOOKUP($A12,'14-15 tariff'!$A:$F,4,FALSE)*(1+$AS$6)),"-",VLOOKUP($A12,'14-15 tariff'!$A:$F,4,FALSE)*(1+$AS$6))</f>
        <v>154</v>
      </c>
      <c r="AV12" s="250">
        <f>IF(ISERROR(VLOOKUP($A12,'14-15 tariff'!$A:$F,5,FALSE)*(1+$AS$6)),"-",VLOOKUP($A12,'14-15 tariff'!$A:$F,5,FALSE)*(1+$AS$6))</f>
        <v>92</v>
      </c>
      <c r="AW12" s="250">
        <f>IF(ISERROR(VLOOKUP($A12,'14-15 tariff'!$A:$F,6,FALSE)*(1+$AS$6)),"-",VLOOKUP($A12,'14-15 tariff'!$A:$F,6,FALSE)*(1+$AS$6))</f>
        <v>92</v>
      </c>
      <c r="AX12" s="298"/>
      <c r="AY12" s="498" t="s">
        <v>522</v>
      </c>
      <c r="AZ12" s="499" t="s">
        <v>522</v>
      </c>
      <c r="BA12" s="499" t="s">
        <v>522</v>
      </c>
      <c r="BB12" s="499" t="s">
        <v>522</v>
      </c>
      <c r="BC12" s="339">
        <f t="shared" si="16"/>
        <v>164.28610487235022</v>
      </c>
      <c r="BD12" s="339">
        <f t="shared" si="17"/>
        <v>176.21149952212136</v>
      </c>
      <c r="BE12" s="339">
        <f t="shared" si="18"/>
        <v>104.12374642655674</v>
      </c>
      <c r="BF12" s="340">
        <f t="shared" si="19"/>
        <v>118.92330115166921</v>
      </c>
      <c r="BG12" s="265">
        <f t="shared" si="20"/>
        <v>-4.2387925000000104E-2</v>
      </c>
      <c r="BH12" s="265">
        <f t="shared" si="21"/>
        <v>-4.2387924999999993E-2</v>
      </c>
      <c r="BI12" s="265">
        <f t="shared" si="22"/>
        <v>-4.2387925000000104E-2</v>
      </c>
      <c r="BJ12" s="265">
        <f t="shared" si="23"/>
        <v>-4.2387925000000215E-2</v>
      </c>
      <c r="BK12" s="298"/>
      <c r="BL12" s="503">
        <f>'Price Adjustments'!$C$66</f>
        <v>-1.22128076562165E-2</v>
      </c>
      <c r="BM12" s="378">
        <f t="shared" si="24"/>
        <v>162.27971027295521</v>
      </c>
      <c r="BN12" s="378">
        <f t="shared" si="25"/>
        <v>174.0594623716442</v>
      </c>
      <c r="BO12" s="378">
        <f t="shared" si="26"/>
        <v>102.85210313900454</v>
      </c>
      <c r="BP12" s="506">
        <f t="shared" si="27"/>
        <v>117.47091374886156</v>
      </c>
      <c r="BQ12" s="298"/>
      <c r="BR12" s="618" t="str">
        <f>IF(COUNTIF('Manual adjustments'!$A:$A,A12)=1,"Y","")</f>
        <v/>
      </c>
      <c r="BS12" s="378">
        <f>IF($BR12="",BM12,IF(AND($BR12="Y",VLOOKUP($A12,'Manual adjustments'!$A:$O,12,FALSE)&lt;&gt;""),VLOOKUP($A12,'Manual adjustments'!$A:$O,12,FALSE),BM12))</f>
        <v>162.27971027295521</v>
      </c>
      <c r="BT12" s="378">
        <f>IF($BR12="",BN12,IF(AND($BR12="Y",VLOOKUP($A12,'Manual adjustments'!$A:$O,13,FALSE)&lt;&gt;""),VLOOKUP($A12,'Manual adjustments'!$A:$O,13,FALSE),BN12))</f>
        <v>174.0594623716442</v>
      </c>
      <c r="BU12" s="378">
        <f>IF($BR12="",BO12,IF(AND($BR12="Y",VLOOKUP($A12,'Manual adjustments'!$A:$O,14,FALSE)&lt;&gt;""),VLOOKUP($A12,'Manual adjustments'!$A:$O,14,FALSE),BO12))</f>
        <v>102.85210313900454</v>
      </c>
      <c r="BV12" s="378">
        <f>IF($BR12="",BP12,IF(AND($BR12="Y",VLOOKUP($A12,'Manual adjustments'!$A:$O,15,FALSE)&lt;&gt;""),VLOOKUP($A12,'Manual adjustments'!$A:$O,15,FALSE),BP12))</f>
        <v>117.47091374886156</v>
      </c>
      <c r="BW12" s="384">
        <f>'Price Adjustments'!$D$66</f>
        <v>0</v>
      </c>
      <c r="BX12" s="378">
        <f t="shared" si="34"/>
        <v>162.27971027295521</v>
      </c>
      <c r="BY12" s="378">
        <f t="shared" si="35"/>
        <v>174.0594623716442</v>
      </c>
      <c r="BZ12" s="378">
        <f t="shared" si="36"/>
        <v>102.85210313900454</v>
      </c>
      <c r="CA12" s="379">
        <f t="shared" si="37"/>
        <v>117.47091374886156</v>
      </c>
      <c r="CB12" s="615">
        <f t="shared" si="38"/>
        <v>0</v>
      </c>
      <c r="CC12" s="423">
        <f t="shared" si="39"/>
        <v>0</v>
      </c>
      <c r="CD12" s="423">
        <f t="shared" si="40"/>
        <v>0</v>
      </c>
      <c r="CE12" s="423">
        <f t="shared" si="41"/>
        <v>0</v>
      </c>
      <c r="CF12" s="298"/>
      <c r="CG12" s="388">
        <f t="shared" si="42"/>
        <v>162</v>
      </c>
      <c r="CH12" s="378">
        <f t="shared" si="43"/>
        <v>174</v>
      </c>
      <c r="CI12" s="378">
        <f t="shared" si="44"/>
        <v>103</v>
      </c>
      <c r="CJ12" s="379">
        <f t="shared" si="45"/>
        <v>117</v>
      </c>
      <c r="CM12" s="507"/>
      <c r="CN12" s="507"/>
      <c r="CO12" s="507"/>
      <c r="CP12" s="507"/>
    </row>
    <row r="13" spans="1:94" ht="16.5" customHeight="1">
      <c r="A13" s="296">
        <v>108</v>
      </c>
      <c r="B13" s="292" t="s">
        <v>57</v>
      </c>
      <c r="C13" s="293" t="str">
        <f>IF(ISERROR(VLOOKUP($A13,'Allocate OPROC cost'!A:M,11,FALSE)),"-",VLOOKUP($A13,'Allocate OPROC cost'!A:M,11,FALSE))</f>
        <v>-</v>
      </c>
      <c r="D13" s="140" t="str">
        <f>IF(ISERROR(VLOOKUP($A13,'Allocate OPROC cost'!A:M,10,FALSE)),"-",VLOOKUP($A13,'Allocate OPROC cost'!A:M,10,FALSE))</f>
        <v>-</v>
      </c>
      <c r="E13" s="140" t="str">
        <f>IF(ISERROR(VLOOKUP($A13,'Allocate OPROC cost'!A:M,13,FALSE)),"-",VLOOKUP($A13,'Allocate OPROC cost'!A:M,13,FALSE))</f>
        <v>-</v>
      </c>
      <c r="F13" s="294" t="str">
        <f>IF(ISERROR(VLOOKUP($A13,'Allocate OPROC cost'!A:M,12,FALSE)),"-",VLOOKUP($A13,'Allocate OPROC cost'!A:M,12,FALSE))</f>
        <v>-</v>
      </c>
      <c r="G13" s="298"/>
      <c r="H13" s="405" t="str">
        <f>IF(ISERROR(VLOOKUP($A13,'Allocate OPROC cost'!A:AO,39,FALSE)),"-",VLOOKUP($A13,'Allocate OPROC cost'!A:AO,39,FALSE))</f>
        <v>-</v>
      </c>
      <c r="I13" s="406" t="str">
        <f>IF(ISERROR(VLOOKUP($A13,'Allocate OPROC cost'!A:AO,38,FALSE)),"-",VLOOKUP($A13,'Allocate OPROC cost'!A:AO,38,FALSE))</f>
        <v>-</v>
      </c>
      <c r="J13" s="406" t="str">
        <f>IF(ISERROR(VLOOKUP($A13,'Allocate OPROC cost'!A:AO,41,FALSE)),"-",VLOOKUP($A13,'Allocate OPROC cost'!A:AO,41,FALSE))</f>
        <v>-</v>
      </c>
      <c r="K13" s="407" t="str">
        <f>IF(ISERROR(VLOOKUP($A13,'Allocate OPROC cost'!A:AO,40,FALSE)),"-",VLOOKUP($A13,'Allocate OPROC cost'!A:AO,40,FALSE))</f>
        <v>-</v>
      </c>
      <c r="L13" s="425" t="str">
        <f t="shared" si="0"/>
        <v>-</v>
      </c>
      <c r="M13" s="426" t="str">
        <f t="shared" si="1"/>
        <v>-</v>
      </c>
      <c r="N13" s="426" t="str">
        <f t="shared" si="2"/>
        <v>-</v>
      </c>
      <c r="O13" s="425" t="str">
        <f t="shared" si="3"/>
        <v>-</v>
      </c>
      <c r="P13" s="298"/>
      <c r="Q13" s="299" t="str">
        <f>IF(ISERROR(VLOOKUP($A13,'Front-loading'!$A:$AG,27,FALSE)),"-",VLOOKUP($A13,'Front-loading'!$A:$AG,27,FALSE))</f>
        <v>-</v>
      </c>
      <c r="R13" s="150" t="str">
        <f>IF(ISERROR(VLOOKUP($A13,'Front-loading'!$A:$AG,26,FALSE)),"-",VLOOKUP($A13,'Front-loading'!$A:$AG,26,FALSE))</f>
        <v>-</v>
      </c>
      <c r="S13" s="150" t="str">
        <f>IF(ISERROR(VLOOKUP($A13,'Front-loading'!$A:$AG,29,FALSE)),"-",VLOOKUP($A13,'Front-loading'!$A:$AG,29,FALSE))</f>
        <v>-</v>
      </c>
      <c r="T13" s="300" t="str">
        <f>IF(ISERROR(VLOOKUP($A13,'Front-loading'!$A:$AG,28,FALSE)),"-",VLOOKUP($A13,'Front-loading'!$A:$AG,28,FALSE))</f>
        <v>-</v>
      </c>
      <c r="U13" s="429" t="str">
        <f t="shared" si="4"/>
        <v>-</v>
      </c>
      <c r="V13" s="430" t="str">
        <f t="shared" si="5"/>
        <v>-</v>
      </c>
      <c r="W13" s="430" t="str">
        <f t="shared" si="6"/>
        <v>-</v>
      </c>
      <c r="X13" s="431" t="str">
        <f t="shared" si="7"/>
        <v>-</v>
      </c>
      <c r="Y13" s="298"/>
      <c r="Z13" s="152" t="str">
        <f>IF(ISERROR(VLOOKUP($A13,'Further adjustment'!$A:$BC,53,FALSE)),"-",VLOOKUP($A13,'Further adjustment'!$A:$BC,53,FALSE))</f>
        <v>-</v>
      </c>
      <c r="AA13" s="152" t="str">
        <f>IF(ISERROR(VLOOKUP($A13,'Further adjustment'!$A:$BC,52,FALSE)),"-",VLOOKUP($A13,'Further adjustment'!$A:$BC,52,FALSE))</f>
        <v>-</v>
      </c>
      <c r="AB13" s="152" t="str">
        <f>IF(ISERROR(VLOOKUP($A13,'Further adjustment'!$A:$BC,55,FALSE)),"-",VLOOKUP($A13,'Further adjustment'!$A:$BC,55,FALSE))</f>
        <v>-</v>
      </c>
      <c r="AC13" s="412" t="str">
        <f>IF(ISERROR(VLOOKUP($A13,'Further adjustment'!$A:$BC,54,FALSE)),"-",VLOOKUP($A13,'Further adjustment'!$A:$BC,54,FALSE))</f>
        <v>-</v>
      </c>
      <c r="AD13" s="435" t="str">
        <f t="shared" si="8"/>
        <v>-</v>
      </c>
      <c r="AE13" s="436" t="str">
        <f t="shared" si="9"/>
        <v>-</v>
      </c>
      <c r="AF13" s="436" t="str">
        <f t="shared" si="10"/>
        <v>-</v>
      </c>
      <c r="AG13" s="436" t="str">
        <f t="shared" si="11"/>
        <v>-</v>
      </c>
      <c r="AH13" s="298"/>
      <c r="AI13" s="347">
        <f>'Price Adjustments'!$H$7</f>
        <v>-4.2387925000000104E-2</v>
      </c>
      <c r="AJ13" s="467">
        <f>'Price Adjustments'!$G$91</f>
        <v>0</v>
      </c>
      <c r="AK13" s="352" t="str">
        <f t="shared" si="30"/>
        <v>-</v>
      </c>
      <c r="AL13" s="352" t="str">
        <f t="shared" si="31"/>
        <v>-</v>
      </c>
      <c r="AM13" s="352" t="str">
        <f t="shared" si="32"/>
        <v>-</v>
      </c>
      <c r="AN13" s="413" t="str">
        <f t="shared" si="33"/>
        <v>-</v>
      </c>
      <c r="AO13" s="439" t="str">
        <f t="shared" si="12"/>
        <v>-</v>
      </c>
      <c r="AP13" s="440" t="str">
        <f t="shared" si="13"/>
        <v>-</v>
      </c>
      <c r="AQ13" s="440" t="str">
        <f t="shared" si="14"/>
        <v>-</v>
      </c>
      <c r="AR13" s="441" t="str">
        <f t="shared" si="15"/>
        <v>-</v>
      </c>
      <c r="AS13" s="359">
        <f>'Price Adjustments'!$G$7</f>
        <v>0</v>
      </c>
      <c r="AT13" s="250">
        <f>IF(ISERROR(VLOOKUP($A13,'14-15 tariff'!$A:$F,3,FALSE)*(1+$AS$6)),"-",VLOOKUP($A13,'14-15 tariff'!$A:$F,3,FALSE)*(1+$AS$6))</f>
        <v>161</v>
      </c>
      <c r="AU13" s="250">
        <f>IF(ISERROR(VLOOKUP($A13,'14-15 tariff'!$A:$F,4,FALSE)*(1+$AS$6)),"-",VLOOKUP($A13,'14-15 tariff'!$A:$F,4,FALSE)*(1+$AS$6))</f>
        <v>161</v>
      </c>
      <c r="AV13" s="250">
        <f>IF(ISERROR(VLOOKUP($A13,'14-15 tariff'!$A:$F,5,FALSE)*(1+$AS$6)),"-",VLOOKUP($A13,'14-15 tariff'!$A:$F,5,FALSE)*(1+$AS$6))</f>
        <v>98</v>
      </c>
      <c r="AW13" s="250">
        <f>IF(ISERROR(VLOOKUP($A13,'14-15 tariff'!$A:$F,6,FALSE)*(1+$AS$6)),"-",VLOOKUP($A13,'14-15 tariff'!$A:$F,6,FALSE)*(1+$AS$6))</f>
        <v>98</v>
      </c>
      <c r="AX13" s="298"/>
      <c r="AY13" s="494" t="s">
        <v>739</v>
      </c>
      <c r="AZ13" s="495" t="s">
        <v>739</v>
      </c>
      <c r="BA13" s="495" t="s">
        <v>739</v>
      </c>
      <c r="BB13" s="495" t="s">
        <v>739</v>
      </c>
      <c r="BC13" s="339">
        <f t="shared" si="16"/>
        <v>161</v>
      </c>
      <c r="BD13" s="339">
        <f t="shared" si="17"/>
        <v>161</v>
      </c>
      <c r="BE13" s="339">
        <f t="shared" si="18"/>
        <v>98</v>
      </c>
      <c r="BF13" s="340">
        <f t="shared" si="19"/>
        <v>98</v>
      </c>
      <c r="BG13" s="265" t="str">
        <f t="shared" si="20"/>
        <v>-</v>
      </c>
      <c r="BH13" s="265" t="str">
        <f t="shared" si="21"/>
        <v>-</v>
      </c>
      <c r="BI13" s="265" t="str">
        <f t="shared" si="22"/>
        <v>-</v>
      </c>
      <c r="BJ13" s="265" t="str">
        <f t="shared" si="23"/>
        <v>-</v>
      </c>
      <c r="BK13" s="298"/>
      <c r="BL13" s="503">
        <f>'Price Adjustments'!$C$66</f>
        <v>-1.22128076562165E-2</v>
      </c>
      <c r="BM13" s="378">
        <f t="shared" si="24"/>
        <v>159.03373796734914</v>
      </c>
      <c r="BN13" s="378">
        <f t="shared" si="25"/>
        <v>159.03373796734914</v>
      </c>
      <c r="BO13" s="378">
        <f t="shared" si="26"/>
        <v>96.803144849690781</v>
      </c>
      <c r="BP13" s="506">
        <f t="shared" si="27"/>
        <v>96.803144849690781</v>
      </c>
      <c r="BQ13" s="298"/>
      <c r="BR13" s="618" t="str">
        <f>IF(COUNTIF('Manual adjustments'!$A:$A,A13)=1,"Y","")</f>
        <v/>
      </c>
      <c r="BS13" s="378">
        <f>IF($BR13="",BM13,IF(AND($BR13="Y",VLOOKUP($A13,'Manual adjustments'!$A:$O,12,FALSE)&lt;&gt;""),VLOOKUP($A13,'Manual adjustments'!$A:$O,12,FALSE),BM13))</f>
        <v>159.03373796734914</v>
      </c>
      <c r="BT13" s="378">
        <f>IF($BR13="",BN13,IF(AND($BR13="Y",VLOOKUP($A13,'Manual adjustments'!$A:$O,13,FALSE)&lt;&gt;""),VLOOKUP($A13,'Manual adjustments'!$A:$O,13,FALSE),BN13))</f>
        <v>159.03373796734914</v>
      </c>
      <c r="BU13" s="378">
        <f>IF($BR13="",BO13,IF(AND($BR13="Y",VLOOKUP($A13,'Manual adjustments'!$A:$O,14,FALSE)&lt;&gt;""),VLOOKUP($A13,'Manual adjustments'!$A:$O,14,FALSE),BO13))</f>
        <v>96.803144849690781</v>
      </c>
      <c r="BV13" s="378">
        <f>IF($BR13="",BP13,IF(AND($BR13="Y",VLOOKUP($A13,'Manual adjustments'!$A:$O,15,FALSE)&lt;&gt;""),VLOOKUP($A13,'Manual adjustments'!$A:$O,15,FALSE),BP13))</f>
        <v>96.803144849690781</v>
      </c>
      <c r="BW13" s="384">
        <f>'Price Adjustments'!$D$66</f>
        <v>0</v>
      </c>
      <c r="BX13" s="378">
        <f t="shared" si="34"/>
        <v>159.03373796734914</v>
      </c>
      <c r="BY13" s="378">
        <f t="shared" si="35"/>
        <v>159.03373796734914</v>
      </c>
      <c r="BZ13" s="378">
        <f t="shared" si="36"/>
        <v>96.803144849690781</v>
      </c>
      <c r="CA13" s="379">
        <f t="shared" si="37"/>
        <v>96.803144849690781</v>
      </c>
      <c r="CB13" s="615">
        <f t="shared" si="38"/>
        <v>0</v>
      </c>
      <c r="CC13" s="423">
        <f t="shared" si="39"/>
        <v>0</v>
      </c>
      <c r="CD13" s="423">
        <f t="shared" si="40"/>
        <v>0</v>
      </c>
      <c r="CE13" s="423">
        <f t="shared" si="41"/>
        <v>0</v>
      </c>
      <c r="CF13" s="298"/>
      <c r="CG13" s="388">
        <f t="shared" si="42"/>
        <v>159</v>
      </c>
      <c r="CH13" s="378">
        <f t="shared" si="43"/>
        <v>159</v>
      </c>
      <c r="CI13" s="378">
        <f t="shared" si="44"/>
        <v>97</v>
      </c>
      <c r="CJ13" s="379">
        <f t="shared" si="45"/>
        <v>97</v>
      </c>
      <c r="CM13" s="507"/>
      <c r="CN13" s="507"/>
      <c r="CO13" s="507"/>
      <c r="CP13" s="507"/>
    </row>
    <row r="14" spans="1:94" ht="16.5" customHeight="1">
      <c r="A14" s="296">
        <v>110</v>
      </c>
      <c r="B14" s="292" t="s">
        <v>7</v>
      </c>
      <c r="C14" s="293">
        <f>IF(ISERROR(VLOOKUP($A14,'Allocate OPROC cost'!A:M,11,FALSE)),"-",VLOOKUP($A14,'Allocate OPROC cost'!A:M,11,FALSE))</f>
        <v>118.06202741743409</v>
      </c>
      <c r="D14" s="140">
        <f>IF(ISERROR(VLOOKUP($A14,'Allocate OPROC cost'!A:M,10,FALSE)),"-",VLOOKUP($A14,'Allocate OPROC cost'!A:M,10,FALSE))</f>
        <v>117.81692997564294</v>
      </c>
      <c r="E14" s="140">
        <f>IF(ISERROR(VLOOKUP($A14,'Allocate OPROC cost'!A:M,13,FALSE)),"-",VLOOKUP($A14,'Allocate OPROC cost'!A:M,13,FALSE))</f>
        <v>86.964901448389881</v>
      </c>
      <c r="F14" s="294">
        <f>IF(ISERROR(VLOOKUP($A14,'Allocate OPROC cost'!A:M,12,FALSE)),"-",VLOOKUP($A14,'Allocate OPROC cost'!A:M,12,FALSE))</f>
        <v>98.708762966979705</v>
      </c>
      <c r="G14" s="298"/>
      <c r="H14" s="405">
        <f>IF(ISERROR(VLOOKUP($A14,'Allocate OPROC cost'!A:AO,39,FALSE)),"-",VLOOKUP($A14,'Allocate OPROC cost'!A:AO,39,FALSE))</f>
        <v>118.28002187655019</v>
      </c>
      <c r="I14" s="406">
        <f>IF(ISERROR(VLOOKUP($A14,'Allocate OPROC cost'!A:AO,38,FALSE)),"-",VLOOKUP($A14,'Allocate OPROC cost'!A:AO,38,FALSE))</f>
        <v>117.81692997564294</v>
      </c>
      <c r="J14" s="406">
        <f>IF(ISERROR(VLOOKUP($A14,'Allocate OPROC cost'!A:AO,41,FALSE)),"-",VLOOKUP($A14,'Allocate OPROC cost'!A:AO,41,FALSE))</f>
        <v>88.100100459473467</v>
      </c>
      <c r="K14" s="407">
        <f>IF(ISERROR(VLOOKUP($A14,'Allocate OPROC cost'!A:AO,40,FALSE)),"-",VLOOKUP($A14,'Allocate OPROC cost'!A:AO,40,FALSE))</f>
        <v>98.708762966979705</v>
      </c>
      <c r="L14" s="425">
        <f t="shared" si="0"/>
        <v>1.846440078022038E-3</v>
      </c>
      <c r="M14" s="426">
        <f t="shared" si="1"/>
        <v>0</v>
      </c>
      <c r="N14" s="426">
        <f t="shared" si="2"/>
        <v>1.3053530702352045E-2</v>
      </c>
      <c r="O14" s="425">
        <f t="shared" si="3"/>
        <v>0</v>
      </c>
      <c r="P14" s="298"/>
      <c r="Q14" s="299">
        <f>IF(ISERROR(VLOOKUP($A14,'Front-loading'!$A:$AG,27,FALSE)),"-",VLOOKUP($A14,'Front-loading'!$A:$AG,27,FALSE))</f>
        <v>134.61529649619652</v>
      </c>
      <c r="R14" s="150">
        <f>IF(ISERROR(VLOOKUP($A14,'Front-loading'!$A:$AG,26,FALSE)),"-",VLOOKUP($A14,'Front-loading'!$A:$AG,26,FALSE))</f>
        <v>136.24608279346489</v>
      </c>
      <c r="S14" s="150">
        <f>IF(ISERROR(VLOOKUP($A14,'Front-loading'!$A:$AG,29,FALSE)),"-",VLOOKUP($A14,'Front-loading'!$A:$AG,29,FALSE))</f>
        <v>79.29009041352613</v>
      </c>
      <c r="T14" s="300">
        <f>IF(ISERROR(VLOOKUP($A14,'Front-loading'!$A:$AG,28,FALSE)),"-",VLOOKUP($A14,'Front-loading'!$A:$AG,28,FALSE))</f>
        <v>88.837886670281748</v>
      </c>
      <c r="U14" s="429">
        <f t="shared" si="4"/>
        <v>0.1381067940340388</v>
      </c>
      <c r="V14" s="430">
        <f t="shared" si="5"/>
        <v>0.1564219405617846</v>
      </c>
      <c r="W14" s="430">
        <f t="shared" si="6"/>
        <v>-9.9999999999999867E-2</v>
      </c>
      <c r="X14" s="431">
        <f t="shared" si="7"/>
        <v>-9.9999999999999867E-2</v>
      </c>
      <c r="Y14" s="298"/>
      <c r="Z14" s="152">
        <f>IF(ISERROR(VLOOKUP($A14,'Further adjustment'!$A:$BC,53,FALSE)),"-",VLOOKUP($A14,'Further adjustment'!$A:$BC,53,FALSE))</f>
        <v>134.61529649619652</v>
      </c>
      <c r="AA14" s="152">
        <f>IF(ISERROR(VLOOKUP($A14,'Further adjustment'!$A:$BC,52,FALSE)),"-",VLOOKUP($A14,'Further adjustment'!$A:$BC,52,FALSE))</f>
        <v>136.24608279346489</v>
      </c>
      <c r="AB14" s="152">
        <f>IF(ISERROR(VLOOKUP($A14,'Further adjustment'!$A:$BC,55,FALSE)),"-",VLOOKUP($A14,'Further adjustment'!$A:$BC,55,FALSE))</f>
        <v>79.29009041352613</v>
      </c>
      <c r="AC14" s="412">
        <f>IF(ISERROR(VLOOKUP($A14,'Further adjustment'!$A:$BC,54,FALSE)),"-",VLOOKUP($A14,'Further adjustment'!$A:$BC,54,FALSE))</f>
        <v>88.837886670281748</v>
      </c>
      <c r="AD14" s="435">
        <f t="shared" si="8"/>
        <v>0</v>
      </c>
      <c r="AE14" s="436">
        <f t="shared" si="9"/>
        <v>0</v>
      </c>
      <c r="AF14" s="436">
        <f t="shared" si="10"/>
        <v>0</v>
      </c>
      <c r="AG14" s="436">
        <f t="shared" si="11"/>
        <v>0</v>
      </c>
      <c r="AH14" s="298"/>
      <c r="AI14" s="347">
        <f>'Price Adjustments'!$H$7</f>
        <v>-4.2387925000000104E-2</v>
      </c>
      <c r="AJ14" s="467">
        <f>'Price Adjustments'!$G$91</f>
        <v>0</v>
      </c>
      <c r="AK14" s="352">
        <f t="shared" si="30"/>
        <v>128.90923340446295</v>
      </c>
      <c r="AL14" s="352">
        <f t="shared" si="31"/>
        <v>130.4708940544717</v>
      </c>
      <c r="AM14" s="352">
        <f t="shared" si="32"/>
        <v>75.929148007834357</v>
      </c>
      <c r="AN14" s="413">
        <f t="shared" si="33"/>
        <v>85.072232992943341</v>
      </c>
      <c r="AO14" s="439">
        <f t="shared" si="12"/>
        <v>-4.2387925000000215E-2</v>
      </c>
      <c r="AP14" s="440">
        <f t="shared" si="13"/>
        <v>-4.2387925000000104E-2</v>
      </c>
      <c r="AQ14" s="440">
        <f t="shared" si="14"/>
        <v>-4.2387925000000104E-2</v>
      </c>
      <c r="AR14" s="441">
        <f t="shared" si="15"/>
        <v>-4.2387924999999993E-2</v>
      </c>
      <c r="AS14" s="359">
        <f>'Price Adjustments'!$G$7</f>
        <v>0</v>
      </c>
      <c r="AT14" s="250">
        <f>IF(ISERROR(VLOOKUP($A14,'14-15 tariff'!$A:$F,3,FALSE)*(1+$AS$6)),"-",VLOOKUP($A14,'14-15 tariff'!$A:$F,3,FALSE)*(1+$AS$6))</f>
        <v>119</v>
      </c>
      <c r="AU14" s="250">
        <f>IF(ISERROR(VLOOKUP($A14,'14-15 tariff'!$A:$F,4,FALSE)*(1+$AS$6)),"-",VLOOKUP($A14,'14-15 tariff'!$A:$F,4,FALSE)*(1+$AS$6))</f>
        <v>124</v>
      </c>
      <c r="AV14" s="250">
        <f>IF(ISERROR(VLOOKUP($A14,'14-15 tariff'!$A:$F,5,FALSE)*(1+$AS$6)),"-",VLOOKUP($A14,'14-15 tariff'!$A:$F,5,FALSE)*(1+$AS$6))</f>
        <v>70</v>
      </c>
      <c r="AW14" s="250">
        <f>IF(ISERROR(VLOOKUP($A14,'14-15 tariff'!$A:$F,6,FALSE)*(1+$AS$6)),"-",VLOOKUP($A14,'14-15 tariff'!$A:$F,6,FALSE)*(1+$AS$6))</f>
        <v>70</v>
      </c>
      <c r="AX14" s="298"/>
      <c r="AY14" s="498" t="s">
        <v>522</v>
      </c>
      <c r="AZ14" s="499" t="s">
        <v>522</v>
      </c>
      <c r="BA14" s="499" t="s">
        <v>522</v>
      </c>
      <c r="BB14" s="499" t="s">
        <v>522</v>
      </c>
      <c r="BC14" s="339">
        <f t="shared" si="16"/>
        <v>128.90923340446295</v>
      </c>
      <c r="BD14" s="339">
        <f t="shared" si="17"/>
        <v>130.4708940544717</v>
      </c>
      <c r="BE14" s="339">
        <f t="shared" si="18"/>
        <v>75.929148007834357</v>
      </c>
      <c r="BF14" s="340">
        <f t="shared" si="19"/>
        <v>85.072232992943341</v>
      </c>
      <c r="BG14" s="265">
        <f t="shared" si="20"/>
        <v>-4.2387925000000215E-2</v>
      </c>
      <c r="BH14" s="265">
        <f t="shared" si="21"/>
        <v>-4.2387925000000104E-2</v>
      </c>
      <c r="BI14" s="265">
        <f t="shared" si="22"/>
        <v>-4.2387925000000104E-2</v>
      </c>
      <c r="BJ14" s="265">
        <f t="shared" si="23"/>
        <v>-4.2387924999999993E-2</v>
      </c>
      <c r="BK14" s="298"/>
      <c r="BL14" s="503">
        <f>'Price Adjustments'!$C$66</f>
        <v>-1.22128076562165E-2</v>
      </c>
      <c r="BM14" s="378">
        <f t="shared" si="24"/>
        <v>127.33488973178393</v>
      </c>
      <c r="BN14" s="378">
        <f t="shared" si="25"/>
        <v>128.87747812064984</v>
      </c>
      <c r="BO14" s="378">
        <f t="shared" si="26"/>
        <v>75.001839927714286</v>
      </c>
      <c r="BP14" s="506">
        <f t="shared" si="27"/>
        <v>84.033262174515698</v>
      </c>
      <c r="BQ14" s="298"/>
      <c r="BR14" s="618" t="str">
        <f>IF(COUNTIF('Manual adjustments'!$A:$A,A14)=1,"Y","")</f>
        <v/>
      </c>
      <c r="BS14" s="378">
        <f>IF($BR14="",BM14,IF(AND($BR14="Y",VLOOKUP($A14,'Manual adjustments'!$A:$O,12,FALSE)&lt;&gt;""),VLOOKUP($A14,'Manual adjustments'!$A:$O,12,FALSE),BM14))</f>
        <v>127.33488973178393</v>
      </c>
      <c r="BT14" s="378">
        <f>IF($BR14="",BN14,IF(AND($BR14="Y",VLOOKUP($A14,'Manual adjustments'!$A:$O,13,FALSE)&lt;&gt;""),VLOOKUP($A14,'Manual adjustments'!$A:$O,13,FALSE),BN14))</f>
        <v>128.87747812064984</v>
      </c>
      <c r="BU14" s="378">
        <f>IF($BR14="",BO14,IF(AND($BR14="Y",VLOOKUP($A14,'Manual adjustments'!$A:$O,14,FALSE)&lt;&gt;""),VLOOKUP($A14,'Manual adjustments'!$A:$O,14,FALSE),BO14))</f>
        <v>75.001839927714286</v>
      </c>
      <c r="BV14" s="378">
        <f>IF($BR14="",BP14,IF(AND($BR14="Y",VLOOKUP($A14,'Manual adjustments'!$A:$O,15,FALSE)&lt;&gt;""),VLOOKUP($A14,'Manual adjustments'!$A:$O,15,FALSE),BP14))</f>
        <v>84.033262174515698</v>
      </c>
      <c r="BW14" s="384">
        <f>'Price Adjustments'!$D$66</f>
        <v>0</v>
      </c>
      <c r="BX14" s="378">
        <f t="shared" si="34"/>
        <v>127.33488973178393</v>
      </c>
      <c r="BY14" s="378">
        <f t="shared" si="35"/>
        <v>128.87747812064984</v>
      </c>
      <c r="BZ14" s="378">
        <f t="shared" si="36"/>
        <v>75.001839927714286</v>
      </c>
      <c r="CA14" s="379">
        <f t="shared" si="37"/>
        <v>84.033262174515698</v>
      </c>
      <c r="CB14" s="615">
        <f t="shared" si="38"/>
        <v>0</v>
      </c>
      <c r="CC14" s="423">
        <f t="shared" si="39"/>
        <v>0</v>
      </c>
      <c r="CD14" s="423">
        <f t="shared" si="40"/>
        <v>0</v>
      </c>
      <c r="CE14" s="423">
        <f t="shared" si="41"/>
        <v>0</v>
      </c>
      <c r="CF14" s="298"/>
      <c r="CG14" s="388">
        <f t="shared" si="42"/>
        <v>127</v>
      </c>
      <c r="CH14" s="378">
        <f t="shared" si="43"/>
        <v>129</v>
      </c>
      <c r="CI14" s="378">
        <f t="shared" si="44"/>
        <v>75</v>
      </c>
      <c r="CJ14" s="379">
        <f t="shared" si="45"/>
        <v>84</v>
      </c>
      <c r="CM14" s="507"/>
      <c r="CN14" s="507"/>
      <c r="CO14" s="507"/>
      <c r="CP14" s="507"/>
    </row>
    <row r="15" spans="1:94" ht="16.5" customHeight="1">
      <c r="A15" s="296">
        <v>120</v>
      </c>
      <c r="B15" s="292" t="s">
        <v>8</v>
      </c>
      <c r="C15" s="293">
        <f>IF(ISERROR(VLOOKUP($A15,'Allocate OPROC cost'!A:M,11,FALSE)),"-",VLOOKUP($A15,'Allocate OPROC cost'!A:M,11,FALSE))</f>
        <v>100.42116126273304</v>
      </c>
      <c r="D15" s="140">
        <f>IF(ISERROR(VLOOKUP($A15,'Allocate OPROC cost'!A:M,10,FALSE)),"-",VLOOKUP($A15,'Allocate OPROC cost'!A:M,10,FALSE))</f>
        <v>155.56509602695508</v>
      </c>
      <c r="E15" s="140">
        <f>IF(ISERROR(VLOOKUP($A15,'Allocate OPROC cost'!A:M,13,FALSE)),"-",VLOOKUP($A15,'Allocate OPROC cost'!A:M,13,FALSE))</f>
        <v>76.2986241523476</v>
      </c>
      <c r="F15" s="294">
        <f>IF(ISERROR(VLOOKUP($A15,'Allocate OPROC cost'!A:M,12,FALSE)),"-",VLOOKUP($A15,'Allocate OPROC cost'!A:M,12,FALSE))</f>
        <v>106.00119904692416</v>
      </c>
      <c r="G15" s="298"/>
      <c r="H15" s="405">
        <f>IF(ISERROR(VLOOKUP($A15,'Allocate OPROC cost'!A:AO,39,FALSE)),"-",VLOOKUP($A15,'Allocate OPROC cost'!A:AO,39,FALSE))</f>
        <v>100.61017368051262</v>
      </c>
      <c r="I15" s="406">
        <f>IF(ISERROR(VLOOKUP($A15,'Allocate OPROC cost'!A:AO,38,FALSE)),"-",VLOOKUP($A15,'Allocate OPROC cost'!A:AO,38,FALSE))</f>
        <v>155.56509602695508</v>
      </c>
      <c r="J15" s="406">
        <f>IF(ISERROR(VLOOKUP($A15,'Allocate OPROC cost'!A:AO,41,FALSE)),"-",VLOOKUP($A15,'Allocate OPROC cost'!A:AO,41,FALSE))</f>
        <v>76.615461517384645</v>
      </c>
      <c r="K15" s="407">
        <f>IF(ISERROR(VLOOKUP($A15,'Allocate OPROC cost'!A:AO,40,FALSE)),"-",VLOOKUP($A15,'Allocate OPROC cost'!A:AO,40,FALSE))</f>
        <v>106.00119904692416</v>
      </c>
      <c r="L15" s="425">
        <f t="shared" si="0"/>
        <v>1.8821970927529463E-3</v>
      </c>
      <c r="M15" s="426">
        <f t="shared" si="1"/>
        <v>0</v>
      </c>
      <c r="N15" s="426">
        <f t="shared" si="2"/>
        <v>4.1525960468751233E-3</v>
      </c>
      <c r="O15" s="425">
        <f t="shared" si="3"/>
        <v>0</v>
      </c>
      <c r="P15" s="298"/>
      <c r="Q15" s="299">
        <f>IF(ISERROR(VLOOKUP($A15,'Front-loading'!$A:$AG,27,FALSE)),"-",VLOOKUP($A15,'Front-loading'!$A:$AG,27,FALSE))</f>
        <v>112.0719942450273</v>
      </c>
      <c r="R15" s="150">
        <f>IF(ISERROR(VLOOKUP($A15,'Front-loading'!$A:$AG,26,FALSE)),"-",VLOOKUP($A15,'Front-loading'!$A:$AG,26,FALSE))</f>
        <v>179.80305098629594</v>
      </c>
      <c r="S15" s="150">
        <f>IF(ISERROR(VLOOKUP($A15,'Front-loading'!$A:$AG,29,FALSE)),"-",VLOOKUP($A15,'Front-loading'!$A:$AG,29,FALSE))</f>
        <v>68.953915365646182</v>
      </c>
      <c r="T15" s="300">
        <f>IF(ISERROR(VLOOKUP($A15,'Front-loading'!$A:$AG,28,FALSE)),"-",VLOOKUP($A15,'Front-loading'!$A:$AG,28,FALSE))</f>
        <v>95.401079142231737</v>
      </c>
      <c r="U15" s="429">
        <f t="shared" si="4"/>
        <v>0.11392307701318227</v>
      </c>
      <c r="V15" s="430">
        <f t="shared" si="5"/>
        <v>0.15580586891510095</v>
      </c>
      <c r="W15" s="430">
        <f t="shared" si="6"/>
        <v>-9.9999999999999978E-2</v>
      </c>
      <c r="X15" s="431">
        <f t="shared" si="7"/>
        <v>-0.10000000000000009</v>
      </c>
      <c r="Y15" s="298"/>
      <c r="Z15" s="152">
        <f>IF(ISERROR(VLOOKUP($A15,'Further adjustment'!$A:$BC,53,FALSE)),"-",VLOOKUP($A15,'Further adjustment'!$A:$BC,53,FALSE))</f>
        <v>111.44240349644132</v>
      </c>
      <c r="AA15" s="152">
        <f>IF(ISERROR(VLOOKUP($A15,'Further adjustment'!$A:$BC,52,FALSE)),"-",VLOOKUP($A15,'Further adjustment'!$A:$BC,52,FALSE))</f>
        <v>174.00589034817429</v>
      </c>
      <c r="AB15" s="152">
        <f>IF(ISERROR(VLOOKUP($A15,'Further adjustment'!$A:$BC,55,FALSE)),"-",VLOOKUP($A15,'Further adjustment'!$A:$BC,55,FALSE))</f>
        <v>68.717022297568917</v>
      </c>
      <c r="AC15" s="412">
        <f>IF(ISERROR(VLOOKUP($A15,'Further adjustment'!$A:$BC,54,FALSE)),"-",VLOOKUP($A15,'Further adjustment'!$A:$BC,54,FALSE))</f>
        <v>95.261813096181754</v>
      </c>
      <c r="AD15" s="435">
        <f t="shared" si="8"/>
        <v>-5.6177348571979646E-3</v>
      </c>
      <c r="AE15" s="436">
        <f t="shared" si="9"/>
        <v>-3.2241725634363672E-2</v>
      </c>
      <c r="AF15" s="436">
        <f t="shared" si="10"/>
        <v>-3.4355274362750654E-3</v>
      </c>
      <c r="AG15" s="436">
        <f t="shared" si="11"/>
        <v>-1.459795290599919E-3</v>
      </c>
      <c r="AH15" s="298"/>
      <c r="AI15" s="347">
        <f>'Price Adjustments'!$H$7</f>
        <v>-4.2387925000000104E-2</v>
      </c>
      <c r="AJ15" s="467">
        <f>'Price Adjustments'!$G$91</f>
        <v>0</v>
      </c>
      <c r="AK15" s="352">
        <f t="shared" si="30"/>
        <v>106.71859125521441</v>
      </c>
      <c r="AL15" s="352">
        <f t="shared" si="31"/>
        <v>166.63014171853763</v>
      </c>
      <c r="AM15" s="352">
        <f t="shared" si="32"/>
        <v>65.804250310196224</v>
      </c>
      <c r="AN15" s="413">
        <f t="shared" si="33"/>
        <v>91.223862507296772</v>
      </c>
      <c r="AO15" s="439">
        <f t="shared" si="12"/>
        <v>-4.2387925000000104E-2</v>
      </c>
      <c r="AP15" s="440">
        <f t="shared" si="13"/>
        <v>-4.2387925000000104E-2</v>
      </c>
      <c r="AQ15" s="440">
        <f t="shared" si="14"/>
        <v>-4.2387925000000215E-2</v>
      </c>
      <c r="AR15" s="441">
        <f t="shared" si="15"/>
        <v>-4.2387925000000104E-2</v>
      </c>
      <c r="AS15" s="359">
        <f>'Price Adjustments'!$G$7</f>
        <v>0</v>
      </c>
      <c r="AT15" s="250">
        <f>IF(ISERROR(VLOOKUP($A15,'14-15 tariff'!$A:$F,3,FALSE)*(1+$AS$6)),"-",VLOOKUP($A15,'14-15 tariff'!$A:$F,3,FALSE)*(1+$AS$6))</f>
        <v>103</v>
      </c>
      <c r="AU15" s="250">
        <f>IF(ISERROR(VLOOKUP($A15,'14-15 tariff'!$A:$F,4,FALSE)*(1+$AS$6)),"-",VLOOKUP($A15,'14-15 tariff'!$A:$F,4,FALSE)*(1+$AS$6))</f>
        <v>136</v>
      </c>
      <c r="AV15" s="250">
        <f>IF(ISERROR(VLOOKUP($A15,'14-15 tariff'!$A:$F,5,FALSE)*(1+$AS$6)),"-",VLOOKUP($A15,'14-15 tariff'!$A:$F,5,FALSE)*(1+$AS$6))</f>
        <v>62</v>
      </c>
      <c r="AW15" s="250">
        <f>IF(ISERROR(VLOOKUP($A15,'14-15 tariff'!$A:$F,6,FALSE)*(1+$AS$6)),"-",VLOOKUP($A15,'14-15 tariff'!$A:$F,6,FALSE)*(1+$AS$6))</f>
        <v>81</v>
      </c>
      <c r="AX15" s="298"/>
      <c r="AY15" s="498" t="s">
        <v>522</v>
      </c>
      <c r="AZ15" s="499" t="s">
        <v>522</v>
      </c>
      <c r="BA15" s="499" t="s">
        <v>522</v>
      </c>
      <c r="BB15" s="499" t="s">
        <v>522</v>
      </c>
      <c r="BC15" s="339">
        <f t="shared" si="16"/>
        <v>106.71859125521441</v>
      </c>
      <c r="BD15" s="339">
        <f t="shared" si="17"/>
        <v>166.63014171853763</v>
      </c>
      <c r="BE15" s="339">
        <f t="shared" si="18"/>
        <v>65.804250310196224</v>
      </c>
      <c r="BF15" s="340">
        <f t="shared" si="19"/>
        <v>91.223862507296772</v>
      </c>
      <c r="BG15" s="265">
        <f t="shared" si="20"/>
        <v>-4.2387925000000104E-2</v>
      </c>
      <c r="BH15" s="265">
        <f t="shared" si="21"/>
        <v>-4.2387925000000104E-2</v>
      </c>
      <c r="BI15" s="265">
        <f t="shared" si="22"/>
        <v>-4.2387925000000215E-2</v>
      </c>
      <c r="BJ15" s="265">
        <f t="shared" si="23"/>
        <v>-4.2387925000000104E-2</v>
      </c>
      <c r="BK15" s="298"/>
      <c r="BL15" s="503">
        <f>'Price Adjustments'!$C$66</f>
        <v>-1.22128076562165E-2</v>
      </c>
      <c r="BM15" s="378">
        <f t="shared" si="24"/>
        <v>105.41525762687209</v>
      </c>
      <c r="BN15" s="378">
        <f t="shared" si="25"/>
        <v>164.59511984800105</v>
      </c>
      <c r="BO15" s="378">
        <f t="shared" si="26"/>
        <v>65.000595658196275</v>
      </c>
      <c r="BP15" s="506">
        <f t="shared" si="27"/>
        <v>90.109763020838017</v>
      </c>
      <c r="BQ15" s="298"/>
      <c r="BR15" s="618" t="str">
        <f>IF(COUNTIF('Manual adjustments'!$A:$A,A15)=1,"Y","")</f>
        <v/>
      </c>
      <c r="BS15" s="378">
        <f>IF($BR15="",BM15,IF(AND($BR15="Y",VLOOKUP($A15,'Manual adjustments'!$A:$O,12,FALSE)&lt;&gt;""),VLOOKUP($A15,'Manual adjustments'!$A:$O,12,FALSE),BM15))</f>
        <v>105.41525762687209</v>
      </c>
      <c r="BT15" s="378">
        <f>IF($BR15="",BN15,IF(AND($BR15="Y",VLOOKUP($A15,'Manual adjustments'!$A:$O,13,FALSE)&lt;&gt;""),VLOOKUP($A15,'Manual adjustments'!$A:$O,13,FALSE),BN15))</f>
        <v>164.59511984800105</v>
      </c>
      <c r="BU15" s="378">
        <f>IF($BR15="",BO15,IF(AND($BR15="Y",VLOOKUP($A15,'Manual adjustments'!$A:$O,14,FALSE)&lt;&gt;""),VLOOKUP($A15,'Manual adjustments'!$A:$O,14,FALSE),BO15))</f>
        <v>65.000595658196275</v>
      </c>
      <c r="BV15" s="378">
        <f>IF($BR15="",BP15,IF(AND($BR15="Y",VLOOKUP($A15,'Manual adjustments'!$A:$O,15,FALSE)&lt;&gt;""),VLOOKUP($A15,'Manual adjustments'!$A:$O,15,FALSE),BP15))</f>
        <v>90.109763020838017</v>
      </c>
      <c r="BW15" s="384">
        <f>'Price Adjustments'!$D$66</f>
        <v>0</v>
      </c>
      <c r="BX15" s="378">
        <f t="shared" si="34"/>
        <v>105.41525762687209</v>
      </c>
      <c r="BY15" s="378">
        <f t="shared" si="35"/>
        <v>164.59511984800105</v>
      </c>
      <c r="BZ15" s="378">
        <f t="shared" si="36"/>
        <v>65.000595658196275</v>
      </c>
      <c r="CA15" s="379">
        <f t="shared" si="37"/>
        <v>90.109763020838017</v>
      </c>
      <c r="CB15" s="615">
        <f t="shared" si="38"/>
        <v>0</v>
      </c>
      <c r="CC15" s="423">
        <f t="shared" si="39"/>
        <v>0</v>
      </c>
      <c r="CD15" s="423">
        <f t="shared" si="40"/>
        <v>0</v>
      </c>
      <c r="CE15" s="423">
        <f t="shared" si="41"/>
        <v>0</v>
      </c>
      <c r="CF15" s="298"/>
      <c r="CG15" s="388">
        <f t="shared" si="42"/>
        <v>105</v>
      </c>
      <c r="CH15" s="378">
        <f t="shared" si="43"/>
        <v>165</v>
      </c>
      <c r="CI15" s="378">
        <f t="shared" si="44"/>
        <v>65</v>
      </c>
      <c r="CJ15" s="379">
        <f t="shared" si="45"/>
        <v>90</v>
      </c>
      <c r="CM15" s="507"/>
      <c r="CN15" s="507"/>
      <c r="CO15" s="507"/>
      <c r="CP15" s="507"/>
    </row>
    <row r="16" spans="1:94" ht="16.5" customHeight="1">
      <c r="A16" s="296">
        <v>130</v>
      </c>
      <c r="B16" s="292" t="s">
        <v>9</v>
      </c>
      <c r="C16" s="293">
        <f>IF(ISERROR(VLOOKUP($A16,'Allocate OPROC cost'!A:M,11,FALSE)),"-",VLOOKUP($A16,'Allocate OPROC cost'!A:M,11,FALSE))</f>
        <v>97.972288226811003</v>
      </c>
      <c r="D16" s="140">
        <f>IF(ISERROR(VLOOKUP($A16,'Allocate OPROC cost'!A:M,10,FALSE)),"-",VLOOKUP($A16,'Allocate OPROC cost'!A:M,10,FALSE))</f>
        <v>106.97625018098017</v>
      </c>
      <c r="E16" s="140">
        <f>IF(ISERROR(VLOOKUP($A16,'Allocate OPROC cost'!A:M,13,FALSE)),"-",VLOOKUP($A16,'Allocate OPROC cost'!A:M,13,FALSE))</f>
        <v>73.500268551415061</v>
      </c>
      <c r="F16" s="294">
        <f>IF(ISERROR(VLOOKUP($A16,'Allocate OPROC cost'!A:M,12,FALSE)),"-",VLOOKUP($A16,'Allocate OPROC cost'!A:M,12,FALSE))</f>
        <v>108.93452469085935</v>
      </c>
      <c r="G16" s="298"/>
      <c r="H16" s="405">
        <f>IF(ISERROR(VLOOKUP($A16,'Allocate OPROC cost'!A:AO,39,FALSE)),"-",VLOOKUP($A16,'Allocate OPROC cost'!A:AO,39,FALSE))</f>
        <v>98.102680507312357</v>
      </c>
      <c r="I16" s="406">
        <f>IF(ISERROR(VLOOKUP($A16,'Allocate OPROC cost'!A:AO,38,FALSE)),"-",VLOOKUP($A16,'Allocate OPROC cost'!A:AO,38,FALSE))</f>
        <v>106.97625018098017</v>
      </c>
      <c r="J16" s="406">
        <f>IF(ISERROR(VLOOKUP($A16,'Allocate OPROC cost'!A:AO,41,FALSE)),"-",VLOOKUP($A16,'Allocate OPROC cost'!A:AO,41,FALSE))</f>
        <v>73.626201195595911</v>
      </c>
      <c r="K16" s="407">
        <f>IF(ISERROR(VLOOKUP($A16,'Allocate OPROC cost'!A:AO,40,FALSE)),"-",VLOOKUP($A16,'Allocate OPROC cost'!A:AO,40,FALSE))</f>
        <v>108.93452469085935</v>
      </c>
      <c r="L16" s="425">
        <f t="shared" si="0"/>
        <v>1.3309098201268466E-3</v>
      </c>
      <c r="M16" s="426">
        <f t="shared" si="1"/>
        <v>0</v>
      </c>
      <c r="N16" s="426">
        <f t="shared" si="2"/>
        <v>1.7133630483643358E-3</v>
      </c>
      <c r="O16" s="425">
        <f t="shared" si="3"/>
        <v>0</v>
      </c>
      <c r="P16" s="298"/>
      <c r="Q16" s="299">
        <f>IF(ISERROR(VLOOKUP($A16,'Front-loading'!$A:$AG,27,FALSE)),"-",VLOOKUP($A16,'Front-loading'!$A:$AG,27,FALSE))</f>
        <v>117.21384990723938</v>
      </c>
      <c r="R16" s="150">
        <f>IF(ISERROR(VLOOKUP($A16,'Front-loading'!$A:$AG,26,FALSE)),"-",VLOOKUP($A16,'Front-loading'!$A:$AG,26,FALSE))</f>
        <v>130.52017526569867</v>
      </c>
      <c r="S16" s="150">
        <f>IF(ISERROR(VLOOKUP($A16,'Front-loading'!$A:$AG,29,FALSE)),"-",VLOOKUP($A16,'Front-loading'!$A:$AG,29,FALSE))</f>
        <v>66.263581076036331</v>
      </c>
      <c r="T16" s="300">
        <f>IF(ISERROR(VLOOKUP($A16,'Front-loading'!$A:$AG,28,FALSE)),"-",VLOOKUP($A16,'Front-loading'!$A:$AG,28,FALSE))</f>
        <v>98.041072221773405</v>
      </c>
      <c r="U16" s="429">
        <f t="shared" si="4"/>
        <v>0.19480782075574909</v>
      </c>
      <c r="V16" s="430">
        <f t="shared" si="5"/>
        <v>0.22008553342342219</v>
      </c>
      <c r="W16" s="430">
        <f t="shared" si="6"/>
        <v>-9.9999999999999867E-2</v>
      </c>
      <c r="X16" s="431">
        <f t="shared" si="7"/>
        <v>-0.10000000000000009</v>
      </c>
      <c r="Y16" s="298"/>
      <c r="Z16" s="152">
        <f>IF(ISERROR(VLOOKUP($A16,'Further adjustment'!$A:$BC,53,FALSE)),"-",VLOOKUP($A16,'Further adjustment'!$A:$BC,53,FALSE))</f>
        <v>117.21384990723938</v>
      </c>
      <c r="AA16" s="152">
        <f>IF(ISERROR(VLOOKUP($A16,'Further adjustment'!$A:$BC,52,FALSE)),"-",VLOOKUP($A16,'Further adjustment'!$A:$BC,52,FALSE))</f>
        <v>130.52017526569867</v>
      </c>
      <c r="AB16" s="152">
        <f>IF(ISERROR(VLOOKUP($A16,'Further adjustment'!$A:$BC,55,FALSE)),"-",VLOOKUP($A16,'Further adjustment'!$A:$BC,55,FALSE))</f>
        <v>66.263581076036331</v>
      </c>
      <c r="AC16" s="412">
        <f>IF(ISERROR(VLOOKUP($A16,'Further adjustment'!$A:$BC,54,FALSE)),"-",VLOOKUP($A16,'Further adjustment'!$A:$BC,54,FALSE))</f>
        <v>98.041072221773405</v>
      </c>
      <c r="AD16" s="435">
        <f t="shared" si="8"/>
        <v>0</v>
      </c>
      <c r="AE16" s="436">
        <f t="shared" si="9"/>
        <v>0</v>
      </c>
      <c r="AF16" s="436">
        <f t="shared" si="10"/>
        <v>0</v>
      </c>
      <c r="AG16" s="436">
        <f t="shared" si="11"/>
        <v>0</v>
      </c>
      <c r="AH16" s="298"/>
      <c r="AI16" s="347">
        <f>'Price Adjustments'!$H$7</f>
        <v>-4.2387925000000104E-2</v>
      </c>
      <c r="AJ16" s="467">
        <f>'Price Adjustments'!$G$91</f>
        <v>0</v>
      </c>
      <c r="AK16" s="352">
        <f t="shared" si="30"/>
        <v>112.24539802841005</v>
      </c>
      <c r="AL16" s="352">
        <f t="shared" si="31"/>
        <v>124.98769586554937</v>
      </c>
      <c r="AM16" s="352">
        <f t="shared" si="32"/>
        <v>63.454805371153874</v>
      </c>
      <c r="AN16" s="413">
        <f t="shared" si="33"/>
        <v>93.88531460551728</v>
      </c>
      <c r="AO16" s="439">
        <f t="shared" si="12"/>
        <v>-4.2387925000000104E-2</v>
      </c>
      <c r="AP16" s="440">
        <f t="shared" si="13"/>
        <v>-4.2387925000000104E-2</v>
      </c>
      <c r="AQ16" s="440">
        <f t="shared" si="14"/>
        <v>-4.2387925000000104E-2</v>
      </c>
      <c r="AR16" s="441">
        <f t="shared" si="15"/>
        <v>-4.2387925000000104E-2</v>
      </c>
      <c r="AS16" s="359">
        <f>'Price Adjustments'!$G$7</f>
        <v>0</v>
      </c>
      <c r="AT16" s="250">
        <f>IF(ISERROR(VLOOKUP($A16,'14-15 tariff'!$A:$F,3,FALSE)*(1+$AS$6)),"-",VLOOKUP($A16,'14-15 tariff'!$A:$F,3,FALSE)*(1+$AS$6))</f>
        <v>104</v>
      </c>
      <c r="AU16" s="250">
        <f>IF(ISERROR(VLOOKUP($A16,'14-15 tariff'!$A:$F,4,FALSE)*(1+$AS$6)),"-",VLOOKUP($A16,'14-15 tariff'!$A:$F,4,FALSE)*(1+$AS$6))</f>
        <v>106</v>
      </c>
      <c r="AV16" s="250">
        <f>IF(ISERROR(VLOOKUP($A16,'14-15 tariff'!$A:$F,5,FALSE)*(1+$AS$6)),"-",VLOOKUP($A16,'14-15 tariff'!$A:$F,5,FALSE)*(1+$AS$6))</f>
        <v>59</v>
      </c>
      <c r="AW16" s="250">
        <f>IF(ISERROR(VLOOKUP($A16,'14-15 tariff'!$A:$F,6,FALSE)*(1+$AS$6)),"-",VLOOKUP($A16,'14-15 tariff'!$A:$F,6,FALSE)*(1+$AS$6))</f>
        <v>86</v>
      </c>
      <c r="AX16" s="298"/>
      <c r="AY16" s="498" t="s">
        <v>522</v>
      </c>
      <c r="AZ16" s="499" t="s">
        <v>522</v>
      </c>
      <c r="BA16" s="499" t="s">
        <v>522</v>
      </c>
      <c r="BB16" s="499" t="s">
        <v>522</v>
      </c>
      <c r="BC16" s="339">
        <f t="shared" si="16"/>
        <v>112.24539802841005</v>
      </c>
      <c r="BD16" s="339">
        <f t="shared" si="17"/>
        <v>124.98769586554937</v>
      </c>
      <c r="BE16" s="339">
        <f t="shared" si="18"/>
        <v>63.454805371153874</v>
      </c>
      <c r="BF16" s="340">
        <f t="shared" si="19"/>
        <v>93.88531460551728</v>
      </c>
      <c r="BG16" s="265">
        <f t="shared" si="20"/>
        <v>-4.2387925000000104E-2</v>
      </c>
      <c r="BH16" s="265">
        <f t="shared" si="21"/>
        <v>-4.2387925000000104E-2</v>
      </c>
      <c r="BI16" s="265">
        <f t="shared" si="22"/>
        <v>-4.2387925000000104E-2</v>
      </c>
      <c r="BJ16" s="265">
        <f t="shared" si="23"/>
        <v>-4.2387925000000104E-2</v>
      </c>
      <c r="BK16" s="298"/>
      <c r="BL16" s="503">
        <f>'Price Adjustments'!$C$66</f>
        <v>-1.22128076562165E-2</v>
      </c>
      <c r="BM16" s="378">
        <f t="shared" si="24"/>
        <v>110.87456657199363</v>
      </c>
      <c r="BN16" s="378">
        <f t="shared" si="25"/>
        <v>123.46124517654974</v>
      </c>
      <c r="BO16" s="378">
        <f t="shared" si="26"/>
        <v>62.679844038293318</v>
      </c>
      <c r="BP16" s="506">
        <f t="shared" si="27"/>
        <v>92.738711316496733</v>
      </c>
      <c r="BQ16" s="298"/>
      <c r="BR16" s="618" t="str">
        <f>IF(COUNTIF('Manual adjustments'!$A:$A,A16)=1,"Y","")</f>
        <v/>
      </c>
      <c r="BS16" s="378">
        <f>IF($BR16="",BM16,IF(AND($BR16="Y",VLOOKUP($A16,'Manual adjustments'!$A:$O,12,FALSE)&lt;&gt;""),VLOOKUP($A16,'Manual adjustments'!$A:$O,12,FALSE),BM16))</f>
        <v>110.87456657199363</v>
      </c>
      <c r="BT16" s="378">
        <f>IF($BR16="",BN16,IF(AND($BR16="Y",VLOOKUP($A16,'Manual adjustments'!$A:$O,13,FALSE)&lt;&gt;""),VLOOKUP($A16,'Manual adjustments'!$A:$O,13,FALSE),BN16))</f>
        <v>123.46124517654974</v>
      </c>
      <c r="BU16" s="378">
        <f>IF($BR16="",BO16,IF(AND($BR16="Y",VLOOKUP($A16,'Manual adjustments'!$A:$O,14,FALSE)&lt;&gt;""),VLOOKUP($A16,'Manual adjustments'!$A:$O,14,FALSE),BO16))</f>
        <v>62.679844038293318</v>
      </c>
      <c r="BV16" s="378">
        <f>IF($BR16="",BP16,IF(AND($BR16="Y",VLOOKUP($A16,'Manual adjustments'!$A:$O,15,FALSE)&lt;&gt;""),VLOOKUP($A16,'Manual adjustments'!$A:$O,15,FALSE),BP16))</f>
        <v>92.738711316496733</v>
      </c>
      <c r="BW16" s="384">
        <f>'Price Adjustments'!$D$66</f>
        <v>0</v>
      </c>
      <c r="BX16" s="378">
        <f t="shared" si="34"/>
        <v>110.87456657199363</v>
      </c>
      <c r="BY16" s="378">
        <f t="shared" si="35"/>
        <v>123.46124517654974</v>
      </c>
      <c r="BZ16" s="378">
        <f t="shared" si="36"/>
        <v>62.679844038293318</v>
      </c>
      <c r="CA16" s="379">
        <f t="shared" si="37"/>
        <v>92.738711316496733</v>
      </c>
      <c r="CB16" s="615">
        <f t="shared" si="38"/>
        <v>0</v>
      </c>
      <c r="CC16" s="423">
        <f t="shared" si="39"/>
        <v>0</v>
      </c>
      <c r="CD16" s="423">
        <f t="shared" si="40"/>
        <v>0</v>
      </c>
      <c r="CE16" s="423">
        <f t="shared" si="41"/>
        <v>0</v>
      </c>
      <c r="CF16" s="298"/>
      <c r="CG16" s="388">
        <f t="shared" si="42"/>
        <v>111</v>
      </c>
      <c r="CH16" s="378">
        <f t="shared" si="43"/>
        <v>123</v>
      </c>
      <c r="CI16" s="378">
        <f t="shared" si="44"/>
        <v>63</v>
      </c>
      <c r="CJ16" s="379">
        <f t="shared" si="45"/>
        <v>93</v>
      </c>
      <c r="CM16" s="507"/>
      <c r="CN16" s="507"/>
      <c r="CO16" s="507"/>
      <c r="CP16" s="507"/>
    </row>
    <row r="17" spans="1:94" ht="16.5" customHeight="1">
      <c r="A17" s="296">
        <v>140</v>
      </c>
      <c r="B17" s="292" t="s">
        <v>10</v>
      </c>
      <c r="C17" s="293">
        <f>IF(ISERROR(VLOOKUP($A17,'Allocate OPROC cost'!A:M,11,FALSE)),"-",VLOOKUP($A17,'Allocate OPROC cost'!A:M,11,FALSE))</f>
        <v>114.57199951321908</v>
      </c>
      <c r="D17" s="140">
        <f>IF(ISERROR(VLOOKUP($A17,'Allocate OPROC cost'!A:M,10,FALSE)),"-",VLOOKUP($A17,'Allocate OPROC cost'!A:M,10,FALSE))</f>
        <v>168.31727990634562</v>
      </c>
      <c r="E17" s="140">
        <f>IF(ISERROR(VLOOKUP($A17,'Allocate OPROC cost'!A:M,13,FALSE)),"-",VLOOKUP($A17,'Allocate OPROC cost'!A:M,13,FALSE))</f>
        <v>85.246543700085269</v>
      </c>
      <c r="F17" s="294">
        <f>IF(ISERROR(VLOOKUP($A17,'Allocate OPROC cost'!A:M,12,FALSE)),"-",VLOOKUP($A17,'Allocate OPROC cost'!A:M,12,FALSE))</f>
        <v>148.05753414121733</v>
      </c>
      <c r="G17" s="298"/>
      <c r="H17" s="405">
        <f>IF(ISERROR(VLOOKUP($A17,'Allocate OPROC cost'!A:AO,39,FALSE)),"-",VLOOKUP($A17,'Allocate OPROC cost'!A:AO,39,FALSE))</f>
        <v>114.59114453955021</v>
      </c>
      <c r="I17" s="406">
        <f>IF(ISERROR(VLOOKUP($A17,'Allocate OPROC cost'!A:AO,38,FALSE)),"-",VLOOKUP($A17,'Allocate OPROC cost'!A:AO,38,FALSE))</f>
        <v>168.31727990634562</v>
      </c>
      <c r="J17" s="406">
        <f>IF(ISERROR(VLOOKUP($A17,'Allocate OPROC cost'!A:AO,41,FALSE)),"-",VLOOKUP($A17,'Allocate OPROC cost'!A:AO,41,FALSE))</f>
        <v>85.754297619485087</v>
      </c>
      <c r="K17" s="407">
        <f>IF(ISERROR(VLOOKUP($A17,'Allocate OPROC cost'!A:AO,40,FALSE)),"-",VLOOKUP($A17,'Allocate OPROC cost'!A:AO,40,FALSE))</f>
        <v>148.05753414121733</v>
      </c>
      <c r="L17" s="425">
        <f t="shared" si="0"/>
        <v>1.6710039462064508E-4</v>
      </c>
      <c r="M17" s="426">
        <f t="shared" si="1"/>
        <v>0</v>
      </c>
      <c r="N17" s="426">
        <f t="shared" si="2"/>
        <v>5.9562991924482223E-3</v>
      </c>
      <c r="O17" s="425">
        <f t="shared" si="3"/>
        <v>0</v>
      </c>
      <c r="P17" s="298"/>
      <c r="Q17" s="299">
        <f>IF(ISERROR(VLOOKUP($A17,'Front-loading'!$A:$AG,27,FALSE)),"-",VLOOKUP($A17,'Front-loading'!$A:$AG,27,FALSE))</f>
        <v>123.650140921416</v>
      </c>
      <c r="R17" s="150">
        <f>IF(ISERROR(VLOOKUP($A17,'Front-loading'!$A:$AG,26,FALSE)),"-",VLOOKUP($A17,'Front-loading'!$A:$AG,26,FALSE))</f>
        <v>192.06551692888894</v>
      </c>
      <c r="S17" s="150">
        <f>IF(ISERROR(VLOOKUP($A17,'Front-loading'!$A:$AG,29,FALSE)),"-",VLOOKUP($A17,'Front-loading'!$A:$AG,29,FALSE))</f>
        <v>77.178867857536574</v>
      </c>
      <c r="T17" s="300">
        <f>IF(ISERROR(VLOOKUP($A17,'Front-loading'!$A:$AG,28,FALSE)),"-",VLOOKUP($A17,'Front-loading'!$A:$AG,28,FALSE))</f>
        <v>133.25178072709559</v>
      </c>
      <c r="U17" s="429">
        <f t="shared" si="4"/>
        <v>7.9054942842805342E-2</v>
      </c>
      <c r="V17" s="430">
        <f t="shared" si="5"/>
        <v>0.14109209129185785</v>
      </c>
      <c r="W17" s="430">
        <f t="shared" si="6"/>
        <v>-0.10000000000000009</v>
      </c>
      <c r="X17" s="431">
        <f t="shared" si="7"/>
        <v>-0.10000000000000009</v>
      </c>
      <c r="Y17" s="298"/>
      <c r="Z17" s="152">
        <f>IF(ISERROR(VLOOKUP($A17,'Further adjustment'!$A:$BC,53,FALSE)),"-",VLOOKUP($A17,'Further adjustment'!$A:$BC,53,FALSE))</f>
        <v>123.650140921416</v>
      </c>
      <c r="AA17" s="152">
        <f>IF(ISERROR(VLOOKUP($A17,'Further adjustment'!$A:$BC,52,FALSE)),"-",VLOOKUP($A17,'Further adjustment'!$A:$BC,52,FALSE))</f>
        <v>192.06551692888894</v>
      </c>
      <c r="AB17" s="152">
        <f>IF(ISERROR(VLOOKUP($A17,'Further adjustment'!$A:$BC,55,FALSE)),"-",VLOOKUP($A17,'Further adjustment'!$A:$BC,55,FALSE))</f>
        <v>77.178867857536574</v>
      </c>
      <c r="AC17" s="412">
        <f>IF(ISERROR(VLOOKUP($A17,'Further adjustment'!$A:$BC,54,FALSE)),"-",VLOOKUP($A17,'Further adjustment'!$A:$BC,54,FALSE))</f>
        <v>133.25178072709559</v>
      </c>
      <c r="AD17" s="435">
        <f t="shared" si="8"/>
        <v>0</v>
      </c>
      <c r="AE17" s="436">
        <f t="shared" si="9"/>
        <v>0</v>
      </c>
      <c r="AF17" s="436">
        <f t="shared" si="10"/>
        <v>0</v>
      </c>
      <c r="AG17" s="436">
        <f t="shared" si="11"/>
        <v>0</v>
      </c>
      <c r="AH17" s="298"/>
      <c r="AI17" s="347">
        <f>'Price Adjustments'!$H$7</f>
        <v>-4.2387925000000104E-2</v>
      </c>
      <c r="AJ17" s="467">
        <f>'Price Adjustments'!$G$91</f>
        <v>0</v>
      </c>
      <c r="AK17" s="352">
        <f t="shared" si="30"/>
        <v>118.40886802179958</v>
      </c>
      <c r="AL17" s="352">
        <f t="shared" si="31"/>
        <v>183.92425820222095</v>
      </c>
      <c r="AM17" s="352">
        <f t="shared" si="32"/>
        <v>73.90741579520639</v>
      </c>
      <c r="AN17" s="413">
        <f t="shared" si="33"/>
        <v>127.603514239519</v>
      </c>
      <c r="AO17" s="439">
        <f t="shared" si="12"/>
        <v>-4.2387925000000104E-2</v>
      </c>
      <c r="AP17" s="440">
        <f t="shared" si="13"/>
        <v>-4.2387925000000104E-2</v>
      </c>
      <c r="AQ17" s="440">
        <f t="shared" si="14"/>
        <v>-4.2387925000000215E-2</v>
      </c>
      <c r="AR17" s="441">
        <f t="shared" si="15"/>
        <v>-4.2387925000000104E-2</v>
      </c>
      <c r="AS17" s="359">
        <f>'Price Adjustments'!$G$7</f>
        <v>0</v>
      </c>
      <c r="AT17" s="250">
        <f>IF(ISERROR(VLOOKUP($A17,'14-15 tariff'!$A:$F,3,FALSE)*(1+$AS$6)),"-",VLOOKUP($A17,'14-15 tariff'!$A:$F,3,FALSE)*(1+$AS$6))</f>
        <v>118</v>
      </c>
      <c r="AU17" s="250">
        <f>IF(ISERROR(VLOOKUP($A17,'14-15 tariff'!$A:$F,4,FALSE)*(1+$AS$6)),"-",VLOOKUP($A17,'14-15 tariff'!$A:$F,4,FALSE)*(1+$AS$6))</f>
        <v>147</v>
      </c>
      <c r="AV17" s="250">
        <f>IF(ISERROR(VLOOKUP($A17,'14-15 tariff'!$A:$F,5,FALSE)*(1+$AS$6)),"-",VLOOKUP($A17,'14-15 tariff'!$A:$F,5,FALSE)*(1+$AS$6))</f>
        <v>75</v>
      </c>
      <c r="AW17" s="250">
        <f>IF(ISERROR(VLOOKUP($A17,'14-15 tariff'!$A:$F,6,FALSE)*(1+$AS$6)),"-",VLOOKUP($A17,'14-15 tariff'!$A:$F,6,FALSE)*(1+$AS$6))</f>
        <v>106</v>
      </c>
      <c r="AX17" s="298"/>
      <c r="AY17" s="498" t="s">
        <v>522</v>
      </c>
      <c r="AZ17" s="499" t="s">
        <v>522</v>
      </c>
      <c r="BA17" s="499" t="s">
        <v>522</v>
      </c>
      <c r="BB17" s="499" t="s">
        <v>522</v>
      </c>
      <c r="BC17" s="339">
        <f t="shared" si="16"/>
        <v>118.40886802179958</v>
      </c>
      <c r="BD17" s="339">
        <f t="shared" si="17"/>
        <v>183.92425820222095</v>
      </c>
      <c r="BE17" s="339">
        <f t="shared" si="18"/>
        <v>73.90741579520639</v>
      </c>
      <c r="BF17" s="340">
        <f t="shared" si="19"/>
        <v>127.603514239519</v>
      </c>
      <c r="BG17" s="265">
        <f t="shared" si="20"/>
        <v>-4.2387925000000104E-2</v>
      </c>
      <c r="BH17" s="265">
        <f t="shared" si="21"/>
        <v>-4.2387925000000104E-2</v>
      </c>
      <c r="BI17" s="265">
        <f t="shared" si="22"/>
        <v>-4.2387925000000215E-2</v>
      </c>
      <c r="BJ17" s="265">
        <f t="shared" si="23"/>
        <v>-4.2387925000000104E-2</v>
      </c>
      <c r="BK17" s="298"/>
      <c r="BL17" s="503">
        <f>'Price Adjustments'!$C$66</f>
        <v>-1.22128076562165E-2</v>
      </c>
      <c r="BM17" s="378">
        <f t="shared" si="24"/>
        <v>116.96276329185902</v>
      </c>
      <c r="BN17" s="378">
        <f t="shared" si="25"/>
        <v>181.67802661348495</v>
      </c>
      <c r="BO17" s="378">
        <f t="shared" si="26"/>
        <v>73.00479874173152</v>
      </c>
      <c r="BP17" s="506">
        <f t="shared" si="27"/>
        <v>126.04511706385448</v>
      </c>
      <c r="BQ17" s="298"/>
      <c r="BR17" s="618" t="str">
        <f>IF(COUNTIF('Manual adjustments'!$A:$A,A17)=1,"Y","")</f>
        <v/>
      </c>
      <c r="BS17" s="378">
        <f>IF($BR17="",BM17,IF(AND($BR17="Y",VLOOKUP($A17,'Manual adjustments'!$A:$O,12,FALSE)&lt;&gt;""),VLOOKUP($A17,'Manual adjustments'!$A:$O,12,FALSE),BM17))</f>
        <v>116.96276329185902</v>
      </c>
      <c r="BT17" s="378">
        <f>IF($BR17="",BN17,IF(AND($BR17="Y",VLOOKUP($A17,'Manual adjustments'!$A:$O,13,FALSE)&lt;&gt;""),VLOOKUP($A17,'Manual adjustments'!$A:$O,13,FALSE),BN17))</f>
        <v>181.67802661348495</v>
      </c>
      <c r="BU17" s="378">
        <f>IF($BR17="",BO17,IF(AND($BR17="Y",VLOOKUP($A17,'Manual adjustments'!$A:$O,14,FALSE)&lt;&gt;""),VLOOKUP($A17,'Manual adjustments'!$A:$O,14,FALSE),BO17))</f>
        <v>73.00479874173152</v>
      </c>
      <c r="BV17" s="378">
        <f>IF($BR17="",BP17,IF(AND($BR17="Y",VLOOKUP($A17,'Manual adjustments'!$A:$O,15,FALSE)&lt;&gt;""),VLOOKUP($A17,'Manual adjustments'!$A:$O,15,FALSE),BP17))</f>
        <v>126.04511706385448</v>
      </c>
      <c r="BW17" s="384">
        <f>'Price Adjustments'!$D$66</f>
        <v>0</v>
      </c>
      <c r="BX17" s="378">
        <f t="shared" si="34"/>
        <v>116.96276329185902</v>
      </c>
      <c r="BY17" s="378">
        <f t="shared" si="35"/>
        <v>181.67802661348495</v>
      </c>
      <c r="BZ17" s="378">
        <f t="shared" si="36"/>
        <v>73.00479874173152</v>
      </c>
      <c r="CA17" s="379">
        <f t="shared" si="37"/>
        <v>126.04511706385448</v>
      </c>
      <c r="CB17" s="615">
        <f t="shared" si="38"/>
        <v>0</v>
      </c>
      <c r="CC17" s="423">
        <f t="shared" si="39"/>
        <v>0</v>
      </c>
      <c r="CD17" s="423">
        <f t="shared" si="40"/>
        <v>0</v>
      </c>
      <c r="CE17" s="423">
        <f t="shared" si="41"/>
        <v>0</v>
      </c>
      <c r="CF17" s="298"/>
      <c r="CG17" s="388">
        <f t="shared" si="42"/>
        <v>117</v>
      </c>
      <c r="CH17" s="378">
        <f t="shared" si="43"/>
        <v>182</v>
      </c>
      <c r="CI17" s="378">
        <f t="shared" si="44"/>
        <v>73</v>
      </c>
      <c r="CJ17" s="379">
        <f t="shared" si="45"/>
        <v>126</v>
      </c>
      <c r="CM17" s="507"/>
      <c r="CN17" s="507"/>
      <c r="CO17" s="507"/>
      <c r="CP17" s="507"/>
    </row>
    <row r="18" spans="1:94" ht="16.5" customHeight="1">
      <c r="A18" s="296">
        <v>143</v>
      </c>
      <c r="B18" s="292" t="s">
        <v>11</v>
      </c>
      <c r="C18" s="293">
        <f>IF(ISERROR(VLOOKUP($A18,'Allocate OPROC cost'!A:M,11,FALSE)),"-",VLOOKUP($A18,'Allocate OPROC cost'!A:M,11,FALSE))</f>
        <v>127.07217027136907</v>
      </c>
      <c r="D18" s="140">
        <f>IF(ISERROR(VLOOKUP($A18,'Allocate OPROC cost'!A:M,10,FALSE)),"-",VLOOKUP($A18,'Allocate OPROC cost'!A:M,10,FALSE))</f>
        <v>167.63574516935165</v>
      </c>
      <c r="E18" s="140">
        <f>IF(ISERROR(VLOOKUP($A18,'Allocate OPROC cost'!A:M,13,FALSE)),"-",VLOOKUP($A18,'Allocate OPROC cost'!A:M,13,FALSE))</f>
        <v>90.060551921972575</v>
      </c>
      <c r="F18" s="294">
        <f>IF(ISERROR(VLOOKUP($A18,'Allocate OPROC cost'!A:M,12,FALSE)),"-",VLOOKUP($A18,'Allocate OPROC cost'!A:M,12,FALSE))</f>
        <v>123.29246846680283</v>
      </c>
      <c r="G18" s="298"/>
      <c r="H18" s="405">
        <f>IF(ISERROR(VLOOKUP($A18,'Allocate OPROC cost'!A:AO,39,FALSE)),"-",VLOOKUP($A18,'Allocate OPROC cost'!A:AO,39,FALSE))</f>
        <v>127.07150494512184</v>
      </c>
      <c r="I18" s="406">
        <f>IF(ISERROR(VLOOKUP($A18,'Allocate OPROC cost'!A:AO,38,FALSE)),"-",VLOOKUP($A18,'Allocate OPROC cost'!A:AO,38,FALSE))</f>
        <v>167.63574516935165</v>
      </c>
      <c r="J18" s="406">
        <f>IF(ISERROR(VLOOKUP($A18,'Allocate OPROC cost'!A:AO,41,FALSE)),"-",VLOOKUP($A18,'Allocate OPROC cost'!A:AO,41,FALSE))</f>
        <v>90.155990075723977</v>
      </c>
      <c r="K18" s="407">
        <f>IF(ISERROR(VLOOKUP($A18,'Allocate OPROC cost'!A:AO,40,FALSE)),"-",VLOOKUP($A18,'Allocate OPROC cost'!A:AO,40,FALSE))</f>
        <v>123.29246846680283</v>
      </c>
      <c r="L18" s="425">
        <f t="shared" si="0"/>
        <v>-5.235813993031968E-6</v>
      </c>
      <c r="M18" s="426">
        <f t="shared" si="1"/>
        <v>0</v>
      </c>
      <c r="N18" s="426">
        <f t="shared" si="2"/>
        <v>1.0597109579573161E-3</v>
      </c>
      <c r="O18" s="425">
        <f t="shared" si="3"/>
        <v>0</v>
      </c>
      <c r="P18" s="298"/>
      <c r="Q18" s="299">
        <f>IF(ISERROR(VLOOKUP($A18,'Front-loading'!$A:$AG,27,FALSE)),"-",VLOOKUP($A18,'Front-loading'!$A:$AG,27,FALSE))</f>
        <v>160.9804512677095</v>
      </c>
      <c r="R18" s="150">
        <f>IF(ISERROR(VLOOKUP($A18,'Front-loading'!$A:$AG,26,FALSE)),"-",VLOOKUP($A18,'Front-loading'!$A:$AG,26,FALSE))</f>
        <v>214.77592047545014</v>
      </c>
      <c r="S18" s="150">
        <f>IF(ISERROR(VLOOKUP($A18,'Front-loading'!$A:$AG,29,FALSE)),"-",VLOOKUP($A18,'Front-loading'!$A:$AG,29,FALSE))</f>
        <v>81.140391068151573</v>
      </c>
      <c r="T18" s="300">
        <f>IF(ISERROR(VLOOKUP($A18,'Front-loading'!$A:$AG,28,FALSE)),"-",VLOOKUP($A18,'Front-loading'!$A:$AG,28,FALSE))</f>
        <v>110.96322162012255</v>
      </c>
      <c r="U18" s="429">
        <f t="shared" si="4"/>
        <v>0.26684933287940393</v>
      </c>
      <c r="V18" s="430">
        <f t="shared" si="5"/>
        <v>0.28120598777113903</v>
      </c>
      <c r="W18" s="430">
        <f t="shared" si="6"/>
        <v>-0.10000000000000009</v>
      </c>
      <c r="X18" s="431">
        <f t="shared" si="7"/>
        <v>-9.9999999999999978E-2</v>
      </c>
      <c r="Y18" s="298"/>
      <c r="Z18" s="152">
        <f>IF(ISERROR(VLOOKUP($A18,'Further adjustment'!$A:$BC,53,FALSE)),"-",VLOOKUP($A18,'Further adjustment'!$A:$BC,53,FALSE))</f>
        <v>160.9804512677095</v>
      </c>
      <c r="AA18" s="152">
        <f>IF(ISERROR(VLOOKUP($A18,'Further adjustment'!$A:$BC,52,FALSE)),"-",VLOOKUP($A18,'Further adjustment'!$A:$BC,52,FALSE))</f>
        <v>214.77592047545014</v>
      </c>
      <c r="AB18" s="152">
        <f>IF(ISERROR(VLOOKUP($A18,'Further adjustment'!$A:$BC,55,FALSE)),"-",VLOOKUP($A18,'Further adjustment'!$A:$BC,55,FALSE))</f>
        <v>81.140391068151573</v>
      </c>
      <c r="AC18" s="412">
        <f>IF(ISERROR(VLOOKUP($A18,'Further adjustment'!$A:$BC,54,FALSE)),"-",VLOOKUP($A18,'Further adjustment'!$A:$BC,54,FALSE))</f>
        <v>110.96322162012255</v>
      </c>
      <c r="AD18" s="435">
        <f t="shared" si="8"/>
        <v>0</v>
      </c>
      <c r="AE18" s="436">
        <f t="shared" si="9"/>
        <v>0</v>
      </c>
      <c r="AF18" s="436">
        <f t="shared" si="10"/>
        <v>0</v>
      </c>
      <c r="AG18" s="436">
        <f t="shared" si="11"/>
        <v>0</v>
      </c>
      <c r="AH18" s="298"/>
      <c r="AI18" s="347">
        <f>'Price Adjustments'!$H$7</f>
        <v>-4.2387925000000104E-2</v>
      </c>
      <c r="AJ18" s="467">
        <f>'Price Adjustments'!$G$91</f>
        <v>0</v>
      </c>
      <c r="AK18" s="352">
        <f t="shared" si="30"/>
        <v>154.15682397290766</v>
      </c>
      <c r="AL18" s="352">
        <f t="shared" si="31"/>
        <v>205.67201486653076</v>
      </c>
      <c r="AM18" s="352">
        <f t="shared" si="32"/>
        <v>77.701018257084087</v>
      </c>
      <c r="AN18" s="413">
        <f t="shared" si="33"/>
        <v>106.25972090433041</v>
      </c>
      <c r="AO18" s="439">
        <f t="shared" si="12"/>
        <v>-4.2387925000000104E-2</v>
      </c>
      <c r="AP18" s="440">
        <f t="shared" si="13"/>
        <v>-4.2387925000000104E-2</v>
      </c>
      <c r="AQ18" s="440">
        <f t="shared" si="14"/>
        <v>-4.2387925000000104E-2</v>
      </c>
      <c r="AR18" s="441">
        <f t="shared" si="15"/>
        <v>-4.2387925000000104E-2</v>
      </c>
      <c r="AS18" s="359">
        <f>'Price Adjustments'!$G$7</f>
        <v>0</v>
      </c>
      <c r="AT18" s="250">
        <f>IF(ISERROR(VLOOKUP($A18,'14-15 tariff'!$A:$F,3,FALSE)*(1+$AS$6)),"-",VLOOKUP($A18,'14-15 tariff'!$A:$F,3,FALSE)*(1+$AS$6))</f>
        <v>180</v>
      </c>
      <c r="AU18" s="250">
        <f>IF(ISERROR(VLOOKUP($A18,'14-15 tariff'!$A:$F,4,FALSE)*(1+$AS$6)),"-",VLOOKUP($A18,'14-15 tariff'!$A:$F,4,FALSE)*(1+$AS$6))</f>
        <v>247</v>
      </c>
      <c r="AV18" s="250">
        <f>IF(ISERROR(VLOOKUP($A18,'14-15 tariff'!$A:$F,5,FALSE)*(1+$AS$6)),"-",VLOOKUP($A18,'14-15 tariff'!$A:$F,5,FALSE)*(1+$AS$6))</f>
        <v>80</v>
      </c>
      <c r="AW18" s="250">
        <f>IF(ISERROR(VLOOKUP($A18,'14-15 tariff'!$A:$F,6,FALSE)*(1+$AS$6)),"-",VLOOKUP($A18,'14-15 tariff'!$A:$F,6,FALSE)*(1+$AS$6))</f>
        <v>113</v>
      </c>
      <c r="AX18" s="298"/>
      <c r="AY18" s="498" t="s">
        <v>522</v>
      </c>
      <c r="AZ18" s="499" t="s">
        <v>522</v>
      </c>
      <c r="BA18" s="499" t="s">
        <v>522</v>
      </c>
      <c r="BB18" s="499" t="s">
        <v>522</v>
      </c>
      <c r="BC18" s="339">
        <f t="shared" si="16"/>
        <v>154.15682397290766</v>
      </c>
      <c r="BD18" s="339">
        <f t="shared" si="17"/>
        <v>205.67201486653076</v>
      </c>
      <c r="BE18" s="339">
        <f t="shared" si="18"/>
        <v>77.701018257084087</v>
      </c>
      <c r="BF18" s="340">
        <f t="shared" si="19"/>
        <v>106.25972090433041</v>
      </c>
      <c r="BG18" s="265">
        <f t="shared" si="20"/>
        <v>-4.2387925000000104E-2</v>
      </c>
      <c r="BH18" s="265">
        <f t="shared" si="21"/>
        <v>-4.2387925000000104E-2</v>
      </c>
      <c r="BI18" s="265">
        <f t="shared" si="22"/>
        <v>-4.2387925000000104E-2</v>
      </c>
      <c r="BJ18" s="265">
        <f t="shared" si="23"/>
        <v>-4.2387925000000104E-2</v>
      </c>
      <c r="BK18" s="298"/>
      <c r="BL18" s="503">
        <f>'Price Adjustments'!$C$66</f>
        <v>-1.22128076562165E-2</v>
      </c>
      <c r="BM18" s="378">
        <f t="shared" si="24"/>
        <v>152.27413633283331</v>
      </c>
      <c r="BN18" s="378">
        <f t="shared" si="25"/>
        <v>203.16018210869933</v>
      </c>
      <c r="BO18" s="378">
        <f t="shared" si="26"/>
        <v>76.752070666418149</v>
      </c>
      <c r="BP18" s="506">
        <f t="shared" si="27"/>
        <v>104.96199137132258</v>
      </c>
      <c r="BQ18" s="298"/>
      <c r="BR18" s="618" t="str">
        <f>IF(COUNTIF('Manual adjustments'!$A:$A,A18)=1,"Y","")</f>
        <v/>
      </c>
      <c r="BS18" s="378">
        <f>IF($BR18="",BM18,IF(AND($BR18="Y",VLOOKUP($A18,'Manual adjustments'!$A:$O,12,FALSE)&lt;&gt;""),VLOOKUP($A18,'Manual adjustments'!$A:$O,12,FALSE),BM18))</f>
        <v>152.27413633283331</v>
      </c>
      <c r="BT18" s="378">
        <f>IF($BR18="",BN18,IF(AND($BR18="Y",VLOOKUP($A18,'Manual adjustments'!$A:$O,13,FALSE)&lt;&gt;""),VLOOKUP($A18,'Manual adjustments'!$A:$O,13,FALSE),BN18))</f>
        <v>203.16018210869933</v>
      </c>
      <c r="BU18" s="378">
        <f>IF($BR18="",BO18,IF(AND($BR18="Y",VLOOKUP($A18,'Manual adjustments'!$A:$O,14,FALSE)&lt;&gt;""),VLOOKUP($A18,'Manual adjustments'!$A:$O,14,FALSE),BO18))</f>
        <v>76.752070666418149</v>
      </c>
      <c r="BV18" s="378">
        <f>IF($BR18="",BP18,IF(AND($BR18="Y",VLOOKUP($A18,'Manual adjustments'!$A:$O,15,FALSE)&lt;&gt;""),VLOOKUP($A18,'Manual adjustments'!$A:$O,15,FALSE),BP18))</f>
        <v>104.96199137132258</v>
      </c>
      <c r="BW18" s="384">
        <f>'Price Adjustments'!$D$66</f>
        <v>0</v>
      </c>
      <c r="BX18" s="378">
        <f t="shared" si="34"/>
        <v>152.27413633283331</v>
      </c>
      <c r="BY18" s="378">
        <f t="shared" si="35"/>
        <v>203.16018210869933</v>
      </c>
      <c r="BZ18" s="378">
        <f t="shared" si="36"/>
        <v>76.752070666418149</v>
      </c>
      <c r="CA18" s="379">
        <f t="shared" si="37"/>
        <v>104.96199137132258</v>
      </c>
      <c r="CB18" s="615">
        <f t="shared" si="38"/>
        <v>0</v>
      </c>
      <c r="CC18" s="423">
        <f t="shared" si="39"/>
        <v>0</v>
      </c>
      <c r="CD18" s="423">
        <f t="shared" si="40"/>
        <v>0</v>
      </c>
      <c r="CE18" s="423">
        <f t="shared" si="41"/>
        <v>0</v>
      </c>
      <c r="CF18" s="298"/>
      <c r="CG18" s="388">
        <f t="shared" si="42"/>
        <v>152</v>
      </c>
      <c r="CH18" s="378">
        <f t="shared" si="43"/>
        <v>203</v>
      </c>
      <c r="CI18" s="378">
        <f t="shared" si="44"/>
        <v>77</v>
      </c>
      <c r="CJ18" s="379">
        <f t="shared" si="45"/>
        <v>105</v>
      </c>
      <c r="CM18" s="507"/>
      <c r="CN18" s="507"/>
      <c r="CO18" s="507"/>
      <c r="CP18" s="507"/>
    </row>
    <row r="19" spans="1:94" ht="16.5" customHeight="1">
      <c r="A19" s="296">
        <v>144</v>
      </c>
      <c r="B19" s="292" t="s">
        <v>12</v>
      </c>
      <c r="C19" s="293">
        <f>IF(ISERROR(VLOOKUP($A19,'Allocate OPROC cost'!A:M,11,FALSE)),"-",VLOOKUP($A19,'Allocate OPROC cost'!A:M,11,FALSE))</f>
        <v>102.11856037213694</v>
      </c>
      <c r="D19" s="140">
        <f>IF(ISERROR(VLOOKUP($A19,'Allocate OPROC cost'!A:M,10,FALSE)),"-",VLOOKUP($A19,'Allocate OPROC cost'!A:M,10,FALSE))</f>
        <v>131.91394412551904</v>
      </c>
      <c r="E19" s="140">
        <f>IF(ISERROR(VLOOKUP($A19,'Allocate OPROC cost'!A:M,13,FALSE)),"-",VLOOKUP($A19,'Allocate OPROC cost'!A:M,13,FALSE))</f>
        <v>84.437799069025459</v>
      </c>
      <c r="F19" s="294">
        <f>IF(ISERROR(VLOOKUP($A19,'Allocate OPROC cost'!A:M,12,FALSE)),"-",VLOOKUP($A19,'Allocate OPROC cost'!A:M,12,FALSE))</f>
        <v>95.612032551913927</v>
      </c>
      <c r="G19" s="298"/>
      <c r="H19" s="405">
        <f>IF(ISERROR(VLOOKUP($A19,'Allocate OPROC cost'!A:AO,39,FALSE)),"-",VLOOKUP($A19,'Allocate OPROC cost'!A:AO,39,FALSE))</f>
        <v>102.10843811628814</v>
      </c>
      <c r="I19" s="406">
        <f>IF(ISERROR(VLOOKUP($A19,'Allocate OPROC cost'!A:AO,38,FALSE)),"-",VLOOKUP($A19,'Allocate OPROC cost'!A:AO,38,FALSE))</f>
        <v>131.91394412551904</v>
      </c>
      <c r="J19" s="406">
        <f>IF(ISERROR(VLOOKUP($A19,'Allocate OPROC cost'!A:AO,41,FALSE)),"-",VLOOKUP($A19,'Allocate OPROC cost'!A:AO,41,FALSE))</f>
        <v>84.938251194023366</v>
      </c>
      <c r="K19" s="407">
        <f>IF(ISERROR(VLOOKUP($A19,'Allocate OPROC cost'!A:AO,40,FALSE)),"-",VLOOKUP($A19,'Allocate OPROC cost'!A:AO,40,FALSE))</f>
        <v>95.612032551913927</v>
      </c>
      <c r="L19" s="425">
        <f t="shared" si="0"/>
        <v>-9.9122586647459876E-5</v>
      </c>
      <c r="M19" s="426">
        <f t="shared" si="1"/>
        <v>0</v>
      </c>
      <c r="N19" s="426">
        <f t="shared" si="2"/>
        <v>5.9268731600736757E-3</v>
      </c>
      <c r="O19" s="425">
        <f t="shared" si="3"/>
        <v>0</v>
      </c>
      <c r="P19" s="298"/>
      <c r="Q19" s="299">
        <f>IF(ISERROR(VLOOKUP($A19,'Front-loading'!$A:$AG,27,FALSE)),"-",VLOOKUP($A19,'Front-loading'!$A:$AG,27,FALSE))</f>
        <v>112.463420572972</v>
      </c>
      <c r="R19" s="150">
        <f>IF(ISERROR(VLOOKUP($A19,'Front-loading'!$A:$AG,26,FALSE)),"-",VLOOKUP($A19,'Front-loading'!$A:$AG,26,FALSE))</f>
        <v>181.76878967044561</v>
      </c>
      <c r="S19" s="150">
        <f>IF(ISERROR(VLOOKUP($A19,'Front-loading'!$A:$AG,29,FALSE)),"-",VLOOKUP($A19,'Front-loading'!$A:$AG,29,FALSE))</f>
        <v>76.44442607462102</v>
      </c>
      <c r="T19" s="300">
        <f>IF(ISERROR(VLOOKUP($A19,'Front-loading'!$A:$AG,28,FALSE)),"-",VLOOKUP($A19,'Front-loading'!$A:$AG,28,FALSE))</f>
        <v>86.05082929672254</v>
      </c>
      <c r="U19" s="429">
        <f t="shared" si="4"/>
        <v>0.10141162324793274</v>
      </c>
      <c r="V19" s="430">
        <f t="shared" si="5"/>
        <v>0.37793461392897609</v>
      </c>
      <c r="W19" s="430">
        <f t="shared" si="6"/>
        <v>-0.10000000000000009</v>
      </c>
      <c r="X19" s="431">
        <f t="shared" si="7"/>
        <v>-9.9999999999999978E-2</v>
      </c>
      <c r="Y19" s="298"/>
      <c r="Z19" s="152">
        <f>IF(ISERROR(VLOOKUP($A19,'Further adjustment'!$A:$BC,53,FALSE)),"-",VLOOKUP($A19,'Further adjustment'!$A:$BC,53,FALSE))</f>
        <v>112.463420572972</v>
      </c>
      <c r="AA19" s="152">
        <f>IF(ISERROR(VLOOKUP($A19,'Further adjustment'!$A:$BC,52,FALSE)),"-",VLOOKUP($A19,'Further adjustment'!$A:$BC,52,FALSE))</f>
        <v>181.76878967044561</v>
      </c>
      <c r="AB19" s="152">
        <f>IF(ISERROR(VLOOKUP($A19,'Further adjustment'!$A:$BC,55,FALSE)),"-",VLOOKUP($A19,'Further adjustment'!$A:$BC,55,FALSE))</f>
        <v>76.44442607462102</v>
      </c>
      <c r="AC19" s="412">
        <f>IF(ISERROR(VLOOKUP($A19,'Further adjustment'!$A:$BC,54,FALSE)),"-",VLOOKUP($A19,'Further adjustment'!$A:$BC,54,FALSE))</f>
        <v>86.05082929672254</v>
      </c>
      <c r="AD19" s="435">
        <f t="shared" si="8"/>
        <v>0</v>
      </c>
      <c r="AE19" s="436">
        <f t="shared" si="9"/>
        <v>0</v>
      </c>
      <c r="AF19" s="436">
        <f t="shared" si="10"/>
        <v>0</v>
      </c>
      <c r="AG19" s="436">
        <f t="shared" si="11"/>
        <v>0</v>
      </c>
      <c r="AH19" s="298"/>
      <c r="AI19" s="347">
        <f>'Price Adjustments'!$H$7</f>
        <v>-4.2387925000000104E-2</v>
      </c>
      <c r="AJ19" s="467">
        <f>'Price Adjustments'!$G$91</f>
        <v>0</v>
      </c>
      <c r="AK19" s="352">
        <f t="shared" si="30"/>
        <v>107.69632953648139</v>
      </c>
      <c r="AL19" s="352">
        <f t="shared" si="31"/>
        <v>174.06398784655397</v>
      </c>
      <c r="AM19" s="352">
        <f t="shared" si="32"/>
        <v>73.204105475501933</v>
      </c>
      <c r="AN19" s="413">
        <f t="shared" si="33"/>
        <v>82.403313198305256</v>
      </c>
      <c r="AO19" s="439">
        <f t="shared" si="12"/>
        <v>-4.2387925000000215E-2</v>
      </c>
      <c r="AP19" s="440">
        <f t="shared" si="13"/>
        <v>-4.2387925000000104E-2</v>
      </c>
      <c r="AQ19" s="440">
        <f t="shared" si="14"/>
        <v>-4.2387925000000104E-2</v>
      </c>
      <c r="AR19" s="441">
        <f t="shared" si="15"/>
        <v>-4.2387925000000104E-2</v>
      </c>
      <c r="AS19" s="359">
        <f>'Price Adjustments'!$G$7</f>
        <v>0</v>
      </c>
      <c r="AT19" s="250">
        <f>IF(ISERROR(VLOOKUP($A19,'14-15 tariff'!$A:$F,3,FALSE)*(1+$AS$6)),"-",VLOOKUP($A19,'14-15 tariff'!$A:$F,3,FALSE)*(1+$AS$6))</f>
        <v>113</v>
      </c>
      <c r="AU19" s="250">
        <f>IF(ISERROR(VLOOKUP($A19,'14-15 tariff'!$A:$F,4,FALSE)*(1+$AS$6)),"-",VLOOKUP($A19,'14-15 tariff'!$A:$F,4,FALSE)*(1+$AS$6))</f>
        <v>178</v>
      </c>
      <c r="AV19" s="250">
        <f>IF(ISERROR(VLOOKUP($A19,'14-15 tariff'!$A:$F,5,FALSE)*(1+$AS$6)),"-",VLOOKUP($A19,'14-15 tariff'!$A:$F,5,FALSE)*(1+$AS$6))</f>
        <v>74</v>
      </c>
      <c r="AW19" s="250">
        <f>IF(ISERROR(VLOOKUP($A19,'14-15 tariff'!$A:$F,6,FALSE)*(1+$AS$6)),"-",VLOOKUP($A19,'14-15 tariff'!$A:$F,6,FALSE)*(1+$AS$6))</f>
        <v>74</v>
      </c>
      <c r="AX19" s="298"/>
      <c r="AY19" s="498" t="s">
        <v>522</v>
      </c>
      <c r="AZ19" s="499" t="s">
        <v>522</v>
      </c>
      <c r="BA19" s="499" t="s">
        <v>522</v>
      </c>
      <c r="BB19" s="499" t="s">
        <v>522</v>
      </c>
      <c r="BC19" s="339">
        <f t="shared" si="16"/>
        <v>107.69632953648139</v>
      </c>
      <c r="BD19" s="339">
        <f t="shared" si="17"/>
        <v>174.06398784655397</v>
      </c>
      <c r="BE19" s="339">
        <f t="shared" si="18"/>
        <v>73.204105475501933</v>
      </c>
      <c r="BF19" s="340">
        <f t="shared" si="19"/>
        <v>82.403313198305256</v>
      </c>
      <c r="BG19" s="265">
        <f t="shared" si="20"/>
        <v>-4.2387925000000215E-2</v>
      </c>
      <c r="BH19" s="265">
        <f t="shared" si="21"/>
        <v>-4.2387925000000104E-2</v>
      </c>
      <c r="BI19" s="265">
        <f t="shared" si="22"/>
        <v>-4.2387925000000104E-2</v>
      </c>
      <c r="BJ19" s="265">
        <f t="shared" si="23"/>
        <v>-4.2387925000000104E-2</v>
      </c>
      <c r="BK19" s="298"/>
      <c r="BL19" s="503">
        <f>'Price Adjustments'!$C$66</f>
        <v>-1.22128076562165E-2</v>
      </c>
      <c r="BM19" s="378">
        <f t="shared" si="24"/>
        <v>106.38105497857184</v>
      </c>
      <c r="BN19" s="378">
        <f t="shared" si="25"/>
        <v>171.93817784311</v>
      </c>
      <c r="BO19" s="378">
        <f t="shared" si="26"/>
        <v>72.310077815684252</v>
      </c>
      <c r="BP19" s="506">
        <f t="shared" si="27"/>
        <v>81.396937383979392</v>
      </c>
      <c r="BQ19" s="298"/>
      <c r="BR19" s="618" t="str">
        <f>IF(COUNTIF('Manual adjustments'!$A:$A,A19)=1,"Y","")</f>
        <v/>
      </c>
      <c r="BS19" s="378">
        <f>IF($BR19="",BM19,IF(AND($BR19="Y",VLOOKUP($A19,'Manual adjustments'!$A:$O,12,FALSE)&lt;&gt;""),VLOOKUP($A19,'Manual adjustments'!$A:$O,12,FALSE),BM19))</f>
        <v>106.38105497857184</v>
      </c>
      <c r="BT19" s="378">
        <f>IF($BR19="",BN19,IF(AND($BR19="Y",VLOOKUP($A19,'Manual adjustments'!$A:$O,13,FALSE)&lt;&gt;""),VLOOKUP($A19,'Manual adjustments'!$A:$O,13,FALSE),BN19))</f>
        <v>171.93817784311</v>
      </c>
      <c r="BU19" s="378">
        <f>IF($BR19="",BO19,IF(AND($BR19="Y",VLOOKUP($A19,'Manual adjustments'!$A:$O,14,FALSE)&lt;&gt;""),VLOOKUP($A19,'Manual adjustments'!$A:$O,14,FALSE),BO19))</f>
        <v>72.310077815684252</v>
      </c>
      <c r="BV19" s="378">
        <f>IF($BR19="",BP19,IF(AND($BR19="Y",VLOOKUP($A19,'Manual adjustments'!$A:$O,15,FALSE)&lt;&gt;""),VLOOKUP($A19,'Manual adjustments'!$A:$O,15,FALSE),BP19))</f>
        <v>81.396937383979392</v>
      </c>
      <c r="BW19" s="384">
        <f>'Price Adjustments'!$D$66</f>
        <v>0</v>
      </c>
      <c r="BX19" s="378">
        <f t="shared" si="34"/>
        <v>106.38105497857184</v>
      </c>
      <c r="BY19" s="378">
        <f t="shared" si="35"/>
        <v>171.93817784311</v>
      </c>
      <c r="BZ19" s="378">
        <f t="shared" si="36"/>
        <v>72.310077815684252</v>
      </c>
      <c r="CA19" s="379">
        <f t="shared" si="37"/>
        <v>81.396937383979392</v>
      </c>
      <c r="CB19" s="615">
        <f t="shared" si="38"/>
        <v>0</v>
      </c>
      <c r="CC19" s="423">
        <f t="shared" si="39"/>
        <v>0</v>
      </c>
      <c r="CD19" s="423">
        <f t="shared" si="40"/>
        <v>0</v>
      </c>
      <c r="CE19" s="423">
        <f t="shared" si="41"/>
        <v>0</v>
      </c>
      <c r="CF19" s="298"/>
      <c r="CG19" s="388">
        <f t="shared" si="42"/>
        <v>106</v>
      </c>
      <c r="CH19" s="378">
        <f t="shared" si="43"/>
        <v>172</v>
      </c>
      <c r="CI19" s="378">
        <f t="shared" si="44"/>
        <v>72</v>
      </c>
      <c r="CJ19" s="379">
        <f t="shared" si="45"/>
        <v>81</v>
      </c>
      <c r="CM19" s="507"/>
      <c r="CN19" s="507"/>
      <c r="CO19" s="507"/>
      <c r="CP19" s="507"/>
    </row>
    <row r="20" spans="1:94" ht="16.5" customHeight="1">
      <c r="A20" s="296">
        <v>160</v>
      </c>
      <c r="B20" s="292" t="s">
        <v>13</v>
      </c>
      <c r="C20" s="293">
        <f>IF(ISERROR(VLOOKUP($A20,'Allocate OPROC cost'!A:M,11,FALSE)),"-",VLOOKUP($A20,'Allocate OPROC cost'!A:M,11,FALSE))</f>
        <v>98.95186948119823</v>
      </c>
      <c r="D20" s="140">
        <f>IF(ISERROR(VLOOKUP($A20,'Allocate OPROC cost'!A:M,10,FALSE)),"-",VLOOKUP($A20,'Allocate OPROC cost'!A:M,10,FALSE))</f>
        <v>127.49866178653564</v>
      </c>
      <c r="E20" s="140">
        <f>IF(ISERROR(VLOOKUP($A20,'Allocate OPROC cost'!A:M,13,FALSE)),"-",VLOOKUP($A20,'Allocate OPROC cost'!A:M,13,FALSE))</f>
        <v>74.419513333896461</v>
      </c>
      <c r="F20" s="294">
        <f>IF(ISERROR(VLOOKUP($A20,'Allocate OPROC cost'!A:M,12,FALSE)),"-",VLOOKUP($A20,'Allocate OPROC cost'!A:M,12,FALSE))</f>
        <v>116.50694804182439</v>
      </c>
      <c r="G20" s="298"/>
      <c r="H20" s="405">
        <f>IF(ISERROR(VLOOKUP($A20,'Allocate OPROC cost'!A:AO,39,FALSE)),"-",VLOOKUP($A20,'Allocate OPROC cost'!A:AO,39,FALSE))</f>
        <v>98.615874537707782</v>
      </c>
      <c r="I20" s="406">
        <f>IF(ISERROR(VLOOKUP($A20,'Allocate OPROC cost'!A:AO,38,FALSE)),"-",VLOOKUP($A20,'Allocate OPROC cost'!A:AO,38,FALSE))</f>
        <v>127.49866178653564</v>
      </c>
      <c r="J20" s="406">
        <f>IF(ISERROR(VLOOKUP($A20,'Allocate OPROC cost'!A:AO,41,FALSE)),"-",VLOOKUP($A20,'Allocate OPROC cost'!A:AO,41,FALSE))</f>
        <v>76.176612131853503</v>
      </c>
      <c r="K20" s="407">
        <f>IF(ISERROR(VLOOKUP($A20,'Allocate OPROC cost'!A:AO,40,FALSE)),"-",VLOOKUP($A20,'Allocate OPROC cost'!A:AO,40,FALSE))</f>
        <v>116.50694804182439</v>
      </c>
      <c r="L20" s="425">
        <f t="shared" si="0"/>
        <v>-3.3955391166641258E-3</v>
      </c>
      <c r="M20" s="426">
        <f t="shared" si="1"/>
        <v>0</v>
      </c>
      <c r="N20" s="426">
        <f t="shared" si="2"/>
        <v>2.361072680055698E-2</v>
      </c>
      <c r="O20" s="425">
        <f t="shared" si="3"/>
        <v>0</v>
      </c>
      <c r="P20" s="298"/>
      <c r="Q20" s="299">
        <f>IF(ISERROR(VLOOKUP($A20,'Front-loading'!$A:$AG,27,FALSE)),"-",VLOOKUP($A20,'Front-loading'!$A:$AG,27,FALSE))</f>
        <v>118.77999683659384</v>
      </c>
      <c r="R20" s="150">
        <f>IF(ISERROR(VLOOKUP($A20,'Front-loading'!$A:$AG,26,FALSE)),"-",VLOOKUP($A20,'Front-loading'!$A:$AG,26,FALSE))</f>
        <v>157.89623266465324</v>
      </c>
      <c r="S20" s="150">
        <f>IF(ISERROR(VLOOKUP($A20,'Front-loading'!$A:$AG,29,FALSE)),"-",VLOOKUP($A20,'Front-loading'!$A:$AG,29,FALSE))</f>
        <v>68.55895091866816</v>
      </c>
      <c r="T20" s="300">
        <f>IF(ISERROR(VLOOKUP($A20,'Front-loading'!$A:$AG,28,FALSE)),"-",VLOOKUP($A20,'Front-loading'!$A:$AG,28,FALSE))</f>
        <v>104.85625323764195</v>
      </c>
      <c r="U20" s="429">
        <f t="shared" si="4"/>
        <v>0.20447136318986758</v>
      </c>
      <c r="V20" s="430">
        <f t="shared" si="5"/>
        <v>0.23841482296504934</v>
      </c>
      <c r="W20" s="430">
        <f t="shared" si="6"/>
        <v>-9.9999999999999867E-2</v>
      </c>
      <c r="X20" s="431">
        <f t="shared" si="7"/>
        <v>-9.9999999999999978E-2</v>
      </c>
      <c r="Y20" s="298"/>
      <c r="Z20" s="152">
        <f>IF(ISERROR(VLOOKUP($A20,'Further adjustment'!$A:$BC,53,FALSE)),"-",VLOOKUP($A20,'Further adjustment'!$A:$BC,53,FALSE))</f>
        <v>118.77999683659384</v>
      </c>
      <c r="AA20" s="152">
        <f>IF(ISERROR(VLOOKUP($A20,'Further adjustment'!$A:$BC,52,FALSE)),"-",VLOOKUP($A20,'Further adjustment'!$A:$BC,52,FALSE))</f>
        <v>157.89623266465324</v>
      </c>
      <c r="AB20" s="152">
        <f>IF(ISERROR(VLOOKUP($A20,'Further adjustment'!$A:$BC,55,FALSE)),"-",VLOOKUP($A20,'Further adjustment'!$A:$BC,55,FALSE))</f>
        <v>68.55895091866816</v>
      </c>
      <c r="AC20" s="412">
        <f>IF(ISERROR(VLOOKUP($A20,'Further adjustment'!$A:$BC,54,FALSE)),"-",VLOOKUP($A20,'Further adjustment'!$A:$BC,54,FALSE))</f>
        <v>104.85625323764195</v>
      </c>
      <c r="AD20" s="435">
        <f t="shared" si="8"/>
        <v>0</v>
      </c>
      <c r="AE20" s="436">
        <f t="shared" si="9"/>
        <v>0</v>
      </c>
      <c r="AF20" s="436">
        <f t="shared" si="10"/>
        <v>0</v>
      </c>
      <c r="AG20" s="436">
        <f t="shared" si="11"/>
        <v>0</v>
      </c>
      <c r="AH20" s="298"/>
      <c r="AI20" s="347">
        <f>'Price Adjustments'!$H$7</f>
        <v>-4.2387925000000104E-2</v>
      </c>
      <c r="AJ20" s="467">
        <f>'Price Adjustments'!$G$91</f>
        <v>0</v>
      </c>
      <c r="AK20" s="352">
        <f t="shared" si="30"/>
        <v>113.74515923918405</v>
      </c>
      <c r="AL20" s="352">
        <f t="shared" si="31"/>
        <v>151.20333899668134</v>
      </c>
      <c r="AM20" s="352">
        <f t="shared" si="32"/>
        <v>65.652879249048965</v>
      </c>
      <c r="AN20" s="413">
        <f t="shared" si="33"/>
        <v>100.41161423962376</v>
      </c>
      <c r="AO20" s="439">
        <f t="shared" si="12"/>
        <v>-4.2387925000000104E-2</v>
      </c>
      <c r="AP20" s="440">
        <f t="shared" si="13"/>
        <v>-4.2387925000000215E-2</v>
      </c>
      <c r="AQ20" s="440">
        <f t="shared" si="14"/>
        <v>-4.2387925000000104E-2</v>
      </c>
      <c r="AR20" s="441">
        <f t="shared" si="15"/>
        <v>-4.2387925000000215E-2</v>
      </c>
      <c r="AS20" s="359">
        <f>'Price Adjustments'!$G$7</f>
        <v>0</v>
      </c>
      <c r="AT20" s="250">
        <f>IF(ISERROR(VLOOKUP($A20,'14-15 tariff'!$A:$F,3,FALSE)*(1+$AS$6)),"-",VLOOKUP($A20,'14-15 tariff'!$A:$F,3,FALSE)*(1+$AS$6))</f>
        <v>110</v>
      </c>
      <c r="AU20" s="250">
        <f>IF(ISERROR(VLOOKUP($A20,'14-15 tariff'!$A:$F,4,FALSE)*(1+$AS$6)),"-",VLOOKUP($A20,'14-15 tariff'!$A:$F,4,FALSE)*(1+$AS$6))</f>
        <v>124</v>
      </c>
      <c r="AV20" s="250">
        <f>IF(ISERROR(VLOOKUP($A20,'14-15 tariff'!$A:$F,5,FALSE)*(1+$AS$6)),"-",VLOOKUP($A20,'14-15 tariff'!$A:$F,5,FALSE)*(1+$AS$6))</f>
        <v>63</v>
      </c>
      <c r="AW20" s="250">
        <f>IF(ISERROR(VLOOKUP($A20,'14-15 tariff'!$A:$F,6,FALSE)*(1+$AS$6)),"-",VLOOKUP($A20,'14-15 tariff'!$A:$F,6,FALSE)*(1+$AS$6))</f>
        <v>80</v>
      </c>
      <c r="AX20" s="298"/>
      <c r="AY20" s="498" t="s">
        <v>522</v>
      </c>
      <c r="AZ20" s="499" t="s">
        <v>522</v>
      </c>
      <c r="BA20" s="499" t="s">
        <v>522</v>
      </c>
      <c r="BB20" s="499" t="s">
        <v>522</v>
      </c>
      <c r="BC20" s="339">
        <f t="shared" si="16"/>
        <v>113.74515923918405</v>
      </c>
      <c r="BD20" s="339">
        <f t="shared" si="17"/>
        <v>151.20333899668134</v>
      </c>
      <c r="BE20" s="339">
        <f t="shared" si="18"/>
        <v>65.652879249048965</v>
      </c>
      <c r="BF20" s="340">
        <f t="shared" si="19"/>
        <v>100.41161423962376</v>
      </c>
      <c r="BG20" s="265">
        <f t="shared" si="20"/>
        <v>-4.2387925000000104E-2</v>
      </c>
      <c r="BH20" s="265">
        <f t="shared" si="21"/>
        <v>-4.2387925000000215E-2</v>
      </c>
      <c r="BI20" s="265">
        <f t="shared" si="22"/>
        <v>-4.2387925000000104E-2</v>
      </c>
      <c r="BJ20" s="265">
        <f t="shared" si="23"/>
        <v>-4.2387925000000215E-2</v>
      </c>
      <c r="BK20" s="298"/>
      <c r="BL20" s="503">
        <f>'Price Adjustments'!$C$66</f>
        <v>-1.22128076562165E-2</v>
      </c>
      <c r="BM20" s="378">
        <f t="shared" si="24"/>
        <v>112.35601148757019</v>
      </c>
      <c r="BN20" s="378">
        <f t="shared" si="25"/>
        <v>149.35672170053718</v>
      </c>
      <c r="BO20" s="378">
        <f t="shared" si="26"/>
        <v>64.851073262703522</v>
      </c>
      <c r="BP20" s="506">
        <f t="shared" si="27"/>
        <v>99.185306508465032</v>
      </c>
      <c r="BQ20" s="298"/>
      <c r="BR20" s="618" t="str">
        <f>IF(COUNTIF('Manual adjustments'!$A:$A,A20)=1,"Y","")</f>
        <v/>
      </c>
      <c r="BS20" s="378">
        <f>IF($BR20="",BM20,IF(AND($BR20="Y",VLOOKUP($A20,'Manual adjustments'!$A:$O,12,FALSE)&lt;&gt;""),VLOOKUP($A20,'Manual adjustments'!$A:$O,12,FALSE),BM20))</f>
        <v>112.35601148757019</v>
      </c>
      <c r="BT20" s="378">
        <f>IF($BR20="",BN20,IF(AND($BR20="Y",VLOOKUP($A20,'Manual adjustments'!$A:$O,13,FALSE)&lt;&gt;""),VLOOKUP($A20,'Manual adjustments'!$A:$O,13,FALSE),BN20))</f>
        <v>149.35672170053718</v>
      </c>
      <c r="BU20" s="378">
        <f>IF($BR20="",BO20,IF(AND($BR20="Y",VLOOKUP($A20,'Manual adjustments'!$A:$O,14,FALSE)&lt;&gt;""),VLOOKUP($A20,'Manual adjustments'!$A:$O,14,FALSE),BO20))</f>
        <v>64.851073262703522</v>
      </c>
      <c r="BV20" s="378">
        <f>IF($BR20="",BP20,IF(AND($BR20="Y",VLOOKUP($A20,'Manual adjustments'!$A:$O,15,FALSE)&lt;&gt;""),VLOOKUP($A20,'Manual adjustments'!$A:$O,15,FALSE),BP20))</f>
        <v>99.185306508465032</v>
      </c>
      <c r="BW20" s="384">
        <f>'Price Adjustments'!$D$66</f>
        <v>0</v>
      </c>
      <c r="BX20" s="378">
        <f t="shared" si="34"/>
        <v>112.35601148757019</v>
      </c>
      <c r="BY20" s="378">
        <f t="shared" si="35"/>
        <v>149.35672170053718</v>
      </c>
      <c r="BZ20" s="378">
        <f t="shared" si="36"/>
        <v>64.851073262703522</v>
      </c>
      <c r="CA20" s="379">
        <f t="shared" si="37"/>
        <v>99.185306508465032</v>
      </c>
      <c r="CB20" s="615">
        <f t="shared" si="38"/>
        <v>0</v>
      </c>
      <c r="CC20" s="423">
        <f t="shared" si="39"/>
        <v>0</v>
      </c>
      <c r="CD20" s="423">
        <f t="shared" si="40"/>
        <v>0</v>
      </c>
      <c r="CE20" s="423">
        <f t="shared" si="41"/>
        <v>0</v>
      </c>
      <c r="CF20" s="298"/>
      <c r="CG20" s="388">
        <f t="shared" si="42"/>
        <v>112</v>
      </c>
      <c r="CH20" s="378">
        <f t="shared" si="43"/>
        <v>149</v>
      </c>
      <c r="CI20" s="378">
        <f t="shared" si="44"/>
        <v>65</v>
      </c>
      <c r="CJ20" s="379">
        <f t="shared" si="45"/>
        <v>99</v>
      </c>
      <c r="CM20" s="507"/>
      <c r="CN20" s="507"/>
      <c r="CO20" s="507"/>
      <c r="CP20" s="507"/>
    </row>
    <row r="21" spans="1:94" ht="16.5" customHeight="1">
      <c r="A21" s="296">
        <v>170</v>
      </c>
      <c r="B21" s="292" t="s">
        <v>14</v>
      </c>
      <c r="C21" s="293">
        <f>IF(ISERROR(VLOOKUP($A21,'Allocate OPROC cost'!A:M,11,FALSE)),"-",VLOOKUP($A21,'Allocate OPROC cost'!A:M,11,FALSE))</f>
        <v>241.11003269076994</v>
      </c>
      <c r="D21" s="140">
        <f>IF(ISERROR(VLOOKUP($A21,'Allocate OPROC cost'!A:M,10,FALSE)),"-",VLOOKUP($A21,'Allocate OPROC cost'!A:M,10,FALSE))</f>
        <v>154.34194938379892</v>
      </c>
      <c r="E21" s="140">
        <f>IF(ISERROR(VLOOKUP($A21,'Allocate OPROC cost'!A:M,13,FALSE)),"-",VLOOKUP($A21,'Allocate OPROC cost'!A:M,13,FALSE))</f>
        <v>205.42051313240972</v>
      </c>
      <c r="F21" s="294">
        <f>IF(ISERROR(VLOOKUP($A21,'Allocate OPROC cost'!A:M,12,FALSE)),"-",VLOOKUP($A21,'Allocate OPROC cost'!A:M,12,FALSE))</f>
        <v>239.67008868223166</v>
      </c>
      <c r="G21" s="298"/>
      <c r="H21" s="405">
        <f>IF(ISERROR(VLOOKUP($A21,'Allocate OPROC cost'!A:AO,39,FALSE)),"-",VLOOKUP($A21,'Allocate OPROC cost'!A:AO,39,FALSE))</f>
        <v>241.0408833645939</v>
      </c>
      <c r="I21" s="406">
        <f>IF(ISERROR(VLOOKUP($A21,'Allocate OPROC cost'!A:AO,38,FALSE)),"-",VLOOKUP($A21,'Allocate OPROC cost'!A:AO,38,FALSE))</f>
        <v>154.34194938379892</v>
      </c>
      <c r="J21" s="406">
        <f>IF(ISERROR(VLOOKUP($A21,'Allocate OPROC cost'!A:AO,41,FALSE)),"-",VLOOKUP($A21,'Allocate OPROC cost'!A:AO,41,FALSE))</f>
        <v>205.16171679500764</v>
      </c>
      <c r="K21" s="407">
        <f>IF(ISERROR(VLOOKUP($A21,'Allocate OPROC cost'!A:AO,40,FALSE)),"-",VLOOKUP($A21,'Allocate OPROC cost'!A:AO,40,FALSE))</f>
        <v>239.67008868223166</v>
      </c>
      <c r="L21" s="425">
        <f t="shared" si="0"/>
        <v>-2.8679572311585133E-4</v>
      </c>
      <c r="M21" s="426">
        <f t="shared" si="1"/>
        <v>0</v>
      </c>
      <c r="N21" s="426">
        <f t="shared" si="2"/>
        <v>-1.2598368753722333E-3</v>
      </c>
      <c r="O21" s="425">
        <f t="shared" si="3"/>
        <v>0</v>
      </c>
      <c r="P21" s="298"/>
      <c r="Q21" s="299">
        <f>IF(ISERROR(VLOOKUP($A21,'Front-loading'!$A:$AG,27,FALSE)),"-",VLOOKUP($A21,'Front-loading'!$A:$AG,27,FALSE))</f>
        <v>274.00904043053413</v>
      </c>
      <c r="R21" s="150">
        <f>IF(ISERROR(VLOOKUP($A21,'Front-loading'!$A:$AG,26,FALSE)),"-",VLOOKUP($A21,'Front-loading'!$A:$AG,26,FALSE))</f>
        <v>169.64004015074988</v>
      </c>
      <c r="S21" s="150">
        <f>IF(ISERROR(VLOOKUP($A21,'Front-loading'!$A:$AG,29,FALSE)),"-",VLOOKUP($A21,'Front-loading'!$A:$AG,29,FALSE))</f>
        <v>184.64554511550688</v>
      </c>
      <c r="T21" s="300">
        <f>IF(ISERROR(VLOOKUP($A21,'Front-loading'!$A:$AG,28,FALSE)),"-",VLOOKUP($A21,'Front-loading'!$A:$AG,28,FALSE))</f>
        <v>215.70307981400853</v>
      </c>
      <c r="U21" s="429">
        <f t="shared" si="4"/>
        <v>0.13677412978973047</v>
      </c>
      <c r="V21" s="430">
        <f t="shared" si="5"/>
        <v>9.9118164750592319E-2</v>
      </c>
      <c r="W21" s="430">
        <f t="shared" si="6"/>
        <v>-9.9999999999999978E-2</v>
      </c>
      <c r="X21" s="431">
        <f t="shared" si="7"/>
        <v>-9.9999999999999867E-2</v>
      </c>
      <c r="Y21" s="298"/>
      <c r="Z21" s="152">
        <f>IF(ISERROR(VLOOKUP($A21,'Further adjustment'!$A:$BC,53,FALSE)),"-",VLOOKUP($A21,'Further adjustment'!$A:$BC,53,FALSE))</f>
        <v>270.5466946195574</v>
      </c>
      <c r="AA21" s="152">
        <f>IF(ISERROR(VLOOKUP($A21,'Further adjustment'!$A:$BC,52,FALSE)),"-",VLOOKUP($A21,'Further adjustment'!$A:$BC,52,FALSE))</f>
        <v>270.5466946195574</v>
      </c>
      <c r="AB21" s="152">
        <f>IF(ISERROR(VLOOKUP($A21,'Further adjustment'!$A:$BC,55,FALSE)),"-",VLOOKUP($A21,'Further adjustment'!$A:$BC,55,FALSE))</f>
        <v>184.64554511550688</v>
      </c>
      <c r="AC21" s="412">
        <f>IF(ISERROR(VLOOKUP($A21,'Further adjustment'!$A:$BC,54,FALSE)),"-",VLOOKUP($A21,'Further adjustment'!$A:$BC,54,FALSE))</f>
        <v>187.58667898059093</v>
      </c>
      <c r="AD21" s="435">
        <f t="shared" si="8"/>
        <v>-1.2635881668490057E-2</v>
      </c>
      <c r="AE21" s="436">
        <f t="shared" si="9"/>
        <v>0.59482805108473946</v>
      </c>
      <c r="AF21" s="436">
        <f t="shared" si="10"/>
        <v>0</v>
      </c>
      <c r="AG21" s="436">
        <f t="shared" si="11"/>
        <v>-0.13034770230291182</v>
      </c>
      <c r="AH21" s="298"/>
      <c r="AI21" s="347">
        <f>'Price Adjustments'!$H$7</f>
        <v>-4.2387925000000104E-2</v>
      </c>
      <c r="AJ21" s="467">
        <f>'Price Adjustments'!$G$91</f>
        <v>0</v>
      </c>
      <c r="AK21" s="352">
        <f t="shared" si="30"/>
        <v>259.07878161902568</v>
      </c>
      <c r="AL21" s="352">
        <f t="shared" si="31"/>
        <v>259.07878161902568</v>
      </c>
      <c r="AM21" s="352">
        <f t="shared" si="32"/>
        <v>176.81880359756664</v>
      </c>
      <c r="AN21" s="413">
        <f t="shared" si="33"/>
        <v>179.63526890096256</v>
      </c>
      <c r="AO21" s="439">
        <f t="shared" si="12"/>
        <v>-4.2387925000000104E-2</v>
      </c>
      <c r="AP21" s="440">
        <f t="shared" si="13"/>
        <v>-4.2387925000000104E-2</v>
      </c>
      <c r="AQ21" s="440">
        <f t="shared" si="14"/>
        <v>-4.2387925000000104E-2</v>
      </c>
      <c r="AR21" s="441">
        <f t="shared" si="15"/>
        <v>-4.2387925000000104E-2</v>
      </c>
      <c r="AS21" s="359">
        <f>'Price Adjustments'!$G$7</f>
        <v>0</v>
      </c>
      <c r="AT21" s="250">
        <f>IF(ISERROR(VLOOKUP($A21,'14-15 tariff'!$A:$F,3,FALSE)*(1+$AS$6)),"-",VLOOKUP($A21,'14-15 tariff'!$A:$F,3,FALSE)*(1+$AS$6))</f>
        <v>234</v>
      </c>
      <c r="AU21" s="250">
        <f>IF(ISERROR(VLOOKUP($A21,'14-15 tariff'!$A:$F,4,FALSE)*(1+$AS$6)),"-",VLOOKUP($A21,'14-15 tariff'!$A:$F,4,FALSE)*(1+$AS$6))</f>
        <v>234</v>
      </c>
      <c r="AV21" s="250">
        <f>IF(ISERROR(VLOOKUP($A21,'14-15 tariff'!$A:$F,5,FALSE)*(1+$AS$6)),"-",VLOOKUP($A21,'14-15 tariff'!$A:$F,5,FALSE)*(1+$AS$6))</f>
        <v>156</v>
      </c>
      <c r="AW21" s="250">
        <f>IF(ISERROR(VLOOKUP($A21,'14-15 tariff'!$A:$F,6,FALSE)*(1+$AS$6)),"-",VLOOKUP($A21,'14-15 tariff'!$A:$F,6,FALSE)*(1+$AS$6))</f>
        <v>156</v>
      </c>
      <c r="AX21" s="298"/>
      <c r="AY21" s="498" t="s">
        <v>522</v>
      </c>
      <c r="AZ21" s="499" t="s">
        <v>522</v>
      </c>
      <c r="BA21" s="499" t="s">
        <v>522</v>
      </c>
      <c r="BB21" s="499" t="s">
        <v>522</v>
      </c>
      <c r="BC21" s="339">
        <f t="shared" si="16"/>
        <v>259.07878161902568</v>
      </c>
      <c r="BD21" s="339">
        <f t="shared" si="17"/>
        <v>259.07878161902568</v>
      </c>
      <c r="BE21" s="339">
        <f t="shared" si="18"/>
        <v>176.81880359756664</v>
      </c>
      <c r="BF21" s="340">
        <f t="shared" si="19"/>
        <v>179.63526890096256</v>
      </c>
      <c r="BG21" s="265">
        <f t="shared" si="20"/>
        <v>-4.2387925000000104E-2</v>
      </c>
      <c r="BH21" s="265">
        <f t="shared" si="21"/>
        <v>-4.2387925000000104E-2</v>
      </c>
      <c r="BI21" s="265">
        <f t="shared" si="22"/>
        <v>-4.2387925000000104E-2</v>
      </c>
      <c r="BJ21" s="265">
        <f t="shared" si="23"/>
        <v>-4.2387925000000104E-2</v>
      </c>
      <c r="BK21" s="298"/>
      <c r="BL21" s="503">
        <f>'Price Adjustments'!$C$66</f>
        <v>-1.22128076562165E-2</v>
      </c>
      <c r="BM21" s="378">
        <f t="shared" si="24"/>
        <v>255.91470229130562</v>
      </c>
      <c r="BN21" s="378">
        <f t="shared" si="25"/>
        <v>255.91470229130562</v>
      </c>
      <c r="BO21" s="378">
        <f t="shared" si="26"/>
        <v>174.65934955922725</v>
      </c>
      <c r="BP21" s="506">
        <f t="shared" si="27"/>
        <v>177.44141791360238</v>
      </c>
      <c r="BQ21" s="298"/>
      <c r="BR21" s="618" t="str">
        <f>IF(COUNTIF('Manual adjustments'!$A:$A,A21)=1,"Y","")</f>
        <v/>
      </c>
      <c r="BS21" s="378">
        <f>IF($BR21="",BM21,IF(AND($BR21="Y",VLOOKUP($A21,'Manual adjustments'!$A:$O,12,FALSE)&lt;&gt;""),VLOOKUP($A21,'Manual adjustments'!$A:$O,12,FALSE),BM21))</f>
        <v>255.91470229130562</v>
      </c>
      <c r="BT21" s="378">
        <f>IF($BR21="",BN21,IF(AND($BR21="Y",VLOOKUP($A21,'Manual adjustments'!$A:$O,13,FALSE)&lt;&gt;""),VLOOKUP($A21,'Manual adjustments'!$A:$O,13,FALSE),BN21))</f>
        <v>255.91470229130562</v>
      </c>
      <c r="BU21" s="378">
        <f>IF($BR21="",BO21,IF(AND($BR21="Y",VLOOKUP($A21,'Manual adjustments'!$A:$O,14,FALSE)&lt;&gt;""),VLOOKUP($A21,'Manual adjustments'!$A:$O,14,FALSE),BO21))</f>
        <v>174.65934955922725</v>
      </c>
      <c r="BV21" s="378">
        <f>IF($BR21="",BP21,IF(AND($BR21="Y",VLOOKUP($A21,'Manual adjustments'!$A:$O,15,FALSE)&lt;&gt;""),VLOOKUP($A21,'Manual adjustments'!$A:$O,15,FALSE),BP21))</f>
        <v>177.44141791360238</v>
      </c>
      <c r="BW21" s="384">
        <f>'Price Adjustments'!$D$66</f>
        <v>0</v>
      </c>
      <c r="BX21" s="378">
        <f t="shared" si="34"/>
        <v>255.91470229130562</v>
      </c>
      <c r="BY21" s="378">
        <f t="shared" si="35"/>
        <v>255.91470229130562</v>
      </c>
      <c r="BZ21" s="378">
        <f t="shared" si="36"/>
        <v>174.65934955922725</v>
      </c>
      <c r="CA21" s="379">
        <f t="shared" si="37"/>
        <v>177.44141791360238</v>
      </c>
      <c r="CB21" s="615">
        <f t="shared" si="38"/>
        <v>0</v>
      </c>
      <c r="CC21" s="423">
        <f t="shared" si="39"/>
        <v>0</v>
      </c>
      <c r="CD21" s="423">
        <f t="shared" si="40"/>
        <v>0</v>
      </c>
      <c r="CE21" s="423">
        <f t="shared" si="41"/>
        <v>0</v>
      </c>
      <c r="CF21" s="298"/>
      <c r="CG21" s="388">
        <f t="shared" si="42"/>
        <v>256</v>
      </c>
      <c r="CH21" s="378">
        <f t="shared" si="43"/>
        <v>256</v>
      </c>
      <c r="CI21" s="378">
        <f t="shared" si="44"/>
        <v>175</v>
      </c>
      <c r="CJ21" s="379">
        <f t="shared" si="45"/>
        <v>177</v>
      </c>
      <c r="CM21" s="507"/>
      <c r="CN21" s="507"/>
      <c r="CO21" s="507"/>
      <c r="CP21" s="507"/>
    </row>
    <row r="22" spans="1:94" ht="16.5" customHeight="1">
      <c r="A22" s="296">
        <v>171</v>
      </c>
      <c r="B22" s="292" t="s">
        <v>15</v>
      </c>
      <c r="C22" s="293">
        <f>IF(ISERROR(VLOOKUP($A22,'Allocate OPROC cost'!A:M,11,FALSE)),"-",VLOOKUP($A22,'Allocate OPROC cost'!A:M,11,FALSE))</f>
        <v>156.34045804411707</v>
      </c>
      <c r="D22" s="140">
        <f>IF(ISERROR(VLOOKUP($A22,'Allocate OPROC cost'!A:M,10,FALSE)),"-",VLOOKUP($A22,'Allocate OPROC cost'!A:M,10,FALSE))</f>
        <v>133.6219827115888</v>
      </c>
      <c r="E22" s="140">
        <f>IF(ISERROR(VLOOKUP($A22,'Allocate OPROC cost'!A:M,13,FALSE)),"-",VLOOKUP($A22,'Allocate OPROC cost'!A:M,13,FALSE))</f>
        <v>121.51183631047218</v>
      </c>
      <c r="F22" s="294">
        <f>IF(ISERROR(VLOOKUP($A22,'Allocate OPROC cost'!A:M,12,FALSE)),"-",VLOOKUP($A22,'Allocate OPROC cost'!A:M,12,FALSE))</f>
        <v>130.10652299396656</v>
      </c>
      <c r="G22" s="298"/>
      <c r="H22" s="405">
        <f>IF(ISERROR(VLOOKUP($A22,'Allocate OPROC cost'!A:AO,39,FALSE)),"-",VLOOKUP($A22,'Allocate OPROC cost'!A:AO,39,FALSE))</f>
        <v>157.08120606552504</v>
      </c>
      <c r="I22" s="406">
        <f>IF(ISERROR(VLOOKUP($A22,'Allocate OPROC cost'!A:AO,38,FALSE)),"-",VLOOKUP($A22,'Allocate OPROC cost'!A:AO,38,FALSE))</f>
        <v>133.6219827115888</v>
      </c>
      <c r="J22" s="406">
        <f>IF(ISERROR(VLOOKUP($A22,'Allocate OPROC cost'!A:AO,41,FALSE)),"-",VLOOKUP($A22,'Allocate OPROC cost'!A:AO,41,FALSE))</f>
        <v>127.61270348534573</v>
      </c>
      <c r="K22" s="407">
        <f>IF(ISERROR(VLOOKUP($A22,'Allocate OPROC cost'!A:AO,40,FALSE)),"-",VLOOKUP($A22,'Allocate OPROC cost'!A:AO,40,FALSE))</f>
        <v>130.10652299396656</v>
      </c>
      <c r="L22" s="425">
        <f t="shared" si="0"/>
        <v>4.7380443339812839E-3</v>
      </c>
      <c r="M22" s="426">
        <f t="shared" si="1"/>
        <v>0</v>
      </c>
      <c r="N22" s="426">
        <f t="shared" si="2"/>
        <v>5.0208007385267095E-2</v>
      </c>
      <c r="O22" s="425">
        <f t="shared" si="3"/>
        <v>0</v>
      </c>
      <c r="P22" s="298"/>
      <c r="Q22" s="299">
        <f>IF(ISERROR(VLOOKUP($A22,'Front-loading'!$A:$AG,27,FALSE)),"-",VLOOKUP($A22,'Front-loading'!$A:$AG,27,FALSE))</f>
        <v>176.43996790221394</v>
      </c>
      <c r="R22" s="150">
        <f>IF(ISERROR(VLOOKUP($A22,'Front-loading'!$A:$AG,26,FALSE)),"-",VLOOKUP($A22,'Front-loading'!$A:$AG,26,FALSE))</f>
        <v>157.85989571794144</v>
      </c>
      <c r="S22" s="150">
        <f>IF(ISERROR(VLOOKUP($A22,'Front-loading'!$A:$AG,29,FALSE)),"-",VLOOKUP($A22,'Front-loading'!$A:$AG,29,FALSE))</f>
        <v>114.85143313681115</v>
      </c>
      <c r="T22" s="300">
        <f>IF(ISERROR(VLOOKUP($A22,'Front-loading'!$A:$AG,28,FALSE)),"-",VLOOKUP($A22,'Front-loading'!$A:$AG,28,FALSE))</f>
        <v>117.0958706945699</v>
      </c>
      <c r="U22" s="429">
        <f t="shared" si="4"/>
        <v>0.12324047110138414</v>
      </c>
      <c r="V22" s="430">
        <f t="shared" si="5"/>
        <v>0.18139165812760027</v>
      </c>
      <c r="W22" s="430">
        <f t="shared" si="6"/>
        <v>-0.10000000000000009</v>
      </c>
      <c r="X22" s="431">
        <f t="shared" si="7"/>
        <v>-0.10000000000000009</v>
      </c>
      <c r="Y22" s="298"/>
      <c r="Z22" s="152">
        <f>IF(ISERROR(VLOOKUP($A22,'Further adjustment'!$A:$BC,53,FALSE)),"-",VLOOKUP($A22,'Further adjustment'!$A:$BC,53,FALSE))</f>
        <v>176.08135545355367</v>
      </c>
      <c r="AA22" s="152">
        <f>IF(ISERROR(VLOOKUP($A22,'Further adjustment'!$A:$BC,52,FALSE)),"-",VLOOKUP($A22,'Further adjustment'!$A:$BC,52,FALSE))</f>
        <v>176.08135545355367</v>
      </c>
      <c r="AB22" s="152">
        <f>IF(ISERROR(VLOOKUP($A22,'Further adjustment'!$A:$BC,55,FALSE)),"-",VLOOKUP($A22,'Further adjustment'!$A:$BC,55,FALSE))</f>
        <v>114.85143313681115</v>
      </c>
      <c r="AC22" s="412">
        <f>IF(ISERROR(VLOOKUP($A22,'Further adjustment'!$A:$BC,54,FALSE)),"-",VLOOKUP($A22,'Further adjustment'!$A:$BC,54,FALSE))</f>
        <v>117.0958706945699</v>
      </c>
      <c r="AD22" s="435">
        <f t="shared" si="8"/>
        <v>-2.0324898770045507E-3</v>
      </c>
      <c r="AE22" s="436">
        <f t="shared" si="9"/>
        <v>0.11542804873107038</v>
      </c>
      <c r="AF22" s="436">
        <f t="shared" si="10"/>
        <v>0</v>
      </c>
      <c r="AG22" s="436">
        <f t="shared" si="11"/>
        <v>0</v>
      </c>
      <c r="AH22" s="298"/>
      <c r="AI22" s="347">
        <f>'Price Adjustments'!$H$7</f>
        <v>-4.2387925000000104E-2</v>
      </c>
      <c r="AJ22" s="467">
        <f>'Price Adjustments'!$G$91</f>
        <v>0</v>
      </c>
      <c r="AK22" s="352">
        <f t="shared" si="30"/>
        <v>168.61763216469006</v>
      </c>
      <c r="AL22" s="352">
        <f t="shared" si="31"/>
        <v>168.61763216469006</v>
      </c>
      <c r="AM22" s="352">
        <f t="shared" si="32"/>
        <v>109.98311920286548</v>
      </c>
      <c r="AN22" s="413">
        <f t="shared" si="33"/>
        <v>112.13241970975876</v>
      </c>
      <c r="AO22" s="439">
        <f t="shared" si="12"/>
        <v>-4.2387925000000215E-2</v>
      </c>
      <c r="AP22" s="440">
        <f t="shared" si="13"/>
        <v>-4.2387925000000215E-2</v>
      </c>
      <c r="AQ22" s="440">
        <f t="shared" si="14"/>
        <v>-4.2387925000000104E-2</v>
      </c>
      <c r="AR22" s="441">
        <f t="shared" si="15"/>
        <v>-4.2387924999999993E-2</v>
      </c>
      <c r="AS22" s="359">
        <f>'Price Adjustments'!$G$7</f>
        <v>0</v>
      </c>
      <c r="AT22" s="250">
        <f>IF(ISERROR(VLOOKUP($A22,'14-15 tariff'!$A:$F,3,FALSE)*(1+$AS$6)),"-",VLOOKUP($A22,'14-15 tariff'!$A:$F,3,FALSE)*(1+$AS$6))</f>
        <v>177</v>
      </c>
      <c r="AU22" s="250">
        <f>IF(ISERROR(VLOOKUP($A22,'14-15 tariff'!$A:$F,4,FALSE)*(1+$AS$6)),"-",VLOOKUP($A22,'14-15 tariff'!$A:$F,4,FALSE)*(1+$AS$6))</f>
        <v>288</v>
      </c>
      <c r="AV22" s="250">
        <f>IF(ISERROR(VLOOKUP($A22,'14-15 tariff'!$A:$F,5,FALSE)*(1+$AS$6)),"-",VLOOKUP($A22,'14-15 tariff'!$A:$F,5,FALSE)*(1+$AS$6))</f>
        <v>108</v>
      </c>
      <c r="AW22" s="250">
        <f>IF(ISERROR(VLOOKUP($A22,'14-15 tariff'!$A:$F,6,FALSE)*(1+$AS$6)),"-",VLOOKUP($A22,'14-15 tariff'!$A:$F,6,FALSE)*(1+$AS$6))</f>
        <v>176</v>
      </c>
      <c r="AX22" s="298"/>
      <c r="AY22" s="498" t="s">
        <v>522</v>
      </c>
      <c r="AZ22" s="499" t="s">
        <v>522</v>
      </c>
      <c r="BA22" s="499" t="s">
        <v>522</v>
      </c>
      <c r="BB22" s="499" t="s">
        <v>522</v>
      </c>
      <c r="BC22" s="339">
        <f t="shared" si="16"/>
        <v>168.61763216469006</v>
      </c>
      <c r="BD22" s="339">
        <f t="shared" si="17"/>
        <v>168.61763216469006</v>
      </c>
      <c r="BE22" s="339">
        <f t="shared" si="18"/>
        <v>109.98311920286548</v>
      </c>
      <c r="BF22" s="340">
        <f t="shared" si="19"/>
        <v>112.13241970975876</v>
      </c>
      <c r="BG22" s="265">
        <f t="shared" si="20"/>
        <v>-4.2387925000000215E-2</v>
      </c>
      <c r="BH22" s="265">
        <f t="shared" si="21"/>
        <v>-4.2387925000000215E-2</v>
      </c>
      <c r="BI22" s="265">
        <f t="shared" si="22"/>
        <v>-4.2387925000000104E-2</v>
      </c>
      <c r="BJ22" s="265">
        <f t="shared" si="23"/>
        <v>-4.2387924999999993E-2</v>
      </c>
      <c r="BK22" s="298"/>
      <c r="BL22" s="503">
        <f>'Price Adjustments'!$C$66</f>
        <v>-1.22128076562165E-2</v>
      </c>
      <c r="BM22" s="378">
        <f t="shared" si="24"/>
        <v>166.55833745561605</v>
      </c>
      <c r="BN22" s="378">
        <f t="shared" si="25"/>
        <v>166.55833745561605</v>
      </c>
      <c r="BO22" s="378">
        <f t="shared" si="26"/>
        <v>108.63991652261016</v>
      </c>
      <c r="BP22" s="506">
        <f t="shared" si="27"/>
        <v>110.76296803581735</v>
      </c>
      <c r="BQ22" s="298"/>
      <c r="BR22" s="618" t="str">
        <f>IF(COUNTIF('Manual adjustments'!$A:$A,A22)=1,"Y","")</f>
        <v/>
      </c>
      <c r="BS22" s="378">
        <f>IF($BR22="",BM22,IF(AND($BR22="Y",VLOOKUP($A22,'Manual adjustments'!$A:$O,12,FALSE)&lt;&gt;""),VLOOKUP($A22,'Manual adjustments'!$A:$O,12,FALSE),BM22))</f>
        <v>166.55833745561605</v>
      </c>
      <c r="BT22" s="378">
        <f>IF($BR22="",BN22,IF(AND($BR22="Y",VLOOKUP($A22,'Manual adjustments'!$A:$O,13,FALSE)&lt;&gt;""),VLOOKUP($A22,'Manual adjustments'!$A:$O,13,FALSE),BN22))</f>
        <v>166.55833745561605</v>
      </c>
      <c r="BU22" s="378">
        <f>IF($BR22="",BO22,IF(AND($BR22="Y",VLOOKUP($A22,'Manual adjustments'!$A:$O,14,FALSE)&lt;&gt;""),VLOOKUP($A22,'Manual adjustments'!$A:$O,14,FALSE),BO22))</f>
        <v>108.63991652261016</v>
      </c>
      <c r="BV22" s="378">
        <f>IF($BR22="",BP22,IF(AND($BR22="Y",VLOOKUP($A22,'Manual adjustments'!$A:$O,15,FALSE)&lt;&gt;""),VLOOKUP($A22,'Manual adjustments'!$A:$O,15,FALSE),BP22))</f>
        <v>110.76296803581735</v>
      </c>
      <c r="BW22" s="384">
        <f>'Price Adjustments'!$D$66</f>
        <v>0</v>
      </c>
      <c r="BX22" s="378">
        <f t="shared" si="34"/>
        <v>166.55833745561605</v>
      </c>
      <c r="BY22" s="378">
        <f t="shared" si="35"/>
        <v>166.55833745561605</v>
      </c>
      <c r="BZ22" s="378">
        <f t="shared" si="36"/>
        <v>108.63991652261016</v>
      </c>
      <c r="CA22" s="379">
        <f t="shared" si="37"/>
        <v>110.76296803581735</v>
      </c>
      <c r="CB22" s="615">
        <f t="shared" si="38"/>
        <v>0</v>
      </c>
      <c r="CC22" s="423">
        <f t="shared" si="39"/>
        <v>0</v>
      </c>
      <c r="CD22" s="423">
        <f t="shared" si="40"/>
        <v>0</v>
      </c>
      <c r="CE22" s="423">
        <f t="shared" si="41"/>
        <v>0</v>
      </c>
      <c r="CF22" s="298"/>
      <c r="CG22" s="388">
        <f t="shared" si="42"/>
        <v>167</v>
      </c>
      <c r="CH22" s="378">
        <f t="shared" si="43"/>
        <v>167</v>
      </c>
      <c r="CI22" s="378">
        <f t="shared" si="44"/>
        <v>109</v>
      </c>
      <c r="CJ22" s="379">
        <f t="shared" si="45"/>
        <v>111</v>
      </c>
      <c r="CM22" s="507"/>
      <c r="CN22" s="507"/>
      <c r="CO22" s="507"/>
      <c r="CP22" s="507"/>
    </row>
    <row r="23" spans="1:94" ht="16.5" customHeight="1">
      <c r="A23" s="296">
        <v>172</v>
      </c>
      <c r="B23" s="292" t="s">
        <v>16</v>
      </c>
      <c r="C23" s="293">
        <f>IF(ISERROR(VLOOKUP($A23,'Allocate OPROC cost'!A:M,11,FALSE)),"-",VLOOKUP($A23,'Allocate OPROC cost'!A:M,11,FALSE))</f>
        <v>265.65633148984534</v>
      </c>
      <c r="D23" s="140">
        <f>IF(ISERROR(VLOOKUP($A23,'Allocate OPROC cost'!A:M,10,FALSE)),"-",VLOOKUP($A23,'Allocate OPROC cost'!A:M,10,FALSE))</f>
        <v>109.96065138744412</v>
      </c>
      <c r="E23" s="140">
        <f>IF(ISERROR(VLOOKUP($A23,'Allocate OPROC cost'!A:M,13,FALSE)),"-",VLOOKUP($A23,'Allocate OPROC cost'!A:M,13,FALSE))</f>
        <v>222.09999418124286</v>
      </c>
      <c r="F23" s="294">
        <f>IF(ISERROR(VLOOKUP($A23,'Allocate OPROC cost'!A:M,12,FALSE)),"-",VLOOKUP($A23,'Allocate OPROC cost'!A:M,12,FALSE))</f>
        <v>148.38629872682287</v>
      </c>
      <c r="G23" s="298"/>
      <c r="H23" s="405">
        <f>IF(ISERROR(VLOOKUP($A23,'Allocate OPROC cost'!A:AO,39,FALSE)),"-",VLOOKUP($A23,'Allocate OPROC cost'!A:AO,39,FALSE))</f>
        <v>265.52312738672271</v>
      </c>
      <c r="I23" s="406">
        <f>IF(ISERROR(VLOOKUP($A23,'Allocate OPROC cost'!A:AO,38,FALSE)),"-",VLOOKUP($A23,'Allocate OPROC cost'!A:AO,38,FALSE))</f>
        <v>109.96065138744412</v>
      </c>
      <c r="J23" s="406">
        <f>IF(ISERROR(VLOOKUP($A23,'Allocate OPROC cost'!A:AO,41,FALSE)),"-",VLOOKUP($A23,'Allocate OPROC cost'!A:AO,41,FALSE))</f>
        <v>217.11173484788608</v>
      </c>
      <c r="K23" s="407">
        <f>IF(ISERROR(VLOOKUP($A23,'Allocate OPROC cost'!A:AO,40,FALSE)),"-",VLOOKUP($A23,'Allocate OPROC cost'!A:AO,40,FALSE))</f>
        <v>148.38629872682287</v>
      </c>
      <c r="L23" s="425">
        <f t="shared" si="0"/>
        <v>-5.0141512673762545E-4</v>
      </c>
      <c r="M23" s="426">
        <f t="shared" si="1"/>
        <v>0</v>
      </c>
      <c r="N23" s="426">
        <f t="shared" si="2"/>
        <v>-2.245952032437315E-2</v>
      </c>
      <c r="O23" s="425">
        <f t="shared" si="3"/>
        <v>0</v>
      </c>
      <c r="P23" s="298"/>
      <c r="Q23" s="299">
        <f>IF(ISERROR(VLOOKUP($A23,'Front-loading'!$A:$AG,27,FALSE)),"-",VLOOKUP($A23,'Front-loading'!$A:$AG,27,FALSE))</f>
        <v>304.16278903098862</v>
      </c>
      <c r="R23" s="150">
        <f>IF(ISERROR(VLOOKUP($A23,'Front-loading'!$A:$AG,26,FALSE)),"-",VLOOKUP($A23,'Front-loading'!$A:$AG,26,FALSE))</f>
        <v>141.50804603049107</v>
      </c>
      <c r="S23" s="150">
        <f>IF(ISERROR(VLOOKUP($A23,'Front-loading'!$A:$AG,29,FALSE)),"-",VLOOKUP($A23,'Front-loading'!$A:$AG,29,FALSE))</f>
        <v>195.40056136309747</v>
      </c>
      <c r="T23" s="300">
        <f>IF(ISERROR(VLOOKUP($A23,'Front-loading'!$A:$AG,28,FALSE)),"-",VLOOKUP($A23,'Front-loading'!$A:$AG,28,FALSE))</f>
        <v>133.54766885414057</v>
      </c>
      <c r="U23" s="429">
        <f t="shared" si="4"/>
        <v>0.14552277244004053</v>
      </c>
      <c r="V23" s="430">
        <f t="shared" si="5"/>
        <v>0.28689712406204615</v>
      </c>
      <c r="W23" s="430">
        <f t="shared" si="6"/>
        <v>-0.10000000000000009</v>
      </c>
      <c r="X23" s="431">
        <f t="shared" si="7"/>
        <v>-0.10000000000000009</v>
      </c>
      <c r="Y23" s="298"/>
      <c r="Z23" s="152">
        <f>IF(ISERROR(VLOOKUP($A23,'Further adjustment'!$A:$BC,53,FALSE)),"-",VLOOKUP($A23,'Further adjustment'!$A:$BC,53,FALSE))</f>
        <v>291.10456375878533</v>
      </c>
      <c r="AA23" s="152">
        <f>IF(ISERROR(VLOOKUP($A23,'Further adjustment'!$A:$BC,52,FALSE)),"-",VLOOKUP($A23,'Further adjustment'!$A:$BC,52,FALSE))</f>
        <v>291.10456375878533</v>
      </c>
      <c r="AB23" s="152">
        <f>IF(ISERROR(VLOOKUP($A23,'Further adjustment'!$A:$BC,55,FALSE)),"-",VLOOKUP($A23,'Further adjustment'!$A:$BC,55,FALSE))</f>
        <v>189.55986106420423</v>
      </c>
      <c r="AC23" s="412">
        <f>IF(ISERROR(VLOOKUP($A23,'Further adjustment'!$A:$BC,54,FALSE)),"-",VLOOKUP($A23,'Further adjustment'!$A:$BC,54,FALSE))</f>
        <v>189.55986106420423</v>
      </c>
      <c r="AD23" s="435">
        <f t="shared" si="8"/>
        <v>-4.293169888994175E-2</v>
      </c>
      <c r="AE23" s="436">
        <f t="shared" si="9"/>
        <v>1.0571590939504625</v>
      </c>
      <c r="AF23" s="436">
        <f t="shared" si="10"/>
        <v>-2.9890908491505996E-2</v>
      </c>
      <c r="AG23" s="436">
        <f t="shared" si="11"/>
        <v>0.41941722151091687</v>
      </c>
      <c r="AH23" s="298"/>
      <c r="AI23" s="347">
        <f>'Price Adjustments'!$H$7</f>
        <v>-4.2387925000000104E-2</v>
      </c>
      <c r="AJ23" s="467">
        <f>'Price Adjustments'!$G$91</f>
        <v>0</v>
      </c>
      <c r="AK23" s="352">
        <f t="shared" si="30"/>
        <v>278.76524534302018</v>
      </c>
      <c r="AL23" s="352">
        <f t="shared" si="31"/>
        <v>278.76524534302018</v>
      </c>
      <c r="AM23" s="352">
        <f t="shared" si="32"/>
        <v>181.52481189040429</v>
      </c>
      <c r="AN23" s="413">
        <f t="shared" si="33"/>
        <v>181.52481189040429</v>
      </c>
      <c r="AO23" s="439">
        <f t="shared" si="12"/>
        <v>-4.2387925000000104E-2</v>
      </c>
      <c r="AP23" s="440">
        <f t="shared" si="13"/>
        <v>-4.2387925000000104E-2</v>
      </c>
      <c r="AQ23" s="440">
        <f t="shared" si="14"/>
        <v>-4.2387925000000104E-2</v>
      </c>
      <c r="AR23" s="441">
        <f t="shared" si="15"/>
        <v>-4.2387925000000104E-2</v>
      </c>
      <c r="AS23" s="359">
        <f>'Price Adjustments'!$G$7</f>
        <v>0</v>
      </c>
      <c r="AT23" s="250">
        <f>IF(ISERROR(VLOOKUP($A23,'14-15 tariff'!$A:$F,3,FALSE)*(1+$AS$6)),"-",VLOOKUP($A23,'14-15 tariff'!$A:$F,3,FALSE)*(1+$AS$6))</f>
        <v>268</v>
      </c>
      <c r="AU23" s="250">
        <f>IF(ISERROR(VLOOKUP($A23,'14-15 tariff'!$A:$F,4,FALSE)*(1+$AS$6)),"-",VLOOKUP($A23,'14-15 tariff'!$A:$F,4,FALSE)*(1+$AS$6))</f>
        <v>268</v>
      </c>
      <c r="AV23" s="250">
        <f>IF(ISERROR(VLOOKUP($A23,'14-15 tariff'!$A:$F,5,FALSE)*(1+$AS$6)),"-",VLOOKUP($A23,'14-15 tariff'!$A:$F,5,FALSE)*(1+$AS$6))</f>
        <v>151</v>
      </c>
      <c r="AW23" s="250">
        <f>IF(ISERROR(VLOOKUP($A23,'14-15 tariff'!$A:$F,6,FALSE)*(1+$AS$6)),"-",VLOOKUP($A23,'14-15 tariff'!$A:$F,6,FALSE)*(1+$AS$6))</f>
        <v>229</v>
      </c>
      <c r="AX23" s="298"/>
      <c r="AY23" s="498" t="s">
        <v>522</v>
      </c>
      <c r="AZ23" s="499" t="s">
        <v>522</v>
      </c>
      <c r="BA23" s="499" t="s">
        <v>522</v>
      </c>
      <c r="BB23" s="499" t="s">
        <v>522</v>
      </c>
      <c r="BC23" s="339">
        <f t="shared" si="16"/>
        <v>278.76524534302018</v>
      </c>
      <c r="BD23" s="339">
        <f t="shared" si="17"/>
        <v>278.76524534302018</v>
      </c>
      <c r="BE23" s="339">
        <f t="shared" si="18"/>
        <v>181.52481189040429</v>
      </c>
      <c r="BF23" s="340">
        <f t="shared" si="19"/>
        <v>181.52481189040429</v>
      </c>
      <c r="BG23" s="265">
        <f t="shared" si="20"/>
        <v>-4.2387925000000104E-2</v>
      </c>
      <c r="BH23" s="265">
        <f t="shared" si="21"/>
        <v>-4.2387925000000104E-2</v>
      </c>
      <c r="BI23" s="265">
        <f t="shared" si="22"/>
        <v>-4.2387925000000104E-2</v>
      </c>
      <c r="BJ23" s="265">
        <f t="shared" si="23"/>
        <v>-4.2387925000000104E-2</v>
      </c>
      <c r="BK23" s="298"/>
      <c r="BL23" s="503">
        <f>'Price Adjustments'!$C$66</f>
        <v>-1.22128076562165E-2</v>
      </c>
      <c r="BM23" s="378">
        <f t="shared" si="24"/>
        <v>275.36073902040789</v>
      </c>
      <c r="BN23" s="378">
        <f t="shared" si="25"/>
        <v>275.36073902040789</v>
      </c>
      <c r="BO23" s="378">
        <f t="shared" si="26"/>
        <v>179.30788427795591</v>
      </c>
      <c r="BP23" s="506">
        <f t="shared" si="27"/>
        <v>179.30788427795591</v>
      </c>
      <c r="BQ23" s="298"/>
      <c r="BR23" s="618" t="str">
        <f>IF(COUNTIF('Manual adjustments'!$A:$A,A23)=1,"Y","")</f>
        <v/>
      </c>
      <c r="BS23" s="378">
        <f>IF($BR23="",BM23,IF(AND($BR23="Y",VLOOKUP($A23,'Manual adjustments'!$A:$O,12,FALSE)&lt;&gt;""),VLOOKUP($A23,'Manual adjustments'!$A:$O,12,FALSE),BM23))</f>
        <v>275.36073902040789</v>
      </c>
      <c r="BT23" s="378">
        <f>IF($BR23="",BN23,IF(AND($BR23="Y",VLOOKUP($A23,'Manual adjustments'!$A:$O,13,FALSE)&lt;&gt;""),VLOOKUP($A23,'Manual adjustments'!$A:$O,13,FALSE),BN23))</f>
        <v>275.36073902040789</v>
      </c>
      <c r="BU23" s="378">
        <f>IF($BR23="",BO23,IF(AND($BR23="Y",VLOOKUP($A23,'Manual adjustments'!$A:$O,14,FALSE)&lt;&gt;""),VLOOKUP($A23,'Manual adjustments'!$A:$O,14,FALSE),BO23))</f>
        <v>179.30788427795591</v>
      </c>
      <c r="BV23" s="378">
        <f>IF($BR23="",BP23,IF(AND($BR23="Y",VLOOKUP($A23,'Manual adjustments'!$A:$O,15,FALSE)&lt;&gt;""),VLOOKUP($A23,'Manual adjustments'!$A:$O,15,FALSE),BP23))</f>
        <v>179.30788427795591</v>
      </c>
      <c r="BW23" s="384">
        <f>'Price Adjustments'!$D$66</f>
        <v>0</v>
      </c>
      <c r="BX23" s="378">
        <f t="shared" si="34"/>
        <v>275.36073902040789</v>
      </c>
      <c r="BY23" s="378">
        <f t="shared" si="35"/>
        <v>275.36073902040789</v>
      </c>
      <c r="BZ23" s="378">
        <f t="shared" si="36"/>
        <v>179.30788427795591</v>
      </c>
      <c r="CA23" s="379">
        <f t="shared" si="37"/>
        <v>179.30788427795591</v>
      </c>
      <c r="CB23" s="615">
        <f t="shared" si="38"/>
        <v>0</v>
      </c>
      <c r="CC23" s="423">
        <f t="shared" si="39"/>
        <v>0</v>
      </c>
      <c r="CD23" s="423">
        <f t="shared" si="40"/>
        <v>0</v>
      </c>
      <c r="CE23" s="423">
        <f t="shared" si="41"/>
        <v>0</v>
      </c>
      <c r="CF23" s="298"/>
      <c r="CG23" s="388">
        <f t="shared" si="42"/>
        <v>275</v>
      </c>
      <c r="CH23" s="378">
        <f t="shared" si="43"/>
        <v>275</v>
      </c>
      <c r="CI23" s="378">
        <f t="shared" si="44"/>
        <v>179</v>
      </c>
      <c r="CJ23" s="379">
        <f t="shared" si="45"/>
        <v>179</v>
      </c>
      <c r="CM23" s="507"/>
      <c r="CN23" s="507"/>
      <c r="CO23" s="507"/>
      <c r="CP23" s="507"/>
    </row>
    <row r="24" spans="1:94" ht="16.5" customHeight="1">
      <c r="A24" s="296">
        <v>173</v>
      </c>
      <c r="B24" s="292" t="s">
        <v>17</v>
      </c>
      <c r="C24" s="293">
        <f>IF(ISERROR(VLOOKUP($A24,'Allocate OPROC cost'!A:M,11,FALSE)),"-",VLOOKUP($A24,'Allocate OPROC cost'!A:M,11,FALSE))</f>
        <v>242.4767616091053</v>
      </c>
      <c r="D24" s="140">
        <f>IF(ISERROR(VLOOKUP($A24,'Allocate OPROC cost'!A:M,10,FALSE)),"-",VLOOKUP($A24,'Allocate OPROC cost'!A:M,10,FALSE))</f>
        <v>210.23785520069367</v>
      </c>
      <c r="E24" s="140">
        <f>IF(ISERROR(VLOOKUP($A24,'Allocate OPROC cost'!A:M,13,FALSE)),"-",VLOOKUP($A24,'Allocate OPROC cost'!A:M,13,FALSE))</f>
        <v>197.11256371746211</v>
      </c>
      <c r="F24" s="294">
        <f>IF(ISERROR(VLOOKUP($A24,'Allocate OPROC cost'!A:M,12,FALSE)),"-",VLOOKUP($A24,'Allocate OPROC cost'!A:M,12,FALSE))</f>
        <v>123.23632513611102</v>
      </c>
      <c r="G24" s="298"/>
      <c r="H24" s="405">
        <f>IF(ISERROR(VLOOKUP($A24,'Allocate OPROC cost'!A:AO,39,FALSE)),"-",VLOOKUP($A24,'Allocate OPROC cost'!A:AO,39,FALSE))</f>
        <v>241.67523437498789</v>
      </c>
      <c r="I24" s="406">
        <f>IF(ISERROR(VLOOKUP($A24,'Allocate OPROC cost'!A:AO,38,FALSE)),"-",VLOOKUP($A24,'Allocate OPROC cost'!A:AO,38,FALSE))</f>
        <v>210.23785520069367</v>
      </c>
      <c r="J24" s="406">
        <f>IF(ISERROR(VLOOKUP($A24,'Allocate OPROC cost'!A:AO,41,FALSE)),"-",VLOOKUP($A24,'Allocate OPROC cost'!A:AO,41,FALSE))</f>
        <v>196.88619585427023</v>
      </c>
      <c r="K24" s="407">
        <f>IF(ISERROR(VLOOKUP($A24,'Allocate OPROC cost'!A:AO,40,FALSE)),"-",VLOOKUP($A24,'Allocate OPROC cost'!A:AO,40,FALSE))</f>
        <v>123.23632513611102</v>
      </c>
      <c r="L24" s="425">
        <f t="shared" si="0"/>
        <v>-3.3055837136655164E-3</v>
      </c>
      <c r="M24" s="426">
        <f t="shared" si="1"/>
        <v>0</v>
      </c>
      <c r="N24" s="426">
        <f t="shared" si="2"/>
        <v>-1.1484192530535342E-3</v>
      </c>
      <c r="O24" s="425">
        <f t="shared" si="3"/>
        <v>0</v>
      </c>
      <c r="P24" s="298"/>
      <c r="Q24" s="299">
        <f>IF(ISERROR(VLOOKUP($A24,'Front-loading'!$A:$AG,27,FALSE)),"-",VLOOKUP($A24,'Front-loading'!$A:$AG,27,FALSE))</f>
        <v>288.7112787312584</v>
      </c>
      <c r="R24" s="150">
        <f>IF(ISERROR(VLOOKUP($A24,'Front-loading'!$A:$AG,26,FALSE)),"-",VLOOKUP($A24,'Front-loading'!$A:$AG,26,FALSE))</f>
        <v>273.4634480966115</v>
      </c>
      <c r="S24" s="150">
        <f>IF(ISERROR(VLOOKUP($A24,'Front-loading'!$A:$AG,29,FALSE)),"-",VLOOKUP($A24,'Front-loading'!$A:$AG,29,FALSE))</f>
        <v>177.19757626884322</v>
      </c>
      <c r="T24" s="300">
        <f>IF(ISERROR(VLOOKUP($A24,'Front-loading'!$A:$AG,28,FALSE)),"-",VLOOKUP($A24,'Front-loading'!$A:$AG,28,FALSE))</f>
        <v>110.91269262249992</v>
      </c>
      <c r="U24" s="429">
        <f t="shared" si="4"/>
        <v>0.19462500772126479</v>
      </c>
      <c r="V24" s="430">
        <f t="shared" si="5"/>
        <v>0.30073362780248347</v>
      </c>
      <c r="W24" s="430">
        <f t="shared" si="6"/>
        <v>-9.9999999999999867E-2</v>
      </c>
      <c r="X24" s="431">
        <f t="shared" si="7"/>
        <v>-9.9999999999999978E-2</v>
      </c>
      <c r="Y24" s="298"/>
      <c r="Z24" s="152">
        <f>IF(ISERROR(VLOOKUP($A24,'Further adjustment'!$A:$BC,53,FALSE)),"-",VLOOKUP($A24,'Further adjustment'!$A:$BC,53,FALSE))</f>
        <v>285.79612557172294</v>
      </c>
      <c r="AA24" s="152">
        <f>IF(ISERROR(VLOOKUP($A24,'Further adjustment'!$A:$BC,52,FALSE)),"-",VLOOKUP($A24,'Further adjustment'!$A:$BC,52,FALSE))</f>
        <v>287.96572185598217</v>
      </c>
      <c r="AB24" s="152">
        <f>IF(ISERROR(VLOOKUP($A24,'Further adjustment'!$A:$BC,55,FALSE)),"-",VLOOKUP($A24,'Further adjustment'!$A:$BC,55,FALSE))</f>
        <v>175.75691775418019</v>
      </c>
      <c r="AC24" s="412">
        <f>IF(ISERROR(VLOOKUP($A24,'Further adjustment'!$A:$BC,54,FALSE)),"-",VLOOKUP($A24,'Further adjustment'!$A:$BC,54,FALSE))</f>
        <v>176.77904316400921</v>
      </c>
      <c r="AD24" s="435">
        <f t="shared" si="8"/>
        <v>-1.0097122538288428E-2</v>
      </c>
      <c r="AE24" s="436">
        <f t="shared" si="9"/>
        <v>5.3031854386064614E-2</v>
      </c>
      <c r="AF24" s="436">
        <f t="shared" si="10"/>
        <v>-8.1302382628375414E-3</v>
      </c>
      <c r="AG24" s="436">
        <f t="shared" si="11"/>
        <v>0.59385764590253531</v>
      </c>
      <c r="AH24" s="298"/>
      <c r="AI24" s="347">
        <f>'Price Adjustments'!$H$7</f>
        <v>-4.2387925000000104E-2</v>
      </c>
      <c r="AJ24" s="467">
        <f>'Price Adjustments'!$G$91</f>
        <v>0</v>
      </c>
      <c r="AK24" s="352">
        <f t="shared" si="30"/>
        <v>273.68182083569815</v>
      </c>
      <c r="AL24" s="352">
        <f t="shared" si="31"/>
        <v>275.7594524353799</v>
      </c>
      <c r="AM24" s="352">
        <f t="shared" si="32"/>
        <v>168.30694670618482</v>
      </c>
      <c r="AN24" s="413">
        <f t="shared" si="33"/>
        <v>169.28574634080141</v>
      </c>
      <c r="AO24" s="439">
        <f t="shared" si="12"/>
        <v>-4.2387925000000104E-2</v>
      </c>
      <c r="AP24" s="440">
        <f t="shared" si="13"/>
        <v>-4.2387925000000104E-2</v>
      </c>
      <c r="AQ24" s="440">
        <f t="shared" si="14"/>
        <v>-4.2387925000000104E-2</v>
      </c>
      <c r="AR24" s="441">
        <f t="shared" si="15"/>
        <v>-4.2387925000000104E-2</v>
      </c>
      <c r="AS24" s="359">
        <f>'Price Adjustments'!$G$7</f>
        <v>0</v>
      </c>
      <c r="AT24" s="250">
        <f>IF(ISERROR(VLOOKUP($A24,'14-15 tariff'!$A:$F,3,FALSE)*(1+$AS$6)),"-",VLOOKUP($A24,'14-15 tariff'!$A:$F,3,FALSE)*(1+$AS$6))</f>
        <v>227</v>
      </c>
      <c r="AU24" s="250">
        <f>IF(ISERROR(VLOOKUP($A24,'14-15 tariff'!$A:$F,4,FALSE)*(1+$AS$6)),"-",VLOOKUP($A24,'14-15 tariff'!$A:$F,4,FALSE)*(1+$AS$6))</f>
        <v>227</v>
      </c>
      <c r="AV24" s="250">
        <f>IF(ISERROR(VLOOKUP($A24,'14-15 tariff'!$A:$F,5,FALSE)*(1+$AS$6)),"-",VLOOKUP($A24,'14-15 tariff'!$A:$F,5,FALSE)*(1+$AS$6))</f>
        <v>146</v>
      </c>
      <c r="AW24" s="250">
        <f>IF(ISERROR(VLOOKUP($A24,'14-15 tariff'!$A:$F,6,FALSE)*(1+$AS$6)),"-",VLOOKUP($A24,'14-15 tariff'!$A:$F,6,FALSE)*(1+$AS$6))</f>
        <v>155</v>
      </c>
      <c r="AX24" s="298"/>
      <c r="AY24" s="498" t="s">
        <v>522</v>
      </c>
      <c r="AZ24" s="499" t="s">
        <v>522</v>
      </c>
      <c r="BA24" s="499" t="s">
        <v>522</v>
      </c>
      <c r="BB24" s="499" t="s">
        <v>522</v>
      </c>
      <c r="BC24" s="339">
        <f t="shared" si="16"/>
        <v>273.68182083569815</v>
      </c>
      <c r="BD24" s="339">
        <f t="shared" si="17"/>
        <v>275.7594524353799</v>
      </c>
      <c r="BE24" s="339">
        <f t="shared" si="18"/>
        <v>168.30694670618482</v>
      </c>
      <c r="BF24" s="340">
        <f t="shared" si="19"/>
        <v>169.28574634080141</v>
      </c>
      <c r="BG24" s="265">
        <f t="shared" si="20"/>
        <v>-4.2387925000000104E-2</v>
      </c>
      <c r="BH24" s="265">
        <f t="shared" si="21"/>
        <v>-4.2387925000000104E-2</v>
      </c>
      <c r="BI24" s="265">
        <f t="shared" si="22"/>
        <v>-4.2387925000000104E-2</v>
      </c>
      <c r="BJ24" s="265">
        <f t="shared" si="23"/>
        <v>-4.2387925000000104E-2</v>
      </c>
      <c r="BK24" s="298"/>
      <c r="BL24" s="503">
        <f>'Price Adjustments'!$C$66</f>
        <v>-1.22128076562165E-2</v>
      </c>
      <c r="BM24" s="378">
        <f t="shared" si="24"/>
        <v>270.33939739882868</v>
      </c>
      <c r="BN24" s="378">
        <f t="shared" si="25"/>
        <v>272.39165528340305</v>
      </c>
      <c r="BO24" s="378">
        <f t="shared" si="26"/>
        <v>166.25144633885711</v>
      </c>
      <c r="BP24" s="506">
        <f t="shared" si="27"/>
        <v>167.21829208180216</v>
      </c>
      <c r="BQ24" s="298"/>
      <c r="BR24" s="618" t="str">
        <f>IF(COUNTIF('Manual adjustments'!$A:$A,A24)=1,"Y","")</f>
        <v/>
      </c>
      <c r="BS24" s="378">
        <f>IF($BR24="",BM24,IF(AND($BR24="Y",VLOOKUP($A24,'Manual adjustments'!$A:$O,12,FALSE)&lt;&gt;""),VLOOKUP($A24,'Manual adjustments'!$A:$O,12,FALSE),BM24))</f>
        <v>270.33939739882868</v>
      </c>
      <c r="BT24" s="378">
        <f>IF($BR24="",BN24,IF(AND($BR24="Y",VLOOKUP($A24,'Manual adjustments'!$A:$O,13,FALSE)&lt;&gt;""),VLOOKUP($A24,'Manual adjustments'!$A:$O,13,FALSE),BN24))</f>
        <v>272.39165528340305</v>
      </c>
      <c r="BU24" s="378">
        <f>IF($BR24="",BO24,IF(AND($BR24="Y",VLOOKUP($A24,'Manual adjustments'!$A:$O,14,FALSE)&lt;&gt;""),VLOOKUP($A24,'Manual adjustments'!$A:$O,14,FALSE),BO24))</f>
        <v>166.25144633885711</v>
      </c>
      <c r="BV24" s="378">
        <f>IF($BR24="",BP24,IF(AND($BR24="Y",VLOOKUP($A24,'Manual adjustments'!$A:$O,15,FALSE)&lt;&gt;""),VLOOKUP($A24,'Manual adjustments'!$A:$O,15,FALSE),BP24))</f>
        <v>167.21829208180216</v>
      </c>
      <c r="BW24" s="384">
        <f>'Price Adjustments'!$D$66</f>
        <v>0</v>
      </c>
      <c r="BX24" s="378">
        <f t="shared" si="34"/>
        <v>270.33939739882868</v>
      </c>
      <c r="BY24" s="378">
        <f t="shared" si="35"/>
        <v>272.39165528340305</v>
      </c>
      <c r="BZ24" s="378">
        <f t="shared" si="36"/>
        <v>166.25144633885711</v>
      </c>
      <c r="CA24" s="379">
        <f t="shared" si="37"/>
        <v>167.21829208180216</v>
      </c>
      <c r="CB24" s="615">
        <f t="shared" si="38"/>
        <v>0</v>
      </c>
      <c r="CC24" s="423">
        <f t="shared" si="39"/>
        <v>0</v>
      </c>
      <c r="CD24" s="423">
        <f t="shared" si="40"/>
        <v>0</v>
      </c>
      <c r="CE24" s="423">
        <f t="shared" si="41"/>
        <v>0</v>
      </c>
      <c r="CF24" s="298"/>
      <c r="CG24" s="388">
        <f t="shared" si="42"/>
        <v>270</v>
      </c>
      <c r="CH24" s="378">
        <f t="shared" si="43"/>
        <v>272</v>
      </c>
      <c r="CI24" s="378">
        <f t="shared" si="44"/>
        <v>166</v>
      </c>
      <c r="CJ24" s="379">
        <f t="shared" si="45"/>
        <v>167</v>
      </c>
      <c r="CM24" s="507"/>
      <c r="CN24" s="507"/>
      <c r="CO24" s="507"/>
      <c r="CP24" s="507"/>
    </row>
    <row r="25" spans="1:94" ht="16.5" customHeight="1">
      <c r="A25" s="296">
        <v>190</v>
      </c>
      <c r="B25" s="292" t="s">
        <v>18</v>
      </c>
      <c r="C25" s="293">
        <f>IF(ISERROR(VLOOKUP($A25,'Allocate OPROC cost'!A:M,11,FALSE)),"-",VLOOKUP($A25,'Allocate OPROC cost'!A:M,11,FALSE))</f>
        <v>81.997051623229979</v>
      </c>
      <c r="D25" s="140">
        <f>IF(ISERROR(VLOOKUP($A25,'Allocate OPROC cost'!A:M,10,FALSE)),"-",VLOOKUP($A25,'Allocate OPROC cost'!A:M,10,FALSE))</f>
        <v>277.66629519845799</v>
      </c>
      <c r="E25" s="140">
        <f>IF(ISERROR(VLOOKUP($A25,'Allocate OPROC cost'!A:M,13,FALSE)),"-",VLOOKUP($A25,'Allocate OPROC cost'!A:M,13,FALSE))</f>
        <v>70.079117974245648</v>
      </c>
      <c r="F25" s="294">
        <f>IF(ISERROR(VLOOKUP($A25,'Allocate OPROC cost'!A:M,12,FALSE)),"-",VLOOKUP($A25,'Allocate OPROC cost'!A:M,12,FALSE))</f>
        <v>95.628584907884274</v>
      </c>
      <c r="G25" s="298"/>
      <c r="H25" s="405">
        <f>IF(ISERROR(VLOOKUP($A25,'Allocate OPROC cost'!A:AO,39,FALSE)),"-",VLOOKUP($A25,'Allocate OPROC cost'!A:AO,39,FALSE))</f>
        <v>82.089371987383402</v>
      </c>
      <c r="I25" s="406">
        <f>IF(ISERROR(VLOOKUP($A25,'Allocate OPROC cost'!A:AO,38,FALSE)),"-",VLOOKUP($A25,'Allocate OPROC cost'!A:AO,38,FALSE))</f>
        <v>277.66629519845799</v>
      </c>
      <c r="J25" s="406">
        <f>IF(ISERROR(VLOOKUP($A25,'Allocate OPROC cost'!A:AO,41,FALSE)),"-",VLOOKUP($A25,'Allocate OPROC cost'!A:AO,41,FALSE))</f>
        <v>70.155525120057973</v>
      </c>
      <c r="K25" s="407">
        <f>IF(ISERROR(VLOOKUP($A25,'Allocate OPROC cost'!A:AO,40,FALSE)),"-",VLOOKUP($A25,'Allocate OPROC cost'!A:AO,40,FALSE))</f>
        <v>95.628584907884274</v>
      </c>
      <c r="L25" s="425">
        <f t="shared" si="0"/>
        <v>1.1258985820323808E-3</v>
      </c>
      <c r="M25" s="426">
        <f t="shared" si="1"/>
        <v>0</v>
      </c>
      <c r="N25" s="426">
        <f t="shared" si="2"/>
        <v>1.0902983373792807E-3</v>
      </c>
      <c r="O25" s="425">
        <f t="shared" si="3"/>
        <v>0</v>
      </c>
      <c r="P25" s="298"/>
      <c r="Q25" s="299">
        <f>IF(ISERROR(VLOOKUP($A25,'Front-loading'!$A:$AG,27,FALSE)),"-",VLOOKUP($A25,'Front-loading'!$A:$AG,27,FALSE))</f>
        <v>98.25381317636392</v>
      </c>
      <c r="R25" s="150">
        <f>IF(ISERROR(VLOOKUP($A25,'Front-loading'!$A:$AG,26,FALSE)),"-",VLOOKUP($A25,'Front-loading'!$A:$AG,26,FALSE))</f>
        <v>416.49944279768698</v>
      </c>
      <c r="S25" s="150">
        <f>IF(ISERROR(VLOOKUP($A25,'Front-loading'!$A:$AG,29,FALSE)),"-",VLOOKUP($A25,'Front-loading'!$A:$AG,29,FALSE))</f>
        <v>63.139972608052169</v>
      </c>
      <c r="T25" s="300">
        <f>IF(ISERROR(VLOOKUP($A25,'Front-loading'!$A:$AG,28,FALSE)),"-",VLOOKUP($A25,'Front-loading'!$A:$AG,28,FALSE))</f>
        <v>86.065726417095846</v>
      </c>
      <c r="U25" s="429">
        <f t="shared" si="4"/>
        <v>0.1969127159538373</v>
      </c>
      <c r="V25" s="430">
        <f t="shared" si="5"/>
        <v>0.5</v>
      </c>
      <c r="W25" s="430">
        <f t="shared" si="6"/>
        <v>-0.10000000000000009</v>
      </c>
      <c r="X25" s="431">
        <f t="shared" si="7"/>
        <v>-9.9999999999999978E-2</v>
      </c>
      <c r="Y25" s="298"/>
      <c r="Z25" s="152">
        <f>IF(ISERROR(VLOOKUP($A25,'Further adjustment'!$A:$BC,53,FALSE)),"-",VLOOKUP($A25,'Further adjustment'!$A:$BC,53,FALSE))</f>
        <v>98.252951708112491</v>
      </c>
      <c r="AA25" s="152">
        <f>IF(ISERROR(VLOOKUP($A25,'Further adjustment'!$A:$BC,52,FALSE)),"-",VLOOKUP($A25,'Further adjustment'!$A:$BC,52,FALSE))</f>
        <v>98.252951708112491</v>
      </c>
      <c r="AB25" s="152">
        <f>IF(ISERROR(VLOOKUP($A25,'Further adjustment'!$A:$BC,55,FALSE)),"-",VLOOKUP($A25,'Further adjustment'!$A:$BC,55,FALSE))</f>
        <v>63.139972608052169</v>
      </c>
      <c r="AC25" s="412">
        <f>IF(ISERROR(VLOOKUP($A25,'Further adjustment'!$A:$BC,54,FALSE)),"-",VLOOKUP($A25,'Further adjustment'!$A:$BC,54,FALSE))</f>
        <v>87.552826850851886</v>
      </c>
      <c r="AD25" s="435">
        <f t="shared" si="8"/>
        <v>-8.7677844103906111E-6</v>
      </c>
      <c r="AE25" s="436">
        <f t="shared" si="9"/>
        <v>-0.76409823972840585</v>
      </c>
      <c r="AF25" s="436">
        <f t="shared" si="10"/>
        <v>0</v>
      </c>
      <c r="AG25" s="436">
        <f t="shared" si="11"/>
        <v>1.7278660108545285E-2</v>
      </c>
      <c r="AH25" s="298"/>
      <c r="AI25" s="347">
        <f>'Price Adjustments'!$H$7</f>
        <v>-4.2387925000000104E-2</v>
      </c>
      <c r="AJ25" s="467">
        <f>'Price Adjustments'!$G$91</f>
        <v>0</v>
      </c>
      <c r="AK25" s="352">
        <f t="shared" si="30"/>
        <v>94.088212960080384</v>
      </c>
      <c r="AL25" s="352">
        <f t="shared" si="31"/>
        <v>94.088212960080384</v>
      </c>
      <c r="AM25" s="352">
        <f t="shared" si="32"/>
        <v>60.463600184639994</v>
      </c>
      <c r="AN25" s="413">
        <f t="shared" si="33"/>
        <v>83.841644192759986</v>
      </c>
      <c r="AO25" s="439">
        <f t="shared" si="12"/>
        <v>-4.2387925000000104E-2</v>
      </c>
      <c r="AP25" s="440">
        <f t="shared" si="13"/>
        <v>-4.2387925000000104E-2</v>
      </c>
      <c r="AQ25" s="440">
        <f t="shared" si="14"/>
        <v>-4.2387925000000104E-2</v>
      </c>
      <c r="AR25" s="441">
        <f t="shared" si="15"/>
        <v>-4.2387924999999993E-2</v>
      </c>
      <c r="AS25" s="359">
        <f>'Price Adjustments'!$G$7</f>
        <v>0</v>
      </c>
      <c r="AT25" s="250">
        <f>IF(ISERROR(VLOOKUP($A25,'14-15 tariff'!$A:$F,3,FALSE)*(1+$AS$6)),"-",VLOOKUP($A25,'14-15 tariff'!$A:$F,3,FALSE)*(1+$AS$6))</f>
        <v>125</v>
      </c>
      <c r="AU25" s="250">
        <f>IF(ISERROR(VLOOKUP($A25,'14-15 tariff'!$A:$F,4,FALSE)*(1+$AS$6)),"-",VLOOKUP($A25,'14-15 tariff'!$A:$F,4,FALSE)*(1+$AS$6))</f>
        <v>125</v>
      </c>
      <c r="AV25" s="250">
        <f>IF(ISERROR(VLOOKUP($A25,'14-15 tariff'!$A:$F,5,FALSE)*(1+$AS$6)),"-",VLOOKUP($A25,'14-15 tariff'!$A:$F,5,FALSE)*(1+$AS$6))</f>
        <v>65</v>
      </c>
      <c r="AW25" s="250">
        <f>IF(ISERROR(VLOOKUP($A25,'14-15 tariff'!$A:$F,6,FALSE)*(1+$AS$6)),"-",VLOOKUP($A25,'14-15 tariff'!$A:$F,6,FALSE)*(1+$AS$6))</f>
        <v>95</v>
      </c>
      <c r="AX25" s="298"/>
      <c r="AY25" s="498" t="s">
        <v>522</v>
      </c>
      <c r="AZ25" s="499" t="s">
        <v>522</v>
      </c>
      <c r="BA25" s="499" t="s">
        <v>522</v>
      </c>
      <c r="BB25" s="499" t="s">
        <v>522</v>
      </c>
      <c r="BC25" s="339">
        <f t="shared" si="16"/>
        <v>94.088212960080384</v>
      </c>
      <c r="BD25" s="339">
        <f t="shared" si="17"/>
        <v>94.088212960080384</v>
      </c>
      <c r="BE25" s="339">
        <f t="shared" si="18"/>
        <v>60.463600184639994</v>
      </c>
      <c r="BF25" s="340">
        <f t="shared" si="19"/>
        <v>83.841644192759986</v>
      </c>
      <c r="BG25" s="265">
        <f t="shared" si="20"/>
        <v>-4.2387925000000104E-2</v>
      </c>
      <c r="BH25" s="265">
        <f t="shared" si="21"/>
        <v>-4.2387925000000104E-2</v>
      </c>
      <c r="BI25" s="265">
        <f t="shared" si="22"/>
        <v>-4.2387925000000104E-2</v>
      </c>
      <c r="BJ25" s="265">
        <f t="shared" si="23"/>
        <v>-4.2387924999999993E-2</v>
      </c>
      <c r="BK25" s="298"/>
      <c r="BL25" s="503">
        <f>'Price Adjustments'!$C$66</f>
        <v>-1.22128076562165E-2</v>
      </c>
      <c r="BM25" s="378">
        <f t="shared" si="24"/>
        <v>92.939131712481796</v>
      </c>
      <c r="BN25" s="378">
        <f t="shared" si="25"/>
        <v>92.939131712481796</v>
      </c>
      <c r="BO25" s="378">
        <f t="shared" si="26"/>
        <v>59.725169865382611</v>
      </c>
      <c r="BP25" s="506">
        <f t="shared" si="27"/>
        <v>82.817702318652877</v>
      </c>
      <c r="BQ25" s="298"/>
      <c r="BR25" s="618" t="str">
        <f>IF(COUNTIF('Manual adjustments'!$A:$A,A25)=1,"Y","")</f>
        <v/>
      </c>
      <c r="BS25" s="378">
        <f>IF($BR25="",BM25,IF(AND($BR25="Y",VLOOKUP($A25,'Manual adjustments'!$A:$O,12,FALSE)&lt;&gt;""),VLOOKUP($A25,'Manual adjustments'!$A:$O,12,FALSE),BM25))</f>
        <v>92.939131712481796</v>
      </c>
      <c r="BT25" s="378">
        <f>IF($BR25="",BN25,IF(AND($BR25="Y",VLOOKUP($A25,'Manual adjustments'!$A:$O,13,FALSE)&lt;&gt;""),VLOOKUP($A25,'Manual adjustments'!$A:$O,13,FALSE),BN25))</f>
        <v>92.939131712481796</v>
      </c>
      <c r="BU25" s="378">
        <f>IF($BR25="",BO25,IF(AND($BR25="Y",VLOOKUP($A25,'Manual adjustments'!$A:$O,14,FALSE)&lt;&gt;""),VLOOKUP($A25,'Manual adjustments'!$A:$O,14,FALSE),BO25))</f>
        <v>59.725169865382611</v>
      </c>
      <c r="BV25" s="378">
        <f>IF($BR25="",BP25,IF(AND($BR25="Y",VLOOKUP($A25,'Manual adjustments'!$A:$O,15,FALSE)&lt;&gt;""),VLOOKUP($A25,'Manual adjustments'!$A:$O,15,FALSE),BP25))</f>
        <v>82.817702318652877</v>
      </c>
      <c r="BW25" s="384">
        <f>'Price Adjustments'!$D$66</f>
        <v>0</v>
      </c>
      <c r="BX25" s="378">
        <f t="shared" si="34"/>
        <v>92.939131712481796</v>
      </c>
      <c r="BY25" s="378">
        <f t="shared" si="35"/>
        <v>92.939131712481796</v>
      </c>
      <c r="BZ25" s="378">
        <f t="shared" si="36"/>
        <v>59.725169865382611</v>
      </c>
      <c r="CA25" s="379">
        <f t="shared" si="37"/>
        <v>82.817702318652877</v>
      </c>
      <c r="CB25" s="615">
        <f t="shared" si="38"/>
        <v>0</v>
      </c>
      <c r="CC25" s="423">
        <f t="shared" si="39"/>
        <v>0</v>
      </c>
      <c r="CD25" s="423">
        <f t="shared" si="40"/>
        <v>0</v>
      </c>
      <c r="CE25" s="423">
        <f t="shared" si="41"/>
        <v>0</v>
      </c>
      <c r="CF25" s="298"/>
      <c r="CG25" s="388">
        <f t="shared" si="42"/>
        <v>93</v>
      </c>
      <c r="CH25" s="378">
        <f t="shared" si="43"/>
        <v>93</v>
      </c>
      <c r="CI25" s="378">
        <f t="shared" si="44"/>
        <v>60</v>
      </c>
      <c r="CJ25" s="379">
        <f t="shared" si="45"/>
        <v>83</v>
      </c>
      <c r="CM25" s="507"/>
      <c r="CN25" s="507"/>
      <c r="CO25" s="507"/>
      <c r="CP25" s="507"/>
    </row>
    <row r="26" spans="1:94" ht="16.5" customHeight="1">
      <c r="A26" s="296">
        <v>191</v>
      </c>
      <c r="B26" s="292" t="s">
        <v>19</v>
      </c>
      <c r="C26" s="293">
        <f>IF(ISERROR(VLOOKUP($A26,'Allocate OPROC cost'!A:M,11,FALSE)),"-",VLOOKUP($A26,'Allocate OPROC cost'!A:M,11,FALSE))</f>
        <v>151.72843644388266</v>
      </c>
      <c r="D26" s="140">
        <f>IF(ISERROR(VLOOKUP($A26,'Allocate OPROC cost'!A:M,10,FALSE)),"-",VLOOKUP($A26,'Allocate OPROC cost'!A:M,10,FALSE))</f>
        <v>135.35485507290042</v>
      </c>
      <c r="E26" s="140">
        <f>IF(ISERROR(VLOOKUP($A26,'Allocate OPROC cost'!A:M,13,FALSE)),"-",VLOOKUP($A26,'Allocate OPROC cost'!A:M,13,FALSE))</f>
        <v>106.39362772039885</v>
      </c>
      <c r="F26" s="294">
        <f>IF(ISERROR(VLOOKUP($A26,'Allocate OPROC cost'!A:M,12,FALSE)),"-",VLOOKUP($A26,'Allocate OPROC cost'!A:M,12,FALSE))</f>
        <v>91.651532475499621</v>
      </c>
      <c r="G26" s="298"/>
      <c r="H26" s="405">
        <f>IF(ISERROR(VLOOKUP($A26,'Allocate OPROC cost'!A:AO,39,FALSE)),"-",VLOOKUP($A26,'Allocate OPROC cost'!A:AO,39,FALSE))</f>
        <v>151.65075070805506</v>
      </c>
      <c r="I26" s="406">
        <f>IF(ISERROR(VLOOKUP($A26,'Allocate OPROC cost'!A:AO,38,FALSE)),"-",VLOOKUP($A26,'Allocate OPROC cost'!A:AO,38,FALSE))</f>
        <v>135.35485507290042</v>
      </c>
      <c r="J26" s="406">
        <f>IF(ISERROR(VLOOKUP($A26,'Allocate OPROC cost'!A:AO,41,FALSE)),"-",VLOOKUP($A26,'Allocate OPROC cost'!A:AO,41,FALSE))</f>
        <v>107.04810468861503</v>
      </c>
      <c r="K26" s="407">
        <f>IF(ISERROR(VLOOKUP($A26,'Allocate OPROC cost'!A:AO,40,FALSE)),"-",VLOOKUP($A26,'Allocate OPROC cost'!A:AO,40,FALSE))</f>
        <v>91.651532475499621</v>
      </c>
      <c r="L26" s="425">
        <f t="shared" si="0"/>
        <v>-5.1200511682814032E-4</v>
      </c>
      <c r="M26" s="426">
        <f t="shared" si="1"/>
        <v>0</v>
      </c>
      <c r="N26" s="426">
        <f t="shared" si="2"/>
        <v>6.151467735794558E-3</v>
      </c>
      <c r="O26" s="425">
        <f t="shared" si="3"/>
        <v>0</v>
      </c>
      <c r="P26" s="298"/>
      <c r="Q26" s="299">
        <f>IF(ISERROR(VLOOKUP($A26,'Front-loading'!$A:$AG,27,FALSE)),"-",VLOOKUP($A26,'Front-loading'!$A:$AG,27,FALSE))</f>
        <v>171.59702885274083</v>
      </c>
      <c r="R26" s="150">
        <f>IF(ISERROR(VLOOKUP($A26,'Front-loading'!$A:$AG,26,FALSE)),"-",VLOOKUP($A26,'Front-loading'!$A:$AG,26,FALSE))</f>
        <v>150.09105730940274</v>
      </c>
      <c r="S26" s="150">
        <f>IF(ISERROR(VLOOKUP($A26,'Front-loading'!$A:$AG,29,FALSE)),"-",VLOOKUP($A26,'Front-loading'!$A:$AG,29,FALSE))</f>
        <v>96.343294219753531</v>
      </c>
      <c r="T26" s="300">
        <f>IF(ISERROR(VLOOKUP($A26,'Front-loading'!$A:$AG,28,FALSE)),"-",VLOOKUP($A26,'Front-loading'!$A:$AG,28,FALSE))</f>
        <v>82.486379227949655</v>
      </c>
      <c r="U26" s="429">
        <f t="shared" si="4"/>
        <v>0.13152772440332083</v>
      </c>
      <c r="V26" s="430">
        <f t="shared" si="5"/>
        <v>0.10887088038744963</v>
      </c>
      <c r="W26" s="430">
        <f t="shared" si="6"/>
        <v>-9.9999999999999978E-2</v>
      </c>
      <c r="X26" s="431">
        <f t="shared" si="7"/>
        <v>-0.10000000000000009</v>
      </c>
      <c r="Y26" s="298"/>
      <c r="Z26" s="152">
        <f>IF(ISERROR(VLOOKUP($A26,'Further adjustment'!$A:$BC,53,FALSE)),"-",VLOOKUP($A26,'Further adjustment'!$A:$BC,53,FALSE))</f>
        <v>170.98308896621572</v>
      </c>
      <c r="AA26" s="152">
        <f>IF(ISERROR(VLOOKUP($A26,'Further adjustment'!$A:$BC,52,FALSE)),"-",VLOOKUP($A26,'Further adjustment'!$A:$BC,52,FALSE))</f>
        <v>170.98308896621572</v>
      </c>
      <c r="AB26" s="152">
        <f>IF(ISERROR(VLOOKUP($A26,'Further adjustment'!$A:$BC,55,FALSE)),"-",VLOOKUP($A26,'Further adjustment'!$A:$BC,55,FALSE))</f>
        <v>96.0006058808994</v>
      </c>
      <c r="AC26" s="412">
        <f>IF(ISERROR(VLOOKUP($A26,'Further adjustment'!$A:$BC,54,FALSE)),"-",VLOOKUP($A26,'Further adjustment'!$A:$BC,54,FALSE))</f>
        <v>96.0006058808994</v>
      </c>
      <c r="AD26" s="435">
        <f t="shared" si="8"/>
        <v>-3.5778002138485698E-3</v>
      </c>
      <c r="AE26" s="436">
        <f t="shared" si="9"/>
        <v>0.1391957124650367</v>
      </c>
      <c r="AF26" s="436">
        <f t="shared" si="10"/>
        <v>-3.5569506069875745E-3</v>
      </c>
      <c r="AG26" s="436">
        <f t="shared" si="11"/>
        <v>0.16383585725836536</v>
      </c>
      <c r="AH26" s="298"/>
      <c r="AI26" s="347">
        <f>'Price Adjustments'!$H$7</f>
        <v>-4.2387925000000104E-2</v>
      </c>
      <c r="AJ26" s="467">
        <f>'Price Adjustments'!$G$91</f>
        <v>0</v>
      </c>
      <c r="AK26" s="352">
        <f t="shared" si="30"/>
        <v>163.73547061484743</v>
      </c>
      <c r="AL26" s="352">
        <f t="shared" si="31"/>
        <v>163.73547061484743</v>
      </c>
      <c r="AM26" s="352">
        <f t="shared" si="32"/>
        <v>91.931339398865262</v>
      </c>
      <c r="AN26" s="413">
        <f t="shared" si="33"/>
        <v>91.931339398865262</v>
      </c>
      <c r="AO26" s="439">
        <f t="shared" si="12"/>
        <v>-4.2387925000000104E-2</v>
      </c>
      <c r="AP26" s="440">
        <f t="shared" si="13"/>
        <v>-4.2387925000000104E-2</v>
      </c>
      <c r="AQ26" s="440">
        <f t="shared" si="14"/>
        <v>-4.2387925000000104E-2</v>
      </c>
      <c r="AR26" s="441">
        <f t="shared" si="15"/>
        <v>-4.2387925000000104E-2</v>
      </c>
      <c r="AS26" s="359">
        <f>'Price Adjustments'!$G$7</f>
        <v>0</v>
      </c>
      <c r="AT26" s="250">
        <f>IF(ISERROR(VLOOKUP($A26,'14-15 tariff'!$A:$F,3,FALSE)*(1+$AS$6)),"-",VLOOKUP($A26,'14-15 tariff'!$A:$F,3,FALSE)*(1+$AS$6))</f>
        <v>168</v>
      </c>
      <c r="AU26" s="250">
        <f>IF(ISERROR(VLOOKUP($A26,'14-15 tariff'!$A:$F,4,FALSE)*(1+$AS$6)),"-",VLOOKUP($A26,'14-15 tariff'!$A:$F,4,FALSE)*(1+$AS$6))</f>
        <v>168</v>
      </c>
      <c r="AV26" s="250">
        <f>IF(ISERROR(VLOOKUP($A26,'14-15 tariff'!$A:$F,5,FALSE)*(1+$AS$6)),"-",VLOOKUP($A26,'14-15 tariff'!$A:$F,5,FALSE)*(1+$AS$6))</f>
        <v>89</v>
      </c>
      <c r="AW26" s="250">
        <f>IF(ISERROR(VLOOKUP($A26,'14-15 tariff'!$A:$F,6,FALSE)*(1+$AS$6)),"-",VLOOKUP($A26,'14-15 tariff'!$A:$F,6,FALSE)*(1+$AS$6))</f>
        <v>123</v>
      </c>
      <c r="AX26" s="298"/>
      <c r="AY26" s="498" t="s">
        <v>522</v>
      </c>
      <c r="AZ26" s="499" t="s">
        <v>522</v>
      </c>
      <c r="BA26" s="499" t="s">
        <v>522</v>
      </c>
      <c r="BB26" s="499" t="s">
        <v>522</v>
      </c>
      <c r="BC26" s="339">
        <f t="shared" si="16"/>
        <v>163.73547061484743</v>
      </c>
      <c r="BD26" s="339">
        <f t="shared" si="17"/>
        <v>163.73547061484743</v>
      </c>
      <c r="BE26" s="339">
        <f t="shared" si="18"/>
        <v>91.931339398865262</v>
      </c>
      <c r="BF26" s="340">
        <f t="shared" si="19"/>
        <v>91.931339398865262</v>
      </c>
      <c r="BG26" s="265">
        <f t="shared" si="20"/>
        <v>-4.2387925000000104E-2</v>
      </c>
      <c r="BH26" s="265">
        <f t="shared" si="21"/>
        <v>-4.2387925000000104E-2</v>
      </c>
      <c r="BI26" s="265">
        <f t="shared" si="22"/>
        <v>-4.2387925000000104E-2</v>
      </c>
      <c r="BJ26" s="265">
        <f t="shared" si="23"/>
        <v>-4.2387925000000104E-2</v>
      </c>
      <c r="BK26" s="298"/>
      <c r="BL26" s="503">
        <f>'Price Adjustments'!$C$66</f>
        <v>-1.22128076562165E-2</v>
      </c>
      <c r="BM26" s="378">
        <f t="shared" si="24"/>
        <v>161.73580080572822</v>
      </c>
      <c r="BN26" s="378">
        <f t="shared" si="25"/>
        <v>161.73580080572822</v>
      </c>
      <c r="BO26" s="378">
        <f t="shared" si="26"/>
        <v>90.808599633208573</v>
      </c>
      <c r="BP26" s="506">
        <f t="shared" si="27"/>
        <v>90.808599633208573</v>
      </c>
      <c r="BQ26" s="298"/>
      <c r="BR26" s="618" t="str">
        <f>IF(COUNTIF('Manual adjustments'!$A:$A,A26)=1,"Y","")</f>
        <v/>
      </c>
      <c r="BS26" s="378">
        <f>IF($BR26="",BM26,IF(AND($BR26="Y",VLOOKUP($A26,'Manual adjustments'!$A:$O,12,FALSE)&lt;&gt;""),VLOOKUP($A26,'Manual adjustments'!$A:$O,12,FALSE),BM26))</f>
        <v>161.73580080572822</v>
      </c>
      <c r="BT26" s="378">
        <f>IF($BR26="",BN26,IF(AND($BR26="Y",VLOOKUP($A26,'Manual adjustments'!$A:$O,13,FALSE)&lt;&gt;""),VLOOKUP($A26,'Manual adjustments'!$A:$O,13,FALSE),BN26))</f>
        <v>161.73580080572822</v>
      </c>
      <c r="BU26" s="378">
        <f>IF($BR26="",BO26,IF(AND($BR26="Y",VLOOKUP($A26,'Manual adjustments'!$A:$O,14,FALSE)&lt;&gt;""),VLOOKUP($A26,'Manual adjustments'!$A:$O,14,FALSE),BO26))</f>
        <v>90.808599633208573</v>
      </c>
      <c r="BV26" s="378">
        <f>IF($BR26="",BP26,IF(AND($BR26="Y",VLOOKUP($A26,'Manual adjustments'!$A:$O,15,FALSE)&lt;&gt;""),VLOOKUP($A26,'Manual adjustments'!$A:$O,15,FALSE),BP26))</f>
        <v>90.808599633208573</v>
      </c>
      <c r="BW26" s="384">
        <f>'Price Adjustments'!$D$66</f>
        <v>0</v>
      </c>
      <c r="BX26" s="378">
        <f t="shared" si="34"/>
        <v>161.73580080572822</v>
      </c>
      <c r="BY26" s="378">
        <f t="shared" si="35"/>
        <v>161.73580080572822</v>
      </c>
      <c r="BZ26" s="378">
        <f t="shared" si="36"/>
        <v>90.808599633208573</v>
      </c>
      <c r="CA26" s="379">
        <f t="shared" si="37"/>
        <v>90.808599633208573</v>
      </c>
      <c r="CB26" s="615">
        <f t="shared" si="38"/>
        <v>0</v>
      </c>
      <c r="CC26" s="423">
        <f t="shared" si="39"/>
        <v>0</v>
      </c>
      <c r="CD26" s="423">
        <f t="shared" si="40"/>
        <v>0</v>
      </c>
      <c r="CE26" s="423">
        <f t="shared" si="41"/>
        <v>0</v>
      </c>
      <c r="CF26" s="298"/>
      <c r="CG26" s="388">
        <f t="shared" si="42"/>
        <v>162</v>
      </c>
      <c r="CH26" s="378">
        <f t="shared" si="43"/>
        <v>162</v>
      </c>
      <c r="CI26" s="378">
        <f t="shared" si="44"/>
        <v>91</v>
      </c>
      <c r="CJ26" s="379">
        <f t="shared" si="45"/>
        <v>91</v>
      </c>
      <c r="CM26" s="507"/>
      <c r="CN26" s="507"/>
      <c r="CO26" s="507"/>
      <c r="CP26" s="507"/>
    </row>
    <row r="27" spans="1:94" ht="16.5" customHeight="1">
      <c r="A27" s="296">
        <v>211</v>
      </c>
      <c r="B27" s="292" t="s">
        <v>20</v>
      </c>
      <c r="C27" s="293">
        <f>IF(ISERROR(VLOOKUP($A27,'Allocate OPROC cost'!A:M,11,FALSE)),"-",VLOOKUP($A27,'Allocate OPROC cost'!A:M,11,FALSE))</f>
        <v>125.62517903697577</v>
      </c>
      <c r="D27" s="140">
        <f>IF(ISERROR(VLOOKUP($A27,'Allocate OPROC cost'!A:M,10,FALSE)),"-",VLOOKUP($A27,'Allocate OPROC cost'!A:M,10,FALSE))</f>
        <v>255.09199908226117</v>
      </c>
      <c r="E27" s="140">
        <f>IF(ISERROR(VLOOKUP($A27,'Allocate OPROC cost'!A:M,13,FALSE)),"-",VLOOKUP($A27,'Allocate OPROC cost'!A:M,13,FALSE))</f>
        <v>103.7334659020853</v>
      </c>
      <c r="F27" s="294">
        <f>IF(ISERROR(VLOOKUP($A27,'Allocate OPROC cost'!A:M,12,FALSE)),"-",VLOOKUP($A27,'Allocate OPROC cost'!A:M,12,FALSE))</f>
        <v>239.40591679632286</v>
      </c>
      <c r="G27" s="298"/>
      <c r="H27" s="405">
        <f>IF(ISERROR(VLOOKUP($A27,'Allocate OPROC cost'!A:AO,39,FALSE)),"-",VLOOKUP($A27,'Allocate OPROC cost'!A:AO,39,FALSE))</f>
        <v>147.44487290313563</v>
      </c>
      <c r="I27" s="406">
        <f>IF(ISERROR(VLOOKUP($A27,'Allocate OPROC cost'!A:AO,38,FALSE)),"-",VLOOKUP($A27,'Allocate OPROC cost'!A:AO,38,FALSE))</f>
        <v>255.09199908226117</v>
      </c>
      <c r="J27" s="406">
        <f>IF(ISERROR(VLOOKUP($A27,'Allocate OPROC cost'!A:AO,41,FALSE)),"-",VLOOKUP($A27,'Allocate OPROC cost'!A:AO,41,FALSE))</f>
        <v>166.1094471512842</v>
      </c>
      <c r="K27" s="407">
        <f>IF(ISERROR(VLOOKUP($A27,'Allocate OPROC cost'!A:AO,40,FALSE)),"-",VLOOKUP($A27,'Allocate OPROC cost'!A:AO,40,FALSE))</f>
        <v>239.40591679632286</v>
      </c>
      <c r="L27" s="425">
        <f t="shared" si="0"/>
        <v>0.17368885786612553</v>
      </c>
      <c r="M27" s="426">
        <f t="shared" si="1"/>
        <v>0</v>
      </c>
      <c r="N27" s="426">
        <f t="shared" si="2"/>
        <v>0.60131010476480173</v>
      </c>
      <c r="O27" s="425">
        <f t="shared" si="3"/>
        <v>0</v>
      </c>
      <c r="P27" s="298"/>
      <c r="Q27" s="299">
        <f>IF(ISERROR(VLOOKUP($A27,'Front-loading'!$A:$AG,27,FALSE)),"-",VLOOKUP($A27,'Front-loading'!$A:$AG,27,FALSE))</f>
        <v>179.84469781041511</v>
      </c>
      <c r="R27" s="150">
        <f>IF(ISERROR(VLOOKUP($A27,'Front-loading'!$A:$AG,26,FALSE)),"-",VLOOKUP($A27,'Front-loading'!$A:$AG,26,FALSE))</f>
        <v>315.71802683568291</v>
      </c>
      <c r="S27" s="150">
        <f>IF(ISERROR(VLOOKUP($A27,'Front-loading'!$A:$AG,29,FALSE)),"-",VLOOKUP($A27,'Front-loading'!$A:$AG,29,FALSE))</f>
        <v>149.49850243615577</v>
      </c>
      <c r="T27" s="300">
        <f>IF(ISERROR(VLOOKUP($A27,'Front-loading'!$A:$AG,28,FALSE)),"-",VLOOKUP($A27,'Front-loading'!$A:$AG,28,FALSE))</f>
        <v>215.46532511669056</v>
      </c>
      <c r="U27" s="429">
        <f t="shared" si="4"/>
        <v>0.21974195690456222</v>
      </c>
      <c r="V27" s="430">
        <f t="shared" si="5"/>
        <v>0.23766338407921328</v>
      </c>
      <c r="W27" s="430">
        <f t="shared" si="6"/>
        <v>-0.10000000000000009</v>
      </c>
      <c r="X27" s="431">
        <f t="shared" si="7"/>
        <v>-9.9999999999999978E-2</v>
      </c>
      <c r="Y27" s="298"/>
      <c r="Z27" s="152">
        <f>IF(ISERROR(VLOOKUP($A27,'Further adjustment'!$A:$BC,53,FALSE)),"-",VLOOKUP($A27,'Further adjustment'!$A:$BC,53,FALSE))</f>
        <v>179.84469781041511</v>
      </c>
      <c r="AA27" s="152">
        <f>IF(ISERROR(VLOOKUP($A27,'Further adjustment'!$A:$BC,52,FALSE)),"-",VLOOKUP($A27,'Further adjustment'!$A:$BC,52,FALSE))</f>
        <v>315.71802683568291</v>
      </c>
      <c r="AB27" s="152">
        <f>IF(ISERROR(VLOOKUP($A27,'Further adjustment'!$A:$BC,55,FALSE)),"-",VLOOKUP($A27,'Further adjustment'!$A:$BC,55,FALSE))</f>
        <v>149.49850243615577</v>
      </c>
      <c r="AC27" s="412">
        <f>IF(ISERROR(VLOOKUP($A27,'Further adjustment'!$A:$BC,54,FALSE)),"-",VLOOKUP($A27,'Further adjustment'!$A:$BC,54,FALSE))</f>
        <v>215.46532511669056</v>
      </c>
      <c r="AD27" s="435">
        <f t="shared" si="8"/>
        <v>0</v>
      </c>
      <c r="AE27" s="436">
        <f t="shared" si="9"/>
        <v>0</v>
      </c>
      <c r="AF27" s="436">
        <f t="shared" si="10"/>
        <v>0</v>
      </c>
      <c r="AG27" s="436">
        <f t="shared" si="11"/>
        <v>0</v>
      </c>
      <c r="AH27" s="298"/>
      <c r="AI27" s="347">
        <f>'Price Adjustments'!$H$7</f>
        <v>-4.2387925000000104E-2</v>
      </c>
      <c r="AJ27" s="467">
        <f>'Price Adjustments'!$G$91</f>
        <v>0</v>
      </c>
      <c r="AK27" s="352">
        <f t="shared" si="30"/>
        <v>172.22145424797955</v>
      </c>
      <c r="AL27" s="352">
        <f t="shared" si="31"/>
        <v>302.33539479302397</v>
      </c>
      <c r="AM27" s="352">
        <f t="shared" si="32"/>
        <v>143.16157112727967</v>
      </c>
      <c r="AN27" s="413">
        <f t="shared" si="33"/>
        <v>206.33219707554363</v>
      </c>
      <c r="AO27" s="439">
        <f t="shared" si="12"/>
        <v>-4.2387925000000104E-2</v>
      </c>
      <c r="AP27" s="440">
        <f t="shared" si="13"/>
        <v>-4.2387925000000104E-2</v>
      </c>
      <c r="AQ27" s="440">
        <f t="shared" si="14"/>
        <v>-4.2387925000000104E-2</v>
      </c>
      <c r="AR27" s="441">
        <f t="shared" si="15"/>
        <v>-4.2387925000000215E-2</v>
      </c>
      <c r="AS27" s="359">
        <f>'Price Adjustments'!$G$7</f>
        <v>0</v>
      </c>
      <c r="AT27" s="250">
        <f>IF(ISERROR(VLOOKUP($A27,'14-15 tariff'!$A:$F,3,FALSE)*(1+$AS$6)),"-",VLOOKUP($A27,'14-15 tariff'!$A:$F,3,FALSE)*(1+$AS$6))</f>
        <v>162</v>
      </c>
      <c r="AU27" s="250">
        <f>IF(ISERROR(VLOOKUP($A27,'14-15 tariff'!$A:$F,4,FALSE)*(1+$AS$6)),"-",VLOOKUP($A27,'14-15 tariff'!$A:$F,4,FALSE)*(1+$AS$6))</f>
        <v>162</v>
      </c>
      <c r="AV27" s="250">
        <f>IF(ISERROR(VLOOKUP($A27,'14-15 tariff'!$A:$F,5,FALSE)*(1+$AS$6)),"-",VLOOKUP($A27,'14-15 tariff'!$A:$F,5,FALSE)*(1+$AS$6))</f>
        <v>94</v>
      </c>
      <c r="AW27" s="250">
        <f>IF(ISERROR(VLOOKUP($A27,'14-15 tariff'!$A:$F,6,FALSE)*(1+$AS$6)),"-",VLOOKUP($A27,'14-15 tariff'!$A:$F,6,FALSE)*(1+$AS$6))</f>
        <v>106</v>
      </c>
      <c r="AX27" s="298"/>
      <c r="AY27" s="498" t="s">
        <v>522</v>
      </c>
      <c r="AZ27" s="499" t="s">
        <v>522</v>
      </c>
      <c r="BA27" s="499" t="s">
        <v>522</v>
      </c>
      <c r="BB27" s="499" t="s">
        <v>522</v>
      </c>
      <c r="BC27" s="339">
        <f t="shared" si="16"/>
        <v>172.22145424797955</v>
      </c>
      <c r="BD27" s="339">
        <f t="shared" si="17"/>
        <v>302.33539479302397</v>
      </c>
      <c r="BE27" s="339">
        <f t="shared" si="18"/>
        <v>143.16157112727967</v>
      </c>
      <c r="BF27" s="340">
        <f t="shared" si="19"/>
        <v>206.33219707554363</v>
      </c>
      <c r="BG27" s="265">
        <f t="shared" si="20"/>
        <v>-4.2387925000000104E-2</v>
      </c>
      <c r="BH27" s="265">
        <f t="shared" si="21"/>
        <v>-4.2387925000000104E-2</v>
      </c>
      <c r="BI27" s="265">
        <f t="shared" si="22"/>
        <v>-4.2387925000000104E-2</v>
      </c>
      <c r="BJ27" s="265">
        <f t="shared" si="23"/>
        <v>-4.2387925000000215E-2</v>
      </c>
      <c r="BK27" s="298"/>
      <c r="BL27" s="503">
        <f>'Price Adjustments'!$C$66</f>
        <v>-1.22128076562165E-2</v>
      </c>
      <c r="BM27" s="378">
        <f t="shared" si="24"/>
        <v>170.11814675297509</v>
      </c>
      <c r="BN27" s="378">
        <f t="shared" si="25"/>
        <v>298.64303076875052</v>
      </c>
      <c r="BO27" s="378">
        <f t="shared" si="26"/>
        <v>141.41316639534045</v>
      </c>
      <c r="BP27" s="506">
        <f t="shared" si="27"/>
        <v>203.81230163937548</v>
      </c>
      <c r="BQ27" s="298"/>
      <c r="BR27" s="618" t="str">
        <f>IF(COUNTIF('Manual adjustments'!$A:$A,A27)=1,"Y","")</f>
        <v/>
      </c>
      <c r="BS27" s="378">
        <f>IF($BR27="",BM27,IF(AND($BR27="Y",VLOOKUP($A27,'Manual adjustments'!$A:$O,12,FALSE)&lt;&gt;""),VLOOKUP($A27,'Manual adjustments'!$A:$O,12,FALSE),BM27))</f>
        <v>170.11814675297509</v>
      </c>
      <c r="BT27" s="378">
        <f>IF($BR27="",BN27,IF(AND($BR27="Y",VLOOKUP($A27,'Manual adjustments'!$A:$O,13,FALSE)&lt;&gt;""),VLOOKUP($A27,'Manual adjustments'!$A:$O,13,FALSE),BN27))</f>
        <v>298.64303076875052</v>
      </c>
      <c r="BU27" s="378">
        <f>IF($BR27="",BO27,IF(AND($BR27="Y",VLOOKUP($A27,'Manual adjustments'!$A:$O,14,FALSE)&lt;&gt;""),VLOOKUP($A27,'Manual adjustments'!$A:$O,14,FALSE),BO27))</f>
        <v>141.41316639534045</v>
      </c>
      <c r="BV27" s="378">
        <f>IF($BR27="",BP27,IF(AND($BR27="Y",VLOOKUP($A27,'Manual adjustments'!$A:$O,15,FALSE)&lt;&gt;""),VLOOKUP($A27,'Manual adjustments'!$A:$O,15,FALSE),BP27))</f>
        <v>203.81230163937548</v>
      </c>
      <c r="BW27" s="384">
        <f>'Price Adjustments'!$D$66</f>
        <v>0</v>
      </c>
      <c r="BX27" s="378">
        <f t="shared" si="34"/>
        <v>170.11814675297509</v>
      </c>
      <c r="BY27" s="378">
        <f t="shared" si="35"/>
        <v>298.64303076875052</v>
      </c>
      <c r="BZ27" s="378">
        <f t="shared" si="36"/>
        <v>141.41316639534045</v>
      </c>
      <c r="CA27" s="379">
        <f t="shared" si="37"/>
        <v>203.81230163937548</v>
      </c>
      <c r="CB27" s="615">
        <f t="shared" si="38"/>
        <v>0</v>
      </c>
      <c r="CC27" s="423">
        <f t="shared" si="39"/>
        <v>0</v>
      </c>
      <c r="CD27" s="423">
        <f t="shared" si="40"/>
        <v>0</v>
      </c>
      <c r="CE27" s="423">
        <f t="shared" si="41"/>
        <v>0</v>
      </c>
      <c r="CF27" s="298"/>
      <c r="CG27" s="388">
        <f t="shared" si="42"/>
        <v>170</v>
      </c>
      <c r="CH27" s="378">
        <f t="shared" si="43"/>
        <v>299</v>
      </c>
      <c r="CI27" s="378">
        <f t="shared" si="44"/>
        <v>141</v>
      </c>
      <c r="CJ27" s="379">
        <f t="shared" si="45"/>
        <v>204</v>
      </c>
      <c r="CM27" s="507"/>
      <c r="CN27" s="507"/>
      <c r="CO27" s="507"/>
      <c r="CP27" s="507"/>
    </row>
    <row r="28" spans="1:94" ht="16.5" customHeight="1">
      <c r="A28" s="296">
        <v>214</v>
      </c>
      <c r="B28" s="292" t="s">
        <v>58</v>
      </c>
      <c r="C28" s="293">
        <f>IF(ISERROR(VLOOKUP($A28,'Allocate OPROC cost'!A:M,11,FALSE)),"-",VLOOKUP($A28,'Allocate OPROC cost'!A:M,11,FALSE))</f>
        <v>134.43383372072853</v>
      </c>
      <c r="D28" s="140">
        <f>IF(ISERROR(VLOOKUP($A28,'Allocate OPROC cost'!A:M,10,FALSE)),"-",VLOOKUP($A28,'Allocate OPROC cost'!A:M,10,FALSE))</f>
        <v>117.59120060405468</v>
      </c>
      <c r="E28" s="140">
        <f>IF(ISERROR(VLOOKUP($A28,'Allocate OPROC cost'!A:M,13,FALSE)),"-",VLOOKUP($A28,'Allocate OPROC cost'!A:M,13,FALSE))</f>
        <v>107.58775855256653</v>
      </c>
      <c r="F28" s="294">
        <f>IF(ISERROR(VLOOKUP($A28,'Allocate OPROC cost'!A:M,12,FALSE)),"-",VLOOKUP($A28,'Allocate OPROC cost'!A:M,12,FALSE))</f>
        <v>126.09260056607772</v>
      </c>
      <c r="G28" s="298"/>
      <c r="H28" s="405">
        <f>IF(ISERROR(VLOOKUP($A28,'Allocate OPROC cost'!A:AO,39,FALSE)),"-",VLOOKUP($A28,'Allocate OPROC cost'!A:AO,39,FALSE))</f>
        <v>134.37679902136594</v>
      </c>
      <c r="I28" s="406">
        <f>IF(ISERROR(VLOOKUP($A28,'Allocate OPROC cost'!A:AO,38,FALSE)),"-",VLOOKUP($A28,'Allocate OPROC cost'!A:AO,38,FALSE))</f>
        <v>117.59120060405468</v>
      </c>
      <c r="J28" s="406">
        <f>IF(ISERROR(VLOOKUP($A28,'Allocate OPROC cost'!A:AO,41,FALSE)),"-",VLOOKUP($A28,'Allocate OPROC cost'!A:AO,41,FALSE))</f>
        <v>108.15803735711854</v>
      </c>
      <c r="K28" s="407">
        <f>IF(ISERROR(VLOOKUP($A28,'Allocate OPROC cost'!A:AO,40,FALSE)),"-",VLOOKUP($A28,'Allocate OPROC cost'!A:AO,40,FALSE))</f>
        <v>126.09260056607772</v>
      </c>
      <c r="L28" s="425">
        <f t="shared" si="0"/>
        <v>-4.2425852022542898E-4</v>
      </c>
      <c r="M28" s="426">
        <f t="shared" si="1"/>
        <v>0</v>
      </c>
      <c r="N28" s="426">
        <f t="shared" si="2"/>
        <v>5.3005919281550185E-3</v>
      </c>
      <c r="O28" s="425">
        <f t="shared" si="3"/>
        <v>0</v>
      </c>
      <c r="P28" s="298"/>
      <c r="Q28" s="299">
        <f>IF(ISERROR(VLOOKUP($A28,'Front-loading'!$A:$AG,27,FALSE)),"-",VLOOKUP($A28,'Front-loading'!$A:$AG,27,FALSE))</f>
        <v>151.84774763714717</v>
      </c>
      <c r="R28" s="150">
        <f>IF(ISERROR(VLOOKUP($A28,'Front-loading'!$A:$AG,26,FALSE)),"-",VLOOKUP($A28,'Front-loading'!$A:$AG,26,FALSE))</f>
        <v>145.57120201180231</v>
      </c>
      <c r="S28" s="150">
        <f>IF(ISERROR(VLOOKUP($A28,'Front-loading'!$A:$AG,29,FALSE)),"-",VLOOKUP($A28,'Front-loading'!$A:$AG,29,FALSE))</f>
        <v>97.342233621406692</v>
      </c>
      <c r="T28" s="300">
        <f>IF(ISERROR(VLOOKUP($A28,'Front-loading'!$A:$AG,28,FALSE)),"-",VLOOKUP($A28,'Front-loading'!$A:$AG,28,FALSE))</f>
        <v>113.48334050946995</v>
      </c>
      <c r="U28" s="429">
        <f t="shared" si="4"/>
        <v>0.13001462114753415</v>
      </c>
      <c r="V28" s="430">
        <f t="shared" si="5"/>
        <v>0.23794298607393283</v>
      </c>
      <c r="W28" s="430">
        <f t="shared" si="6"/>
        <v>-9.9999999999999978E-2</v>
      </c>
      <c r="X28" s="431">
        <f t="shared" si="7"/>
        <v>-9.9999999999999978E-2</v>
      </c>
      <c r="Y28" s="298"/>
      <c r="Z28" s="152">
        <f>IF(ISERROR(VLOOKUP($A28,'Further adjustment'!$A:$BC,53,FALSE)),"-",VLOOKUP($A28,'Further adjustment'!$A:$BC,53,FALSE))</f>
        <v>151.57628312986813</v>
      </c>
      <c r="AA28" s="152">
        <f>IF(ISERROR(VLOOKUP($A28,'Further adjustment'!$A:$BC,52,FALSE)),"-",VLOOKUP($A28,'Further adjustment'!$A:$BC,52,FALSE))</f>
        <v>151.57628312986813</v>
      </c>
      <c r="AB28" s="152">
        <f>IF(ISERROR(VLOOKUP($A28,'Further adjustment'!$A:$BC,55,FALSE)),"-",VLOOKUP($A28,'Further adjustment'!$A:$BC,55,FALSE))</f>
        <v>97.342233621406692</v>
      </c>
      <c r="AC28" s="412">
        <f>IF(ISERROR(VLOOKUP($A28,'Further adjustment'!$A:$BC,54,FALSE)),"-",VLOOKUP($A28,'Further adjustment'!$A:$BC,54,FALSE))</f>
        <v>113.48334050946995</v>
      </c>
      <c r="AD28" s="435">
        <f t="shared" si="8"/>
        <v>-1.7877414153532056E-3</v>
      </c>
      <c r="AE28" s="436">
        <f t="shared" si="9"/>
        <v>4.1251848133939006E-2</v>
      </c>
      <c r="AF28" s="436">
        <f t="shared" si="10"/>
        <v>0</v>
      </c>
      <c r="AG28" s="436">
        <f t="shared" si="11"/>
        <v>0</v>
      </c>
      <c r="AH28" s="298"/>
      <c r="AI28" s="347">
        <f>'Price Adjustments'!$H$7</f>
        <v>-4.2387925000000104E-2</v>
      </c>
      <c r="AJ28" s="467">
        <f>'Price Adjustments'!$G$91</f>
        <v>0</v>
      </c>
      <c r="AK28" s="352">
        <f t="shared" si="30"/>
        <v>145.15127900878051</v>
      </c>
      <c r="AL28" s="352">
        <f t="shared" si="31"/>
        <v>145.15127900878051</v>
      </c>
      <c r="AM28" s="352">
        <f t="shared" si="32"/>
        <v>93.216098323330016</v>
      </c>
      <c r="AN28" s="413">
        <f t="shared" si="33"/>
        <v>108.67301718320506</v>
      </c>
      <c r="AO28" s="439">
        <f t="shared" si="12"/>
        <v>-4.2387925000000104E-2</v>
      </c>
      <c r="AP28" s="440">
        <f t="shared" si="13"/>
        <v>-4.2387925000000104E-2</v>
      </c>
      <c r="AQ28" s="440">
        <f t="shared" si="14"/>
        <v>-4.2387925000000104E-2</v>
      </c>
      <c r="AR28" s="441">
        <f t="shared" si="15"/>
        <v>-4.2387925000000215E-2</v>
      </c>
      <c r="AS28" s="359">
        <f>'Price Adjustments'!$G$7</f>
        <v>0</v>
      </c>
      <c r="AT28" s="250">
        <f>IF(ISERROR(VLOOKUP($A28,'14-15 tariff'!$A:$F,3,FALSE)*(1+$AS$6)),"-",VLOOKUP($A28,'14-15 tariff'!$A:$F,3,FALSE)*(1+$AS$6))</f>
        <v>139</v>
      </c>
      <c r="AU28" s="250">
        <f>IF(ISERROR(VLOOKUP($A28,'14-15 tariff'!$A:$F,4,FALSE)*(1+$AS$6)),"-",VLOOKUP($A28,'14-15 tariff'!$A:$F,4,FALSE)*(1+$AS$6))</f>
        <v>139</v>
      </c>
      <c r="AV28" s="250">
        <f>IF(ISERROR(VLOOKUP($A28,'14-15 tariff'!$A:$F,5,FALSE)*(1+$AS$6)),"-",VLOOKUP($A28,'14-15 tariff'!$A:$F,5,FALSE)*(1+$AS$6))</f>
        <v>92</v>
      </c>
      <c r="AW28" s="250">
        <f>IF(ISERROR(VLOOKUP($A28,'14-15 tariff'!$A:$F,6,FALSE)*(1+$AS$6)),"-",VLOOKUP($A28,'14-15 tariff'!$A:$F,6,FALSE)*(1+$AS$6))</f>
        <v>100</v>
      </c>
      <c r="AX28" s="298"/>
      <c r="AY28" s="498" t="s">
        <v>522</v>
      </c>
      <c r="AZ28" s="499" t="s">
        <v>522</v>
      </c>
      <c r="BA28" s="499" t="s">
        <v>522</v>
      </c>
      <c r="BB28" s="499" t="s">
        <v>522</v>
      </c>
      <c r="BC28" s="339">
        <f t="shared" si="16"/>
        <v>145.15127900878051</v>
      </c>
      <c r="BD28" s="339">
        <f t="shared" si="17"/>
        <v>145.15127900878051</v>
      </c>
      <c r="BE28" s="339">
        <f t="shared" si="18"/>
        <v>93.216098323330016</v>
      </c>
      <c r="BF28" s="340">
        <f t="shared" si="19"/>
        <v>108.67301718320506</v>
      </c>
      <c r="BG28" s="265">
        <f t="shared" si="20"/>
        <v>-4.2387925000000104E-2</v>
      </c>
      <c r="BH28" s="265">
        <f t="shared" si="21"/>
        <v>-4.2387925000000104E-2</v>
      </c>
      <c r="BI28" s="265">
        <f t="shared" si="22"/>
        <v>-4.2387925000000104E-2</v>
      </c>
      <c r="BJ28" s="265">
        <f t="shared" si="23"/>
        <v>-4.2387925000000215E-2</v>
      </c>
      <c r="BK28" s="298"/>
      <c r="BL28" s="503">
        <f>'Price Adjustments'!$C$66</f>
        <v>-1.22128076562165E-2</v>
      </c>
      <c r="BM28" s="378">
        <f t="shared" si="24"/>
        <v>143.37857435719246</v>
      </c>
      <c r="BN28" s="378">
        <f t="shared" si="25"/>
        <v>143.37857435719246</v>
      </c>
      <c r="BO28" s="378">
        <f t="shared" si="26"/>
        <v>92.077668044044231</v>
      </c>
      <c r="BP28" s="506">
        <f t="shared" si="27"/>
        <v>107.34581452692588</v>
      </c>
      <c r="BQ28" s="298"/>
      <c r="BR28" s="618" t="str">
        <f>IF(COUNTIF('Manual adjustments'!$A:$A,A28)=1,"Y","")</f>
        <v/>
      </c>
      <c r="BS28" s="378">
        <f>IF($BR28="",BM28,IF(AND($BR28="Y",VLOOKUP($A28,'Manual adjustments'!$A:$O,12,FALSE)&lt;&gt;""),VLOOKUP($A28,'Manual adjustments'!$A:$O,12,FALSE),BM28))</f>
        <v>143.37857435719246</v>
      </c>
      <c r="BT28" s="378">
        <f>IF($BR28="",BN28,IF(AND($BR28="Y",VLOOKUP($A28,'Manual adjustments'!$A:$O,13,FALSE)&lt;&gt;""),VLOOKUP($A28,'Manual adjustments'!$A:$O,13,FALSE),BN28))</f>
        <v>143.37857435719246</v>
      </c>
      <c r="BU28" s="378">
        <f>IF($BR28="",BO28,IF(AND($BR28="Y",VLOOKUP($A28,'Manual adjustments'!$A:$O,14,FALSE)&lt;&gt;""),VLOOKUP($A28,'Manual adjustments'!$A:$O,14,FALSE),BO28))</f>
        <v>92.077668044044231</v>
      </c>
      <c r="BV28" s="378">
        <f>IF($BR28="",BP28,IF(AND($BR28="Y",VLOOKUP($A28,'Manual adjustments'!$A:$O,15,FALSE)&lt;&gt;""),VLOOKUP($A28,'Manual adjustments'!$A:$O,15,FALSE),BP28))</f>
        <v>107.34581452692588</v>
      </c>
      <c r="BW28" s="384">
        <f>'Price Adjustments'!$D$66</f>
        <v>0</v>
      </c>
      <c r="BX28" s="378">
        <f t="shared" si="34"/>
        <v>143.37857435719246</v>
      </c>
      <c r="BY28" s="378">
        <f t="shared" si="35"/>
        <v>143.37857435719246</v>
      </c>
      <c r="BZ28" s="378">
        <f t="shared" si="36"/>
        <v>92.077668044044231</v>
      </c>
      <c r="CA28" s="379">
        <f t="shared" si="37"/>
        <v>107.34581452692588</v>
      </c>
      <c r="CB28" s="615">
        <f t="shared" si="38"/>
        <v>0</v>
      </c>
      <c r="CC28" s="423">
        <f t="shared" si="39"/>
        <v>0</v>
      </c>
      <c r="CD28" s="423">
        <f t="shared" si="40"/>
        <v>0</v>
      </c>
      <c r="CE28" s="423">
        <f t="shared" si="41"/>
        <v>0</v>
      </c>
      <c r="CF28" s="298"/>
      <c r="CG28" s="388">
        <f t="shared" si="42"/>
        <v>143</v>
      </c>
      <c r="CH28" s="378">
        <f t="shared" si="43"/>
        <v>143</v>
      </c>
      <c r="CI28" s="378">
        <f t="shared" si="44"/>
        <v>92</v>
      </c>
      <c r="CJ28" s="379">
        <f t="shared" si="45"/>
        <v>107</v>
      </c>
      <c r="CM28" s="507"/>
      <c r="CN28" s="507"/>
      <c r="CO28" s="507"/>
      <c r="CP28" s="507"/>
    </row>
    <row r="29" spans="1:94" ht="16.5" customHeight="1">
      <c r="A29" s="296">
        <v>215</v>
      </c>
      <c r="B29" s="292" t="s">
        <v>59</v>
      </c>
      <c r="C29" s="293">
        <f>IF(ISERROR(VLOOKUP($A29,'Allocate OPROC cost'!A:M,11,FALSE)),"-",VLOOKUP($A29,'Allocate OPROC cost'!A:M,11,FALSE))</f>
        <v>87.807565381533436</v>
      </c>
      <c r="D29" s="140">
        <f>IF(ISERROR(VLOOKUP($A29,'Allocate OPROC cost'!A:M,10,FALSE)),"-",VLOOKUP($A29,'Allocate OPROC cost'!A:M,10,FALSE))</f>
        <v>135.22921828782071</v>
      </c>
      <c r="E29" s="140">
        <f>IF(ISERROR(VLOOKUP($A29,'Allocate OPROC cost'!A:M,13,FALSE)),"-",VLOOKUP($A29,'Allocate OPROC cost'!A:M,13,FALSE))</f>
        <v>71.383405407539811</v>
      </c>
      <c r="F29" s="294">
        <f>IF(ISERROR(VLOOKUP($A29,'Allocate OPROC cost'!A:M,12,FALSE)),"-",VLOOKUP($A29,'Allocate OPROC cost'!A:M,12,FALSE))</f>
        <v>105.03075199838595</v>
      </c>
      <c r="G29" s="298"/>
      <c r="H29" s="405">
        <f>IF(ISERROR(VLOOKUP($A29,'Allocate OPROC cost'!A:AO,39,FALSE)),"-",VLOOKUP($A29,'Allocate OPROC cost'!A:AO,39,FALSE))</f>
        <v>87.865846532287051</v>
      </c>
      <c r="I29" s="406">
        <f>IF(ISERROR(VLOOKUP($A29,'Allocate OPROC cost'!A:AO,38,FALSE)),"-",VLOOKUP($A29,'Allocate OPROC cost'!A:AO,38,FALSE))</f>
        <v>135.22921828782071</v>
      </c>
      <c r="J29" s="406">
        <f>IF(ISERROR(VLOOKUP($A29,'Allocate OPROC cost'!A:AO,41,FALSE)),"-",VLOOKUP($A29,'Allocate OPROC cost'!A:AO,41,FALSE))</f>
        <v>71.45767058991467</v>
      </c>
      <c r="K29" s="407">
        <f>IF(ISERROR(VLOOKUP($A29,'Allocate OPROC cost'!A:AO,40,FALSE)),"-",VLOOKUP($A29,'Allocate OPROC cost'!A:AO,40,FALSE))</f>
        <v>105.03075199838595</v>
      </c>
      <c r="L29" s="425">
        <f t="shared" si="0"/>
        <v>6.6373723608403878E-4</v>
      </c>
      <c r="M29" s="426">
        <f t="shared" si="1"/>
        <v>0</v>
      </c>
      <c r="N29" s="426">
        <f t="shared" si="2"/>
        <v>1.040370404730151E-3</v>
      </c>
      <c r="O29" s="425">
        <f t="shared" si="3"/>
        <v>0</v>
      </c>
      <c r="P29" s="298"/>
      <c r="Q29" s="299">
        <f>IF(ISERROR(VLOOKUP($A29,'Front-loading'!$A:$AG,27,FALSE)),"-",VLOOKUP($A29,'Front-loading'!$A:$AG,27,FALSE))</f>
        <v>99.118713654570186</v>
      </c>
      <c r="R29" s="150">
        <f>IF(ISERROR(VLOOKUP($A29,'Front-loading'!$A:$AG,26,FALSE)),"-",VLOOKUP($A29,'Front-loading'!$A:$AG,26,FALSE))</f>
        <v>152.2929392141165</v>
      </c>
      <c r="S29" s="150">
        <f>IF(ISERROR(VLOOKUP($A29,'Front-loading'!$A:$AG,29,FALSE)),"-",VLOOKUP($A29,'Front-loading'!$A:$AG,29,FALSE))</f>
        <v>64.311903530923203</v>
      </c>
      <c r="T29" s="300">
        <f>IF(ISERROR(VLOOKUP($A29,'Front-loading'!$A:$AG,28,FALSE)),"-",VLOOKUP($A29,'Front-loading'!$A:$AG,28,FALSE))</f>
        <v>94.527676798547361</v>
      </c>
      <c r="U29" s="429">
        <f t="shared" si="4"/>
        <v>0.12806872711512751</v>
      </c>
      <c r="V29" s="430">
        <f t="shared" si="5"/>
        <v>0.12618368383951983</v>
      </c>
      <c r="W29" s="430">
        <f t="shared" si="6"/>
        <v>-9.9999999999999978E-2</v>
      </c>
      <c r="X29" s="431">
        <f t="shared" si="7"/>
        <v>-9.9999999999999978E-2</v>
      </c>
      <c r="Y29" s="298"/>
      <c r="Z29" s="152">
        <f>IF(ISERROR(VLOOKUP($A29,'Further adjustment'!$A:$BC,53,FALSE)),"-",VLOOKUP($A29,'Further adjustment'!$A:$BC,53,FALSE))</f>
        <v>111.44240349644132</v>
      </c>
      <c r="AA29" s="152">
        <f>IF(ISERROR(VLOOKUP($A29,'Further adjustment'!$A:$BC,52,FALSE)),"-",VLOOKUP($A29,'Further adjustment'!$A:$BC,52,FALSE))</f>
        <v>174.00589034817429</v>
      </c>
      <c r="AB29" s="152">
        <f>IF(ISERROR(VLOOKUP($A29,'Further adjustment'!$A:$BC,55,FALSE)),"-",VLOOKUP($A29,'Further adjustment'!$A:$BC,55,FALSE))</f>
        <v>68.717022297568917</v>
      </c>
      <c r="AC29" s="412">
        <f>IF(ISERROR(VLOOKUP($A29,'Further adjustment'!$A:$BC,54,FALSE)),"-",VLOOKUP($A29,'Further adjustment'!$A:$BC,54,FALSE))</f>
        <v>95.261813096181754</v>
      </c>
      <c r="AD29" s="435">
        <f t="shared" si="8"/>
        <v>0.1243326248645571</v>
      </c>
      <c r="AE29" s="436">
        <f t="shared" si="9"/>
        <v>0.14257359038510931</v>
      </c>
      <c r="AF29" s="436">
        <f t="shared" si="10"/>
        <v>6.8496165169914303E-2</v>
      </c>
      <c r="AG29" s="436">
        <f t="shared" si="11"/>
        <v>7.7663634873725851E-3</v>
      </c>
      <c r="AH29" s="298"/>
      <c r="AI29" s="347">
        <f>'Price Adjustments'!$H$7</f>
        <v>-4.2387925000000104E-2</v>
      </c>
      <c r="AJ29" s="467">
        <f>'Price Adjustments'!$G$91</f>
        <v>0</v>
      </c>
      <c r="AK29" s="352">
        <f t="shared" si="30"/>
        <v>106.71859125521441</v>
      </c>
      <c r="AL29" s="352">
        <f t="shared" si="31"/>
        <v>166.63014171853763</v>
      </c>
      <c r="AM29" s="352">
        <f t="shared" si="32"/>
        <v>65.804250310196224</v>
      </c>
      <c r="AN29" s="413">
        <f t="shared" si="33"/>
        <v>91.223862507296772</v>
      </c>
      <c r="AO29" s="439">
        <f t="shared" si="12"/>
        <v>-4.2387925000000104E-2</v>
      </c>
      <c r="AP29" s="440">
        <f t="shared" si="13"/>
        <v>-4.2387925000000104E-2</v>
      </c>
      <c r="AQ29" s="440">
        <f t="shared" si="14"/>
        <v>-4.2387925000000215E-2</v>
      </c>
      <c r="AR29" s="441">
        <f t="shared" si="15"/>
        <v>-4.2387925000000104E-2</v>
      </c>
      <c r="AS29" s="359">
        <f>'Price Adjustments'!$G$7</f>
        <v>0</v>
      </c>
      <c r="AT29" s="250">
        <f>IF(ISERROR(VLOOKUP($A29,'14-15 tariff'!$A:$F,3,FALSE)*(1+$AS$6)),"-",VLOOKUP($A29,'14-15 tariff'!$A:$F,3,FALSE)*(1+$AS$6))</f>
        <v>103</v>
      </c>
      <c r="AU29" s="250">
        <f>IF(ISERROR(VLOOKUP($A29,'14-15 tariff'!$A:$F,4,FALSE)*(1+$AS$6)),"-",VLOOKUP($A29,'14-15 tariff'!$A:$F,4,FALSE)*(1+$AS$6))</f>
        <v>136</v>
      </c>
      <c r="AV29" s="250">
        <f>IF(ISERROR(VLOOKUP($A29,'14-15 tariff'!$A:$F,5,FALSE)*(1+$AS$6)),"-",VLOOKUP($A29,'14-15 tariff'!$A:$F,5,FALSE)*(1+$AS$6))</f>
        <v>65</v>
      </c>
      <c r="AW29" s="250">
        <f>IF(ISERROR(VLOOKUP($A29,'14-15 tariff'!$A:$F,6,FALSE)*(1+$AS$6)),"-",VLOOKUP($A29,'14-15 tariff'!$A:$F,6,FALSE)*(1+$AS$6))</f>
        <v>81</v>
      </c>
      <c r="AX29" s="298"/>
      <c r="AY29" s="498" t="s">
        <v>522</v>
      </c>
      <c r="AZ29" s="499" t="s">
        <v>522</v>
      </c>
      <c r="BA29" s="499" t="s">
        <v>522</v>
      </c>
      <c r="BB29" s="499" t="s">
        <v>522</v>
      </c>
      <c r="BC29" s="339">
        <f t="shared" si="16"/>
        <v>106.71859125521441</v>
      </c>
      <c r="BD29" s="339">
        <f t="shared" si="17"/>
        <v>166.63014171853763</v>
      </c>
      <c r="BE29" s="339">
        <f t="shared" si="18"/>
        <v>65.804250310196224</v>
      </c>
      <c r="BF29" s="340">
        <f t="shared" si="19"/>
        <v>91.223862507296772</v>
      </c>
      <c r="BG29" s="265">
        <f t="shared" si="20"/>
        <v>-4.2387925000000104E-2</v>
      </c>
      <c r="BH29" s="265">
        <f t="shared" si="21"/>
        <v>-4.2387925000000104E-2</v>
      </c>
      <c r="BI29" s="265">
        <f t="shared" si="22"/>
        <v>-4.2387925000000215E-2</v>
      </c>
      <c r="BJ29" s="265">
        <f t="shared" si="23"/>
        <v>-4.2387925000000104E-2</v>
      </c>
      <c r="BK29" s="298"/>
      <c r="BL29" s="503">
        <f>'Price Adjustments'!$C$66</f>
        <v>-1.22128076562165E-2</v>
      </c>
      <c r="BM29" s="378">
        <f t="shared" si="24"/>
        <v>105.41525762687209</v>
      </c>
      <c r="BN29" s="378">
        <f t="shared" si="25"/>
        <v>164.59511984800105</v>
      </c>
      <c r="BO29" s="378">
        <f t="shared" si="26"/>
        <v>65.000595658196275</v>
      </c>
      <c r="BP29" s="506">
        <f t="shared" si="27"/>
        <v>90.109763020838017</v>
      </c>
      <c r="BQ29" s="298"/>
      <c r="BR29" s="618" t="str">
        <f>IF(COUNTIF('Manual adjustments'!$A:$A,A29)=1,"Y","")</f>
        <v/>
      </c>
      <c r="BS29" s="378">
        <f>IF($BR29="",BM29,IF(AND($BR29="Y",VLOOKUP($A29,'Manual adjustments'!$A:$O,12,FALSE)&lt;&gt;""),VLOOKUP($A29,'Manual adjustments'!$A:$O,12,FALSE),BM29))</f>
        <v>105.41525762687209</v>
      </c>
      <c r="BT29" s="378">
        <f>IF($BR29="",BN29,IF(AND($BR29="Y",VLOOKUP($A29,'Manual adjustments'!$A:$O,13,FALSE)&lt;&gt;""),VLOOKUP($A29,'Manual adjustments'!$A:$O,13,FALSE),BN29))</f>
        <v>164.59511984800105</v>
      </c>
      <c r="BU29" s="378">
        <f>IF($BR29="",BO29,IF(AND($BR29="Y",VLOOKUP($A29,'Manual adjustments'!$A:$O,14,FALSE)&lt;&gt;""),VLOOKUP($A29,'Manual adjustments'!$A:$O,14,FALSE),BO29))</f>
        <v>65.000595658196275</v>
      </c>
      <c r="BV29" s="378">
        <f>IF($BR29="",BP29,IF(AND($BR29="Y",VLOOKUP($A29,'Manual adjustments'!$A:$O,15,FALSE)&lt;&gt;""),VLOOKUP($A29,'Manual adjustments'!$A:$O,15,FALSE),BP29))</f>
        <v>90.109763020838017</v>
      </c>
      <c r="BW29" s="384">
        <f>'Price Adjustments'!$D$66</f>
        <v>0</v>
      </c>
      <c r="BX29" s="378">
        <f t="shared" si="34"/>
        <v>105.41525762687209</v>
      </c>
      <c r="BY29" s="378">
        <f t="shared" si="35"/>
        <v>164.59511984800105</v>
      </c>
      <c r="BZ29" s="378">
        <f t="shared" si="36"/>
        <v>65.000595658196275</v>
      </c>
      <c r="CA29" s="379">
        <f t="shared" si="37"/>
        <v>90.109763020838017</v>
      </c>
      <c r="CB29" s="615">
        <f t="shared" si="38"/>
        <v>0</v>
      </c>
      <c r="CC29" s="423">
        <f t="shared" si="39"/>
        <v>0</v>
      </c>
      <c r="CD29" s="423">
        <f t="shared" si="40"/>
        <v>0</v>
      </c>
      <c r="CE29" s="423">
        <f t="shared" si="41"/>
        <v>0</v>
      </c>
      <c r="CF29" s="298"/>
      <c r="CG29" s="388">
        <f t="shared" si="42"/>
        <v>105</v>
      </c>
      <c r="CH29" s="378">
        <f t="shared" si="43"/>
        <v>165</v>
      </c>
      <c r="CI29" s="378">
        <f t="shared" si="44"/>
        <v>65</v>
      </c>
      <c r="CJ29" s="379">
        <f t="shared" si="45"/>
        <v>90</v>
      </c>
      <c r="CM29" s="507"/>
      <c r="CN29" s="507"/>
      <c r="CO29" s="507"/>
      <c r="CP29" s="507"/>
    </row>
    <row r="30" spans="1:94" ht="16.5" customHeight="1">
      <c r="A30" s="296">
        <v>216</v>
      </c>
      <c r="B30" s="292" t="s">
        <v>21</v>
      </c>
      <c r="C30" s="293">
        <f>IF(ISERROR(VLOOKUP($A30,'Allocate OPROC cost'!A:M,11,FALSE)),"-",VLOOKUP($A30,'Allocate OPROC cost'!A:M,11,FALSE))</f>
        <v>116.34782476104024</v>
      </c>
      <c r="D30" s="140">
        <f>IF(ISERROR(VLOOKUP($A30,'Allocate OPROC cost'!A:M,10,FALSE)),"-",VLOOKUP($A30,'Allocate OPROC cost'!A:M,10,FALSE))</f>
        <v>144.76774722418139</v>
      </c>
      <c r="E30" s="140">
        <f>IF(ISERROR(VLOOKUP($A30,'Allocate OPROC cost'!A:M,13,FALSE)),"-",VLOOKUP($A30,'Allocate OPROC cost'!A:M,13,FALSE))</f>
        <v>94.243122718261972</v>
      </c>
      <c r="F30" s="294">
        <f>IF(ISERROR(VLOOKUP($A30,'Allocate OPROC cost'!A:M,12,FALSE)),"-",VLOOKUP($A30,'Allocate OPROC cost'!A:M,12,FALSE))</f>
        <v>156.43709451345171</v>
      </c>
      <c r="G30" s="298"/>
      <c r="H30" s="405">
        <f>IF(ISERROR(VLOOKUP($A30,'Allocate OPROC cost'!A:AO,39,FALSE)),"-",VLOOKUP($A30,'Allocate OPROC cost'!A:AO,39,FALSE))</f>
        <v>116.36874370450099</v>
      </c>
      <c r="I30" s="406">
        <f>IF(ISERROR(VLOOKUP($A30,'Allocate OPROC cost'!A:AO,38,FALSE)),"-",VLOOKUP($A30,'Allocate OPROC cost'!A:AO,38,FALSE))</f>
        <v>144.76774722418139</v>
      </c>
      <c r="J30" s="406">
        <f>IF(ISERROR(VLOOKUP($A30,'Allocate OPROC cost'!A:AO,41,FALSE)),"-",VLOOKUP($A30,'Allocate OPROC cost'!A:AO,41,FALSE))</f>
        <v>94.239966706234668</v>
      </c>
      <c r="K30" s="407">
        <f>IF(ISERROR(VLOOKUP($A30,'Allocate OPROC cost'!A:AO,40,FALSE)),"-",VLOOKUP($A30,'Allocate OPROC cost'!A:AO,40,FALSE))</f>
        <v>156.43709451345171</v>
      </c>
      <c r="L30" s="425">
        <f t="shared" si="0"/>
        <v>1.797966013004082E-4</v>
      </c>
      <c r="M30" s="426">
        <f t="shared" si="1"/>
        <v>0</v>
      </c>
      <c r="N30" s="426">
        <f t="shared" si="2"/>
        <v>-3.3487982319280185E-5</v>
      </c>
      <c r="O30" s="425">
        <f t="shared" si="3"/>
        <v>0</v>
      </c>
      <c r="P30" s="298"/>
      <c r="Q30" s="299">
        <f>IF(ISERROR(VLOOKUP($A30,'Front-loading'!$A:$AG,27,FALSE)),"-",VLOOKUP($A30,'Front-loading'!$A:$AG,27,FALSE))</f>
        <v>141.15215396226066</v>
      </c>
      <c r="R30" s="150">
        <f>IF(ISERROR(VLOOKUP($A30,'Front-loading'!$A:$AG,26,FALSE)),"-",VLOOKUP($A30,'Front-loading'!$A:$AG,26,FALSE))</f>
        <v>172.11900697459777</v>
      </c>
      <c r="S30" s="150">
        <f>IF(ISERROR(VLOOKUP($A30,'Front-loading'!$A:$AG,29,FALSE)),"-",VLOOKUP($A30,'Front-loading'!$A:$AG,29,FALSE))</f>
        <v>84.815970035611215</v>
      </c>
      <c r="T30" s="300">
        <f>IF(ISERROR(VLOOKUP($A30,'Front-loading'!$A:$AG,28,FALSE)),"-",VLOOKUP($A30,'Front-loading'!$A:$AG,28,FALSE))</f>
        <v>140.79338506210655</v>
      </c>
      <c r="U30" s="429">
        <f t="shared" si="4"/>
        <v>0.21297308425613837</v>
      </c>
      <c r="V30" s="430">
        <f t="shared" si="5"/>
        <v>0.18893199814777351</v>
      </c>
      <c r="W30" s="430">
        <f t="shared" si="6"/>
        <v>-9.9999999999999867E-2</v>
      </c>
      <c r="X30" s="431">
        <f t="shared" si="7"/>
        <v>-9.9999999999999978E-2</v>
      </c>
      <c r="Y30" s="298"/>
      <c r="Z30" s="152">
        <f>IF(ISERROR(VLOOKUP($A30,'Further adjustment'!$A:$BC,53,FALSE)),"-",VLOOKUP($A30,'Further adjustment'!$A:$BC,53,FALSE))</f>
        <v>141.15215396226066</v>
      </c>
      <c r="AA30" s="152">
        <f>IF(ISERROR(VLOOKUP($A30,'Further adjustment'!$A:$BC,52,FALSE)),"-",VLOOKUP($A30,'Further adjustment'!$A:$BC,52,FALSE))</f>
        <v>172.11900697459777</v>
      </c>
      <c r="AB30" s="152">
        <f>IF(ISERROR(VLOOKUP($A30,'Further adjustment'!$A:$BC,55,FALSE)),"-",VLOOKUP($A30,'Further adjustment'!$A:$BC,55,FALSE))</f>
        <v>84.815970035611215</v>
      </c>
      <c r="AC30" s="412">
        <f>IF(ISERROR(VLOOKUP($A30,'Further adjustment'!$A:$BC,54,FALSE)),"-",VLOOKUP($A30,'Further adjustment'!$A:$BC,54,FALSE))</f>
        <v>140.79338506210655</v>
      </c>
      <c r="AD30" s="435">
        <f t="shared" si="8"/>
        <v>0</v>
      </c>
      <c r="AE30" s="436">
        <f t="shared" si="9"/>
        <v>0</v>
      </c>
      <c r="AF30" s="436">
        <f t="shared" si="10"/>
        <v>0</v>
      </c>
      <c r="AG30" s="436">
        <f t="shared" si="11"/>
        <v>0</v>
      </c>
      <c r="AH30" s="298"/>
      <c r="AI30" s="347">
        <f>'Price Adjustments'!$H$7</f>
        <v>-4.2387925000000104E-2</v>
      </c>
      <c r="AJ30" s="467">
        <f>'Price Adjustments'!$G$91</f>
        <v>0</v>
      </c>
      <c r="AK30" s="352">
        <f t="shared" si="30"/>
        <v>135.16900704651988</v>
      </c>
      <c r="AL30" s="352">
        <f t="shared" si="31"/>
        <v>164.82323941588402</v>
      </c>
      <c r="AM30" s="352">
        <f t="shared" si="32"/>
        <v>81.220797058939468</v>
      </c>
      <c r="AN30" s="413">
        <f t="shared" si="33"/>
        <v>134.82544561559786</v>
      </c>
      <c r="AO30" s="439">
        <f t="shared" si="12"/>
        <v>-4.2387925000000104E-2</v>
      </c>
      <c r="AP30" s="440">
        <f t="shared" si="13"/>
        <v>-4.2387925000000104E-2</v>
      </c>
      <c r="AQ30" s="440">
        <f t="shared" si="14"/>
        <v>-4.2387925000000104E-2</v>
      </c>
      <c r="AR30" s="441">
        <f t="shared" si="15"/>
        <v>-4.2387924999999993E-2</v>
      </c>
      <c r="AS30" s="359">
        <f>'Price Adjustments'!$G$7</f>
        <v>0</v>
      </c>
      <c r="AT30" s="250">
        <f>IF(ISERROR(VLOOKUP($A30,'14-15 tariff'!$A:$F,3,FALSE)*(1+$AS$6)),"-",VLOOKUP($A30,'14-15 tariff'!$A:$F,3,FALSE)*(1+$AS$6))</f>
        <v>149</v>
      </c>
      <c r="AU30" s="250">
        <f>IF(ISERROR(VLOOKUP($A30,'14-15 tariff'!$A:$F,4,FALSE)*(1+$AS$6)),"-",VLOOKUP($A30,'14-15 tariff'!$A:$F,4,FALSE)*(1+$AS$6))</f>
        <v>149</v>
      </c>
      <c r="AV30" s="250">
        <f>IF(ISERROR(VLOOKUP($A30,'14-15 tariff'!$A:$F,5,FALSE)*(1+$AS$6)),"-",VLOOKUP($A30,'14-15 tariff'!$A:$F,5,FALSE)*(1+$AS$6))</f>
        <v>100</v>
      </c>
      <c r="AW30" s="250">
        <f>IF(ISERROR(VLOOKUP($A30,'14-15 tariff'!$A:$F,6,FALSE)*(1+$AS$6)),"-",VLOOKUP($A30,'14-15 tariff'!$A:$F,6,FALSE)*(1+$AS$6))</f>
        <v>108</v>
      </c>
      <c r="AX30" s="298"/>
      <c r="AY30" s="498" t="s">
        <v>522</v>
      </c>
      <c r="AZ30" s="499" t="s">
        <v>522</v>
      </c>
      <c r="BA30" s="499" t="s">
        <v>522</v>
      </c>
      <c r="BB30" s="499" t="s">
        <v>522</v>
      </c>
      <c r="BC30" s="339">
        <f t="shared" si="16"/>
        <v>135.16900704651988</v>
      </c>
      <c r="BD30" s="339">
        <f t="shared" si="17"/>
        <v>164.82323941588402</v>
      </c>
      <c r="BE30" s="339">
        <f t="shared" si="18"/>
        <v>81.220797058939468</v>
      </c>
      <c r="BF30" s="340">
        <f t="shared" si="19"/>
        <v>134.82544561559786</v>
      </c>
      <c r="BG30" s="265">
        <f t="shared" si="20"/>
        <v>-4.2387925000000104E-2</v>
      </c>
      <c r="BH30" s="265">
        <f t="shared" si="21"/>
        <v>-4.2387925000000104E-2</v>
      </c>
      <c r="BI30" s="265">
        <f t="shared" si="22"/>
        <v>-4.2387925000000104E-2</v>
      </c>
      <c r="BJ30" s="265">
        <f t="shared" si="23"/>
        <v>-4.2387924999999993E-2</v>
      </c>
      <c r="BK30" s="298"/>
      <c r="BL30" s="503">
        <f>'Price Adjustments'!$C$66</f>
        <v>-1.22128076562165E-2</v>
      </c>
      <c r="BM30" s="378">
        <f t="shared" si="24"/>
        <v>133.51821396237895</v>
      </c>
      <c r="BN30" s="378">
        <f t="shared" si="25"/>
        <v>162.81028489562331</v>
      </c>
      <c r="BO30" s="378">
        <f t="shared" si="26"/>
        <v>80.228863086774055</v>
      </c>
      <c r="BP30" s="506">
        <f t="shared" si="27"/>
        <v>133.17884838113088</v>
      </c>
      <c r="BQ30" s="298"/>
      <c r="BR30" s="618" t="str">
        <f>IF(COUNTIF('Manual adjustments'!$A:$A,A30)=1,"Y","")</f>
        <v/>
      </c>
      <c r="BS30" s="378">
        <f>IF($BR30="",BM30,IF(AND($BR30="Y",VLOOKUP($A30,'Manual adjustments'!$A:$O,12,FALSE)&lt;&gt;""),VLOOKUP($A30,'Manual adjustments'!$A:$O,12,FALSE),BM30))</f>
        <v>133.51821396237895</v>
      </c>
      <c r="BT30" s="378">
        <f>IF($BR30="",BN30,IF(AND($BR30="Y",VLOOKUP($A30,'Manual adjustments'!$A:$O,13,FALSE)&lt;&gt;""),VLOOKUP($A30,'Manual adjustments'!$A:$O,13,FALSE),BN30))</f>
        <v>162.81028489562331</v>
      </c>
      <c r="BU30" s="378">
        <f>IF($BR30="",BO30,IF(AND($BR30="Y",VLOOKUP($A30,'Manual adjustments'!$A:$O,14,FALSE)&lt;&gt;""),VLOOKUP($A30,'Manual adjustments'!$A:$O,14,FALSE),BO30))</f>
        <v>80.228863086774055</v>
      </c>
      <c r="BV30" s="378">
        <f>IF($BR30="",BP30,IF(AND($BR30="Y",VLOOKUP($A30,'Manual adjustments'!$A:$O,15,FALSE)&lt;&gt;""),VLOOKUP($A30,'Manual adjustments'!$A:$O,15,FALSE),BP30))</f>
        <v>133.17884838113088</v>
      </c>
      <c r="BW30" s="385">
        <f>'Price Adjustments'!$D$66</f>
        <v>0</v>
      </c>
      <c r="BX30" s="378">
        <f t="shared" si="34"/>
        <v>133.51821396237895</v>
      </c>
      <c r="BY30" s="378">
        <f t="shared" si="35"/>
        <v>162.81028489562331</v>
      </c>
      <c r="BZ30" s="378">
        <f t="shared" si="36"/>
        <v>80.228863086774055</v>
      </c>
      <c r="CA30" s="379">
        <f t="shared" si="37"/>
        <v>133.17884838113088</v>
      </c>
      <c r="CB30" s="615">
        <f t="shared" si="38"/>
        <v>0</v>
      </c>
      <c r="CC30" s="423">
        <f t="shared" si="39"/>
        <v>0</v>
      </c>
      <c r="CD30" s="423">
        <f t="shared" si="40"/>
        <v>0</v>
      </c>
      <c r="CE30" s="423">
        <f t="shared" si="41"/>
        <v>0</v>
      </c>
      <c r="CF30" s="298"/>
      <c r="CG30" s="388">
        <f t="shared" si="42"/>
        <v>134</v>
      </c>
      <c r="CH30" s="378">
        <f t="shared" si="43"/>
        <v>163</v>
      </c>
      <c r="CI30" s="378">
        <f t="shared" si="44"/>
        <v>80</v>
      </c>
      <c r="CJ30" s="379">
        <f t="shared" si="45"/>
        <v>133</v>
      </c>
      <c r="CM30" s="507"/>
      <c r="CN30" s="507"/>
      <c r="CO30" s="507"/>
      <c r="CP30" s="507"/>
    </row>
    <row r="31" spans="1:94" ht="16.5" customHeight="1">
      <c r="A31" s="296">
        <v>217</v>
      </c>
      <c r="B31" s="292" t="s">
        <v>22</v>
      </c>
      <c r="C31" s="293">
        <f>IF(ISERROR(VLOOKUP($A31,'Allocate OPROC cost'!A:M,11,FALSE)),"-",VLOOKUP($A31,'Allocate OPROC cost'!A:M,11,FALSE))</f>
        <v>114.1417156430265</v>
      </c>
      <c r="D31" s="140">
        <f>IF(ISERROR(VLOOKUP($A31,'Allocate OPROC cost'!A:M,10,FALSE)),"-",VLOOKUP($A31,'Allocate OPROC cost'!A:M,10,FALSE))</f>
        <v>164.24141813856508</v>
      </c>
      <c r="E31" s="140">
        <f>IF(ISERROR(VLOOKUP($A31,'Allocate OPROC cost'!A:M,13,FALSE)),"-",VLOOKUP($A31,'Allocate OPROC cost'!A:M,13,FALSE))</f>
        <v>160.1161937206781</v>
      </c>
      <c r="F31" s="294">
        <f>IF(ISERROR(VLOOKUP($A31,'Allocate OPROC cost'!A:M,12,FALSE)),"-",VLOOKUP($A31,'Allocate OPROC cost'!A:M,12,FALSE))</f>
        <v>216.96715664101518</v>
      </c>
      <c r="G31" s="298"/>
      <c r="H31" s="405">
        <f>IF(ISERROR(VLOOKUP($A31,'Allocate OPROC cost'!A:AO,39,FALSE)),"-",VLOOKUP($A31,'Allocate OPROC cost'!A:AO,39,FALSE))</f>
        <v>112.73556401044708</v>
      </c>
      <c r="I31" s="406">
        <f>IF(ISERROR(VLOOKUP($A31,'Allocate OPROC cost'!A:AO,38,FALSE)),"-",VLOOKUP($A31,'Allocate OPROC cost'!A:AO,38,FALSE))</f>
        <v>164.24141813856508</v>
      </c>
      <c r="J31" s="406">
        <f>IF(ISERROR(VLOOKUP($A31,'Allocate OPROC cost'!A:AO,41,FALSE)),"-",VLOOKUP($A31,'Allocate OPROC cost'!A:AO,41,FALSE))</f>
        <v>153.33058111062618</v>
      </c>
      <c r="K31" s="407">
        <f>IF(ISERROR(VLOOKUP($A31,'Allocate OPROC cost'!A:AO,40,FALSE)),"-",VLOOKUP($A31,'Allocate OPROC cost'!A:AO,40,FALSE))</f>
        <v>216.96715664101518</v>
      </c>
      <c r="L31" s="425">
        <f t="shared" si="0"/>
        <v>-1.2319349018522718E-2</v>
      </c>
      <c r="M31" s="426">
        <f t="shared" si="1"/>
        <v>0</v>
      </c>
      <c r="N31" s="426">
        <f t="shared" si="2"/>
        <v>-4.2379302507586369E-2</v>
      </c>
      <c r="O31" s="425">
        <f t="shared" si="3"/>
        <v>0</v>
      </c>
      <c r="P31" s="298"/>
      <c r="Q31" s="299">
        <f>IF(ISERROR(VLOOKUP($A31,'Front-loading'!$A:$AG,27,FALSE)),"-",VLOOKUP($A31,'Front-loading'!$A:$AG,27,FALSE))</f>
        <v>128.75690974899385</v>
      </c>
      <c r="R31" s="150">
        <f>IF(ISERROR(VLOOKUP($A31,'Front-loading'!$A:$AG,26,FALSE)),"-",VLOOKUP($A31,'Front-loading'!$A:$AG,26,FALSE))</f>
        <v>220.67092187201831</v>
      </c>
      <c r="S31" s="150">
        <f>IF(ISERROR(VLOOKUP($A31,'Front-loading'!$A:$AG,29,FALSE)),"-",VLOOKUP($A31,'Front-loading'!$A:$AG,29,FALSE))</f>
        <v>137.99752299956359</v>
      </c>
      <c r="T31" s="300">
        <f>IF(ISERROR(VLOOKUP($A31,'Front-loading'!$A:$AG,28,FALSE)),"-",VLOOKUP($A31,'Front-loading'!$A:$AG,28,FALSE))</f>
        <v>195.27044097691365</v>
      </c>
      <c r="U31" s="429">
        <f t="shared" si="4"/>
        <v>0.14211438847338442</v>
      </c>
      <c r="V31" s="430">
        <f t="shared" si="5"/>
        <v>0.34357657388129414</v>
      </c>
      <c r="W31" s="430">
        <f t="shared" si="6"/>
        <v>-9.9999999999999867E-2</v>
      </c>
      <c r="X31" s="431">
        <f t="shared" si="7"/>
        <v>-0.10000000000000009</v>
      </c>
      <c r="Y31" s="298"/>
      <c r="Z31" s="152">
        <f>IF(ISERROR(VLOOKUP($A31,'Further adjustment'!$A:$BC,53,FALSE)),"-",VLOOKUP($A31,'Further adjustment'!$A:$BC,53,FALSE))</f>
        <v>133.47864071966316</v>
      </c>
      <c r="AA31" s="152">
        <f>IF(ISERROR(VLOOKUP($A31,'Further adjustment'!$A:$BC,52,FALSE)),"-",VLOOKUP($A31,'Further adjustment'!$A:$BC,52,FALSE))</f>
        <v>220.67092187201831</v>
      </c>
      <c r="AB31" s="152">
        <f>IF(ISERROR(VLOOKUP($A31,'Further adjustment'!$A:$BC,55,FALSE)),"-",VLOOKUP($A31,'Further adjustment'!$A:$BC,55,FALSE))</f>
        <v>133.47864071966316</v>
      </c>
      <c r="AC31" s="412">
        <f>IF(ISERROR(VLOOKUP($A31,'Further adjustment'!$A:$BC,54,FALSE)),"-",VLOOKUP($A31,'Further adjustment'!$A:$BC,54,FALSE))</f>
        <v>195.27044097691365</v>
      </c>
      <c r="AD31" s="435">
        <f t="shared" si="8"/>
        <v>3.6671670513637844E-2</v>
      </c>
      <c r="AE31" s="436">
        <f t="shared" si="9"/>
        <v>0</v>
      </c>
      <c r="AF31" s="436">
        <f t="shared" si="10"/>
        <v>-3.2746111536471001E-2</v>
      </c>
      <c r="AG31" s="436">
        <f t="shared" si="11"/>
        <v>0</v>
      </c>
      <c r="AH31" s="298"/>
      <c r="AI31" s="347">
        <f>'Price Adjustments'!$H$7</f>
        <v>-4.2387925000000104E-2</v>
      </c>
      <c r="AJ31" s="467">
        <f>'Price Adjustments'!$G$91</f>
        <v>0</v>
      </c>
      <c r="AK31" s="352">
        <f t="shared" si="30"/>
        <v>127.82075810773613</v>
      </c>
      <c r="AL31" s="352">
        <f t="shared" si="31"/>
        <v>211.31713938602633</v>
      </c>
      <c r="AM31" s="352">
        <f t="shared" si="32"/>
        <v>127.82075810773613</v>
      </c>
      <c r="AN31" s="413">
        <f t="shared" si="33"/>
        <v>186.99333217006728</v>
      </c>
      <c r="AO31" s="439">
        <f t="shared" si="12"/>
        <v>-4.2387925000000104E-2</v>
      </c>
      <c r="AP31" s="440">
        <f t="shared" si="13"/>
        <v>-4.2387925000000104E-2</v>
      </c>
      <c r="AQ31" s="440">
        <f t="shared" si="14"/>
        <v>-4.2387925000000104E-2</v>
      </c>
      <c r="AR31" s="441">
        <f t="shared" si="15"/>
        <v>-4.2387925000000104E-2</v>
      </c>
      <c r="AS31" s="359">
        <f>'Price Adjustments'!$G$7</f>
        <v>0</v>
      </c>
      <c r="AT31" s="250">
        <f>IF(ISERROR(VLOOKUP($A31,'14-15 tariff'!$A:$F,3,FALSE)*(1+$AS$6)),"-",VLOOKUP($A31,'14-15 tariff'!$A:$F,3,FALSE)*(1+$AS$6))</f>
        <v>188</v>
      </c>
      <c r="AU31" s="250">
        <f>IF(ISERROR(VLOOKUP($A31,'14-15 tariff'!$A:$F,4,FALSE)*(1+$AS$6)),"-",VLOOKUP($A31,'14-15 tariff'!$A:$F,4,FALSE)*(1+$AS$6))</f>
        <v>375</v>
      </c>
      <c r="AV31" s="250">
        <f>IF(ISERROR(VLOOKUP($A31,'14-15 tariff'!$A:$F,5,FALSE)*(1+$AS$6)),"-",VLOOKUP($A31,'14-15 tariff'!$A:$F,5,FALSE)*(1+$AS$6))</f>
        <v>133</v>
      </c>
      <c r="AW31" s="250">
        <f>IF(ISERROR(VLOOKUP($A31,'14-15 tariff'!$A:$F,6,FALSE)*(1+$AS$6)),"-",VLOOKUP($A31,'14-15 tariff'!$A:$F,6,FALSE)*(1+$AS$6))</f>
        <v>264</v>
      </c>
      <c r="AX31" s="298"/>
      <c r="AY31" s="498" t="s">
        <v>522</v>
      </c>
      <c r="AZ31" s="499" t="s">
        <v>522</v>
      </c>
      <c r="BA31" s="499" t="s">
        <v>522</v>
      </c>
      <c r="BB31" s="499" t="s">
        <v>522</v>
      </c>
      <c r="BC31" s="339">
        <f t="shared" si="16"/>
        <v>127.82075810773613</v>
      </c>
      <c r="BD31" s="339">
        <f t="shared" si="17"/>
        <v>211.31713938602633</v>
      </c>
      <c r="BE31" s="339">
        <f t="shared" si="18"/>
        <v>127.82075810773613</v>
      </c>
      <c r="BF31" s="340">
        <f t="shared" si="19"/>
        <v>186.99333217006728</v>
      </c>
      <c r="BG31" s="265">
        <f t="shared" si="20"/>
        <v>-4.2387925000000104E-2</v>
      </c>
      <c r="BH31" s="265">
        <f t="shared" si="21"/>
        <v>-4.2387925000000104E-2</v>
      </c>
      <c r="BI31" s="265">
        <f t="shared" si="22"/>
        <v>-4.2387925000000104E-2</v>
      </c>
      <c r="BJ31" s="265">
        <f t="shared" si="23"/>
        <v>-4.2387925000000104E-2</v>
      </c>
      <c r="BK31" s="298"/>
      <c r="BL31" s="503">
        <f>'Price Adjustments'!$C$66</f>
        <v>-1.22128076562165E-2</v>
      </c>
      <c r="BM31" s="378">
        <f t="shared" si="24"/>
        <v>126.25970777449457</v>
      </c>
      <c r="BN31" s="378">
        <f t="shared" si="25"/>
        <v>208.73636380824291</v>
      </c>
      <c r="BO31" s="378">
        <f t="shared" si="26"/>
        <v>126.25970777449457</v>
      </c>
      <c r="BP31" s="506">
        <f t="shared" si="27"/>
        <v>184.70961857127926</v>
      </c>
      <c r="BQ31" s="298"/>
      <c r="BR31" s="618" t="str">
        <f>IF(COUNTIF('Manual adjustments'!$A:$A,A31)=1,"Y","")</f>
        <v/>
      </c>
      <c r="BS31" s="378">
        <f>IF($BR31="",BM31,IF(AND($BR31="Y",VLOOKUP($A31,'Manual adjustments'!$A:$O,12,FALSE)&lt;&gt;""),VLOOKUP($A31,'Manual adjustments'!$A:$O,12,FALSE),BM31))</f>
        <v>126.25970777449457</v>
      </c>
      <c r="BT31" s="378">
        <f>IF($BR31="",BN31,IF(AND($BR31="Y",VLOOKUP($A31,'Manual adjustments'!$A:$O,13,FALSE)&lt;&gt;""),VLOOKUP($A31,'Manual adjustments'!$A:$O,13,FALSE),BN31))</f>
        <v>208.73636380824291</v>
      </c>
      <c r="BU31" s="378">
        <f>IF($BR31="",BO31,IF(AND($BR31="Y",VLOOKUP($A31,'Manual adjustments'!$A:$O,14,FALSE)&lt;&gt;""),VLOOKUP($A31,'Manual adjustments'!$A:$O,14,FALSE),BO31))</f>
        <v>126.25970777449457</v>
      </c>
      <c r="BV31" s="378">
        <f>IF($BR31="",BP31,IF(AND($BR31="Y",VLOOKUP($A31,'Manual adjustments'!$A:$O,15,FALSE)&lt;&gt;""),VLOOKUP($A31,'Manual adjustments'!$A:$O,15,FALSE),BP31))</f>
        <v>184.70961857127926</v>
      </c>
      <c r="BW31" s="384">
        <f>'Price Adjustments'!$D$66</f>
        <v>0</v>
      </c>
      <c r="BX31" s="378">
        <f t="shared" si="34"/>
        <v>126.25970777449457</v>
      </c>
      <c r="BY31" s="378">
        <f t="shared" si="35"/>
        <v>208.73636380824291</v>
      </c>
      <c r="BZ31" s="378">
        <f t="shared" si="36"/>
        <v>126.25970777449457</v>
      </c>
      <c r="CA31" s="379">
        <f t="shared" si="37"/>
        <v>184.70961857127926</v>
      </c>
      <c r="CB31" s="615">
        <f t="shared" si="38"/>
        <v>0</v>
      </c>
      <c r="CC31" s="423">
        <f t="shared" si="39"/>
        <v>0</v>
      </c>
      <c r="CD31" s="423">
        <f t="shared" si="40"/>
        <v>0</v>
      </c>
      <c r="CE31" s="423">
        <f t="shared" si="41"/>
        <v>0</v>
      </c>
      <c r="CF31" s="298"/>
      <c r="CG31" s="388">
        <f t="shared" si="42"/>
        <v>126</v>
      </c>
      <c r="CH31" s="378">
        <f t="shared" si="43"/>
        <v>209</v>
      </c>
      <c r="CI31" s="378">
        <f t="shared" si="44"/>
        <v>126</v>
      </c>
      <c r="CJ31" s="379">
        <f t="shared" si="45"/>
        <v>185</v>
      </c>
      <c r="CM31" s="507"/>
      <c r="CN31" s="507"/>
      <c r="CO31" s="507"/>
      <c r="CP31" s="507"/>
    </row>
    <row r="32" spans="1:94" ht="16.5" customHeight="1">
      <c r="A32" s="296">
        <v>219</v>
      </c>
      <c r="B32" s="292" t="s">
        <v>23</v>
      </c>
      <c r="C32" s="293">
        <f>IF(ISERROR(VLOOKUP($A32,'Allocate OPROC cost'!A:M,11,FALSE)),"-",VLOOKUP($A32,'Allocate OPROC cost'!A:M,11,FALSE))</f>
        <v>110.54213038298134</v>
      </c>
      <c r="D32" s="140">
        <f>IF(ISERROR(VLOOKUP($A32,'Allocate OPROC cost'!A:M,10,FALSE)),"-",VLOOKUP($A32,'Allocate OPROC cost'!A:M,10,FALSE))</f>
        <v>173.2578700550057</v>
      </c>
      <c r="E32" s="140">
        <f>IF(ISERROR(VLOOKUP($A32,'Allocate OPROC cost'!A:M,13,FALSE)),"-",VLOOKUP($A32,'Allocate OPROC cost'!A:M,13,FALSE))</f>
        <v>121.55404267679403</v>
      </c>
      <c r="F32" s="294">
        <f>IF(ISERROR(VLOOKUP($A32,'Allocate OPROC cost'!A:M,12,FALSE)),"-",VLOOKUP($A32,'Allocate OPROC cost'!A:M,12,FALSE))</f>
        <v>92.116518726123886</v>
      </c>
      <c r="G32" s="298"/>
      <c r="H32" s="405">
        <f>IF(ISERROR(VLOOKUP($A32,'Allocate OPROC cost'!A:AO,39,FALSE)),"-",VLOOKUP($A32,'Allocate OPROC cost'!A:AO,39,FALSE))</f>
        <v>110.65256900684776</v>
      </c>
      <c r="I32" s="406">
        <f>IF(ISERROR(VLOOKUP($A32,'Allocate OPROC cost'!A:AO,38,FALSE)),"-",VLOOKUP($A32,'Allocate OPROC cost'!A:AO,38,FALSE))</f>
        <v>173.2578700550057</v>
      </c>
      <c r="J32" s="406">
        <f>IF(ISERROR(VLOOKUP($A32,'Allocate OPROC cost'!A:AO,41,FALSE)),"-",VLOOKUP($A32,'Allocate OPROC cost'!A:AO,41,FALSE))</f>
        <v>121.49907802710598</v>
      </c>
      <c r="K32" s="407">
        <f>IF(ISERROR(VLOOKUP($A32,'Allocate OPROC cost'!A:AO,40,FALSE)),"-",VLOOKUP($A32,'Allocate OPROC cost'!A:AO,40,FALSE))</f>
        <v>92.116518726123886</v>
      </c>
      <c r="L32" s="425">
        <f t="shared" si="0"/>
        <v>9.9906364644675172E-4</v>
      </c>
      <c r="M32" s="426">
        <f t="shared" si="1"/>
        <v>0</v>
      </c>
      <c r="N32" s="426">
        <f t="shared" si="2"/>
        <v>-4.5218281907899449E-4</v>
      </c>
      <c r="O32" s="425">
        <f t="shared" si="3"/>
        <v>0</v>
      </c>
      <c r="P32" s="298"/>
      <c r="Q32" s="299">
        <f>IF(ISERROR(VLOOKUP($A32,'Front-loading'!$A:$AG,27,FALSE)),"-",VLOOKUP($A32,'Front-loading'!$A:$AG,27,FALSE))</f>
        <v>142.92164525416044</v>
      </c>
      <c r="R32" s="150">
        <f>IF(ISERROR(VLOOKUP($A32,'Front-loading'!$A:$AG,26,FALSE)),"-",VLOOKUP($A32,'Front-loading'!$A:$AG,26,FALSE))</f>
        <v>201.22692703609823</v>
      </c>
      <c r="S32" s="150">
        <f>IF(ISERROR(VLOOKUP($A32,'Front-loading'!$A:$AG,29,FALSE)),"-",VLOOKUP($A32,'Front-loading'!$A:$AG,29,FALSE))</f>
        <v>109.34917022439538</v>
      </c>
      <c r="T32" s="300">
        <f>IF(ISERROR(VLOOKUP($A32,'Front-loading'!$A:$AG,28,FALSE)),"-",VLOOKUP($A32,'Front-loading'!$A:$AG,28,FALSE))</f>
        <v>82.904866853511507</v>
      </c>
      <c r="U32" s="429">
        <f t="shared" si="4"/>
        <v>0.29162518807236815</v>
      </c>
      <c r="V32" s="430">
        <f t="shared" si="5"/>
        <v>0.16143022520254324</v>
      </c>
      <c r="W32" s="430">
        <f t="shared" si="6"/>
        <v>-9.9999999999999978E-2</v>
      </c>
      <c r="X32" s="431">
        <f t="shared" si="7"/>
        <v>-9.9999999999999867E-2</v>
      </c>
      <c r="Y32" s="298"/>
      <c r="Z32" s="152">
        <f>IF(ISERROR(VLOOKUP($A32,'Further adjustment'!$A:$BC,53,FALSE)),"-",VLOOKUP($A32,'Further adjustment'!$A:$BC,53,FALSE))</f>
        <v>142.92164525416044</v>
      </c>
      <c r="AA32" s="152">
        <f>IF(ISERROR(VLOOKUP($A32,'Further adjustment'!$A:$BC,52,FALSE)),"-",VLOOKUP($A32,'Further adjustment'!$A:$BC,52,FALSE))</f>
        <v>201.22692703609823</v>
      </c>
      <c r="AB32" s="152">
        <f>IF(ISERROR(VLOOKUP($A32,'Further adjustment'!$A:$BC,55,FALSE)),"-",VLOOKUP($A32,'Further adjustment'!$A:$BC,55,FALSE))</f>
        <v>108.9779287463795</v>
      </c>
      <c r="AC32" s="412">
        <f>IF(ISERROR(VLOOKUP($A32,'Further adjustment'!$A:$BC,54,FALSE)),"-",VLOOKUP($A32,'Further adjustment'!$A:$BC,54,FALSE))</f>
        <v>108.9779287463795</v>
      </c>
      <c r="AD32" s="435">
        <f t="shared" si="8"/>
        <v>0</v>
      </c>
      <c r="AE32" s="436">
        <f t="shared" si="9"/>
        <v>0</v>
      </c>
      <c r="AF32" s="436">
        <f t="shared" si="10"/>
        <v>-3.3950095574941663E-3</v>
      </c>
      <c r="AG32" s="436">
        <f t="shared" si="11"/>
        <v>0.31449374303848421</v>
      </c>
      <c r="AH32" s="298"/>
      <c r="AI32" s="347">
        <f>'Price Adjustments'!$H$7</f>
        <v>-4.2387925000000104E-2</v>
      </c>
      <c r="AJ32" s="467">
        <f>'Price Adjustments'!$G$91</f>
        <v>0</v>
      </c>
      <c r="AK32" s="352">
        <f t="shared" si="30"/>
        <v>136.86349327425046</v>
      </c>
      <c r="AL32" s="352">
        <f t="shared" si="31"/>
        <v>192.69733514491162</v>
      </c>
      <c r="AM32" s="352">
        <f t="shared" si="32"/>
        <v>104.35858047602261</v>
      </c>
      <c r="AN32" s="413">
        <f t="shared" si="33"/>
        <v>104.35858047602261</v>
      </c>
      <c r="AO32" s="439">
        <f t="shared" si="12"/>
        <v>-4.2387925000000104E-2</v>
      </c>
      <c r="AP32" s="440">
        <f t="shared" si="13"/>
        <v>-4.2387924999999993E-2</v>
      </c>
      <c r="AQ32" s="440">
        <f t="shared" si="14"/>
        <v>-4.2387925000000104E-2</v>
      </c>
      <c r="AR32" s="441">
        <f t="shared" si="15"/>
        <v>-4.2387925000000104E-2</v>
      </c>
      <c r="AS32" s="359">
        <f>'Price Adjustments'!$G$7</f>
        <v>0</v>
      </c>
      <c r="AT32" s="250">
        <f>IF(ISERROR(VLOOKUP($A32,'14-15 tariff'!$A:$F,3,FALSE)*(1+$AS$6)),"-",VLOOKUP($A32,'14-15 tariff'!$A:$F,3,FALSE)*(1+$AS$6))</f>
        <v>134</v>
      </c>
      <c r="AU32" s="250">
        <f>IF(ISERROR(VLOOKUP($A32,'14-15 tariff'!$A:$F,4,FALSE)*(1+$AS$6)),"-",VLOOKUP($A32,'14-15 tariff'!$A:$F,4,FALSE)*(1+$AS$6))</f>
        <v>267</v>
      </c>
      <c r="AV32" s="250">
        <f>IF(ISERROR(VLOOKUP($A32,'14-15 tariff'!$A:$F,5,FALSE)*(1+$AS$6)),"-",VLOOKUP($A32,'14-15 tariff'!$A:$F,5,FALSE)*(1+$AS$6))</f>
        <v>99</v>
      </c>
      <c r="AW32" s="250">
        <f>IF(ISERROR(VLOOKUP($A32,'14-15 tariff'!$A:$F,6,FALSE)*(1+$AS$6)),"-",VLOOKUP($A32,'14-15 tariff'!$A:$F,6,FALSE)*(1+$AS$6))</f>
        <v>115</v>
      </c>
      <c r="AX32" s="298"/>
      <c r="AY32" s="498" t="s">
        <v>522</v>
      </c>
      <c r="AZ32" s="499" t="s">
        <v>522</v>
      </c>
      <c r="BA32" s="499" t="s">
        <v>522</v>
      </c>
      <c r="BB32" s="499" t="s">
        <v>522</v>
      </c>
      <c r="BC32" s="339">
        <f t="shared" si="16"/>
        <v>136.86349327425046</v>
      </c>
      <c r="BD32" s="339">
        <f t="shared" si="17"/>
        <v>192.69733514491162</v>
      </c>
      <c r="BE32" s="339">
        <f t="shared" si="18"/>
        <v>104.35858047602261</v>
      </c>
      <c r="BF32" s="340">
        <f t="shared" si="19"/>
        <v>104.35858047602261</v>
      </c>
      <c r="BG32" s="265">
        <f t="shared" si="20"/>
        <v>-4.2387925000000104E-2</v>
      </c>
      <c r="BH32" s="265">
        <f t="shared" si="21"/>
        <v>-4.2387924999999993E-2</v>
      </c>
      <c r="BI32" s="265">
        <f t="shared" si="22"/>
        <v>-4.2387925000000104E-2</v>
      </c>
      <c r="BJ32" s="265">
        <f t="shared" si="23"/>
        <v>-4.2387925000000104E-2</v>
      </c>
      <c r="BK32" s="298"/>
      <c r="BL32" s="503">
        <f>'Price Adjustments'!$C$66</f>
        <v>-1.22128076562165E-2</v>
      </c>
      <c r="BM32" s="378">
        <f t="shared" si="24"/>
        <v>135.19200575573416</v>
      </c>
      <c r="BN32" s="378">
        <f t="shared" si="25"/>
        <v>190.34395965492132</v>
      </c>
      <c r="BO32" s="378">
        <f t="shared" si="26"/>
        <v>103.08406920539316</v>
      </c>
      <c r="BP32" s="506">
        <f t="shared" si="27"/>
        <v>103.08406920539316</v>
      </c>
      <c r="BQ32" s="298"/>
      <c r="BR32" s="618" t="str">
        <f>IF(COUNTIF('Manual adjustments'!$A:$A,A32)=1,"Y","")</f>
        <v/>
      </c>
      <c r="BS32" s="378">
        <f>IF($BR32="",BM32,IF(AND($BR32="Y",VLOOKUP($A32,'Manual adjustments'!$A:$O,12,FALSE)&lt;&gt;""),VLOOKUP($A32,'Manual adjustments'!$A:$O,12,FALSE),BM32))</f>
        <v>135.19200575573416</v>
      </c>
      <c r="BT32" s="378">
        <f>IF($BR32="",BN32,IF(AND($BR32="Y",VLOOKUP($A32,'Manual adjustments'!$A:$O,13,FALSE)&lt;&gt;""),VLOOKUP($A32,'Manual adjustments'!$A:$O,13,FALSE),BN32))</f>
        <v>190.34395965492132</v>
      </c>
      <c r="BU32" s="378">
        <f>IF($BR32="",BO32,IF(AND($BR32="Y",VLOOKUP($A32,'Manual adjustments'!$A:$O,14,FALSE)&lt;&gt;""),VLOOKUP($A32,'Manual adjustments'!$A:$O,14,FALSE),BO32))</f>
        <v>103.08406920539316</v>
      </c>
      <c r="BV32" s="378">
        <f>IF($BR32="",BP32,IF(AND($BR32="Y",VLOOKUP($A32,'Manual adjustments'!$A:$O,15,FALSE)&lt;&gt;""),VLOOKUP($A32,'Manual adjustments'!$A:$O,15,FALSE),BP32))</f>
        <v>103.08406920539316</v>
      </c>
      <c r="BW32" s="384">
        <f>'Price Adjustments'!$D$66</f>
        <v>0</v>
      </c>
      <c r="BX32" s="378">
        <f t="shared" si="34"/>
        <v>135.19200575573416</v>
      </c>
      <c r="BY32" s="378">
        <f t="shared" si="35"/>
        <v>190.34395965492132</v>
      </c>
      <c r="BZ32" s="378">
        <f t="shared" si="36"/>
        <v>103.08406920539316</v>
      </c>
      <c r="CA32" s="379">
        <f t="shared" si="37"/>
        <v>103.08406920539316</v>
      </c>
      <c r="CB32" s="615">
        <f t="shared" si="38"/>
        <v>0</v>
      </c>
      <c r="CC32" s="423">
        <f t="shared" si="39"/>
        <v>0</v>
      </c>
      <c r="CD32" s="423">
        <f t="shared" si="40"/>
        <v>0</v>
      </c>
      <c r="CE32" s="423">
        <f t="shared" si="41"/>
        <v>0</v>
      </c>
      <c r="CF32" s="298"/>
      <c r="CG32" s="388">
        <f t="shared" si="42"/>
        <v>135</v>
      </c>
      <c r="CH32" s="378">
        <f t="shared" si="43"/>
        <v>190</v>
      </c>
      <c r="CI32" s="378">
        <f t="shared" si="44"/>
        <v>103</v>
      </c>
      <c r="CJ32" s="379">
        <f t="shared" si="45"/>
        <v>103</v>
      </c>
      <c r="CM32" s="507"/>
      <c r="CN32" s="507"/>
      <c r="CO32" s="507"/>
      <c r="CP32" s="507"/>
    </row>
    <row r="33" spans="1:94" ht="16.5" customHeight="1">
      <c r="A33" s="296">
        <v>223</v>
      </c>
      <c r="B33" s="292" t="s">
        <v>60</v>
      </c>
      <c r="C33" s="293" t="str">
        <f>IF(ISERROR(VLOOKUP($A33,'Allocate OPROC cost'!A:M,11,FALSE)),"-",VLOOKUP($A33,'Allocate OPROC cost'!A:M,11,FALSE))</f>
        <v>-</v>
      </c>
      <c r="D33" s="140" t="str">
        <f>IF(ISERROR(VLOOKUP($A33,'Allocate OPROC cost'!A:M,10,FALSE)),"-",VLOOKUP($A33,'Allocate OPROC cost'!A:M,10,FALSE))</f>
        <v>-</v>
      </c>
      <c r="E33" s="140" t="str">
        <f>IF(ISERROR(VLOOKUP($A33,'Allocate OPROC cost'!A:M,13,FALSE)),"-",VLOOKUP($A33,'Allocate OPROC cost'!A:M,13,FALSE))</f>
        <v>-</v>
      </c>
      <c r="F33" s="294" t="str">
        <f>IF(ISERROR(VLOOKUP($A33,'Allocate OPROC cost'!A:M,12,FALSE)),"-",VLOOKUP($A33,'Allocate OPROC cost'!A:M,12,FALSE))</f>
        <v>-</v>
      </c>
      <c r="G33" s="298"/>
      <c r="H33" s="405" t="str">
        <f>IF(ISERROR(VLOOKUP($A33,'Allocate OPROC cost'!A:AO,39,FALSE)),"-",VLOOKUP($A33,'Allocate OPROC cost'!A:AO,39,FALSE))</f>
        <v>-</v>
      </c>
      <c r="I33" s="406" t="str">
        <f>IF(ISERROR(VLOOKUP($A33,'Allocate OPROC cost'!A:AO,38,FALSE)),"-",VLOOKUP($A33,'Allocate OPROC cost'!A:AO,38,FALSE))</f>
        <v>-</v>
      </c>
      <c r="J33" s="406" t="str">
        <f>IF(ISERROR(VLOOKUP($A33,'Allocate OPROC cost'!A:AO,41,FALSE)),"-",VLOOKUP($A33,'Allocate OPROC cost'!A:AO,41,FALSE))</f>
        <v>-</v>
      </c>
      <c r="K33" s="407" t="str">
        <f>IF(ISERROR(VLOOKUP($A33,'Allocate OPROC cost'!A:AO,40,FALSE)),"-",VLOOKUP($A33,'Allocate OPROC cost'!A:AO,40,FALSE))</f>
        <v>-</v>
      </c>
      <c r="L33" s="425" t="str">
        <f t="shared" si="0"/>
        <v>-</v>
      </c>
      <c r="M33" s="426" t="str">
        <f t="shared" si="1"/>
        <v>-</v>
      </c>
      <c r="N33" s="426" t="str">
        <f t="shared" si="2"/>
        <v>-</v>
      </c>
      <c r="O33" s="425" t="str">
        <f t="shared" si="3"/>
        <v>-</v>
      </c>
      <c r="P33" s="298"/>
      <c r="Q33" s="299" t="str">
        <f>IF(ISERROR(VLOOKUP($A33,'Front-loading'!$A:$AG,27,FALSE)),"-",VLOOKUP($A33,'Front-loading'!$A:$AG,27,FALSE))</f>
        <v>-</v>
      </c>
      <c r="R33" s="150" t="str">
        <f>IF(ISERROR(VLOOKUP($A33,'Front-loading'!$A:$AG,26,FALSE)),"-",VLOOKUP($A33,'Front-loading'!$A:$AG,26,FALSE))</f>
        <v>-</v>
      </c>
      <c r="S33" s="150" t="str">
        <f>IF(ISERROR(VLOOKUP($A33,'Front-loading'!$A:$AG,29,FALSE)),"-",VLOOKUP($A33,'Front-loading'!$A:$AG,29,FALSE))</f>
        <v>-</v>
      </c>
      <c r="T33" s="300" t="str">
        <f>IF(ISERROR(VLOOKUP($A33,'Front-loading'!$A:$AG,28,FALSE)),"-",VLOOKUP($A33,'Front-loading'!$A:$AG,28,FALSE))</f>
        <v>-</v>
      </c>
      <c r="U33" s="429" t="str">
        <f t="shared" si="4"/>
        <v>-</v>
      </c>
      <c r="V33" s="430" t="str">
        <f t="shared" si="5"/>
        <v>-</v>
      </c>
      <c r="W33" s="430" t="str">
        <f t="shared" si="6"/>
        <v>-</v>
      </c>
      <c r="X33" s="431" t="str">
        <f t="shared" si="7"/>
        <v>-</v>
      </c>
      <c r="Y33" s="298"/>
      <c r="Z33" s="152" t="str">
        <f>IF(ISERROR(VLOOKUP($A33,'Further adjustment'!$A:$BC,53,FALSE)),"-",VLOOKUP($A33,'Further adjustment'!$A:$BC,53,FALSE))</f>
        <v>-</v>
      </c>
      <c r="AA33" s="152" t="str">
        <f>IF(ISERROR(VLOOKUP($A33,'Further adjustment'!$A:$BC,52,FALSE)),"-",VLOOKUP($A33,'Further adjustment'!$A:$BC,52,FALSE))</f>
        <v>-</v>
      </c>
      <c r="AB33" s="152" t="str">
        <f>IF(ISERROR(VLOOKUP($A33,'Further adjustment'!$A:$BC,55,FALSE)),"-",VLOOKUP($A33,'Further adjustment'!$A:$BC,55,FALSE))</f>
        <v>-</v>
      </c>
      <c r="AC33" s="412" t="str">
        <f>IF(ISERROR(VLOOKUP($A33,'Further adjustment'!$A:$BC,54,FALSE)),"-",VLOOKUP($A33,'Further adjustment'!$A:$BC,54,FALSE))</f>
        <v>-</v>
      </c>
      <c r="AD33" s="435" t="str">
        <f t="shared" si="8"/>
        <v>-</v>
      </c>
      <c r="AE33" s="436" t="str">
        <f t="shared" si="9"/>
        <v>-</v>
      </c>
      <c r="AF33" s="436" t="str">
        <f t="shared" si="10"/>
        <v>-</v>
      </c>
      <c r="AG33" s="436" t="str">
        <f t="shared" si="11"/>
        <v>-</v>
      </c>
      <c r="AH33" s="298"/>
      <c r="AI33" s="347">
        <f>'Price Adjustments'!$H$7</f>
        <v>-4.2387925000000104E-2</v>
      </c>
      <c r="AJ33" s="467">
        <f>'Price Adjustments'!$G$91</f>
        <v>0</v>
      </c>
      <c r="AK33" s="352" t="str">
        <f t="shared" si="30"/>
        <v>-</v>
      </c>
      <c r="AL33" s="352" t="str">
        <f t="shared" si="31"/>
        <v>-</v>
      </c>
      <c r="AM33" s="352" t="str">
        <f t="shared" si="32"/>
        <v>-</v>
      </c>
      <c r="AN33" s="413" t="str">
        <f t="shared" si="33"/>
        <v>-</v>
      </c>
      <c r="AO33" s="439" t="str">
        <f t="shared" si="12"/>
        <v>-</v>
      </c>
      <c r="AP33" s="440" t="str">
        <f t="shared" si="13"/>
        <v>-</v>
      </c>
      <c r="AQ33" s="440" t="str">
        <f t="shared" si="14"/>
        <v>-</v>
      </c>
      <c r="AR33" s="441" t="str">
        <f t="shared" si="15"/>
        <v>-</v>
      </c>
      <c r="AS33" s="359">
        <f>'Price Adjustments'!$G$7</f>
        <v>0</v>
      </c>
      <c r="AT33" s="250">
        <f>IF(ISERROR(VLOOKUP($A33,'14-15 tariff'!$A:$F,3,FALSE)*(1+$AS$6)),"-",VLOOKUP($A33,'14-15 tariff'!$A:$F,3,FALSE)*(1+$AS$6))</f>
        <v>212</v>
      </c>
      <c r="AU33" s="250">
        <f>IF(ISERROR(VLOOKUP($A33,'14-15 tariff'!$A:$F,4,FALSE)*(1+$AS$6)),"-",VLOOKUP($A33,'14-15 tariff'!$A:$F,4,FALSE)*(1+$AS$6))</f>
        <v>212</v>
      </c>
      <c r="AV33" s="250">
        <f>IF(ISERROR(VLOOKUP($A33,'14-15 tariff'!$A:$F,5,FALSE)*(1+$AS$6)),"-",VLOOKUP($A33,'14-15 tariff'!$A:$F,5,FALSE)*(1+$AS$6))</f>
        <v>170</v>
      </c>
      <c r="AW33" s="250">
        <f>IF(ISERROR(VLOOKUP($A33,'14-15 tariff'!$A:$F,6,FALSE)*(1+$AS$6)),"-",VLOOKUP($A33,'14-15 tariff'!$A:$F,6,FALSE)*(1+$AS$6))</f>
        <v>170</v>
      </c>
      <c r="AX33" s="298"/>
      <c r="AY33" s="494" t="s">
        <v>739</v>
      </c>
      <c r="AZ33" s="495" t="s">
        <v>739</v>
      </c>
      <c r="BA33" s="495" t="s">
        <v>739</v>
      </c>
      <c r="BB33" s="495" t="s">
        <v>739</v>
      </c>
      <c r="BC33" s="339">
        <f t="shared" si="16"/>
        <v>212</v>
      </c>
      <c r="BD33" s="339">
        <f t="shared" si="17"/>
        <v>212</v>
      </c>
      <c r="BE33" s="339">
        <f t="shared" si="18"/>
        <v>170</v>
      </c>
      <c r="BF33" s="340">
        <f t="shared" si="19"/>
        <v>170</v>
      </c>
      <c r="BG33" s="265" t="str">
        <f t="shared" si="20"/>
        <v>-</v>
      </c>
      <c r="BH33" s="265" t="str">
        <f t="shared" si="21"/>
        <v>-</v>
      </c>
      <c r="BI33" s="265" t="str">
        <f t="shared" si="22"/>
        <v>-</v>
      </c>
      <c r="BJ33" s="265" t="str">
        <f t="shared" si="23"/>
        <v>-</v>
      </c>
      <c r="BK33" s="298"/>
      <c r="BL33" s="503">
        <f>'Price Adjustments'!$C$66</f>
        <v>-1.22128076562165E-2</v>
      </c>
      <c r="BM33" s="378">
        <f t="shared" si="24"/>
        <v>209.41088477688211</v>
      </c>
      <c r="BN33" s="378">
        <f t="shared" si="25"/>
        <v>209.41088477688211</v>
      </c>
      <c r="BO33" s="378">
        <f t="shared" si="26"/>
        <v>167.92382269844319</v>
      </c>
      <c r="BP33" s="506">
        <f t="shared" si="27"/>
        <v>167.92382269844319</v>
      </c>
      <c r="BQ33" s="298"/>
      <c r="BR33" s="618" t="str">
        <f>IF(COUNTIF('Manual adjustments'!$A:$A,A33)=1,"Y","")</f>
        <v/>
      </c>
      <c r="BS33" s="378">
        <f>IF($BR33="",BM33,IF(AND($BR33="Y",VLOOKUP($A33,'Manual adjustments'!$A:$O,12,FALSE)&lt;&gt;""),VLOOKUP($A33,'Manual adjustments'!$A:$O,12,FALSE),BM33))</f>
        <v>209.41088477688211</v>
      </c>
      <c r="BT33" s="378">
        <f>IF($BR33="",BN33,IF(AND($BR33="Y",VLOOKUP($A33,'Manual adjustments'!$A:$O,13,FALSE)&lt;&gt;""),VLOOKUP($A33,'Manual adjustments'!$A:$O,13,FALSE),BN33))</f>
        <v>209.41088477688211</v>
      </c>
      <c r="BU33" s="378">
        <f>IF($BR33="",BO33,IF(AND($BR33="Y",VLOOKUP($A33,'Manual adjustments'!$A:$O,14,FALSE)&lt;&gt;""),VLOOKUP($A33,'Manual adjustments'!$A:$O,14,FALSE),BO33))</f>
        <v>167.92382269844319</v>
      </c>
      <c r="BV33" s="378">
        <f>IF($BR33="",BP33,IF(AND($BR33="Y",VLOOKUP($A33,'Manual adjustments'!$A:$O,15,FALSE)&lt;&gt;""),VLOOKUP($A33,'Manual adjustments'!$A:$O,15,FALSE),BP33))</f>
        <v>167.92382269844319</v>
      </c>
      <c r="BW33" s="384">
        <f>'Price Adjustments'!$D$66</f>
        <v>0</v>
      </c>
      <c r="BX33" s="378">
        <f t="shared" si="34"/>
        <v>209.41088477688211</v>
      </c>
      <c r="BY33" s="378">
        <f t="shared" si="35"/>
        <v>209.41088477688211</v>
      </c>
      <c r="BZ33" s="378">
        <f t="shared" si="36"/>
        <v>167.92382269844319</v>
      </c>
      <c r="CA33" s="379">
        <f t="shared" si="37"/>
        <v>167.92382269844319</v>
      </c>
      <c r="CB33" s="615">
        <f t="shared" si="38"/>
        <v>0</v>
      </c>
      <c r="CC33" s="423">
        <f t="shared" si="39"/>
        <v>0</v>
      </c>
      <c r="CD33" s="423">
        <f t="shared" si="40"/>
        <v>0</v>
      </c>
      <c r="CE33" s="423">
        <f t="shared" si="41"/>
        <v>0</v>
      </c>
      <c r="CF33" s="298"/>
      <c r="CG33" s="388">
        <f t="shared" si="42"/>
        <v>209</v>
      </c>
      <c r="CH33" s="378">
        <f t="shared" si="43"/>
        <v>209</v>
      </c>
      <c r="CI33" s="378">
        <f t="shared" si="44"/>
        <v>168</v>
      </c>
      <c r="CJ33" s="379">
        <f t="shared" si="45"/>
        <v>168</v>
      </c>
      <c r="CM33" s="507"/>
      <c r="CN33" s="507"/>
      <c r="CO33" s="507"/>
      <c r="CP33" s="507"/>
    </row>
    <row r="34" spans="1:94" ht="16.5" customHeight="1">
      <c r="A34" s="296">
        <v>251</v>
      </c>
      <c r="B34" s="292" t="s">
        <v>38</v>
      </c>
      <c r="C34" s="293">
        <f>IF(ISERROR(VLOOKUP($A34,'Allocate OPROC cost'!A:M,11,FALSE)),"-",VLOOKUP($A34,'Allocate OPROC cost'!A:M,11,FALSE))</f>
        <v>215.2234216969546</v>
      </c>
      <c r="D34" s="140">
        <f>IF(ISERROR(VLOOKUP($A34,'Allocate OPROC cost'!A:M,10,FALSE)),"-",VLOOKUP($A34,'Allocate OPROC cost'!A:M,10,FALSE))</f>
        <v>201.44737613090081</v>
      </c>
      <c r="E34" s="140">
        <f>IF(ISERROR(VLOOKUP($A34,'Allocate OPROC cost'!A:M,13,FALSE)),"-",VLOOKUP($A34,'Allocate OPROC cost'!A:M,13,FALSE))</f>
        <v>172.44529665650754</v>
      </c>
      <c r="F34" s="294">
        <f>IF(ISERROR(VLOOKUP($A34,'Allocate OPROC cost'!A:M,12,FALSE)),"-",VLOOKUP($A34,'Allocate OPROC cost'!A:M,12,FALSE))</f>
        <v>168.35128229835345</v>
      </c>
      <c r="G34" s="298"/>
      <c r="H34" s="405">
        <f>IF(ISERROR(VLOOKUP($A34,'Allocate OPROC cost'!A:AO,39,FALSE)),"-",VLOOKUP($A34,'Allocate OPROC cost'!A:AO,39,FALSE))</f>
        <v>215.0254186361071</v>
      </c>
      <c r="I34" s="406">
        <f>IF(ISERROR(VLOOKUP($A34,'Allocate OPROC cost'!A:AO,38,FALSE)),"-",VLOOKUP($A34,'Allocate OPROC cost'!A:AO,38,FALSE))</f>
        <v>201.44737613090081</v>
      </c>
      <c r="J34" s="406">
        <f>IF(ISERROR(VLOOKUP($A34,'Allocate OPROC cost'!A:AO,41,FALSE)),"-",VLOOKUP($A34,'Allocate OPROC cost'!A:AO,41,FALSE))</f>
        <v>172.44619517502164</v>
      </c>
      <c r="K34" s="407">
        <f>IF(ISERROR(VLOOKUP($A34,'Allocate OPROC cost'!A:AO,40,FALSE)),"-",VLOOKUP($A34,'Allocate OPROC cost'!A:AO,40,FALSE))</f>
        <v>168.35128229835345</v>
      </c>
      <c r="L34" s="425">
        <f t="shared" si="0"/>
        <v>-9.1998844403795577E-4</v>
      </c>
      <c r="M34" s="426">
        <f t="shared" si="1"/>
        <v>0</v>
      </c>
      <c r="N34" s="426">
        <f t="shared" si="2"/>
        <v>5.2104553243115248E-6</v>
      </c>
      <c r="O34" s="425">
        <f t="shared" si="3"/>
        <v>0</v>
      </c>
      <c r="P34" s="298"/>
      <c r="Q34" s="299">
        <f>IF(ISERROR(VLOOKUP($A34,'Front-loading'!$A:$AG,27,FALSE)),"-",VLOOKUP($A34,'Front-loading'!$A:$AG,27,FALSE))</f>
        <v>266.77932751748443</v>
      </c>
      <c r="R34" s="150">
        <f>IF(ISERROR(VLOOKUP($A34,'Front-loading'!$A:$AG,26,FALSE)),"-",VLOOKUP($A34,'Front-loading'!$A:$AG,26,FALSE))</f>
        <v>262.9369920261027</v>
      </c>
      <c r="S34" s="150">
        <f>IF(ISERROR(VLOOKUP($A34,'Front-loading'!$A:$AG,29,FALSE)),"-",VLOOKUP($A34,'Front-loading'!$A:$AG,29,FALSE))</f>
        <v>155.20157565751947</v>
      </c>
      <c r="T34" s="300">
        <f>IF(ISERROR(VLOOKUP($A34,'Front-loading'!$A:$AG,28,FALSE)),"-",VLOOKUP($A34,'Front-loading'!$A:$AG,28,FALSE))</f>
        <v>151.51615406851812</v>
      </c>
      <c r="U34" s="429">
        <f t="shared" si="4"/>
        <v>0.24068739970208708</v>
      </c>
      <c r="V34" s="430">
        <f t="shared" si="5"/>
        <v>0.30523910053435421</v>
      </c>
      <c r="W34" s="430">
        <f t="shared" si="6"/>
        <v>-0.10000000000000009</v>
      </c>
      <c r="X34" s="431">
        <f t="shared" si="7"/>
        <v>-9.9999999999999978E-2</v>
      </c>
      <c r="Y34" s="298"/>
      <c r="Z34" s="152">
        <f>IF(ISERROR(VLOOKUP($A34,'Further adjustment'!$A:$BC,53,FALSE)),"-",VLOOKUP($A34,'Further adjustment'!$A:$BC,53,FALSE))</f>
        <v>266.44736453331296</v>
      </c>
      <c r="AA34" s="152">
        <f>IF(ISERROR(VLOOKUP($A34,'Further adjustment'!$A:$BC,52,FALSE)),"-",VLOOKUP($A34,'Further adjustment'!$A:$BC,52,FALSE))</f>
        <v>266.44736453331296</v>
      </c>
      <c r="AB34" s="152">
        <f>IF(ISERROR(VLOOKUP($A34,'Further adjustment'!$A:$BC,55,FALSE)),"-",VLOOKUP($A34,'Further adjustment'!$A:$BC,55,FALSE))</f>
        <v>154.82120231706944</v>
      </c>
      <c r="AC34" s="412">
        <f>IF(ISERROR(VLOOKUP($A34,'Further adjustment'!$A:$BC,54,FALSE)),"-",VLOOKUP($A34,'Further adjustment'!$A:$BC,54,FALSE))</f>
        <v>154.82120231706944</v>
      </c>
      <c r="AD34" s="435">
        <f t="shared" si="8"/>
        <v>-1.244335486038417E-3</v>
      </c>
      <c r="AE34" s="436">
        <f t="shared" si="9"/>
        <v>1.335062244441354E-2</v>
      </c>
      <c r="AF34" s="436">
        <f t="shared" si="10"/>
        <v>-2.4508342704547825E-3</v>
      </c>
      <c r="AG34" s="436">
        <f t="shared" si="11"/>
        <v>2.1813174105889122E-2</v>
      </c>
      <c r="AH34" s="298"/>
      <c r="AI34" s="347">
        <f>'Price Adjustments'!$H$7</f>
        <v>-4.2387925000000104E-2</v>
      </c>
      <c r="AJ34" s="467">
        <f>'Price Adjustments'!$G$91</f>
        <v>0</v>
      </c>
      <c r="AK34" s="352">
        <f t="shared" si="30"/>
        <v>255.15321362902719</v>
      </c>
      <c r="AL34" s="352">
        <f t="shared" si="31"/>
        <v>255.15321362902719</v>
      </c>
      <c r="AM34" s="352">
        <f t="shared" si="32"/>
        <v>148.25865280484365</v>
      </c>
      <c r="AN34" s="413">
        <f t="shared" si="33"/>
        <v>148.25865280484365</v>
      </c>
      <c r="AO34" s="439">
        <f t="shared" si="12"/>
        <v>-4.2387925000000104E-2</v>
      </c>
      <c r="AP34" s="440">
        <f t="shared" si="13"/>
        <v>-4.2387925000000104E-2</v>
      </c>
      <c r="AQ34" s="440">
        <f t="shared" si="14"/>
        <v>-4.2387925000000104E-2</v>
      </c>
      <c r="AR34" s="441">
        <f t="shared" si="15"/>
        <v>-4.2387925000000104E-2</v>
      </c>
      <c r="AS34" s="359">
        <f>'Price Adjustments'!$G$7</f>
        <v>0</v>
      </c>
      <c r="AT34" s="250">
        <f>IF(ISERROR(VLOOKUP($A34,'14-15 tariff'!$A:$F,3,FALSE)*(1+$AS$6)),"-",VLOOKUP($A34,'14-15 tariff'!$A:$F,3,FALSE)*(1+$AS$6))</f>
        <v>243</v>
      </c>
      <c r="AU34" s="250">
        <f>IF(ISERROR(VLOOKUP($A34,'14-15 tariff'!$A:$F,4,FALSE)*(1+$AS$6)),"-",VLOOKUP($A34,'14-15 tariff'!$A:$F,4,FALSE)*(1+$AS$6))</f>
        <v>258</v>
      </c>
      <c r="AV34" s="250">
        <f>IF(ISERROR(VLOOKUP($A34,'14-15 tariff'!$A:$F,5,FALSE)*(1+$AS$6)),"-",VLOOKUP($A34,'14-15 tariff'!$A:$F,5,FALSE)*(1+$AS$6))</f>
        <v>155</v>
      </c>
      <c r="AW34" s="250">
        <f>IF(ISERROR(VLOOKUP($A34,'14-15 tariff'!$A:$F,6,FALSE)*(1+$AS$6)),"-",VLOOKUP($A34,'14-15 tariff'!$A:$F,6,FALSE)*(1+$AS$6))</f>
        <v>155</v>
      </c>
      <c r="AX34" s="298"/>
      <c r="AY34" s="498" t="s">
        <v>522</v>
      </c>
      <c r="AZ34" s="499" t="s">
        <v>522</v>
      </c>
      <c r="BA34" s="499" t="s">
        <v>522</v>
      </c>
      <c r="BB34" s="499" t="s">
        <v>522</v>
      </c>
      <c r="BC34" s="339">
        <f t="shared" si="16"/>
        <v>255.15321362902719</v>
      </c>
      <c r="BD34" s="339">
        <f t="shared" si="17"/>
        <v>255.15321362902719</v>
      </c>
      <c r="BE34" s="339">
        <f t="shared" si="18"/>
        <v>148.25865280484365</v>
      </c>
      <c r="BF34" s="340">
        <f t="shared" si="19"/>
        <v>148.25865280484365</v>
      </c>
      <c r="BG34" s="265">
        <f t="shared" si="20"/>
        <v>-4.2387925000000104E-2</v>
      </c>
      <c r="BH34" s="265">
        <f t="shared" si="21"/>
        <v>-4.2387925000000104E-2</v>
      </c>
      <c r="BI34" s="265">
        <f t="shared" si="22"/>
        <v>-4.2387925000000104E-2</v>
      </c>
      <c r="BJ34" s="265">
        <f t="shared" si="23"/>
        <v>-4.2387925000000104E-2</v>
      </c>
      <c r="BK34" s="298"/>
      <c r="BL34" s="503">
        <f>'Price Adjustments'!$C$66</f>
        <v>-1.22128076562165E-2</v>
      </c>
      <c r="BM34" s="378">
        <f t="shared" si="24"/>
        <v>252.03707650811037</v>
      </c>
      <c r="BN34" s="378">
        <f t="shared" si="25"/>
        <v>252.03707650811037</v>
      </c>
      <c r="BO34" s="378">
        <f t="shared" si="26"/>
        <v>146.44799839476832</v>
      </c>
      <c r="BP34" s="506">
        <f t="shared" si="27"/>
        <v>146.44799839476832</v>
      </c>
      <c r="BQ34" s="298"/>
      <c r="BR34" s="618" t="str">
        <f>IF(COUNTIF('Manual adjustments'!$A:$A,A34)=1,"Y","")</f>
        <v/>
      </c>
      <c r="BS34" s="378">
        <f>IF($BR34="",BM34,IF(AND($BR34="Y",VLOOKUP($A34,'Manual adjustments'!$A:$O,12,FALSE)&lt;&gt;""),VLOOKUP($A34,'Manual adjustments'!$A:$O,12,FALSE),BM34))</f>
        <v>252.03707650811037</v>
      </c>
      <c r="BT34" s="378">
        <f>IF($BR34="",BN34,IF(AND($BR34="Y",VLOOKUP($A34,'Manual adjustments'!$A:$O,13,FALSE)&lt;&gt;""),VLOOKUP($A34,'Manual adjustments'!$A:$O,13,FALSE),BN34))</f>
        <v>252.03707650811037</v>
      </c>
      <c r="BU34" s="378">
        <f>IF($BR34="",BO34,IF(AND($BR34="Y",VLOOKUP($A34,'Manual adjustments'!$A:$O,14,FALSE)&lt;&gt;""),VLOOKUP($A34,'Manual adjustments'!$A:$O,14,FALSE),BO34))</f>
        <v>146.44799839476832</v>
      </c>
      <c r="BV34" s="378">
        <f>IF($BR34="",BP34,IF(AND($BR34="Y",VLOOKUP($A34,'Manual adjustments'!$A:$O,15,FALSE)&lt;&gt;""),VLOOKUP($A34,'Manual adjustments'!$A:$O,15,FALSE),BP34))</f>
        <v>146.44799839476832</v>
      </c>
      <c r="BW34" s="384">
        <f>'Price Adjustments'!$D$66</f>
        <v>0</v>
      </c>
      <c r="BX34" s="378">
        <f t="shared" si="34"/>
        <v>252.03707650811037</v>
      </c>
      <c r="BY34" s="378">
        <f t="shared" si="35"/>
        <v>252.03707650811037</v>
      </c>
      <c r="BZ34" s="378">
        <f t="shared" si="36"/>
        <v>146.44799839476832</v>
      </c>
      <c r="CA34" s="379">
        <f t="shared" si="37"/>
        <v>146.44799839476832</v>
      </c>
      <c r="CB34" s="615">
        <f t="shared" si="38"/>
        <v>0</v>
      </c>
      <c r="CC34" s="423">
        <f t="shared" si="39"/>
        <v>0</v>
      </c>
      <c r="CD34" s="423">
        <f t="shared" si="40"/>
        <v>0</v>
      </c>
      <c r="CE34" s="423">
        <f t="shared" si="41"/>
        <v>0</v>
      </c>
      <c r="CF34" s="298"/>
      <c r="CG34" s="388">
        <f t="shared" si="42"/>
        <v>252</v>
      </c>
      <c r="CH34" s="378">
        <f t="shared" si="43"/>
        <v>252</v>
      </c>
      <c r="CI34" s="378">
        <f t="shared" si="44"/>
        <v>146</v>
      </c>
      <c r="CJ34" s="379">
        <f t="shared" si="45"/>
        <v>146</v>
      </c>
      <c r="CM34" s="507"/>
      <c r="CN34" s="507"/>
      <c r="CO34" s="507"/>
      <c r="CP34" s="507"/>
    </row>
    <row r="35" spans="1:94" ht="16.5" customHeight="1">
      <c r="A35" s="296">
        <v>252</v>
      </c>
      <c r="B35" s="292" t="s">
        <v>39</v>
      </c>
      <c r="C35" s="293">
        <f>IF(ISERROR(VLOOKUP($A35,'Allocate OPROC cost'!A:M,11,FALSE)),"-",VLOOKUP($A35,'Allocate OPROC cost'!A:M,11,FALSE))</f>
        <v>325.90432217080553</v>
      </c>
      <c r="D35" s="140">
        <f>IF(ISERROR(VLOOKUP($A35,'Allocate OPROC cost'!A:M,10,FALSE)),"-",VLOOKUP($A35,'Allocate OPROC cost'!A:M,10,FALSE))</f>
        <v>198.63008329236831</v>
      </c>
      <c r="E35" s="140">
        <f>IF(ISERROR(VLOOKUP($A35,'Allocate OPROC cost'!A:M,13,FALSE)),"-",VLOOKUP($A35,'Allocate OPROC cost'!A:M,13,FALSE))</f>
        <v>214.58968765380612</v>
      </c>
      <c r="F35" s="294">
        <f>IF(ISERROR(VLOOKUP($A35,'Allocate OPROC cost'!A:M,12,FALSE)),"-",VLOOKUP($A35,'Allocate OPROC cost'!A:M,12,FALSE))</f>
        <v>230.82816365590725</v>
      </c>
      <c r="G35" s="298"/>
      <c r="H35" s="405">
        <f>IF(ISERROR(VLOOKUP($A35,'Allocate OPROC cost'!A:AO,39,FALSE)),"-",VLOOKUP($A35,'Allocate OPROC cost'!A:AO,39,FALSE))</f>
        <v>325.88442272357867</v>
      </c>
      <c r="I35" s="406">
        <f>IF(ISERROR(VLOOKUP($A35,'Allocate OPROC cost'!A:AO,38,FALSE)),"-",VLOOKUP($A35,'Allocate OPROC cost'!A:AO,38,FALSE))</f>
        <v>198.63008329236831</v>
      </c>
      <c r="J35" s="406">
        <f>IF(ISERROR(VLOOKUP($A35,'Allocate OPROC cost'!A:AO,41,FALSE)),"-",VLOOKUP($A35,'Allocate OPROC cost'!A:AO,41,FALSE))</f>
        <v>214.58580916705159</v>
      </c>
      <c r="K35" s="407">
        <f>IF(ISERROR(VLOOKUP($A35,'Allocate OPROC cost'!A:AO,40,FALSE)),"-",VLOOKUP($A35,'Allocate OPROC cost'!A:AO,40,FALSE))</f>
        <v>230.82816365590725</v>
      </c>
      <c r="L35" s="425">
        <f t="shared" si="0"/>
        <v>-6.1059169434551919E-5</v>
      </c>
      <c r="M35" s="426">
        <f t="shared" si="1"/>
        <v>0</v>
      </c>
      <c r="N35" s="426">
        <f t="shared" si="2"/>
        <v>-1.8073966167375666E-5</v>
      </c>
      <c r="O35" s="425">
        <f t="shared" si="3"/>
        <v>0</v>
      </c>
      <c r="P35" s="298"/>
      <c r="Q35" s="299">
        <f>IF(ISERROR(VLOOKUP($A35,'Front-loading'!$A:$AG,27,FALSE)),"-",VLOOKUP($A35,'Front-loading'!$A:$AG,27,FALSE))</f>
        <v>410.99641320683207</v>
      </c>
      <c r="R35" s="150">
        <f>IF(ISERROR(VLOOKUP($A35,'Front-loading'!$A:$AG,26,FALSE)),"-",VLOOKUP($A35,'Front-loading'!$A:$AG,26,FALSE))</f>
        <v>297.94512493855251</v>
      </c>
      <c r="S35" s="150">
        <f>IF(ISERROR(VLOOKUP($A35,'Front-loading'!$A:$AG,29,FALSE)),"-",VLOOKUP($A35,'Front-loading'!$A:$AG,29,FALSE))</f>
        <v>193.12722825034646</v>
      </c>
      <c r="T35" s="300">
        <f>IF(ISERROR(VLOOKUP($A35,'Front-loading'!$A:$AG,28,FALSE)),"-",VLOOKUP($A35,'Front-loading'!$A:$AG,28,FALSE))</f>
        <v>207.74534729031654</v>
      </c>
      <c r="U35" s="429">
        <f t="shared" si="4"/>
        <v>0.26117231922879292</v>
      </c>
      <c r="V35" s="430">
        <f t="shared" si="5"/>
        <v>0.50000000000000022</v>
      </c>
      <c r="W35" s="430">
        <f t="shared" si="6"/>
        <v>-9.9999999999999867E-2</v>
      </c>
      <c r="X35" s="431">
        <f t="shared" si="7"/>
        <v>-9.9999999999999867E-2</v>
      </c>
      <c r="Y35" s="298"/>
      <c r="Z35" s="152">
        <f>IF(ISERROR(VLOOKUP($A35,'Further adjustment'!$A:$BC,53,FALSE)),"-",VLOOKUP($A35,'Further adjustment'!$A:$BC,53,FALSE))</f>
        <v>400.03974243408805</v>
      </c>
      <c r="AA35" s="152">
        <f>IF(ISERROR(VLOOKUP($A35,'Further adjustment'!$A:$BC,52,FALSE)),"-",VLOOKUP($A35,'Further adjustment'!$A:$BC,52,FALSE))</f>
        <v>400.03974243408805</v>
      </c>
      <c r="AB35" s="152">
        <f>IF(ISERROR(VLOOKUP($A35,'Further adjustment'!$A:$BC,55,FALSE)),"-",VLOOKUP($A35,'Further adjustment'!$A:$BC,55,FALSE))</f>
        <v>193.12722825034646</v>
      </c>
      <c r="AC35" s="412">
        <f>IF(ISERROR(VLOOKUP($A35,'Further adjustment'!$A:$BC,54,FALSE)),"-",VLOOKUP($A35,'Further adjustment'!$A:$BC,54,FALSE))</f>
        <v>207.74534729031654</v>
      </c>
      <c r="AD35" s="435">
        <f t="shared" si="8"/>
        <v>-2.6658799008131839E-2</v>
      </c>
      <c r="AE35" s="436">
        <f t="shared" si="9"/>
        <v>0.34266248698175983</v>
      </c>
      <c r="AF35" s="436">
        <f t="shared" si="10"/>
        <v>0</v>
      </c>
      <c r="AG35" s="436">
        <f t="shared" si="11"/>
        <v>0</v>
      </c>
      <c r="AH35" s="298"/>
      <c r="AI35" s="347">
        <f>'Price Adjustments'!$H$7</f>
        <v>-4.2387925000000104E-2</v>
      </c>
      <c r="AJ35" s="467">
        <f>'Price Adjustments'!$G$91</f>
        <v>0</v>
      </c>
      <c r="AK35" s="352">
        <f t="shared" si="30"/>
        <v>383.08288783477258</v>
      </c>
      <c r="AL35" s="352">
        <f t="shared" si="31"/>
        <v>383.08288783477258</v>
      </c>
      <c r="AM35" s="352">
        <f t="shared" si="32"/>
        <v>184.94096578381289</v>
      </c>
      <c r="AN35" s="413">
        <f t="shared" si="33"/>
        <v>198.93945309027563</v>
      </c>
      <c r="AO35" s="439">
        <f t="shared" si="12"/>
        <v>-4.2387925000000104E-2</v>
      </c>
      <c r="AP35" s="440">
        <f t="shared" si="13"/>
        <v>-4.2387925000000104E-2</v>
      </c>
      <c r="AQ35" s="440">
        <f t="shared" si="14"/>
        <v>-4.2387925000000104E-2</v>
      </c>
      <c r="AR35" s="441">
        <f t="shared" si="15"/>
        <v>-4.2387925000000104E-2</v>
      </c>
      <c r="AS35" s="359">
        <f>'Price Adjustments'!$G$7</f>
        <v>0</v>
      </c>
      <c r="AT35" s="250">
        <f>IF(ISERROR(VLOOKUP($A35,'14-15 tariff'!$A:$F,3,FALSE)*(1+$AS$6)),"-",VLOOKUP($A35,'14-15 tariff'!$A:$F,3,FALSE)*(1+$AS$6))</f>
        <v>373</v>
      </c>
      <c r="AU35" s="250">
        <f>IF(ISERROR(VLOOKUP($A35,'14-15 tariff'!$A:$F,4,FALSE)*(1+$AS$6)),"-",VLOOKUP($A35,'14-15 tariff'!$A:$F,4,FALSE)*(1+$AS$6))</f>
        <v>373</v>
      </c>
      <c r="AV35" s="250">
        <f>IF(ISERROR(VLOOKUP($A35,'14-15 tariff'!$A:$F,5,FALSE)*(1+$AS$6)),"-",VLOOKUP($A35,'14-15 tariff'!$A:$F,5,FALSE)*(1+$AS$6))</f>
        <v>176</v>
      </c>
      <c r="AW35" s="250">
        <f>IF(ISERROR(VLOOKUP($A35,'14-15 tariff'!$A:$F,6,FALSE)*(1+$AS$6)),"-",VLOOKUP($A35,'14-15 tariff'!$A:$F,6,FALSE)*(1+$AS$6))</f>
        <v>188</v>
      </c>
      <c r="AX35" s="298"/>
      <c r="AY35" s="498" t="s">
        <v>522</v>
      </c>
      <c r="AZ35" s="499" t="s">
        <v>522</v>
      </c>
      <c r="BA35" s="499" t="s">
        <v>522</v>
      </c>
      <c r="BB35" s="499" t="s">
        <v>522</v>
      </c>
      <c r="BC35" s="339">
        <f t="shared" si="16"/>
        <v>383.08288783477258</v>
      </c>
      <c r="BD35" s="339">
        <f t="shared" si="17"/>
        <v>383.08288783477258</v>
      </c>
      <c r="BE35" s="339">
        <f t="shared" si="18"/>
        <v>184.94096578381289</v>
      </c>
      <c r="BF35" s="340">
        <f t="shared" si="19"/>
        <v>198.93945309027563</v>
      </c>
      <c r="BG35" s="265">
        <f t="shared" si="20"/>
        <v>-4.2387925000000104E-2</v>
      </c>
      <c r="BH35" s="265">
        <f t="shared" si="21"/>
        <v>-4.2387925000000104E-2</v>
      </c>
      <c r="BI35" s="265">
        <f t="shared" si="22"/>
        <v>-4.2387925000000104E-2</v>
      </c>
      <c r="BJ35" s="265">
        <f t="shared" si="23"/>
        <v>-4.2387925000000104E-2</v>
      </c>
      <c r="BK35" s="298"/>
      <c r="BL35" s="503">
        <f>'Price Adjustments'!$C$66</f>
        <v>-1.22128076562165E-2</v>
      </c>
      <c r="BM35" s="378">
        <f t="shared" si="24"/>
        <v>378.40437020925856</v>
      </c>
      <c r="BN35" s="378">
        <f t="shared" si="25"/>
        <v>378.40437020925856</v>
      </c>
      <c r="BO35" s="378">
        <f t="shared" si="26"/>
        <v>182.68231734094027</v>
      </c>
      <c r="BP35" s="506">
        <f t="shared" si="27"/>
        <v>196.50984381445119</v>
      </c>
      <c r="BQ35" s="298"/>
      <c r="BR35" s="618" t="str">
        <f>IF(COUNTIF('Manual adjustments'!$A:$A,A35)=1,"Y","")</f>
        <v/>
      </c>
      <c r="BS35" s="378">
        <f>IF($BR35="",BM35,IF(AND($BR35="Y",VLOOKUP($A35,'Manual adjustments'!$A:$O,12,FALSE)&lt;&gt;""),VLOOKUP($A35,'Manual adjustments'!$A:$O,12,FALSE),BM35))</f>
        <v>378.40437020925856</v>
      </c>
      <c r="BT35" s="378">
        <f>IF($BR35="",BN35,IF(AND($BR35="Y",VLOOKUP($A35,'Manual adjustments'!$A:$O,13,FALSE)&lt;&gt;""),VLOOKUP($A35,'Manual adjustments'!$A:$O,13,FALSE),BN35))</f>
        <v>378.40437020925856</v>
      </c>
      <c r="BU35" s="378">
        <f>IF($BR35="",BO35,IF(AND($BR35="Y",VLOOKUP($A35,'Manual adjustments'!$A:$O,14,FALSE)&lt;&gt;""),VLOOKUP($A35,'Manual adjustments'!$A:$O,14,FALSE),BO35))</f>
        <v>182.68231734094027</v>
      </c>
      <c r="BV35" s="378">
        <f>IF($BR35="",BP35,IF(AND($BR35="Y",VLOOKUP($A35,'Manual adjustments'!$A:$O,15,FALSE)&lt;&gt;""),VLOOKUP($A35,'Manual adjustments'!$A:$O,15,FALSE),BP35))</f>
        <v>196.50984381445119</v>
      </c>
      <c r="BW35" s="384">
        <f>'Price Adjustments'!$D$66</f>
        <v>0</v>
      </c>
      <c r="BX35" s="378">
        <f t="shared" si="34"/>
        <v>378.40437020925856</v>
      </c>
      <c r="BY35" s="378">
        <f t="shared" si="35"/>
        <v>378.40437020925856</v>
      </c>
      <c r="BZ35" s="378">
        <f t="shared" si="36"/>
        <v>182.68231734094027</v>
      </c>
      <c r="CA35" s="379">
        <f t="shared" si="37"/>
        <v>196.50984381445119</v>
      </c>
      <c r="CB35" s="615">
        <f t="shared" si="38"/>
        <v>0</v>
      </c>
      <c r="CC35" s="423">
        <f t="shared" si="39"/>
        <v>0</v>
      </c>
      <c r="CD35" s="423">
        <f t="shared" si="40"/>
        <v>0</v>
      </c>
      <c r="CE35" s="423">
        <f t="shared" si="41"/>
        <v>0</v>
      </c>
      <c r="CF35" s="298"/>
      <c r="CG35" s="388">
        <f t="shared" si="42"/>
        <v>378</v>
      </c>
      <c r="CH35" s="378">
        <f t="shared" si="43"/>
        <v>378</v>
      </c>
      <c r="CI35" s="378">
        <f t="shared" si="44"/>
        <v>183</v>
      </c>
      <c r="CJ35" s="379">
        <f t="shared" si="45"/>
        <v>197</v>
      </c>
      <c r="CM35" s="507"/>
      <c r="CN35" s="507"/>
      <c r="CO35" s="507"/>
      <c r="CP35" s="507"/>
    </row>
    <row r="36" spans="1:94" ht="16.5" customHeight="1">
      <c r="A36" s="296">
        <v>253</v>
      </c>
      <c r="B36" s="292" t="s">
        <v>40</v>
      </c>
      <c r="C36" s="293">
        <f>IF(ISERROR(VLOOKUP($A36,'Allocate OPROC cost'!A:M,11,FALSE)),"-",VLOOKUP($A36,'Allocate OPROC cost'!A:M,11,FALSE))</f>
        <v>301.86740263051462</v>
      </c>
      <c r="D36" s="140">
        <f>IF(ISERROR(VLOOKUP($A36,'Allocate OPROC cost'!A:M,10,FALSE)),"-",VLOOKUP($A36,'Allocate OPROC cost'!A:M,10,FALSE))</f>
        <v>216.95210420812887</v>
      </c>
      <c r="E36" s="140">
        <f>IF(ISERROR(VLOOKUP($A36,'Allocate OPROC cost'!A:M,13,FALSE)),"-",VLOOKUP($A36,'Allocate OPROC cost'!A:M,13,FALSE))</f>
        <v>245.51112987574334</v>
      </c>
      <c r="F36" s="294">
        <f>IF(ISERROR(VLOOKUP($A36,'Allocate OPROC cost'!A:M,12,FALSE)),"-",VLOOKUP($A36,'Allocate OPROC cost'!A:M,12,FALSE))</f>
        <v>163.84749218061523</v>
      </c>
      <c r="G36" s="298"/>
      <c r="H36" s="405">
        <f>IF(ISERROR(VLOOKUP($A36,'Allocate OPROC cost'!A:AO,39,FALSE)),"-",VLOOKUP($A36,'Allocate OPROC cost'!A:AO,39,FALSE))</f>
        <v>301.79479942076125</v>
      </c>
      <c r="I36" s="406">
        <f>IF(ISERROR(VLOOKUP($A36,'Allocate OPROC cost'!A:AO,38,FALSE)),"-",VLOOKUP($A36,'Allocate OPROC cost'!A:AO,38,FALSE))</f>
        <v>216.95210420812887</v>
      </c>
      <c r="J36" s="406">
        <f>IF(ISERROR(VLOOKUP($A36,'Allocate OPROC cost'!A:AO,41,FALSE)),"-",VLOOKUP($A36,'Allocate OPROC cost'!A:AO,41,FALSE))</f>
        <v>245.34320671672666</v>
      </c>
      <c r="K36" s="407">
        <f>IF(ISERROR(VLOOKUP($A36,'Allocate OPROC cost'!A:AO,40,FALSE)),"-",VLOOKUP($A36,'Allocate OPROC cost'!A:AO,40,FALSE))</f>
        <v>163.84749218061523</v>
      </c>
      <c r="L36" s="425">
        <f t="shared" si="0"/>
        <v>-2.4051358020338309E-4</v>
      </c>
      <c r="M36" s="426">
        <f t="shared" si="1"/>
        <v>0</v>
      </c>
      <c r="N36" s="426">
        <f t="shared" si="2"/>
        <v>-6.8397371272610474E-4</v>
      </c>
      <c r="O36" s="425">
        <f t="shared" si="3"/>
        <v>0</v>
      </c>
      <c r="P36" s="298"/>
      <c r="Q36" s="299">
        <f>IF(ISERROR(VLOOKUP($A36,'Front-loading'!$A:$AG,27,FALSE)),"-",VLOOKUP($A36,'Front-loading'!$A:$AG,27,FALSE))</f>
        <v>452.69219913114182</v>
      </c>
      <c r="R36" s="150">
        <f>IF(ISERROR(VLOOKUP($A36,'Front-loading'!$A:$AG,26,FALSE)),"-",VLOOKUP($A36,'Front-loading'!$A:$AG,26,FALSE))</f>
        <v>325.42815631219327</v>
      </c>
      <c r="S36" s="150">
        <f>IF(ISERROR(VLOOKUP($A36,'Front-loading'!$A:$AG,29,FALSE)),"-",VLOOKUP($A36,'Front-loading'!$A:$AG,29,FALSE))</f>
        <v>220.80888604505398</v>
      </c>
      <c r="T36" s="300">
        <f>IF(ISERROR(VLOOKUP($A36,'Front-loading'!$A:$AG,28,FALSE)),"-",VLOOKUP($A36,'Front-loading'!$A:$AG,28,FALSE))</f>
        <v>147.46274296255373</v>
      </c>
      <c r="U36" s="429">
        <f t="shared" si="4"/>
        <v>0.49999999999999978</v>
      </c>
      <c r="V36" s="430">
        <f t="shared" si="5"/>
        <v>0.49999999999999978</v>
      </c>
      <c r="W36" s="430">
        <f t="shared" si="6"/>
        <v>-0.10000000000000009</v>
      </c>
      <c r="X36" s="431">
        <f t="shared" si="7"/>
        <v>-9.9999999999999867E-2</v>
      </c>
      <c r="Y36" s="298"/>
      <c r="Z36" s="152">
        <f>IF(ISERROR(VLOOKUP($A36,'Further adjustment'!$A:$BC,53,FALSE)),"-",VLOOKUP($A36,'Further adjustment'!$A:$BC,53,FALSE))</f>
        <v>447.26462842562273</v>
      </c>
      <c r="AA36" s="152">
        <f>IF(ISERROR(VLOOKUP($A36,'Further adjustment'!$A:$BC,52,FALSE)),"-",VLOOKUP($A36,'Further adjustment'!$A:$BC,52,FALSE))</f>
        <v>480.55170552965478</v>
      </c>
      <c r="AB36" s="152">
        <f>IF(ISERROR(VLOOKUP($A36,'Further adjustment'!$A:$BC,55,FALSE)),"-",VLOOKUP($A36,'Further adjustment'!$A:$BC,55,FALSE))</f>
        <v>217.57697404186681</v>
      </c>
      <c r="AC36" s="412">
        <f>IF(ISERROR(VLOOKUP($A36,'Further adjustment'!$A:$BC,54,FALSE)),"-",VLOOKUP($A36,'Further adjustment'!$A:$BC,54,FALSE))</f>
        <v>224.36116946509796</v>
      </c>
      <c r="AD36" s="435">
        <f t="shared" si="8"/>
        <v>-1.1989538843250047E-2</v>
      </c>
      <c r="AE36" s="436">
        <f t="shared" si="9"/>
        <v>0.47667525445661418</v>
      </c>
      <c r="AF36" s="436">
        <f t="shared" si="10"/>
        <v>-1.4636693572774639E-2</v>
      </c>
      <c r="AG36" s="436">
        <f t="shared" si="11"/>
        <v>0.52147698433950596</v>
      </c>
      <c r="AH36" s="298"/>
      <c r="AI36" s="347">
        <f>'Price Adjustments'!$H$7</f>
        <v>-4.2387925000000104E-2</v>
      </c>
      <c r="AJ36" s="467">
        <f>'Price Adjustments'!$G$91</f>
        <v>0</v>
      </c>
      <c r="AK36" s="352">
        <f t="shared" si="30"/>
        <v>428.30600890076454</v>
      </c>
      <c r="AL36" s="352">
        <f t="shared" si="31"/>
        <v>460.18211587704167</v>
      </c>
      <c r="AM36" s="352">
        <f t="shared" si="32"/>
        <v>208.35433758445319</v>
      </c>
      <c r="AN36" s="413">
        <f t="shared" si="33"/>
        <v>214.85096504089907</v>
      </c>
      <c r="AO36" s="439">
        <f t="shared" si="12"/>
        <v>-4.2387925000000104E-2</v>
      </c>
      <c r="AP36" s="440">
        <f t="shared" si="13"/>
        <v>-4.2387924999999993E-2</v>
      </c>
      <c r="AQ36" s="440">
        <f t="shared" si="14"/>
        <v>-4.2387925000000104E-2</v>
      </c>
      <c r="AR36" s="441">
        <f t="shared" si="15"/>
        <v>-4.2387925000000104E-2</v>
      </c>
      <c r="AS36" s="359">
        <f>'Price Adjustments'!$G$7</f>
        <v>0</v>
      </c>
      <c r="AT36" s="250">
        <f>IF(ISERROR(VLOOKUP($A36,'14-15 tariff'!$A:$F,3,FALSE)*(1+$AS$6)),"-",VLOOKUP($A36,'14-15 tariff'!$A:$F,3,FALSE)*(1+$AS$6))</f>
        <v>417</v>
      </c>
      <c r="AU36" s="250">
        <f>IF(ISERROR(VLOOKUP($A36,'14-15 tariff'!$A:$F,4,FALSE)*(1+$AS$6)),"-",VLOOKUP($A36,'14-15 tariff'!$A:$F,4,FALSE)*(1+$AS$6))</f>
        <v>417</v>
      </c>
      <c r="AV36" s="250">
        <f>IF(ISERROR(VLOOKUP($A36,'14-15 tariff'!$A:$F,5,FALSE)*(1+$AS$6)),"-",VLOOKUP($A36,'14-15 tariff'!$A:$F,5,FALSE)*(1+$AS$6))</f>
        <v>203</v>
      </c>
      <c r="AW36" s="250">
        <f>IF(ISERROR(VLOOKUP($A36,'14-15 tariff'!$A:$F,6,FALSE)*(1+$AS$6)),"-",VLOOKUP($A36,'14-15 tariff'!$A:$F,6,FALSE)*(1+$AS$6))</f>
        <v>212</v>
      </c>
      <c r="AX36" s="298"/>
      <c r="AY36" s="498" t="s">
        <v>522</v>
      </c>
      <c r="AZ36" s="499" t="s">
        <v>522</v>
      </c>
      <c r="BA36" s="499" t="s">
        <v>522</v>
      </c>
      <c r="BB36" s="499" t="s">
        <v>522</v>
      </c>
      <c r="BC36" s="339">
        <f t="shared" si="16"/>
        <v>428.30600890076454</v>
      </c>
      <c r="BD36" s="339">
        <f t="shared" si="17"/>
        <v>460.18211587704167</v>
      </c>
      <c r="BE36" s="339">
        <f t="shared" si="18"/>
        <v>208.35433758445319</v>
      </c>
      <c r="BF36" s="340">
        <f t="shared" si="19"/>
        <v>214.85096504089907</v>
      </c>
      <c r="BG36" s="265">
        <f t="shared" si="20"/>
        <v>-4.2387925000000104E-2</v>
      </c>
      <c r="BH36" s="265">
        <f t="shared" si="21"/>
        <v>-4.2387924999999993E-2</v>
      </c>
      <c r="BI36" s="265">
        <f t="shared" si="22"/>
        <v>-4.2387925000000104E-2</v>
      </c>
      <c r="BJ36" s="265">
        <f t="shared" si="23"/>
        <v>-4.2387925000000104E-2</v>
      </c>
      <c r="BK36" s="298"/>
      <c r="BL36" s="503">
        <f>'Price Adjustments'!$C$66</f>
        <v>-1.22128076562165E-2</v>
      </c>
      <c r="BM36" s="378">
        <f t="shared" si="24"/>
        <v>423.07518999605776</v>
      </c>
      <c r="BN36" s="378">
        <f t="shared" si="25"/>
        <v>454.56200020900462</v>
      </c>
      <c r="BO36" s="378">
        <f t="shared" si="26"/>
        <v>205.80974613519587</v>
      </c>
      <c r="BP36" s="506">
        <f t="shared" si="27"/>
        <v>212.2270315301021</v>
      </c>
      <c r="BQ36" s="298"/>
      <c r="BR36" s="618" t="str">
        <f>IF(COUNTIF('Manual adjustments'!$A:$A,A36)=1,"Y","")</f>
        <v/>
      </c>
      <c r="BS36" s="378">
        <f>IF($BR36="",BM36,IF(AND($BR36="Y",VLOOKUP($A36,'Manual adjustments'!$A:$O,12,FALSE)&lt;&gt;""),VLOOKUP($A36,'Manual adjustments'!$A:$O,12,FALSE),BM36))</f>
        <v>423.07518999605776</v>
      </c>
      <c r="BT36" s="378">
        <f>IF($BR36="",BN36,IF(AND($BR36="Y",VLOOKUP($A36,'Manual adjustments'!$A:$O,13,FALSE)&lt;&gt;""),VLOOKUP($A36,'Manual adjustments'!$A:$O,13,FALSE),BN36))</f>
        <v>454.56200020900462</v>
      </c>
      <c r="BU36" s="378">
        <f>IF($BR36="",BO36,IF(AND($BR36="Y",VLOOKUP($A36,'Manual adjustments'!$A:$O,14,FALSE)&lt;&gt;""),VLOOKUP($A36,'Manual adjustments'!$A:$O,14,FALSE),BO36))</f>
        <v>205.80974613519587</v>
      </c>
      <c r="BV36" s="378">
        <f>IF($BR36="",BP36,IF(AND($BR36="Y",VLOOKUP($A36,'Manual adjustments'!$A:$O,15,FALSE)&lt;&gt;""),VLOOKUP($A36,'Manual adjustments'!$A:$O,15,FALSE),BP36))</f>
        <v>212.2270315301021</v>
      </c>
      <c r="BW36" s="384">
        <f>'Price Adjustments'!$D$66</f>
        <v>0</v>
      </c>
      <c r="BX36" s="378">
        <f t="shared" si="34"/>
        <v>423.07518999605776</v>
      </c>
      <c r="BY36" s="378">
        <f t="shared" si="35"/>
        <v>454.56200020900462</v>
      </c>
      <c r="BZ36" s="378">
        <f t="shared" si="36"/>
        <v>205.80974613519587</v>
      </c>
      <c r="CA36" s="379">
        <f t="shared" si="37"/>
        <v>212.2270315301021</v>
      </c>
      <c r="CB36" s="615">
        <f t="shared" si="38"/>
        <v>0</v>
      </c>
      <c r="CC36" s="423">
        <f t="shared" si="39"/>
        <v>0</v>
      </c>
      <c r="CD36" s="423">
        <f t="shared" si="40"/>
        <v>0</v>
      </c>
      <c r="CE36" s="423">
        <f t="shared" si="41"/>
        <v>0</v>
      </c>
      <c r="CF36" s="298"/>
      <c r="CG36" s="388">
        <f t="shared" si="42"/>
        <v>423</v>
      </c>
      <c r="CH36" s="378">
        <f t="shared" si="43"/>
        <v>455</v>
      </c>
      <c r="CI36" s="378">
        <f t="shared" si="44"/>
        <v>206</v>
      </c>
      <c r="CJ36" s="379">
        <f t="shared" si="45"/>
        <v>212</v>
      </c>
      <c r="CM36" s="507"/>
      <c r="CN36" s="507"/>
      <c r="CO36" s="507"/>
      <c r="CP36" s="507"/>
    </row>
    <row r="37" spans="1:94" ht="16.5" customHeight="1">
      <c r="A37" s="296">
        <v>257</v>
      </c>
      <c r="B37" s="292" t="s">
        <v>41</v>
      </c>
      <c r="C37" s="293">
        <f>IF(ISERROR(VLOOKUP($A37,'Allocate OPROC cost'!A:M,11,FALSE)),"-",VLOOKUP($A37,'Allocate OPROC cost'!A:M,11,FALSE))</f>
        <v>116.75927131385895</v>
      </c>
      <c r="D37" s="140">
        <f>IF(ISERROR(VLOOKUP($A37,'Allocate OPROC cost'!A:M,10,FALSE)),"-",VLOOKUP($A37,'Allocate OPROC cost'!A:M,10,FALSE))</f>
        <v>183.80426047771627</v>
      </c>
      <c r="E37" s="140">
        <f>IF(ISERROR(VLOOKUP($A37,'Allocate OPROC cost'!A:M,13,FALSE)),"-",VLOOKUP($A37,'Allocate OPROC cost'!A:M,13,FALSE))</f>
        <v>108.80617830223891</v>
      </c>
      <c r="F37" s="294">
        <f>IF(ISERROR(VLOOKUP($A37,'Allocate OPROC cost'!A:M,12,FALSE)),"-",VLOOKUP($A37,'Allocate OPROC cost'!A:M,12,FALSE))</f>
        <v>189.52686584223872</v>
      </c>
      <c r="G37" s="298"/>
      <c r="H37" s="405">
        <f>IF(ISERROR(VLOOKUP($A37,'Allocate OPROC cost'!A:AO,39,FALSE)),"-",VLOOKUP($A37,'Allocate OPROC cost'!A:AO,39,FALSE))</f>
        <v>116.63884189450033</v>
      </c>
      <c r="I37" s="406">
        <f>IF(ISERROR(VLOOKUP($A37,'Allocate OPROC cost'!A:AO,38,FALSE)),"-",VLOOKUP($A37,'Allocate OPROC cost'!A:AO,38,FALSE))</f>
        <v>183.80426047771627</v>
      </c>
      <c r="J37" s="406">
        <f>IF(ISERROR(VLOOKUP($A37,'Allocate OPROC cost'!A:AO,41,FALSE)),"-",VLOOKUP($A37,'Allocate OPROC cost'!A:AO,41,FALSE))</f>
        <v>108.60893075662406</v>
      </c>
      <c r="K37" s="407">
        <f>IF(ISERROR(VLOOKUP($A37,'Allocate OPROC cost'!A:AO,40,FALSE)),"-",VLOOKUP($A37,'Allocate OPROC cost'!A:AO,40,FALSE))</f>
        <v>189.52686584223872</v>
      </c>
      <c r="L37" s="425">
        <f t="shared" si="0"/>
        <v>-1.0314334613727993E-3</v>
      </c>
      <c r="M37" s="426">
        <f t="shared" si="1"/>
        <v>0</v>
      </c>
      <c r="N37" s="426">
        <f t="shared" si="2"/>
        <v>-1.8128340567843404E-3</v>
      </c>
      <c r="O37" s="425">
        <f t="shared" si="3"/>
        <v>0</v>
      </c>
      <c r="P37" s="298"/>
      <c r="Q37" s="299">
        <f>IF(ISERROR(VLOOKUP($A37,'Front-loading'!$A:$AG,27,FALSE)),"-",VLOOKUP($A37,'Front-loading'!$A:$AG,27,FALSE))</f>
        <v>134.90259687677212</v>
      </c>
      <c r="R37" s="150">
        <f>IF(ISERROR(VLOOKUP($A37,'Front-loading'!$A:$AG,26,FALSE)),"-",VLOOKUP($A37,'Front-loading'!$A:$AG,26,FALSE))</f>
        <v>208.70720912908021</v>
      </c>
      <c r="S37" s="150">
        <f>IF(ISERROR(VLOOKUP($A37,'Front-loading'!$A:$AG,29,FALSE)),"-",VLOOKUP($A37,'Front-loading'!$A:$AG,29,FALSE))</f>
        <v>97.748037680961659</v>
      </c>
      <c r="T37" s="300">
        <f>IF(ISERROR(VLOOKUP($A37,'Front-loading'!$A:$AG,28,FALSE)),"-",VLOOKUP($A37,'Front-loading'!$A:$AG,28,FALSE))</f>
        <v>170.57417925801485</v>
      </c>
      <c r="U37" s="429">
        <f t="shared" si="4"/>
        <v>0.15658381621099537</v>
      </c>
      <c r="V37" s="430">
        <f t="shared" si="5"/>
        <v>0.13548624273800813</v>
      </c>
      <c r="W37" s="430">
        <f t="shared" si="6"/>
        <v>-9.9999999999999978E-2</v>
      </c>
      <c r="X37" s="431">
        <f t="shared" si="7"/>
        <v>-9.9999999999999978E-2</v>
      </c>
      <c r="Y37" s="298"/>
      <c r="Z37" s="152">
        <f>IF(ISERROR(VLOOKUP($A37,'Further adjustment'!$A:$BC,53,FALSE)),"-",VLOOKUP($A37,'Further adjustment'!$A:$BC,53,FALSE))</f>
        <v>134.90259687677212</v>
      </c>
      <c r="AA37" s="152">
        <f>IF(ISERROR(VLOOKUP($A37,'Further adjustment'!$A:$BC,52,FALSE)),"-",VLOOKUP($A37,'Further adjustment'!$A:$BC,52,FALSE))</f>
        <v>208.70720912908021</v>
      </c>
      <c r="AB37" s="152">
        <f>IF(ISERROR(VLOOKUP($A37,'Further adjustment'!$A:$BC,55,FALSE)),"-",VLOOKUP($A37,'Further adjustment'!$A:$BC,55,FALSE))</f>
        <v>97.748037680961659</v>
      </c>
      <c r="AC37" s="412">
        <f>IF(ISERROR(VLOOKUP($A37,'Further adjustment'!$A:$BC,54,FALSE)),"-",VLOOKUP($A37,'Further adjustment'!$A:$BC,54,FALSE))</f>
        <v>170.57417925801485</v>
      </c>
      <c r="AD37" s="435">
        <f t="shared" si="8"/>
        <v>0</v>
      </c>
      <c r="AE37" s="436">
        <f t="shared" si="9"/>
        <v>0</v>
      </c>
      <c r="AF37" s="436">
        <f t="shared" si="10"/>
        <v>0</v>
      </c>
      <c r="AG37" s="436">
        <f t="shared" si="11"/>
        <v>0</v>
      </c>
      <c r="AH37" s="298"/>
      <c r="AI37" s="347">
        <f>'Price Adjustments'!$H$7</f>
        <v>-4.2387925000000104E-2</v>
      </c>
      <c r="AJ37" s="467">
        <f>'Price Adjustments'!$G$91</f>
        <v>0</v>
      </c>
      <c r="AK37" s="352">
        <f t="shared" si="30"/>
        <v>129.18435571805426</v>
      </c>
      <c r="AL37" s="352">
        <f t="shared" si="31"/>
        <v>199.86054360155742</v>
      </c>
      <c r="AM37" s="352">
        <f t="shared" si="32"/>
        <v>93.604701190843869</v>
      </c>
      <c r="AN37" s="413">
        <f t="shared" si="33"/>
        <v>163.34389374068954</v>
      </c>
      <c r="AO37" s="439">
        <f t="shared" si="12"/>
        <v>-4.2387925000000104E-2</v>
      </c>
      <c r="AP37" s="440">
        <f t="shared" si="13"/>
        <v>-4.2387925000000104E-2</v>
      </c>
      <c r="AQ37" s="440">
        <f t="shared" si="14"/>
        <v>-4.2387925000000104E-2</v>
      </c>
      <c r="AR37" s="441">
        <f t="shared" si="15"/>
        <v>-4.2387925000000104E-2</v>
      </c>
      <c r="AS37" s="359">
        <f>'Price Adjustments'!$G$7</f>
        <v>0</v>
      </c>
      <c r="AT37" s="250">
        <f>IF(ISERROR(VLOOKUP($A37,'14-15 tariff'!$A:$F,3,FALSE)*(1+$AS$6)),"-",VLOOKUP($A37,'14-15 tariff'!$A:$F,3,FALSE)*(1+$AS$6))</f>
        <v>133</v>
      </c>
      <c r="AU37" s="250">
        <f>IF(ISERROR(VLOOKUP($A37,'14-15 tariff'!$A:$F,4,FALSE)*(1+$AS$6)),"-",VLOOKUP($A37,'14-15 tariff'!$A:$F,4,FALSE)*(1+$AS$6))</f>
        <v>133</v>
      </c>
      <c r="AV37" s="250">
        <f>IF(ISERROR(VLOOKUP($A37,'14-15 tariff'!$A:$F,5,FALSE)*(1+$AS$6)),"-",VLOOKUP($A37,'14-15 tariff'!$A:$F,5,FALSE)*(1+$AS$6))</f>
        <v>90</v>
      </c>
      <c r="AW37" s="250">
        <f>IF(ISERROR(VLOOKUP($A37,'14-15 tariff'!$A:$F,6,FALSE)*(1+$AS$6)),"-",VLOOKUP($A37,'14-15 tariff'!$A:$F,6,FALSE)*(1+$AS$6))</f>
        <v>110</v>
      </c>
      <c r="AX37" s="298"/>
      <c r="AY37" s="498" t="s">
        <v>522</v>
      </c>
      <c r="AZ37" s="499" t="s">
        <v>522</v>
      </c>
      <c r="BA37" s="499" t="s">
        <v>522</v>
      </c>
      <c r="BB37" s="499" t="s">
        <v>522</v>
      </c>
      <c r="BC37" s="339">
        <f t="shared" si="16"/>
        <v>129.18435571805426</v>
      </c>
      <c r="BD37" s="339">
        <f t="shared" si="17"/>
        <v>199.86054360155742</v>
      </c>
      <c r="BE37" s="339">
        <f t="shared" si="18"/>
        <v>93.604701190843869</v>
      </c>
      <c r="BF37" s="340">
        <f t="shared" si="19"/>
        <v>163.34389374068954</v>
      </c>
      <c r="BG37" s="265">
        <f t="shared" si="20"/>
        <v>-4.2387925000000104E-2</v>
      </c>
      <c r="BH37" s="265">
        <f t="shared" si="21"/>
        <v>-4.2387925000000104E-2</v>
      </c>
      <c r="BI37" s="265">
        <f t="shared" si="22"/>
        <v>-4.2387925000000104E-2</v>
      </c>
      <c r="BJ37" s="265">
        <f t="shared" si="23"/>
        <v>-4.2387925000000104E-2</v>
      </c>
      <c r="BK37" s="298"/>
      <c r="BL37" s="503">
        <f>'Price Adjustments'!$C$66</f>
        <v>-1.22128076562165E-2</v>
      </c>
      <c r="BM37" s="378">
        <f t="shared" si="24"/>
        <v>127.60665202947742</v>
      </c>
      <c r="BN37" s="378">
        <f t="shared" si="25"/>
        <v>197.41968522448474</v>
      </c>
      <c r="BO37" s="378">
        <f t="shared" si="26"/>
        <v>92.461524979482476</v>
      </c>
      <c r="BP37" s="506">
        <f t="shared" si="27"/>
        <v>161.34900618461702</v>
      </c>
      <c r="BQ37" s="298"/>
      <c r="BR37" s="618" t="str">
        <f>IF(COUNTIF('Manual adjustments'!$A:$A,A37)=1,"Y","")</f>
        <v/>
      </c>
      <c r="BS37" s="378">
        <f>IF($BR37="",BM37,IF(AND($BR37="Y",VLOOKUP($A37,'Manual adjustments'!$A:$O,12,FALSE)&lt;&gt;""),VLOOKUP($A37,'Manual adjustments'!$A:$O,12,FALSE),BM37))</f>
        <v>127.60665202947742</v>
      </c>
      <c r="BT37" s="378">
        <f>IF($BR37="",BN37,IF(AND($BR37="Y",VLOOKUP($A37,'Manual adjustments'!$A:$O,13,FALSE)&lt;&gt;""),VLOOKUP($A37,'Manual adjustments'!$A:$O,13,FALSE),BN37))</f>
        <v>197.41968522448474</v>
      </c>
      <c r="BU37" s="378">
        <f>IF($BR37="",BO37,IF(AND($BR37="Y",VLOOKUP($A37,'Manual adjustments'!$A:$O,14,FALSE)&lt;&gt;""),VLOOKUP($A37,'Manual adjustments'!$A:$O,14,FALSE),BO37))</f>
        <v>92.461524979482476</v>
      </c>
      <c r="BV37" s="378">
        <f>IF($BR37="",BP37,IF(AND($BR37="Y",VLOOKUP($A37,'Manual adjustments'!$A:$O,15,FALSE)&lt;&gt;""),VLOOKUP($A37,'Manual adjustments'!$A:$O,15,FALSE),BP37))</f>
        <v>161.34900618461702</v>
      </c>
      <c r="BW37" s="384">
        <f>'Price Adjustments'!$D$66</f>
        <v>0</v>
      </c>
      <c r="BX37" s="378">
        <f t="shared" si="34"/>
        <v>127.60665202947742</v>
      </c>
      <c r="BY37" s="378">
        <f t="shared" si="35"/>
        <v>197.41968522448474</v>
      </c>
      <c r="BZ37" s="378">
        <f t="shared" si="36"/>
        <v>92.461524979482476</v>
      </c>
      <c r="CA37" s="379">
        <f t="shared" si="37"/>
        <v>161.34900618461702</v>
      </c>
      <c r="CB37" s="615">
        <f t="shared" si="38"/>
        <v>0</v>
      </c>
      <c r="CC37" s="423">
        <f t="shared" si="39"/>
        <v>0</v>
      </c>
      <c r="CD37" s="423">
        <f t="shared" si="40"/>
        <v>0</v>
      </c>
      <c r="CE37" s="423">
        <f t="shared" si="41"/>
        <v>0</v>
      </c>
      <c r="CF37" s="298"/>
      <c r="CG37" s="388">
        <f t="shared" si="42"/>
        <v>128</v>
      </c>
      <c r="CH37" s="378">
        <f t="shared" si="43"/>
        <v>197</v>
      </c>
      <c r="CI37" s="378">
        <f t="shared" si="44"/>
        <v>92</v>
      </c>
      <c r="CJ37" s="379">
        <f t="shared" si="45"/>
        <v>161</v>
      </c>
      <c r="CM37" s="507"/>
      <c r="CN37" s="507"/>
      <c r="CO37" s="507"/>
      <c r="CP37" s="507"/>
    </row>
    <row r="38" spans="1:94" ht="16.5" customHeight="1">
      <c r="A38" s="296">
        <v>258</v>
      </c>
      <c r="B38" s="292" t="s">
        <v>42</v>
      </c>
      <c r="C38" s="293">
        <f>IF(ISERROR(VLOOKUP($A38,'Allocate OPROC cost'!A:M,11,FALSE)),"-",VLOOKUP($A38,'Allocate OPROC cost'!A:M,11,FALSE))</f>
        <v>242.02850427487635</v>
      </c>
      <c r="D38" s="140">
        <f>IF(ISERROR(VLOOKUP($A38,'Allocate OPROC cost'!A:M,10,FALSE)),"-",VLOOKUP($A38,'Allocate OPROC cost'!A:M,10,FALSE))</f>
        <v>247.00677798639026</v>
      </c>
      <c r="E38" s="140">
        <f>IF(ISERROR(VLOOKUP($A38,'Allocate OPROC cost'!A:M,13,FALSE)),"-",VLOOKUP($A38,'Allocate OPROC cost'!A:M,13,FALSE))</f>
        <v>179.52841675510027</v>
      </c>
      <c r="F38" s="294">
        <f>IF(ISERROR(VLOOKUP($A38,'Allocate OPROC cost'!A:M,12,FALSE)),"-",VLOOKUP($A38,'Allocate OPROC cost'!A:M,12,FALSE))</f>
        <v>175.57643576603152</v>
      </c>
      <c r="G38" s="298"/>
      <c r="H38" s="405">
        <f>IF(ISERROR(VLOOKUP($A38,'Allocate OPROC cost'!A:AO,39,FALSE)),"-",VLOOKUP($A38,'Allocate OPROC cost'!A:AO,39,FALSE))</f>
        <v>233.69556873204957</v>
      </c>
      <c r="I38" s="406">
        <f>IF(ISERROR(VLOOKUP($A38,'Allocate OPROC cost'!A:AO,38,FALSE)),"-",VLOOKUP($A38,'Allocate OPROC cost'!A:AO,38,FALSE))</f>
        <v>247.00677798639026</v>
      </c>
      <c r="J38" s="406">
        <f>IF(ISERROR(VLOOKUP($A38,'Allocate OPROC cost'!A:AO,41,FALSE)),"-",VLOOKUP($A38,'Allocate OPROC cost'!A:AO,41,FALSE))</f>
        <v>173.58586817654339</v>
      </c>
      <c r="K38" s="407">
        <f>IF(ISERROR(VLOOKUP($A38,'Allocate OPROC cost'!A:AO,40,FALSE)),"-",VLOOKUP($A38,'Allocate OPROC cost'!A:AO,40,FALSE))</f>
        <v>175.57643576603152</v>
      </c>
      <c r="L38" s="425">
        <f t="shared" ref="L38:L61" si="46">IF(ISERROR(H38/C38-1),"-",H38/C38-1)</f>
        <v>-3.4429562616157483E-2</v>
      </c>
      <c r="M38" s="426">
        <f t="shared" ref="M38:M61" si="47">IF(ISERROR(I38/D38-1),"-",I38/D38-1)</f>
        <v>0</v>
      </c>
      <c r="N38" s="426">
        <f t="shared" ref="N38:N61" si="48">IF(ISERROR(J38/E38-1),"-",J38/E38-1)</f>
        <v>-3.3100879994186538E-2</v>
      </c>
      <c r="O38" s="425">
        <f t="shared" ref="O38:O61" si="49">IF(ISERROR(K38/F38-1),"-",K38/F38-1)</f>
        <v>0</v>
      </c>
      <c r="P38" s="298"/>
      <c r="Q38" s="299">
        <f>IF(ISERROR(VLOOKUP($A38,'Front-loading'!$A:$AG,27,FALSE)),"-",VLOOKUP($A38,'Front-loading'!$A:$AG,27,FALSE))</f>
        <v>295.4984070952064</v>
      </c>
      <c r="R38" s="150">
        <f>IF(ISERROR(VLOOKUP($A38,'Front-loading'!$A:$AG,26,FALSE)),"-",VLOOKUP($A38,'Front-loading'!$A:$AG,26,FALSE))</f>
        <v>305.34982054455412</v>
      </c>
      <c r="S38" s="150">
        <f>IF(ISERROR(VLOOKUP($A38,'Front-loading'!$A:$AG,29,FALSE)),"-",VLOOKUP($A38,'Front-loading'!$A:$AG,29,FALSE))</f>
        <v>156.22728135888906</v>
      </c>
      <c r="T38" s="300">
        <f>IF(ISERROR(VLOOKUP($A38,'Front-loading'!$A:$AG,28,FALSE)),"-",VLOOKUP($A38,'Front-loading'!$A:$AG,28,FALSE))</f>
        <v>158.01879218942838</v>
      </c>
      <c r="U38" s="429">
        <f t="shared" ref="U38:U61" si="50">IF(ISERROR(Q38/H38-1),"-",Q38/H38-1)</f>
        <v>0.26445875160781784</v>
      </c>
      <c r="V38" s="430">
        <f t="shared" ref="V38:V61" si="51">IF(ISERROR(R38/I38-1),"-",R38/I38-1)</f>
        <v>0.23620016840743729</v>
      </c>
      <c r="W38" s="430">
        <f t="shared" ref="W38:W61" si="52">IF(ISERROR(S38/J38-1),"-",S38/J38-1)</f>
        <v>-9.9999999999999978E-2</v>
      </c>
      <c r="X38" s="431">
        <f t="shared" ref="X38:X61" si="53">IF(ISERROR(T38/K38-1),"-",T38/K38-1)</f>
        <v>-9.9999999999999978E-2</v>
      </c>
      <c r="Y38" s="298"/>
      <c r="Z38" s="152">
        <f>IF(ISERROR(VLOOKUP($A38,'Further adjustment'!$A:$BC,53,FALSE)),"-",VLOOKUP($A38,'Further adjustment'!$A:$BC,53,FALSE))</f>
        <v>295.4984070952064</v>
      </c>
      <c r="AA38" s="152">
        <f>IF(ISERROR(VLOOKUP($A38,'Further adjustment'!$A:$BC,52,FALSE)),"-",VLOOKUP($A38,'Further adjustment'!$A:$BC,52,FALSE))</f>
        <v>305.34982054455412</v>
      </c>
      <c r="AB38" s="152">
        <f>IF(ISERROR(VLOOKUP($A38,'Further adjustment'!$A:$BC,55,FALSE)),"-",VLOOKUP($A38,'Further adjustment'!$A:$BC,55,FALSE))</f>
        <v>156.22728135888906</v>
      </c>
      <c r="AC38" s="412">
        <f>IF(ISERROR(VLOOKUP($A38,'Further adjustment'!$A:$BC,54,FALSE)),"-",VLOOKUP($A38,'Further adjustment'!$A:$BC,54,FALSE))</f>
        <v>180.1454198954354</v>
      </c>
      <c r="AD38" s="435">
        <f t="shared" ref="AD38:AD61" si="54">IF(ISERROR(Z38/Q38-1),"-",Z38/Q38-1)</f>
        <v>0</v>
      </c>
      <c r="AE38" s="436">
        <f t="shared" ref="AE38:AE61" si="55">IF(ISERROR(AA38/R38-1),"-",AA38/R38-1)</f>
        <v>0</v>
      </c>
      <c r="AF38" s="436">
        <f t="shared" ref="AF38:AF61" si="56">IF(ISERROR(AB38/S38-1),"-",AB38/S38-1)</f>
        <v>0</v>
      </c>
      <c r="AG38" s="436">
        <f t="shared" ref="AG38:AG61" si="57">IF(ISERROR(AC38/T38-1),"-",AC38/T38-1)</f>
        <v>0.14002529319096579</v>
      </c>
      <c r="AH38" s="298"/>
      <c r="AI38" s="347">
        <f>'Price Adjustments'!$H$7</f>
        <v>-4.2387925000000104E-2</v>
      </c>
      <c r="AJ38" s="467">
        <f>'Price Adjustments'!$G$91</f>
        <v>0</v>
      </c>
      <c r="AK38" s="352">
        <f t="shared" si="30"/>
        <v>282.97284277763532</v>
      </c>
      <c r="AL38" s="352">
        <f t="shared" si="31"/>
        <v>292.40667525254804</v>
      </c>
      <c r="AM38" s="352">
        <f t="shared" si="32"/>
        <v>149.60513107369457</v>
      </c>
      <c r="AN38" s="413">
        <f t="shared" si="33"/>
        <v>172.50942934781415</v>
      </c>
      <c r="AO38" s="439">
        <f t="shared" ref="AO38:AO61" si="58">IF(ISERROR(AK38/Z38-1),"-",AK38/Z38-1)</f>
        <v>-4.2387924999999993E-2</v>
      </c>
      <c r="AP38" s="440">
        <f t="shared" ref="AP38:AP61" si="59">IF(ISERROR(AL38/AA38-1),"-",AL38/AA38-1)</f>
        <v>-4.2387925000000215E-2</v>
      </c>
      <c r="AQ38" s="440">
        <f t="shared" ref="AQ38:AQ61" si="60">IF(ISERROR(AM38/AB38-1),"-",AM38/AB38-1)</f>
        <v>-4.2387924999999993E-2</v>
      </c>
      <c r="AR38" s="441">
        <f t="shared" ref="AR38:AR61" si="61">IF(ISERROR(AN38/AC38-1),"-",AN38/AC38-1)</f>
        <v>-4.2387925000000104E-2</v>
      </c>
      <c r="AS38" s="359">
        <f>'Price Adjustments'!$G$7</f>
        <v>0</v>
      </c>
      <c r="AT38" s="250">
        <f>IF(ISERROR(VLOOKUP($A38,'14-15 tariff'!$A:$F,3,FALSE)*(1+$AS$6)),"-",VLOOKUP($A38,'14-15 tariff'!$A:$F,3,FALSE)*(1+$AS$6))</f>
        <v>287</v>
      </c>
      <c r="AU38" s="250">
        <f>IF(ISERROR(VLOOKUP($A38,'14-15 tariff'!$A:$F,4,FALSE)*(1+$AS$6)),"-",VLOOKUP($A38,'14-15 tariff'!$A:$F,4,FALSE)*(1+$AS$6))</f>
        <v>287</v>
      </c>
      <c r="AV38" s="250">
        <f>IF(ISERROR(VLOOKUP($A38,'14-15 tariff'!$A:$F,5,FALSE)*(1+$AS$6)),"-",VLOOKUP($A38,'14-15 tariff'!$A:$F,5,FALSE)*(1+$AS$6))</f>
        <v>151</v>
      </c>
      <c r="AW38" s="250">
        <f>IF(ISERROR(VLOOKUP($A38,'14-15 tariff'!$A:$F,6,FALSE)*(1+$AS$6)),"-",VLOOKUP($A38,'14-15 tariff'!$A:$F,6,FALSE)*(1+$AS$6))</f>
        <v>165</v>
      </c>
      <c r="AX38" s="298"/>
      <c r="AY38" s="498" t="s">
        <v>522</v>
      </c>
      <c r="AZ38" s="499" t="s">
        <v>522</v>
      </c>
      <c r="BA38" s="499" t="s">
        <v>522</v>
      </c>
      <c r="BB38" s="499" t="s">
        <v>522</v>
      </c>
      <c r="BC38" s="339">
        <f t="shared" ref="BC38:BC61" si="62">IF(AY38="Modelled",AK38,IF(AY38="Roll-over",AT38,"Error"))</f>
        <v>282.97284277763532</v>
      </c>
      <c r="BD38" s="339">
        <f t="shared" ref="BD38:BD61" si="63">IF(AZ38="Modelled",AL38,IF(AZ38="Roll-over",AU38,"Error"))</f>
        <v>292.40667525254804</v>
      </c>
      <c r="BE38" s="339">
        <f t="shared" ref="BE38:BE61" si="64">IF(BA38="Modelled",AM38,IF(BA38="Roll-over",AV38,"Error"))</f>
        <v>149.60513107369457</v>
      </c>
      <c r="BF38" s="340">
        <f t="shared" ref="BF38:BF61" si="65">IF(BB38="Modelled",AN38,IF(BB38="Roll-over",AW38,"Error"))</f>
        <v>172.50942934781415</v>
      </c>
      <c r="BG38" s="265">
        <f t="shared" ref="BG38:BG61" si="66">IF(ISERROR(BC38/Z38-1),"-",BC38/Z38-1)</f>
        <v>-4.2387924999999993E-2</v>
      </c>
      <c r="BH38" s="265">
        <f t="shared" ref="BH38:BH61" si="67">IF(ISERROR(BD38/AA38-1),"-",BD38/AA38-1)</f>
        <v>-4.2387925000000215E-2</v>
      </c>
      <c r="BI38" s="265">
        <f t="shared" ref="BI38:BI61" si="68">IF(ISERROR(BE38/AB38-1),"-",BE38/AB38-1)</f>
        <v>-4.2387924999999993E-2</v>
      </c>
      <c r="BJ38" s="265">
        <f t="shared" ref="BJ38:BJ61" si="69">IF(ISERROR(BF38/AC38-1),"-",BF38/AC38-1)</f>
        <v>-4.2387925000000104E-2</v>
      </c>
      <c r="BK38" s="298"/>
      <c r="BL38" s="503">
        <f>'Price Adjustments'!$C$66</f>
        <v>-1.22128076562165E-2</v>
      </c>
      <c r="BM38" s="378">
        <f t="shared" ref="BM38:BM61" si="70">BC38*(1+$BL38)</f>
        <v>279.51694987685926</v>
      </c>
      <c r="BN38" s="378">
        <f t="shared" ref="BN38:BN61" si="71">BD38*(1+$BL38)</f>
        <v>288.83556877029491</v>
      </c>
      <c r="BO38" s="378">
        <f t="shared" ref="BO38:BO61" si="72">BE38*(1+$BL38)</f>
        <v>147.77803238350847</v>
      </c>
      <c r="BP38" s="506">
        <f t="shared" ref="BP38:BP61" si="73">BF38*(1+$BL38)</f>
        <v>170.40260486830564</v>
      </c>
      <c r="BQ38" s="298"/>
      <c r="BR38" s="618" t="str">
        <f>IF(COUNTIF('Manual adjustments'!$A:$A,A38)=1,"Y","")</f>
        <v/>
      </c>
      <c r="BS38" s="378">
        <f>IF($BR38="",BM38,IF(AND($BR38="Y",VLOOKUP($A38,'Manual adjustments'!$A:$O,12,FALSE)&lt;&gt;""),VLOOKUP($A38,'Manual adjustments'!$A:$O,12,FALSE),BM38))</f>
        <v>279.51694987685926</v>
      </c>
      <c r="BT38" s="378">
        <f>IF($BR38="",BN38,IF(AND($BR38="Y",VLOOKUP($A38,'Manual adjustments'!$A:$O,13,FALSE)&lt;&gt;""),VLOOKUP($A38,'Manual adjustments'!$A:$O,13,FALSE),BN38))</f>
        <v>288.83556877029491</v>
      </c>
      <c r="BU38" s="378">
        <f>IF($BR38="",BO38,IF(AND($BR38="Y",VLOOKUP($A38,'Manual adjustments'!$A:$O,14,FALSE)&lt;&gt;""),VLOOKUP($A38,'Manual adjustments'!$A:$O,14,FALSE),BO38))</f>
        <v>147.77803238350847</v>
      </c>
      <c r="BV38" s="378">
        <f>IF($BR38="",BP38,IF(AND($BR38="Y",VLOOKUP($A38,'Manual adjustments'!$A:$O,15,FALSE)&lt;&gt;""),VLOOKUP($A38,'Manual adjustments'!$A:$O,15,FALSE),BP38))</f>
        <v>170.40260486830564</v>
      </c>
      <c r="BW38" s="384">
        <f>'Price Adjustments'!$D$66</f>
        <v>0</v>
      </c>
      <c r="BX38" s="378">
        <f t="shared" si="34"/>
        <v>279.51694987685926</v>
      </c>
      <c r="BY38" s="378">
        <f t="shared" si="35"/>
        <v>288.83556877029491</v>
      </c>
      <c r="BZ38" s="378">
        <f t="shared" si="36"/>
        <v>147.77803238350847</v>
      </c>
      <c r="CA38" s="379">
        <f t="shared" si="37"/>
        <v>170.40260486830564</v>
      </c>
      <c r="CB38" s="615">
        <f t="shared" si="38"/>
        <v>0</v>
      </c>
      <c r="CC38" s="423">
        <f t="shared" si="39"/>
        <v>0</v>
      </c>
      <c r="CD38" s="423">
        <f t="shared" si="40"/>
        <v>0</v>
      </c>
      <c r="CE38" s="423">
        <f t="shared" si="41"/>
        <v>0</v>
      </c>
      <c r="CF38" s="298"/>
      <c r="CG38" s="388">
        <f t="shared" si="42"/>
        <v>280</v>
      </c>
      <c r="CH38" s="378">
        <f t="shared" si="43"/>
        <v>289</v>
      </c>
      <c r="CI38" s="378">
        <f t="shared" si="44"/>
        <v>148</v>
      </c>
      <c r="CJ38" s="379">
        <f t="shared" si="45"/>
        <v>170</v>
      </c>
      <c r="CM38" s="507"/>
      <c r="CN38" s="507"/>
      <c r="CO38" s="507"/>
      <c r="CP38" s="507"/>
    </row>
    <row r="39" spans="1:94" ht="16.5" customHeight="1">
      <c r="A39" s="296">
        <v>263</v>
      </c>
      <c r="B39" s="292" t="s">
        <v>61</v>
      </c>
      <c r="C39" s="293">
        <f>IF(ISERROR(VLOOKUP($A39,'Allocate OPROC cost'!A:M,11,FALSE)),"-",VLOOKUP($A39,'Allocate OPROC cost'!A:M,11,FALSE))</f>
        <v>110.23648315473852</v>
      </c>
      <c r="D39" s="140">
        <f>IF(ISERROR(VLOOKUP($A39,'Allocate OPROC cost'!A:M,10,FALSE)),"-",VLOOKUP($A39,'Allocate OPROC cost'!A:M,10,FALSE))</f>
        <v>58.739368716338234</v>
      </c>
      <c r="E39" s="140">
        <f>IF(ISERROR(VLOOKUP($A39,'Allocate OPROC cost'!A:M,13,FALSE)),"-",VLOOKUP($A39,'Allocate OPROC cost'!A:M,13,FALSE))</f>
        <v>78.423136138241716</v>
      </c>
      <c r="F39" s="294">
        <f>IF(ISERROR(VLOOKUP($A39,'Allocate OPROC cost'!A:M,12,FALSE)),"-",VLOOKUP($A39,'Allocate OPROC cost'!A:M,12,FALSE))</f>
        <v>115.21317563035531</v>
      </c>
      <c r="G39" s="298"/>
      <c r="H39" s="405">
        <f>IF(ISERROR(VLOOKUP($A39,'Allocate OPROC cost'!A:AO,39,FALSE)),"-",VLOOKUP($A39,'Allocate OPROC cost'!A:AO,39,FALSE))</f>
        <v>110.23648315473852</v>
      </c>
      <c r="I39" s="406">
        <f>IF(ISERROR(VLOOKUP($A39,'Allocate OPROC cost'!A:AO,38,FALSE)),"-",VLOOKUP($A39,'Allocate OPROC cost'!A:AO,38,FALSE))</f>
        <v>58.739368716338234</v>
      </c>
      <c r="J39" s="406">
        <f>IF(ISERROR(VLOOKUP($A39,'Allocate OPROC cost'!A:AO,41,FALSE)),"-",VLOOKUP($A39,'Allocate OPROC cost'!A:AO,41,FALSE))</f>
        <v>78.423136138241716</v>
      </c>
      <c r="K39" s="407">
        <f>IF(ISERROR(VLOOKUP($A39,'Allocate OPROC cost'!A:AO,40,FALSE)),"-",VLOOKUP($A39,'Allocate OPROC cost'!A:AO,40,FALSE))</f>
        <v>115.21317563035531</v>
      </c>
      <c r="L39" s="425">
        <f t="shared" si="46"/>
        <v>0</v>
      </c>
      <c r="M39" s="426">
        <f t="shared" si="47"/>
        <v>0</v>
      </c>
      <c r="N39" s="426">
        <f t="shared" si="48"/>
        <v>0</v>
      </c>
      <c r="O39" s="425">
        <f t="shared" si="49"/>
        <v>0</v>
      </c>
      <c r="P39" s="298"/>
      <c r="Q39" s="299">
        <f>IF(ISERROR(VLOOKUP($A39,'Front-loading'!$A:$AG,27,FALSE)),"-",VLOOKUP($A39,'Front-loading'!$A:$AG,27,FALSE))</f>
        <v>165.3547247321078</v>
      </c>
      <c r="R39" s="150">
        <f>IF(ISERROR(VLOOKUP($A39,'Front-loading'!$A:$AG,26,FALSE)),"-",VLOOKUP($A39,'Front-loading'!$A:$AG,26,FALSE))</f>
        <v>88.109053074507358</v>
      </c>
      <c r="S39" s="150">
        <f>IF(ISERROR(VLOOKUP($A39,'Front-loading'!$A:$AG,29,FALSE)),"-",VLOOKUP($A39,'Front-loading'!$A:$AG,29,FALSE))</f>
        <v>70.580822524417556</v>
      </c>
      <c r="T39" s="300">
        <f>IF(ISERROR(VLOOKUP($A39,'Front-loading'!$A:$AG,28,FALSE)),"-",VLOOKUP($A39,'Front-loading'!$A:$AG,28,FALSE))</f>
        <v>103.69185806731977</v>
      </c>
      <c r="U39" s="429">
        <f t="shared" si="50"/>
        <v>0.50000000000000022</v>
      </c>
      <c r="V39" s="430">
        <f t="shared" si="51"/>
        <v>0.50000000000000022</v>
      </c>
      <c r="W39" s="430">
        <f t="shared" si="52"/>
        <v>-9.9999999999999867E-2</v>
      </c>
      <c r="X39" s="431">
        <f t="shared" si="53"/>
        <v>-0.10000000000000009</v>
      </c>
      <c r="Y39" s="298"/>
      <c r="Z39" s="152">
        <f>IF(ISERROR(VLOOKUP($A39,'Further adjustment'!$A:$BC,53,FALSE)),"-",VLOOKUP($A39,'Further adjustment'!$A:$BC,53,FALSE))</f>
        <v>153.8997789192376</v>
      </c>
      <c r="AA39" s="152">
        <f>IF(ISERROR(VLOOKUP($A39,'Further adjustment'!$A:$BC,52,FALSE)),"-",VLOOKUP($A39,'Further adjustment'!$A:$BC,52,FALSE))</f>
        <v>153.8997789192376</v>
      </c>
      <c r="AB39" s="152">
        <f>IF(ISERROR(VLOOKUP($A39,'Further adjustment'!$A:$BC,55,FALSE)),"-",VLOOKUP($A39,'Further adjustment'!$A:$BC,55,FALSE))</f>
        <v>70.580822524417556</v>
      </c>
      <c r="AC39" s="412">
        <f>IF(ISERROR(VLOOKUP($A39,'Further adjustment'!$A:$BC,54,FALSE)),"-",VLOOKUP($A39,'Further adjustment'!$A:$BC,54,FALSE))</f>
        <v>101.71869779179677</v>
      </c>
      <c r="AD39" s="435">
        <f t="shared" si="54"/>
        <v>-6.927498341174354E-2</v>
      </c>
      <c r="AE39" s="436">
        <f t="shared" si="55"/>
        <v>0.74669654875414282</v>
      </c>
      <c r="AF39" s="436">
        <f t="shared" si="56"/>
        <v>0</v>
      </c>
      <c r="AG39" s="436">
        <f t="shared" si="57"/>
        <v>-1.9029076267897183E-2</v>
      </c>
      <c r="AH39" s="298"/>
      <c r="AI39" s="347">
        <f>'Price Adjustments'!$H$7</f>
        <v>-4.2387925000000104E-2</v>
      </c>
      <c r="AJ39" s="467">
        <f>'Price Adjustments'!$G$91</f>
        <v>0</v>
      </c>
      <c r="AK39" s="352">
        <f t="shared" si="30"/>
        <v>147.37628663289237</v>
      </c>
      <c r="AL39" s="352">
        <f t="shared" si="31"/>
        <v>147.37628663289237</v>
      </c>
      <c r="AM39" s="352">
        <f t="shared" si="32"/>
        <v>67.589047912814223</v>
      </c>
      <c r="AN39" s="413">
        <f t="shared" si="33"/>
        <v>97.407053258700415</v>
      </c>
      <c r="AO39" s="439">
        <f t="shared" si="58"/>
        <v>-4.2387924999999993E-2</v>
      </c>
      <c r="AP39" s="440">
        <f t="shared" si="59"/>
        <v>-4.2387924999999993E-2</v>
      </c>
      <c r="AQ39" s="440">
        <f t="shared" si="60"/>
        <v>-4.2387925000000104E-2</v>
      </c>
      <c r="AR39" s="441">
        <f t="shared" si="61"/>
        <v>-4.2387925000000104E-2</v>
      </c>
      <c r="AS39" s="359">
        <f>'Price Adjustments'!$G$7</f>
        <v>0</v>
      </c>
      <c r="AT39" s="250">
        <f>IF(ISERROR(VLOOKUP($A39,'14-15 tariff'!$A:$F,3,FALSE)*(1+$AS$6)),"-",VLOOKUP($A39,'14-15 tariff'!$A:$F,3,FALSE)*(1+$AS$6))</f>
        <v>222</v>
      </c>
      <c r="AU39" s="250">
        <f>IF(ISERROR(VLOOKUP($A39,'14-15 tariff'!$A:$F,4,FALSE)*(1+$AS$6)),"-",VLOOKUP($A39,'14-15 tariff'!$A:$F,4,FALSE)*(1+$AS$6))</f>
        <v>224</v>
      </c>
      <c r="AV39" s="250">
        <f>IF(ISERROR(VLOOKUP($A39,'14-15 tariff'!$A:$F,5,FALSE)*(1+$AS$6)),"-",VLOOKUP($A39,'14-15 tariff'!$A:$F,5,FALSE)*(1+$AS$6))</f>
        <v>126</v>
      </c>
      <c r="AW39" s="250">
        <f>IF(ISERROR(VLOOKUP($A39,'14-15 tariff'!$A:$F,6,FALSE)*(1+$AS$6)),"-",VLOOKUP($A39,'14-15 tariff'!$A:$F,6,FALSE)*(1+$AS$6))</f>
        <v>126</v>
      </c>
      <c r="AX39" s="298"/>
      <c r="AY39" s="498" t="s">
        <v>522</v>
      </c>
      <c r="AZ39" s="499" t="s">
        <v>522</v>
      </c>
      <c r="BA39" s="499" t="s">
        <v>522</v>
      </c>
      <c r="BB39" s="499" t="s">
        <v>522</v>
      </c>
      <c r="BC39" s="339">
        <f t="shared" si="62"/>
        <v>147.37628663289237</v>
      </c>
      <c r="BD39" s="339">
        <f t="shared" si="63"/>
        <v>147.37628663289237</v>
      </c>
      <c r="BE39" s="339">
        <f t="shared" si="64"/>
        <v>67.589047912814223</v>
      </c>
      <c r="BF39" s="340">
        <f t="shared" si="65"/>
        <v>97.407053258700415</v>
      </c>
      <c r="BG39" s="265">
        <f t="shared" si="66"/>
        <v>-4.2387924999999993E-2</v>
      </c>
      <c r="BH39" s="265">
        <f t="shared" si="67"/>
        <v>-4.2387924999999993E-2</v>
      </c>
      <c r="BI39" s="265">
        <f t="shared" si="68"/>
        <v>-4.2387925000000104E-2</v>
      </c>
      <c r="BJ39" s="265">
        <f t="shared" si="69"/>
        <v>-4.2387925000000104E-2</v>
      </c>
      <c r="BK39" s="298"/>
      <c r="BL39" s="503">
        <f>'Price Adjustments'!$C$66</f>
        <v>-1.22128076562165E-2</v>
      </c>
      <c r="BM39" s="378">
        <f t="shared" si="70"/>
        <v>145.57640839115743</v>
      </c>
      <c r="BN39" s="378">
        <f t="shared" si="71"/>
        <v>145.57640839115743</v>
      </c>
      <c r="BO39" s="378">
        <f t="shared" si="72"/>
        <v>66.763595870988226</v>
      </c>
      <c r="BP39" s="506">
        <f t="shared" si="73"/>
        <v>96.217439652893077</v>
      </c>
      <c r="BQ39" s="298"/>
      <c r="BR39" s="618" t="str">
        <f>IF(COUNTIF('Manual adjustments'!$A:$A,A39)=1,"Y","")</f>
        <v/>
      </c>
      <c r="BS39" s="378">
        <f>IF($BR39="",BM39,IF(AND($BR39="Y",VLOOKUP($A39,'Manual adjustments'!$A:$O,12,FALSE)&lt;&gt;""),VLOOKUP($A39,'Manual adjustments'!$A:$O,12,FALSE),BM39))</f>
        <v>145.57640839115743</v>
      </c>
      <c r="BT39" s="378">
        <f>IF($BR39="",BN39,IF(AND($BR39="Y",VLOOKUP($A39,'Manual adjustments'!$A:$O,13,FALSE)&lt;&gt;""),VLOOKUP($A39,'Manual adjustments'!$A:$O,13,FALSE),BN39))</f>
        <v>145.57640839115743</v>
      </c>
      <c r="BU39" s="378">
        <f>IF($BR39="",BO39,IF(AND($BR39="Y",VLOOKUP($A39,'Manual adjustments'!$A:$O,14,FALSE)&lt;&gt;""),VLOOKUP($A39,'Manual adjustments'!$A:$O,14,FALSE),BO39))</f>
        <v>66.763595870988226</v>
      </c>
      <c r="BV39" s="378">
        <f>IF($BR39="",BP39,IF(AND($BR39="Y",VLOOKUP($A39,'Manual adjustments'!$A:$O,15,FALSE)&lt;&gt;""),VLOOKUP($A39,'Manual adjustments'!$A:$O,15,FALSE),BP39))</f>
        <v>96.217439652893077</v>
      </c>
      <c r="BW39" s="384">
        <f>'Price Adjustments'!$D$66</f>
        <v>0</v>
      </c>
      <c r="BX39" s="378">
        <f t="shared" si="34"/>
        <v>145.57640839115743</v>
      </c>
      <c r="BY39" s="378">
        <f t="shared" si="35"/>
        <v>145.57640839115743</v>
      </c>
      <c r="BZ39" s="378">
        <f t="shared" si="36"/>
        <v>66.763595870988226</v>
      </c>
      <c r="CA39" s="379">
        <f t="shared" si="37"/>
        <v>96.217439652893077</v>
      </c>
      <c r="CB39" s="615">
        <f t="shared" si="38"/>
        <v>0</v>
      </c>
      <c r="CC39" s="423">
        <f t="shared" si="39"/>
        <v>0</v>
      </c>
      <c r="CD39" s="423">
        <f t="shared" si="40"/>
        <v>0</v>
      </c>
      <c r="CE39" s="423">
        <f t="shared" si="41"/>
        <v>0</v>
      </c>
      <c r="CF39" s="298"/>
      <c r="CG39" s="388">
        <f t="shared" si="42"/>
        <v>146</v>
      </c>
      <c r="CH39" s="378">
        <f t="shared" si="43"/>
        <v>146</v>
      </c>
      <c r="CI39" s="378">
        <f t="shared" si="44"/>
        <v>67</v>
      </c>
      <c r="CJ39" s="379">
        <f t="shared" si="45"/>
        <v>96</v>
      </c>
      <c r="CM39" s="507"/>
      <c r="CN39" s="507"/>
      <c r="CO39" s="507"/>
      <c r="CP39" s="507"/>
    </row>
    <row r="40" spans="1:94" ht="16.5" customHeight="1">
      <c r="A40" s="296">
        <v>300</v>
      </c>
      <c r="B40" s="292" t="s">
        <v>43</v>
      </c>
      <c r="C40" s="293">
        <f>IF(ISERROR(VLOOKUP($A40,'Allocate OPROC cost'!A:M,11,FALSE)),"-",VLOOKUP($A40,'Allocate OPROC cost'!A:M,11,FALSE))</f>
        <v>180.05354360709356</v>
      </c>
      <c r="D40" s="140">
        <f>IF(ISERROR(VLOOKUP($A40,'Allocate OPROC cost'!A:M,10,FALSE)),"-",VLOOKUP($A40,'Allocate OPROC cost'!A:M,10,FALSE))</f>
        <v>228.31175689363866</v>
      </c>
      <c r="E40" s="140">
        <f>IF(ISERROR(VLOOKUP($A40,'Allocate OPROC cost'!A:M,13,FALSE)),"-",VLOOKUP($A40,'Allocate OPROC cost'!A:M,13,FALSE))</f>
        <v>136.91714094818462</v>
      </c>
      <c r="F40" s="294">
        <f>IF(ISERROR(VLOOKUP($A40,'Allocate OPROC cost'!A:M,12,FALSE)),"-",VLOOKUP($A40,'Allocate OPROC cost'!A:M,12,FALSE))</f>
        <v>155.32264870752331</v>
      </c>
      <c r="G40" s="298"/>
      <c r="H40" s="405">
        <f>IF(ISERROR(VLOOKUP($A40,'Allocate OPROC cost'!A:AO,39,FALSE)),"-",VLOOKUP($A40,'Allocate OPROC cost'!A:AO,39,FALSE))</f>
        <v>179.2680261363939</v>
      </c>
      <c r="I40" s="406">
        <f>IF(ISERROR(VLOOKUP($A40,'Allocate OPROC cost'!A:AO,38,FALSE)),"-",VLOOKUP($A40,'Allocate OPROC cost'!A:AO,38,FALSE))</f>
        <v>228.31175689363866</v>
      </c>
      <c r="J40" s="406">
        <f>IF(ISERROR(VLOOKUP($A40,'Allocate OPROC cost'!A:AO,41,FALSE)),"-",VLOOKUP($A40,'Allocate OPROC cost'!A:AO,41,FALSE))</f>
        <v>136.76590923248125</v>
      </c>
      <c r="K40" s="407">
        <f>IF(ISERROR(VLOOKUP($A40,'Allocate OPROC cost'!A:AO,40,FALSE)),"-",VLOOKUP($A40,'Allocate OPROC cost'!A:AO,40,FALSE))</f>
        <v>155.32264870752331</v>
      </c>
      <c r="L40" s="425">
        <f t="shared" si="46"/>
        <v>-4.362688203536802E-3</v>
      </c>
      <c r="M40" s="426">
        <f t="shared" si="47"/>
        <v>0</v>
      </c>
      <c r="N40" s="426">
        <f t="shared" si="48"/>
        <v>-1.1045491795699247E-3</v>
      </c>
      <c r="O40" s="425">
        <f t="shared" si="49"/>
        <v>0</v>
      </c>
      <c r="P40" s="298"/>
      <c r="Q40" s="299">
        <f>IF(ISERROR(VLOOKUP($A40,'Front-loading'!$A:$AG,27,FALSE)),"-",VLOOKUP($A40,'Front-loading'!$A:$AG,27,FALSE))</f>
        <v>202.88324259426886</v>
      </c>
      <c r="R40" s="150">
        <f>IF(ISERROR(VLOOKUP($A40,'Front-loading'!$A:$AG,26,FALSE)),"-",VLOOKUP($A40,'Front-loading'!$A:$AG,26,FALSE))</f>
        <v>273.91169860785101</v>
      </c>
      <c r="S40" s="150">
        <f>IF(ISERROR(VLOOKUP($A40,'Front-loading'!$A:$AG,29,FALSE)),"-",VLOOKUP($A40,'Front-loading'!$A:$AG,29,FALSE))</f>
        <v>123.08931830923314</v>
      </c>
      <c r="T40" s="300">
        <f>IF(ISERROR(VLOOKUP($A40,'Front-loading'!$A:$AG,28,FALSE)),"-",VLOOKUP($A40,'Front-loading'!$A:$AG,28,FALSE))</f>
        <v>139.79038383677099</v>
      </c>
      <c r="U40" s="429">
        <f t="shared" si="50"/>
        <v>0.13173133529069836</v>
      </c>
      <c r="V40" s="430">
        <f t="shared" si="51"/>
        <v>0.19972664717154953</v>
      </c>
      <c r="W40" s="430">
        <f t="shared" si="52"/>
        <v>-9.9999999999999867E-2</v>
      </c>
      <c r="X40" s="431">
        <f t="shared" si="53"/>
        <v>-9.9999999999999978E-2</v>
      </c>
      <c r="Y40" s="298"/>
      <c r="Z40" s="152">
        <f>IF(ISERROR(VLOOKUP($A40,'Further adjustment'!$A:$BC,53,FALSE)),"-",VLOOKUP($A40,'Further adjustment'!$A:$BC,53,FALSE))</f>
        <v>202.88324259426886</v>
      </c>
      <c r="AA40" s="152">
        <f>IF(ISERROR(VLOOKUP($A40,'Further adjustment'!$A:$BC,52,FALSE)),"-",VLOOKUP($A40,'Further adjustment'!$A:$BC,52,FALSE))</f>
        <v>273.91169860785101</v>
      </c>
      <c r="AB40" s="152">
        <f>IF(ISERROR(VLOOKUP($A40,'Further adjustment'!$A:$BC,55,FALSE)),"-",VLOOKUP($A40,'Further adjustment'!$A:$BC,55,FALSE))</f>
        <v>123.08931830923314</v>
      </c>
      <c r="AC40" s="412">
        <f>IF(ISERROR(VLOOKUP($A40,'Further adjustment'!$A:$BC,54,FALSE)),"-",VLOOKUP($A40,'Further adjustment'!$A:$BC,54,FALSE))</f>
        <v>139.79038383677099</v>
      </c>
      <c r="AD40" s="435">
        <f t="shared" si="54"/>
        <v>0</v>
      </c>
      <c r="AE40" s="436">
        <f t="shared" si="55"/>
        <v>0</v>
      </c>
      <c r="AF40" s="436">
        <f t="shared" si="56"/>
        <v>0</v>
      </c>
      <c r="AG40" s="436">
        <f t="shared" si="57"/>
        <v>0</v>
      </c>
      <c r="AH40" s="298"/>
      <c r="AI40" s="347">
        <f>'Price Adjustments'!$H$7</f>
        <v>-4.2387925000000104E-2</v>
      </c>
      <c r="AJ40" s="467">
        <f>'Price Adjustments'!$G$91</f>
        <v>0</v>
      </c>
      <c r="AK40" s="352">
        <f t="shared" si="30"/>
        <v>194.28344292342618</v>
      </c>
      <c r="AL40" s="352">
        <f t="shared" si="31"/>
        <v>262.30115007063881</v>
      </c>
      <c r="AM40" s="352">
        <f t="shared" si="32"/>
        <v>117.87181751644022</v>
      </c>
      <c r="AN40" s="413">
        <f t="shared" si="33"/>
        <v>133.86495953097671</v>
      </c>
      <c r="AO40" s="439">
        <f t="shared" si="58"/>
        <v>-4.2387925000000104E-2</v>
      </c>
      <c r="AP40" s="440">
        <f t="shared" si="59"/>
        <v>-4.2387924999999993E-2</v>
      </c>
      <c r="AQ40" s="440">
        <f t="shared" si="60"/>
        <v>-4.2387925000000104E-2</v>
      </c>
      <c r="AR40" s="441">
        <f t="shared" si="61"/>
        <v>-4.2387925000000104E-2</v>
      </c>
      <c r="AS40" s="359">
        <f>'Price Adjustments'!$G$7</f>
        <v>0</v>
      </c>
      <c r="AT40" s="250">
        <f>IF(ISERROR(VLOOKUP($A40,'14-15 tariff'!$A:$F,3,FALSE)*(1+$AS$6)),"-",VLOOKUP($A40,'14-15 tariff'!$A:$F,3,FALSE)*(1+$AS$6))</f>
        <v>178</v>
      </c>
      <c r="AU40" s="250">
        <f>IF(ISERROR(VLOOKUP($A40,'14-15 tariff'!$A:$F,4,FALSE)*(1+$AS$6)),"-",VLOOKUP($A40,'14-15 tariff'!$A:$F,4,FALSE)*(1+$AS$6))</f>
        <v>233</v>
      </c>
      <c r="AV40" s="250">
        <f>IF(ISERROR(VLOOKUP($A40,'14-15 tariff'!$A:$F,5,FALSE)*(1+$AS$6)),"-",VLOOKUP($A40,'14-15 tariff'!$A:$F,5,FALSE)*(1+$AS$6))</f>
        <v>101</v>
      </c>
      <c r="AW40" s="250">
        <f>IF(ISERROR(VLOOKUP($A40,'14-15 tariff'!$A:$F,6,FALSE)*(1+$AS$6)),"-",VLOOKUP($A40,'14-15 tariff'!$A:$F,6,FALSE)*(1+$AS$6))</f>
        <v>201</v>
      </c>
      <c r="AX40" s="298"/>
      <c r="AY40" s="498" t="s">
        <v>522</v>
      </c>
      <c r="AZ40" s="499" t="s">
        <v>522</v>
      </c>
      <c r="BA40" s="499" t="s">
        <v>522</v>
      </c>
      <c r="BB40" s="499" t="s">
        <v>522</v>
      </c>
      <c r="BC40" s="339">
        <f t="shared" si="62"/>
        <v>194.28344292342618</v>
      </c>
      <c r="BD40" s="339">
        <f t="shared" si="63"/>
        <v>262.30115007063881</v>
      </c>
      <c r="BE40" s="339">
        <f t="shared" si="64"/>
        <v>117.87181751644022</v>
      </c>
      <c r="BF40" s="340">
        <f t="shared" si="65"/>
        <v>133.86495953097671</v>
      </c>
      <c r="BG40" s="265">
        <f t="shared" si="66"/>
        <v>-4.2387925000000104E-2</v>
      </c>
      <c r="BH40" s="265">
        <f t="shared" si="67"/>
        <v>-4.2387924999999993E-2</v>
      </c>
      <c r="BI40" s="265">
        <f t="shared" si="68"/>
        <v>-4.2387925000000104E-2</v>
      </c>
      <c r="BJ40" s="265">
        <f t="shared" si="69"/>
        <v>-4.2387925000000104E-2</v>
      </c>
      <c r="BK40" s="298"/>
      <c r="BL40" s="503">
        <f>'Price Adjustments'!$C$66</f>
        <v>-1.22128076562165E-2</v>
      </c>
      <c r="BM40" s="378">
        <f t="shared" si="70"/>
        <v>191.91069660421488</v>
      </c>
      <c r="BN40" s="378">
        <f t="shared" si="71"/>
        <v>259.09771657682171</v>
      </c>
      <c r="BO40" s="378">
        <f t="shared" si="72"/>
        <v>116.43227168102328</v>
      </c>
      <c r="BP40" s="506">
        <f t="shared" si="73"/>
        <v>132.2300925283177</v>
      </c>
      <c r="BQ40" s="298"/>
      <c r="BR40" s="618" t="str">
        <f>IF(COUNTIF('Manual adjustments'!$A:$A,A40)=1,"Y","")</f>
        <v>Y</v>
      </c>
      <c r="BS40" s="378">
        <f>IF($BR40="",BM40,IF(AND($BR40="Y",VLOOKUP($A40,'Manual adjustments'!$A:$O,12,FALSE)&lt;&gt;""),VLOOKUP($A40,'Manual adjustments'!$A:$O,12,FALSE),BM40))</f>
        <v>179.42538274948325</v>
      </c>
      <c r="BT40" s="378">
        <f>IF($BR40="",BN40,IF(AND($BR40="Y",VLOOKUP($A40,'Manual adjustments'!$A:$O,13,FALSE)&lt;&gt;""),VLOOKUP($A40,'Manual adjustments'!$A:$O,13,FALSE),BN40))</f>
        <v>254.16505358315513</v>
      </c>
      <c r="BU40" s="378">
        <f>IF($BR40="",BO40,IF(AND($BR40="Y",VLOOKUP($A40,'Manual adjustments'!$A:$O,14,FALSE)&lt;&gt;""),VLOOKUP($A40,'Manual adjustments'!$A:$O,14,FALSE),BO40))</f>
        <v>105.99908880083886</v>
      </c>
      <c r="BV40" s="378">
        <f>IF($BR40="",BP40,IF(AND($BR40="Y",VLOOKUP($A40,'Manual adjustments'!$A:$O,15,FALSE)&lt;&gt;""),VLOOKUP($A40,'Manual adjustments'!$A:$O,15,FALSE),BP40))</f>
        <v>137.11673478243065</v>
      </c>
      <c r="BW40" s="384">
        <f>'Price Adjustments'!$D$66</f>
        <v>0</v>
      </c>
      <c r="BX40" s="378">
        <f t="shared" si="34"/>
        <v>179.42538274948325</v>
      </c>
      <c r="BY40" s="378">
        <f t="shared" si="35"/>
        <v>254.16505358315513</v>
      </c>
      <c r="BZ40" s="378">
        <f t="shared" si="36"/>
        <v>105.99908880083886</v>
      </c>
      <c r="CA40" s="379">
        <f t="shared" si="37"/>
        <v>137.11673478243065</v>
      </c>
      <c r="CB40" s="615">
        <f t="shared" si="38"/>
        <v>0</v>
      </c>
      <c r="CC40" s="423">
        <f t="shared" si="39"/>
        <v>0</v>
      </c>
      <c r="CD40" s="423">
        <f t="shared" si="40"/>
        <v>0</v>
      </c>
      <c r="CE40" s="423">
        <f t="shared" si="41"/>
        <v>0</v>
      </c>
      <c r="CF40" s="298"/>
      <c r="CG40" s="388">
        <f t="shared" si="42"/>
        <v>179</v>
      </c>
      <c r="CH40" s="378">
        <f t="shared" si="43"/>
        <v>254</v>
      </c>
      <c r="CI40" s="378">
        <f t="shared" si="44"/>
        <v>106</v>
      </c>
      <c r="CJ40" s="379">
        <f t="shared" si="45"/>
        <v>137</v>
      </c>
      <c r="CM40" s="507"/>
      <c r="CN40" s="507"/>
      <c r="CO40" s="507"/>
      <c r="CP40" s="507"/>
    </row>
    <row r="41" spans="1:94" ht="16.5" customHeight="1">
      <c r="A41" s="296">
        <v>301</v>
      </c>
      <c r="B41" s="292" t="s">
        <v>44</v>
      </c>
      <c r="C41" s="293">
        <f>IF(ISERROR(VLOOKUP($A41,'Allocate OPROC cost'!A:M,11,FALSE)),"-",VLOOKUP($A41,'Allocate OPROC cost'!A:M,11,FALSE))</f>
        <v>150.70342571814666</v>
      </c>
      <c r="D41" s="140">
        <f>IF(ISERROR(VLOOKUP($A41,'Allocate OPROC cost'!A:M,10,FALSE)),"-",VLOOKUP($A41,'Allocate OPROC cost'!A:M,10,FALSE))</f>
        <v>150.88337772170775</v>
      </c>
      <c r="E41" s="140">
        <f>IF(ISERROR(VLOOKUP($A41,'Allocate OPROC cost'!A:M,13,FALSE)),"-",VLOOKUP($A41,'Allocate OPROC cost'!A:M,13,FALSE))</f>
        <v>106.0065337244729</v>
      </c>
      <c r="F41" s="294">
        <f>IF(ISERROR(VLOOKUP($A41,'Allocate OPROC cost'!A:M,12,FALSE)),"-",VLOOKUP($A41,'Allocate OPROC cost'!A:M,12,FALSE))</f>
        <v>96.851261968524682</v>
      </c>
      <c r="G41" s="298"/>
      <c r="H41" s="405">
        <f>IF(ISERROR(VLOOKUP($A41,'Allocate OPROC cost'!A:AO,39,FALSE)),"-",VLOOKUP($A41,'Allocate OPROC cost'!A:AO,39,FALSE))</f>
        <v>151.34428523379259</v>
      </c>
      <c r="I41" s="406">
        <f>IF(ISERROR(VLOOKUP($A41,'Allocate OPROC cost'!A:AO,38,FALSE)),"-",VLOOKUP($A41,'Allocate OPROC cost'!A:AO,38,FALSE))</f>
        <v>150.88337772170775</v>
      </c>
      <c r="J41" s="406">
        <f>IF(ISERROR(VLOOKUP($A41,'Allocate OPROC cost'!A:AO,41,FALSE)),"-",VLOOKUP($A41,'Allocate OPROC cost'!A:AO,41,FALSE))</f>
        <v>106.28924566978753</v>
      </c>
      <c r="K41" s="407">
        <f>IF(ISERROR(VLOOKUP($A41,'Allocate OPROC cost'!A:AO,40,FALSE)),"-",VLOOKUP($A41,'Allocate OPROC cost'!A:AO,40,FALSE))</f>
        <v>96.851261968524682</v>
      </c>
      <c r="L41" s="425">
        <f t="shared" si="46"/>
        <v>4.2524548635309856E-3</v>
      </c>
      <c r="M41" s="426">
        <f t="shared" si="47"/>
        <v>0</v>
      </c>
      <c r="N41" s="426">
        <f t="shared" si="48"/>
        <v>2.6669294370991192E-3</v>
      </c>
      <c r="O41" s="425">
        <f t="shared" si="49"/>
        <v>0</v>
      </c>
      <c r="P41" s="298"/>
      <c r="Q41" s="299">
        <f>IF(ISERROR(VLOOKUP($A41,'Front-loading'!$A:$AG,27,FALSE)),"-",VLOOKUP($A41,'Front-loading'!$A:$AG,27,FALSE))</f>
        <v>171.16216272537005</v>
      </c>
      <c r="R41" s="150">
        <f>IF(ISERROR(VLOOKUP($A41,'Front-loading'!$A:$AG,26,FALSE)),"-",VLOOKUP($A41,'Front-loading'!$A:$AG,26,FALSE))</f>
        <v>179.22601080474391</v>
      </c>
      <c r="S41" s="150">
        <f>IF(ISERROR(VLOOKUP($A41,'Front-loading'!$A:$AG,29,FALSE)),"-",VLOOKUP($A41,'Front-loading'!$A:$AG,29,FALSE))</f>
        <v>95.66032110280878</v>
      </c>
      <c r="T41" s="300">
        <f>IF(ISERROR(VLOOKUP($A41,'Front-loading'!$A:$AG,28,FALSE)),"-",VLOOKUP($A41,'Front-loading'!$A:$AG,28,FALSE))</f>
        <v>87.166135771672216</v>
      </c>
      <c r="U41" s="429">
        <f t="shared" si="50"/>
        <v>0.13094566115240713</v>
      </c>
      <c r="V41" s="430">
        <f t="shared" si="51"/>
        <v>0.18784463544627084</v>
      </c>
      <c r="W41" s="430">
        <f t="shared" si="52"/>
        <v>-9.9999999999999978E-2</v>
      </c>
      <c r="X41" s="431">
        <f t="shared" si="53"/>
        <v>-9.9999999999999978E-2</v>
      </c>
      <c r="Y41" s="298"/>
      <c r="Z41" s="152">
        <f>IF(ISERROR(VLOOKUP($A41,'Further adjustment'!$A:$BC,53,FALSE)),"-",VLOOKUP($A41,'Further adjustment'!$A:$BC,53,FALSE))</f>
        <v>171.16216272537005</v>
      </c>
      <c r="AA41" s="152">
        <f>IF(ISERROR(VLOOKUP($A41,'Further adjustment'!$A:$BC,52,FALSE)),"-",VLOOKUP($A41,'Further adjustment'!$A:$BC,52,FALSE))</f>
        <v>179.22601080474391</v>
      </c>
      <c r="AB41" s="152">
        <f>IF(ISERROR(VLOOKUP($A41,'Further adjustment'!$A:$BC,55,FALSE)),"-",VLOOKUP($A41,'Further adjustment'!$A:$BC,55,FALSE))</f>
        <v>95.538861933800703</v>
      </c>
      <c r="AC41" s="412">
        <f>IF(ISERROR(VLOOKUP($A41,'Further adjustment'!$A:$BC,54,FALSE)),"-",VLOOKUP($A41,'Further adjustment'!$A:$BC,54,FALSE))</f>
        <v>95.538861933800703</v>
      </c>
      <c r="AD41" s="435">
        <f t="shared" si="54"/>
        <v>0</v>
      </c>
      <c r="AE41" s="436">
        <f t="shared" si="55"/>
        <v>0</v>
      </c>
      <c r="AF41" s="436">
        <f t="shared" si="56"/>
        <v>-1.2696922570178959E-3</v>
      </c>
      <c r="AG41" s="436">
        <f t="shared" si="57"/>
        <v>9.6054804862067744E-2</v>
      </c>
      <c r="AH41" s="298"/>
      <c r="AI41" s="347">
        <f>'Price Adjustments'!$H$7</f>
        <v>-4.2387925000000104E-2</v>
      </c>
      <c r="AJ41" s="467">
        <f>'Price Adjustments'!$G$91</f>
        <v>0</v>
      </c>
      <c r="AK41" s="352">
        <f t="shared" si="30"/>
        <v>163.90695380892925</v>
      </c>
      <c r="AL41" s="352">
        <f t="shared" si="31"/>
        <v>171.62899210070321</v>
      </c>
      <c r="AM41" s="352">
        <f t="shared" si="32"/>
        <v>91.489167819565395</v>
      </c>
      <c r="AN41" s="413">
        <f t="shared" si="33"/>
        <v>91.489167819565395</v>
      </c>
      <c r="AO41" s="439">
        <f t="shared" si="58"/>
        <v>-4.2387925000000104E-2</v>
      </c>
      <c r="AP41" s="440">
        <f t="shared" si="59"/>
        <v>-4.2387925000000104E-2</v>
      </c>
      <c r="AQ41" s="440">
        <f t="shared" si="60"/>
        <v>-4.2387925000000104E-2</v>
      </c>
      <c r="AR41" s="441">
        <f t="shared" si="61"/>
        <v>-4.2387925000000104E-2</v>
      </c>
      <c r="AS41" s="359">
        <f>'Price Adjustments'!$G$7</f>
        <v>0</v>
      </c>
      <c r="AT41" s="250">
        <f>IF(ISERROR(VLOOKUP($A41,'14-15 tariff'!$A:$F,3,FALSE)*(1+$AS$6)),"-",VLOOKUP($A41,'14-15 tariff'!$A:$F,3,FALSE)*(1+$AS$6))</f>
        <v>178</v>
      </c>
      <c r="AU41" s="250">
        <f>IF(ISERROR(VLOOKUP($A41,'14-15 tariff'!$A:$F,4,FALSE)*(1+$AS$6)),"-",VLOOKUP($A41,'14-15 tariff'!$A:$F,4,FALSE)*(1+$AS$6))</f>
        <v>233</v>
      </c>
      <c r="AV41" s="250">
        <f>IF(ISERROR(VLOOKUP($A41,'14-15 tariff'!$A:$F,5,FALSE)*(1+$AS$6)),"-",VLOOKUP($A41,'14-15 tariff'!$A:$F,5,FALSE)*(1+$AS$6))</f>
        <v>101</v>
      </c>
      <c r="AW41" s="250">
        <f>IF(ISERROR(VLOOKUP($A41,'14-15 tariff'!$A:$F,6,FALSE)*(1+$AS$6)),"-",VLOOKUP($A41,'14-15 tariff'!$A:$F,6,FALSE)*(1+$AS$6))</f>
        <v>201</v>
      </c>
      <c r="AX41" s="298"/>
      <c r="AY41" s="498" t="s">
        <v>522</v>
      </c>
      <c r="AZ41" s="499" t="s">
        <v>522</v>
      </c>
      <c r="BA41" s="499" t="s">
        <v>522</v>
      </c>
      <c r="BB41" s="499" t="s">
        <v>522</v>
      </c>
      <c r="BC41" s="339">
        <f t="shared" si="62"/>
        <v>163.90695380892925</v>
      </c>
      <c r="BD41" s="339">
        <f t="shared" si="63"/>
        <v>171.62899210070321</v>
      </c>
      <c r="BE41" s="339">
        <f t="shared" si="64"/>
        <v>91.489167819565395</v>
      </c>
      <c r="BF41" s="340">
        <f t="shared" si="65"/>
        <v>91.489167819565395</v>
      </c>
      <c r="BG41" s="265">
        <f t="shared" si="66"/>
        <v>-4.2387925000000104E-2</v>
      </c>
      <c r="BH41" s="265">
        <f t="shared" si="67"/>
        <v>-4.2387925000000104E-2</v>
      </c>
      <c r="BI41" s="265">
        <f t="shared" si="68"/>
        <v>-4.2387925000000104E-2</v>
      </c>
      <c r="BJ41" s="265">
        <f t="shared" si="69"/>
        <v>-4.2387925000000104E-2</v>
      </c>
      <c r="BK41" s="298"/>
      <c r="BL41" s="503">
        <f>'Price Adjustments'!$C$66</f>
        <v>-1.22128076562165E-2</v>
      </c>
      <c r="BM41" s="378">
        <f t="shared" si="70"/>
        <v>161.90518970854444</v>
      </c>
      <c r="BN41" s="378">
        <f t="shared" si="71"/>
        <v>169.53292023194703</v>
      </c>
      <c r="BO41" s="378">
        <f t="shared" si="72"/>
        <v>90.371828210357734</v>
      </c>
      <c r="BP41" s="506">
        <f t="shared" si="73"/>
        <v>90.371828210357734</v>
      </c>
      <c r="BQ41" s="298"/>
      <c r="BR41" s="618" t="str">
        <f>IF(COUNTIF('Manual adjustments'!$A:$A,A41)=1,"Y","")</f>
        <v>Y</v>
      </c>
      <c r="BS41" s="378">
        <f>IF($BR41="",BM41,IF(AND($BR41="Y",VLOOKUP($A41,'Manual adjustments'!$A:$O,12,FALSE)&lt;&gt;""),VLOOKUP($A41,'Manual adjustments'!$A:$O,12,FALSE),BM41))</f>
        <v>179.42538274948325</v>
      </c>
      <c r="BT41" s="378">
        <f>IF($BR41="",BN41,IF(AND($BR41="Y",VLOOKUP($A41,'Manual adjustments'!$A:$O,13,FALSE)&lt;&gt;""),VLOOKUP($A41,'Manual adjustments'!$A:$O,13,FALSE),BN41))</f>
        <v>254.16505358315513</v>
      </c>
      <c r="BU41" s="378">
        <f>IF($BR41="",BO41,IF(AND($BR41="Y",VLOOKUP($A41,'Manual adjustments'!$A:$O,14,FALSE)&lt;&gt;""),VLOOKUP($A41,'Manual adjustments'!$A:$O,14,FALSE),BO41))</f>
        <v>105.99908880083886</v>
      </c>
      <c r="BV41" s="378">
        <f>IF($BR41="",BP41,IF(AND($BR41="Y",VLOOKUP($A41,'Manual adjustments'!$A:$O,15,FALSE)&lt;&gt;""),VLOOKUP($A41,'Manual adjustments'!$A:$O,15,FALSE),BP41))</f>
        <v>137.11673478243065</v>
      </c>
      <c r="BW41" s="384">
        <f>'Price Adjustments'!$D$66</f>
        <v>0</v>
      </c>
      <c r="BX41" s="378">
        <f t="shared" si="34"/>
        <v>179.42538274948325</v>
      </c>
      <c r="BY41" s="378">
        <f t="shared" si="35"/>
        <v>254.16505358315513</v>
      </c>
      <c r="BZ41" s="378">
        <f t="shared" si="36"/>
        <v>105.99908880083886</v>
      </c>
      <c r="CA41" s="379">
        <f t="shared" si="37"/>
        <v>137.11673478243065</v>
      </c>
      <c r="CB41" s="615">
        <f t="shared" si="38"/>
        <v>0</v>
      </c>
      <c r="CC41" s="423">
        <f t="shared" si="39"/>
        <v>0</v>
      </c>
      <c r="CD41" s="423">
        <f t="shared" si="40"/>
        <v>0</v>
      </c>
      <c r="CE41" s="423">
        <f t="shared" si="41"/>
        <v>0</v>
      </c>
      <c r="CF41" s="298"/>
      <c r="CG41" s="388">
        <f t="shared" si="42"/>
        <v>179</v>
      </c>
      <c r="CH41" s="378">
        <f t="shared" si="43"/>
        <v>254</v>
      </c>
      <c r="CI41" s="378">
        <f t="shared" si="44"/>
        <v>106</v>
      </c>
      <c r="CJ41" s="379">
        <f t="shared" si="45"/>
        <v>137</v>
      </c>
      <c r="CM41" s="507"/>
      <c r="CN41" s="507"/>
      <c r="CO41" s="507"/>
      <c r="CP41" s="507"/>
    </row>
    <row r="42" spans="1:94" ht="16.5" customHeight="1">
      <c r="A42" s="296">
        <v>302</v>
      </c>
      <c r="B42" s="292" t="s">
        <v>45</v>
      </c>
      <c r="C42" s="293">
        <f>IF(ISERROR(VLOOKUP($A42,'Allocate OPROC cost'!A:M,11,FALSE)),"-",VLOOKUP($A42,'Allocate OPROC cost'!A:M,11,FALSE))</f>
        <v>159.02090585288823</v>
      </c>
      <c r="D42" s="140">
        <f>IF(ISERROR(VLOOKUP($A42,'Allocate OPROC cost'!A:M,10,FALSE)),"-",VLOOKUP($A42,'Allocate OPROC cost'!A:M,10,FALSE))</f>
        <v>142.53766011072238</v>
      </c>
      <c r="E42" s="140">
        <f>IF(ISERROR(VLOOKUP($A42,'Allocate OPROC cost'!A:M,13,FALSE)),"-",VLOOKUP($A42,'Allocate OPROC cost'!A:M,13,FALSE))</f>
        <v>110.61506798282463</v>
      </c>
      <c r="F42" s="294">
        <f>IF(ISERROR(VLOOKUP($A42,'Allocate OPROC cost'!A:M,12,FALSE)),"-",VLOOKUP($A42,'Allocate OPROC cost'!A:M,12,FALSE))</f>
        <v>122.3197168679646</v>
      </c>
      <c r="G42" s="298"/>
      <c r="H42" s="405">
        <f>IF(ISERROR(VLOOKUP($A42,'Allocate OPROC cost'!A:AO,39,FALSE)),"-",VLOOKUP($A42,'Allocate OPROC cost'!A:AO,39,FALSE))</f>
        <v>159.18055810557644</v>
      </c>
      <c r="I42" s="406">
        <f>IF(ISERROR(VLOOKUP($A42,'Allocate OPROC cost'!A:AO,38,FALSE)),"-",VLOOKUP($A42,'Allocate OPROC cost'!A:AO,38,FALSE))</f>
        <v>142.53766011072238</v>
      </c>
      <c r="J42" s="406">
        <f>IF(ISERROR(VLOOKUP($A42,'Allocate OPROC cost'!A:AO,41,FALSE)),"-",VLOOKUP($A42,'Allocate OPROC cost'!A:AO,41,FALSE))</f>
        <v>110.77144251157327</v>
      </c>
      <c r="K42" s="407">
        <f>IF(ISERROR(VLOOKUP($A42,'Allocate OPROC cost'!A:AO,40,FALSE)),"-",VLOOKUP($A42,'Allocate OPROC cost'!A:AO,40,FALSE))</f>
        <v>122.3197168679646</v>
      </c>
      <c r="L42" s="425">
        <f t="shared" si="46"/>
        <v>1.0039702127964123E-3</v>
      </c>
      <c r="M42" s="426">
        <f t="shared" si="47"/>
        <v>0</v>
      </c>
      <c r="N42" s="426">
        <f t="shared" si="48"/>
        <v>1.4136819838408421E-3</v>
      </c>
      <c r="O42" s="425">
        <f t="shared" si="49"/>
        <v>0</v>
      </c>
      <c r="P42" s="298"/>
      <c r="Q42" s="299">
        <f>IF(ISERROR(VLOOKUP($A42,'Front-loading'!$A:$AG,27,FALSE)),"-",VLOOKUP($A42,'Front-loading'!$A:$AG,27,FALSE))</f>
        <v>196.98998833356293</v>
      </c>
      <c r="R42" s="150">
        <f>IF(ISERROR(VLOOKUP($A42,'Front-loading'!$A:$AG,26,FALSE)),"-",VLOOKUP($A42,'Front-loading'!$A:$AG,26,FALSE))</f>
        <v>185.67859351778932</v>
      </c>
      <c r="S42" s="150">
        <f>IF(ISERROR(VLOOKUP($A42,'Front-loading'!$A:$AG,29,FALSE)),"-",VLOOKUP($A42,'Front-loading'!$A:$AG,29,FALSE))</f>
        <v>99.694298260415948</v>
      </c>
      <c r="T42" s="300">
        <f>IF(ISERROR(VLOOKUP($A42,'Front-loading'!$A:$AG,28,FALSE)),"-",VLOOKUP($A42,'Front-loading'!$A:$AG,28,FALSE))</f>
        <v>110.08774518116815</v>
      </c>
      <c r="U42" s="429">
        <f t="shared" si="50"/>
        <v>0.23752542821786937</v>
      </c>
      <c r="V42" s="430">
        <f t="shared" si="51"/>
        <v>0.30266340399832115</v>
      </c>
      <c r="W42" s="430">
        <f t="shared" si="52"/>
        <v>-9.9999999999999978E-2</v>
      </c>
      <c r="X42" s="431">
        <f t="shared" si="53"/>
        <v>-9.9999999999999978E-2</v>
      </c>
      <c r="Y42" s="298"/>
      <c r="Z42" s="152">
        <f>IF(ISERROR(VLOOKUP($A42,'Further adjustment'!$A:$BC,53,FALSE)),"-",VLOOKUP($A42,'Further adjustment'!$A:$BC,53,FALSE))</f>
        <v>196.70316018755807</v>
      </c>
      <c r="AA42" s="152">
        <f>IF(ISERROR(VLOOKUP($A42,'Further adjustment'!$A:$BC,52,FALSE)),"-",VLOOKUP($A42,'Further adjustment'!$A:$BC,52,FALSE))</f>
        <v>196.70316018755807</v>
      </c>
      <c r="AB42" s="152">
        <f>IF(ISERROR(VLOOKUP($A42,'Further adjustment'!$A:$BC,55,FALSE)),"-",VLOOKUP($A42,'Further adjustment'!$A:$BC,55,FALSE))</f>
        <v>99.694298260415948</v>
      </c>
      <c r="AC42" s="412">
        <f>IF(ISERROR(VLOOKUP($A42,'Further adjustment'!$A:$BC,54,FALSE)),"-",VLOOKUP($A42,'Further adjustment'!$A:$BC,54,FALSE))</f>
        <v>110.08774518116815</v>
      </c>
      <c r="AD42" s="435">
        <f t="shared" si="54"/>
        <v>-1.456054434193832E-3</v>
      </c>
      <c r="AE42" s="436">
        <f t="shared" si="55"/>
        <v>5.9374462402487449E-2</v>
      </c>
      <c r="AF42" s="436">
        <f t="shared" si="56"/>
        <v>0</v>
      </c>
      <c r="AG42" s="436">
        <f t="shared" si="57"/>
        <v>0</v>
      </c>
      <c r="AH42" s="298"/>
      <c r="AI42" s="347">
        <f>'Price Adjustments'!$H$7</f>
        <v>-4.2387925000000104E-2</v>
      </c>
      <c r="AJ42" s="467">
        <f>'Price Adjustments'!$G$91</f>
        <v>0</v>
      </c>
      <c r="AK42" s="352">
        <f t="shared" si="30"/>
        <v>188.36532138626484</v>
      </c>
      <c r="AL42" s="352">
        <f t="shared" si="31"/>
        <v>188.36532138626484</v>
      </c>
      <c r="AM42" s="352">
        <f t="shared" si="32"/>
        <v>95.468463822825797</v>
      </c>
      <c r="AN42" s="413">
        <f t="shared" si="33"/>
        <v>105.42135409500966</v>
      </c>
      <c r="AO42" s="439">
        <f t="shared" si="58"/>
        <v>-4.2387925000000215E-2</v>
      </c>
      <c r="AP42" s="440">
        <f t="shared" si="59"/>
        <v>-4.2387925000000215E-2</v>
      </c>
      <c r="AQ42" s="440">
        <f t="shared" si="60"/>
        <v>-4.2387925000000104E-2</v>
      </c>
      <c r="AR42" s="441">
        <f t="shared" si="61"/>
        <v>-4.2387925000000104E-2</v>
      </c>
      <c r="AS42" s="359">
        <f>'Price Adjustments'!$G$7</f>
        <v>0</v>
      </c>
      <c r="AT42" s="250">
        <f>IF(ISERROR(VLOOKUP($A42,'14-15 tariff'!$A:$F,3,FALSE)*(1+$AS$6)),"-",VLOOKUP($A42,'14-15 tariff'!$A:$F,3,FALSE)*(1+$AS$6))</f>
        <v>187</v>
      </c>
      <c r="AU42" s="250">
        <f>IF(ISERROR(VLOOKUP($A42,'14-15 tariff'!$A:$F,4,FALSE)*(1+$AS$6)),"-",VLOOKUP($A42,'14-15 tariff'!$A:$F,4,FALSE)*(1+$AS$6))</f>
        <v>187</v>
      </c>
      <c r="AV42" s="250">
        <f>IF(ISERROR(VLOOKUP($A42,'14-15 tariff'!$A:$F,5,FALSE)*(1+$AS$6)),"-",VLOOKUP($A42,'14-15 tariff'!$A:$F,5,FALSE)*(1+$AS$6))</f>
        <v>93</v>
      </c>
      <c r="AW42" s="250">
        <f>IF(ISERROR(VLOOKUP($A42,'14-15 tariff'!$A:$F,6,FALSE)*(1+$AS$6)),"-",VLOOKUP($A42,'14-15 tariff'!$A:$F,6,FALSE)*(1+$AS$6))</f>
        <v>140</v>
      </c>
      <c r="AX42" s="298"/>
      <c r="AY42" s="498" t="s">
        <v>522</v>
      </c>
      <c r="AZ42" s="499" t="s">
        <v>522</v>
      </c>
      <c r="BA42" s="499" t="s">
        <v>522</v>
      </c>
      <c r="BB42" s="499" t="s">
        <v>522</v>
      </c>
      <c r="BC42" s="339">
        <f t="shared" si="62"/>
        <v>188.36532138626484</v>
      </c>
      <c r="BD42" s="339">
        <f t="shared" si="63"/>
        <v>188.36532138626484</v>
      </c>
      <c r="BE42" s="339">
        <f t="shared" si="64"/>
        <v>95.468463822825797</v>
      </c>
      <c r="BF42" s="340">
        <f t="shared" si="65"/>
        <v>105.42135409500966</v>
      </c>
      <c r="BG42" s="265">
        <f t="shared" si="66"/>
        <v>-4.2387925000000215E-2</v>
      </c>
      <c r="BH42" s="265">
        <f t="shared" si="67"/>
        <v>-4.2387925000000215E-2</v>
      </c>
      <c r="BI42" s="265">
        <f t="shared" si="68"/>
        <v>-4.2387925000000104E-2</v>
      </c>
      <c r="BJ42" s="265">
        <f t="shared" si="69"/>
        <v>-4.2387925000000104E-2</v>
      </c>
      <c r="BK42" s="298"/>
      <c r="BL42" s="503">
        <f>'Price Adjustments'!$C$66</f>
        <v>-1.22128076562165E-2</v>
      </c>
      <c r="BM42" s="378">
        <f t="shared" si="70"/>
        <v>186.06485194707298</v>
      </c>
      <c r="BN42" s="378">
        <f t="shared" si="71"/>
        <v>186.06485194707298</v>
      </c>
      <c r="BO42" s="378">
        <f t="shared" si="72"/>
        <v>94.302525836923166</v>
      </c>
      <c r="BP42" s="506">
        <f t="shared" si="73"/>
        <v>104.13386337458942</v>
      </c>
      <c r="BQ42" s="298"/>
      <c r="BR42" s="618" t="str">
        <f>IF(COUNTIF('Manual adjustments'!$A:$A,A42)=1,"Y","")</f>
        <v/>
      </c>
      <c r="BS42" s="378">
        <f>IF($BR42="",BM42,IF(AND($BR42="Y",VLOOKUP($A42,'Manual adjustments'!$A:$O,12,FALSE)&lt;&gt;""),VLOOKUP($A42,'Manual adjustments'!$A:$O,12,FALSE),BM42))</f>
        <v>186.06485194707298</v>
      </c>
      <c r="BT42" s="378">
        <f>IF($BR42="",BN42,IF(AND($BR42="Y",VLOOKUP($A42,'Manual adjustments'!$A:$O,13,FALSE)&lt;&gt;""),VLOOKUP($A42,'Manual adjustments'!$A:$O,13,FALSE),BN42))</f>
        <v>186.06485194707298</v>
      </c>
      <c r="BU42" s="378">
        <f>IF($BR42="",BO42,IF(AND($BR42="Y",VLOOKUP($A42,'Manual adjustments'!$A:$O,14,FALSE)&lt;&gt;""),VLOOKUP($A42,'Manual adjustments'!$A:$O,14,FALSE),BO42))</f>
        <v>94.302525836923166</v>
      </c>
      <c r="BV42" s="378">
        <f>IF($BR42="",BP42,IF(AND($BR42="Y",VLOOKUP($A42,'Manual adjustments'!$A:$O,15,FALSE)&lt;&gt;""),VLOOKUP($A42,'Manual adjustments'!$A:$O,15,FALSE),BP42))</f>
        <v>104.13386337458942</v>
      </c>
      <c r="BW42" s="384">
        <f>'Price Adjustments'!$D$66</f>
        <v>0</v>
      </c>
      <c r="BX42" s="378">
        <f t="shared" si="34"/>
        <v>186.06485194707298</v>
      </c>
      <c r="BY42" s="378">
        <f t="shared" si="35"/>
        <v>186.06485194707298</v>
      </c>
      <c r="BZ42" s="378">
        <f t="shared" si="36"/>
        <v>94.302525836923166</v>
      </c>
      <c r="CA42" s="379">
        <f t="shared" si="37"/>
        <v>104.13386337458942</v>
      </c>
      <c r="CB42" s="615">
        <f t="shared" si="38"/>
        <v>0</v>
      </c>
      <c r="CC42" s="423">
        <f t="shared" si="39"/>
        <v>0</v>
      </c>
      <c r="CD42" s="423">
        <f t="shared" si="40"/>
        <v>0</v>
      </c>
      <c r="CE42" s="423">
        <f t="shared" si="41"/>
        <v>0</v>
      </c>
      <c r="CF42" s="298"/>
      <c r="CG42" s="388">
        <f t="shared" si="42"/>
        <v>186</v>
      </c>
      <c r="CH42" s="378">
        <f t="shared" si="43"/>
        <v>186</v>
      </c>
      <c r="CI42" s="378">
        <f t="shared" si="44"/>
        <v>94</v>
      </c>
      <c r="CJ42" s="379">
        <f t="shared" si="45"/>
        <v>104</v>
      </c>
      <c r="CM42" s="507"/>
      <c r="CN42" s="507"/>
      <c r="CO42" s="507"/>
      <c r="CP42" s="507"/>
    </row>
    <row r="43" spans="1:94" ht="16.5" customHeight="1">
      <c r="A43" s="296">
        <v>303</v>
      </c>
      <c r="B43" s="292" t="s">
        <v>46</v>
      </c>
      <c r="C43" s="293">
        <f>IF(ISERROR(VLOOKUP($A43,'Allocate OPROC cost'!A:M,11,FALSE)),"-",VLOOKUP($A43,'Allocate OPROC cost'!A:M,11,FALSE))</f>
        <v>205.32335660333814</v>
      </c>
      <c r="D43" s="140">
        <f>IF(ISERROR(VLOOKUP($A43,'Allocate OPROC cost'!A:M,10,FALSE)),"-",VLOOKUP($A43,'Allocate OPROC cost'!A:M,10,FALSE))</f>
        <v>321.67221611927204</v>
      </c>
      <c r="E43" s="140">
        <f>IF(ISERROR(VLOOKUP($A43,'Allocate OPROC cost'!A:M,13,FALSE)),"-",VLOOKUP($A43,'Allocate OPROC cost'!A:M,13,FALSE))</f>
        <v>138.83058687193406</v>
      </c>
      <c r="F43" s="294">
        <f>IF(ISERROR(VLOOKUP($A43,'Allocate OPROC cost'!A:M,12,FALSE)),"-",VLOOKUP($A43,'Allocate OPROC cost'!A:M,12,FALSE))</f>
        <v>249.61662818002546</v>
      </c>
      <c r="G43" s="298"/>
      <c r="H43" s="405">
        <f>IF(ISERROR(VLOOKUP($A43,'Allocate OPROC cost'!A:AO,39,FALSE)),"-",VLOOKUP($A43,'Allocate OPROC cost'!A:AO,39,FALSE))</f>
        <v>205.26716174577507</v>
      </c>
      <c r="I43" s="406">
        <f>IF(ISERROR(VLOOKUP($A43,'Allocate OPROC cost'!A:AO,38,FALSE)),"-",VLOOKUP($A43,'Allocate OPROC cost'!A:AO,38,FALSE))</f>
        <v>321.67221611927204</v>
      </c>
      <c r="J43" s="406">
        <f>IF(ISERROR(VLOOKUP($A43,'Allocate OPROC cost'!A:AO,41,FALSE)),"-",VLOOKUP($A43,'Allocate OPROC cost'!A:AO,41,FALSE))</f>
        <v>139.09507898698132</v>
      </c>
      <c r="K43" s="407">
        <f>IF(ISERROR(VLOOKUP($A43,'Allocate OPROC cost'!A:AO,40,FALSE)),"-",VLOOKUP($A43,'Allocate OPROC cost'!A:AO,40,FALSE))</f>
        <v>249.61662818002546</v>
      </c>
      <c r="L43" s="425">
        <f t="shared" si="46"/>
        <v>-2.7368955238560311E-4</v>
      </c>
      <c r="M43" s="426">
        <f t="shared" si="47"/>
        <v>0</v>
      </c>
      <c r="N43" s="426">
        <f t="shared" si="48"/>
        <v>1.9051429588152757E-3</v>
      </c>
      <c r="O43" s="425">
        <f t="shared" si="49"/>
        <v>0</v>
      </c>
      <c r="P43" s="298"/>
      <c r="Q43" s="299">
        <f>IF(ISERROR(VLOOKUP($A43,'Front-loading'!$A:$AG,27,FALSE)),"-",VLOOKUP($A43,'Front-loading'!$A:$AG,27,FALSE))</f>
        <v>299.15790525250816</v>
      </c>
      <c r="R43" s="150">
        <f>IF(ISERROR(VLOOKUP($A43,'Front-loading'!$A:$AG,26,FALSE)),"-",VLOOKUP($A43,'Front-loading'!$A:$AG,26,FALSE))</f>
        <v>482.50832417890803</v>
      </c>
      <c r="S43" s="150">
        <f>IF(ISERROR(VLOOKUP($A43,'Front-loading'!$A:$AG,29,FALSE)),"-",VLOOKUP($A43,'Front-loading'!$A:$AG,29,FALSE))</f>
        <v>125.1855710882832</v>
      </c>
      <c r="T43" s="300">
        <f>IF(ISERROR(VLOOKUP($A43,'Front-loading'!$A:$AG,28,FALSE)),"-",VLOOKUP($A43,'Front-loading'!$A:$AG,28,FALSE))</f>
        <v>224.65496536202295</v>
      </c>
      <c r="U43" s="429">
        <f t="shared" si="50"/>
        <v>0.4574075205610213</v>
      </c>
      <c r="V43" s="430">
        <f t="shared" si="51"/>
        <v>0.5</v>
      </c>
      <c r="W43" s="430">
        <f t="shared" si="52"/>
        <v>-9.9999999999999978E-2</v>
      </c>
      <c r="X43" s="431">
        <f t="shared" si="53"/>
        <v>-9.9999999999999867E-2</v>
      </c>
      <c r="Y43" s="298"/>
      <c r="Z43" s="152">
        <f>IF(ISERROR(VLOOKUP($A43,'Further adjustment'!$A:$BC,53,FALSE)),"-",VLOOKUP($A43,'Further adjustment'!$A:$BC,53,FALSE))</f>
        <v>299.15790525250816</v>
      </c>
      <c r="AA43" s="152">
        <f>IF(ISERROR(VLOOKUP($A43,'Further adjustment'!$A:$BC,52,FALSE)),"-",VLOOKUP($A43,'Further adjustment'!$A:$BC,52,FALSE))</f>
        <v>480.55170552965478</v>
      </c>
      <c r="AB43" s="152">
        <f>IF(ISERROR(VLOOKUP($A43,'Further adjustment'!$A:$BC,55,FALSE)),"-",VLOOKUP($A43,'Further adjustment'!$A:$BC,55,FALSE))</f>
        <v>125.1855710882832</v>
      </c>
      <c r="AC43" s="412">
        <f>IF(ISERROR(VLOOKUP($A43,'Further adjustment'!$A:$BC,54,FALSE)),"-",VLOOKUP($A43,'Further adjustment'!$A:$BC,54,FALSE))</f>
        <v>224.36116946509796</v>
      </c>
      <c r="AD43" s="435">
        <f t="shared" si="54"/>
        <v>0</v>
      </c>
      <c r="AE43" s="436">
        <f t="shared" si="55"/>
        <v>-4.0550982256790657E-3</v>
      </c>
      <c r="AF43" s="436">
        <f t="shared" si="56"/>
        <v>0</v>
      </c>
      <c r="AG43" s="436">
        <f t="shared" si="57"/>
        <v>-1.3077649828551197E-3</v>
      </c>
      <c r="AH43" s="298"/>
      <c r="AI43" s="347">
        <f>'Price Adjustments'!$H$7</f>
        <v>-4.2387925000000104E-2</v>
      </c>
      <c r="AJ43" s="467">
        <f>'Price Adjustments'!$G$91</f>
        <v>0</v>
      </c>
      <c r="AK43" s="352">
        <f t="shared" si="30"/>
        <v>286.47722240150773</v>
      </c>
      <c r="AL43" s="352">
        <f t="shared" si="31"/>
        <v>460.18211587704167</v>
      </c>
      <c r="AM43" s="352">
        <f t="shared" si="32"/>
        <v>119.87921448991086</v>
      </c>
      <c r="AN43" s="413">
        <f t="shared" si="33"/>
        <v>214.85096504089907</v>
      </c>
      <c r="AO43" s="439">
        <f t="shared" si="58"/>
        <v>-4.2387924999999993E-2</v>
      </c>
      <c r="AP43" s="440">
        <f t="shared" si="59"/>
        <v>-4.2387924999999993E-2</v>
      </c>
      <c r="AQ43" s="440">
        <f t="shared" si="60"/>
        <v>-4.2387925000000104E-2</v>
      </c>
      <c r="AR43" s="441">
        <f t="shared" si="61"/>
        <v>-4.2387925000000104E-2</v>
      </c>
      <c r="AS43" s="359">
        <f>'Price Adjustments'!$G$7</f>
        <v>0</v>
      </c>
      <c r="AT43" s="250">
        <f>IF(ISERROR(VLOOKUP($A43,'14-15 tariff'!$A:$F,3,FALSE)*(1+$AS$6)),"-",VLOOKUP($A43,'14-15 tariff'!$A:$F,3,FALSE)*(1+$AS$6))</f>
        <v>243</v>
      </c>
      <c r="AU43" s="250">
        <f>IF(ISERROR(VLOOKUP($A43,'14-15 tariff'!$A:$F,4,FALSE)*(1+$AS$6)),"-",VLOOKUP($A43,'14-15 tariff'!$A:$F,4,FALSE)*(1+$AS$6))</f>
        <v>244</v>
      </c>
      <c r="AV43" s="250">
        <f>IF(ISERROR(VLOOKUP($A43,'14-15 tariff'!$A:$F,5,FALSE)*(1+$AS$6)),"-",VLOOKUP($A43,'14-15 tariff'!$A:$F,5,FALSE)*(1+$AS$6))</f>
        <v>111</v>
      </c>
      <c r="AW43" s="250">
        <f>IF(ISERROR(VLOOKUP($A43,'14-15 tariff'!$A:$F,6,FALSE)*(1+$AS$6)),"-",VLOOKUP($A43,'14-15 tariff'!$A:$F,6,FALSE)*(1+$AS$6))</f>
        <v>171</v>
      </c>
      <c r="AX43" s="298"/>
      <c r="AY43" s="498" t="s">
        <v>522</v>
      </c>
      <c r="AZ43" s="499" t="s">
        <v>522</v>
      </c>
      <c r="BA43" s="499" t="s">
        <v>522</v>
      </c>
      <c r="BB43" s="499" t="s">
        <v>522</v>
      </c>
      <c r="BC43" s="339">
        <f t="shared" si="62"/>
        <v>286.47722240150773</v>
      </c>
      <c r="BD43" s="339">
        <f t="shared" si="63"/>
        <v>460.18211587704167</v>
      </c>
      <c r="BE43" s="339">
        <f t="shared" si="64"/>
        <v>119.87921448991086</v>
      </c>
      <c r="BF43" s="340">
        <f t="shared" si="65"/>
        <v>214.85096504089907</v>
      </c>
      <c r="BG43" s="265">
        <f t="shared" si="66"/>
        <v>-4.2387924999999993E-2</v>
      </c>
      <c r="BH43" s="265">
        <f t="shared" si="67"/>
        <v>-4.2387924999999993E-2</v>
      </c>
      <c r="BI43" s="265">
        <f t="shared" si="68"/>
        <v>-4.2387925000000104E-2</v>
      </c>
      <c r="BJ43" s="265">
        <f t="shared" si="69"/>
        <v>-4.2387925000000104E-2</v>
      </c>
      <c r="BK43" s="298"/>
      <c r="BL43" s="503">
        <f>'Price Adjustments'!$C$66</f>
        <v>-1.22128076562165E-2</v>
      </c>
      <c r="BM43" s="378">
        <f t="shared" si="70"/>
        <v>282.97853118643098</v>
      </c>
      <c r="BN43" s="378">
        <f t="shared" si="71"/>
        <v>454.56200020900462</v>
      </c>
      <c r="BO43" s="378">
        <f t="shared" si="72"/>
        <v>118.41515270136726</v>
      </c>
      <c r="BP43" s="506">
        <f t="shared" si="73"/>
        <v>212.2270315301021</v>
      </c>
      <c r="BQ43" s="298"/>
      <c r="BR43" s="618" t="str">
        <f>IF(COUNTIF('Manual adjustments'!$A:$A,A43)=1,"Y","")</f>
        <v/>
      </c>
      <c r="BS43" s="378">
        <f>IF($BR43="",BM43,IF(AND($BR43="Y",VLOOKUP($A43,'Manual adjustments'!$A:$O,12,FALSE)&lt;&gt;""),VLOOKUP($A43,'Manual adjustments'!$A:$O,12,FALSE),BM43))</f>
        <v>282.97853118643098</v>
      </c>
      <c r="BT43" s="378">
        <f>IF($BR43="",BN43,IF(AND($BR43="Y",VLOOKUP($A43,'Manual adjustments'!$A:$O,13,FALSE)&lt;&gt;""),VLOOKUP($A43,'Manual adjustments'!$A:$O,13,FALSE),BN43))</f>
        <v>454.56200020900462</v>
      </c>
      <c r="BU43" s="378">
        <f>IF($BR43="",BO43,IF(AND($BR43="Y",VLOOKUP($A43,'Manual adjustments'!$A:$O,14,FALSE)&lt;&gt;""),VLOOKUP($A43,'Manual adjustments'!$A:$O,14,FALSE),BO43))</f>
        <v>118.41515270136726</v>
      </c>
      <c r="BV43" s="378">
        <f>IF($BR43="",BP43,IF(AND($BR43="Y",VLOOKUP($A43,'Manual adjustments'!$A:$O,15,FALSE)&lt;&gt;""),VLOOKUP($A43,'Manual adjustments'!$A:$O,15,FALSE),BP43))</f>
        <v>212.2270315301021</v>
      </c>
      <c r="BW43" s="384">
        <f>'Price Adjustments'!$D$66</f>
        <v>0</v>
      </c>
      <c r="BX43" s="378">
        <f t="shared" si="34"/>
        <v>282.97853118643098</v>
      </c>
      <c r="BY43" s="378">
        <f t="shared" si="35"/>
        <v>454.56200020900462</v>
      </c>
      <c r="BZ43" s="378">
        <f t="shared" si="36"/>
        <v>118.41515270136726</v>
      </c>
      <c r="CA43" s="379">
        <f t="shared" si="37"/>
        <v>212.2270315301021</v>
      </c>
      <c r="CB43" s="615">
        <f t="shared" si="38"/>
        <v>0</v>
      </c>
      <c r="CC43" s="423">
        <f t="shared" si="39"/>
        <v>0</v>
      </c>
      <c r="CD43" s="423">
        <f t="shared" si="40"/>
        <v>0</v>
      </c>
      <c r="CE43" s="423">
        <f t="shared" si="41"/>
        <v>0</v>
      </c>
      <c r="CF43" s="298"/>
      <c r="CG43" s="388">
        <f t="shared" si="42"/>
        <v>283</v>
      </c>
      <c r="CH43" s="378">
        <f t="shared" si="43"/>
        <v>455</v>
      </c>
      <c r="CI43" s="378">
        <f t="shared" si="44"/>
        <v>118</v>
      </c>
      <c r="CJ43" s="379">
        <f t="shared" si="45"/>
        <v>212</v>
      </c>
      <c r="CM43" s="507"/>
      <c r="CN43" s="507"/>
      <c r="CO43" s="507"/>
      <c r="CP43" s="507"/>
    </row>
    <row r="44" spans="1:94" ht="16.5" customHeight="1">
      <c r="A44" s="296">
        <v>306</v>
      </c>
      <c r="B44" s="292" t="s">
        <v>47</v>
      </c>
      <c r="C44" s="293">
        <f>IF(ISERROR(VLOOKUP($A44,'Allocate OPROC cost'!A:M,11,FALSE)),"-",VLOOKUP($A44,'Allocate OPROC cost'!A:M,11,FALSE))</f>
        <v>194.05876733108005</v>
      </c>
      <c r="D44" s="140">
        <f>IF(ISERROR(VLOOKUP($A44,'Allocate OPROC cost'!A:M,10,FALSE)),"-",VLOOKUP($A44,'Allocate OPROC cost'!A:M,10,FALSE))</f>
        <v>246.61561503520878</v>
      </c>
      <c r="E44" s="140">
        <f>IF(ISERROR(VLOOKUP($A44,'Allocate OPROC cost'!A:M,13,FALSE)),"-",VLOOKUP($A44,'Allocate OPROC cost'!A:M,13,FALSE))</f>
        <v>167.92334504075211</v>
      </c>
      <c r="F44" s="294">
        <f>IF(ISERROR(VLOOKUP($A44,'Allocate OPROC cost'!A:M,12,FALSE)),"-",VLOOKUP($A44,'Allocate OPROC cost'!A:M,12,FALSE))</f>
        <v>195.51750947602929</v>
      </c>
      <c r="G44" s="298"/>
      <c r="H44" s="405">
        <f>IF(ISERROR(VLOOKUP($A44,'Allocate OPROC cost'!A:AO,39,FALSE)),"-",VLOOKUP($A44,'Allocate OPROC cost'!A:AO,39,FALSE))</f>
        <v>194.30931154545675</v>
      </c>
      <c r="I44" s="406">
        <f>IF(ISERROR(VLOOKUP($A44,'Allocate OPROC cost'!A:AO,38,FALSE)),"-",VLOOKUP($A44,'Allocate OPROC cost'!A:AO,38,FALSE))</f>
        <v>246.61561503520878</v>
      </c>
      <c r="J44" s="406">
        <f>IF(ISERROR(VLOOKUP($A44,'Allocate OPROC cost'!A:AO,41,FALSE)),"-",VLOOKUP($A44,'Allocate OPROC cost'!A:AO,41,FALSE))</f>
        <v>168.87310614743663</v>
      </c>
      <c r="K44" s="407">
        <f>IF(ISERROR(VLOOKUP($A44,'Allocate OPROC cost'!A:AO,40,FALSE)),"-",VLOOKUP($A44,'Allocate OPROC cost'!A:AO,40,FALSE))</f>
        <v>195.51750947602929</v>
      </c>
      <c r="L44" s="425">
        <f t="shared" si="46"/>
        <v>1.2910739247831149E-3</v>
      </c>
      <c r="M44" s="426">
        <f t="shared" si="47"/>
        <v>0</v>
      </c>
      <c r="N44" s="426">
        <f t="shared" si="48"/>
        <v>5.6559206014745733E-3</v>
      </c>
      <c r="O44" s="425">
        <f t="shared" si="49"/>
        <v>0</v>
      </c>
      <c r="P44" s="298"/>
      <c r="Q44" s="299">
        <f>IF(ISERROR(VLOOKUP($A44,'Front-loading'!$A:$AG,27,FALSE)),"-",VLOOKUP($A44,'Front-loading'!$A:$AG,27,FALSE))</f>
        <v>270.97612999618298</v>
      </c>
      <c r="R44" s="150">
        <f>IF(ISERROR(VLOOKUP($A44,'Front-loading'!$A:$AG,26,FALSE)),"-",VLOOKUP($A44,'Front-loading'!$A:$AG,26,FALSE))</f>
        <v>366.33803469805639</v>
      </c>
      <c r="S44" s="150">
        <f>IF(ISERROR(VLOOKUP($A44,'Front-loading'!$A:$AG,29,FALSE)),"-",VLOOKUP($A44,'Front-loading'!$A:$AG,29,FALSE))</f>
        <v>151.98579553269298</v>
      </c>
      <c r="T44" s="300">
        <f>IF(ISERROR(VLOOKUP($A44,'Front-loading'!$A:$AG,28,FALSE)),"-",VLOOKUP($A44,'Front-loading'!$A:$AG,28,FALSE))</f>
        <v>175.96575852842636</v>
      </c>
      <c r="U44" s="429">
        <f t="shared" si="50"/>
        <v>0.39456070242310948</v>
      </c>
      <c r="V44" s="430">
        <f t="shared" si="51"/>
        <v>0.48546163488372418</v>
      </c>
      <c r="W44" s="430">
        <f t="shared" si="52"/>
        <v>-9.9999999999999978E-2</v>
      </c>
      <c r="X44" s="431">
        <f t="shared" si="53"/>
        <v>-9.9999999999999978E-2</v>
      </c>
      <c r="Y44" s="298"/>
      <c r="Z44" s="152">
        <f>IF(ISERROR(VLOOKUP($A44,'Further adjustment'!$A:$BC,53,FALSE)),"-",VLOOKUP($A44,'Further adjustment'!$A:$BC,53,FALSE))</f>
        <v>270.97612999618298</v>
      </c>
      <c r="AA44" s="152">
        <f>IF(ISERROR(VLOOKUP($A44,'Further adjustment'!$A:$BC,52,FALSE)),"-",VLOOKUP($A44,'Further adjustment'!$A:$BC,52,FALSE))</f>
        <v>366.33803469805639</v>
      </c>
      <c r="AB44" s="152">
        <f>IF(ISERROR(VLOOKUP($A44,'Further adjustment'!$A:$BC,55,FALSE)),"-",VLOOKUP($A44,'Further adjustment'!$A:$BC,55,FALSE))</f>
        <v>151.98579553269298</v>
      </c>
      <c r="AC44" s="412">
        <f>IF(ISERROR(VLOOKUP($A44,'Further adjustment'!$A:$BC,54,FALSE)),"-",VLOOKUP($A44,'Further adjustment'!$A:$BC,54,FALSE))</f>
        <v>175.96575852842636</v>
      </c>
      <c r="AD44" s="435">
        <f t="shared" si="54"/>
        <v>0</v>
      </c>
      <c r="AE44" s="436">
        <f t="shared" si="55"/>
        <v>0</v>
      </c>
      <c r="AF44" s="436">
        <f t="shared" si="56"/>
        <v>0</v>
      </c>
      <c r="AG44" s="436">
        <f t="shared" si="57"/>
        <v>0</v>
      </c>
      <c r="AH44" s="298"/>
      <c r="AI44" s="347">
        <f>'Price Adjustments'!$H$7</f>
        <v>-4.2387925000000104E-2</v>
      </c>
      <c r="AJ44" s="467">
        <f>'Price Adjustments'!$G$91</f>
        <v>0</v>
      </c>
      <c r="AK44" s="352">
        <f t="shared" si="30"/>
        <v>259.49001412111448</v>
      </c>
      <c r="AL44" s="352">
        <f t="shared" si="31"/>
        <v>350.80972555862775</v>
      </c>
      <c r="AM44" s="352">
        <f t="shared" si="32"/>
        <v>145.54343303058783</v>
      </c>
      <c r="AN44" s="413">
        <f t="shared" si="33"/>
        <v>168.5069351533553</v>
      </c>
      <c r="AO44" s="439">
        <f t="shared" si="58"/>
        <v>-4.2387925000000104E-2</v>
      </c>
      <c r="AP44" s="440">
        <f t="shared" si="59"/>
        <v>-4.2387925000000104E-2</v>
      </c>
      <c r="AQ44" s="440">
        <f t="shared" si="60"/>
        <v>-4.2387925000000104E-2</v>
      </c>
      <c r="AR44" s="441">
        <f t="shared" si="61"/>
        <v>-4.2387925000000104E-2</v>
      </c>
      <c r="AS44" s="359">
        <f>'Price Adjustments'!$G$7</f>
        <v>0</v>
      </c>
      <c r="AT44" s="250">
        <f>IF(ISERROR(VLOOKUP($A44,'14-15 tariff'!$A:$F,3,FALSE)*(1+$AS$6)),"-",VLOOKUP($A44,'14-15 tariff'!$A:$F,3,FALSE)*(1+$AS$6))</f>
        <v>178</v>
      </c>
      <c r="AU44" s="250">
        <f>IF(ISERROR(VLOOKUP($A44,'14-15 tariff'!$A:$F,4,FALSE)*(1+$AS$6)),"-",VLOOKUP($A44,'14-15 tariff'!$A:$F,4,FALSE)*(1+$AS$6))</f>
        <v>233</v>
      </c>
      <c r="AV44" s="250">
        <f>IF(ISERROR(VLOOKUP($A44,'14-15 tariff'!$A:$F,5,FALSE)*(1+$AS$6)),"-",VLOOKUP($A44,'14-15 tariff'!$A:$F,5,FALSE)*(1+$AS$6))</f>
        <v>101</v>
      </c>
      <c r="AW44" s="250">
        <f>IF(ISERROR(VLOOKUP($A44,'14-15 tariff'!$A:$F,6,FALSE)*(1+$AS$6)),"-",VLOOKUP($A44,'14-15 tariff'!$A:$F,6,FALSE)*(1+$AS$6))</f>
        <v>201</v>
      </c>
      <c r="AX44" s="298"/>
      <c r="AY44" s="498" t="s">
        <v>522</v>
      </c>
      <c r="AZ44" s="499" t="s">
        <v>522</v>
      </c>
      <c r="BA44" s="499" t="s">
        <v>522</v>
      </c>
      <c r="BB44" s="499" t="s">
        <v>522</v>
      </c>
      <c r="BC44" s="339">
        <f t="shared" si="62"/>
        <v>259.49001412111448</v>
      </c>
      <c r="BD44" s="339">
        <f t="shared" si="63"/>
        <v>350.80972555862775</v>
      </c>
      <c r="BE44" s="339">
        <f t="shared" si="64"/>
        <v>145.54343303058783</v>
      </c>
      <c r="BF44" s="340">
        <f t="shared" si="65"/>
        <v>168.5069351533553</v>
      </c>
      <c r="BG44" s="265">
        <f t="shared" si="66"/>
        <v>-4.2387925000000104E-2</v>
      </c>
      <c r="BH44" s="265">
        <f t="shared" si="67"/>
        <v>-4.2387925000000104E-2</v>
      </c>
      <c r="BI44" s="265">
        <f t="shared" si="68"/>
        <v>-4.2387925000000104E-2</v>
      </c>
      <c r="BJ44" s="265">
        <f t="shared" si="69"/>
        <v>-4.2387925000000104E-2</v>
      </c>
      <c r="BK44" s="298"/>
      <c r="BL44" s="503">
        <f>'Price Adjustments'!$C$66</f>
        <v>-1.22128076562165E-2</v>
      </c>
      <c r="BM44" s="378">
        <f t="shared" si="70"/>
        <v>256.32091248994442</v>
      </c>
      <c r="BN44" s="378">
        <f t="shared" si="71"/>
        <v>346.52535385645012</v>
      </c>
      <c r="BO44" s="378">
        <f t="shared" si="72"/>
        <v>143.76593907735983</v>
      </c>
      <c r="BP44" s="506">
        <f t="shared" si="73"/>
        <v>166.44899236558882</v>
      </c>
      <c r="BQ44" s="298"/>
      <c r="BR44" s="618" t="str">
        <f>IF(COUNTIF('Manual adjustments'!$A:$A,A44)=1,"Y","")</f>
        <v>Y</v>
      </c>
      <c r="BS44" s="378">
        <f>IF($BR44="",BM44,IF(AND($BR44="Y",VLOOKUP($A44,'Manual adjustments'!$A:$O,12,FALSE)&lt;&gt;""),VLOOKUP($A44,'Manual adjustments'!$A:$O,12,FALSE),BM44))</f>
        <v>179.42538274948325</v>
      </c>
      <c r="BT44" s="378">
        <f>IF($BR44="",BN44,IF(AND($BR44="Y",VLOOKUP($A44,'Manual adjustments'!$A:$O,13,FALSE)&lt;&gt;""),VLOOKUP($A44,'Manual adjustments'!$A:$O,13,FALSE),BN44))</f>
        <v>254.16505358315513</v>
      </c>
      <c r="BU44" s="378">
        <f>IF($BR44="",BO44,IF(AND($BR44="Y",VLOOKUP($A44,'Manual adjustments'!$A:$O,14,FALSE)&lt;&gt;""),VLOOKUP($A44,'Manual adjustments'!$A:$O,14,FALSE),BO44))</f>
        <v>105.99908880083886</v>
      </c>
      <c r="BV44" s="378">
        <f>IF($BR44="",BP44,IF(AND($BR44="Y",VLOOKUP($A44,'Manual adjustments'!$A:$O,15,FALSE)&lt;&gt;""),VLOOKUP($A44,'Manual adjustments'!$A:$O,15,FALSE),BP44))</f>
        <v>137.11673478243065</v>
      </c>
      <c r="BW44" s="384">
        <f>'Price Adjustments'!$D$66</f>
        <v>0</v>
      </c>
      <c r="BX44" s="378">
        <f t="shared" si="34"/>
        <v>179.42538274948325</v>
      </c>
      <c r="BY44" s="378">
        <f t="shared" si="35"/>
        <v>254.16505358315513</v>
      </c>
      <c r="BZ44" s="378">
        <f t="shared" si="36"/>
        <v>105.99908880083886</v>
      </c>
      <c r="CA44" s="379">
        <f t="shared" si="37"/>
        <v>137.11673478243065</v>
      </c>
      <c r="CB44" s="615">
        <f t="shared" si="38"/>
        <v>0</v>
      </c>
      <c r="CC44" s="423">
        <f t="shared" si="39"/>
        <v>0</v>
      </c>
      <c r="CD44" s="423">
        <f t="shared" si="40"/>
        <v>0</v>
      </c>
      <c r="CE44" s="423">
        <f t="shared" si="41"/>
        <v>0</v>
      </c>
      <c r="CF44" s="298"/>
      <c r="CG44" s="388">
        <f t="shared" si="42"/>
        <v>179</v>
      </c>
      <c r="CH44" s="378">
        <f t="shared" si="43"/>
        <v>254</v>
      </c>
      <c r="CI44" s="378">
        <f t="shared" si="44"/>
        <v>106</v>
      </c>
      <c r="CJ44" s="379">
        <f t="shared" si="45"/>
        <v>137</v>
      </c>
      <c r="CM44" s="507"/>
      <c r="CN44" s="507"/>
      <c r="CO44" s="507"/>
      <c r="CP44" s="507"/>
    </row>
    <row r="45" spans="1:94" ht="16.5" customHeight="1">
      <c r="A45" s="296">
        <v>307</v>
      </c>
      <c r="B45" s="292" t="s">
        <v>48</v>
      </c>
      <c r="C45" s="293">
        <f>IF(ISERROR(VLOOKUP($A45,'Allocate OPROC cost'!A:M,11,FALSE)),"-",VLOOKUP($A45,'Allocate OPROC cost'!A:M,11,FALSE))</f>
        <v>151.35276228607907</v>
      </c>
      <c r="D45" s="140">
        <f>IF(ISERROR(VLOOKUP($A45,'Allocate OPROC cost'!A:M,10,FALSE)),"-",VLOOKUP($A45,'Allocate OPROC cost'!A:M,10,FALSE))</f>
        <v>158.82982231877872</v>
      </c>
      <c r="E45" s="140">
        <f>IF(ISERROR(VLOOKUP($A45,'Allocate OPROC cost'!A:M,13,FALSE)),"-",VLOOKUP($A45,'Allocate OPROC cost'!A:M,13,FALSE))</f>
        <v>110.12360873334917</v>
      </c>
      <c r="F45" s="294">
        <f>IF(ISERROR(VLOOKUP($A45,'Allocate OPROC cost'!A:M,12,FALSE)),"-",VLOOKUP($A45,'Allocate OPROC cost'!A:M,12,FALSE))</f>
        <v>129.34341285484325</v>
      </c>
      <c r="G45" s="298"/>
      <c r="H45" s="405">
        <f>IF(ISERROR(VLOOKUP($A45,'Allocate OPROC cost'!A:AO,39,FALSE)),"-",VLOOKUP($A45,'Allocate OPROC cost'!A:AO,39,FALSE))</f>
        <v>151.20460157835927</v>
      </c>
      <c r="I45" s="406">
        <f>IF(ISERROR(VLOOKUP($A45,'Allocate OPROC cost'!A:AO,38,FALSE)),"-",VLOOKUP($A45,'Allocate OPROC cost'!A:AO,38,FALSE))</f>
        <v>158.82982231877872</v>
      </c>
      <c r="J45" s="406">
        <f>IF(ISERROR(VLOOKUP($A45,'Allocate OPROC cost'!A:AO,41,FALSE)),"-",VLOOKUP($A45,'Allocate OPROC cost'!A:AO,41,FALSE))</f>
        <v>110.18124633162736</v>
      </c>
      <c r="K45" s="407">
        <f>IF(ISERROR(VLOOKUP($A45,'Allocate OPROC cost'!A:AO,40,FALSE)),"-",VLOOKUP($A45,'Allocate OPROC cost'!A:AO,40,FALSE))</f>
        <v>129.34341285484325</v>
      </c>
      <c r="L45" s="425">
        <f t="shared" si="46"/>
        <v>-9.7890983608051041E-4</v>
      </c>
      <c r="M45" s="426">
        <f t="shared" si="47"/>
        <v>0</v>
      </c>
      <c r="N45" s="426">
        <f t="shared" si="48"/>
        <v>5.233900245473766E-4</v>
      </c>
      <c r="O45" s="425">
        <f t="shared" si="49"/>
        <v>0</v>
      </c>
      <c r="P45" s="298"/>
      <c r="Q45" s="299">
        <f>IF(ISERROR(VLOOKUP($A45,'Front-loading'!$A:$AG,27,FALSE)),"-",VLOOKUP($A45,'Front-loading'!$A:$AG,27,FALSE))</f>
        <v>212.45500724269203</v>
      </c>
      <c r="R45" s="150">
        <f>IF(ISERROR(VLOOKUP($A45,'Front-loading'!$A:$AG,26,FALSE)),"-",VLOOKUP($A45,'Front-loading'!$A:$AG,26,FALSE))</f>
        <v>218.07312050115277</v>
      </c>
      <c r="S45" s="150">
        <f>IF(ISERROR(VLOOKUP($A45,'Front-loading'!$A:$AG,29,FALSE)),"-",VLOOKUP($A45,'Front-loading'!$A:$AG,29,FALSE))</f>
        <v>99.163121698464636</v>
      </c>
      <c r="T45" s="300">
        <f>IF(ISERROR(VLOOKUP($A45,'Front-loading'!$A:$AG,28,FALSE)),"-",VLOOKUP($A45,'Front-loading'!$A:$AG,28,FALSE))</f>
        <v>116.40907156935893</v>
      </c>
      <c r="U45" s="429">
        <f t="shared" si="50"/>
        <v>0.40508294737703965</v>
      </c>
      <c r="V45" s="430">
        <f t="shared" si="51"/>
        <v>0.37299857997366548</v>
      </c>
      <c r="W45" s="430">
        <f t="shared" si="52"/>
        <v>-9.9999999999999978E-2</v>
      </c>
      <c r="X45" s="431">
        <f t="shared" si="53"/>
        <v>-9.9999999999999978E-2</v>
      </c>
      <c r="Y45" s="298"/>
      <c r="Z45" s="152">
        <f>IF(ISERROR(VLOOKUP($A45,'Further adjustment'!$A:$BC,53,FALSE)),"-",VLOOKUP($A45,'Further adjustment'!$A:$BC,53,FALSE))</f>
        <v>212.45500724269203</v>
      </c>
      <c r="AA45" s="152">
        <f>IF(ISERROR(VLOOKUP($A45,'Further adjustment'!$A:$BC,52,FALSE)),"-",VLOOKUP($A45,'Further adjustment'!$A:$BC,52,FALSE))</f>
        <v>218.07312050115277</v>
      </c>
      <c r="AB45" s="152">
        <f>IF(ISERROR(VLOOKUP($A45,'Further adjustment'!$A:$BC,55,FALSE)),"-",VLOOKUP($A45,'Further adjustment'!$A:$BC,55,FALSE))</f>
        <v>99.163121698464636</v>
      </c>
      <c r="AC45" s="412">
        <f>IF(ISERROR(VLOOKUP($A45,'Further adjustment'!$A:$BC,54,FALSE)),"-",VLOOKUP($A45,'Further adjustment'!$A:$BC,54,FALSE))</f>
        <v>116.40907156935893</v>
      </c>
      <c r="AD45" s="435">
        <f t="shared" si="54"/>
        <v>0</v>
      </c>
      <c r="AE45" s="436">
        <f t="shared" si="55"/>
        <v>0</v>
      </c>
      <c r="AF45" s="436">
        <f t="shared" si="56"/>
        <v>0</v>
      </c>
      <c r="AG45" s="436">
        <f t="shared" si="57"/>
        <v>0</v>
      </c>
      <c r="AH45" s="298"/>
      <c r="AI45" s="347">
        <f>'Price Adjustments'!$H$7</f>
        <v>-4.2387925000000104E-2</v>
      </c>
      <c r="AJ45" s="467">
        <f>'Price Adjustments'!$G$91</f>
        <v>0</v>
      </c>
      <c r="AK45" s="352">
        <f t="shared" si="30"/>
        <v>203.44948032981432</v>
      </c>
      <c r="AL45" s="352">
        <f t="shared" si="31"/>
        <v>208.82945342483393</v>
      </c>
      <c r="AM45" s="352">
        <f t="shared" si="32"/>
        <v>94.95980273314423</v>
      </c>
      <c r="AN45" s="413">
        <f t="shared" si="33"/>
        <v>111.4747325743573</v>
      </c>
      <c r="AO45" s="439">
        <f t="shared" si="58"/>
        <v>-4.2387925000000104E-2</v>
      </c>
      <c r="AP45" s="440">
        <f t="shared" si="59"/>
        <v>-4.2387925000000104E-2</v>
      </c>
      <c r="AQ45" s="440">
        <f t="shared" si="60"/>
        <v>-4.2387925000000104E-2</v>
      </c>
      <c r="AR45" s="441">
        <f t="shared" si="61"/>
        <v>-4.2387925000000104E-2</v>
      </c>
      <c r="AS45" s="359">
        <f>'Price Adjustments'!$G$7</f>
        <v>0</v>
      </c>
      <c r="AT45" s="250">
        <f>IF(ISERROR(VLOOKUP($A45,'14-15 tariff'!$A:$F,3,FALSE)*(1+$AS$6)),"-",VLOOKUP($A45,'14-15 tariff'!$A:$F,3,FALSE)*(1+$AS$6))</f>
        <v>222</v>
      </c>
      <c r="AU45" s="250">
        <f>IF(ISERROR(VLOOKUP($A45,'14-15 tariff'!$A:$F,4,FALSE)*(1+$AS$6)),"-",VLOOKUP($A45,'14-15 tariff'!$A:$F,4,FALSE)*(1+$AS$6))</f>
        <v>224</v>
      </c>
      <c r="AV45" s="250">
        <f>IF(ISERROR(VLOOKUP($A45,'14-15 tariff'!$A:$F,5,FALSE)*(1+$AS$6)),"-",VLOOKUP($A45,'14-15 tariff'!$A:$F,5,FALSE)*(1+$AS$6))</f>
        <v>99</v>
      </c>
      <c r="AW45" s="250">
        <f>IF(ISERROR(VLOOKUP($A45,'14-15 tariff'!$A:$F,6,FALSE)*(1+$AS$6)),"-",VLOOKUP($A45,'14-15 tariff'!$A:$F,6,FALSE)*(1+$AS$6))</f>
        <v>99</v>
      </c>
      <c r="AX45" s="298"/>
      <c r="AY45" s="498" t="s">
        <v>522</v>
      </c>
      <c r="AZ45" s="499" t="s">
        <v>522</v>
      </c>
      <c r="BA45" s="499" t="s">
        <v>522</v>
      </c>
      <c r="BB45" s="499" t="s">
        <v>522</v>
      </c>
      <c r="BC45" s="339">
        <f t="shared" si="62"/>
        <v>203.44948032981432</v>
      </c>
      <c r="BD45" s="339">
        <f t="shared" si="63"/>
        <v>208.82945342483393</v>
      </c>
      <c r="BE45" s="339">
        <f t="shared" si="64"/>
        <v>94.95980273314423</v>
      </c>
      <c r="BF45" s="340">
        <f t="shared" si="65"/>
        <v>111.4747325743573</v>
      </c>
      <c r="BG45" s="265">
        <f t="shared" si="66"/>
        <v>-4.2387925000000104E-2</v>
      </c>
      <c r="BH45" s="265">
        <f t="shared" si="67"/>
        <v>-4.2387925000000104E-2</v>
      </c>
      <c r="BI45" s="265">
        <f t="shared" si="68"/>
        <v>-4.2387925000000104E-2</v>
      </c>
      <c r="BJ45" s="265">
        <f t="shared" si="69"/>
        <v>-4.2387925000000104E-2</v>
      </c>
      <c r="BK45" s="298"/>
      <c r="BL45" s="503">
        <f>'Price Adjustments'!$C$66</f>
        <v>-1.22128076562165E-2</v>
      </c>
      <c r="BM45" s="378">
        <f t="shared" si="70"/>
        <v>200.96479095878911</v>
      </c>
      <c r="BN45" s="378">
        <f t="shared" si="71"/>
        <v>206.27905947720362</v>
      </c>
      <c r="BO45" s="378">
        <f t="shared" si="72"/>
        <v>93.800076927292082</v>
      </c>
      <c r="BP45" s="506">
        <f t="shared" si="73"/>
        <v>110.11331310689852</v>
      </c>
      <c r="BQ45" s="298"/>
      <c r="BR45" s="618" t="str">
        <f>IF(COUNTIF('Manual adjustments'!$A:$A,A45)=1,"Y","")</f>
        <v/>
      </c>
      <c r="BS45" s="378">
        <f>IF($BR45="",BM45,IF(AND($BR45="Y",VLOOKUP($A45,'Manual adjustments'!$A:$O,12,FALSE)&lt;&gt;""),VLOOKUP($A45,'Manual adjustments'!$A:$O,12,FALSE),BM45))</f>
        <v>200.96479095878911</v>
      </c>
      <c r="BT45" s="378">
        <f>IF($BR45="",BN45,IF(AND($BR45="Y",VLOOKUP($A45,'Manual adjustments'!$A:$O,13,FALSE)&lt;&gt;""),VLOOKUP($A45,'Manual adjustments'!$A:$O,13,FALSE),BN45))</f>
        <v>206.27905947720362</v>
      </c>
      <c r="BU45" s="378">
        <f>IF($BR45="",BO45,IF(AND($BR45="Y",VLOOKUP($A45,'Manual adjustments'!$A:$O,14,FALSE)&lt;&gt;""),VLOOKUP($A45,'Manual adjustments'!$A:$O,14,FALSE),BO45))</f>
        <v>93.800076927292082</v>
      </c>
      <c r="BV45" s="378">
        <f>IF($BR45="",BP45,IF(AND($BR45="Y",VLOOKUP($A45,'Manual adjustments'!$A:$O,15,FALSE)&lt;&gt;""),VLOOKUP($A45,'Manual adjustments'!$A:$O,15,FALSE),BP45))</f>
        <v>110.11331310689852</v>
      </c>
      <c r="BW45" s="384">
        <f>'Price Adjustments'!$D$66</f>
        <v>0</v>
      </c>
      <c r="BX45" s="378">
        <f t="shared" si="34"/>
        <v>200.96479095878911</v>
      </c>
      <c r="BY45" s="378">
        <f t="shared" si="35"/>
        <v>206.27905947720362</v>
      </c>
      <c r="BZ45" s="378">
        <f t="shared" si="36"/>
        <v>93.800076927292082</v>
      </c>
      <c r="CA45" s="379">
        <f t="shared" si="37"/>
        <v>110.11331310689852</v>
      </c>
      <c r="CB45" s="615">
        <f t="shared" si="38"/>
        <v>0</v>
      </c>
      <c r="CC45" s="423">
        <f t="shared" si="39"/>
        <v>0</v>
      </c>
      <c r="CD45" s="423">
        <f t="shared" si="40"/>
        <v>0</v>
      </c>
      <c r="CE45" s="423">
        <f t="shared" si="41"/>
        <v>0</v>
      </c>
      <c r="CF45" s="298"/>
      <c r="CG45" s="388">
        <f t="shared" si="42"/>
        <v>201</v>
      </c>
      <c r="CH45" s="378">
        <f t="shared" si="43"/>
        <v>206</v>
      </c>
      <c r="CI45" s="378">
        <f t="shared" si="44"/>
        <v>94</v>
      </c>
      <c r="CJ45" s="379">
        <f t="shared" si="45"/>
        <v>110</v>
      </c>
      <c r="CM45" s="507"/>
      <c r="CN45" s="507"/>
      <c r="CO45" s="507"/>
      <c r="CP45" s="507"/>
    </row>
    <row r="46" spans="1:94" ht="16.5" customHeight="1">
      <c r="A46" s="296">
        <v>320</v>
      </c>
      <c r="B46" s="292" t="s">
        <v>24</v>
      </c>
      <c r="C46" s="293">
        <f>IF(ISERROR(VLOOKUP($A46,'Allocate OPROC cost'!A:M,11,FALSE)),"-",VLOOKUP($A46,'Allocate OPROC cost'!A:M,11,FALSE))</f>
        <v>155.38043846121374</v>
      </c>
      <c r="D46" s="140">
        <f>IF(ISERROR(VLOOKUP($A46,'Allocate OPROC cost'!A:M,10,FALSE)),"-",VLOOKUP($A46,'Allocate OPROC cost'!A:M,10,FALSE))</f>
        <v>210.39765103915397</v>
      </c>
      <c r="E46" s="140">
        <f>IF(ISERROR(VLOOKUP($A46,'Allocate OPROC cost'!A:M,13,FALSE)),"-",VLOOKUP($A46,'Allocate OPROC cost'!A:M,13,FALSE))</f>
        <v>111.32296543266816</v>
      </c>
      <c r="F46" s="294">
        <f>IF(ISERROR(VLOOKUP($A46,'Allocate OPROC cost'!A:M,12,FALSE)),"-",VLOOKUP($A46,'Allocate OPROC cost'!A:M,12,FALSE))</f>
        <v>170.76608101028955</v>
      </c>
      <c r="G46" s="298"/>
      <c r="H46" s="405">
        <f>IF(ISERROR(VLOOKUP($A46,'Allocate OPROC cost'!A:AO,39,FALSE)),"-",VLOOKUP($A46,'Allocate OPROC cost'!A:AO,39,FALSE))</f>
        <v>154.41690757840487</v>
      </c>
      <c r="I46" s="406">
        <f>IF(ISERROR(VLOOKUP($A46,'Allocate OPROC cost'!A:AO,38,FALSE)),"-",VLOOKUP($A46,'Allocate OPROC cost'!A:AO,38,FALSE))</f>
        <v>210.39765103915397</v>
      </c>
      <c r="J46" s="406">
        <f>IF(ISERROR(VLOOKUP($A46,'Allocate OPROC cost'!A:AO,41,FALSE)),"-",VLOOKUP($A46,'Allocate OPROC cost'!A:AO,41,FALSE))</f>
        <v>111.14238376429124</v>
      </c>
      <c r="K46" s="407">
        <f>IF(ISERROR(VLOOKUP($A46,'Allocate OPROC cost'!A:AO,40,FALSE)),"-",VLOOKUP($A46,'Allocate OPROC cost'!A:AO,40,FALSE))</f>
        <v>170.76608101028955</v>
      </c>
      <c r="L46" s="425">
        <f t="shared" si="46"/>
        <v>-6.2011080181717526E-3</v>
      </c>
      <c r="M46" s="426">
        <f t="shared" si="47"/>
        <v>0</v>
      </c>
      <c r="N46" s="426">
        <f t="shared" si="48"/>
        <v>-1.622142095075052E-3</v>
      </c>
      <c r="O46" s="425">
        <f t="shared" si="49"/>
        <v>0</v>
      </c>
      <c r="P46" s="298"/>
      <c r="Q46" s="299">
        <f>IF(ISERROR(VLOOKUP($A46,'Front-loading'!$A:$AG,27,FALSE)),"-",VLOOKUP($A46,'Front-loading'!$A:$AG,27,FALSE))</f>
        <v>172.36884424275755</v>
      </c>
      <c r="R46" s="150">
        <f>IF(ISERROR(VLOOKUP($A46,'Front-loading'!$A:$AG,26,FALSE)),"-",VLOOKUP($A46,'Front-loading'!$A:$AG,26,FALSE))</f>
        <v>239.13845887021731</v>
      </c>
      <c r="S46" s="150">
        <f>IF(ISERROR(VLOOKUP($A46,'Front-loading'!$A:$AG,29,FALSE)),"-",VLOOKUP($A46,'Front-loading'!$A:$AG,29,FALSE))</f>
        <v>100.02814538786212</v>
      </c>
      <c r="T46" s="300">
        <f>IF(ISERROR(VLOOKUP($A46,'Front-loading'!$A:$AG,28,FALSE)),"-",VLOOKUP($A46,'Front-loading'!$A:$AG,28,FALSE))</f>
        <v>153.68947290926062</v>
      </c>
      <c r="U46" s="429">
        <f t="shared" si="50"/>
        <v>0.11625628919707265</v>
      </c>
      <c r="V46" s="430">
        <f t="shared" si="51"/>
        <v>0.13660232274035611</v>
      </c>
      <c r="W46" s="430">
        <f t="shared" si="52"/>
        <v>-9.9999999999999867E-2</v>
      </c>
      <c r="X46" s="431">
        <f t="shared" si="53"/>
        <v>-9.9999999999999867E-2</v>
      </c>
      <c r="Y46" s="298"/>
      <c r="Z46" s="152">
        <f>IF(ISERROR(VLOOKUP($A46,'Further adjustment'!$A:$BC,53,FALSE)),"-",VLOOKUP($A46,'Further adjustment'!$A:$BC,53,FALSE))</f>
        <v>172.36884424275755</v>
      </c>
      <c r="AA46" s="152">
        <f>IF(ISERROR(VLOOKUP($A46,'Further adjustment'!$A:$BC,52,FALSE)),"-",VLOOKUP($A46,'Further adjustment'!$A:$BC,52,FALSE))</f>
        <v>239.13845887021731</v>
      </c>
      <c r="AB46" s="152">
        <f>IF(ISERROR(VLOOKUP($A46,'Further adjustment'!$A:$BC,55,FALSE)),"-",VLOOKUP($A46,'Further adjustment'!$A:$BC,55,FALSE))</f>
        <v>100.02814538786212</v>
      </c>
      <c r="AC46" s="412">
        <f>IF(ISERROR(VLOOKUP($A46,'Further adjustment'!$A:$BC,54,FALSE)),"-",VLOOKUP($A46,'Further adjustment'!$A:$BC,54,FALSE))</f>
        <v>153.68947290926062</v>
      </c>
      <c r="AD46" s="435">
        <f t="shared" si="54"/>
        <v>0</v>
      </c>
      <c r="AE46" s="436">
        <f t="shared" si="55"/>
        <v>0</v>
      </c>
      <c r="AF46" s="436">
        <f t="shared" si="56"/>
        <v>0</v>
      </c>
      <c r="AG46" s="436">
        <f t="shared" si="57"/>
        <v>0</v>
      </c>
      <c r="AH46" s="298"/>
      <c r="AI46" s="347">
        <f>'Price Adjustments'!$H$7</f>
        <v>-4.2387925000000104E-2</v>
      </c>
      <c r="AJ46" s="467">
        <f>'Price Adjustments'!$G$91</f>
        <v>0</v>
      </c>
      <c r="AK46" s="352">
        <f t="shared" si="30"/>
        <v>165.06248660065884</v>
      </c>
      <c r="AL46" s="352">
        <f t="shared" si="31"/>
        <v>229.00187581101093</v>
      </c>
      <c r="AM46" s="352">
        <f t="shared" si="32"/>
        <v>95.788159863272313</v>
      </c>
      <c r="AN46" s="413">
        <f t="shared" si="33"/>
        <v>147.17489505829332</v>
      </c>
      <c r="AO46" s="439">
        <f t="shared" si="58"/>
        <v>-4.2387925000000104E-2</v>
      </c>
      <c r="AP46" s="440">
        <f t="shared" si="59"/>
        <v>-4.2387925000000104E-2</v>
      </c>
      <c r="AQ46" s="440">
        <f t="shared" si="60"/>
        <v>-4.2387925000000215E-2</v>
      </c>
      <c r="AR46" s="441">
        <f t="shared" si="61"/>
        <v>-4.2387925000000215E-2</v>
      </c>
      <c r="AS46" s="359">
        <f>'Price Adjustments'!$G$7</f>
        <v>0</v>
      </c>
      <c r="AT46" s="250">
        <f>IF(ISERROR(VLOOKUP($A46,'14-15 tariff'!$A:$F,3,FALSE)*(1+$AS$6)),"-",VLOOKUP($A46,'14-15 tariff'!$A:$F,3,FALSE)*(1+$AS$6))</f>
        <v>164</v>
      </c>
      <c r="AU46" s="250">
        <f>IF(ISERROR(VLOOKUP($A46,'14-15 tariff'!$A:$F,4,FALSE)*(1+$AS$6)),"-",VLOOKUP($A46,'14-15 tariff'!$A:$F,4,FALSE)*(1+$AS$6))</f>
        <v>189</v>
      </c>
      <c r="AV46" s="250">
        <f>IF(ISERROR(VLOOKUP($A46,'14-15 tariff'!$A:$F,5,FALSE)*(1+$AS$6)),"-",VLOOKUP($A46,'14-15 tariff'!$A:$F,5,FALSE)*(1+$AS$6))</f>
        <v>92</v>
      </c>
      <c r="AW46" s="250">
        <f>IF(ISERROR(VLOOKUP($A46,'14-15 tariff'!$A:$F,6,FALSE)*(1+$AS$6)),"-",VLOOKUP($A46,'14-15 tariff'!$A:$F,6,FALSE)*(1+$AS$6))</f>
        <v>131</v>
      </c>
      <c r="AX46" s="298"/>
      <c r="AY46" s="498" t="s">
        <v>522</v>
      </c>
      <c r="AZ46" s="499" t="s">
        <v>522</v>
      </c>
      <c r="BA46" s="499" t="s">
        <v>522</v>
      </c>
      <c r="BB46" s="499" t="s">
        <v>522</v>
      </c>
      <c r="BC46" s="339">
        <f t="shared" si="62"/>
        <v>165.06248660065884</v>
      </c>
      <c r="BD46" s="339">
        <f t="shared" si="63"/>
        <v>229.00187581101093</v>
      </c>
      <c r="BE46" s="339">
        <f t="shared" si="64"/>
        <v>95.788159863272313</v>
      </c>
      <c r="BF46" s="340">
        <f t="shared" si="65"/>
        <v>147.17489505829332</v>
      </c>
      <c r="BG46" s="265">
        <f t="shared" si="66"/>
        <v>-4.2387925000000104E-2</v>
      </c>
      <c r="BH46" s="265">
        <f t="shared" si="67"/>
        <v>-4.2387925000000104E-2</v>
      </c>
      <c r="BI46" s="265">
        <f t="shared" si="68"/>
        <v>-4.2387925000000215E-2</v>
      </c>
      <c r="BJ46" s="265">
        <f t="shared" si="69"/>
        <v>-4.2387925000000215E-2</v>
      </c>
      <c r="BK46" s="298"/>
      <c r="BL46" s="503">
        <f>'Price Adjustments'!$C$66</f>
        <v>-1.22128076562165E-2</v>
      </c>
      <c r="BM46" s="378">
        <f t="shared" si="70"/>
        <v>163.0466102005482</v>
      </c>
      <c r="BN46" s="378">
        <f t="shared" si="71"/>
        <v>226.20511994881829</v>
      </c>
      <c r="BO46" s="378">
        <f t="shared" si="72"/>
        <v>94.618317491119257</v>
      </c>
      <c r="BP46" s="506">
        <f t="shared" si="73"/>
        <v>145.37747637312253</v>
      </c>
      <c r="BQ46" s="298"/>
      <c r="BR46" s="618" t="str">
        <f>IF(COUNTIF('Manual adjustments'!$A:$A,A46)=1,"Y","")</f>
        <v/>
      </c>
      <c r="BS46" s="378">
        <f>IF($BR46="",BM46,IF(AND($BR46="Y",VLOOKUP($A46,'Manual adjustments'!$A:$O,12,FALSE)&lt;&gt;""),VLOOKUP($A46,'Manual adjustments'!$A:$O,12,FALSE),BM46))</f>
        <v>163.0466102005482</v>
      </c>
      <c r="BT46" s="378">
        <f>IF($BR46="",BN46,IF(AND($BR46="Y",VLOOKUP($A46,'Manual adjustments'!$A:$O,13,FALSE)&lt;&gt;""),VLOOKUP($A46,'Manual adjustments'!$A:$O,13,FALSE),BN46))</f>
        <v>226.20511994881829</v>
      </c>
      <c r="BU46" s="378">
        <f>IF($BR46="",BO46,IF(AND($BR46="Y",VLOOKUP($A46,'Manual adjustments'!$A:$O,14,FALSE)&lt;&gt;""),VLOOKUP($A46,'Manual adjustments'!$A:$O,14,FALSE),BO46))</f>
        <v>94.618317491119257</v>
      </c>
      <c r="BV46" s="378">
        <f>IF($BR46="",BP46,IF(AND($BR46="Y",VLOOKUP($A46,'Manual adjustments'!$A:$O,15,FALSE)&lt;&gt;""),VLOOKUP($A46,'Manual adjustments'!$A:$O,15,FALSE),BP46))</f>
        <v>145.37747637312253</v>
      </c>
      <c r="BW46" s="384">
        <f>'Price Adjustments'!$D$66</f>
        <v>0</v>
      </c>
      <c r="BX46" s="378">
        <f t="shared" si="34"/>
        <v>163.0466102005482</v>
      </c>
      <c r="BY46" s="378">
        <f t="shared" si="35"/>
        <v>226.20511994881829</v>
      </c>
      <c r="BZ46" s="378">
        <f t="shared" si="36"/>
        <v>94.618317491119257</v>
      </c>
      <c r="CA46" s="379">
        <f t="shared" si="37"/>
        <v>145.37747637312253</v>
      </c>
      <c r="CB46" s="615">
        <f t="shared" si="38"/>
        <v>0</v>
      </c>
      <c r="CC46" s="423">
        <f t="shared" si="39"/>
        <v>0</v>
      </c>
      <c r="CD46" s="423">
        <f t="shared" si="40"/>
        <v>0</v>
      </c>
      <c r="CE46" s="423">
        <f t="shared" si="41"/>
        <v>0</v>
      </c>
      <c r="CF46" s="298"/>
      <c r="CG46" s="388">
        <f t="shared" si="42"/>
        <v>163</v>
      </c>
      <c r="CH46" s="378">
        <f t="shared" si="43"/>
        <v>226</v>
      </c>
      <c r="CI46" s="378">
        <f t="shared" si="44"/>
        <v>95</v>
      </c>
      <c r="CJ46" s="379">
        <f t="shared" si="45"/>
        <v>145</v>
      </c>
      <c r="CM46" s="507"/>
      <c r="CN46" s="507"/>
      <c r="CO46" s="507"/>
      <c r="CP46" s="507"/>
    </row>
    <row r="47" spans="1:94" ht="16.5" customHeight="1">
      <c r="A47" s="296">
        <v>321</v>
      </c>
      <c r="B47" s="292" t="s">
        <v>25</v>
      </c>
      <c r="C47" s="293">
        <f>IF(ISERROR(VLOOKUP($A47,'Allocate OPROC cost'!A:M,11,FALSE)),"-",VLOOKUP($A47,'Allocate OPROC cost'!A:M,11,FALSE))</f>
        <v>205.26999679388936</v>
      </c>
      <c r="D47" s="140">
        <f>IF(ISERROR(VLOOKUP($A47,'Allocate OPROC cost'!A:M,10,FALSE)),"-",VLOOKUP($A47,'Allocate OPROC cost'!A:M,10,FALSE))</f>
        <v>213.07027158664218</v>
      </c>
      <c r="E47" s="140">
        <f>IF(ISERROR(VLOOKUP($A47,'Allocate OPROC cost'!A:M,13,FALSE)),"-",VLOOKUP($A47,'Allocate OPROC cost'!A:M,13,FALSE))</f>
        <v>145.43464357235004</v>
      </c>
      <c r="F47" s="294">
        <f>IF(ISERROR(VLOOKUP($A47,'Allocate OPROC cost'!A:M,12,FALSE)),"-",VLOOKUP($A47,'Allocate OPROC cost'!A:M,12,FALSE))</f>
        <v>192.28458143864449</v>
      </c>
      <c r="G47" s="298"/>
      <c r="H47" s="405">
        <f>IF(ISERROR(VLOOKUP($A47,'Allocate OPROC cost'!A:AO,39,FALSE)),"-",VLOOKUP($A47,'Allocate OPROC cost'!A:AO,39,FALSE))</f>
        <v>199.96753755310303</v>
      </c>
      <c r="I47" s="406">
        <f>IF(ISERROR(VLOOKUP($A47,'Allocate OPROC cost'!A:AO,38,FALSE)),"-",VLOOKUP($A47,'Allocate OPROC cost'!A:AO,38,FALSE))</f>
        <v>213.07027158664218</v>
      </c>
      <c r="J47" s="406">
        <f>IF(ISERROR(VLOOKUP($A47,'Allocate OPROC cost'!A:AO,41,FALSE)),"-",VLOOKUP($A47,'Allocate OPROC cost'!A:AO,41,FALSE))</f>
        <v>144.27508473952815</v>
      </c>
      <c r="K47" s="407">
        <f>IF(ISERROR(VLOOKUP($A47,'Allocate OPROC cost'!A:AO,40,FALSE)),"-",VLOOKUP($A47,'Allocate OPROC cost'!A:AO,40,FALSE))</f>
        <v>192.28458143864449</v>
      </c>
      <c r="L47" s="425">
        <f t="shared" si="46"/>
        <v>-2.5831633086205508E-2</v>
      </c>
      <c r="M47" s="426">
        <f t="shared" si="47"/>
        <v>0</v>
      </c>
      <c r="N47" s="426">
        <f t="shared" si="48"/>
        <v>-7.9730578928055573E-3</v>
      </c>
      <c r="O47" s="425">
        <f t="shared" si="49"/>
        <v>0</v>
      </c>
      <c r="P47" s="298"/>
      <c r="Q47" s="299">
        <f>IF(ISERROR(VLOOKUP($A47,'Front-loading'!$A:$AG,27,FALSE)),"-",VLOOKUP($A47,'Front-loading'!$A:$AG,27,FALSE))</f>
        <v>237.79413918429154</v>
      </c>
      <c r="R47" s="150">
        <f>IF(ISERROR(VLOOKUP($A47,'Front-loading'!$A:$AG,26,FALSE)),"-",VLOOKUP($A47,'Front-loading'!$A:$AG,26,FALSE))</f>
        <v>240.8566069816178</v>
      </c>
      <c r="S47" s="150">
        <f>IF(ISERROR(VLOOKUP($A47,'Front-loading'!$A:$AG,29,FALSE)),"-",VLOOKUP($A47,'Front-loading'!$A:$AG,29,FALSE))</f>
        <v>129.84757626557533</v>
      </c>
      <c r="T47" s="300">
        <f>IF(ISERROR(VLOOKUP($A47,'Front-loading'!$A:$AG,28,FALSE)),"-",VLOOKUP($A47,'Front-loading'!$A:$AG,28,FALSE))</f>
        <v>173.05612329478004</v>
      </c>
      <c r="U47" s="429">
        <f t="shared" si="50"/>
        <v>0.18916371174067859</v>
      </c>
      <c r="V47" s="430">
        <f t="shared" si="51"/>
        <v>0.13040925506905676</v>
      </c>
      <c r="W47" s="430">
        <f t="shared" si="52"/>
        <v>-0.10000000000000009</v>
      </c>
      <c r="X47" s="431">
        <f t="shared" si="53"/>
        <v>-0.10000000000000009</v>
      </c>
      <c r="Y47" s="298"/>
      <c r="Z47" s="152">
        <f>IF(ISERROR(VLOOKUP($A47,'Further adjustment'!$A:$BC,53,FALSE)),"-",VLOOKUP($A47,'Further adjustment'!$A:$BC,53,FALSE))</f>
        <v>237.79413918429154</v>
      </c>
      <c r="AA47" s="152">
        <f>IF(ISERROR(VLOOKUP($A47,'Further adjustment'!$A:$BC,52,FALSE)),"-",VLOOKUP($A47,'Further adjustment'!$A:$BC,52,FALSE))</f>
        <v>240.8566069816178</v>
      </c>
      <c r="AB47" s="152">
        <f>IF(ISERROR(VLOOKUP($A47,'Further adjustment'!$A:$BC,55,FALSE)),"-",VLOOKUP($A47,'Further adjustment'!$A:$BC,55,FALSE))</f>
        <v>129.84757626557533</v>
      </c>
      <c r="AC47" s="412">
        <f>IF(ISERROR(VLOOKUP($A47,'Further adjustment'!$A:$BC,54,FALSE)),"-",VLOOKUP($A47,'Further adjustment'!$A:$BC,54,FALSE))</f>
        <v>173.05612329478004</v>
      </c>
      <c r="AD47" s="435">
        <f t="shared" si="54"/>
        <v>0</v>
      </c>
      <c r="AE47" s="436">
        <f t="shared" si="55"/>
        <v>0</v>
      </c>
      <c r="AF47" s="436">
        <f t="shared" si="56"/>
        <v>0</v>
      </c>
      <c r="AG47" s="436">
        <f t="shared" si="57"/>
        <v>0</v>
      </c>
      <c r="AH47" s="298"/>
      <c r="AI47" s="347">
        <f>'Price Adjustments'!$H$7</f>
        <v>-4.2387925000000104E-2</v>
      </c>
      <c r="AJ47" s="467">
        <f>'Price Adjustments'!$G$91</f>
        <v>0</v>
      </c>
      <c r="AK47" s="352">
        <f t="shared" si="30"/>
        <v>227.71453904710819</v>
      </c>
      <c r="AL47" s="352">
        <f t="shared" si="31"/>
        <v>230.64719518912648</v>
      </c>
      <c r="AM47" s="352">
        <f t="shared" si="32"/>
        <v>124.34360694139832</v>
      </c>
      <c r="AN47" s="413">
        <f t="shared" si="33"/>
        <v>165.72063331977012</v>
      </c>
      <c r="AO47" s="439">
        <f t="shared" si="58"/>
        <v>-4.2387925000000104E-2</v>
      </c>
      <c r="AP47" s="440">
        <f t="shared" si="59"/>
        <v>-4.2387925000000104E-2</v>
      </c>
      <c r="AQ47" s="440">
        <f t="shared" si="60"/>
        <v>-4.2387925000000104E-2</v>
      </c>
      <c r="AR47" s="441">
        <f t="shared" si="61"/>
        <v>-4.2387925000000215E-2</v>
      </c>
      <c r="AS47" s="359">
        <f>'Price Adjustments'!$G$7</f>
        <v>0</v>
      </c>
      <c r="AT47" s="250">
        <f>IF(ISERROR(VLOOKUP($A47,'14-15 tariff'!$A:$F,3,FALSE)*(1+$AS$6)),"-",VLOOKUP($A47,'14-15 tariff'!$A:$F,3,FALSE)*(1+$AS$6))</f>
        <v>217</v>
      </c>
      <c r="AU47" s="250">
        <f>IF(ISERROR(VLOOKUP($A47,'14-15 tariff'!$A:$F,4,FALSE)*(1+$AS$6)),"-",VLOOKUP($A47,'14-15 tariff'!$A:$F,4,FALSE)*(1+$AS$6))</f>
        <v>217</v>
      </c>
      <c r="AV47" s="250">
        <f>IF(ISERROR(VLOOKUP($A47,'14-15 tariff'!$A:$F,5,FALSE)*(1+$AS$6)),"-",VLOOKUP($A47,'14-15 tariff'!$A:$F,5,FALSE)*(1+$AS$6))</f>
        <v>144</v>
      </c>
      <c r="AW47" s="250">
        <f>IF(ISERROR(VLOOKUP($A47,'14-15 tariff'!$A:$F,6,FALSE)*(1+$AS$6)),"-",VLOOKUP($A47,'14-15 tariff'!$A:$F,6,FALSE)*(1+$AS$6))</f>
        <v>160</v>
      </c>
      <c r="AX47" s="298"/>
      <c r="AY47" s="498" t="s">
        <v>522</v>
      </c>
      <c r="AZ47" s="499" t="s">
        <v>522</v>
      </c>
      <c r="BA47" s="499" t="s">
        <v>522</v>
      </c>
      <c r="BB47" s="499" t="s">
        <v>522</v>
      </c>
      <c r="BC47" s="339">
        <f t="shared" si="62"/>
        <v>227.71453904710819</v>
      </c>
      <c r="BD47" s="339">
        <f t="shared" si="63"/>
        <v>230.64719518912648</v>
      </c>
      <c r="BE47" s="339">
        <f t="shared" si="64"/>
        <v>124.34360694139832</v>
      </c>
      <c r="BF47" s="340">
        <f t="shared" si="65"/>
        <v>165.72063331977012</v>
      </c>
      <c r="BG47" s="265">
        <f t="shared" si="66"/>
        <v>-4.2387925000000104E-2</v>
      </c>
      <c r="BH47" s="265">
        <f t="shared" si="67"/>
        <v>-4.2387925000000104E-2</v>
      </c>
      <c r="BI47" s="265">
        <f t="shared" si="68"/>
        <v>-4.2387925000000104E-2</v>
      </c>
      <c r="BJ47" s="265">
        <f t="shared" si="69"/>
        <v>-4.2387925000000215E-2</v>
      </c>
      <c r="BK47" s="298"/>
      <c r="BL47" s="503">
        <f>'Price Adjustments'!$C$66</f>
        <v>-1.22128076562165E-2</v>
      </c>
      <c r="BM47" s="378">
        <f t="shared" si="70"/>
        <v>224.93350518120187</v>
      </c>
      <c r="BN47" s="378">
        <f t="shared" si="71"/>
        <v>227.83034535783585</v>
      </c>
      <c r="BO47" s="378">
        <f t="shared" si="72"/>
        <v>122.82502238654284</v>
      </c>
      <c r="BP47" s="506">
        <f t="shared" si="73"/>
        <v>163.69671910036939</v>
      </c>
      <c r="BQ47" s="298"/>
      <c r="BR47" s="618" t="str">
        <f>IF(COUNTIF('Manual adjustments'!$A:$A,A47)=1,"Y","")</f>
        <v/>
      </c>
      <c r="BS47" s="378">
        <f>IF($BR47="",BM47,IF(AND($BR47="Y",VLOOKUP($A47,'Manual adjustments'!$A:$O,12,FALSE)&lt;&gt;""),VLOOKUP($A47,'Manual adjustments'!$A:$O,12,FALSE),BM47))</f>
        <v>224.93350518120187</v>
      </c>
      <c r="BT47" s="378">
        <f>IF($BR47="",BN47,IF(AND($BR47="Y",VLOOKUP($A47,'Manual adjustments'!$A:$O,13,FALSE)&lt;&gt;""),VLOOKUP($A47,'Manual adjustments'!$A:$O,13,FALSE),BN47))</f>
        <v>227.83034535783585</v>
      </c>
      <c r="BU47" s="378">
        <f>IF($BR47="",BO47,IF(AND($BR47="Y",VLOOKUP($A47,'Manual adjustments'!$A:$O,14,FALSE)&lt;&gt;""),VLOOKUP($A47,'Manual adjustments'!$A:$O,14,FALSE),BO47))</f>
        <v>122.82502238654284</v>
      </c>
      <c r="BV47" s="378">
        <f>IF($BR47="",BP47,IF(AND($BR47="Y",VLOOKUP($A47,'Manual adjustments'!$A:$O,15,FALSE)&lt;&gt;""),VLOOKUP($A47,'Manual adjustments'!$A:$O,15,FALSE),BP47))</f>
        <v>163.69671910036939</v>
      </c>
      <c r="BW47" s="384">
        <f>'Price Adjustments'!$D$66</f>
        <v>0</v>
      </c>
      <c r="BX47" s="378">
        <f t="shared" si="34"/>
        <v>224.93350518120187</v>
      </c>
      <c r="BY47" s="378">
        <f t="shared" si="35"/>
        <v>227.83034535783585</v>
      </c>
      <c r="BZ47" s="378">
        <f t="shared" si="36"/>
        <v>122.82502238654284</v>
      </c>
      <c r="CA47" s="379">
        <f t="shared" si="37"/>
        <v>163.69671910036939</v>
      </c>
      <c r="CB47" s="615">
        <f t="shared" si="38"/>
        <v>0</v>
      </c>
      <c r="CC47" s="423">
        <f t="shared" si="39"/>
        <v>0</v>
      </c>
      <c r="CD47" s="423">
        <f t="shared" si="40"/>
        <v>0</v>
      </c>
      <c r="CE47" s="423">
        <f t="shared" si="41"/>
        <v>0</v>
      </c>
      <c r="CF47" s="298"/>
      <c r="CG47" s="388">
        <f t="shared" si="42"/>
        <v>225</v>
      </c>
      <c r="CH47" s="378">
        <f t="shared" si="43"/>
        <v>228</v>
      </c>
      <c r="CI47" s="378">
        <f t="shared" si="44"/>
        <v>123</v>
      </c>
      <c r="CJ47" s="379">
        <f t="shared" si="45"/>
        <v>164</v>
      </c>
      <c r="CM47" s="507"/>
      <c r="CN47" s="507"/>
      <c r="CO47" s="507"/>
      <c r="CP47" s="507"/>
    </row>
    <row r="48" spans="1:94" ht="16.5" customHeight="1">
      <c r="A48" s="296">
        <v>329</v>
      </c>
      <c r="B48" s="292" t="s">
        <v>62</v>
      </c>
      <c r="C48" s="293">
        <f>IF(ISERROR(VLOOKUP($A48,'Allocate OPROC cost'!A:M,11,FALSE)),"-",VLOOKUP($A48,'Allocate OPROC cost'!A:M,11,FALSE))</f>
        <v>196.49646828320567</v>
      </c>
      <c r="D48" s="140">
        <f>IF(ISERROR(VLOOKUP($A48,'Allocate OPROC cost'!A:M,10,FALSE)),"-",VLOOKUP($A48,'Allocate OPROC cost'!A:M,10,FALSE))</f>
        <v>414.20167491378214</v>
      </c>
      <c r="E48" s="140">
        <f>IF(ISERROR(VLOOKUP($A48,'Allocate OPROC cost'!A:M,13,FALSE)),"-",VLOOKUP($A48,'Allocate OPROC cost'!A:M,13,FALSE))</f>
        <v>167.40785811673891</v>
      </c>
      <c r="F48" s="294">
        <f>IF(ISERROR(VLOOKUP($A48,'Allocate OPROC cost'!A:M,12,FALSE)),"-",VLOOKUP($A48,'Allocate OPROC cost'!A:M,12,FALSE))</f>
        <v>458.29025737282001</v>
      </c>
      <c r="G48" s="298"/>
      <c r="H48" s="405">
        <f>IF(ISERROR(VLOOKUP($A48,'Allocate OPROC cost'!A:AO,39,FALSE)),"-",VLOOKUP($A48,'Allocate OPROC cost'!A:AO,39,FALSE))</f>
        <v>196.49646828320567</v>
      </c>
      <c r="I48" s="406">
        <f>IF(ISERROR(VLOOKUP($A48,'Allocate OPROC cost'!A:AO,38,FALSE)),"-",VLOOKUP($A48,'Allocate OPROC cost'!A:AO,38,FALSE))</f>
        <v>414.20167491378214</v>
      </c>
      <c r="J48" s="406">
        <f>IF(ISERROR(VLOOKUP($A48,'Allocate OPROC cost'!A:AO,41,FALSE)),"-",VLOOKUP($A48,'Allocate OPROC cost'!A:AO,41,FALSE))</f>
        <v>167.40785811673891</v>
      </c>
      <c r="K48" s="407">
        <f>IF(ISERROR(VLOOKUP($A48,'Allocate OPROC cost'!A:AO,40,FALSE)),"-",VLOOKUP($A48,'Allocate OPROC cost'!A:AO,40,FALSE))</f>
        <v>458.29025737282001</v>
      </c>
      <c r="L48" s="425">
        <f t="shared" si="46"/>
        <v>0</v>
      </c>
      <c r="M48" s="426">
        <f t="shared" si="47"/>
        <v>0</v>
      </c>
      <c r="N48" s="426">
        <f t="shared" si="48"/>
        <v>0</v>
      </c>
      <c r="O48" s="425">
        <f t="shared" si="49"/>
        <v>0</v>
      </c>
      <c r="P48" s="298"/>
      <c r="Q48" s="299">
        <f>IF(ISERROR(VLOOKUP($A48,'Front-loading'!$A:$AG,27,FALSE)),"-",VLOOKUP($A48,'Front-loading'!$A:$AG,27,FALSE))</f>
        <v>202.8706388954937</v>
      </c>
      <c r="R48" s="150">
        <f>IF(ISERROR(VLOOKUP($A48,'Front-loading'!$A:$AG,26,FALSE)),"-",VLOOKUP($A48,'Front-loading'!$A:$AG,26,FALSE))</f>
        <v>414.61880803639093</v>
      </c>
      <c r="S48" s="150">
        <f>IF(ISERROR(VLOOKUP($A48,'Front-loading'!$A:$AG,29,FALSE)),"-",VLOOKUP($A48,'Front-loading'!$A:$AG,29,FALSE))</f>
        <v>150.66707230506503</v>
      </c>
      <c r="T48" s="300">
        <f>IF(ISERROR(VLOOKUP($A48,'Front-loading'!$A:$AG,28,FALSE)),"-",VLOOKUP($A48,'Front-loading'!$A:$AG,28,FALSE))</f>
        <v>412.46123163553801</v>
      </c>
      <c r="U48" s="429">
        <f t="shared" si="50"/>
        <v>3.2439110320807929E-2</v>
      </c>
      <c r="V48" s="430">
        <f t="shared" si="51"/>
        <v>1.0070773438943803E-3</v>
      </c>
      <c r="W48" s="430">
        <f t="shared" si="52"/>
        <v>-9.9999999999999867E-2</v>
      </c>
      <c r="X48" s="431">
        <f t="shared" si="53"/>
        <v>-9.9999999999999978E-2</v>
      </c>
      <c r="Y48" s="298"/>
      <c r="Z48" s="152">
        <f>IF(ISERROR(VLOOKUP($A48,'Further adjustment'!$A:$BC,53,FALSE)),"-",VLOOKUP($A48,'Further adjustment'!$A:$BC,53,FALSE))</f>
        <v>204.08029236859937</v>
      </c>
      <c r="AA48" s="152">
        <f>IF(ISERROR(VLOOKUP($A48,'Further adjustment'!$A:$BC,52,FALSE)),"-",VLOOKUP($A48,'Further adjustment'!$A:$BC,52,FALSE))</f>
        <v>408.16058473719875</v>
      </c>
      <c r="AB48" s="152">
        <f>IF(ISERROR(VLOOKUP($A48,'Further adjustment'!$A:$BC,55,FALSE)),"-",VLOOKUP($A48,'Further adjustment'!$A:$BC,55,FALSE))</f>
        <v>151.17122009033704</v>
      </c>
      <c r="AC48" s="412">
        <f>IF(ISERROR(VLOOKUP($A48,'Further adjustment'!$A:$BC,54,FALSE)),"-",VLOOKUP($A48,'Further adjustment'!$A:$BC,54,FALSE))</f>
        <v>302.34244018067409</v>
      </c>
      <c r="AD48" s="435">
        <f t="shared" si="54"/>
        <v>5.9626838052637687E-3</v>
      </c>
      <c r="AE48" s="436">
        <f t="shared" si="55"/>
        <v>-1.557629121982651E-2</v>
      </c>
      <c r="AF48" s="436">
        <f t="shared" si="56"/>
        <v>3.3461046103770986E-3</v>
      </c>
      <c r="AG48" s="436">
        <f t="shared" si="57"/>
        <v>-0.26697973775185713</v>
      </c>
      <c r="AH48" s="298"/>
      <c r="AI48" s="347">
        <f>'Price Adjustments'!$H$7</f>
        <v>-4.2387925000000104E-2</v>
      </c>
      <c r="AJ48" s="467">
        <f>'Price Adjustments'!$G$91</f>
        <v>0</v>
      </c>
      <c r="AK48" s="352">
        <f t="shared" si="30"/>
        <v>195.4297522417011</v>
      </c>
      <c r="AL48" s="352">
        <f t="shared" si="31"/>
        <v>390.85950448340219</v>
      </c>
      <c r="AM48" s="352">
        <f t="shared" si="32"/>
        <v>144.76338575098933</v>
      </c>
      <c r="AN48" s="413">
        <f t="shared" si="33"/>
        <v>289.52677150197866</v>
      </c>
      <c r="AO48" s="439">
        <f t="shared" si="58"/>
        <v>-4.2387925000000104E-2</v>
      </c>
      <c r="AP48" s="440">
        <f t="shared" si="59"/>
        <v>-4.2387925000000104E-2</v>
      </c>
      <c r="AQ48" s="440">
        <f t="shared" si="60"/>
        <v>-4.2387925000000104E-2</v>
      </c>
      <c r="AR48" s="441">
        <f t="shared" si="61"/>
        <v>-4.2387925000000104E-2</v>
      </c>
      <c r="AS48" s="359">
        <f>'Price Adjustments'!$G$7</f>
        <v>0</v>
      </c>
      <c r="AT48" s="250">
        <f>IF(ISERROR(VLOOKUP($A48,'14-15 tariff'!$A:$F,3,FALSE)*(1+$AS$6)),"-",VLOOKUP($A48,'14-15 tariff'!$A:$F,3,FALSE)*(1+$AS$6))</f>
        <v>317</v>
      </c>
      <c r="AU48" s="250">
        <f>IF(ISERROR(VLOOKUP($A48,'14-15 tariff'!$A:$F,4,FALSE)*(1+$AS$6)),"-",VLOOKUP($A48,'14-15 tariff'!$A:$F,4,FALSE)*(1+$AS$6))</f>
        <v>317</v>
      </c>
      <c r="AV48" s="250" t="str">
        <f>IF(ISERROR(VLOOKUP($A48,'14-15 tariff'!$A:$F,5,FALSE)*(1+$AS$6)),"-",VLOOKUP($A48,'14-15 tariff'!$A:$F,5,FALSE)*(1+$AS$6))</f>
        <v>-</v>
      </c>
      <c r="AW48" s="250" t="str">
        <f>IF(ISERROR(VLOOKUP($A48,'14-15 tariff'!$A:$F,6,FALSE)*(1+$AS$6)),"-",VLOOKUP($A48,'14-15 tariff'!$A:$F,6,FALSE)*(1+$AS$6))</f>
        <v>-</v>
      </c>
      <c r="AX48" s="298"/>
      <c r="AY48" s="498" t="s">
        <v>522</v>
      </c>
      <c r="AZ48" s="499" t="s">
        <v>522</v>
      </c>
      <c r="BA48" s="499" t="s">
        <v>522</v>
      </c>
      <c r="BB48" s="499" t="s">
        <v>522</v>
      </c>
      <c r="BC48" s="339">
        <f t="shared" si="62"/>
        <v>195.4297522417011</v>
      </c>
      <c r="BD48" s="339">
        <f t="shared" si="63"/>
        <v>390.85950448340219</v>
      </c>
      <c r="BE48" s="339">
        <f t="shared" si="64"/>
        <v>144.76338575098933</v>
      </c>
      <c r="BF48" s="340">
        <f t="shared" si="65"/>
        <v>289.52677150197866</v>
      </c>
      <c r="BG48" s="265">
        <f t="shared" si="66"/>
        <v>-4.2387925000000104E-2</v>
      </c>
      <c r="BH48" s="265">
        <f t="shared" si="67"/>
        <v>-4.2387925000000104E-2</v>
      </c>
      <c r="BI48" s="265">
        <f t="shared" si="68"/>
        <v>-4.2387925000000104E-2</v>
      </c>
      <c r="BJ48" s="265">
        <f t="shared" si="69"/>
        <v>-4.2387925000000104E-2</v>
      </c>
      <c r="BK48" s="298"/>
      <c r="BL48" s="503">
        <f>'Price Adjustments'!$C$66</f>
        <v>-1.22128076562165E-2</v>
      </c>
      <c r="BM48" s="378">
        <f t="shared" si="70"/>
        <v>193.04300626727115</v>
      </c>
      <c r="BN48" s="378">
        <f t="shared" si="71"/>
        <v>386.08601253454231</v>
      </c>
      <c r="BO48" s="378">
        <f t="shared" si="72"/>
        <v>142.99541836514982</v>
      </c>
      <c r="BP48" s="506">
        <f t="shared" si="73"/>
        <v>285.99083673029963</v>
      </c>
      <c r="BQ48" s="298"/>
      <c r="BR48" s="618" t="str">
        <f>IF(COUNTIF('Manual adjustments'!$A:$A,A48)=1,"Y","")</f>
        <v/>
      </c>
      <c r="BS48" s="378">
        <f>IF($BR48="",BM48,IF(AND($BR48="Y",VLOOKUP($A48,'Manual adjustments'!$A:$O,12,FALSE)&lt;&gt;""),VLOOKUP($A48,'Manual adjustments'!$A:$O,12,FALSE),BM48))</f>
        <v>193.04300626727115</v>
      </c>
      <c r="BT48" s="378">
        <f>IF($BR48="",BN48,IF(AND($BR48="Y",VLOOKUP($A48,'Manual adjustments'!$A:$O,13,FALSE)&lt;&gt;""),VLOOKUP($A48,'Manual adjustments'!$A:$O,13,FALSE),BN48))</f>
        <v>386.08601253454231</v>
      </c>
      <c r="BU48" s="378">
        <f>IF($BR48="",BO48,IF(AND($BR48="Y",VLOOKUP($A48,'Manual adjustments'!$A:$O,14,FALSE)&lt;&gt;""),VLOOKUP($A48,'Manual adjustments'!$A:$O,14,FALSE),BO48))</f>
        <v>142.99541836514982</v>
      </c>
      <c r="BV48" s="378">
        <f>IF($BR48="",BP48,IF(AND($BR48="Y",VLOOKUP($A48,'Manual adjustments'!$A:$O,15,FALSE)&lt;&gt;""),VLOOKUP($A48,'Manual adjustments'!$A:$O,15,FALSE),BP48))</f>
        <v>285.99083673029963</v>
      </c>
      <c r="BW48" s="384">
        <f>'Price Adjustments'!$D$66</f>
        <v>0</v>
      </c>
      <c r="BX48" s="378">
        <f t="shared" si="34"/>
        <v>193.04300626727115</v>
      </c>
      <c r="BY48" s="378">
        <f t="shared" si="35"/>
        <v>386.08601253454231</v>
      </c>
      <c r="BZ48" s="378">
        <f t="shared" si="36"/>
        <v>142.99541836514982</v>
      </c>
      <c r="CA48" s="379">
        <f t="shared" si="37"/>
        <v>285.99083673029963</v>
      </c>
      <c r="CB48" s="615">
        <f t="shared" si="38"/>
        <v>0</v>
      </c>
      <c r="CC48" s="423">
        <f t="shared" si="39"/>
        <v>0</v>
      </c>
      <c r="CD48" s="423">
        <f t="shared" si="40"/>
        <v>0</v>
      </c>
      <c r="CE48" s="423">
        <f t="shared" si="41"/>
        <v>0</v>
      </c>
      <c r="CF48" s="298"/>
      <c r="CG48" s="388">
        <f t="shared" si="42"/>
        <v>193</v>
      </c>
      <c r="CH48" s="378">
        <f t="shared" si="43"/>
        <v>386</v>
      </c>
      <c r="CI48" s="378">
        <f t="shared" si="44"/>
        <v>143</v>
      </c>
      <c r="CJ48" s="379">
        <f t="shared" si="45"/>
        <v>286</v>
      </c>
      <c r="CM48" s="507"/>
      <c r="CN48" s="507"/>
      <c r="CO48" s="507"/>
      <c r="CP48" s="507"/>
    </row>
    <row r="49" spans="1:94" ht="16.5" customHeight="1">
      <c r="A49" s="296">
        <v>330</v>
      </c>
      <c r="B49" s="292" t="s">
        <v>26</v>
      </c>
      <c r="C49" s="293">
        <f>IF(ISERROR(VLOOKUP($A49,'Allocate OPROC cost'!A:M,11,FALSE)),"-",VLOOKUP($A49,'Allocate OPROC cost'!A:M,11,FALSE))</f>
        <v>96.812645634873945</v>
      </c>
      <c r="D49" s="140">
        <f>IF(ISERROR(VLOOKUP($A49,'Allocate OPROC cost'!A:M,10,FALSE)),"-",VLOOKUP($A49,'Allocate OPROC cost'!A:M,10,FALSE))</f>
        <v>107.39838175457092</v>
      </c>
      <c r="E49" s="140">
        <f>IF(ISERROR(VLOOKUP($A49,'Allocate OPROC cost'!A:M,13,FALSE)),"-",VLOOKUP($A49,'Allocate OPROC cost'!A:M,13,FALSE))</f>
        <v>80.343252441610503</v>
      </c>
      <c r="F49" s="294">
        <f>IF(ISERROR(VLOOKUP($A49,'Allocate OPROC cost'!A:M,12,FALSE)),"-",VLOOKUP($A49,'Allocate OPROC cost'!A:M,12,FALSE))</f>
        <v>88.795514709055482</v>
      </c>
      <c r="G49" s="298"/>
      <c r="H49" s="405">
        <f>IF(ISERROR(VLOOKUP($A49,'Allocate OPROC cost'!A:AO,39,FALSE)),"-",VLOOKUP($A49,'Allocate OPROC cost'!A:AO,39,FALSE))</f>
        <v>96.823253018281889</v>
      </c>
      <c r="I49" s="406">
        <f>IF(ISERROR(VLOOKUP($A49,'Allocate OPROC cost'!A:AO,38,FALSE)),"-",VLOOKUP($A49,'Allocate OPROC cost'!A:AO,38,FALSE))</f>
        <v>107.39838175457092</v>
      </c>
      <c r="J49" s="406">
        <f>IF(ISERROR(VLOOKUP($A49,'Allocate OPROC cost'!A:AO,41,FALSE)),"-",VLOOKUP($A49,'Allocate OPROC cost'!A:AO,41,FALSE))</f>
        <v>80.790970579228613</v>
      </c>
      <c r="K49" s="407">
        <f>IF(ISERROR(VLOOKUP($A49,'Allocate OPROC cost'!A:AO,40,FALSE)),"-",VLOOKUP($A49,'Allocate OPROC cost'!A:AO,40,FALSE))</f>
        <v>88.795514709055482</v>
      </c>
      <c r="L49" s="425">
        <f t="shared" si="46"/>
        <v>1.0956609375134541E-4</v>
      </c>
      <c r="M49" s="426">
        <f t="shared" si="47"/>
        <v>0</v>
      </c>
      <c r="N49" s="426">
        <f t="shared" si="48"/>
        <v>5.5725667559138881E-3</v>
      </c>
      <c r="O49" s="425">
        <f t="shared" si="49"/>
        <v>0</v>
      </c>
      <c r="P49" s="298"/>
      <c r="Q49" s="299">
        <f>IF(ISERROR(VLOOKUP($A49,'Front-loading'!$A:$AG,27,FALSE)),"-",VLOOKUP($A49,'Front-loading'!$A:$AG,27,FALSE))</f>
        <v>111.66838636650877</v>
      </c>
      <c r="R49" s="150">
        <f>IF(ISERROR(VLOOKUP($A49,'Front-loading'!$A:$AG,26,FALSE)),"-",VLOOKUP($A49,'Front-loading'!$A:$AG,26,FALSE))</f>
        <v>127.74053295077508</v>
      </c>
      <c r="S49" s="150">
        <f>IF(ISERROR(VLOOKUP($A49,'Front-loading'!$A:$AG,29,FALSE)),"-",VLOOKUP($A49,'Front-loading'!$A:$AG,29,FALSE))</f>
        <v>72.711873521305748</v>
      </c>
      <c r="T49" s="300">
        <f>IF(ISERROR(VLOOKUP($A49,'Front-loading'!$A:$AG,28,FALSE)),"-",VLOOKUP($A49,'Front-loading'!$A:$AG,28,FALSE))</f>
        <v>79.915963238149942</v>
      </c>
      <c r="U49" s="429">
        <f t="shared" si="50"/>
        <v>0.15332198501349525</v>
      </c>
      <c r="V49" s="430">
        <f t="shared" si="51"/>
        <v>0.1894083585234132</v>
      </c>
      <c r="W49" s="430">
        <f t="shared" si="52"/>
        <v>-0.10000000000000009</v>
      </c>
      <c r="X49" s="431">
        <f t="shared" si="53"/>
        <v>-9.9999999999999867E-2</v>
      </c>
      <c r="Y49" s="298"/>
      <c r="Z49" s="152">
        <f>IF(ISERROR(VLOOKUP($A49,'Further adjustment'!$A:$BC,53,FALSE)),"-",VLOOKUP($A49,'Further adjustment'!$A:$BC,53,FALSE))</f>
        <v>111.66838636650877</v>
      </c>
      <c r="AA49" s="152">
        <f>IF(ISERROR(VLOOKUP($A49,'Further adjustment'!$A:$BC,52,FALSE)),"-",VLOOKUP($A49,'Further adjustment'!$A:$BC,52,FALSE))</f>
        <v>127.74053295077508</v>
      </c>
      <c r="AB49" s="152">
        <f>IF(ISERROR(VLOOKUP($A49,'Further adjustment'!$A:$BC,55,FALSE)),"-",VLOOKUP($A49,'Further adjustment'!$A:$BC,55,FALSE))</f>
        <v>72.711873521305748</v>
      </c>
      <c r="AC49" s="412">
        <f>IF(ISERROR(VLOOKUP($A49,'Further adjustment'!$A:$BC,54,FALSE)),"-",VLOOKUP($A49,'Further adjustment'!$A:$BC,54,FALSE))</f>
        <v>79.915963238149942</v>
      </c>
      <c r="AD49" s="435">
        <f t="shared" si="54"/>
        <v>0</v>
      </c>
      <c r="AE49" s="436">
        <f t="shared" si="55"/>
        <v>0</v>
      </c>
      <c r="AF49" s="436">
        <f t="shared" si="56"/>
        <v>0</v>
      </c>
      <c r="AG49" s="436">
        <f t="shared" si="57"/>
        <v>0</v>
      </c>
      <c r="AH49" s="298"/>
      <c r="AI49" s="347">
        <f>'Price Adjustments'!$H$7</f>
        <v>-4.2387925000000104E-2</v>
      </c>
      <c r="AJ49" s="467">
        <f>'Price Adjustments'!$G$91</f>
        <v>0</v>
      </c>
      <c r="AK49" s="352">
        <f t="shared" si="30"/>
        <v>106.93499518033416</v>
      </c>
      <c r="AL49" s="352">
        <f t="shared" si="31"/>
        <v>122.32587682059759</v>
      </c>
      <c r="AM49" s="352">
        <f t="shared" si="32"/>
        <v>69.629768079875149</v>
      </c>
      <c r="AN49" s="413">
        <f t="shared" si="33"/>
        <v>76.52849138210847</v>
      </c>
      <c r="AO49" s="439">
        <f t="shared" si="58"/>
        <v>-4.2387925000000215E-2</v>
      </c>
      <c r="AP49" s="440">
        <f t="shared" si="59"/>
        <v>-4.2387925000000104E-2</v>
      </c>
      <c r="AQ49" s="440">
        <f t="shared" si="60"/>
        <v>-4.2387925000000104E-2</v>
      </c>
      <c r="AR49" s="441">
        <f t="shared" si="61"/>
        <v>-4.2387925000000215E-2</v>
      </c>
      <c r="AS49" s="359">
        <f>'Price Adjustments'!$G$7</f>
        <v>0</v>
      </c>
      <c r="AT49" s="250">
        <f>IF(ISERROR(VLOOKUP($A49,'14-15 tariff'!$A:$F,3,FALSE)*(1+$AS$6)),"-",VLOOKUP($A49,'14-15 tariff'!$A:$F,3,FALSE)*(1+$AS$6))</f>
        <v>104</v>
      </c>
      <c r="AU49" s="250">
        <f>IF(ISERROR(VLOOKUP($A49,'14-15 tariff'!$A:$F,4,FALSE)*(1+$AS$6)),"-",VLOOKUP($A49,'14-15 tariff'!$A:$F,4,FALSE)*(1+$AS$6))</f>
        <v>133</v>
      </c>
      <c r="AV49" s="250">
        <f>IF(ISERROR(VLOOKUP($A49,'14-15 tariff'!$A:$F,5,FALSE)*(1+$AS$6)),"-",VLOOKUP($A49,'14-15 tariff'!$A:$F,5,FALSE)*(1+$AS$6))</f>
        <v>68</v>
      </c>
      <c r="AW49" s="250">
        <f>IF(ISERROR(VLOOKUP($A49,'14-15 tariff'!$A:$F,6,FALSE)*(1+$AS$6)),"-",VLOOKUP($A49,'14-15 tariff'!$A:$F,6,FALSE)*(1+$AS$6))</f>
        <v>81</v>
      </c>
      <c r="AX49" s="298"/>
      <c r="AY49" s="498" t="s">
        <v>522</v>
      </c>
      <c r="AZ49" s="499" t="s">
        <v>522</v>
      </c>
      <c r="BA49" s="499" t="s">
        <v>522</v>
      </c>
      <c r="BB49" s="499" t="s">
        <v>522</v>
      </c>
      <c r="BC49" s="339">
        <f t="shared" si="62"/>
        <v>106.93499518033416</v>
      </c>
      <c r="BD49" s="339">
        <f t="shared" si="63"/>
        <v>122.32587682059759</v>
      </c>
      <c r="BE49" s="339">
        <f t="shared" si="64"/>
        <v>69.629768079875149</v>
      </c>
      <c r="BF49" s="340">
        <f t="shared" si="65"/>
        <v>76.52849138210847</v>
      </c>
      <c r="BG49" s="265">
        <f t="shared" si="66"/>
        <v>-4.2387925000000215E-2</v>
      </c>
      <c r="BH49" s="265">
        <f t="shared" si="67"/>
        <v>-4.2387925000000104E-2</v>
      </c>
      <c r="BI49" s="265">
        <f t="shared" si="68"/>
        <v>-4.2387925000000104E-2</v>
      </c>
      <c r="BJ49" s="265">
        <f t="shared" si="69"/>
        <v>-4.2387925000000215E-2</v>
      </c>
      <c r="BK49" s="298"/>
      <c r="BL49" s="503">
        <f>'Price Adjustments'!$C$66</f>
        <v>-1.22128076562165E-2</v>
      </c>
      <c r="BM49" s="378">
        <f t="shared" si="70"/>
        <v>105.62901865247829</v>
      </c>
      <c r="BN49" s="378">
        <f t="shared" si="71"/>
        <v>120.8319344156096</v>
      </c>
      <c r="BO49" s="378">
        <f t="shared" si="72"/>
        <v>68.779393115168673</v>
      </c>
      <c r="BP49" s="506">
        <f t="shared" si="73"/>
        <v>75.593863636638361</v>
      </c>
      <c r="BQ49" s="298"/>
      <c r="BR49" s="618" t="str">
        <f>IF(COUNTIF('Manual adjustments'!$A:$A,A49)=1,"Y","")</f>
        <v/>
      </c>
      <c r="BS49" s="378">
        <f>IF($BR49="",BM49,IF(AND($BR49="Y",VLOOKUP($A49,'Manual adjustments'!$A:$O,12,FALSE)&lt;&gt;""),VLOOKUP($A49,'Manual adjustments'!$A:$O,12,FALSE),BM49))</f>
        <v>105.62901865247829</v>
      </c>
      <c r="BT49" s="378">
        <f>IF($BR49="",BN49,IF(AND($BR49="Y",VLOOKUP($A49,'Manual adjustments'!$A:$O,13,FALSE)&lt;&gt;""),VLOOKUP($A49,'Manual adjustments'!$A:$O,13,FALSE),BN49))</f>
        <v>120.8319344156096</v>
      </c>
      <c r="BU49" s="378">
        <f>IF($BR49="",BO49,IF(AND($BR49="Y",VLOOKUP($A49,'Manual adjustments'!$A:$O,14,FALSE)&lt;&gt;""),VLOOKUP($A49,'Manual adjustments'!$A:$O,14,FALSE),BO49))</f>
        <v>68.779393115168673</v>
      </c>
      <c r="BV49" s="378">
        <f>IF($BR49="",BP49,IF(AND($BR49="Y",VLOOKUP($A49,'Manual adjustments'!$A:$O,15,FALSE)&lt;&gt;""),VLOOKUP($A49,'Manual adjustments'!$A:$O,15,FALSE),BP49))</f>
        <v>75.593863636638361</v>
      </c>
      <c r="BW49" s="384">
        <f>'Price Adjustments'!$D$66</f>
        <v>0</v>
      </c>
      <c r="BX49" s="378">
        <f t="shared" si="34"/>
        <v>105.62901865247829</v>
      </c>
      <c r="BY49" s="378">
        <f t="shared" si="35"/>
        <v>120.8319344156096</v>
      </c>
      <c r="BZ49" s="378">
        <f t="shared" si="36"/>
        <v>68.779393115168673</v>
      </c>
      <c r="CA49" s="379">
        <f t="shared" si="37"/>
        <v>75.593863636638361</v>
      </c>
      <c r="CB49" s="615">
        <f t="shared" si="38"/>
        <v>0</v>
      </c>
      <c r="CC49" s="423">
        <f t="shared" si="39"/>
        <v>0</v>
      </c>
      <c r="CD49" s="423">
        <f t="shared" si="40"/>
        <v>0</v>
      </c>
      <c r="CE49" s="423">
        <f t="shared" si="41"/>
        <v>0</v>
      </c>
      <c r="CF49" s="298"/>
      <c r="CG49" s="388">
        <f t="shared" si="42"/>
        <v>106</v>
      </c>
      <c r="CH49" s="378">
        <f t="shared" si="43"/>
        <v>121</v>
      </c>
      <c r="CI49" s="378">
        <f t="shared" si="44"/>
        <v>69</v>
      </c>
      <c r="CJ49" s="379">
        <f t="shared" si="45"/>
        <v>76</v>
      </c>
      <c r="CM49" s="507"/>
      <c r="CN49" s="507"/>
      <c r="CO49" s="507"/>
      <c r="CP49" s="507"/>
    </row>
    <row r="50" spans="1:94" ht="16.5" customHeight="1">
      <c r="A50" s="296">
        <v>340</v>
      </c>
      <c r="B50" s="292" t="s">
        <v>27</v>
      </c>
      <c r="C50" s="293">
        <f>IF(ISERROR(VLOOKUP($A50,'Allocate OPROC cost'!A:M,11,FALSE)),"-",VLOOKUP($A50,'Allocate OPROC cost'!A:M,11,FALSE))</f>
        <v>170.72913945270363</v>
      </c>
      <c r="D50" s="140">
        <f>IF(ISERROR(VLOOKUP($A50,'Allocate OPROC cost'!A:M,10,FALSE)),"-",VLOOKUP($A50,'Allocate OPROC cost'!A:M,10,FALSE))</f>
        <v>226.38577261160017</v>
      </c>
      <c r="E50" s="140">
        <f>IF(ISERROR(VLOOKUP($A50,'Allocate OPROC cost'!A:M,13,FALSE)),"-",VLOOKUP($A50,'Allocate OPROC cost'!A:M,13,FALSE))</f>
        <v>122.31186712867147</v>
      </c>
      <c r="F50" s="294">
        <f>IF(ISERROR(VLOOKUP($A50,'Allocate OPROC cost'!A:M,12,FALSE)),"-",VLOOKUP($A50,'Allocate OPROC cost'!A:M,12,FALSE))</f>
        <v>202.52068194099127</v>
      </c>
      <c r="G50" s="298"/>
      <c r="H50" s="405">
        <f>IF(ISERROR(VLOOKUP($A50,'Allocate OPROC cost'!A:AO,39,FALSE)),"-",VLOOKUP($A50,'Allocate OPROC cost'!A:AO,39,FALSE))</f>
        <v>162.4555392134657</v>
      </c>
      <c r="I50" s="406">
        <f>IF(ISERROR(VLOOKUP($A50,'Allocate OPROC cost'!A:AO,38,FALSE)),"-",VLOOKUP($A50,'Allocate OPROC cost'!A:AO,38,FALSE))</f>
        <v>226.38577261160017</v>
      </c>
      <c r="J50" s="406">
        <f>IF(ISERROR(VLOOKUP($A50,'Allocate OPROC cost'!A:AO,41,FALSE)),"-",VLOOKUP($A50,'Allocate OPROC cost'!A:AO,41,FALSE))</f>
        <v>121.75090740115239</v>
      </c>
      <c r="K50" s="407">
        <f>IF(ISERROR(VLOOKUP($A50,'Allocate OPROC cost'!A:AO,40,FALSE)),"-",VLOOKUP($A50,'Allocate OPROC cost'!A:AO,40,FALSE))</f>
        <v>202.52068194099127</v>
      </c>
      <c r="L50" s="425">
        <f t="shared" si="46"/>
        <v>-4.8460387405220517E-2</v>
      </c>
      <c r="M50" s="426">
        <f t="shared" si="47"/>
        <v>0</v>
      </c>
      <c r="N50" s="426">
        <f t="shared" si="48"/>
        <v>-4.5863066331000013E-3</v>
      </c>
      <c r="O50" s="425">
        <f t="shared" si="49"/>
        <v>0</v>
      </c>
      <c r="P50" s="298"/>
      <c r="Q50" s="299">
        <f>IF(ISERROR(VLOOKUP($A50,'Front-loading'!$A:$AG,27,FALSE)),"-",VLOOKUP($A50,'Front-loading'!$A:$AG,27,FALSE))</f>
        <v>188.94157151962912</v>
      </c>
      <c r="R50" s="150">
        <f>IF(ISERROR(VLOOKUP($A50,'Front-loading'!$A:$AG,26,FALSE)),"-",VLOOKUP($A50,'Front-loading'!$A:$AG,26,FALSE))</f>
        <v>288.0320560349578</v>
      </c>
      <c r="S50" s="150">
        <f>IF(ISERROR(VLOOKUP($A50,'Front-loading'!$A:$AG,29,FALSE)),"-",VLOOKUP($A50,'Front-loading'!$A:$AG,29,FALSE))</f>
        <v>109.57581666103717</v>
      </c>
      <c r="T50" s="300">
        <f>IF(ISERROR(VLOOKUP($A50,'Front-loading'!$A:$AG,28,FALSE)),"-",VLOOKUP($A50,'Front-loading'!$A:$AG,28,FALSE))</f>
        <v>182.26861374689216</v>
      </c>
      <c r="U50" s="429">
        <f t="shared" si="50"/>
        <v>0.16303557536047397</v>
      </c>
      <c r="V50" s="430">
        <f t="shared" si="51"/>
        <v>0.27230634996273095</v>
      </c>
      <c r="W50" s="430">
        <f t="shared" si="52"/>
        <v>-9.9999999999999867E-2</v>
      </c>
      <c r="X50" s="431">
        <f t="shared" si="53"/>
        <v>-9.9999999999999867E-2</v>
      </c>
      <c r="Y50" s="298"/>
      <c r="Z50" s="152">
        <f>IF(ISERROR(VLOOKUP($A50,'Further adjustment'!$A:$BC,53,FALSE)),"-",VLOOKUP($A50,'Further adjustment'!$A:$BC,53,FALSE))</f>
        <v>188.94157151962912</v>
      </c>
      <c r="AA50" s="152">
        <f>IF(ISERROR(VLOOKUP($A50,'Further adjustment'!$A:$BC,52,FALSE)),"-",VLOOKUP($A50,'Further adjustment'!$A:$BC,52,FALSE))</f>
        <v>288.0320560349578</v>
      </c>
      <c r="AB50" s="152">
        <f>IF(ISERROR(VLOOKUP($A50,'Further adjustment'!$A:$BC,55,FALSE)),"-",VLOOKUP($A50,'Further adjustment'!$A:$BC,55,FALSE))</f>
        <v>109.57581666103717</v>
      </c>
      <c r="AC50" s="412">
        <f>IF(ISERROR(VLOOKUP($A50,'Further adjustment'!$A:$BC,54,FALSE)),"-",VLOOKUP($A50,'Further adjustment'!$A:$BC,54,FALSE))</f>
        <v>180.1454198954354</v>
      </c>
      <c r="AD50" s="435">
        <f t="shared" si="54"/>
        <v>0</v>
      </c>
      <c r="AE50" s="436">
        <f t="shared" si="55"/>
        <v>0</v>
      </c>
      <c r="AF50" s="436">
        <f t="shared" si="56"/>
        <v>0</v>
      </c>
      <c r="AG50" s="436">
        <f t="shared" si="57"/>
        <v>-1.1648707958053284E-2</v>
      </c>
      <c r="AH50" s="298"/>
      <c r="AI50" s="347">
        <f>'Price Adjustments'!$H$7</f>
        <v>-4.2387925000000104E-2</v>
      </c>
      <c r="AJ50" s="467">
        <f>'Price Adjustments'!$G$91</f>
        <v>0</v>
      </c>
      <c r="AK50" s="352">
        <f t="shared" si="30"/>
        <v>180.93273035667292</v>
      </c>
      <c r="AL50" s="352">
        <f t="shared" si="31"/>
        <v>275.82297484615219</v>
      </c>
      <c r="AM50" s="352">
        <f t="shared" si="32"/>
        <v>104.93112516259536</v>
      </c>
      <c r="AN50" s="413">
        <f t="shared" si="33"/>
        <v>172.50942934781415</v>
      </c>
      <c r="AO50" s="439">
        <f t="shared" si="58"/>
        <v>-4.2387925000000104E-2</v>
      </c>
      <c r="AP50" s="440">
        <f t="shared" si="59"/>
        <v>-4.2387925000000104E-2</v>
      </c>
      <c r="AQ50" s="440">
        <f t="shared" si="60"/>
        <v>-4.2387925000000104E-2</v>
      </c>
      <c r="AR50" s="441">
        <f t="shared" si="61"/>
        <v>-4.2387925000000104E-2</v>
      </c>
      <c r="AS50" s="359">
        <f>'Price Adjustments'!$G$7</f>
        <v>0</v>
      </c>
      <c r="AT50" s="250">
        <f>IF(ISERROR(VLOOKUP($A50,'14-15 tariff'!$A:$F,3,FALSE)*(1+$AS$6)),"-",VLOOKUP($A50,'14-15 tariff'!$A:$F,3,FALSE)*(1+$AS$6))</f>
        <v>186</v>
      </c>
      <c r="AU50" s="250">
        <f>IF(ISERROR(VLOOKUP($A50,'14-15 tariff'!$A:$F,4,FALSE)*(1+$AS$6)),"-",VLOOKUP($A50,'14-15 tariff'!$A:$F,4,FALSE)*(1+$AS$6))</f>
        <v>241</v>
      </c>
      <c r="AV50" s="250">
        <f>IF(ISERROR(VLOOKUP($A50,'14-15 tariff'!$A:$F,5,FALSE)*(1+$AS$6)),"-",VLOOKUP($A50,'14-15 tariff'!$A:$F,5,FALSE)*(1+$AS$6))</f>
        <v>102</v>
      </c>
      <c r="AW50" s="250">
        <f>IF(ISERROR(VLOOKUP($A50,'14-15 tariff'!$A:$F,6,FALSE)*(1+$AS$6)),"-",VLOOKUP($A50,'14-15 tariff'!$A:$F,6,FALSE)*(1+$AS$6))</f>
        <v>143</v>
      </c>
      <c r="AX50" s="298"/>
      <c r="AY50" s="498" t="s">
        <v>522</v>
      </c>
      <c r="AZ50" s="499" t="s">
        <v>522</v>
      </c>
      <c r="BA50" s="499" t="s">
        <v>522</v>
      </c>
      <c r="BB50" s="499" t="s">
        <v>522</v>
      </c>
      <c r="BC50" s="339">
        <f t="shared" si="62"/>
        <v>180.93273035667292</v>
      </c>
      <c r="BD50" s="339">
        <f t="shared" si="63"/>
        <v>275.82297484615219</v>
      </c>
      <c r="BE50" s="339">
        <f t="shared" si="64"/>
        <v>104.93112516259536</v>
      </c>
      <c r="BF50" s="340">
        <f t="shared" si="65"/>
        <v>172.50942934781415</v>
      </c>
      <c r="BG50" s="265">
        <f t="shared" si="66"/>
        <v>-4.2387925000000104E-2</v>
      </c>
      <c r="BH50" s="265">
        <f t="shared" si="67"/>
        <v>-4.2387925000000104E-2</v>
      </c>
      <c r="BI50" s="265">
        <f t="shared" si="68"/>
        <v>-4.2387925000000104E-2</v>
      </c>
      <c r="BJ50" s="265">
        <f t="shared" si="69"/>
        <v>-4.2387925000000104E-2</v>
      </c>
      <c r="BK50" s="298"/>
      <c r="BL50" s="503">
        <f>'Price Adjustments'!$C$66</f>
        <v>-1.22128076562165E-2</v>
      </c>
      <c r="BM50" s="378">
        <f t="shared" si="70"/>
        <v>178.7230337221128</v>
      </c>
      <c r="BN50" s="378">
        <f t="shared" si="71"/>
        <v>272.45440190719069</v>
      </c>
      <c r="BO50" s="378">
        <f t="shared" si="72"/>
        <v>103.64962151383421</v>
      </c>
      <c r="BP50" s="506">
        <f t="shared" si="73"/>
        <v>170.40260486830564</v>
      </c>
      <c r="BQ50" s="298"/>
      <c r="BR50" s="618" t="str">
        <f>IF(COUNTIF('Manual adjustments'!$A:$A,A50)=1,"Y","")</f>
        <v/>
      </c>
      <c r="BS50" s="378">
        <f>IF($BR50="",BM50,IF(AND($BR50="Y",VLOOKUP($A50,'Manual adjustments'!$A:$O,12,FALSE)&lt;&gt;""),VLOOKUP($A50,'Manual adjustments'!$A:$O,12,FALSE),BM50))</f>
        <v>178.7230337221128</v>
      </c>
      <c r="BT50" s="378">
        <f>IF($BR50="",BN50,IF(AND($BR50="Y",VLOOKUP($A50,'Manual adjustments'!$A:$O,13,FALSE)&lt;&gt;""),VLOOKUP($A50,'Manual adjustments'!$A:$O,13,FALSE),BN50))</f>
        <v>272.45440190719069</v>
      </c>
      <c r="BU50" s="378">
        <f>IF($BR50="",BO50,IF(AND($BR50="Y",VLOOKUP($A50,'Manual adjustments'!$A:$O,14,FALSE)&lt;&gt;""),VLOOKUP($A50,'Manual adjustments'!$A:$O,14,FALSE),BO50))</f>
        <v>103.64962151383421</v>
      </c>
      <c r="BV50" s="378">
        <f>IF($BR50="",BP50,IF(AND($BR50="Y",VLOOKUP($A50,'Manual adjustments'!$A:$O,15,FALSE)&lt;&gt;""),VLOOKUP($A50,'Manual adjustments'!$A:$O,15,FALSE),BP50))</f>
        <v>170.40260486830564</v>
      </c>
      <c r="BW50" s="384">
        <f>'Price Adjustments'!$D$66</f>
        <v>0</v>
      </c>
      <c r="BX50" s="378">
        <f t="shared" si="34"/>
        <v>178.7230337221128</v>
      </c>
      <c r="BY50" s="378">
        <f t="shared" si="35"/>
        <v>272.45440190719069</v>
      </c>
      <c r="BZ50" s="378">
        <f t="shared" si="36"/>
        <v>103.64962151383421</v>
      </c>
      <c r="CA50" s="379">
        <f t="shared" si="37"/>
        <v>170.40260486830564</v>
      </c>
      <c r="CB50" s="615">
        <f t="shared" si="38"/>
        <v>0</v>
      </c>
      <c r="CC50" s="423">
        <f t="shared" si="39"/>
        <v>0</v>
      </c>
      <c r="CD50" s="423">
        <f t="shared" si="40"/>
        <v>0</v>
      </c>
      <c r="CE50" s="423">
        <f t="shared" si="41"/>
        <v>0</v>
      </c>
      <c r="CF50" s="298"/>
      <c r="CG50" s="388">
        <f t="shared" si="42"/>
        <v>179</v>
      </c>
      <c r="CH50" s="378">
        <f t="shared" si="43"/>
        <v>272</v>
      </c>
      <c r="CI50" s="378">
        <f t="shared" si="44"/>
        <v>104</v>
      </c>
      <c r="CJ50" s="379">
        <f t="shared" si="45"/>
        <v>170</v>
      </c>
      <c r="CM50" s="507"/>
      <c r="CN50" s="507"/>
      <c r="CO50" s="507"/>
      <c r="CP50" s="507"/>
    </row>
    <row r="51" spans="1:94" ht="16.5" customHeight="1">
      <c r="A51" s="296">
        <v>341</v>
      </c>
      <c r="B51" s="292" t="s">
        <v>64</v>
      </c>
      <c r="C51" s="293">
        <f>IF(ISERROR(VLOOKUP($A51,'Allocate OPROC cost'!A:M,11,FALSE)),"-",VLOOKUP($A51,'Allocate OPROC cost'!A:M,11,FALSE))</f>
        <v>136.88367656874169</v>
      </c>
      <c r="D51" s="140">
        <f>IF(ISERROR(VLOOKUP($A51,'Allocate OPROC cost'!A:M,10,FALSE)),"-",VLOOKUP($A51,'Allocate OPROC cost'!A:M,10,FALSE))</f>
        <v>545.67803423071314</v>
      </c>
      <c r="E51" s="140">
        <f>IF(ISERROR(VLOOKUP($A51,'Allocate OPROC cost'!A:M,13,FALSE)),"-",VLOOKUP($A51,'Allocate OPROC cost'!A:M,13,FALSE))</f>
        <v>161.17088273717667</v>
      </c>
      <c r="F51" s="294">
        <f>IF(ISERROR(VLOOKUP($A51,'Allocate OPROC cost'!A:M,12,FALSE)),"-",VLOOKUP($A51,'Allocate OPROC cost'!A:M,12,FALSE))</f>
        <v>584.2901934474454</v>
      </c>
      <c r="G51" s="298"/>
      <c r="H51" s="405">
        <f>IF(ISERROR(VLOOKUP($A51,'Allocate OPROC cost'!A:AO,39,FALSE)),"-",VLOOKUP($A51,'Allocate OPROC cost'!A:AO,39,FALSE))</f>
        <v>133.86718565535278</v>
      </c>
      <c r="I51" s="406">
        <f>IF(ISERROR(VLOOKUP($A51,'Allocate OPROC cost'!A:AO,38,FALSE)),"-",VLOOKUP($A51,'Allocate OPROC cost'!A:AO,38,FALSE))</f>
        <v>545.67803423071314</v>
      </c>
      <c r="J51" s="406">
        <f>IF(ISERROR(VLOOKUP($A51,'Allocate OPROC cost'!A:AO,41,FALSE)),"-",VLOOKUP($A51,'Allocate OPROC cost'!A:AO,41,FALSE))</f>
        <v>157.14368516225389</v>
      </c>
      <c r="K51" s="407">
        <f>IF(ISERROR(VLOOKUP($A51,'Allocate OPROC cost'!A:AO,40,FALSE)),"-",VLOOKUP($A51,'Allocate OPROC cost'!A:AO,40,FALSE))</f>
        <v>584.2901934474454</v>
      </c>
      <c r="L51" s="425">
        <f t="shared" si="46"/>
        <v>-2.2036892849484846E-2</v>
      </c>
      <c r="M51" s="426">
        <f t="shared" si="47"/>
        <v>0</v>
      </c>
      <c r="N51" s="426">
        <f t="shared" si="48"/>
        <v>-2.4987128608645603E-2</v>
      </c>
      <c r="O51" s="425">
        <f t="shared" si="49"/>
        <v>0</v>
      </c>
      <c r="P51" s="298"/>
      <c r="Q51" s="299">
        <f>IF(ISERROR(VLOOKUP($A51,'Front-loading'!$A:$AG,27,FALSE)),"-",VLOOKUP($A51,'Front-loading'!$A:$AG,27,FALSE))</f>
        <v>170.9797703022949</v>
      </c>
      <c r="R51" s="150">
        <f>IF(ISERROR(VLOOKUP($A51,'Front-loading'!$A:$AG,26,FALSE)),"-",VLOOKUP($A51,'Front-loading'!$A:$AG,26,FALSE))</f>
        <v>578.22077918221646</v>
      </c>
      <c r="S51" s="150">
        <f>IF(ISERROR(VLOOKUP($A51,'Front-loading'!$A:$AG,29,FALSE)),"-",VLOOKUP($A51,'Front-loading'!$A:$AG,29,FALSE))</f>
        <v>141.4293166460285</v>
      </c>
      <c r="T51" s="300">
        <f>IF(ISERROR(VLOOKUP($A51,'Front-loading'!$A:$AG,28,FALSE)),"-",VLOOKUP($A51,'Front-loading'!$A:$AG,28,FALSE))</f>
        <v>525.86117410270094</v>
      </c>
      <c r="U51" s="429">
        <f t="shared" si="50"/>
        <v>0.27723436826774095</v>
      </c>
      <c r="V51" s="430">
        <f t="shared" si="51"/>
        <v>5.9637263936015872E-2</v>
      </c>
      <c r="W51" s="430">
        <f t="shared" si="52"/>
        <v>-9.9999999999999978E-2</v>
      </c>
      <c r="X51" s="431">
        <f t="shared" si="53"/>
        <v>-9.9999999999999867E-2</v>
      </c>
      <c r="Y51" s="298"/>
      <c r="Z51" s="152">
        <f>IF(ISERROR(VLOOKUP($A51,'Further adjustment'!$A:$BC,53,FALSE)),"-",VLOOKUP($A51,'Further adjustment'!$A:$BC,53,FALSE))</f>
        <v>173.3724680863688</v>
      </c>
      <c r="AA51" s="152">
        <f>IF(ISERROR(VLOOKUP($A51,'Further adjustment'!$A:$BC,52,FALSE)),"-",VLOOKUP($A51,'Further adjustment'!$A:$BC,52,FALSE))</f>
        <v>346.7449361727376</v>
      </c>
      <c r="AB51" s="152">
        <f>IF(ISERROR(VLOOKUP($A51,'Further adjustment'!$A:$BC,55,FALSE)),"-",VLOOKUP($A51,'Further adjustment'!$A:$BC,55,FALSE))</f>
        <v>142.01881429157285</v>
      </c>
      <c r="AC51" s="412">
        <f>IF(ISERROR(VLOOKUP($A51,'Further adjustment'!$A:$BC,54,FALSE)),"-",VLOOKUP($A51,'Further adjustment'!$A:$BC,54,FALSE))</f>
        <v>284.0376285831457</v>
      </c>
      <c r="AD51" s="435">
        <f t="shared" si="54"/>
        <v>1.3994040229692528E-2</v>
      </c>
      <c r="AE51" s="436">
        <f t="shared" si="55"/>
        <v>-0.40032432479658986</v>
      </c>
      <c r="AF51" s="436">
        <f t="shared" si="56"/>
        <v>4.1681432076756675E-3</v>
      </c>
      <c r="AG51" s="436">
        <f t="shared" si="57"/>
        <v>-0.45986195107898764</v>
      </c>
      <c r="AH51" s="298"/>
      <c r="AI51" s="347">
        <f>'Price Adjustments'!$H$7</f>
        <v>-4.2387925000000104E-2</v>
      </c>
      <c r="AJ51" s="467">
        <f>'Price Adjustments'!$G$91</f>
        <v>0</v>
      </c>
      <c r="AK51" s="352">
        <f t="shared" si="30"/>
        <v>166.02356891205889</v>
      </c>
      <c r="AL51" s="352">
        <f t="shared" si="31"/>
        <v>332.04713782411778</v>
      </c>
      <c r="AM51" s="352">
        <f t="shared" si="32"/>
        <v>135.99893144279272</v>
      </c>
      <c r="AN51" s="413">
        <f t="shared" si="33"/>
        <v>271.99786288558545</v>
      </c>
      <c r="AO51" s="439">
        <f t="shared" si="58"/>
        <v>-4.2387925000000104E-2</v>
      </c>
      <c r="AP51" s="440">
        <f t="shared" si="59"/>
        <v>-4.2387925000000104E-2</v>
      </c>
      <c r="AQ51" s="440">
        <f t="shared" si="60"/>
        <v>-4.2387925000000104E-2</v>
      </c>
      <c r="AR51" s="441">
        <f t="shared" si="61"/>
        <v>-4.2387925000000104E-2</v>
      </c>
      <c r="AS51" s="359">
        <f>'Price Adjustments'!$G$7</f>
        <v>0</v>
      </c>
      <c r="AT51" s="250">
        <f>IF(ISERROR(VLOOKUP($A51,'14-15 tariff'!$A:$F,3,FALSE)*(1+$AS$6)),"-",VLOOKUP($A51,'14-15 tariff'!$A:$F,3,FALSE)*(1+$AS$6))</f>
        <v>167</v>
      </c>
      <c r="AU51" s="250">
        <f>IF(ISERROR(VLOOKUP($A51,'14-15 tariff'!$A:$F,4,FALSE)*(1+$AS$6)),"-",VLOOKUP($A51,'14-15 tariff'!$A:$F,4,FALSE)*(1+$AS$6))</f>
        <v>335</v>
      </c>
      <c r="AV51" s="250">
        <f>IF(ISERROR(VLOOKUP($A51,'14-15 tariff'!$A:$F,5,FALSE)*(1+$AS$6)),"-",VLOOKUP($A51,'14-15 tariff'!$A:$F,5,FALSE)*(1+$AS$6))</f>
        <v>119</v>
      </c>
      <c r="AW51" s="250">
        <f>IF(ISERROR(VLOOKUP($A51,'14-15 tariff'!$A:$F,6,FALSE)*(1+$AS$6)),"-",VLOOKUP($A51,'14-15 tariff'!$A:$F,6,FALSE)*(1+$AS$6))</f>
        <v>238</v>
      </c>
      <c r="AX51" s="298"/>
      <c r="AY51" s="498" t="s">
        <v>522</v>
      </c>
      <c r="AZ51" s="499" t="s">
        <v>522</v>
      </c>
      <c r="BA51" s="499" t="s">
        <v>522</v>
      </c>
      <c r="BB51" s="499" t="s">
        <v>522</v>
      </c>
      <c r="BC51" s="339">
        <f t="shared" si="62"/>
        <v>166.02356891205889</v>
      </c>
      <c r="BD51" s="339">
        <f t="shared" si="63"/>
        <v>332.04713782411778</v>
      </c>
      <c r="BE51" s="339">
        <f t="shared" si="64"/>
        <v>135.99893144279272</v>
      </c>
      <c r="BF51" s="340">
        <f t="shared" si="65"/>
        <v>271.99786288558545</v>
      </c>
      <c r="BG51" s="265">
        <f t="shared" si="66"/>
        <v>-4.2387925000000104E-2</v>
      </c>
      <c r="BH51" s="265">
        <f t="shared" si="67"/>
        <v>-4.2387925000000104E-2</v>
      </c>
      <c r="BI51" s="265">
        <f t="shared" si="68"/>
        <v>-4.2387925000000104E-2</v>
      </c>
      <c r="BJ51" s="265">
        <f t="shared" si="69"/>
        <v>-4.2387925000000104E-2</v>
      </c>
      <c r="BK51" s="298"/>
      <c r="BL51" s="503">
        <f>'Price Adjustments'!$C$66</f>
        <v>-1.22128076562165E-2</v>
      </c>
      <c r="BM51" s="378">
        <f t="shared" si="70"/>
        <v>163.99595499853731</v>
      </c>
      <c r="BN51" s="378">
        <f t="shared" si="71"/>
        <v>327.99190999707463</v>
      </c>
      <c r="BO51" s="378">
        <f t="shared" si="72"/>
        <v>134.33800265163092</v>
      </c>
      <c r="BP51" s="506">
        <f t="shared" si="73"/>
        <v>268.67600530326183</v>
      </c>
      <c r="BQ51" s="298"/>
      <c r="BR51" s="618" t="str">
        <f>IF(COUNTIF('Manual adjustments'!$A:$A,A51)=1,"Y","")</f>
        <v/>
      </c>
      <c r="BS51" s="378">
        <f>IF($BR51="",BM51,IF(AND($BR51="Y",VLOOKUP($A51,'Manual adjustments'!$A:$O,12,FALSE)&lt;&gt;""),VLOOKUP($A51,'Manual adjustments'!$A:$O,12,FALSE),BM51))</f>
        <v>163.99595499853731</v>
      </c>
      <c r="BT51" s="378">
        <f>IF($BR51="",BN51,IF(AND($BR51="Y",VLOOKUP($A51,'Manual adjustments'!$A:$O,13,FALSE)&lt;&gt;""),VLOOKUP($A51,'Manual adjustments'!$A:$O,13,FALSE),BN51))</f>
        <v>327.99190999707463</v>
      </c>
      <c r="BU51" s="378">
        <f>IF($BR51="",BO51,IF(AND($BR51="Y",VLOOKUP($A51,'Manual adjustments'!$A:$O,14,FALSE)&lt;&gt;""),VLOOKUP($A51,'Manual adjustments'!$A:$O,14,FALSE),BO51))</f>
        <v>134.33800265163092</v>
      </c>
      <c r="BV51" s="378">
        <f>IF($BR51="",BP51,IF(AND($BR51="Y",VLOOKUP($A51,'Manual adjustments'!$A:$O,15,FALSE)&lt;&gt;""),VLOOKUP($A51,'Manual adjustments'!$A:$O,15,FALSE),BP51))</f>
        <v>268.67600530326183</v>
      </c>
      <c r="BW51" s="384">
        <f>'Price Adjustments'!$D$66</f>
        <v>0</v>
      </c>
      <c r="BX51" s="378">
        <f t="shared" si="34"/>
        <v>163.99595499853731</v>
      </c>
      <c r="BY51" s="378">
        <f t="shared" si="35"/>
        <v>327.99190999707463</v>
      </c>
      <c r="BZ51" s="378">
        <f t="shared" si="36"/>
        <v>134.33800265163092</v>
      </c>
      <c r="CA51" s="379">
        <f t="shared" si="37"/>
        <v>268.67600530326183</v>
      </c>
      <c r="CB51" s="615">
        <f t="shared" si="38"/>
        <v>0</v>
      </c>
      <c r="CC51" s="423">
        <f t="shared" si="39"/>
        <v>0</v>
      </c>
      <c r="CD51" s="423">
        <f t="shared" si="40"/>
        <v>0</v>
      </c>
      <c r="CE51" s="423">
        <f t="shared" si="41"/>
        <v>0</v>
      </c>
      <c r="CF51" s="298"/>
      <c r="CG51" s="388">
        <f t="shared" si="42"/>
        <v>164</v>
      </c>
      <c r="CH51" s="378">
        <f t="shared" si="43"/>
        <v>328</v>
      </c>
      <c r="CI51" s="378">
        <f t="shared" si="44"/>
        <v>134</v>
      </c>
      <c r="CJ51" s="379">
        <f t="shared" si="45"/>
        <v>269</v>
      </c>
      <c r="CM51" s="507"/>
      <c r="CN51" s="507"/>
      <c r="CO51" s="507"/>
      <c r="CP51" s="507"/>
    </row>
    <row r="52" spans="1:94" ht="16.5" customHeight="1">
      <c r="A52" s="296">
        <v>350</v>
      </c>
      <c r="B52" s="292" t="s">
        <v>28</v>
      </c>
      <c r="C52" s="293">
        <f>IF(ISERROR(VLOOKUP($A52,'Allocate OPROC cost'!A:M,11,FALSE)),"-",VLOOKUP($A52,'Allocate OPROC cost'!A:M,11,FALSE))</f>
        <v>259.21262263047203</v>
      </c>
      <c r="D52" s="140">
        <f>IF(ISERROR(VLOOKUP($A52,'Allocate OPROC cost'!A:M,10,FALSE)),"-",VLOOKUP($A52,'Allocate OPROC cost'!A:M,10,FALSE))</f>
        <v>240.24251795674135</v>
      </c>
      <c r="E52" s="140">
        <f>IF(ISERROR(VLOOKUP($A52,'Allocate OPROC cost'!A:M,13,FALSE)),"-",VLOOKUP($A52,'Allocate OPROC cost'!A:M,13,FALSE))</f>
        <v>243.47538286319315</v>
      </c>
      <c r="F52" s="294">
        <f>IF(ISERROR(VLOOKUP($A52,'Allocate OPROC cost'!A:M,12,FALSE)),"-",VLOOKUP($A52,'Allocate OPROC cost'!A:M,12,FALSE))</f>
        <v>199.22624759744545</v>
      </c>
      <c r="G52" s="298"/>
      <c r="H52" s="405">
        <f>IF(ISERROR(VLOOKUP($A52,'Allocate OPROC cost'!A:AO,39,FALSE)),"-",VLOOKUP($A52,'Allocate OPROC cost'!A:AO,39,FALSE))</f>
        <v>259.31217353541257</v>
      </c>
      <c r="I52" s="406">
        <f>IF(ISERROR(VLOOKUP($A52,'Allocate OPROC cost'!A:AO,38,FALSE)),"-",VLOOKUP($A52,'Allocate OPROC cost'!A:AO,38,FALSE))</f>
        <v>240.24251795674135</v>
      </c>
      <c r="J52" s="406">
        <f>IF(ISERROR(VLOOKUP($A52,'Allocate OPROC cost'!A:AO,41,FALSE)),"-",VLOOKUP($A52,'Allocate OPROC cost'!A:AO,41,FALSE))</f>
        <v>243.61612988954843</v>
      </c>
      <c r="K52" s="407">
        <f>IF(ISERROR(VLOOKUP($A52,'Allocate OPROC cost'!A:AO,40,FALSE)),"-",VLOOKUP($A52,'Allocate OPROC cost'!A:AO,40,FALSE))</f>
        <v>199.22624759744545</v>
      </c>
      <c r="L52" s="425">
        <f t="shared" si="46"/>
        <v>3.84051146623543E-4</v>
      </c>
      <c r="M52" s="426">
        <f t="shared" si="47"/>
        <v>0</v>
      </c>
      <c r="N52" s="426">
        <f t="shared" si="48"/>
        <v>5.7807497702699884E-4</v>
      </c>
      <c r="O52" s="425">
        <f t="shared" si="49"/>
        <v>0</v>
      </c>
      <c r="P52" s="298"/>
      <c r="Q52" s="299">
        <f>IF(ISERROR(VLOOKUP($A52,'Front-loading'!$A:$AG,27,FALSE)),"-",VLOOKUP($A52,'Front-loading'!$A:$AG,27,FALSE))</f>
        <v>334.95709908491483</v>
      </c>
      <c r="R52" s="150">
        <f>IF(ISERROR(VLOOKUP($A52,'Front-loading'!$A:$AG,26,FALSE)),"-",VLOOKUP($A52,'Front-loading'!$A:$AG,26,FALSE))</f>
        <v>339.59000675866747</v>
      </c>
      <c r="S52" s="150">
        <f>IF(ISERROR(VLOOKUP($A52,'Front-loading'!$A:$AG,29,FALSE)),"-",VLOOKUP($A52,'Front-loading'!$A:$AG,29,FALSE))</f>
        <v>219.25451690059359</v>
      </c>
      <c r="T52" s="300">
        <f>IF(ISERROR(VLOOKUP($A52,'Front-loading'!$A:$AG,28,FALSE)),"-",VLOOKUP($A52,'Front-loading'!$A:$AG,28,FALSE))</f>
        <v>179.30362283770091</v>
      </c>
      <c r="U52" s="429">
        <f t="shared" si="50"/>
        <v>0.29171374609288026</v>
      </c>
      <c r="V52" s="430">
        <f t="shared" si="51"/>
        <v>0.41353000146216767</v>
      </c>
      <c r="W52" s="430">
        <f t="shared" si="52"/>
        <v>-9.9999999999999978E-2</v>
      </c>
      <c r="X52" s="431">
        <f t="shared" si="53"/>
        <v>-9.9999999999999978E-2</v>
      </c>
      <c r="Y52" s="298"/>
      <c r="Z52" s="152">
        <f>IF(ISERROR(VLOOKUP($A52,'Further adjustment'!$A:$BC,53,FALSE)),"-",VLOOKUP($A52,'Further adjustment'!$A:$BC,53,FALSE))</f>
        <v>334.95709908491483</v>
      </c>
      <c r="AA52" s="152">
        <f>IF(ISERROR(VLOOKUP($A52,'Further adjustment'!$A:$BC,52,FALSE)),"-",VLOOKUP($A52,'Further adjustment'!$A:$BC,52,FALSE))</f>
        <v>339.59000675866747</v>
      </c>
      <c r="AB52" s="152">
        <f>IF(ISERROR(VLOOKUP($A52,'Further adjustment'!$A:$BC,55,FALSE)),"-",VLOOKUP($A52,'Further adjustment'!$A:$BC,55,FALSE))</f>
        <v>216.85062437541146</v>
      </c>
      <c r="AC52" s="412">
        <f>IF(ISERROR(VLOOKUP($A52,'Further adjustment'!$A:$BC,54,FALSE)),"-",VLOOKUP($A52,'Further adjustment'!$A:$BC,54,FALSE))</f>
        <v>216.85062437541146</v>
      </c>
      <c r="AD52" s="435">
        <f t="shared" si="54"/>
        <v>0</v>
      </c>
      <c r="AE52" s="436">
        <f t="shared" si="55"/>
        <v>0</v>
      </c>
      <c r="AF52" s="436">
        <f t="shared" si="56"/>
        <v>-1.0963936155860443E-2</v>
      </c>
      <c r="AG52" s="436">
        <f t="shared" si="57"/>
        <v>0.20940458950847152</v>
      </c>
      <c r="AH52" s="298"/>
      <c r="AI52" s="347">
        <f>'Price Adjustments'!$H$7</f>
        <v>-4.2387925000000104E-2</v>
      </c>
      <c r="AJ52" s="467">
        <f>'Price Adjustments'!$G$91</f>
        <v>0</v>
      </c>
      <c r="AK52" s="352">
        <f t="shared" si="30"/>
        <v>320.75896269068585</v>
      </c>
      <c r="AL52" s="352">
        <f t="shared" si="31"/>
        <v>325.19549102143156</v>
      </c>
      <c r="AM52" s="352">
        <f t="shared" si="32"/>
        <v>207.65877637318331</v>
      </c>
      <c r="AN52" s="413">
        <f t="shared" si="33"/>
        <v>207.65877637318331</v>
      </c>
      <c r="AO52" s="439">
        <f t="shared" si="58"/>
        <v>-4.2387925000000104E-2</v>
      </c>
      <c r="AP52" s="440">
        <f t="shared" si="59"/>
        <v>-4.2387924999999993E-2</v>
      </c>
      <c r="AQ52" s="440">
        <f t="shared" si="60"/>
        <v>-4.2387925000000104E-2</v>
      </c>
      <c r="AR52" s="441">
        <f t="shared" si="61"/>
        <v>-4.2387925000000104E-2</v>
      </c>
      <c r="AS52" s="359">
        <f>'Price Adjustments'!$G$7</f>
        <v>0</v>
      </c>
      <c r="AT52" s="250">
        <f>IF(ISERROR(VLOOKUP($A52,'14-15 tariff'!$A:$F,3,FALSE)*(1+$AS$6)),"-",VLOOKUP($A52,'14-15 tariff'!$A:$F,3,FALSE)*(1+$AS$6))</f>
        <v>263</v>
      </c>
      <c r="AU52" s="250">
        <f>IF(ISERROR(VLOOKUP($A52,'14-15 tariff'!$A:$F,4,FALSE)*(1+$AS$6)),"-",VLOOKUP($A52,'14-15 tariff'!$A:$F,4,FALSE)*(1+$AS$6))</f>
        <v>263</v>
      </c>
      <c r="AV52" s="250">
        <f>IF(ISERROR(VLOOKUP($A52,'14-15 tariff'!$A:$F,5,FALSE)*(1+$AS$6)),"-",VLOOKUP($A52,'14-15 tariff'!$A:$F,5,FALSE)*(1+$AS$6))</f>
        <v>209</v>
      </c>
      <c r="AW52" s="250">
        <f>IF(ISERROR(VLOOKUP($A52,'14-15 tariff'!$A:$F,6,FALSE)*(1+$AS$6)),"-",VLOOKUP($A52,'14-15 tariff'!$A:$F,6,FALSE)*(1+$AS$6))</f>
        <v>210</v>
      </c>
      <c r="AX52" s="298"/>
      <c r="AY52" s="498" t="s">
        <v>522</v>
      </c>
      <c r="AZ52" s="499" t="s">
        <v>522</v>
      </c>
      <c r="BA52" s="499" t="s">
        <v>522</v>
      </c>
      <c r="BB52" s="499" t="s">
        <v>522</v>
      </c>
      <c r="BC52" s="339">
        <f t="shared" si="62"/>
        <v>320.75896269068585</v>
      </c>
      <c r="BD52" s="339">
        <f t="shared" si="63"/>
        <v>325.19549102143156</v>
      </c>
      <c r="BE52" s="339">
        <f t="shared" si="64"/>
        <v>207.65877637318331</v>
      </c>
      <c r="BF52" s="340">
        <f t="shared" si="65"/>
        <v>207.65877637318331</v>
      </c>
      <c r="BG52" s="265">
        <f t="shared" si="66"/>
        <v>-4.2387925000000104E-2</v>
      </c>
      <c r="BH52" s="265">
        <f t="shared" si="67"/>
        <v>-4.2387924999999993E-2</v>
      </c>
      <c r="BI52" s="265">
        <f t="shared" si="68"/>
        <v>-4.2387925000000104E-2</v>
      </c>
      <c r="BJ52" s="265">
        <f t="shared" si="69"/>
        <v>-4.2387925000000104E-2</v>
      </c>
      <c r="BK52" s="298"/>
      <c r="BL52" s="503">
        <f>'Price Adjustments'!$C$66</f>
        <v>-1.22128076562165E-2</v>
      </c>
      <c r="BM52" s="378">
        <f t="shared" si="70"/>
        <v>316.84159517533698</v>
      </c>
      <c r="BN52" s="378">
        <f t="shared" si="71"/>
        <v>321.22394103891793</v>
      </c>
      <c r="BO52" s="378">
        <f t="shared" si="72"/>
        <v>205.12267967921235</v>
      </c>
      <c r="BP52" s="506">
        <f t="shared" si="73"/>
        <v>205.12267967921235</v>
      </c>
      <c r="BQ52" s="298"/>
      <c r="BR52" s="618" t="str">
        <f>IF(COUNTIF('Manual adjustments'!$A:$A,A52)=1,"Y","")</f>
        <v/>
      </c>
      <c r="BS52" s="378">
        <f>IF($BR52="",BM52,IF(AND($BR52="Y",VLOOKUP($A52,'Manual adjustments'!$A:$O,12,FALSE)&lt;&gt;""),VLOOKUP($A52,'Manual adjustments'!$A:$O,12,FALSE),BM52))</f>
        <v>316.84159517533698</v>
      </c>
      <c r="BT52" s="378">
        <f>IF($BR52="",BN52,IF(AND($BR52="Y",VLOOKUP($A52,'Manual adjustments'!$A:$O,13,FALSE)&lt;&gt;""),VLOOKUP($A52,'Manual adjustments'!$A:$O,13,FALSE),BN52))</f>
        <v>321.22394103891793</v>
      </c>
      <c r="BU52" s="378">
        <f>IF($BR52="",BO52,IF(AND($BR52="Y",VLOOKUP($A52,'Manual adjustments'!$A:$O,14,FALSE)&lt;&gt;""),VLOOKUP($A52,'Manual adjustments'!$A:$O,14,FALSE),BO52))</f>
        <v>205.12267967921235</v>
      </c>
      <c r="BV52" s="378">
        <f>IF($BR52="",BP52,IF(AND($BR52="Y",VLOOKUP($A52,'Manual adjustments'!$A:$O,15,FALSE)&lt;&gt;""),VLOOKUP($A52,'Manual adjustments'!$A:$O,15,FALSE),BP52))</f>
        <v>205.12267967921235</v>
      </c>
      <c r="BW52" s="384">
        <f>'Price Adjustments'!$D$66</f>
        <v>0</v>
      </c>
      <c r="BX52" s="378">
        <f t="shared" si="34"/>
        <v>316.84159517533698</v>
      </c>
      <c r="BY52" s="378">
        <f t="shared" si="35"/>
        <v>321.22394103891793</v>
      </c>
      <c r="BZ52" s="378">
        <f t="shared" si="36"/>
        <v>205.12267967921235</v>
      </c>
      <c r="CA52" s="379">
        <f t="shared" si="37"/>
        <v>205.12267967921235</v>
      </c>
      <c r="CB52" s="615">
        <f t="shared" si="38"/>
        <v>0</v>
      </c>
      <c r="CC52" s="423">
        <f t="shared" si="39"/>
        <v>0</v>
      </c>
      <c r="CD52" s="423">
        <f t="shared" si="40"/>
        <v>0</v>
      </c>
      <c r="CE52" s="423">
        <f t="shared" si="41"/>
        <v>0</v>
      </c>
      <c r="CF52" s="298"/>
      <c r="CG52" s="388">
        <f t="shared" si="42"/>
        <v>317</v>
      </c>
      <c r="CH52" s="378">
        <f t="shared" si="43"/>
        <v>321</v>
      </c>
      <c r="CI52" s="378">
        <f t="shared" si="44"/>
        <v>205</v>
      </c>
      <c r="CJ52" s="379">
        <f t="shared" si="45"/>
        <v>205</v>
      </c>
      <c r="CM52" s="507"/>
      <c r="CN52" s="507"/>
      <c r="CO52" s="507"/>
      <c r="CP52" s="507"/>
    </row>
    <row r="53" spans="1:94" ht="16.5" customHeight="1">
      <c r="A53" s="296">
        <v>361</v>
      </c>
      <c r="B53" s="292" t="s">
        <v>29</v>
      </c>
      <c r="C53" s="293">
        <f>IF(ISERROR(VLOOKUP($A53,'Allocate OPROC cost'!A:M,11,FALSE)),"-",VLOOKUP($A53,'Allocate OPROC cost'!A:M,11,FALSE))</f>
        <v>186.35878882365628</v>
      </c>
      <c r="D53" s="140">
        <f>IF(ISERROR(VLOOKUP($A53,'Allocate OPROC cost'!A:M,10,FALSE)),"-",VLOOKUP($A53,'Allocate OPROC cost'!A:M,10,FALSE))</f>
        <v>216.8769268506465</v>
      </c>
      <c r="E53" s="140">
        <f>IF(ISERROR(VLOOKUP($A53,'Allocate OPROC cost'!A:M,13,FALSE)),"-",VLOOKUP($A53,'Allocate OPROC cost'!A:M,13,FALSE))</f>
        <v>148.58716387452654</v>
      </c>
      <c r="F53" s="294">
        <f>IF(ISERROR(VLOOKUP($A53,'Allocate OPROC cost'!A:M,12,FALSE)),"-",VLOOKUP($A53,'Allocate OPROC cost'!A:M,12,FALSE))</f>
        <v>172.18679662062166</v>
      </c>
      <c r="G53" s="298"/>
      <c r="H53" s="405">
        <f>IF(ISERROR(VLOOKUP($A53,'Allocate OPROC cost'!A:AO,39,FALSE)),"-",VLOOKUP($A53,'Allocate OPROC cost'!A:AO,39,FALSE))</f>
        <v>186.32676571104165</v>
      </c>
      <c r="I53" s="406">
        <f>IF(ISERROR(VLOOKUP($A53,'Allocate OPROC cost'!A:AO,38,FALSE)),"-",VLOOKUP($A53,'Allocate OPROC cost'!A:AO,38,FALSE))</f>
        <v>216.8769268506465</v>
      </c>
      <c r="J53" s="406">
        <f>IF(ISERROR(VLOOKUP($A53,'Allocate OPROC cost'!A:AO,41,FALSE)),"-",VLOOKUP($A53,'Allocate OPROC cost'!A:AO,41,FALSE))</f>
        <v>148.55443011844244</v>
      </c>
      <c r="K53" s="407">
        <f>IF(ISERROR(VLOOKUP($A53,'Allocate OPROC cost'!A:AO,40,FALSE)),"-",VLOOKUP($A53,'Allocate OPROC cost'!A:AO,40,FALSE))</f>
        <v>172.18679662062166</v>
      </c>
      <c r="L53" s="425">
        <f t="shared" si="46"/>
        <v>-1.7183580563484568E-4</v>
      </c>
      <c r="M53" s="426">
        <f t="shared" si="47"/>
        <v>0</v>
      </c>
      <c r="N53" s="426">
        <f t="shared" si="48"/>
        <v>-2.2030002612971611E-4</v>
      </c>
      <c r="O53" s="425">
        <f t="shared" si="49"/>
        <v>0</v>
      </c>
      <c r="P53" s="298"/>
      <c r="Q53" s="299">
        <f>IF(ISERROR(VLOOKUP($A53,'Front-loading'!$A:$AG,27,FALSE)),"-",VLOOKUP($A53,'Front-loading'!$A:$AG,27,FALSE))</f>
        <v>279.49014856656248</v>
      </c>
      <c r="R53" s="150">
        <f>IF(ISERROR(VLOOKUP($A53,'Front-loading'!$A:$AG,26,FALSE)),"-",VLOOKUP($A53,'Front-loading'!$A:$AG,26,FALSE))</f>
        <v>325.31539027596978</v>
      </c>
      <c r="S53" s="150">
        <f>IF(ISERROR(VLOOKUP($A53,'Front-loading'!$A:$AG,29,FALSE)),"-",VLOOKUP($A53,'Front-loading'!$A:$AG,29,FALSE))</f>
        <v>133.6989871065982</v>
      </c>
      <c r="T53" s="300">
        <f>IF(ISERROR(VLOOKUP($A53,'Front-loading'!$A:$AG,28,FALSE)),"-",VLOOKUP($A53,'Front-loading'!$A:$AG,28,FALSE))</f>
        <v>154.96811695855951</v>
      </c>
      <c r="U53" s="429">
        <f t="shared" si="50"/>
        <v>0.5</v>
      </c>
      <c r="V53" s="430">
        <f t="shared" si="51"/>
        <v>0.50000000000000022</v>
      </c>
      <c r="W53" s="430">
        <f t="shared" si="52"/>
        <v>-9.9999999999999978E-2</v>
      </c>
      <c r="X53" s="431">
        <f t="shared" si="53"/>
        <v>-9.9999999999999978E-2</v>
      </c>
      <c r="Y53" s="298"/>
      <c r="Z53" s="152">
        <f>IF(ISERROR(VLOOKUP($A53,'Further adjustment'!$A:$BC,53,FALSE)),"-",VLOOKUP($A53,'Further adjustment'!$A:$BC,53,FALSE))</f>
        <v>279.49014856656248</v>
      </c>
      <c r="AA53" s="152">
        <f>IF(ISERROR(VLOOKUP($A53,'Further adjustment'!$A:$BC,52,FALSE)),"-",VLOOKUP($A53,'Further adjustment'!$A:$BC,52,FALSE))</f>
        <v>325.31539027596978</v>
      </c>
      <c r="AB53" s="152">
        <f>IF(ISERROR(VLOOKUP($A53,'Further adjustment'!$A:$BC,55,FALSE)),"-",VLOOKUP($A53,'Further adjustment'!$A:$BC,55,FALSE))</f>
        <v>133.6989871065982</v>
      </c>
      <c r="AC53" s="412">
        <f>IF(ISERROR(VLOOKUP($A53,'Further adjustment'!$A:$BC,54,FALSE)),"-",VLOOKUP($A53,'Further adjustment'!$A:$BC,54,FALSE))</f>
        <v>154.96811695855951</v>
      </c>
      <c r="AD53" s="435">
        <f t="shared" si="54"/>
        <v>0</v>
      </c>
      <c r="AE53" s="436">
        <f t="shared" si="55"/>
        <v>0</v>
      </c>
      <c r="AF53" s="436">
        <f t="shared" si="56"/>
        <v>0</v>
      </c>
      <c r="AG53" s="436">
        <f t="shared" si="57"/>
        <v>0</v>
      </c>
      <c r="AH53" s="298"/>
      <c r="AI53" s="347">
        <f>'Price Adjustments'!$H$7</f>
        <v>-4.2387925000000104E-2</v>
      </c>
      <c r="AJ53" s="467">
        <f>'Price Adjustments'!$G$91</f>
        <v>0</v>
      </c>
      <c r="AK53" s="352">
        <f t="shared" si="30"/>
        <v>267.64314111088413</v>
      </c>
      <c r="AL53" s="352">
        <f t="shared" si="31"/>
        <v>311.52594591160619</v>
      </c>
      <c r="AM53" s="352">
        <f t="shared" si="32"/>
        <v>128.03176446854772</v>
      </c>
      <c r="AN53" s="413">
        <f t="shared" si="33"/>
        <v>148.39934003952885</v>
      </c>
      <c r="AO53" s="439">
        <f t="shared" si="58"/>
        <v>-4.2387925000000104E-2</v>
      </c>
      <c r="AP53" s="440">
        <f t="shared" si="59"/>
        <v>-4.2387925000000215E-2</v>
      </c>
      <c r="AQ53" s="440">
        <f t="shared" si="60"/>
        <v>-4.2387925000000215E-2</v>
      </c>
      <c r="AR53" s="441">
        <f t="shared" si="61"/>
        <v>-4.2387924999999993E-2</v>
      </c>
      <c r="AS53" s="359">
        <f>'Price Adjustments'!$G$7</f>
        <v>0</v>
      </c>
      <c r="AT53" s="250">
        <f>IF(ISERROR(VLOOKUP($A53,'14-15 tariff'!$A:$F,3,FALSE)*(1+$AS$6)),"-",VLOOKUP($A53,'14-15 tariff'!$A:$F,3,FALSE)*(1+$AS$6))</f>
        <v>182</v>
      </c>
      <c r="AU53" s="250">
        <f>IF(ISERROR(VLOOKUP($A53,'14-15 tariff'!$A:$F,4,FALSE)*(1+$AS$6)),"-",VLOOKUP($A53,'14-15 tariff'!$A:$F,4,FALSE)*(1+$AS$6))</f>
        <v>248</v>
      </c>
      <c r="AV53" s="250">
        <f>IF(ISERROR(VLOOKUP($A53,'14-15 tariff'!$A:$F,5,FALSE)*(1+$AS$6)),"-",VLOOKUP($A53,'14-15 tariff'!$A:$F,5,FALSE)*(1+$AS$6))</f>
        <v>130</v>
      </c>
      <c r="AW53" s="250">
        <f>IF(ISERROR(VLOOKUP($A53,'14-15 tariff'!$A:$F,6,FALSE)*(1+$AS$6)),"-",VLOOKUP($A53,'14-15 tariff'!$A:$F,6,FALSE)*(1+$AS$6))</f>
        <v>243</v>
      </c>
      <c r="AX53" s="298"/>
      <c r="AY53" s="498" t="s">
        <v>522</v>
      </c>
      <c r="AZ53" s="499" t="s">
        <v>522</v>
      </c>
      <c r="BA53" s="499" t="s">
        <v>522</v>
      </c>
      <c r="BB53" s="499" t="s">
        <v>522</v>
      </c>
      <c r="BC53" s="339">
        <f t="shared" si="62"/>
        <v>267.64314111088413</v>
      </c>
      <c r="BD53" s="339">
        <f t="shared" si="63"/>
        <v>311.52594591160619</v>
      </c>
      <c r="BE53" s="339">
        <f t="shared" si="64"/>
        <v>128.03176446854772</v>
      </c>
      <c r="BF53" s="340">
        <f t="shared" si="65"/>
        <v>148.39934003952885</v>
      </c>
      <c r="BG53" s="265">
        <f t="shared" si="66"/>
        <v>-4.2387925000000104E-2</v>
      </c>
      <c r="BH53" s="265">
        <f t="shared" si="67"/>
        <v>-4.2387925000000215E-2</v>
      </c>
      <c r="BI53" s="265">
        <f t="shared" si="68"/>
        <v>-4.2387925000000215E-2</v>
      </c>
      <c r="BJ53" s="265">
        <f t="shared" si="69"/>
        <v>-4.2387924999999993E-2</v>
      </c>
      <c r="BK53" s="298"/>
      <c r="BL53" s="503">
        <f>'Price Adjustments'!$C$66</f>
        <v>-1.22128076562165E-2</v>
      </c>
      <c r="BM53" s="378">
        <f t="shared" si="70"/>
        <v>264.37446690799129</v>
      </c>
      <c r="BN53" s="378">
        <f t="shared" si="71"/>
        <v>307.72133945426685</v>
      </c>
      <c r="BO53" s="378">
        <f t="shared" si="72"/>
        <v>126.46813715520734</v>
      </c>
      <c r="BP53" s="506">
        <f t="shared" si="73"/>
        <v>146.58696744331661</v>
      </c>
      <c r="BQ53" s="298"/>
      <c r="BR53" s="618" t="str">
        <f>IF(COUNTIF('Manual adjustments'!$A:$A,A53)=1,"Y","")</f>
        <v/>
      </c>
      <c r="BS53" s="378">
        <f>IF($BR53="",BM53,IF(AND($BR53="Y",VLOOKUP($A53,'Manual adjustments'!$A:$O,12,FALSE)&lt;&gt;""),VLOOKUP($A53,'Manual adjustments'!$A:$O,12,FALSE),BM53))</f>
        <v>264.37446690799129</v>
      </c>
      <c r="BT53" s="378">
        <f>IF($BR53="",BN53,IF(AND($BR53="Y",VLOOKUP($A53,'Manual adjustments'!$A:$O,13,FALSE)&lt;&gt;""),VLOOKUP($A53,'Manual adjustments'!$A:$O,13,FALSE),BN53))</f>
        <v>307.72133945426685</v>
      </c>
      <c r="BU53" s="378">
        <f>IF($BR53="",BO53,IF(AND($BR53="Y",VLOOKUP($A53,'Manual adjustments'!$A:$O,14,FALSE)&lt;&gt;""),VLOOKUP($A53,'Manual adjustments'!$A:$O,14,FALSE),BO53))</f>
        <v>126.46813715520734</v>
      </c>
      <c r="BV53" s="378">
        <f>IF($BR53="",BP53,IF(AND($BR53="Y",VLOOKUP($A53,'Manual adjustments'!$A:$O,15,FALSE)&lt;&gt;""),VLOOKUP($A53,'Manual adjustments'!$A:$O,15,FALSE),BP53))</f>
        <v>146.58696744331661</v>
      </c>
      <c r="BW53" s="384">
        <f>'Price Adjustments'!$D$66</f>
        <v>0</v>
      </c>
      <c r="BX53" s="378">
        <f t="shared" si="34"/>
        <v>264.37446690799129</v>
      </c>
      <c r="BY53" s="378">
        <f t="shared" si="35"/>
        <v>307.72133945426685</v>
      </c>
      <c r="BZ53" s="378">
        <f t="shared" si="36"/>
        <v>126.46813715520734</v>
      </c>
      <c r="CA53" s="379">
        <f t="shared" si="37"/>
        <v>146.58696744331661</v>
      </c>
      <c r="CB53" s="615">
        <f t="shared" si="38"/>
        <v>0</v>
      </c>
      <c r="CC53" s="423">
        <f t="shared" si="39"/>
        <v>0</v>
      </c>
      <c r="CD53" s="423">
        <f t="shared" si="40"/>
        <v>0</v>
      </c>
      <c r="CE53" s="423">
        <f t="shared" si="41"/>
        <v>0</v>
      </c>
      <c r="CF53" s="298"/>
      <c r="CG53" s="388">
        <f t="shared" si="42"/>
        <v>264</v>
      </c>
      <c r="CH53" s="378">
        <f t="shared" si="43"/>
        <v>308</v>
      </c>
      <c r="CI53" s="378">
        <f t="shared" si="44"/>
        <v>126</v>
      </c>
      <c r="CJ53" s="379">
        <f t="shared" si="45"/>
        <v>147</v>
      </c>
      <c r="CM53" s="507"/>
      <c r="CN53" s="507"/>
      <c r="CO53" s="507"/>
      <c r="CP53" s="507"/>
    </row>
    <row r="54" spans="1:94" ht="16.5" customHeight="1">
      <c r="A54" s="296">
        <v>370</v>
      </c>
      <c r="B54" s="292" t="s">
        <v>30</v>
      </c>
      <c r="C54" s="293">
        <f>IF(ISERROR(VLOOKUP($A54,'Allocate OPROC cost'!A:M,11,FALSE)),"-",VLOOKUP($A54,'Allocate OPROC cost'!A:M,11,FALSE))</f>
        <v>153.14047584926209</v>
      </c>
      <c r="D54" s="140">
        <f>IF(ISERROR(VLOOKUP($A54,'Allocate OPROC cost'!A:M,10,FALSE)),"-",VLOOKUP($A54,'Allocate OPROC cost'!A:M,10,FALSE))</f>
        <v>170.07901145810487</v>
      </c>
      <c r="E54" s="140">
        <f>IF(ISERROR(VLOOKUP($A54,'Allocate OPROC cost'!A:M,13,FALSE)),"-",VLOOKUP($A54,'Allocate OPROC cost'!A:M,13,FALSE))</f>
        <v>112.0553997040994</v>
      </c>
      <c r="F54" s="294">
        <f>IF(ISERROR(VLOOKUP($A54,'Allocate OPROC cost'!A:M,12,FALSE)),"-",VLOOKUP($A54,'Allocate OPROC cost'!A:M,12,FALSE))</f>
        <v>137.70173814894198</v>
      </c>
      <c r="G54" s="298"/>
      <c r="H54" s="405">
        <f>IF(ISERROR(VLOOKUP($A54,'Allocate OPROC cost'!A:AO,39,FALSE)),"-",VLOOKUP($A54,'Allocate OPROC cost'!A:AO,39,FALSE))</f>
        <v>153.15776180444902</v>
      </c>
      <c r="I54" s="406">
        <f>IF(ISERROR(VLOOKUP($A54,'Allocate OPROC cost'!A:AO,38,FALSE)),"-",VLOOKUP($A54,'Allocate OPROC cost'!A:AO,38,FALSE))</f>
        <v>170.07901145810487</v>
      </c>
      <c r="J54" s="406">
        <f>IF(ISERROR(VLOOKUP($A54,'Allocate OPROC cost'!A:AO,41,FALSE)),"-",VLOOKUP($A54,'Allocate OPROC cost'!A:AO,41,FALSE))</f>
        <v>112.26534664995853</v>
      </c>
      <c r="K54" s="407">
        <f>IF(ISERROR(VLOOKUP($A54,'Allocate OPROC cost'!A:AO,40,FALSE)),"-",VLOOKUP($A54,'Allocate OPROC cost'!A:AO,40,FALSE))</f>
        <v>137.70173814894198</v>
      </c>
      <c r="L54" s="425">
        <f t="shared" si="46"/>
        <v>1.1287646254909411E-4</v>
      </c>
      <c r="M54" s="426">
        <f t="shared" si="47"/>
        <v>0</v>
      </c>
      <c r="N54" s="426">
        <f t="shared" si="48"/>
        <v>1.8735995446317322E-3</v>
      </c>
      <c r="O54" s="425">
        <f t="shared" si="49"/>
        <v>0</v>
      </c>
      <c r="P54" s="298"/>
      <c r="Q54" s="299">
        <f>IF(ISERROR(VLOOKUP($A54,'Front-loading'!$A:$AG,27,FALSE)),"-",VLOOKUP($A54,'Front-loading'!$A:$AG,27,FALSE))</f>
        <v>229.73664270667351</v>
      </c>
      <c r="R54" s="150">
        <f>IF(ISERROR(VLOOKUP($A54,'Front-loading'!$A:$AG,26,FALSE)),"-",VLOOKUP($A54,'Front-loading'!$A:$AG,26,FALSE))</f>
        <v>249.25533619794504</v>
      </c>
      <c r="S54" s="150">
        <f>IF(ISERROR(VLOOKUP($A54,'Front-loading'!$A:$AG,29,FALSE)),"-",VLOOKUP($A54,'Front-loading'!$A:$AG,29,FALSE))</f>
        <v>101.03881198496268</v>
      </c>
      <c r="T54" s="300">
        <f>IF(ISERROR(VLOOKUP($A54,'Front-loading'!$A:$AG,28,FALSE)),"-",VLOOKUP($A54,'Front-loading'!$A:$AG,28,FALSE))</f>
        <v>123.93156433404779</v>
      </c>
      <c r="U54" s="429">
        <f t="shared" si="50"/>
        <v>0.49999999999999978</v>
      </c>
      <c r="V54" s="430">
        <f t="shared" si="51"/>
        <v>0.4655267223218984</v>
      </c>
      <c r="W54" s="430">
        <f t="shared" si="52"/>
        <v>-9.9999999999999978E-2</v>
      </c>
      <c r="X54" s="431">
        <f t="shared" si="53"/>
        <v>-9.9999999999999978E-2</v>
      </c>
      <c r="Y54" s="298"/>
      <c r="Z54" s="152">
        <f>IF(ISERROR(VLOOKUP($A54,'Further adjustment'!$A:$BC,53,FALSE)),"-",VLOOKUP($A54,'Further adjustment'!$A:$BC,53,FALSE))</f>
        <v>229.73664270667351</v>
      </c>
      <c r="AA54" s="152">
        <f>IF(ISERROR(VLOOKUP($A54,'Further adjustment'!$A:$BC,52,FALSE)),"-",VLOOKUP($A54,'Further adjustment'!$A:$BC,52,FALSE))</f>
        <v>249.25533619794504</v>
      </c>
      <c r="AB54" s="152">
        <f>IF(ISERROR(VLOOKUP($A54,'Further adjustment'!$A:$BC,55,FALSE)),"-",VLOOKUP($A54,'Further adjustment'!$A:$BC,55,FALSE))</f>
        <v>101.03881198496268</v>
      </c>
      <c r="AC54" s="412">
        <f>IF(ISERROR(VLOOKUP($A54,'Further adjustment'!$A:$BC,54,FALSE)),"-",VLOOKUP($A54,'Further adjustment'!$A:$BC,54,FALSE))</f>
        <v>123.93156433404779</v>
      </c>
      <c r="AD54" s="435">
        <f t="shared" si="54"/>
        <v>0</v>
      </c>
      <c r="AE54" s="436">
        <f t="shared" si="55"/>
        <v>0</v>
      </c>
      <c r="AF54" s="436">
        <f t="shared" si="56"/>
        <v>0</v>
      </c>
      <c r="AG54" s="436">
        <f t="shared" si="57"/>
        <v>0</v>
      </c>
      <c r="AH54" s="298"/>
      <c r="AI54" s="347">
        <f>'Price Adjustments'!$H$7</f>
        <v>-4.2387925000000104E-2</v>
      </c>
      <c r="AJ54" s="467">
        <f>'Price Adjustments'!$G$91</f>
        <v>0</v>
      </c>
      <c r="AK54" s="352">
        <f t="shared" si="30"/>
        <v>219.99858312587122</v>
      </c>
      <c r="AL54" s="352">
        <f t="shared" si="31"/>
        <v>238.68991970133675</v>
      </c>
      <c r="AM54" s="352">
        <f t="shared" si="32"/>
        <v>96.755986400454972</v>
      </c>
      <c r="AN54" s="413">
        <f t="shared" si="33"/>
        <v>118.67836247992349</v>
      </c>
      <c r="AO54" s="439">
        <f t="shared" si="58"/>
        <v>-4.2387925000000104E-2</v>
      </c>
      <c r="AP54" s="440">
        <f t="shared" si="59"/>
        <v>-4.2387925000000104E-2</v>
      </c>
      <c r="AQ54" s="440">
        <f t="shared" si="60"/>
        <v>-4.2387925000000104E-2</v>
      </c>
      <c r="AR54" s="441">
        <f t="shared" si="61"/>
        <v>-4.2387925000000104E-2</v>
      </c>
      <c r="AS54" s="359">
        <f>'Price Adjustments'!$G$7</f>
        <v>0</v>
      </c>
      <c r="AT54" s="250">
        <f>IF(ISERROR(VLOOKUP($A54,'14-15 tariff'!$A:$F,3,FALSE)*(1+$AS$6)),"-",VLOOKUP($A54,'14-15 tariff'!$A:$F,3,FALSE)*(1+$AS$6))</f>
        <v>210</v>
      </c>
      <c r="AU54" s="250">
        <f>IF(ISERROR(VLOOKUP($A54,'14-15 tariff'!$A:$F,4,FALSE)*(1+$AS$6)),"-",VLOOKUP($A54,'14-15 tariff'!$A:$F,4,FALSE)*(1+$AS$6))</f>
        <v>220</v>
      </c>
      <c r="AV54" s="250">
        <f>IF(ISERROR(VLOOKUP($A54,'14-15 tariff'!$A:$F,5,FALSE)*(1+$AS$6)),"-",VLOOKUP($A54,'14-15 tariff'!$A:$F,5,FALSE)*(1+$AS$6))</f>
        <v>91</v>
      </c>
      <c r="AW54" s="250">
        <f>IF(ISERROR(VLOOKUP($A54,'14-15 tariff'!$A:$F,6,FALSE)*(1+$AS$6)),"-",VLOOKUP($A54,'14-15 tariff'!$A:$F,6,FALSE)*(1+$AS$6))</f>
        <v>103</v>
      </c>
      <c r="AX54" s="298"/>
      <c r="AY54" s="499" t="s">
        <v>522</v>
      </c>
      <c r="AZ54" s="499" t="s">
        <v>522</v>
      </c>
      <c r="BA54" s="499" t="s">
        <v>522</v>
      </c>
      <c r="BB54" s="499" t="s">
        <v>522</v>
      </c>
      <c r="BC54" s="339">
        <f t="shared" si="62"/>
        <v>219.99858312587122</v>
      </c>
      <c r="BD54" s="339">
        <f t="shared" si="63"/>
        <v>238.68991970133675</v>
      </c>
      <c r="BE54" s="339">
        <f t="shared" si="64"/>
        <v>96.755986400454972</v>
      </c>
      <c r="BF54" s="340">
        <f t="shared" si="65"/>
        <v>118.67836247992349</v>
      </c>
      <c r="BG54" s="265">
        <f t="shared" si="66"/>
        <v>-4.2387925000000104E-2</v>
      </c>
      <c r="BH54" s="265">
        <f t="shared" si="67"/>
        <v>-4.2387925000000104E-2</v>
      </c>
      <c r="BI54" s="265">
        <f t="shared" si="68"/>
        <v>-4.2387925000000104E-2</v>
      </c>
      <c r="BJ54" s="265">
        <f t="shared" si="69"/>
        <v>-4.2387925000000104E-2</v>
      </c>
      <c r="BK54" s="298"/>
      <c r="BL54" s="503">
        <f>'Price Adjustments'!$C$66</f>
        <v>-1.22128076562165E-2</v>
      </c>
      <c r="BM54" s="378">
        <f t="shared" si="70"/>
        <v>217.31178274551482</v>
      </c>
      <c r="BN54" s="378">
        <f t="shared" si="71"/>
        <v>235.77484562254656</v>
      </c>
      <c r="BO54" s="378">
        <f t="shared" si="72"/>
        <v>95.574324148958723</v>
      </c>
      <c r="BP54" s="506">
        <f t="shared" si="73"/>
        <v>117.22896646600145</v>
      </c>
      <c r="BQ54" s="298"/>
      <c r="BR54" s="618" t="str">
        <f>IF(COUNTIF('Manual adjustments'!$A:$A,A54)=1,"Y","")</f>
        <v/>
      </c>
      <c r="BS54" s="378">
        <f>IF($BR54="",BM54,IF(AND($BR54="Y",VLOOKUP($A54,'Manual adjustments'!$A:$O,12,FALSE)&lt;&gt;""),VLOOKUP($A54,'Manual adjustments'!$A:$O,12,FALSE),BM54))</f>
        <v>217.31178274551482</v>
      </c>
      <c r="BT54" s="378">
        <f>IF($BR54="",BN54,IF(AND($BR54="Y",VLOOKUP($A54,'Manual adjustments'!$A:$O,13,FALSE)&lt;&gt;""),VLOOKUP($A54,'Manual adjustments'!$A:$O,13,FALSE),BN54))</f>
        <v>235.77484562254656</v>
      </c>
      <c r="BU54" s="378">
        <f>IF($BR54="",BO54,IF(AND($BR54="Y",VLOOKUP($A54,'Manual adjustments'!$A:$O,14,FALSE)&lt;&gt;""),VLOOKUP($A54,'Manual adjustments'!$A:$O,14,FALSE),BO54))</f>
        <v>95.574324148958723</v>
      </c>
      <c r="BV54" s="378">
        <f>IF($BR54="",BP54,IF(AND($BR54="Y",VLOOKUP($A54,'Manual adjustments'!$A:$O,15,FALSE)&lt;&gt;""),VLOOKUP($A54,'Manual adjustments'!$A:$O,15,FALSE),BP54))</f>
        <v>117.22896646600145</v>
      </c>
      <c r="BW54" s="384">
        <f>'Price Adjustments'!$D$66</f>
        <v>0</v>
      </c>
      <c r="BX54" s="378">
        <f t="shared" si="34"/>
        <v>217.31178274551482</v>
      </c>
      <c r="BY54" s="378">
        <f t="shared" si="35"/>
        <v>235.77484562254656</v>
      </c>
      <c r="BZ54" s="378">
        <f t="shared" si="36"/>
        <v>95.574324148958723</v>
      </c>
      <c r="CA54" s="379">
        <f t="shared" si="37"/>
        <v>117.22896646600145</v>
      </c>
      <c r="CB54" s="615">
        <f t="shared" si="38"/>
        <v>0</v>
      </c>
      <c r="CC54" s="423">
        <f t="shared" si="39"/>
        <v>0</v>
      </c>
      <c r="CD54" s="423">
        <f t="shared" si="40"/>
        <v>0</v>
      </c>
      <c r="CE54" s="423">
        <f t="shared" si="41"/>
        <v>0</v>
      </c>
      <c r="CF54" s="298"/>
      <c r="CG54" s="388">
        <f t="shared" si="42"/>
        <v>217</v>
      </c>
      <c r="CH54" s="378">
        <f t="shared" si="43"/>
        <v>236</v>
      </c>
      <c r="CI54" s="378">
        <f t="shared" si="44"/>
        <v>96</v>
      </c>
      <c r="CJ54" s="379">
        <f t="shared" si="45"/>
        <v>117</v>
      </c>
      <c r="CM54" s="507"/>
      <c r="CN54" s="507"/>
      <c r="CO54" s="507"/>
      <c r="CP54" s="507"/>
    </row>
    <row r="55" spans="1:94" ht="16.5" customHeight="1">
      <c r="A55" s="296">
        <v>410</v>
      </c>
      <c r="B55" s="292" t="s">
        <v>31</v>
      </c>
      <c r="C55" s="293">
        <f>IF(ISERROR(VLOOKUP($A55,'Allocate OPROC cost'!A:M,11,FALSE)),"-",VLOOKUP($A55,'Allocate OPROC cost'!A:M,11,FALSE))</f>
        <v>183.47265634786581</v>
      </c>
      <c r="D55" s="140">
        <f>IF(ISERROR(VLOOKUP($A55,'Allocate OPROC cost'!A:M,10,FALSE)),"-",VLOOKUP($A55,'Allocate OPROC cost'!A:M,10,FALSE))</f>
        <v>200.28570203236114</v>
      </c>
      <c r="E55" s="140">
        <f>IF(ISERROR(VLOOKUP($A55,'Allocate OPROC cost'!A:M,13,FALSE)),"-",VLOOKUP($A55,'Allocate OPROC cost'!A:M,13,FALSE))</f>
        <v>118.41227660154939</v>
      </c>
      <c r="F55" s="294">
        <f>IF(ISERROR(VLOOKUP($A55,'Allocate OPROC cost'!A:M,12,FALSE)),"-",VLOOKUP($A55,'Allocate OPROC cost'!A:M,12,FALSE))</f>
        <v>190.04904854445093</v>
      </c>
      <c r="G55" s="298"/>
      <c r="H55" s="405">
        <f>IF(ISERROR(VLOOKUP($A55,'Allocate OPROC cost'!A:AO,39,FALSE)),"-",VLOOKUP($A55,'Allocate OPROC cost'!A:AO,39,FALSE))</f>
        <v>183.63980051751346</v>
      </c>
      <c r="I55" s="406">
        <f>IF(ISERROR(VLOOKUP($A55,'Allocate OPROC cost'!A:AO,38,FALSE)),"-",VLOOKUP($A55,'Allocate OPROC cost'!A:AO,38,FALSE))</f>
        <v>200.28570203236114</v>
      </c>
      <c r="J55" s="406">
        <f>IF(ISERROR(VLOOKUP($A55,'Allocate OPROC cost'!A:AO,41,FALSE)),"-",VLOOKUP($A55,'Allocate OPROC cost'!A:AO,41,FALSE))</f>
        <v>119.34365393852529</v>
      </c>
      <c r="K55" s="407">
        <f>IF(ISERROR(VLOOKUP($A55,'Allocate OPROC cost'!A:AO,40,FALSE)),"-",VLOOKUP($A55,'Allocate OPROC cost'!A:AO,40,FALSE))</f>
        <v>190.04904854445093</v>
      </c>
      <c r="L55" s="425">
        <f t="shared" si="46"/>
        <v>9.1100315967929113E-4</v>
      </c>
      <c r="M55" s="426">
        <f t="shared" si="47"/>
        <v>0</v>
      </c>
      <c r="N55" s="426">
        <f t="shared" si="48"/>
        <v>7.8655470843613795E-3</v>
      </c>
      <c r="O55" s="425">
        <f t="shared" si="49"/>
        <v>0</v>
      </c>
      <c r="P55" s="298"/>
      <c r="Q55" s="299">
        <f>IF(ISERROR(VLOOKUP($A55,'Front-loading'!$A:$AG,27,FALSE)),"-",VLOOKUP($A55,'Front-loading'!$A:$AG,27,FALSE))</f>
        <v>234.06941145225869</v>
      </c>
      <c r="R55" s="150">
        <f>IF(ISERROR(VLOOKUP($A55,'Front-loading'!$A:$AG,26,FALSE)),"-",VLOOKUP($A55,'Front-loading'!$A:$AG,26,FALSE))</f>
        <v>255.18379890279061</v>
      </c>
      <c r="S55" s="150">
        <f>IF(ISERROR(VLOOKUP($A55,'Front-loading'!$A:$AG,29,FALSE)),"-",VLOOKUP($A55,'Front-loading'!$A:$AG,29,FALSE))</f>
        <v>107.40928854467276</v>
      </c>
      <c r="T55" s="300">
        <f>IF(ISERROR(VLOOKUP($A55,'Front-loading'!$A:$AG,28,FALSE)),"-",VLOOKUP($A55,'Front-loading'!$A:$AG,28,FALSE))</f>
        <v>171.04414369000585</v>
      </c>
      <c r="U55" s="429">
        <f t="shared" si="50"/>
        <v>0.27461155366445644</v>
      </c>
      <c r="V55" s="430">
        <f t="shared" si="51"/>
        <v>0.2740989312435258</v>
      </c>
      <c r="W55" s="430">
        <f t="shared" si="52"/>
        <v>-9.9999999999999978E-2</v>
      </c>
      <c r="X55" s="431">
        <f t="shared" si="53"/>
        <v>-9.9999999999999867E-2</v>
      </c>
      <c r="Y55" s="298"/>
      <c r="Z55" s="152">
        <f>IF(ISERROR(VLOOKUP($A55,'Further adjustment'!$A:$BC,53,FALSE)),"-",VLOOKUP($A55,'Further adjustment'!$A:$BC,53,FALSE))</f>
        <v>234.06941145225869</v>
      </c>
      <c r="AA55" s="152">
        <f>IF(ISERROR(VLOOKUP($A55,'Further adjustment'!$A:$BC,52,FALSE)),"-",VLOOKUP($A55,'Further adjustment'!$A:$BC,52,FALSE))</f>
        <v>255.18379890279061</v>
      </c>
      <c r="AB55" s="152">
        <f>IF(ISERROR(VLOOKUP($A55,'Further adjustment'!$A:$BC,55,FALSE)),"-",VLOOKUP($A55,'Further adjustment'!$A:$BC,55,FALSE))</f>
        <v>107.40928854467276</v>
      </c>
      <c r="AC55" s="412">
        <f>IF(ISERROR(VLOOKUP($A55,'Further adjustment'!$A:$BC,54,FALSE)),"-",VLOOKUP($A55,'Further adjustment'!$A:$BC,54,FALSE))</f>
        <v>171.04414369000585</v>
      </c>
      <c r="AD55" s="435">
        <f t="shared" si="54"/>
        <v>0</v>
      </c>
      <c r="AE55" s="436">
        <f t="shared" si="55"/>
        <v>0</v>
      </c>
      <c r="AF55" s="436">
        <f t="shared" si="56"/>
        <v>0</v>
      </c>
      <c r="AG55" s="436">
        <f t="shared" si="57"/>
        <v>0</v>
      </c>
      <c r="AH55" s="298"/>
      <c r="AI55" s="347">
        <f>'Price Adjustments'!$H$7</f>
        <v>-4.2387925000000104E-2</v>
      </c>
      <c r="AJ55" s="467">
        <f>'Price Adjustments'!$G$91</f>
        <v>0</v>
      </c>
      <c r="AK55" s="352">
        <f t="shared" si="30"/>
        <v>224.14769479482618</v>
      </c>
      <c r="AL55" s="352">
        <f t="shared" si="31"/>
        <v>244.36708717368401</v>
      </c>
      <c r="AM55" s="352">
        <f t="shared" si="32"/>
        <v>102.8564316775378</v>
      </c>
      <c r="AN55" s="413">
        <f t="shared" si="33"/>
        <v>163.79393735558463</v>
      </c>
      <c r="AO55" s="439">
        <f t="shared" si="58"/>
        <v>-4.2387925000000104E-2</v>
      </c>
      <c r="AP55" s="440">
        <f t="shared" si="59"/>
        <v>-4.2387925000000104E-2</v>
      </c>
      <c r="AQ55" s="440">
        <f t="shared" si="60"/>
        <v>-4.2387925000000104E-2</v>
      </c>
      <c r="AR55" s="441">
        <f t="shared" si="61"/>
        <v>-4.2387925000000215E-2</v>
      </c>
      <c r="AS55" s="359">
        <f>'Price Adjustments'!$G$7</f>
        <v>0</v>
      </c>
      <c r="AT55" s="250">
        <f>IF(ISERROR(VLOOKUP($A55,'14-15 tariff'!$A:$F,3,FALSE)*(1+$AS$6)),"-",VLOOKUP($A55,'14-15 tariff'!$A:$F,3,FALSE)*(1+$AS$6))</f>
        <v>214</v>
      </c>
      <c r="AU55" s="250">
        <f>IF(ISERROR(VLOOKUP($A55,'14-15 tariff'!$A:$F,4,FALSE)*(1+$AS$6)),"-",VLOOKUP($A55,'14-15 tariff'!$A:$F,4,FALSE)*(1+$AS$6))</f>
        <v>214</v>
      </c>
      <c r="AV55" s="250">
        <f>IF(ISERROR(VLOOKUP($A55,'14-15 tariff'!$A:$F,5,FALSE)*(1+$AS$6)),"-",VLOOKUP($A55,'14-15 tariff'!$A:$F,5,FALSE)*(1+$AS$6))</f>
        <v>99</v>
      </c>
      <c r="AW55" s="250">
        <f>IF(ISERROR(VLOOKUP($A55,'14-15 tariff'!$A:$F,6,FALSE)*(1+$AS$6)),"-",VLOOKUP($A55,'14-15 tariff'!$A:$F,6,FALSE)*(1+$AS$6))</f>
        <v>99</v>
      </c>
      <c r="AX55" s="298"/>
      <c r="AY55" s="498" t="s">
        <v>522</v>
      </c>
      <c r="AZ55" s="499" t="s">
        <v>522</v>
      </c>
      <c r="BA55" s="499" t="s">
        <v>522</v>
      </c>
      <c r="BB55" s="499" t="s">
        <v>522</v>
      </c>
      <c r="BC55" s="339">
        <f t="shared" si="62"/>
        <v>224.14769479482618</v>
      </c>
      <c r="BD55" s="339">
        <f t="shared" si="63"/>
        <v>244.36708717368401</v>
      </c>
      <c r="BE55" s="339">
        <f t="shared" si="64"/>
        <v>102.8564316775378</v>
      </c>
      <c r="BF55" s="340">
        <f t="shared" si="65"/>
        <v>163.79393735558463</v>
      </c>
      <c r="BG55" s="265">
        <f t="shared" si="66"/>
        <v>-4.2387925000000104E-2</v>
      </c>
      <c r="BH55" s="265">
        <f t="shared" si="67"/>
        <v>-4.2387925000000104E-2</v>
      </c>
      <c r="BI55" s="265">
        <f t="shared" si="68"/>
        <v>-4.2387925000000104E-2</v>
      </c>
      <c r="BJ55" s="265">
        <f t="shared" si="69"/>
        <v>-4.2387925000000215E-2</v>
      </c>
      <c r="BK55" s="298"/>
      <c r="BL55" s="503">
        <f>'Price Adjustments'!$C$66</f>
        <v>-1.22128076562165E-2</v>
      </c>
      <c r="BM55" s="378">
        <f t="shared" si="70"/>
        <v>221.41022211171264</v>
      </c>
      <c r="BN55" s="378">
        <f t="shared" si="71"/>
        <v>241.38267894052194</v>
      </c>
      <c r="BO55" s="378">
        <f t="shared" si="72"/>
        <v>101.60026586125527</v>
      </c>
      <c r="BP55" s="506">
        <f t="shared" si="73"/>
        <v>161.79355350340651</v>
      </c>
      <c r="BQ55" s="298"/>
      <c r="BR55" s="618" t="str">
        <f>IF(COUNTIF('Manual adjustments'!$A:$A,A55)=1,"Y","")</f>
        <v/>
      </c>
      <c r="BS55" s="378">
        <f>IF($BR55="",BM55,IF(AND($BR55="Y",VLOOKUP($A55,'Manual adjustments'!$A:$O,12,FALSE)&lt;&gt;""),VLOOKUP($A55,'Manual adjustments'!$A:$O,12,FALSE),BM55))</f>
        <v>221.41022211171264</v>
      </c>
      <c r="BT55" s="378">
        <f>IF($BR55="",BN55,IF(AND($BR55="Y",VLOOKUP($A55,'Manual adjustments'!$A:$O,13,FALSE)&lt;&gt;""),VLOOKUP($A55,'Manual adjustments'!$A:$O,13,FALSE),BN55))</f>
        <v>241.38267894052194</v>
      </c>
      <c r="BU55" s="378">
        <f>IF($BR55="",BO55,IF(AND($BR55="Y",VLOOKUP($A55,'Manual adjustments'!$A:$O,14,FALSE)&lt;&gt;""),VLOOKUP($A55,'Manual adjustments'!$A:$O,14,FALSE),BO55))</f>
        <v>101.60026586125527</v>
      </c>
      <c r="BV55" s="378">
        <f>IF($BR55="",BP55,IF(AND($BR55="Y",VLOOKUP($A55,'Manual adjustments'!$A:$O,15,FALSE)&lt;&gt;""),VLOOKUP($A55,'Manual adjustments'!$A:$O,15,FALSE),BP55))</f>
        <v>161.79355350340651</v>
      </c>
      <c r="BW55" s="384">
        <f>'Price Adjustments'!$D$66</f>
        <v>0</v>
      </c>
      <c r="BX55" s="378">
        <f t="shared" si="34"/>
        <v>221.41022211171264</v>
      </c>
      <c r="BY55" s="378">
        <f t="shared" si="35"/>
        <v>241.38267894052194</v>
      </c>
      <c r="BZ55" s="378">
        <f t="shared" si="36"/>
        <v>101.60026586125527</v>
      </c>
      <c r="CA55" s="379">
        <f t="shared" si="37"/>
        <v>161.79355350340651</v>
      </c>
      <c r="CB55" s="615">
        <f t="shared" si="38"/>
        <v>0</v>
      </c>
      <c r="CC55" s="423">
        <f t="shared" si="39"/>
        <v>0</v>
      </c>
      <c r="CD55" s="423">
        <f t="shared" si="40"/>
        <v>0</v>
      </c>
      <c r="CE55" s="423">
        <f t="shared" si="41"/>
        <v>0</v>
      </c>
      <c r="CF55" s="298"/>
      <c r="CG55" s="388">
        <f t="shared" si="42"/>
        <v>221</v>
      </c>
      <c r="CH55" s="378">
        <f t="shared" si="43"/>
        <v>241</v>
      </c>
      <c r="CI55" s="378">
        <f t="shared" si="44"/>
        <v>102</v>
      </c>
      <c r="CJ55" s="379">
        <f t="shared" si="45"/>
        <v>162</v>
      </c>
      <c r="CM55" s="507"/>
      <c r="CN55" s="507"/>
      <c r="CO55" s="507"/>
      <c r="CP55" s="507"/>
    </row>
    <row r="56" spans="1:94" ht="16.5" customHeight="1">
      <c r="A56" s="296">
        <v>420</v>
      </c>
      <c r="B56" s="292" t="s">
        <v>32</v>
      </c>
      <c r="C56" s="293">
        <f>IF(ISERROR(VLOOKUP($A56,'Allocate OPROC cost'!A:M,11,FALSE)),"-",VLOOKUP($A56,'Allocate OPROC cost'!A:M,11,FALSE))</f>
        <v>206.89987120136459</v>
      </c>
      <c r="D56" s="140">
        <f>IF(ISERROR(VLOOKUP($A56,'Allocate OPROC cost'!A:M,10,FALSE)),"-",VLOOKUP($A56,'Allocate OPROC cost'!A:M,10,FALSE))</f>
        <v>203.61168398559789</v>
      </c>
      <c r="E56" s="140">
        <f>IF(ISERROR(VLOOKUP($A56,'Allocate OPROC cost'!A:M,13,FALSE)),"-",VLOOKUP($A56,'Allocate OPROC cost'!A:M,13,FALSE))</f>
        <v>156.02034064374874</v>
      </c>
      <c r="F56" s="294">
        <f>IF(ISERROR(VLOOKUP($A56,'Allocate OPROC cost'!A:M,12,FALSE)),"-",VLOOKUP($A56,'Allocate OPROC cost'!A:M,12,FALSE))</f>
        <v>180.11179771131671</v>
      </c>
      <c r="G56" s="298"/>
      <c r="H56" s="405">
        <f>IF(ISERROR(VLOOKUP($A56,'Allocate OPROC cost'!A:AO,39,FALSE)),"-",VLOOKUP($A56,'Allocate OPROC cost'!A:AO,39,FALSE))</f>
        <v>206.64411626884453</v>
      </c>
      <c r="I56" s="406">
        <f>IF(ISERROR(VLOOKUP($A56,'Allocate OPROC cost'!A:AO,38,FALSE)),"-",VLOOKUP($A56,'Allocate OPROC cost'!A:AO,38,FALSE))</f>
        <v>203.61168398559789</v>
      </c>
      <c r="J56" s="406">
        <f>IF(ISERROR(VLOOKUP($A56,'Allocate OPROC cost'!A:AO,41,FALSE)),"-",VLOOKUP($A56,'Allocate OPROC cost'!A:AO,41,FALSE))</f>
        <v>155.76410184442676</v>
      </c>
      <c r="K56" s="407">
        <f>IF(ISERROR(VLOOKUP($A56,'Allocate OPROC cost'!A:AO,40,FALSE)),"-",VLOOKUP($A56,'Allocate OPROC cost'!A:AO,40,FALSE))</f>
        <v>180.11179771131671</v>
      </c>
      <c r="L56" s="425">
        <f t="shared" si="46"/>
        <v>-1.2361290078868326E-3</v>
      </c>
      <c r="M56" s="426">
        <f t="shared" si="47"/>
        <v>0</v>
      </c>
      <c r="N56" s="426">
        <f t="shared" si="48"/>
        <v>-1.6423422629685547E-3</v>
      </c>
      <c r="O56" s="425">
        <f t="shared" si="49"/>
        <v>0</v>
      </c>
      <c r="P56" s="298"/>
      <c r="Q56" s="299">
        <f>IF(ISERROR(VLOOKUP($A56,'Front-loading'!$A:$AG,27,FALSE)),"-",VLOOKUP($A56,'Front-loading'!$A:$AG,27,FALSE))</f>
        <v>230.4838284338702</v>
      </c>
      <c r="R56" s="150">
        <f>IF(ISERROR(VLOOKUP($A56,'Front-loading'!$A:$AG,26,FALSE)),"-",VLOOKUP($A56,'Front-loading'!$A:$AG,26,FALSE))</f>
        <v>244.34782278675172</v>
      </c>
      <c r="S56" s="150">
        <f>IF(ISERROR(VLOOKUP($A56,'Front-loading'!$A:$AG,29,FALSE)),"-",VLOOKUP($A56,'Front-loading'!$A:$AG,29,FALSE))</f>
        <v>140.1876916599841</v>
      </c>
      <c r="T56" s="300">
        <f>IF(ISERROR(VLOOKUP($A56,'Front-loading'!$A:$AG,28,FALSE)),"-",VLOOKUP($A56,'Front-loading'!$A:$AG,28,FALSE))</f>
        <v>162.10061794018503</v>
      </c>
      <c r="U56" s="429">
        <f t="shared" si="50"/>
        <v>0.11536603410478974</v>
      </c>
      <c r="V56" s="430">
        <f t="shared" si="51"/>
        <v>0.2000677859136768</v>
      </c>
      <c r="W56" s="430">
        <f t="shared" si="52"/>
        <v>-9.9999999999999978E-2</v>
      </c>
      <c r="X56" s="431">
        <f t="shared" si="53"/>
        <v>-0.10000000000000009</v>
      </c>
      <c r="Y56" s="298"/>
      <c r="Z56" s="152">
        <f>IF(ISERROR(VLOOKUP($A56,'Further adjustment'!$A:$BC,53,FALSE)),"-",VLOOKUP($A56,'Further adjustment'!$A:$BC,53,FALSE))</f>
        <v>230.4838284338702</v>
      </c>
      <c r="AA56" s="152">
        <f>IF(ISERROR(VLOOKUP($A56,'Further adjustment'!$A:$BC,52,FALSE)),"-",VLOOKUP($A56,'Further adjustment'!$A:$BC,52,FALSE))</f>
        <v>244.34782278675172</v>
      </c>
      <c r="AB56" s="152">
        <f>IF(ISERROR(VLOOKUP($A56,'Further adjustment'!$A:$BC,55,FALSE)),"-",VLOOKUP($A56,'Further adjustment'!$A:$BC,55,FALSE))</f>
        <v>140.1876916599841</v>
      </c>
      <c r="AC56" s="412">
        <f>IF(ISERROR(VLOOKUP($A56,'Further adjustment'!$A:$BC,54,FALSE)),"-",VLOOKUP($A56,'Further adjustment'!$A:$BC,54,FALSE))</f>
        <v>162.10061794018503</v>
      </c>
      <c r="AD56" s="435">
        <f t="shared" si="54"/>
        <v>0</v>
      </c>
      <c r="AE56" s="436">
        <f t="shared" si="55"/>
        <v>0</v>
      </c>
      <c r="AF56" s="436">
        <f t="shared" si="56"/>
        <v>0</v>
      </c>
      <c r="AG56" s="436">
        <f t="shared" si="57"/>
        <v>0</v>
      </c>
      <c r="AH56" s="298"/>
      <c r="AI56" s="347">
        <f>'Price Adjustments'!$H$7</f>
        <v>-4.2387925000000104E-2</v>
      </c>
      <c r="AJ56" s="467">
        <f>'Price Adjustments'!$G$91</f>
        <v>0</v>
      </c>
      <c r="AK56" s="352">
        <f t="shared" si="30"/>
        <v>220.71409720050241</v>
      </c>
      <c r="AL56" s="352">
        <f t="shared" si="31"/>
        <v>233.99042560055358</v>
      </c>
      <c r="AM56" s="352">
        <f t="shared" si="32"/>
        <v>134.24542629997754</v>
      </c>
      <c r="AN56" s="413">
        <f t="shared" si="33"/>
        <v>155.22950910448279</v>
      </c>
      <c r="AO56" s="439">
        <f t="shared" si="58"/>
        <v>-4.2387925000000104E-2</v>
      </c>
      <c r="AP56" s="440">
        <f t="shared" si="59"/>
        <v>-4.2387925000000104E-2</v>
      </c>
      <c r="AQ56" s="440">
        <f t="shared" si="60"/>
        <v>-4.2387925000000215E-2</v>
      </c>
      <c r="AR56" s="441">
        <f t="shared" si="61"/>
        <v>-4.2387925000000215E-2</v>
      </c>
      <c r="AS56" s="359">
        <f>'Price Adjustments'!$G$7</f>
        <v>0</v>
      </c>
      <c r="AT56" s="250">
        <f>IF(ISERROR(VLOOKUP($A56,'14-15 tariff'!$A:$F,3,FALSE)*(1+$AS$6)),"-",VLOOKUP($A56,'14-15 tariff'!$A:$F,3,FALSE)*(1+$AS$6))</f>
        <v>212</v>
      </c>
      <c r="AU56" s="250">
        <f>IF(ISERROR(VLOOKUP($A56,'14-15 tariff'!$A:$F,4,FALSE)*(1+$AS$6)),"-",VLOOKUP($A56,'14-15 tariff'!$A:$F,4,FALSE)*(1+$AS$6))</f>
        <v>212</v>
      </c>
      <c r="AV56" s="250">
        <f>IF(ISERROR(VLOOKUP($A56,'14-15 tariff'!$A:$F,5,FALSE)*(1+$AS$6)),"-",VLOOKUP($A56,'14-15 tariff'!$A:$F,5,FALSE)*(1+$AS$6))</f>
        <v>123</v>
      </c>
      <c r="AW56" s="250">
        <f>IF(ISERROR(VLOOKUP($A56,'14-15 tariff'!$A:$F,6,FALSE)*(1+$AS$6)),"-",VLOOKUP($A56,'14-15 tariff'!$A:$F,6,FALSE)*(1+$AS$6))</f>
        <v>160</v>
      </c>
      <c r="AX56" s="298"/>
      <c r="AY56" s="498" t="s">
        <v>522</v>
      </c>
      <c r="AZ56" s="499" t="s">
        <v>522</v>
      </c>
      <c r="BA56" s="499" t="s">
        <v>522</v>
      </c>
      <c r="BB56" s="499" t="s">
        <v>522</v>
      </c>
      <c r="BC56" s="339">
        <f t="shared" si="62"/>
        <v>220.71409720050241</v>
      </c>
      <c r="BD56" s="339">
        <f t="shared" si="63"/>
        <v>233.99042560055358</v>
      </c>
      <c r="BE56" s="339">
        <f t="shared" si="64"/>
        <v>134.24542629997754</v>
      </c>
      <c r="BF56" s="340">
        <f t="shared" si="65"/>
        <v>155.22950910448279</v>
      </c>
      <c r="BG56" s="265">
        <f t="shared" si="66"/>
        <v>-4.2387925000000104E-2</v>
      </c>
      <c r="BH56" s="265">
        <f t="shared" si="67"/>
        <v>-4.2387925000000104E-2</v>
      </c>
      <c r="BI56" s="265">
        <f t="shared" si="68"/>
        <v>-4.2387925000000215E-2</v>
      </c>
      <c r="BJ56" s="265">
        <f t="shared" si="69"/>
        <v>-4.2387925000000215E-2</v>
      </c>
      <c r="BK56" s="298"/>
      <c r="BL56" s="503">
        <f>'Price Adjustments'!$C$66</f>
        <v>-1.22128076562165E-2</v>
      </c>
      <c r="BM56" s="378">
        <f t="shared" si="70"/>
        <v>218.0185583843772</v>
      </c>
      <c r="BN56" s="378">
        <f t="shared" si="71"/>
        <v>231.13274553929779</v>
      </c>
      <c r="BO56" s="378">
        <f t="shared" si="72"/>
        <v>132.60591272984914</v>
      </c>
      <c r="BP56" s="506">
        <f t="shared" si="73"/>
        <v>153.33372096722084</v>
      </c>
      <c r="BQ56" s="298"/>
      <c r="BR56" s="618" t="str">
        <f>IF(COUNTIF('Manual adjustments'!$A:$A,A56)=1,"Y","")</f>
        <v/>
      </c>
      <c r="BS56" s="378">
        <f>IF($BR56="",BM56,IF(AND($BR56="Y",VLOOKUP($A56,'Manual adjustments'!$A:$O,12,FALSE)&lt;&gt;""),VLOOKUP($A56,'Manual adjustments'!$A:$O,12,FALSE),BM56))</f>
        <v>218.0185583843772</v>
      </c>
      <c r="BT56" s="378">
        <f>IF($BR56="",BN56,IF(AND($BR56="Y",VLOOKUP($A56,'Manual adjustments'!$A:$O,13,FALSE)&lt;&gt;""),VLOOKUP($A56,'Manual adjustments'!$A:$O,13,FALSE),BN56))</f>
        <v>231.13274553929779</v>
      </c>
      <c r="BU56" s="378">
        <f>IF($BR56="",BO56,IF(AND($BR56="Y",VLOOKUP($A56,'Manual adjustments'!$A:$O,14,FALSE)&lt;&gt;""),VLOOKUP($A56,'Manual adjustments'!$A:$O,14,FALSE),BO56))</f>
        <v>132.60591272984914</v>
      </c>
      <c r="BV56" s="378">
        <f>IF($BR56="",BP56,IF(AND($BR56="Y",VLOOKUP($A56,'Manual adjustments'!$A:$O,15,FALSE)&lt;&gt;""),VLOOKUP($A56,'Manual adjustments'!$A:$O,15,FALSE),BP56))</f>
        <v>153.33372096722084</v>
      </c>
      <c r="BW56" s="384">
        <f>'Price Adjustments'!$D$66</f>
        <v>0</v>
      </c>
      <c r="BX56" s="378">
        <f t="shared" si="34"/>
        <v>218.0185583843772</v>
      </c>
      <c r="BY56" s="378">
        <f t="shared" si="35"/>
        <v>231.13274553929779</v>
      </c>
      <c r="BZ56" s="378">
        <f t="shared" si="36"/>
        <v>132.60591272984914</v>
      </c>
      <c r="CA56" s="379">
        <f t="shared" si="37"/>
        <v>153.33372096722084</v>
      </c>
      <c r="CB56" s="615">
        <f t="shared" si="38"/>
        <v>0</v>
      </c>
      <c r="CC56" s="423">
        <f t="shared" si="39"/>
        <v>0</v>
      </c>
      <c r="CD56" s="423">
        <f t="shared" si="40"/>
        <v>0</v>
      </c>
      <c r="CE56" s="423">
        <f t="shared" si="41"/>
        <v>0</v>
      </c>
      <c r="CF56" s="298"/>
      <c r="CG56" s="388">
        <f t="shared" si="42"/>
        <v>218</v>
      </c>
      <c r="CH56" s="378">
        <f t="shared" si="43"/>
        <v>231</v>
      </c>
      <c r="CI56" s="378">
        <f t="shared" si="44"/>
        <v>133</v>
      </c>
      <c r="CJ56" s="379">
        <f t="shared" si="45"/>
        <v>153</v>
      </c>
      <c r="CM56" s="507"/>
      <c r="CN56" s="507"/>
      <c r="CO56" s="507"/>
      <c r="CP56" s="507"/>
    </row>
    <row r="57" spans="1:94" ht="16.5" customHeight="1">
      <c r="A57" s="296">
        <v>430</v>
      </c>
      <c r="B57" s="292" t="s">
        <v>33</v>
      </c>
      <c r="C57" s="293">
        <f>IF(ISERROR(VLOOKUP($A57,'Allocate OPROC cost'!A:M,11,FALSE)),"-",VLOOKUP($A57,'Allocate OPROC cost'!A:M,11,FALSE))</f>
        <v>231.09890184483697</v>
      </c>
      <c r="D57" s="140">
        <f>IF(ISERROR(VLOOKUP($A57,'Allocate OPROC cost'!A:M,10,FALSE)),"-",VLOOKUP($A57,'Allocate OPROC cost'!A:M,10,FALSE))</f>
        <v>190.29654719775962</v>
      </c>
      <c r="E57" s="140">
        <f>IF(ISERROR(VLOOKUP($A57,'Allocate OPROC cost'!A:M,13,FALSE)),"-",VLOOKUP($A57,'Allocate OPROC cost'!A:M,13,FALSE))</f>
        <v>158.59144253620519</v>
      </c>
      <c r="F57" s="294">
        <f>IF(ISERROR(VLOOKUP($A57,'Allocate OPROC cost'!A:M,12,FALSE)),"-",VLOOKUP($A57,'Allocate OPROC cost'!A:M,12,FALSE))</f>
        <v>141.2671317453873</v>
      </c>
      <c r="G57" s="298"/>
      <c r="H57" s="405">
        <f>IF(ISERROR(VLOOKUP($A57,'Allocate OPROC cost'!A:AO,39,FALSE)),"-",VLOOKUP($A57,'Allocate OPROC cost'!A:AO,39,FALSE))</f>
        <v>231.7197781379156</v>
      </c>
      <c r="I57" s="406">
        <f>IF(ISERROR(VLOOKUP($A57,'Allocate OPROC cost'!A:AO,38,FALSE)),"-",VLOOKUP($A57,'Allocate OPROC cost'!A:AO,38,FALSE))</f>
        <v>190.29654719775962</v>
      </c>
      <c r="J57" s="406">
        <f>IF(ISERROR(VLOOKUP($A57,'Allocate OPROC cost'!A:AO,41,FALSE)),"-",VLOOKUP($A57,'Allocate OPROC cost'!A:AO,41,FALSE))</f>
        <v>159.06565075101727</v>
      </c>
      <c r="K57" s="407">
        <f>IF(ISERROR(VLOOKUP($A57,'Allocate OPROC cost'!A:AO,40,FALSE)),"-",VLOOKUP($A57,'Allocate OPROC cost'!A:AO,40,FALSE))</f>
        <v>141.2671317453873</v>
      </c>
      <c r="L57" s="425">
        <f t="shared" si="46"/>
        <v>2.6866258910027696E-3</v>
      </c>
      <c r="M57" s="426">
        <f t="shared" si="47"/>
        <v>0</v>
      </c>
      <c r="N57" s="426">
        <f t="shared" si="48"/>
        <v>2.9901248593777741E-3</v>
      </c>
      <c r="O57" s="425">
        <f t="shared" si="49"/>
        <v>0</v>
      </c>
      <c r="P57" s="298"/>
      <c r="Q57" s="299">
        <f>IF(ISERROR(VLOOKUP($A57,'Front-loading'!$A:$AG,27,FALSE)),"-",VLOOKUP($A57,'Front-loading'!$A:$AG,27,FALSE))</f>
        <v>255.10767312415604</v>
      </c>
      <c r="R57" s="150">
        <f>IF(ISERROR(VLOOKUP($A57,'Front-loading'!$A:$AG,26,FALSE)),"-",VLOOKUP($A57,'Front-loading'!$A:$AG,26,FALSE))</f>
        <v>208.8612718465065</v>
      </c>
      <c r="S57" s="150">
        <f>IF(ISERROR(VLOOKUP($A57,'Front-loading'!$A:$AG,29,FALSE)),"-",VLOOKUP($A57,'Front-loading'!$A:$AG,29,FALSE))</f>
        <v>143.15908567591555</v>
      </c>
      <c r="T57" s="300">
        <f>IF(ISERROR(VLOOKUP($A57,'Front-loading'!$A:$AG,28,FALSE)),"-",VLOOKUP($A57,'Front-loading'!$A:$AG,28,FALSE))</f>
        <v>127.14041857084858</v>
      </c>
      <c r="U57" s="429">
        <f t="shared" si="50"/>
        <v>0.1009318029483024</v>
      </c>
      <c r="V57" s="430">
        <f t="shared" si="51"/>
        <v>9.7556812890851274E-2</v>
      </c>
      <c r="W57" s="430">
        <f t="shared" si="52"/>
        <v>-9.9999999999999978E-2</v>
      </c>
      <c r="X57" s="431">
        <f t="shared" si="53"/>
        <v>-9.9999999999999978E-2</v>
      </c>
      <c r="Y57" s="298"/>
      <c r="Z57" s="152">
        <f>IF(ISERROR(VLOOKUP($A57,'Further adjustment'!$A:$BC,53,FALSE)),"-",VLOOKUP($A57,'Further adjustment'!$A:$BC,53,FALSE))</f>
        <v>253.89312327032849</v>
      </c>
      <c r="AA57" s="152">
        <f>IF(ISERROR(VLOOKUP($A57,'Further adjustment'!$A:$BC,52,FALSE)),"-",VLOOKUP($A57,'Further adjustment'!$A:$BC,52,FALSE))</f>
        <v>253.89312327032849</v>
      </c>
      <c r="AB57" s="152">
        <f>IF(ISERROR(VLOOKUP($A57,'Further adjustment'!$A:$BC,55,FALSE)),"-",VLOOKUP($A57,'Further adjustment'!$A:$BC,55,FALSE))</f>
        <v>142.78202643122128</v>
      </c>
      <c r="AC57" s="412">
        <f>IF(ISERROR(VLOOKUP($A57,'Further adjustment'!$A:$BC,54,FALSE)),"-",VLOOKUP($A57,'Further adjustment'!$A:$BC,54,FALSE))</f>
        <v>142.78202643122128</v>
      </c>
      <c r="AD57" s="435">
        <f t="shared" si="54"/>
        <v>-4.7609303121056712E-3</v>
      </c>
      <c r="AE57" s="436">
        <f t="shared" si="55"/>
        <v>0.21560651731028524</v>
      </c>
      <c r="AF57" s="436">
        <f t="shared" si="56"/>
        <v>-2.633847812830048E-3</v>
      </c>
      <c r="AG57" s="436">
        <f t="shared" si="57"/>
        <v>0.12302624166410525</v>
      </c>
      <c r="AH57" s="298"/>
      <c r="AI57" s="347">
        <f>'Price Adjustments'!$H$7</f>
        <v>-4.2387925000000104E-2</v>
      </c>
      <c r="AJ57" s="467">
        <f>'Price Adjustments'!$G$91</f>
        <v>0</v>
      </c>
      <c r="AK57" s="352">
        <f t="shared" si="30"/>
        <v>243.13112060313003</v>
      </c>
      <c r="AL57" s="352">
        <f t="shared" si="31"/>
        <v>243.13112060313003</v>
      </c>
      <c r="AM57" s="352">
        <f t="shared" si="32"/>
        <v>136.72979260350664</v>
      </c>
      <c r="AN57" s="413">
        <f t="shared" si="33"/>
        <v>136.72979260350664</v>
      </c>
      <c r="AO57" s="439">
        <f t="shared" si="58"/>
        <v>-4.2387925000000104E-2</v>
      </c>
      <c r="AP57" s="440">
        <f t="shared" si="59"/>
        <v>-4.2387925000000104E-2</v>
      </c>
      <c r="AQ57" s="440">
        <f t="shared" si="60"/>
        <v>-4.2387925000000104E-2</v>
      </c>
      <c r="AR57" s="441">
        <f t="shared" si="61"/>
        <v>-4.2387925000000104E-2</v>
      </c>
      <c r="AS57" s="359">
        <f>'Price Adjustments'!$G$7</f>
        <v>0</v>
      </c>
      <c r="AT57" s="250">
        <f>IF(ISERROR(VLOOKUP($A57,'14-15 tariff'!$A:$F,3,FALSE)*(1+$AS$6)),"-",VLOOKUP($A57,'14-15 tariff'!$A:$F,3,FALSE)*(1+$AS$6))</f>
        <v>253</v>
      </c>
      <c r="AU57" s="250">
        <f>IF(ISERROR(VLOOKUP($A57,'14-15 tariff'!$A:$F,4,FALSE)*(1+$AS$6)),"-",VLOOKUP($A57,'14-15 tariff'!$A:$F,4,FALSE)*(1+$AS$6))</f>
        <v>253</v>
      </c>
      <c r="AV57" s="250">
        <f>IF(ISERROR(VLOOKUP($A57,'14-15 tariff'!$A:$F,5,FALSE)*(1+$AS$6)),"-",VLOOKUP($A57,'14-15 tariff'!$A:$F,5,FALSE)*(1+$AS$6))</f>
        <v>134</v>
      </c>
      <c r="AW57" s="250">
        <f>IF(ISERROR(VLOOKUP($A57,'14-15 tariff'!$A:$F,6,FALSE)*(1+$AS$6)),"-",VLOOKUP($A57,'14-15 tariff'!$A:$F,6,FALSE)*(1+$AS$6))</f>
        <v>134</v>
      </c>
      <c r="AX57" s="298"/>
      <c r="AY57" s="498" t="s">
        <v>522</v>
      </c>
      <c r="AZ57" s="499" t="s">
        <v>522</v>
      </c>
      <c r="BA57" s="499" t="s">
        <v>522</v>
      </c>
      <c r="BB57" s="499" t="s">
        <v>522</v>
      </c>
      <c r="BC57" s="339">
        <f t="shared" si="62"/>
        <v>243.13112060313003</v>
      </c>
      <c r="BD57" s="339">
        <f t="shared" si="63"/>
        <v>243.13112060313003</v>
      </c>
      <c r="BE57" s="339">
        <f t="shared" si="64"/>
        <v>136.72979260350664</v>
      </c>
      <c r="BF57" s="340">
        <f t="shared" si="65"/>
        <v>136.72979260350664</v>
      </c>
      <c r="BG57" s="265">
        <f t="shared" si="66"/>
        <v>-4.2387925000000104E-2</v>
      </c>
      <c r="BH57" s="265">
        <f t="shared" si="67"/>
        <v>-4.2387925000000104E-2</v>
      </c>
      <c r="BI57" s="265">
        <f t="shared" si="68"/>
        <v>-4.2387925000000104E-2</v>
      </c>
      <c r="BJ57" s="265">
        <f t="shared" si="69"/>
        <v>-4.2387925000000104E-2</v>
      </c>
      <c r="BK57" s="298"/>
      <c r="BL57" s="503">
        <f>'Price Adjustments'!$C$66</f>
        <v>-1.22128076562165E-2</v>
      </c>
      <c r="BM57" s="378">
        <f t="shared" si="70"/>
        <v>240.16180699196363</v>
      </c>
      <c r="BN57" s="378">
        <f t="shared" si="71"/>
        <v>240.16180699196363</v>
      </c>
      <c r="BO57" s="378">
        <f t="shared" si="72"/>
        <v>135.05993794556565</v>
      </c>
      <c r="BP57" s="506">
        <f t="shared" si="73"/>
        <v>135.05993794556565</v>
      </c>
      <c r="BQ57" s="298"/>
      <c r="BR57" s="618" t="str">
        <f>IF(COUNTIF('Manual adjustments'!$A:$A,A57)=1,"Y","")</f>
        <v/>
      </c>
      <c r="BS57" s="378">
        <f>IF($BR57="",BM57,IF(AND($BR57="Y",VLOOKUP($A57,'Manual adjustments'!$A:$O,12,FALSE)&lt;&gt;""),VLOOKUP($A57,'Manual adjustments'!$A:$O,12,FALSE),BM57))</f>
        <v>240.16180699196363</v>
      </c>
      <c r="BT57" s="378">
        <f>IF($BR57="",BN57,IF(AND($BR57="Y",VLOOKUP($A57,'Manual adjustments'!$A:$O,13,FALSE)&lt;&gt;""),VLOOKUP($A57,'Manual adjustments'!$A:$O,13,FALSE),BN57))</f>
        <v>240.16180699196363</v>
      </c>
      <c r="BU57" s="378">
        <f>IF($BR57="",BO57,IF(AND($BR57="Y",VLOOKUP($A57,'Manual adjustments'!$A:$O,14,FALSE)&lt;&gt;""),VLOOKUP($A57,'Manual adjustments'!$A:$O,14,FALSE),BO57))</f>
        <v>135.05993794556565</v>
      </c>
      <c r="BV57" s="378">
        <f>IF($BR57="",BP57,IF(AND($BR57="Y",VLOOKUP($A57,'Manual adjustments'!$A:$O,15,FALSE)&lt;&gt;""),VLOOKUP($A57,'Manual adjustments'!$A:$O,15,FALSE),BP57))</f>
        <v>135.05993794556565</v>
      </c>
      <c r="BW57" s="384">
        <f>'Price Adjustments'!$D$66</f>
        <v>0</v>
      </c>
      <c r="BX57" s="378">
        <f t="shared" si="34"/>
        <v>240.16180699196363</v>
      </c>
      <c r="BY57" s="378">
        <f t="shared" si="35"/>
        <v>240.16180699196363</v>
      </c>
      <c r="BZ57" s="378">
        <f t="shared" si="36"/>
        <v>135.05993794556565</v>
      </c>
      <c r="CA57" s="379">
        <f t="shared" si="37"/>
        <v>135.05993794556565</v>
      </c>
      <c r="CB57" s="615">
        <f t="shared" si="38"/>
        <v>0</v>
      </c>
      <c r="CC57" s="423">
        <f t="shared" si="39"/>
        <v>0</v>
      </c>
      <c r="CD57" s="423">
        <f t="shared" si="40"/>
        <v>0</v>
      </c>
      <c r="CE57" s="423">
        <f t="shared" si="41"/>
        <v>0</v>
      </c>
      <c r="CF57" s="298"/>
      <c r="CG57" s="388">
        <f t="shared" si="42"/>
        <v>240</v>
      </c>
      <c r="CH57" s="378">
        <f t="shared" si="43"/>
        <v>240</v>
      </c>
      <c r="CI57" s="378">
        <f t="shared" si="44"/>
        <v>135</v>
      </c>
      <c r="CJ57" s="379">
        <f t="shared" si="45"/>
        <v>135</v>
      </c>
      <c r="CM57" s="507"/>
      <c r="CN57" s="507"/>
      <c r="CO57" s="507"/>
      <c r="CP57" s="507"/>
    </row>
    <row r="58" spans="1:94" ht="16.5" customHeight="1">
      <c r="A58" s="296">
        <v>502</v>
      </c>
      <c r="B58" s="292" t="s">
        <v>34</v>
      </c>
      <c r="C58" s="293">
        <f>IF(ISERROR(VLOOKUP($A58,'Allocate OPROC cost'!A:M,11,FALSE)),"-",VLOOKUP($A58,'Allocate OPROC cost'!A:M,11,FALSE))</f>
        <v>133.65843367219108</v>
      </c>
      <c r="D58" s="140">
        <f>IF(ISERROR(VLOOKUP($A58,'Allocate OPROC cost'!A:M,10,FALSE)),"-",VLOOKUP($A58,'Allocate OPROC cost'!A:M,10,FALSE))</f>
        <v>142.97513489303552</v>
      </c>
      <c r="E58" s="140">
        <f>IF(ISERROR(VLOOKUP($A58,'Allocate OPROC cost'!A:M,13,FALSE)),"-",VLOOKUP($A58,'Allocate OPROC cost'!A:M,13,FALSE))</f>
        <v>102.53777936544378</v>
      </c>
      <c r="F58" s="294">
        <f>IF(ISERROR(VLOOKUP($A58,'Allocate OPROC cost'!A:M,12,FALSE)),"-",VLOOKUP($A58,'Allocate OPROC cost'!A:M,12,FALSE))</f>
        <v>121.57483297480697</v>
      </c>
      <c r="G58" s="298"/>
      <c r="H58" s="405">
        <f>IF(ISERROR(VLOOKUP($A58,'Allocate OPROC cost'!A:AO,39,FALSE)),"-",VLOOKUP($A58,'Allocate OPROC cost'!A:AO,39,FALSE))</f>
        <v>130.8528523316175</v>
      </c>
      <c r="I58" s="406">
        <f>IF(ISERROR(VLOOKUP($A58,'Allocate OPROC cost'!A:AO,38,FALSE)),"-",VLOOKUP($A58,'Allocate OPROC cost'!A:AO,38,FALSE))</f>
        <v>142.97513489303552</v>
      </c>
      <c r="J58" s="406">
        <f>IF(ISERROR(VLOOKUP($A58,'Allocate OPROC cost'!A:AO,41,FALSE)),"-",VLOOKUP($A58,'Allocate OPROC cost'!A:AO,41,FALSE))</f>
        <v>102.84891629372773</v>
      </c>
      <c r="K58" s="407">
        <f>IF(ISERROR(VLOOKUP($A58,'Allocate OPROC cost'!A:AO,40,FALSE)),"-",VLOOKUP($A58,'Allocate OPROC cost'!A:AO,40,FALSE))</f>
        <v>121.57483297480697</v>
      </c>
      <c r="L58" s="425">
        <f t="shared" si="46"/>
        <v>-2.0990679476721286E-2</v>
      </c>
      <c r="M58" s="426">
        <f t="shared" si="47"/>
        <v>0</v>
      </c>
      <c r="N58" s="426">
        <f t="shared" si="48"/>
        <v>3.0343638238454762E-3</v>
      </c>
      <c r="O58" s="425">
        <f t="shared" si="49"/>
        <v>0</v>
      </c>
      <c r="P58" s="298"/>
      <c r="Q58" s="299">
        <f>IF(ISERROR(VLOOKUP($A58,'Front-loading'!$A:$AG,27,FALSE)),"-",VLOOKUP($A58,'Front-loading'!$A:$AG,27,FALSE))</f>
        <v>143.40741980698905</v>
      </c>
      <c r="R58" s="150">
        <f>IF(ISERROR(VLOOKUP($A58,'Front-loading'!$A:$AG,26,FALSE)),"-",VLOOKUP($A58,'Front-loading'!$A:$AG,26,FALSE))</f>
        <v>156.27613497420967</v>
      </c>
      <c r="S58" s="150">
        <f>IF(ISERROR(VLOOKUP($A58,'Front-loading'!$A:$AG,29,FALSE)),"-",VLOOKUP($A58,'Front-loading'!$A:$AG,29,FALSE))</f>
        <v>92.56402466435496</v>
      </c>
      <c r="T58" s="300">
        <f>IF(ISERROR(VLOOKUP($A58,'Front-loading'!$A:$AG,28,FALSE)),"-",VLOOKUP($A58,'Front-loading'!$A:$AG,28,FALSE))</f>
        <v>109.41734967732626</v>
      </c>
      <c r="U58" s="429">
        <f t="shared" si="50"/>
        <v>9.5944163628583379E-2</v>
      </c>
      <c r="V58" s="430">
        <f t="shared" si="51"/>
        <v>9.3030162840028519E-2</v>
      </c>
      <c r="W58" s="430">
        <f t="shared" si="52"/>
        <v>-9.9999999999999978E-2</v>
      </c>
      <c r="X58" s="431">
        <f t="shared" si="53"/>
        <v>-0.10000000000000009</v>
      </c>
      <c r="Y58" s="298"/>
      <c r="Z58" s="152">
        <f>IF(ISERROR(VLOOKUP($A58,'Further adjustment'!$A:$BC,53,FALSE)),"-",VLOOKUP($A58,'Further adjustment'!$A:$BC,53,FALSE))</f>
        <v>143.40741980698905</v>
      </c>
      <c r="AA58" s="152">
        <f>IF(ISERROR(VLOOKUP($A58,'Further adjustment'!$A:$BC,52,FALSE)),"-",VLOOKUP($A58,'Further adjustment'!$A:$BC,52,FALSE))</f>
        <v>156.27613497420967</v>
      </c>
      <c r="AB58" s="152">
        <f>IF(ISERROR(VLOOKUP($A58,'Further adjustment'!$A:$BC,55,FALSE)),"-",VLOOKUP($A58,'Further adjustment'!$A:$BC,55,FALSE))</f>
        <v>92.56402466435496</v>
      </c>
      <c r="AC58" s="412">
        <f>IF(ISERROR(VLOOKUP($A58,'Further adjustment'!$A:$BC,54,FALSE)),"-",VLOOKUP($A58,'Further adjustment'!$A:$BC,54,FALSE))</f>
        <v>109.41734967732626</v>
      </c>
      <c r="AD58" s="435">
        <f t="shared" si="54"/>
        <v>0</v>
      </c>
      <c r="AE58" s="436">
        <f t="shared" si="55"/>
        <v>0</v>
      </c>
      <c r="AF58" s="436">
        <f t="shared" si="56"/>
        <v>0</v>
      </c>
      <c r="AG58" s="436">
        <f t="shared" si="57"/>
        <v>0</v>
      </c>
      <c r="AH58" s="298"/>
      <c r="AI58" s="347">
        <f>'Price Adjustments'!$H$7</f>
        <v>-4.2387925000000104E-2</v>
      </c>
      <c r="AJ58" s="467">
        <f>'Price Adjustments'!$G$91</f>
        <v>0</v>
      </c>
      <c r="AK58" s="352">
        <f t="shared" si="30"/>
        <v>137.32867685176689</v>
      </c>
      <c r="AL58" s="352">
        <f t="shared" si="31"/>
        <v>149.65191388563298</v>
      </c>
      <c r="AM58" s="352">
        <f t="shared" si="32"/>
        <v>88.640427729184125</v>
      </c>
      <c r="AN58" s="413">
        <f t="shared" si="33"/>
        <v>104.77937526550497</v>
      </c>
      <c r="AO58" s="439">
        <f t="shared" si="58"/>
        <v>-4.2387924999999993E-2</v>
      </c>
      <c r="AP58" s="440">
        <f t="shared" si="59"/>
        <v>-4.2387925000000104E-2</v>
      </c>
      <c r="AQ58" s="440">
        <f t="shared" si="60"/>
        <v>-4.2387925000000104E-2</v>
      </c>
      <c r="AR58" s="441">
        <f t="shared" si="61"/>
        <v>-4.2387925000000104E-2</v>
      </c>
      <c r="AS58" s="359">
        <f>'Price Adjustments'!$G$7</f>
        <v>0</v>
      </c>
      <c r="AT58" s="250">
        <f>IF(ISERROR(VLOOKUP($A58,'14-15 tariff'!$A:$F,3,FALSE)*(1+$AS$6)),"-",VLOOKUP($A58,'14-15 tariff'!$A:$F,3,FALSE)*(1+$AS$6))</f>
        <v>131</v>
      </c>
      <c r="AU58" s="250">
        <f>IF(ISERROR(VLOOKUP($A58,'14-15 tariff'!$A:$F,4,FALSE)*(1+$AS$6)),"-",VLOOKUP($A58,'14-15 tariff'!$A:$F,4,FALSE)*(1+$AS$6))</f>
        <v>131</v>
      </c>
      <c r="AV58" s="250">
        <f>IF(ISERROR(VLOOKUP($A58,'14-15 tariff'!$A:$F,5,FALSE)*(1+$AS$6)),"-",VLOOKUP($A58,'14-15 tariff'!$A:$F,5,FALSE)*(1+$AS$6))</f>
        <v>80</v>
      </c>
      <c r="AW58" s="250">
        <f>IF(ISERROR(VLOOKUP($A58,'14-15 tariff'!$A:$F,6,FALSE)*(1+$AS$6)),"-",VLOOKUP($A58,'14-15 tariff'!$A:$F,6,FALSE)*(1+$AS$6))</f>
        <v>99</v>
      </c>
      <c r="AX58" s="298"/>
      <c r="AY58" s="498" t="s">
        <v>522</v>
      </c>
      <c r="AZ58" s="499" t="s">
        <v>522</v>
      </c>
      <c r="BA58" s="499" t="s">
        <v>522</v>
      </c>
      <c r="BB58" s="499" t="s">
        <v>522</v>
      </c>
      <c r="BC58" s="339">
        <f t="shared" si="62"/>
        <v>137.32867685176689</v>
      </c>
      <c r="BD58" s="339">
        <f t="shared" si="63"/>
        <v>149.65191388563298</v>
      </c>
      <c r="BE58" s="339">
        <f t="shared" si="64"/>
        <v>88.640427729184125</v>
      </c>
      <c r="BF58" s="340">
        <f t="shared" si="65"/>
        <v>104.77937526550497</v>
      </c>
      <c r="BG58" s="265">
        <f t="shared" si="66"/>
        <v>-4.2387924999999993E-2</v>
      </c>
      <c r="BH58" s="265">
        <f t="shared" si="67"/>
        <v>-4.2387925000000104E-2</v>
      </c>
      <c r="BI58" s="265">
        <f t="shared" si="68"/>
        <v>-4.2387925000000104E-2</v>
      </c>
      <c r="BJ58" s="265">
        <f t="shared" si="69"/>
        <v>-4.2387925000000104E-2</v>
      </c>
      <c r="BK58" s="298"/>
      <c r="BL58" s="503">
        <f>'Price Adjustments'!$C$66</f>
        <v>-1.22128076562165E-2</v>
      </c>
      <c r="BM58" s="378">
        <f t="shared" si="70"/>
        <v>135.65150813569355</v>
      </c>
      <c r="BN58" s="378">
        <f t="shared" si="71"/>
        <v>147.82424384596308</v>
      </c>
      <c r="BO58" s="378">
        <f t="shared" si="72"/>
        <v>87.557879234762837</v>
      </c>
      <c r="BP58" s="506">
        <f t="shared" si="73"/>
        <v>103.49972490904884</v>
      </c>
      <c r="BQ58" s="298"/>
      <c r="BR58" s="618" t="str">
        <f>IF(COUNTIF('Manual adjustments'!$A:$A,A58)=1,"Y","")</f>
        <v/>
      </c>
      <c r="BS58" s="378">
        <f>IF($BR58="",BM58,IF(AND($BR58="Y",VLOOKUP($A58,'Manual adjustments'!$A:$O,12,FALSE)&lt;&gt;""),VLOOKUP($A58,'Manual adjustments'!$A:$O,12,FALSE),BM58))</f>
        <v>135.65150813569355</v>
      </c>
      <c r="BT58" s="378">
        <f>IF($BR58="",BN58,IF(AND($BR58="Y",VLOOKUP($A58,'Manual adjustments'!$A:$O,13,FALSE)&lt;&gt;""),VLOOKUP($A58,'Manual adjustments'!$A:$O,13,FALSE),BN58))</f>
        <v>147.82424384596308</v>
      </c>
      <c r="BU58" s="378">
        <f>IF($BR58="",BO58,IF(AND($BR58="Y",VLOOKUP($A58,'Manual adjustments'!$A:$O,14,FALSE)&lt;&gt;""),VLOOKUP($A58,'Manual adjustments'!$A:$O,14,FALSE),BO58))</f>
        <v>87.557879234762837</v>
      </c>
      <c r="BV58" s="378">
        <f>IF($BR58="",BP58,IF(AND($BR58="Y",VLOOKUP($A58,'Manual adjustments'!$A:$O,15,FALSE)&lt;&gt;""),VLOOKUP($A58,'Manual adjustments'!$A:$O,15,FALSE),BP58))</f>
        <v>103.49972490904884</v>
      </c>
      <c r="BW58" s="384">
        <f>'Price Adjustments'!$D$66</f>
        <v>0</v>
      </c>
      <c r="BX58" s="378">
        <f t="shared" si="34"/>
        <v>135.65150813569355</v>
      </c>
      <c r="BY58" s="378">
        <f t="shared" si="35"/>
        <v>147.82424384596308</v>
      </c>
      <c r="BZ58" s="378">
        <f t="shared" si="36"/>
        <v>87.557879234762837</v>
      </c>
      <c r="CA58" s="379">
        <f t="shared" si="37"/>
        <v>103.49972490904884</v>
      </c>
      <c r="CB58" s="615">
        <f t="shared" si="38"/>
        <v>0</v>
      </c>
      <c r="CC58" s="423">
        <f t="shared" si="39"/>
        <v>0</v>
      </c>
      <c r="CD58" s="423">
        <f t="shared" si="40"/>
        <v>0</v>
      </c>
      <c r="CE58" s="423">
        <f t="shared" si="41"/>
        <v>0</v>
      </c>
      <c r="CF58" s="298"/>
      <c r="CG58" s="388">
        <f t="shared" si="42"/>
        <v>136</v>
      </c>
      <c r="CH58" s="378">
        <f t="shared" si="43"/>
        <v>148</v>
      </c>
      <c r="CI58" s="378">
        <f t="shared" si="44"/>
        <v>88</v>
      </c>
      <c r="CJ58" s="379">
        <f t="shared" si="45"/>
        <v>103</v>
      </c>
      <c r="CM58" s="507"/>
      <c r="CN58" s="507"/>
      <c r="CO58" s="507"/>
      <c r="CP58" s="507"/>
    </row>
    <row r="59" spans="1:94" ht="16.5" customHeight="1">
      <c r="A59" s="296">
        <v>503</v>
      </c>
      <c r="B59" s="292" t="s">
        <v>35</v>
      </c>
      <c r="C59" s="293">
        <f>IF(ISERROR(VLOOKUP($A59,'Allocate OPROC cost'!A:M,11,FALSE)),"-",VLOOKUP($A59,'Allocate OPROC cost'!A:M,11,FALSE))</f>
        <v>143.83878567356186</v>
      </c>
      <c r="D59" s="140">
        <f>IF(ISERROR(VLOOKUP($A59,'Allocate OPROC cost'!A:M,10,FALSE)),"-",VLOOKUP($A59,'Allocate OPROC cost'!A:M,10,FALSE))</f>
        <v>168.24522460911331</v>
      </c>
      <c r="E59" s="140">
        <f>IF(ISERROR(VLOOKUP($A59,'Allocate OPROC cost'!A:M,13,FALSE)),"-",VLOOKUP($A59,'Allocate OPROC cost'!A:M,13,FALSE))</f>
        <v>110.0756030284462</v>
      </c>
      <c r="F59" s="294">
        <f>IF(ISERROR(VLOOKUP($A59,'Allocate OPROC cost'!A:M,12,FALSE)),"-",VLOOKUP($A59,'Allocate OPROC cost'!A:M,12,FALSE))</f>
        <v>125.01327377479625</v>
      </c>
      <c r="G59" s="298"/>
      <c r="H59" s="405">
        <f>IF(ISERROR(VLOOKUP($A59,'Allocate OPROC cost'!A:AO,39,FALSE)),"-",VLOOKUP($A59,'Allocate OPROC cost'!A:AO,39,FALSE))</f>
        <v>143.84667496065319</v>
      </c>
      <c r="I59" s="406">
        <f>IF(ISERROR(VLOOKUP($A59,'Allocate OPROC cost'!A:AO,38,FALSE)),"-",VLOOKUP($A59,'Allocate OPROC cost'!A:AO,38,FALSE))</f>
        <v>168.24522460911331</v>
      </c>
      <c r="J59" s="406">
        <f>IF(ISERROR(VLOOKUP($A59,'Allocate OPROC cost'!A:AO,41,FALSE)),"-",VLOOKUP($A59,'Allocate OPROC cost'!A:AO,41,FALSE))</f>
        <v>110.20132572541729</v>
      </c>
      <c r="K59" s="407">
        <f>IF(ISERROR(VLOOKUP($A59,'Allocate OPROC cost'!A:AO,40,FALSE)),"-",VLOOKUP($A59,'Allocate OPROC cost'!A:AO,40,FALSE))</f>
        <v>125.01327377479625</v>
      </c>
      <c r="L59" s="425">
        <f t="shared" si="46"/>
        <v>5.4848120792927446E-5</v>
      </c>
      <c r="M59" s="426">
        <f t="shared" si="47"/>
        <v>0</v>
      </c>
      <c r="N59" s="426">
        <f t="shared" si="48"/>
        <v>1.1421486097933364E-3</v>
      </c>
      <c r="O59" s="425">
        <f t="shared" si="49"/>
        <v>0</v>
      </c>
      <c r="P59" s="298"/>
      <c r="Q59" s="299">
        <f>IF(ISERROR(VLOOKUP($A59,'Front-loading'!$A:$AG,27,FALSE)),"-",VLOOKUP($A59,'Front-loading'!$A:$AG,27,FALSE))</f>
        <v>166.08191649942395</v>
      </c>
      <c r="R59" s="150">
        <f>IF(ISERROR(VLOOKUP($A59,'Front-loading'!$A:$AG,26,FALSE)),"-",VLOOKUP($A59,'Front-loading'!$A:$AG,26,FALSE))</f>
        <v>210.61278494880199</v>
      </c>
      <c r="S59" s="150">
        <f>IF(ISERROR(VLOOKUP($A59,'Front-loading'!$A:$AG,29,FALSE)),"-",VLOOKUP($A59,'Front-loading'!$A:$AG,29,FALSE))</f>
        <v>99.181193152875579</v>
      </c>
      <c r="T59" s="300">
        <f>IF(ISERROR(VLOOKUP($A59,'Front-loading'!$A:$AG,28,FALSE)),"-",VLOOKUP($A59,'Front-loading'!$A:$AG,28,FALSE))</f>
        <v>112.51194639731663</v>
      </c>
      <c r="U59" s="429">
        <f t="shared" si="50"/>
        <v>0.15457598547100826</v>
      </c>
      <c r="V59" s="430">
        <f t="shared" si="51"/>
        <v>0.25182028457640859</v>
      </c>
      <c r="W59" s="430">
        <f t="shared" si="52"/>
        <v>-9.9999999999999867E-2</v>
      </c>
      <c r="X59" s="431">
        <f t="shared" si="53"/>
        <v>-9.9999999999999867E-2</v>
      </c>
      <c r="Y59" s="298"/>
      <c r="Z59" s="152">
        <f>IF(ISERROR(VLOOKUP($A59,'Further adjustment'!$A:$BC,53,FALSE)),"-",VLOOKUP($A59,'Further adjustment'!$A:$BC,53,FALSE))</f>
        <v>166.08191649942395</v>
      </c>
      <c r="AA59" s="152">
        <f>IF(ISERROR(VLOOKUP($A59,'Further adjustment'!$A:$BC,52,FALSE)),"-",VLOOKUP($A59,'Further adjustment'!$A:$BC,52,FALSE))</f>
        <v>210.61278494880199</v>
      </c>
      <c r="AB59" s="152">
        <f>IF(ISERROR(VLOOKUP($A59,'Further adjustment'!$A:$BC,55,FALSE)),"-",VLOOKUP($A59,'Further adjustment'!$A:$BC,55,FALSE))</f>
        <v>99.181193152875579</v>
      </c>
      <c r="AC59" s="412">
        <f>IF(ISERROR(VLOOKUP($A59,'Further adjustment'!$A:$BC,54,FALSE)),"-",VLOOKUP($A59,'Further adjustment'!$A:$BC,54,FALSE))</f>
        <v>112.51194639731663</v>
      </c>
      <c r="AD59" s="435">
        <f t="shared" si="54"/>
        <v>0</v>
      </c>
      <c r="AE59" s="436">
        <f t="shared" si="55"/>
        <v>0</v>
      </c>
      <c r="AF59" s="436">
        <f t="shared" si="56"/>
        <v>0</v>
      </c>
      <c r="AG59" s="436">
        <f t="shared" si="57"/>
        <v>0</v>
      </c>
      <c r="AH59" s="298"/>
      <c r="AI59" s="347">
        <f>'Price Adjustments'!$H$7</f>
        <v>-4.2387925000000104E-2</v>
      </c>
      <c r="AJ59" s="467">
        <f>'Price Adjustments'!$G$91</f>
        <v>0</v>
      </c>
      <c r="AK59" s="352">
        <f t="shared" si="30"/>
        <v>159.04204867899008</v>
      </c>
      <c r="AL59" s="352">
        <f t="shared" si="31"/>
        <v>201.68534601635102</v>
      </c>
      <c r="AM59" s="352">
        <f t="shared" si="32"/>
        <v>94.97710817610097</v>
      </c>
      <c r="AN59" s="413">
        <f t="shared" si="33"/>
        <v>107.74279845182315</v>
      </c>
      <c r="AO59" s="439">
        <f t="shared" si="58"/>
        <v>-4.2387925000000104E-2</v>
      </c>
      <c r="AP59" s="440">
        <f t="shared" si="59"/>
        <v>-4.2387925000000104E-2</v>
      </c>
      <c r="AQ59" s="440">
        <f t="shared" si="60"/>
        <v>-4.2387925000000104E-2</v>
      </c>
      <c r="AR59" s="441">
        <f t="shared" si="61"/>
        <v>-4.2387925000000104E-2</v>
      </c>
      <c r="AS59" s="359">
        <f>'Price Adjustments'!$G$7</f>
        <v>0</v>
      </c>
      <c r="AT59" s="250">
        <f>IF(ISERROR(VLOOKUP($A59,'14-15 tariff'!$A:$F,3,FALSE)*(1+$AS$6)),"-",VLOOKUP($A59,'14-15 tariff'!$A:$F,3,FALSE)*(1+$AS$6))</f>
        <v>152</v>
      </c>
      <c r="AU59" s="250">
        <f>IF(ISERROR(VLOOKUP($A59,'14-15 tariff'!$A:$F,4,FALSE)*(1+$AS$6)),"-",VLOOKUP($A59,'14-15 tariff'!$A:$F,4,FALSE)*(1+$AS$6))</f>
        <v>287</v>
      </c>
      <c r="AV59" s="250">
        <f>IF(ISERROR(VLOOKUP($A59,'14-15 tariff'!$A:$F,5,FALSE)*(1+$AS$6)),"-",VLOOKUP($A59,'14-15 tariff'!$A:$F,5,FALSE)*(1+$AS$6))</f>
        <v>88</v>
      </c>
      <c r="AW59" s="250">
        <f>IF(ISERROR(VLOOKUP($A59,'14-15 tariff'!$A:$F,6,FALSE)*(1+$AS$6)),"-",VLOOKUP($A59,'14-15 tariff'!$A:$F,6,FALSE)*(1+$AS$6))</f>
        <v>130</v>
      </c>
      <c r="AX59" s="298"/>
      <c r="AY59" s="498" t="s">
        <v>522</v>
      </c>
      <c r="AZ59" s="499" t="s">
        <v>522</v>
      </c>
      <c r="BA59" s="499" t="s">
        <v>522</v>
      </c>
      <c r="BB59" s="499" t="s">
        <v>522</v>
      </c>
      <c r="BC59" s="339">
        <f t="shared" si="62"/>
        <v>159.04204867899008</v>
      </c>
      <c r="BD59" s="339">
        <f t="shared" si="63"/>
        <v>201.68534601635102</v>
      </c>
      <c r="BE59" s="339">
        <f t="shared" si="64"/>
        <v>94.97710817610097</v>
      </c>
      <c r="BF59" s="340">
        <f t="shared" si="65"/>
        <v>107.74279845182315</v>
      </c>
      <c r="BG59" s="265">
        <f t="shared" si="66"/>
        <v>-4.2387925000000104E-2</v>
      </c>
      <c r="BH59" s="265">
        <f t="shared" si="67"/>
        <v>-4.2387925000000104E-2</v>
      </c>
      <c r="BI59" s="265">
        <f t="shared" si="68"/>
        <v>-4.2387925000000104E-2</v>
      </c>
      <c r="BJ59" s="265">
        <f t="shared" si="69"/>
        <v>-4.2387925000000104E-2</v>
      </c>
      <c r="BK59" s="298"/>
      <c r="BL59" s="503">
        <f>'Price Adjustments'!$C$66</f>
        <v>-1.22128076562165E-2</v>
      </c>
      <c r="BM59" s="378">
        <f t="shared" si="70"/>
        <v>157.09969872922295</v>
      </c>
      <c r="BN59" s="378">
        <f t="shared" si="71"/>
        <v>199.22220167837585</v>
      </c>
      <c r="BO59" s="378">
        <f t="shared" si="72"/>
        <v>93.817171022202587</v>
      </c>
      <c r="BP59" s="506">
        <f t="shared" si="73"/>
        <v>106.42695637798853</v>
      </c>
      <c r="BQ59" s="298"/>
      <c r="BR59" s="618" t="str">
        <f>IF(COUNTIF('Manual adjustments'!$A:$A,A59)=1,"Y","")</f>
        <v/>
      </c>
      <c r="BS59" s="378">
        <f>IF($BR59="",BM59,IF(AND($BR59="Y",VLOOKUP($A59,'Manual adjustments'!$A:$O,12,FALSE)&lt;&gt;""),VLOOKUP($A59,'Manual adjustments'!$A:$O,12,FALSE),BM59))</f>
        <v>157.09969872922295</v>
      </c>
      <c r="BT59" s="378">
        <f>IF($BR59="",BN59,IF(AND($BR59="Y",VLOOKUP($A59,'Manual adjustments'!$A:$O,13,FALSE)&lt;&gt;""),VLOOKUP($A59,'Manual adjustments'!$A:$O,13,FALSE),BN59))</f>
        <v>199.22220167837585</v>
      </c>
      <c r="BU59" s="378">
        <f>IF($BR59="",BO59,IF(AND($BR59="Y",VLOOKUP($A59,'Manual adjustments'!$A:$O,14,FALSE)&lt;&gt;""),VLOOKUP($A59,'Manual adjustments'!$A:$O,14,FALSE),BO59))</f>
        <v>93.817171022202587</v>
      </c>
      <c r="BV59" s="378">
        <f>IF($BR59="",BP59,IF(AND($BR59="Y",VLOOKUP($A59,'Manual adjustments'!$A:$O,15,FALSE)&lt;&gt;""),VLOOKUP($A59,'Manual adjustments'!$A:$O,15,FALSE),BP59))</f>
        <v>106.42695637798853</v>
      </c>
      <c r="BW59" s="384">
        <f>'Price Adjustments'!$D$66</f>
        <v>0</v>
      </c>
      <c r="BX59" s="378">
        <f t="shared" si="34"/>
        <v>157.09969872922295</v>
      </c>
      <c r="BY59" s="378">
        <f t="shared" si="35"/>
        <v>199.22220167837585</v>
      </c>
      <c r="BZ59" s="378">
        <f t="shared" si="36"/>
        <v>93.817171022202587</v>
      </c>
      <c r="CA59" s="379">
        <f t="shared" si="37"/>
        <v>106.42695637798853</v>
      </c>
      <c r="CB59" s="615">
        <f t="shared" si="38"/>
        <v>0</v>
      </c>
      <c r="CC59" s="423">
        <f t="shared" si="39"/>
        <v>0</v>
      </c>
      <c r="CD59" s="423">
        <f t="shared" si="40"/>
        <v>0</v>
      </c>
      <c r="CE59" s="423">
        <f t="shared" si="41"/>
        <v>0</v>
      </c>
      <c r="CF59" s="298"/>
      <c r="CG59" s="388">
        <f t="shared" si="42"/>
        <v>157</v>
      </c>
      <c r="CH59" s="378">
        <f t="shared" si="43"/>
        <v>199</v>
      </c>
      <c r="CI59" s="378">
        <f t="shared" si="44"/>
        <v>94</v>
      </c>
      <c r="CJ59" s="379">
        <f t="shared" si="45"/>
        <v>106</v>
      </c>
      <c r="CM59" s="507"/>
      <c r="CN59" s="507"/>
      <c r="CO59" s="507"/>
      <c r="CP59" s="507"/>
    </row>
    <row r="60" spans="1:94" ht="16.5" customHeight="1">
      <c r="A60" s="296">
        <v>800</v>
      </c>
      <c r="B60" s="292" t="s">
        <v>36</v>
      </c>
      <c r="C60" s="293">
        <f>IF(ISERROR(VLOOKUP($A60,'Allocate OPROC cost'!A:M,11,FALSE)),"-",VLOOKUP($A60,'Allocate OPROC cost'!A:M,11,FALSE))</f>
        <v>148.60376893772505</v>
      </c>
      <c r="D60" s="140">
        <f>IF(ISERROR(VLOOKUP($A60,'Allocate OPROC cost'!A:M,10,FALSE)),"-",VLOOKUP($A60,'Allocate OPROC cost'!A:M,10,FALSE))</f>
        <v>118.3683543973287</v>
      </c>
      <c r="E60" s="140">
        <f>IF(ISERROR(VLOOKUP($A60,'Allocate OPROC cost'!A:M,13,FALSE)),"-",VLOOKUP($A60,'Allocate OPROC cost'!A:M,13,FALSE))</f>
        <v>105.08036961167018</v>
      </c>
      <c r="F60" s="294">
        <f>IF(ISERROR(VLOOKUP($A60,'Allocate OPROC cost'!A:M,12,FALSE)),"-",VLOOKUP($A60,'Allocate OPROC cost'!A:M,12,FALSE))</f>
        <v>91.962893588143572</v>
      </c>
      <c r="G60" s="298"/>
      <c r="H60" s="405">
        <f>IF(ISERROR(VLOOKUP($A60,'Allocate OPROC cost'!A:AO,39,FALSE)),"-",VLOOKUP($A60,'Allocate OPROC cost'!A:AO,39,FALSE))</f>
        <v>148.47494972502159</v>
      </c>
      <c r="I60" s="406">
        <f>IF(ISERROR(VLOOKUP($A60,'Allocate OPROC cost'!A:AO,38,FALSE)),"-",VLOOKUP($A60,'Allocate OPROC cost'!A:AO,38,FALSE))</f>
        <v>118.3683543973287</v>
      </c>
      <c r="J60" s="406">
        <f>IF(ISERROR(VLOOKUP($A60,'Allocate OPROC cost'!A:AO,41,FALSE)),"-",VLOOKUP($A60,'Allocate OPROC cost'!A:AO,41,FALSE))</f>
        <v>105.07872972209766</v>
      </c>
      <c r="K60" s="407">
        <f>IF(ISERROR(VLOOKUP($A60,'Allocate OPROC cost'!A:AO,40,FALSE)),"-",VLOOKUP($A60,'Allocate OPROC cost'!A:AO,40,FALSE))</f>
        <v>91.962893588143572</v>
      </c>
      <c r="L60" s="425">
        <f t="shared" si="46"/>
        <v>-8.6686369817068343E-4</v>
      </c>
      <c r="M60" s="426">
        <f t="shared" si="47"/>
        <v>0</v>
      </c>
      <c r="N60" s="426">
        <f t="shared" si="48"/>
        <v>-1.5606050669414451E-5</v>
      </c>
      <c r="O60" s="425">
        <f t="shared" si="49"/>
        <v>0</v>
      </c>
      <c r="P60" s="298"/>
      <c r="Q60" s="299">
        <f>IF(ISERROR(VLOOKUP($A60,'Front-loading'!$A:$AG,27,FALSE)),"-",VLOOKUP($A60,'Front-loading'!$A:$AG,27,FALSE))</f>
        <v>213.43751558271279</v>
      </c>
      <c r="R60" s="150">
        <f>IF(ISERROR(VLOOKUP($A60,'Front-loading'!$A:$AG,26,FALSE)),"-",VLOOKUP($A60,'Front-loading'!$A:$AG,26,FALSE))</f>
        <v>160.28170673734965</v>
      </c>
      <c r="S60" s="150">
        <f>IF(ISERROR(VLOOKUP($A60,'Front-loading'!$A:$AG,29,FALSE)),"-",VLOOKUP($A60,'Front-loading'!$A:$AG,29,FALSE))</f>
        <v>94.570856749887895</v>
      </c>
      <c r="T60" s="300">
        <f>IF(ISERROR(VLOOKUP($A60,'Front-loading'!$A:$AG,28,FALSE)),"-",VLOOKUP($A60,'Front-loading'!$A:$AG,28,FALSE))</f>
        <v>82.766604229329232</v>
      </c>
      <c r="U60" s="429">
        <f t="shared" si="50"/>
        <v>0.43753216268470263</v>
      </c>
      <c r="V60" s="430">
        <f t="shared" si="51"/>
        <v>0.35409254908900589</v>
      </c>
      <c r="W60" s="430">
        <f t="shared" si="52"/>
        <v>-9.9999999999999978E-2</v>
      </c>
      <c r="X60" s="431">
        <f t="shared" si="53"/>
        <v>-9.9999999999999867E-2</v>
      </c>
      <c r="Y60" s="298"/>
      <c r="Z60" s="152">
        <f>IF(ISERROR(VLOOKUP($A60,'Further adjustment'!$A:$BC,53,FALSE)),"-",VLOOKUP($A60,'Further adjustment'!$A:$BC,53,FALSE))</f>
        <v>209.29426587279067</v>
      </c>
      <c r="AA60" s="152">
        <f>IF(ISERROR(VLOOKUP($A60,'Further adjustment'!$A:$BC,52,FALSE)),"-",VLOOKUP($A60,'Further adjustment'!$A:$BC,52,FALSE))</f>
        <v>209.29426587279067</v>
      </c>
      <c r="AB60" s="152">
        <f>IF(ISERROR(VLOOKUP($A60,'Further adjustment'!$A:$BC,55,FALSE)),"-",VLOOKUP($A60,'Further adjustment'!$A:$BC,55,FALSE))</f>
        <v>93.878374872290095</v>
      </c>
      <c r="AC60" s="412">
        <f>IF(ISERROR(VLOOKUP($A60,'Further adjustment'!$A:$BC,54,FALSE)),"-",VLOOKUP($A60,'Further adjustment'!$A:$BC,54,FALSE))</f>
        <v>93.878374872290095</v>
      </c>
      <c r="AD60" s="435">
        <f t="shared" si="54"/>
        <v>-1.941200308020119E-2</v>
      </c>
      <c r="AE60" s="436">
        <f t="shared" si="55"/>
        <v>0.30579010002530671</v>
      </c>
      <c r="AF60" s="436">
        <f t="shared" si="56"/>
        <v>-7.3223602005553223E-3</v>
      </c>
      <c r="AG60" s="436">
        <f t="shared" si="57"/>
        <v>0.13425427739154827</v>
      </c>
      <c r="AH60" s="298"/>
      <c r="AI60" s="347">
        <f>'Price Adjustments'!$H$7</f>
        <v>-4.2387925000000104E-2</v>
      </c>
      <c r="AJ60" s="467">
        <f>'Price Adjustments'!$G$91</f>
        <v>0</v>
      </c>
      <c r="AK60" s="352">
        <f t="shared" si="30"/>
        <v>200.42271622804475</v>
      </c>
      <c r="AL60" s="352">
        <f t="shared" si="31"/>
        <v>200.42271622804475</v>
      </c>
      <c r="AM60" s="352">
        <f t="shared" si="32"/>
        <v>89.899065359081575</v>
      </c>
      <c r="AN60" s="413">
        <f t="shared" si="33"/>
        <v>89.899065359081575</v>
      </c>
      <c r="AO60" s="439">
        <f t="shared" si="58"/>
        <v>-4.2387925000000104E-2</v>
      </c>
      <c r="AP60" s="440">
        <f t="shared" si="59"/>
        <v>-4.2387925000000104E-2</v>
      </c>
      <c r="AQ60" s="440">
        <f t="shared" si="60"/>
        <v>-4.2387924999999993E-2</v>
      </c>
      <c r="AR60" s="441">
        <f t="shared" si="61"/>
        <v>-4.2387924999999993E-2</v>
      </c>
      <c r="AS60" s="359">
        <f>'Price Adjustments'!$G$7</f>
        <v>0</v>
      </c>
      <c r="AT60" s="250">
        <f>IF(ISERROR(VLOOKUP($A60,'14-15 tariff'!$A:$F,3,FALSE)*(1+$AS$6)),"-",VLOOKUP($A60,'14-15 tariff'!$A:$F,3,FALSE)*(1+$AS$6))</f>
        <v>210</v>
      </c>
      <c r="AU60" s="250">
        <f>IF(ISERROR(VLOOKUP($A60,'14-15 tariff'!$A:$F,4,FALSE)*(1+$AS$6)),"-",VLOOKUP($A60,'14-15 tariff'!$A:$F,4,FALSE)*(1+$AS$6))</f>
        <v>220</v>
      </c>
      <c r="AV60" s="250">
        <f>IF(ISERROR(VLOOKUP($A60,'14-15 tariff'!$A:$F,5,FALSE)*(1+$AS$6)),"-",VLOOKUP($A60,'14-15 tariff'!$A:$F,5,FALSE)*(1+$AS$6))</f>
        <v>91</v>
      </c>
      <c r="AW60" s="250">
        <f>IF(ISERROR(VLOOKUP($A60,'14-15 tariff'!$A:$F,6,FALSE)*(1+$AS$6)),"-",VLOOKUP($A60,'14-15 tariff'!$A:$F,6,FALSE)*(1+$AS$6))</f>
        <v>103</v>
      </c>
      <c r="AX60" s="298"/>
      <c r="AY60" s="499" t="s">
        <v>522</v>
      </c>
      <c r="AZ60" s="499" t="s">
        <v>522</v>
      </c>
      <c r="BA60" s="499" t="s">
        <v>522</v>
      </c>
      <c r="BB60" s="499" t="s">
        <v>522</v>
      </c>
      <c r="BC60" s="339">
        <f t="shared" si="62"/>
        <v>200.42271622804475</v>
      </c>
      <c r="BD60" s="339">
        <f t="shared" si="63"/>
        <v>200.42271622804475</v>
      </c>
      <c r="BE60" s="339">
        <f t="shared" si="64"/>
        <v>89.899065359081575</v>
      </c>
      <c r="BF60" s="340">
        <f t="shared" si="65"/>
        <v>89.899065359081575</v>
      </c>
      <c r="BG60" s="265">
        <f t="shared" si="66"/>
        <v>-4.2387925000000104E-2</v>
      </c>
      <c r="BH60" s="265">
        <f t="shared" si="67"/>
        <v>-4.2387925000000104E-2</v>
      </c>
      <c r="BI60" s="265">
        <f t="shared" si="68"/>
        <v>-4.2387924999999993E-2</v>
      </c>
      <c r="BJ60" s="265">
        <f t="shared" si="69"/>
        <v>-4.2387924999999993E-2</v>
      </c>
      <c r="BK60" s="298"/>
      <c r="BL60" s="503">
        <f>'Price Adjustments'!$C$66</f>
        <v>-1.22128076562165E-2</v>
      </c>
      <c r="BM60" s="378">
        <f t="shared" si="70"/>
        <v>197.97499214481519</v>
      </c>
      <c r="BN60" s="378">
        <f t="shared" si="71"/>
        <v>197.97499214481519</v>
      </c>
      <c r="BO60" s="378">
        <f t="shared" si="72"/>
        <v>88.801145365377479</v>
      </c>
      <c r="BP60" s="506">
        <f t="shared" si="73"/>
        <v>88.801145365377479</v>
      </c>
      <c r="BQ60" s="298"/>
      <c r="BR60" s="618" t="str">
        <f>IF(COUNTIF('Manual adjustments'!$A:$A,A60)=1,"Y","")</f>
        <v/>
      </c>
      <c r="BS60" s="378">
        <f>IF($BR60="",BM60,IF(AND($BR60="Y",VLOOKUP($A60,'Manual adjustments'!$A:$O,12,FALSE)&lt;&gt;""),VLOOKUP($A60,'Manual adjustments'!$A:$O,12,FALSE),BM60))</f>
        <v>197.97499214481519</v>
      </c>
      <c r="BT60" s="378">
        <f>IF($BR60="",BN60,IF(AND($BR60="Y",VLOOKUP($A60,'Manual adjustments'!$A:$O,13,FALSE)&lt;&gt;""),VLOOKUP($A60,'Manual adjustments'!$A:$O,13,FALSE),BN60))</f>
        <v>197.97499214481519</v>
      </c>
      <c r="BU60" s="378">
        <f>IF($BR60="",BO60,IF(AND($BR60="Y",VLOOKUP($A60,'Manual adjustments'!$A:$O,14,FALSE)&lt;&gt;""),VLOOKUP($A60,'Manual adjustments'!$A:$O,14,FALSE),BO60))</f>
        <v>88.801145365377479</v>
      </c>
      <c r="BV60" s="378">
        <f>IF($BR60="",BP60,IF(AND($BR60="Y",VLOOKUP($A60,'Manual adjustments'!$A:$O,15,FALSE)&lt;&gt;""),VLOOKUP($A60,'Manual adjustments'!$A:$O,15,FALSE),BP60))</f>
        <v>88.801145365377479</v>
      </c>
      <c r="BW60" s="384">
        <f>'Price Adjustments'!$D$66</f>
        <v>0</v>
      </c>
      <c r="BX60" s="378">
        <f t="shared" si="34"/>
        <v>197.97499214481519</v>
      </c>
      <c r="BY60" s="378">
        <f t="shared" si="35"/>
        <v>197.97499214481519</v>
      </c>
      <c r="BZ60" s="378">
        <f t="shared" si="36"/>
        <v>88.801145365377479</v>
      </c>
      <c r="CA60" s="379">
        <f t="shared" si="37"/>
        <v>88.801145365377479</v>
      </c>
      <c r="CB60" s="615">
        <f t="shared" si="38"/>
        <v>0</v>
      </c>
      <c r="CC60" s="423">
        <f t="shared" si="39"/>
        <v>0</v>
      </c>
      <c r="CD60" s="423">
        <f t="shared" si="40"/>
        <v>0</v>
      </c>
      <c r="CE60" s="423">
        <f t="shared" si="41"/>
        <v>0</v>
      </c>
      <c r="CF60" s="298"/>
      <c r="CG60" s="388">
        <f t="shared" si="42"/>
        <v>198</v>
      </c>
      <c r="CH60" s="378">
        <f t="shared" si="43"/>
        <v>198</v>
      </c>
      <c r="CI60" s="378">
        <f t="shared" si="44"/>
        <v>89</v>
      </c>
      <c r="CJ60" s="379">
        <f t="shared" si="45"/>
        <v>89</v>
      </c>
      <c r="CM60" s="507"/>
      <c r="CN60" s="507"/>
      <c r="CO60" s="507"/>
      <c r="CP60" s="507"/>
    </row>
    <row r="61" spans="1:94" ht="16.5" customHeight="1" thickBot="1">
      <c r="A61" s="305">
        <v>812</v>
      </c>
      <c r="B61" s="306" t="s">
        <v>37</v>
      </c>
      <c r="C61" s="307">
        <f>IF(ISERROR(VLOOKUP($A61,'Allocate OPROC cost'!A:M,11,FALSE)),"-",VLOOKUP($A61,'Allocate OPROC cost'!A:M,11,FALSE))</f>
        <v>26.006224549662743</v>
      </c>
      <c r="D61" s="308">
        <f>IF(ISERROR(VLOOKUP($A61,'Allocate OPROC cost'!A:M,10,FALSE)),"-",VLOOKUP($A61,'Allocate OPROC cost'!A:M,10,FALSE))</f>
        <v>0</v>
      </c>
      <c r="E61" s="308">
        <f>IF(ISERROR(VLOOKUP($A61,'Allocate OPROC cost'!A:M,13,FALSE)),"-",VLOOKUP($A61,'Allocate OPROC cost'!A:M,13,FALSE))</f>
        <v>42.174054631120491</v>
      </c>
      <c r="F61" s="309">
        <f>IF(ISERROR(VLOOKUP($A61,'Allocate OPROC cost'!A:M,12,FALSE)),"-",VLOOKUP($A61,'Allocate OPROC cost'!A:M,12,FALSE))</f>
        <v>96.138061106232499</v>
      </c>
      <c r="G61" s="310"/>
      <c r="H61" s="414">
        <f>IF(ISERROR(VLOOKUP($A61,'Allocate OPROC cost'!A:AO,39,FALSE)),"-",VLOOKUP($A61,'Allocate OPROC cost'!A:AO,39,FALSE))</f>
        <v>26.006224549662743</v>
      </c>
      <c r="I61" s="415">
        <f>IF(ISERROR(VLOOKUP($A61,'Allocate OPROC cost'!A:AO,38,FALSE)),"-",VLOOKUP($A61,'Allocate OPROC cost'!A:AO,38,FALSE))</f>
        <v>0</v>
      </c>
      <c r="J61" s="415">
        <f>IF(ISERROR(VLOOKUP($A61,'Allocate OPROC cost'!A:AO,41,FALSE)),"-",VLOOKUP($A61,'Allocate OPROC cost'!A:AO,41,FALSE))</f>
        <v>42.174054631120491</v>
      </c>
      <c r="K61" s="416">
        <f>IF(ISERROR(VLOOKUP($A61,'Allocate OPROC cost'!A:AO,40,FALSE)),"-",VLOOKUP($A61,'Allocate OPROC cost'!A:AO,40,FALSE))</f>
        <v>96.138061106232499</v>
      </c>
      <c r="L61" s="427">
        <f t="shared" si="46"/>
        <v>0</v>
      </c>
      <c r="M61" s="428" t="str">
        <f t="shared" si="47"/>
        <v>-</v>
      </c>
      <c r="N61" s="428">
        <f t="shared" si="48"/>
        <v>0</v>
      </c>
      <c r="O61" s="427">
        <f t="shared" si="49"/>
        <v>0</v>
      </c>
      <c r="P61" s="310"/>
      <c r="Q61" s="311">
        <f>IF(ISERROR(VLOOKUP($A61,'Front-loading'!$A:$AG,27,FALSE)),"-",VLOOKUP($A61,'Front-loading'!$A:$AG,27,FALSE))</f>
        <v>29.548260038926877</v>
      </c>
      <c r="R61" s="312">
        <f>IF(ISERROR(VLOOKUP($A61,'Front-loading'!$A:$AG,26,FALSE)),"-",VLOOKUP($A61,'Front-loading'!$A:$AG,26,FALSE))</f>
        <v>0</v>
      </c>
      <c r="S61" s="312">
        <f>IF(ISERROR(VLOOKUP($A61,'Front-loading'!$A:$AG,29,FALSE)),"-",VLOOKUP($A61,'Front-loading'!$A:$AG,29,FALSE))</f>
        <v>37.956649168008447</v>
      </c>
      <c r="T61" s="313">
        <f>IF(ISERROR(VLOOKUP($A61,'Front-loading'!$A:$AG,28,FALSE)),"-",VLOOKUP($A61,'Front-loading'!$A:$AG,28,FALSE))</f>
        <v>86.524254995609255</v>
      </c>
      <c r="U61" s="432">
        <f t="shared" si="50"/>
        <v>0.13619952725164275</v>
      </c>
      <c r="V61" s="433" t="str">
        <f t="shared" si="51"/>
        <v>-</v>
      </c>
      <c r="W61" s="433">
        <f t="shared" si="52"/>
        <v>-9.9999999999999867E-2</v>
      </c>
      <c r="X61" s="434">
        <f t="shared" si="53"/>
        <v>-9.9999999999999978E-2</v>
      </c>
      <c r="Y61" s="310"/>
      <c r="Z61" s="314">
        <f>IF(ISERROR(VLOOKUP($A61,'Further adjustment'!$A:$BC,53,FALSE)),"-",VLOOKUP($A61,'Further adjustment'!$A:$BC,53,FALSE))</f>
        <v>33.386527883935642</v>
      </c>
      <c r="AA61" s="314">
        <f>IF(ISERROR(VLOOKUP($A61,'Further adjustment'!$A:$BC,52,FALSE)),"-",VLOOKUP($A61,'Further adjustment'!$A:$BC,52,FALSE))</f>
        <v>66.773055767871284</v>
      </c>
      <c r="AB61" s="314">
        <f>IF(ISERROR(VLOOKUP($A61,'Further adjustment'!$A:$BC,55,FALSE)),"-",VLOOKUP($A61,'Further adjustment'!$A:$BC,55,FALSE))</f>
        <v>33.386527883935642</v>
      </c>
      <c r="AC61" s="417">
        <f>IF(ISERROR(VLOOKUP($A61,'Further adjustment'!$A:$BC,54,FALSE)),"-",VLOOKUP($A61,'Further adjustment'!$A:$BC,54,FALSE))</f>
        <v>66.773055767871284</v>
      </c>
      <c r="AD61" s="437">
        <f t="shared" si="54"/>
        <v>0.12989826947347249</v>
      </c>
      <c r="AE61" s="438" t="str">
        <f t="shared" si="55"/>
        <v>-</v>
      </c>
      <c r="AF61" s="438">
        <f t="shared" si="56"/>
        <v>-0.12040370749915164</v>
      </c>
      <c r="AG61" s="438">
        <f t="shared" si="57"/>
        <v>-0.22827355437778996</v>
      </c>
      <c r="AH61" s="310"/>
      <c r="AI61" s="351">
        <f>'Price Adjustments'!$H$7</f>
        <v>-4.2387925000000104E-2</v>
      </c>
      <c r="AJ61" s="466">
        <f>'Price Adjustments'!$G$91</f>
        <v>0</v>
      </c>
      <c r="AK61" s="418">
        <f t="shared" si="30"/>
        <v>31.971342243980967</v>
      </c>
      <c r="AL61" s="418">
        <f t="shared" si="31"/>
        <v>63.942684487961934</v>
      </c>
      <c r="AM61" s="418">
        <f t="shared" si="32"/>
        <v>31.971342243980967</v>
      </c>
      <c r="AN61" s="419">
        <f t="shared" si="33"/>
        <v>63.942684487961934</v>
      </c>
      <c r="AO61" s="442">
        <f t="shared" si="58"/>
        <v>-4.2387925000000104E-2</v>
      </c>
      <c r="AP61" s="443">
        <f t="shared" si="59"/>
        <v>-4.2387925000000104E-2</v>
      </c>
      <c r="AQ61" s="443">
        <f t="shared" si="60"/>
        <v>-4.2387925000000104E-2</v>
      </c>
      <c r="AR61" s="444">
        <f t="shared" si="61"/>
        <v>-4.2387925000000104E-2</v>
      </c>
      <c r="AS61" s="465">
        <f>'Price Adjustments'!$G$7</f>
        <v>0</v>
      </c>
      <c r="AT61" s="464">
        <f>IF(ISERROR(VLOOKUP($A61,'14-15 tariff'!$A:$F,3,FALSE)*(1+$AS$6)),"-",VLOOKUP($A61,'14-15 tariff'!$A:$F,3,FALSE)*(1+$AS$6))</f>
        <v>0</v>
      </c>
      <c r="AU61" s="420">
        <f>IF(ISERROR(VLOOKUP($A61,'14-15 tariff'!$A:$F,4,FALSE)*(1+$AS$6)),"-",VLOOKUP($A61,'14-15 tariff'!$A:$F,4,FALSE)*(1+$AS$6))</f>
        <v>0</v>
      </c>
      <c r="AV61" s="420">
        <f>IF(ISERROR(VLOOKUP($A61,'14-15 tariff'!$A:$F,5,FALSE)*(1+$AS$6)),"-",VLOOKUP($A61,'14-15 tariff'!$A:$F,5,FALSE)*(1+$AS$6))</f>
        <v>0</v>
      </c>
      <c r="AW61" s="420">
        <f>IF(ISERROR(VLOOKUP($A61,'14-15 tariff'!$A:$F,6,FALSE)*(1+$AS$6)),"-",VLOOKUP($A61,'14-15 tariff'!$A:$F,6,FALSE)*(1+$AS$6))</f>
        <v>0</v>
      </c>
      <c r="AX61" s="310"/>
      <c r="AY61" s="497" t="s">
        <v>739</v>
      </c>
      <c r="AZ61" s="496" t="s">
        <v>739</v>
      </c>
      <c r="BA61" s="496" t="s">
        <v>739</v>
      </c>
      <c r="BB61" s="496" t="s">
        <v>739</v>
      </c>
      <c r="BC61" s="341">
        <f t="shared" si="62"/>
        <v>0</v>
      </c>
      <c r="BD61" s="341">
        <f t="shared" si="63"/>
        <v>0</v>
      </c>
      <c r="BE61" s="341">
        <f t="shared" si="64"/>
        <v>0</v>
      </c>
      <c r="BF61" s="342">
        <f t="shared" si="65"/>
        <v>0</v>
      </c>
      <c r="BG61" s="421">
        <f t="shared" si="66"/>
        <v>-1</v>
      </c>
      <c r="BH61" s="421">
        <f t="shared" si="67"/>
        <v>-1</v>
      </c>
      <c r="BI61" s="421">
        <f t="shared" si="68"/>
        <v>-1</v>
      </c>
      <c r="BJ61" s="421">
        <f t="shared" si="69"/>
        <v>-1</v>
      </c>
      <c r="BK61" s="310"/>
      <c r="BL61" s="504">
        <f>'Price Adjustments'!$C$66</f>
        <v>-1.22128076562165E-2</v>
      </c>
      <c r="BM61" s="380">
        <f t="shared" si="70"/>
        <v>0</v>
      </c>
      <c r="BN61" s="380">
        <f t="shared" si="71"/>
        <v>0</v>
      </c>
      <c r="BO61" s="380">
        <f t="shared" si="72"/>
        <v>0</v>
      </c>
      <c r="BP61" s="505">
        <f t="shared" si="73"/>
        <v>0</v>
      </c>
      <c r="BQ61" s="310"/>
      <c r="BR61" s="619" t="str">
        <f>IF(COUNTIF('Manual adjustments'!$A:$A,A61)=1,"Y","")</f>
        <v/>
      </c>
      <c r="BS61" s="380">
        <f>IF($BR61="",BM61,IF(AND($BR61="Y",VLOOKUP($A61,'Manual adjustments'!$A:$O,12,FALSE)&lt;&gt;""),VLOOKUP($A61,'Manual adjustments'!$A:$O,12,FALSE),BM61))</f>
        <v>0</v>
      </c>
      <c r="BT61" s="380">
        <f>IF($BR61="",BN61,IF(AND($BR61="Y",VLOOKUP($A61,'Manual adjustments'!$A:$O,13,FALSE)&lt;&gt;""),VLOOKUP($A61,'Manual adjustments'!$A:$O,13,FALSE),BN61))</f>
        <v>0</v>
      </c>
      <c r="BU61" s="380">
        <f>IF($BR61="",BO61,IF(AND($BR61="Y",VLOOKUP($A61,'Manual adjustments'!$A:$O,14,FALSE)&lt;&gt;""),VLOOKUP($A61,'Manual adjustments'!$A:$O,14,FALSE),BO61))</f>
        <v>0</v>
      </c>
      <c r="BV61" s="380">
        <f>IF($BR61="",BP61,IF(AND($BR61="Y",VLOOKUP($A61,'Manual adjustments'!$A:$O,15,FALSE)&lt;&gt;""),VLOOKUP($A61,'Manual adjustments'!$A:$O,15,FALSE),BP61))</f>
        <v>0</v>
      </c>
      <c r="BW61" s="386">
        <f>'Price Adjustments'!$D$66</f>
        <v>0</v>
      </c>
      <c r="BX61" s="380">
        <f t="shared" si="34"/>
        <v>0</v>
      </c>
      <c r="BY61" s="380">
        <f t="shared" si="35"/>
        <v>0</v>
      </c>
      <c r="BZ61" s="380">
        <f t="shared" si="36"/>
        <v>0</v>
      </c>
      <c r="CA61" s="381">
        <f t="shared" si="37"/>
        <v>0</v>
      </c>
      <c r="CB61" s="616">
        <f t="shared" si="38"/>
        <v>0</v>
      </c>
      <c r="CC61" s="424">
        <f t="shared" si="39"/>
        <v>0</v>
      </c>
      <c r="CD61" s="424">
        <f t="shared" si="40"/>
        <v>0</v>
      </c>
      <c r="CE61" s="424">
        <f t="shared" si="41"/>
        <v>0</v>
      </c>
      <c r="CF61" s="310"/>
      <c r="CG61" s="389">
        <f t="shared" si="42"/>
        <v>0</v>
      </c>
      <c r="CH61" s="380">
        <f t="shared" si="43"/>
        <v>0</v>
      </c>
      <c r="CI61" s="380">
        <f t="shared" si="44"/>
        <v>0</v>
      </c>
      <c r="CJ61" s="381">
        <f t="shared" si="45"/>
        <v>0</v>
      </c>
      <c r="CM61" s="507"/>
      <c r="CN61" s="507"/>
      <c r="CO61" s="507"/>
      <c r="CP61" s="507"/>
    </row>
    <row r="65" spans="3:88">
      <c r="C65" s="155"/>
      <c r="G65"/>
      <c r="H65"/>
      <c r="I65"/>
      <c r="J65"/>
      <c r="K65"/>
      <c r="L65"/>
      <c r="M65"/>
      <c r="N65"/>
      <c r="O65"/>
      <c r="P65"/>
      <c r="Q65"/>
      <c r="R65"/>
      <c r="S65"/>
      <c r="T65"/>
      <c r="U65"/>
      <c r="V65"/>
      <c r="W65"/>
      <c r="X65"/>
      <c r="Y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row>
    <row r="67" spans="3:88">
      <c r="C67" s="155"/>
      <c r="D67" s="155"/>
      <c r="E67" s="155"/>
      <c r="F67" s="155"/>
      <c r="G67"/>
      <c r="H67"/>
      <c r="I67"/>
      <c r="J67"/>
      <c r="K67"/>
      <c r="L67"/>
      <c r="M67"/>
      <c r="N67"/>
      <c r="O67"/>
      <c r="P67"/>
      <c r="Q67"/>
      <c r="R67"/>
      <c r="S67"/>
      <c r="T67"/>
      <c r="U67"/>
      <c r="V67"/>
      <c r="W67"/>
      <c r="X67"/>
      <c r="Y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row>
    <row r="68" spans="3:88">
      <c r="C68" s="155"/>
      <c r="D68" s="155"/>
      <c r="E68" s="155"/>
      <c r="F68" s="155"/>
      <c r="G68"/>
      <c r="H68"/>
      <c r="I68"/>
      <c r="J68"/>
      <c r="K68"/>
      <c r="L68"/>
      <c r="M68"/>
      <c r="N68"/>
      <c r="O68"/>
      <c r="P68"/>
      <c r="Q68"/>
      <c r="R68"/>
      <c r="S68"/>
      <c r="T68"/>
      <c r="U68"/>
      <c r="V68"/>
      <c r="W68"/>
      <c r="X68"/>
      <c r="Y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row>
    <row r="69" spans="3:88">
      <c r="C69" s="155"/>
      <c r="D69" s="155"/>
      <c r="E69" s="155"/>
      <c r="F69" s="155"/>
      <c r="G69"/>
      <c r="H69"/>
      <c r="I69"/>
      <c r="J69"/>
      <c r="K69"/>
      <c r="L69"/>
      <c r="M69"/>
      <c r="N69"/>
      <c r="O69"/>
      <c r="P69"/>
      <c r="Q69"/>
      <c r="R69"/>
      <c r="S69"/>
      <c r="T69"/>
      <c r="U69"/>
      <c r="V69"/>
      <c r="W69"/>
      <c r="X69"/>
      <c r="Y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row>
  </sheetData>
  <mergeCells count="33">
    <mergeCell ref="AY2:BJ2"/>
    <mergeCell ref="AI4:AN4"/>
    <mergeCell ref="AO4:AR4"/>
    <mergeCell ref="AS4:AW4"/>
    <mergeCell ref="AY4:BF4"/>
    <mergeCell ref="BG4:BJ4"/>
    <mergeCell ref="AY3:BJ3"/>
    <mergeCell ref="BL2:BP2"/>
    <mergeCell ref="BL4:BP4"/>
    <mergeCell ref="BL3:BP3"/>
    <mergeCell ref="BR4:BV4"/>
    <mergeCell ref="BR2:BV2"/>
    <mergeCell ref="BR3:BV3"/>
    <mergeCell ref="CG2:CJ2"/>
    <mergeCell ref="CG3:CJ3"/>
    <mergeCell ref="CG4:CJ4"/>
    <mergeCell ref="CB4:CE4"/>
    <mergeCell ref="BW4:CA4"/>
    <mergeCell ref="BW2:CE2"/>
    <mergeCell ref="C3:F3"/>
    <mergeCell ref="L3:O3"/>
    <mergeCell ref="AS3:AW3"/>
    <mergeCell ref="C2:F2"/>
    <mergeCell ref="H2:O2"/>
    <mergeCell ref="AI2:AW2"/>
    <mergeCell ref="AI3:AR3"/>
    <mergeCell ref="Q2:X2"/>
    <mergeCell ref="Z2:AG2"/>
    <mergeCell ref="H3:K3"/>
    <mergeCell ref="Q3:T3"/>
    <mergeCell ref="U3:X3"/>
    <mergeCell ref="Z3:AC3"/>
    <mergeCell ref="AD3:AG4"/>
  </mergeCell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J29"/>
  <sheetViews>
    <sheetView showGridLines="0" workbookViewId="0"/>
  </sheetViews>
  <sheetFormatPr defaultRowHeight="12.75"/>
  <cols>
    <col min="1" max="1" width="2.5703125" style="1" customWidth="1"/>
    <col min="2" max="2" width="19.85546875" style="1" customWidth="1"/>
    <col min="3" max="3" width="32.28515625" style="1" customWidth="1"/>
    <col min="4" max="4" width="55.140625" style="1" customWidth="1"/>
    <col min="5" max="5" width="56.28515625" style="1" customWidth="1"/>
    <col min="6" max="6" width="41" style="247" customWidth="1"/>
    <col min="7" max="7" width="20.42578125" style="247" customWidth="1"/>
    <col min="8" max="8" width="18" style="1" customWidth="1"/>
    <col min="9" max="9" width="14.42578125" style="1" customWidth="1"/>
    <col min="10" max="10" width="9.140625" style="248"/>
    <col min="11" max="16384" width="9.140625" style="1"/>
  </cols>
  <sheetData>
    <row r="1" spans="2:10" ht="13.5" thickBot="1"/>
    <row r="2" spans="2:10" ht="13.5" thickBot="1">
      <c r="B2" s="251" t="s">
        <v>511</v>
      </c>
      <c r="C2" s="630" t="s">
        <v>905</v>
      </c>
      <c r="D2" s="252" t="s">
        <v>512</v>
      </c>
      <c r="E2" s="253" t="s">
        <v>906</v>
      </c>
      <c r="F2" s="253" t="s">
        <v>662</v>
      </c>
      <c r="G2" s="254" t="s">
        <v>513</v>
      </c>
      <c r="J2" s="1"/>
    </row>
    <row r="3" spans="2:10" s="647" customFormat="1" ht="24" customHeight="1" thickBot="1">
      <c r="B3" s="686" t="s">
        <v>961</v>
      </c>
      <c r="C3" s="687" t="s">
        <v>959</v>
      </c>
      <c r="D3" s="696" t="s">
        <v>960</v>
      </c>
      <c r="E3" s="688"/>
      <c r="F3" s="689"/>
      <c r="G3" s="685"/>
      <c r="I3" s="648"/>
    </row>
    <row r="4" spans="2:10" ht="25.5">
      <c r="B4" s="757" t="s">
        <v>962</v>
      </c>
      <c r="C4" s="631" t="s">
        <v>917</v>
      </c>
      <c r="D4" s="658" t="s">
        <v>916</v>
      </c>
      <c r="E4" s="269" t="s">
        <v>514</v>
      </c>
      <c r="F4" s="270" t="s">
        <v>442</v>
      </c>
      <c r="G4" s="500">
        <v>41808</v>
      </c>
      <c r="I4" s="248"/>
      <c r="J4" s="1"/>
    </row>
    <row r="5" spans="2:10" ht="25.5">
      <c r="B5" s="758"/>
      <c r="C5" s="632" t="s">
        <v>919</v>
      </c>
      <c r="D5" s="655" t="s">
        <v>918</v>
      </c>
      <c r="E5" s="273" t="s">
        <v>515</v>
      </c>
      <c r="F5" s="274" t="s">
        <v>442</v>
      </c>
      <c r="G5" s="501">
        <v>41808</v>
      </c>
      <c r="I5" s="248"/>
      <c r="J5" s="1"/>
    </row>
    <row r="6" spans="2:10" ht="102.75" thickBot="1">
      <c r="B6" s="758"/>
      <c r="C6" s="690" t="s">
        <v>915</v>
      </c>
      <c r="D6" s="281" t="s">
        <v>944</v>
      </c>
      <c r="E6" s="691" t="s">
        <v>1009</v>
      </c>
      <c r="F6" s="692" t="s">
        <v>914</v>
      </c>
      <c r="G6" s="693">
        <v>41830</v>
      </c>
      <c r="I6" s="248"/>
      <c r="J6" s="1"/>
    </row>
    <row r="7" spans="2:10" ht="25.5">
      <c r="B7" s="757" t="s">
        <v>963</v>
      </c>
      <c r="C7" s="694" t="s">
        <v>885</v>
      </c>
      <c r="D7" s="268" t="s">
        <v>725</v>
      </c>
      <c r="E7" s="695"/>
      <c r="F7" s="316" t="s">
        <v>726</v>
      </c>
      <c r="G7" s="500">
        <v>41834</v>
      </c>
      <c r="I7" s="248"/>
      <c r="J7" s="1"/>
    </row>
    <row r="8" spans="2:10" ht="15">
      <c r="B8" s="758"/>
      <c r="C8" s="633" t="s">
        <v>403</v>
      </c>
      <c r="D8" s="638" t="s">
        <v>920</v>
      </c>
      <c r="E8" s="639"/>
      <c r="F8" s="274" t="s">
        <v>664</v>
      </c>
      <c r="G8" s="657" t="s">
        <v>975</v>
      </c>
      <c r="I8" s="248"/>
      <c r="J8" s="1"/>
    </row>
    <row r="9" spans="2:10" ht="25.5">
      <c r="B9" s="758"/>
      <c r="C9" s="633" t="s">
        <v>922</v>
      </c>
      <c r="D9" s="655" t="s">
        <v>921</v>
      </c>
      <c r="E9" s="628"/>
      <c r="F9" s="274" t="s">
        <v>675</v>
      </c>
      <c r="G9" s="629">
        <v>41801</v>
      </c>
      <c r="I9" s="248"/>
      <c r="J9" s="1"/>
    </row>
    <row r="10" spans="2:10" s="647" customFormat="1" ht="15">
      <c r="B10" s="758"/>
      <c r="C10" s="633" t="s">
        <v>1005</v>
      </c>
      <c r="D10" s="638" t="s">
        <v>1006</v>
      </c>
      <c r="E10" s="639"/>
      <c r="F10" s="274"/>
      <c r="G10" s="657"/>
      <c r="I10" s="648"/>
    </row>
    <row r="11" spans="2:10" ht="15.75" thickBot="1">
      <c r="B11" s="759"/>
      <c r="C11" s="640" t="s">
        <v>972</v>
      </c>
      <c r="D11" s="276" t="s">
        <v>943</v>
      </c>
      <c r="E11" s="277"/>
      <c r="F11" s="278" t="s">
        <v>927</v>
      </c>
      <c r="G11" s="279"/>
      <c r="I11" s="248"/>
      <c r="J11" s="1"/>
    </row>
    <row r="12" spans="2:10" ht="25.5">
      <c r="B12" s="757" t="s">
        <v>964</v>
      </c>
      <c r="C12" s="634" t="s">
        <v>924</v>
      </c>
      <c r="D12" s="280" t="s">
        <v>516</v>
      </c>
      <c r="E12" s="627"/>
      <c r="F12" s="267"/>
      <c r="G12" s="491"/>
      <c r="I12" s="248"/>
      <c r="J12" s="1"/>
    </row>
    <row r="13" spans="2:10" ht="25.5">
      <c r="B13" s="760"/>
      <c r="C13" s="635" t="s">
        <v>923</v>
      </c>
      <c r="D13" s="272" t="s">
        <v>516</v>
      </c>
      <c r="E13" s="273"/>
      <c r="F13" s="274"/>
      <c r="G13" s="490"/>
      <c r="I13" s="248"/>
      <c r="J13" s="1"/>
    </row>
    <row r="14" spans="2:10" ht="25.5">
      <c r="B14" s="760"/>
      <c r="C14" s="635" t="s">
        <v>925</v>
      </c>
      <c r="D14" s="272" t="s">
        <v>516</v>
      </c>
      <c r="E14" s="273"/>
      <c r="F14" s="274"/>
      <c r="G14" s="490"/>
      <c r="I14" s="248"/>
      <c r="J14" s="1"/>
    </row>
    <row r="15" spans="2:10" ht="25.5">
      <c r="B15" s="760"/>
      <c r="C15" s="635" t="s">
        <v>736</v>
      </c>
      <c r="D15" s="272" t="s">
        <v>517</v>
      </c>
      <c r="E15" s="273"/>
      <c r="F15" s="274"/>
      <c r="G15" s="275"/>
      <c r="I15" s="248"/>
      <c r="J15" s="1"/>
    </row>
    <row r="16" spans="2:10" ht="25.5">
      <c r="B16" s="760"/>
      <c r="C16" s="635" t="s">
        <v>737</v>
      </c>
      <c r="D16" s="272" t="s">
        <v>518</v>
      </c>
      <c r="E16" s="273"/>
      <c r="F16" s="274"/>
      <c r="G16" s="275"/>
      <c r="I16" s="248"/>
      <c r="J16" s="1"/>
    </row>
    <row r="17" spans="2:10" ht="25.5">
      <c r="B17" s="760"/>
      <c r="C17" s="635" t="s">
        <v>738</v>
      </c>
      <c r="D17" s="272" t="s">
        <v>519</v>
      </c>
      <c r="E17" s="273"/>
      <c r="F17" s="274"/>
      <c r="G17" s="275"/>
      <c r="I17" s="248"/>
      <c r="J17" s="1"/>
    </row>
    <row r="18" spans="2:10" ht="15.75" thickBot="1">
      <c r="B18" s="761"/>
      <c r="C18" s="636" t="s">
        <v>942</v>
      </c>
      <c r="D18" s="623" t="s">
        <v>956</v>
      </c>
      <c r="E18" s="624"/>
      <c r="F18" s="625"/>
      <c r="G18" s="626"/>
      <c r="I18" s="248"/>
      <c r="J18" s="1"/>
    </row>
    <row r="19" spans="2:10" ht="25.5">
      <c r="B19" s="757" t="s">
        <v>965</v>
      </c>
      <c r="C19" s="637" t="s">
        <v>663</v>
      </c>
      <c r="D19" s="268" t="s">
        <v>520</v>
      </c>
      <c r="E19" s="282"/>
      <c r="F19" s="316"/>
      <c r="G19" s="271"/>
      <c r="I19" s="248"/>
      <c r="J19" s="1"/>
    </row>
    <row r="20" spans="2:10" s="647" customFormat="1" ht="15">
      <c r="B20" s="758"/>
      <c r="C20" s="645" t="s">
        <v>907</v>
      </c>
      <c r="D20" s="655" t="s">
        <v>941</v>
      </c>
      <c r="E20" s="656"/>
      <c r="F20" s="644"/>
      <c r="G20" s="657"/>
      <c r="I20" s="648"/>
    </row>
    <row r="21" spans="2:10" ht="26.25" thickBot="1">
      <c r="B21" s="761"/>
      <c r="C21" s="643" t="s">
        <v>953</v>
      </c>
      <c r="D21" s="623" t="s">
        <v>954</v>
      </c>
      <c r="E21" s="624"/>
      <c r="F21" s="646"/>
      <c r="G21" s="626"/>
      <c r="I21" s="248"/>
      <c r="J21" s="1"/>
    </row>
    <row r="22" spans="2:10" ht="15">
      <c r="D22" s="343"/>
      <c r="E22" s="247"/>
      <c r="G22" s="1"/>
      <c r="I22" s="248"/>
      <c r="J22" s="1"/>
    </row>
    <row r="24" spans="2:10" ht="15">
      <c r="B24" s="158" t="s">
        <v>444</v>
      </c>
      <c r="C24" s="158"/>
    </row>
    <row r="25" spans="2:10" s="647" customFormat="1" ht="15">
      <c r="B25" s="684"/>
      <c r="C25" s="507" t="s">
        <v>971</v>
      </c>
      <c r="F25" s="247"/>
      <c r="G25" s="247"/>
      <c r="J25" s="648"/>
    </row>
    <row r="26" spans="2:10" ht="15">
      <c r="B26" s="156"/>
      <c r="C26" s="158" t="s">
        <v>908</v>
      </c>
      <c r="D26" s="143"/>
    </row>
    <row r="27" spans="2:10" ht="15">
      <c r="B27" s="157"/>
      <c r="C27" s="507" t="s">
        <v>909</v>
      </c>
    </row>
    <row r="28" spans="2:10" ht="15">
      <c r="B28" s="159"/>
      <c r="C28" s="158" t="s">
        <v>910</v>
      </c>
    </row>
    <row r="29" spans="2:10" ht="15">
      <c r="B29" s="607"/>
      <c r="C29" s="158" t="s">
        <v>911</v>
      </c>
    </row>
  </sheetData>
  <mergeCells count="4">
    <mergeCell ref="B4:B6"/>
    <mergeCell ref="B7:B11"/>
    <mergeCell ref="B12:B18"/>
    <mergeCell ref="B19:B21"/>
  </mergeCells>
  <hyperlinks>
    <hyperlink ref="C8" location="Mandatory!A1" display="Mandatory"/>
    <hyperlink ref="C19" location="Prices!A1" display="Prices"/>
    <hyperlink ref="C7" location="'Price Adjustments'!A1" display="Price Adjustments"/>
    <hyperlink ref="C15" location="'Allocate OPROC cost'!A1" display="Allocate OPROC cost"/>
    <hyperlink ref="C16" location="'Front-loading'!A1" display="Front-loading"/>
    <hyperlink ref="C17" location="'Further adjustment'!A1" display="Further adjustment"/>
    <hyperlink ref="C6" location="'Non-mandatory OPROC HRGs'!A1" display="Non-mandatory OPROC HRGs"/>
    <hyperlink ref="C4" location="OPATT_Cost_Quantum!A1" display="OPATT_Cost_Quantum"/>
    <hyperlink ref="C12" location="'HRGs to TFCs 1'!A1" display="HRGs to TFCs 1"/>
    <hyperlink ref="C13" location="'HRGs to TFCs 2'!A1" display="HRGs to TFCs 2"/>
    <hyperlink ref="C14" location="'HRGs to TFCs % Split'!A1" display="HRGs to TFCs % Split"/>
    <hyperlink ref="C18" location="'Manual adjustments'!A1" display="Manual adjustments"/>
    <hyperlink ref="C9" location="'Mapping HRGs to TFCs'!A1" display="Mapping HRGs to TFCs"/>
    <hyperlink ref="C11" location="'14-15 tariff'!A1" display="14-15 tariff"/>
    <hyperlink ref="C20" location="'Linked Sheet'!A1" display="Linked Sheet"/>
    <hyperlink ref="C21" location="'Post manual recon'!A1" display="Post manual recon"/>
    <hyperlink ref="C3" location="'TED OP Attendances'!A1" display="TED OP Attendances "/>
    <hyperlink ref="C10" location="'Expert &amp; Final Monitor comments'!A1" display="Expert &amp; Final Monitor comments"/>
    <hyperlink ref="C5" location="OPATT_Activities!A1" display="OPATT_Activities"/>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63"/>
  <sheetViews>
    <sheetView showGridLines="0" workbookViewId="0">
      <pane ySplit="4" topLeftCell="A5" activePane="bottomLeft" state="frozen"/>
      <selection pane="bottomLeft" activeCell="A5" sqref="A5"/>
    </sheetView>
  </sheetViews>
  <sheetFormatPr defaultRowHeight="11.25"/>
  <cols>
    <col min="1" max="1" width="8.42578125" style="447" customWidth="1"/>
    <col min="2" max="2" width="26" style="447" customWidth="1"/>
    <col min="3" max="3" width="12.85546875" style="447" customWidth="1"/>
    <col min="4" max="10" width="10.7109375" style="447" customWidth="1"/>
    <col min="11" max="11" width="9.140625" style="447"/>
    <col min="12" max="12" width="8.42578125" style="447" customWidth="1"/>
    <col min="13" max="13" width="25.85546875" style="447" customWidth="1"/>
    <col min="14" max="14" width="12.85546875" style="447" customWidth="1"/>
    <col min="15" max="17" width="10.7109375" style="447" customWidth="1"/>
    <col min="18" max="18" width="9.140625" style="447"/>
    <col min="19" max="19" width="8.42578125" style="447" customWidth="1"/>
    <col min="20" max="20" width="25.85546875" style="447" customWidth="1"/>
    <col min="21" max="21" width="12.85546875" style="447" customWidth="1"/>
    <col min="22" max="24" width="10.7109375" style="447" customWidth="1"/>
    <col min="25" max="16384" width="9.140625" style="447"/>
  </cols>
  <sheetData>
    <row r="1" spans="1:24" s="446" customFormat="1" ht="12.75" customHeight="1">
      <c r="A1" s="360" t="s">
        <v>952</v>
      </c>
      <c r="L1" s="360" t="s">
        <v>950</v>
      </c>
      <c r="S1" s="360" t="s">
        <v>951</v>
      </c>
    </row>
    <row r="2" spans="1:24" ht="11.25" customHeight="1">
      <c r="A2" s="699" t="s">
        <v>974</v>
      </c>
      <c r="L2" s="232"/>
      <c r="S2" s="232"/>
    </row>
    <row r="3" spans="1:24" ht="12" customHeight="1" thickBot="1">
      <c r="C3" s="860" t="s">
        <v>49</v>
      </c>
      <c r="D3" s="861"/>
      <c r="E3" s="861"/>
      <c r="F3" s="861"/>
      <c r="G3" s="861"/>
      <c r="H3" s="861"/>
      <c r="I3" s="861"/>
      <c r="J3" s="861"/>
    </row>
    <row r="4" spans="1:24" s="236" customFormat="1" ht="57" thickBot="1">
      <c r="A4" s="448" t="s">
        <v>50</v>
      </c>
      <c r="B4" s="450" t="s">
        <v>51</v>
      </c>
      <c r="C4" s="448" t="s">
        <v>52</v>
      </c>
      <c r="D4" s="449" t="s">
        <v>53</v>
      </c>
      <c r="E4" s="449" t="s">
        <v>54</v>
      </c>
      <c r="F4" s="450" t="s">
        <v>55</v>
      </c>
      <c r="G4" s="448" t="s">
        <v>745</v>
      </c>
      <c r="H4" s="449" t="s">
        <v>746</v>
      </c>
      <c r="I4" s="449" t="s">
        <v>747</v>
      </c>
      <c r="J4" s="450" t="s">
        <v>748</v>
      </c>
      <c r="L4" s="448" t="s">
        <v>50</v>
      </c>
      <c r="M4" s="450" t="s">
        <v>51</v>
      </c>
      <c r="N4" s="448" t="s">
        <v>52</v>
      </c>
      <c r="O4" s="449" t="s">
        <v>53</v>
      </c>
      <c r="P4" s="449" t="s">
        <v>54</v>
      </c>
      <c r="Q4" s="450" t="s">
        <v>55</v>
      </c>
      <c r="S4" s="448" t="s">
        <v>50</v>
      </c>
      <c r="T4" s="450" t="s">
        <v>51</v>
      </c>
      <c r="U4" s="448" t="s">
        <v>52</v>
      </c>
      <c r="V4" s="449" t="s">
        <v>53</v>
      </c>
      <c r="W4" s="449" t="s">
        <v>54</v>
      </c>
      <c r="X4" s="450" t="s">
        <v>55</v>
      </c>
    </row>
    <row r="5" spans="1:24">
      <c r="A5" s="237">
        <v>100</v>
      </c>
      <c r="B5" s="238" t="s">
        <v>1</v>
      </c>
      <c r="C5" s="239">
        <f>VLOOKUP($A5,PRICES!$A:$CJ,76,FALSE)</f>
        <v>141.50598262698671</v>
      </c>
      <c r="D5" s="240">
        <f>VLOOKUP($A5,PRICES!$A:$CJ,77,FALSE)</f>
        <v>220.27502338285331</v>
      </c>
      <c r="E5" s="240">
        <f>VLOOKUP($A5,PRICES!$A:$CJ,78,FALSE)</f>
        <v>86.874552740012533</v>
      </c>
      <c r="F5" s="238">
        <f>VLOOKUP($A5,PRICES!$A:$CJ,79,FALSE)</f>
        <v>126.28250544695442</v>
      </c>
      <c r="G5" s="237" t="str">
        <f>IF(VLOOKUP($A5,PRICES!$A:$CJ,70,FALSE)="Y","Manual Adjusted",IF(VLOOKUP($A5,PRICES!$A:$CJ,51,FALSE)="Roll-over","Roll-Over","Modelled"))</f>
        <v>Modelled</v>
      </c>
      <c r="H5" s="458" t="str">
        <f>IF(VLOOKUP($A5,PRICES!$A:$CJ,70,FALSE)="Y","Manual Adjusted",IF(VLOOKUP($A5,PRICES!$A:$CJ,52,FALSE)="Roll-over","Roll-Over","Modelled"))</f>
        <v>Modelled</v>
      </c>
      <c r="I5" s="458" t="str">
        <f>IF(VLOOKUP($A5,PRICES!$A:$CJ,70,FALSE)="Y","Manual Adjusted",IF(VLOOKUP($A5,PRICES!$A:$CJ,53,FALSE)="Roll-over","Roll-Over","Modelled"))</f>
        <v>Modelled</v>
      </c>
      <c r="J5" s="459" t="str">
        <f>IF(VLOOKUP($A5,PRICES!$A:$CJ,70,FALSE)="Y","Manual Adjusted",IF(VLOOKUP($A5,PRICES!$A:$CJ,54,FALSE)="Roll-over","Roll-Over","Modelled"))</f>
        <v>Modelled</v>
      </c>
      <c r="L5" s="237">
        <v>100</v>
      </c>
      <c r="M5" s="238" t="s">
        <v>1</v>
      </c>
      <c r="N5" s="239">
        <f>VLOOKUP($L5,'14-15 tariff'!$A:$F,3,FALSE)</f>
        <v>140</v>
      </c>
      <c r="O5" s="240">
        <f>VLOOKUP($L5,'14-15 tariff'!$A:$F,4,FALSE)</f>
        <v>150</v>
      </c>
      <c r="P5" s="240">
        <f>VLOOKUP($L5,'14-15 tariff'!$A:$F,5,FALSE)</f>
        <v>81</v>
      </c>
      <c r="Q5" s="238">
        <f>VLOOKUP($L5,'14-15 tariff'!$A:$F,6,FALSE)</f>
        <v>95</v>
      </c>
      <c r="S5" s="237">
        <v>100</v>
      </c>
      <c r="T5" s="238" t="s">
        <v>1</v>
      </c>
      <c r="U5" s="649">
        <f>IFERROR(C5/N5-1,"")</f>
        <v>1.0757018764190773E-2</v>
      </c>
      <c r="V5" s="650">
        <f>IFERROR(D5/O5-1,"")</f>
        <v>0.46850015588568872</v>
      </c>
      <c r="W5" s="650">
        <f>IFERROR(E5/P5-1,"")</f>
        <v>7.2525342469290432E-2</v>
      </c>
      <c r="X5" s="651">
        <f>IFERROR(F5/Q5-1,"")</f>
        <v>0.32928953102057279</v>
      </c>
    </row>
    <row r="6" spans="1:24">
      <c r="A6" s="369">
        <v>101</v>
      </c>
      <c r="B6" s="242" t="s">
        <v>2</v>
      </c>
      <c r="C6" s="451">
        <f>VLOOKUP($A6,PRICES!$A:$CJ,76,FALSE)</f>
        <v>130.42793658753891</v>
      </c>
      <c r="D6" s="453">
        <f>VLOOKUP($A6,PRICES!$A:$CJ,77,FALSE)</f>
        <v>199.87426283821185</v>
      </c>
      <c r="E6" s="453">
        <f>VLOOKUP($A6,PRICES!$A:$CJ,78,FALSE)</f>
        <v>74.404542494883842</v>
      </c>
      <c r="F6" s="242">
        <f>VLOOKUP($A6,PRICES!$A:$CJ,79,FALSE)</f>
        <v>103.47197539185906</v>
      </c>
      <c r="G6" s="369" t="str">
        <f>IF(VLOOKUP($A6,PRICES!$A:$CJ,70,FALSE)="Y","Manual Adjusted",IF(VLOOKUP($A6,PRICES!$A:$CJ,51,FALSE)="Roll-over","Roll-Over","Modelled"))</f>
        <v>Modelled</v>
      </c>
      <c r="H6" s="460" t="str">
        <f>IF(VLOOKUP($A6,PRICES!$A:$CJ,70,FALSE)="Y","Manual Adjusted",IF(VLOOKUP($A6,PRICES!$A:$CJ,52,FALSE)="Roll-over","Roll-Over","Modelled"))</f>
        <v>Modelled</v>
      </c>
      <c r="I6" s="460" t="str">
        <f>IF(VLOOKUP($A6,PRICES!$A:$CJ,70,FALSE)="Y","Manual Adjusted",IF(VLOOKUP($A6,PRICES!$A:$CJ,53,FALSE)="Roll-over","Roll-Over","Modelled"))</f>
        <v>Modelled</v>
      </c>
      <c r="J6" s="461" t="str">
        <f>IF(VLOOKUP($A6,PRICES!$A:$CJ,70,FALSE)="Y","Manual Adjusted",IF(VLOOKUP($A6,PRICES!$A:$CJ,54,FALSE)="Roll-over","Roll-Over","Modelled"))</f>
        <v>Modelled</v>
      </c>
      <c r="L6" s="369">
        <v>101</v>
      </c>
      <c r="M6" s="242" t="s">
        <v>2</v>
      </c>
      <c r="N6" s="451">
        <f>VLOOKUP($L6,'14-15 tariff'!$A:$F,3,FALSE)</f>
        <v>127</v>
      </c>
      <c r="O6" s="453">
        <f>VLOOKUP($L6,'14-15 tariff'!$A:$F,4,FALSE)</f>
        <v>155</v>
      </c>
      <c r="P6" s="453">
        <f>VLOOKUP($L6,'14-15 tariff'!$A:$F,5,FALSE)</f>
        <v>70</v>
      </c>
      <c r="Q6" s="242">
        <f>VLOOKUP($L6,'14-15 tariff'!$A:$F,6,FALSE)</f>
        <v>106</v>
      </c>
      <c r="S6" s="369">
        <v>101</v>
      </c>
      <c r="T6" s="242" t="s">
        <v>2</v>
      </c>
      <c r="U6" s="652">
        <f t="shared" ref="U6:U60" si="0">IFERROR(C6/N6-1,"")</f>
        <v>2.6991626673534608E-2</v>
      </c>
      <c r="V6" s="653">
        <f t="shared" ref="V6:V60" si="1">IFERROR(D6/O6-1,"")</f>
        <v>0.28951137314975384</v>
      </c>
      <c r="W6" s="653">
        <f t="shared" ref="W6:W60" si="2">IFERROR(E6/P6-1,"")</f>
        <v>6.2922035641197693E-2</v>
      </c>
      <c r="X6" s="654">
        <f t="shared" ref="X6:X60" si="3">IFERROR(F6/Q6-1,"")</f>
        <v>-2.3849288756046638E-2</v>
      </c>
    </row>
    <row r="7" spans="1:24">
      <c r="A7" s="369">
        <v>103</v>
      </c>
      <c r="B7" s="242" t="s">
        <v>3</v>
      </c>
      <c r="C7" s="451">
        <f>VLOOKUP($A7,PRICES!$A:$CJ,76,FALSE)</f>
        <v>164.80736545663319</v>
      </c>
      <c r="D7" s="453">
        <f>VLOOKUP($A7,PRICES!$A:$CJ,77,FALSE)</f>
        <v>164.80736545663319</v>
      </c>
      <c r="E7" s="453">
        <f>VLOOKUP($A7,PRICES!$A:$CJ,78,FALSE)</f>
        <v>94.432085884315427</v>
      </c>
      <c r="F7" s="242">
        <f>VLOOKUP($A7,PRICES!$A:$CJ,79,FALSE)</f>
        <v>94.432085884315427</v>
      </c>
      <c r="G7" s="369" t="str">
        <f>IF(VLOOKUP($A7,PRICES!$A:$CJ,70,FALSE)="Y","Manual Adjusted",IF(VLOOKUP($A7,PRICES!$A:$CJ,51,FALSE)="Roll-over","Roll-Over","Modelled"))</f>
        <v>Modelled</v>
      </c>
      <c r="H7" s="460" t="str">
        <f>IF(VLOOKUP($A7,PRICES!$A:$CJ,70,FALSE)="Y","Manual Adjusted",IF(VLOOKUP($A7,PRICES!$A:$CJ,52,FALSE)="Roll-over","Roll-Over","Modelled"))</f>
        <v>Modelled</v>
      </c>
      <c r="I7" s="460" t="str">
        <f>IF(VLOOKUP($A7,PRICES!$A:$CJ,70,FALSE)="Y","Manual Adjusted",IF(VLOOKUP($A7,PRICES!$A:$CJ,53,FALSE)="Roll-over","Roll-Over","Modelled"))</f>
        <v>Modelled</v>
      </c>
      <c r="J7" s="461" t="str">
        <f>IF(VLOOKUP($A7,PRICES!$A:$CJ,70,FALSE)="Y","Manual Adjusted",IF(VLOOKUP($A7,PRICES!$A:$CJ,54,FALSE)="Roll-over","Roll-Over","Modelled"))</f>
        <v>Modelled</v>
      </c>
      <c r="L7" s="369">
        <v>103</v>
      </c>
      <c r="M7" s="242" t="s">
        <v>3</v>
      </c>
      <c r="N7" s="451">
        <f>VLOOKUP($L7,'14-15 tariff'!$A:$F,3,FALSE)</f>
        <v>148</v>
      </c>
      <c r="O7" s="453">
        <f>VLOOKUP($L7,'14-15 tariff'!$A:$F,4,FALSE)</f>
        <v>148</v>
      </c>
      <c r="P7" s="453">
        <f>VLOOKUP($L7,'14-15 tariff'!$A:$F,5,FALSE)</f>
        <v>85</v>
      </c>
      <c r="Q7" s="242">
        <f>VLOOKUP($L7,'14-15 tariff'!$A:$F,6,FALSE)</f>
        <v>98</v>
      </c>
      <c r="S7" s="369">
        <v>103</v>
      </c>
      <c r="T7" s="242" t="s">
        <v>3</v>
      </c>
      <c r="U7" s="652">
        <f t="shared" si="0"/>
        <v>0.11356328011238648</v>
      </c>
      <c r="V7" s="653">
        <f t="shared" si="1"/>
        <v>0.11356328011238648</v>
      </c>
      <c r="W7" s="653">
        <f t="shared" si="2"/>
        <v>0.11096571628606378</v>
      </c>
      <c r="X7" s="654">
        <f t="shared" si="3"/>
        <v>-3.6407286894740487E-2</v>
      </c>
    </row>
    <row r="8" spans="1:24">
      <c r="A8" s="369">
        <v>104</v>
      </c>
      <c r="B8" s="242" t="s">
        <v>4</v>
      </c>
      <c r="C8" s="451">
        <f>VLOOKUP($A8,PRICES!$A:$CJ,76,FALSE)</f>
        <v>118.60061969269005</v>
      </c>
      <c r="D8" s="453">
        <f>VLOOKUP($A8,PRICES!$A:$CJ,77,FALSE)</f>
        <v>126.84429722692788</v>
      </c>
      <c r="E8" s="453">
        <f>VLOOKUP($A8,PRICES!$A:$CJ,78,FALSE)</f>
        <v>73.983647994322197</v>
      </c>
      <c r="F8" s="242">
        <f>VLOOKUP($A8,PRICES!$A:$CJ,79,FALSE)</f>
        <v>99.830661426516343</v>
      </c>
      <c r="G8" s="369" t="str">
        <f>IF(VLOOKUP($A8,PRICES!$A:$CJ,70,FALSE)="Y","Manual Adjusted",IF(VLOOKUP($A8,PRICES!$A:$CJ,51,FALSE)="Roll-over","Roll-Over","Modelled"))</f>
        <v>Modelled</v>
      </c>
      <c r="H8" s="460" t="str">
        <f>IF(VLOOKUP($A8,PRICES!$A:$CJ,70,FALSE)="Y","Manual Adjusted",IF(VLOOKUP($A8,PRICES!$A:$CJ,52,FALSE)="Roll-over","Roll-Over","Modelled"))</f>
        <v>Modelled</v>
      </c>
      <c r="I8" s="460" t="str">
        <f>IF(VLOOKUP($A8,PRICES!$A:$CJ,70,FALSE)="Y","Manual Adjusted",IF(VLOOKUP($A8,PRICES!$A:$CJ,53,FALSE)="Roll-over","Roll-Over","Modelled"))</f>
        <v>Modelled</v>
      </c>
      <c r="J8" s="461" t="str">
        <f>IF(VLOOKUP($A8,PRICES!$A:$CJ,70,FALSE)="Y","Manual Adjusted",IF(VLOOKUP($A8,PRICES!$A:$CJ,54,FALSE)="Roll-over","Roll-Over","Modelled"))</f>
        <v>Modelled</v>
      </c>
      <c r="L8" s="369">
        <v>104</v>
      </c>
      <c r="M8" s="242" t="s">
        <v>4</v>
      </c>
      <c r="N8" s="451">
        <f>VLOOKUP($L8,'14-15 tariff'!$A:$F,3,FALSE)</f>
        <v>118</v>
      </c>
      <c r="O8" s="453">
        <f>VLOOKUP($L8,'14-15 tariff'!$A:$F,4,FALSE)</f>
        <v>118</v>
      </c>
      <c r="P8" s="453">
        <f>VLOOKUP($L8,'14-15 tariff'!$A:$F,5,FALSE)</f>
        <v>71</v>
      </c>
      <c r="Q8" s="242">
        <f>VLOOKUP($L8,'14-15 tariff'!$A:$F,6,FALSE)</f>
        <v>108</v>
      </c>
      <c r="S8" s="369">
        <v>104</v>
      </c>
      <c r="T8" s="242" t="s">
        <v>4</v>
      </c>
      <c r="U8" s="652">
        <f t="shared" si="0"/>
        <v>5.0899973956783917E-3</v>
      </c>
      <c r="V8" s="653">
        <f t="shared" si="1"/>
        <v>7.4951671414642984E-2</v>
      </c>
      <c r="W8" s="653">
        <f t="shared" si="2"/>
        <v>4.2023211187636633E-2</v>
      </c>
      <c r="X8" s="654">
        <f t="shared" si="3"/>
        <v>-7.5642023828552341E-2</v>
      </c>
    </row>
    <row r="9" spans="1:24">
      <c r="A9" s="369">
        <v>105</v>
      </c>
      <c r="B9" s="242" t="s">
        <v>56</v>
      </c>
      <c r="C9" s="451">
        <f>VLOOKUP($A9,PRICES!$A:$CJ,76,FALSE)</f>
        <v>184.12514484242038</v>
      </c>
      <c r="D9" s="453">
        <f>VLOOKUP($A9,PRICES!$A:$CJ,77,FALSE)</f>
        <v>204.49680527106671</v>
      </c>
      <c r="E9" s="453">
        <f>VLOOKUP($A9,PRICES!$A:$CJ,78,FALSE)</f>
        <v>118.08057971506548</v>
      </c>
      <c r="F9" s="242">
        <f>VLOOKUP($A9,PRICES!$A:$CJ,79,FALSE)</f>
        <v>138.4767599505924</v>
      </c>
      <c r="G9" s="369" t="str">
        <f>IF(VLOOKUP($A9,PRICES!$A:$CJ,70,FALSE)="Y","Manual Adjusted",IF(VLOOKUP($A9,PRICES!$A:$CJ,51,FALSE)="Roll-over","Roll-Over","Modelled"))</f>
        <v>Modelled</v>
      </c>
      <c r="H9" s="460" t="str">
        <f>IF(VLOOKUP($A9,PRICES!$A:$CJ,70,FALSE)="Y","Manual Adjusted",IF(VLOOKUP($A9,PRICES!$A:$CJ,52,FALSE)="Roll-over","Roll-Over","Modelled"))</f>
        <v>Modelled</v>
      </c>
      <c r="I9" s="460" t="str">
        <f>IF(VLOOKUP($A9,PRICES!$A:$CJ,70,FALSE)="Y","Manual Adjusted",IF(VLOOKUP($A9,PRICES!$A:$CJ,53,FALSE)="Roll-over","Roll-Over","Modelled"))</f>
        <v>Modelled</v>
      </c>
      <c r="J9" s="461" t="str">
        <f>IF(VLOOKUP($A9,PRICES!$A:$CJ,70,FALSE)="Y","Manual Adjusted",IF(VLOOKUP($A9,PRICES!$A:$CJ,54,FALSE)="Roll-over","Roll-Over","Modelled"))</f>
        <v>Modelled</v>
      </c>
      <c r="L9" s="369">
        <v>105</v>
      </c>
      <c r="M9" s="242" t="s">
        <v>56</v>
      </c>
      <c r="N9" s="451">
        <f>VLOOKUP($L9,'14-15 tariff'!$A:$F,3,FALSE)</f>
        <v>155</v>
      </c>
      <c r="O9" s="453">
        <f>VLOOKUP($L9,'14-15 tariff'!$A:$F,4,FALSE)</f>
        <v>228</v>
      </c>
      <c r="P9" s="453">
        <f>VLOOKUP($L9,'14-15 tariff'!$A:$F,5,FALSE)</f>
        <v>101</v>
      </c>
      <c r="Q9" s="242">
        <f>VLOOKUP($L9,'14-15 tariff'!$A:$F,6,FALSE)</f>
        <v>158</v>
      </c>
      <c r="S9" s="369">
        <v>105</v>
      </c>
      <c r="T9" s="242" t="s">
        <v>56</v>
      </c>
      <c r="U9" s="652">
        <f t="shared" si="0"/>
        <v>0.18790416027367995</v>
      </c>
      <c r="V9" s="653">
        <f t="shared" si="1"/>
        <v>-0.10308418740760217</v>
      </c>
      <c r="W9" s="653">
        <f t="shared" si="2"/>
        <v>0.16911465064421272</v>
      </c>
      <c r="X9" s="654">
        <f t="shared" si="3"/>
        <v>-0.12356481043928869</v>
      </c>
    </row>
    <row r="10" spans="1:24">
      <c r="A10" s="369">
        <v>106</v>
      </c>
      <c r="B10" s="242" t="s">
        <v>5</v>
      </c>
      <c r="C10" s="451">
        <f>VLOOKUP($A10,PRICES!$A:$CJ,76,FALSE)</f>
        <v>111.56111383429365</v>
      </c>
      <c r="D10" s="453">
        <f>VLOOKUP($A10,PRICES!$A:$CJ,77,FALSE)</f>
        <v>141.90015822365118</v>
      </c>
      <c r="E10" s="453">
        <f>VLOOKUP($A10,PRICES!$A:$CJ,78,FALSE)</f>
        <v>79.539495191221505</v>
      </c>
      <c r="F10" s="242">
        <f>VLOOKUP($A10,PRICES!$A:$CJ,79,FALSE)</f>
        <v>98.908282224678302</v>
      </c>
      <c r="G10" s="369" t="str">
        <f>IF(VLOOKUP($A10,PRICES!$A:$CJ,70,FALSE)="Y","Manual Adjusted",IF(VLOOKUP($A10,PRICES!$A:$CJ,51,FALSE)="Roll-over","Roll-Over","Modelled"))</f>
        <v>Modelled</v>
      </c>
      <c r="H10" s="460" t="str">
        <f>IF(VLOOKUP($A10,PRICES!$A:$CJ,70,FALSE)="Y","Manual Adjusted",IF(VLOOKUP($A10,PRICES!$A:$CJ,52,FALSE)="Roll-over","Roll-Over","Modelled"))</f>
        <v>Modelled</v>
      </c>
      <c r="I10" s="460" t="str">
        <f>IF(VLOOKUP($A10,PRICES!$A:$CJ,70,FALSE)="Y","Manual Adjusted",IF(VLOOKUP($A10,PRICES!$A:$CJ,53,FALSE)="Roll-over","Roll-Over","Modelled"))</f>
        <v>Modelled</v>
      </c>
      <c r="J10" s="461" t="str">
        <f>IF(VLOOKUP($A10,PRICES!$A:$CJ,70,FALSE)="Y","Manual Adjusted",IF(VLOOKUP($A10,PRICES!$A:$CJ,54,FALSE)="Roll-over","Roll-Over","Modelled"))</f>
        <v>Modelled</v>
      </c>
      <c r="L10" s="369">
        <v>106</v>
      </c>
      <c r="M10" s="242" t="s">
        <v>5</v>
      </c>
      <c r="N10" s="451">
        <f>VLOOKUP($L10,'14-15 tariff'!$A:$F,3,FALSE)</f>
        <v>118</v>
      </c>
      <c r="O10" s="453">
        <f>VLOOKUP($L10,'14-15 tariff'!$A:$F,4,FALSE)</f>
        <v>134</v>
      </c>
      <c r="P10" s="453">
        <f>VLOOKUP($L10,'14-15 tariff'!$A:$F,5,FALSE)</f>
        <v>75</v>
      </c>
      <c r="Q10" s="242">
        <f>VLOOKUP($L10,'14-15 tariff'!$A:$F,6,FALSE)</f>
        <v>97</v>
      </c>
      <c r="S10" s="369">
        <v>106</v>
      </c>
      <c r="T10" s="242" t="s">
        <v>5</v>
      </c>
      <c r="U10" s="652">
        <f t="shared" si="0"/>
        <v>-5.4566831912765679E-2</v>
      </c>
      <c r="V10" s="653">
        <f t="shared" si="1"/>
        <v>5.8956404654113337E-2</v>
      </c>
      <c r="W10" s="653">
        <f t="shared" si="2"/>
        <v>6.0526602549620057E-2</v>
      </c>
      <c r="X10" s="654">
        <f t="shared" si="3"/>
        <v>1.9673012625549546E-2</v>
      </c>
    </row>
    <row r="11" spans="1:24">
      <c r="A11" s="369">
        <v>107</v>
      </c>
      <c r="B11" s="242" t="s">
        <v>6</v>
      </c>
      <c r="C11" s="454">
        <f>VLOOKUP($A11,PRICES!$A:$CJ,76,FALSE)</f>
        <v>162.27971027295521</v>
      </c>
      <c r="D11" s="452">
        <f>VLOOKUP($A11,PRICES!$A:$CJ,77,FALSE)</f>
        <v>174.0594623716442</v>
      </c>
      <c r="E11" s="452">
        <f>VLOOKUP($A11,PRICES!$A:$CJ,78,FALSE)</f>
        <v>102.85210313900454</v>
      </c>
      <c r="F11" s="243">
        <f>VLOOKUP($A11,PRICES!$A:$CJ,79,FALSE)</f>
        <v>117.47091374886156</v>
      </c>
      <c r="G11" s="369" t="str">
        <f>IF(VLOOKUP($A11,PRICES!$A:$CJ,70,FALSE)="Y","Manual Adjusted",IF(VLOOKUP($A11,PRICES!$A:$CJ,51,FALSE)="Roll-over","Roll-Over","Modelled"))</f>
        <v>Modelled</v>
      </c>
      <c r="H11" s="460" t="str">
        <f>IF(VLOOKUP($A11,PRICES!$A:$CJ,70,FALSE)="Y","Manual Adjusted",IF(VLOOKUP($A11,PRICES!$A:$CJ,52,FALSE)="Roll-over","Roll-Over","Modelled"))</f>
        <v>Modelled</v>
      </c>
      <c r="I11" s="460" t="str">
        <f>IF(VLOOKUP($A11,PRICES!$A:$CJ,70,FALSE)="Y","Manual Adjusted",IF(VLOOKUP($A11,PRICES!$A:$CJ,53,FALSE)="Roll-over","Roll-Over","Modelled"))</f>
        <v>Modelled</v>
      </c>
      <c r="J11" s="461" t="str">
        <f>IF(VLOOKUP($A11,PRICES!$A:$CJ,70,FALSE)="Y","Manual Adjusted",IF(VLOOKUP($A11,PRICES!$A:$CJ,54,FALSE)="Roll-over","Roll-Over","Modelled"))</f>
        <v>Modelled</v>
      </c>
      <c r="L11" s="369">
        <v>107</v>
      </c>
      <c r="M11" s="242" t="s">
        <v>6</v>
      </c>
      <c r="N11" s="454">
        <f>VLOOKUP($L11,'14-15 tariff'!$A:$F,3,FALSE)</f>
        <v>154</v>
      </c>
      <c r="O11" s="452">
        <f>VLOOKUP($L11,'14-15 tariff'!$A:$F,4,FALSE)</f>
        <v>154</v>
      </c>
      <c r="P11" s="452">
        <f>VLOOKUP($L11,'14-15 tariff'!$A:$F,5,FALSE)</f>
        <v>92</v>
      </c>
      <c r="Q11" s="243">
        <f>VLOOKUP($L11,'14-15 tariff'!$A:$F,6,FALSE)</f>
        <v>92</v>
      </c>
      <c r="S11" s="369">
        <v>107</v>
      </c>
      <c r="T11" s="242" t="s">
        <v>6</v>
      </c>
      <c r="U11" s="652">
        <f t="shared" si="0"/>
        <v>5.3764352421787009E-2</v>
      </c>
      <c r="V11" s="653">
        <f t="shared" si="1"/>
        <v>0.1302562491665209</v>
      </c>
      <c r="W11" s="653">
        <f t="shared" si="2"/>
        <v>0.11795764281526666</v>
      </c>
      <c r="X11" s="654">
        <f t="shared" si="3"/>
        <v>0.27685775813979951</v>
      </c>
    </row>
    <row r="12" spans="1:24">
      <c r="A12" s="369">
        <v>108</v>
      </c>
      <c r="B12" s="242" t="s">
        <v>57</v>
      </c>
      <c r="C12" s="454">
        <f>VLOOKUP($A12,PRICES!$A:$CJ,76,FALSE)</f>
        <v>159.03373796734914</v>
      </c>
      <c r="D12" s="452">
        <f>VLOOKUP($A12,PRICES!$A:$CJ,77,FALSE)</f>
        <v>159.03373796734914</v>
      </c>
      <c r="E12" s="452">
        <f>VLOOKUP($A12,PRICES!$A:$CJ,78,FALSE)</f>
        <v>96.803144849690781</v>
      </c>
      <c r="F12" s="243">
        <f>VLOOKUP($A12,PRICES!$A:$CJ,79,FALSE)</f>
        <v>96.803144849690781</v>
      </c>
      <c r="G12" s="369" t="str">
        <f>IF(VLOOKUP($A12,PRICES!$A:$CJ,70,FALSE)="Y","Manual Adjusted",IF(VLOOKUP($A12,PRICES!$A:$CJ,51,FALSE)="Roll-over","Roll-Over","Modelled"))</f>
        <v>Roll-Over</v>
      </c>
      <c r="H12" s="460" t="str">
        <f>IF(VLOOKUP($A12,PRICES!$A:$CJ,70,FALSE)="Y","Manual Adjusted",IF(VLOOKUP($A12,PRICES!$A:$CJ,52,FALSE)="Roll-over","Roll-Over","Modelled"))</f>
        <v>Roll-Over</v>
      </c>
      <c r="I12" s="460" t="str">
        <f>IF(VLOOKUP($A12,PRICES!$A:$CJ,70,FALSE)="Y","Manual Adjusted",IF(VLOOKUP($A12,PRICES!$A:$CJ,53,FALSE)="Roll-over","Roll-Over","Modelled"))</f>
        <v>Roll-Over</v>
      </c>
      <c r="J12" s="461" t="str">
        <f>IF(VLOOKUP($A12,PRICES!$A:$CJ,70,FALSE)="Y","Manual Adjusted",IF(VLOOKUP($A12,PRICES!$A:$CJ,54,FALSE)="Roll-over","Roll-Over","Modelled"))</f>
        <v>Roll-Over</v>
      </c>
      <c r="L12" s="369">
        <v>108</v>
      </c>
      <c r="M12" s="242" t="s">
        <v>57</v>
      </c>
      <c r="N12" s="454">
        <f>VLOOKUP($L12,'14-15 tariff'!$A:$F,3,FALSE)</f>
        <v>161</v>
      </c>
      <c r="O12" s="452">
        <f>VLOOKUP($L12,'14-15 tariff'!$A:$F,4,FALSE)</f>
        <v>161</v>
      </c>
      <c r="P12" s="452">
        <f>VLOOKUP($L12,'14-15 tariff'!$A:$F,5,FALSE)</f>
        <v>98</v>
      </c>
      <c r="Q12" s="243">
        <f>VLOOKUP($L12,'14-15 tariff'!$A:$F,6,FALSE)</f>
        <v>98</v>
      </c>
      <c r="S12" s="369">
        <v>108</v>
      </c>
      <c r="T12" s="242" t="s">
        <v>57</v>
      </c>
      <c r="U12" s="652">
        <f t="shared" si="0"/>
        <v>-1.2212807656216573E-2</v>
      </c>
      <c r="V12" s="653">
        <f t="shared" si="1"/>
        <v>-1.2212807656216573E-2</v>
      </c>
      <c r="W12" s="653">
        <f t="shared" si="2"/>
        <v>-1.2212807656216462E-2</v>
      </c>
      <c r="X12" s="654">
        <f t="shared" si="3"/>
        <v>-1.2212807656216462E-2</v>
      </c>
    </row>
    <row r="13" spans="1:24">
      <c r="A13" s="369">
        <v>110</v>
      </c>
      <c r="B13" s="242" t="s">
        <v>7</v>
      </c>
      <c r="C13" s="451">
        <f>VLOOKUP($A13,PRICES!$A:$CJ,76,FALSE)</f>
        <v>127.33488973178393</v>
      </c>
      <c r="D13" s="453">
        <f>VLOOKUP($A13,PRICES!$A:$CJ,77,FALSE)</f>
        <v>128.87747812064984</v>
      </c>
      <c r="E13" s="453">
        <f>VLOOKUP($A13,PRICES!$A:$CJ,78,FALSE)</f>
        <v>75.001839927714286</v>
      </c>
      <c r="F13" s="242">
        <f>VLOOKUP($A13,PRICES!$A:$CJ,79,FALSE)</f>
        <v>84.033262174515698</v>
      </c>
      <c r="G13" s="369" t="str">
        <f>IF(VLOOKUP($A13,PRICES!$A:$CJ,70,FALSE)="Y","Manual Adjusted",IF(VLOOKUP($A13,PRICES!$A:$CJ,51,FALSE)="Roll-over","Roll-Over","Modelled"))</f>
        <v>Modelled</v>
      </c>
      <c r="H13" s="460" t="str">
        <f>IF(VLOOKUP($A13,PRICES!$A:$CJ,70,FALSE)="Y","Manual Adjusted",IF(VLOOKUP($A13,PRICES!$A:$CJ,52,FALSE)="Roll-over","Roll-Over","Modelled"))</f>
        <v>Modelled</v>
      </c>
      <c r="I13" s="460" t="str">
        <f>IF(VLOOKUP($A13,PRICES!$A:$CJ,70,FALSE)="Y","Manual Adjusted",IF(VLOOKUP($A13,PRICES!$A:$CJ,53,FALSE)="Roll-over","Roll-Over","Modelled"))</f>
        <v>Modelled</v>
      </c>
      <c r="J13" s="461" t="str">
        <f>IF(VLOOKUP($A13,PRICES!$A:$CJ,70,FALSE)="Y","Manual Adjusted",IF(VLOOKUP($A13,PRICES!$A:$CJ,54,FALSE)="Roll-over","Roll-Over","Modelled"))</f>
        <v>Modelled</v>
      </c>
      <c r="L13" s="369">
        <v>110</v>
      </c>
      <c r="M13" s="242" t="s">
        <v>7</v>
      </c>
      <c r="N13" s="451">
        <f>VLOOKUP($L13,'14-15 tariff'!$A:$F,3,FALSE)</f>
        <v>119</v>
      </c>
      <c r="O13" s="453">
        <f>VLOOKUP($L13,'14-15 tariff'!$A:$F,4,FALSE)</f>
        <v>124</v>
      </c>
      <c r="P13" s="453">
        <f>VLOOKUP($L13,'14-15 tariff'!$A:$F,5,FALSE)</f>
        <v>70</v>
      </c>
      <c r="Q13" s="242">
        <f>VLOOKUP($L13,'14-15 tariff'!$A:$F,6,FALSE)</f>
        <v>70</v>
      </c>
      <c r="S13" s="369">
        <v>110</v>
      </c>
      <c r="T13" s="242" t="s">
        <v>7</v>
      </c>
      <c r="U13" s="652">
        <f t="shared" si="0"/>
        <v>7.0041090183058152E-2</v>
      </c>
      <c r="V13" s="653">
        <f t="shared" si="1"/>
        <v>3.9334500972982633E-2</v>
      </c>
      <c r="W13" s="653">
        <f t="shared" si="2"/>
        <v>7.145485611020419E-2</v>
      </c>
      <c r="X13" s="654">
        <f t="shared" si="3"/>
        <v>0.20047517392165282</v>
      </c>
    </row>
    <row r="14" spans="1:24">
      <c r="A14" s="369">
        <v>120</v>
      </c>
      <c r="B14" s="242" t="s">
        <v>8</v>
      </c>
      <c r="C14" s="451">
        <f>VLOOKUP($A14,PRICES!$A:$CJ,76,FALSE)</f>
        <v>105.41525762687209</v>
      </c>
      <c r="D14" s="453">
        <f>VLOOKUP($A14,PRICES!$A:$CJ,77,FALSE)</f>
        <v>164.59511984800105</v>
      </c>
      <c r="E14" s="453">
        <f>VLOOKUP($A14,PRICES!$A:$CJ,78,FALSE)</f>
        <v>65.000595658196275</v>
      </c>
      <c r="F14" s="242">
        <f>VLOOKUP($A14,PRICES!$A:$CJ,79,FALSE)</f>
        <v>90.109763020838017</v>
      </c>
      <c r="G14" s="369" t="str">
        <f>IF(VLOOKUP($A14,PRICES!$A:$CJ,70,FALSE)="Y","Manual Adjusted",IF(VLOOKUP($A14,PRICES!$A:$CJ,51,FALSE)="Roll-over","Roll-Over","Modelled"))</f>
        <v>Modelled</v>
      </c>
      <c r="H14" s="460" t="str">
        <f>IF(VLOOKUP($A14,PRICES!$A:$CJ,70,FALSE)="Y","Manual Adjusted",IF(VLOOKUP($A14,PRICES!$A:$CJ,52,FALSE)="Roll-over","Roll-Over","Modelled"))</f>
        <v>Modelled</v>
      </c>
      <c r="I14" s="460" t="str">
        <f>IF(VLOOKUP($A14,PRICES!$A:$CJ,70,FALSE)="Y","Manual Adjusted",IF(VLOOKUP($A14,PRICES!$A:$CJ,53,FALSE)="Roll-over","Roll-Over","Modelled"))</f>
        <v>Modelled</v>
      </c>
      <c r="J14" s="461" t="str">
        <f>IF(VLOOKUP($A14,PRICES!$A:$CJ,70,FALSE)="Y","Manual Adjusted",IF(VLOOKUP($A14,PRICES!$A:$CJ,54,FALSE)="Roll-over","Roll-Over","Modelled"))</f>
        <v>Modelled</v>
      </c>
      <c r="L14" s="369">
        <v>120</v>
      </c>
      <c r="M14" s="242" t="s">
        <v>8</v>
      </c>
      <c r="N14" s="451">
        <f>VLOOKUP($L14,'14-15 tariff'!$A:$F,3,FALSE)</f>
        <v>103</v>
      </c>
      <c r="O14" s="453">
        <f>VLOOKUP($L14,'14-15 tariff'!$A:$F,4,FALSE)</f>
        <v>136</v>
      </c>
      <c r="P14" s="453">
        <f>VLOOKUP($L14,'14-15 tariff'!$A:$F,5,FALSE)</f>
        <v>62</v>
      </c>
      <c r="Q14" s="242">
        <f>VLOOKUP($L14,'14-15 tariff'!$A:$F,6,FALSE)</f>
        <v>81</v>
      </c>
      <c r="S14" s="369">
        <v>120</v>
      </c>
      <c r="T14" s="242" t="s">
        <v>8</v>
      </c>
      <c r="U14" s="652">
        <f t="shared" si="0"/>
        <v>2.344910317351534E-2</v>
      </c>
      <c r="V14" s="653">
        <f t="shared" si="1"/>
        <v>0.21025823417647826</v>
      </c>
      <c r="W14" s="653">
        <f t="shared" si="2"/>
        <v>4.8396704164455961E-2</v>
      </c>
      <c r="X14" s="654">
        <f t="shared" si="3"/>
        <v>0.11246621013380276</v>
      </c>
    </row>
    <row r="15" spans="1:24">
      <c r="A15" s="369">
        <v>130</v>
      </c>
      <c r="B15" s="242" t="s">
        <v>9</v>
      </c>
      <c r="C15" s="451">
        <f>VLOOKUP($A15,PRICES!$A:$CJ,76,FALSE)</f>
        <v>110.87456657199363</v>
      </c>
      <c r="D15" s="453">
        <f>VLOOKUP($A15,PRICES!$A:$CJ,77,FALSE)</f>
        <v>123.46124517654974</v>
      </c>
      <c r="E15" s="453">
        <f>VLOOKUP($A15,PRICES!$A:$CJ,78,FALSE)</f>
        <v>62.679844038293318</v>
      </c>
      <c r="F15" s="242">
        <f>VLOOKUP($A15,PRICES!$A:$CJ,79,FALSE)</f>
        <v>92.738711316496733</v>
      </c>
      <c r="G15" s="369" t="str">
        <f>IF(VLOOKUP($A15,PRICES!$A:$CJ,70,FALSE)="Y","Manual Adjusted",IF(VLOOKUP($A15,PRICES!$A:$CJ,51,FALSE)="Roll-over","Roll-Over","Modelled"))</f>
        <v>Modelled</v>
      </c>
      <c r="H15" s="460" t="str">
        <f>IF(VLOOKUP($A15,PRICES!$A:$CJ,70,FALSE)="Y","Manual Adjusted",IF(VLOOKUP($A15,PRICES!$A:$CJ,52,FALSE)="Roll-over","Roll-Over","Modelled"))</f>
        <v>Modelled</v>
      </c>
      <c r="I15" s="460" t="str">
        <f>IF(VLOOKUP($A15,PRICES!$A:$CJ,70,FALSE)="Y","Manual Adjusted",IF(VLOOKUP($A15,PRICES!$A:$CJ,53,FALSE)="Roll-over","Roll-Over","Modelled"))</f>
        <v>Modelled</v>
      </c>
      <c r="J15" s="461" t="str">
        <f>IF(VLOOKUP($A15,PRICES!$A:$CJ,70,FALSE)="Y","Manual Adjusted",IF(VLOOKUP($A15,PRICES!$A:$CJ,54,FALSE)="Roll-over","Roll-Over","Modelled"))</f>
        <v>Modelled</v>
      </c>
      <c r="L15" s="369">
        <v>130</v>
      </c>
      <c r="M15" s="242" t="s">
        <v>9</v>
      </c>
      <c r="N15" s="451">
        <f>VLOOKUP($L15,'14-15 tariff'!$A:$F,3,FALSE)</f>
        <v>104</v>
      </c>
      <c r="O15" s="453">
        <f>VLOOKUP($L15,'14-15 tariff'!$A:$F,4,FALSE)</f>
        <v>106</v>
      </c>
      <c r="P15" s="453">
        <f>VLOOKUP($L15,'14-15 tariff'!$A:$F,5,FALSE)</f>
        <v>59</v>
      </c>
      <c r="Q15" s="242">
        <f>VLOOKUP($L15,'14-15 tariff'!$A:$F,6,FALSE)</f>
        <v>86</v>
      </c>
      <c r="S15" s="369">
        <v>130</v>
      </c>
      <c r="T15" s="242" t="s">
        <v>9</v>
      </c>
      <c r="U15" s="652">
        <f t="shared" si="0"/>
        <v>6.6101601653784758E-2</v>
      </c>
      <c r="V15" s="653">
        <f t="shared" si="1"/>
        <v>0.16472872808065797</v>
      </c>
      <c r="W15" s="653">
        <f t="shared" si="2"/>
        <v>6.2370237937174888E-2</v>
      </c>
      <c r="X15" s="654">
        <f t="shared" si="3"/>
        <v>7.835710833135745E-2</v>
      </c>
    </row>
    <row r="16" spans="1:24">
      <c r="A16" s="369">
        <v>140</v>
      </c>
      <c r="B16" s="242" t="s">
        <v>10</v>
      </c>
      <c r="C16" s="451">
        <f>VLOOKUP($A16,PRICES!$A:$CJ,76,FALSE)</f>
        <v>116.96276329185902</v>
      </c>
      <c r="D16" s="453">
        <f>VLOOKUP($A16,PRICES!$A:$CJ,77,FALSE)</f>
        <v>181.67802661348495</v>
      </c>
      <c r="E16" s="453">
        <f>VLOOKUP($A16,PRICES!$A:$CJ,78,FALSE)</f>
        <v>73.00479874173152</v>
      </c>
      <c r="F16" s="242">
        <f>VLOOKUP($A16,PRICES!$A:$CJ,79,FALSE)</f>
        <v>126.04511706385448</v>
      </c>
      <c r="G16" s="369" t="str">
        <f>IF(VLOOKUP($A16,PRICES!$A:$CJ,70,FALSE)="Y","Manual Adjusted",IF(VLOOKUP($A16,PRICES!$A:$CJ,51,FALSE)="Roll-over","Roll-Over","Modelled"))</f>
        <v>Modelled</v>
      </c>
      <c r="H16" s="460" t="str">
        <f>IF(VLOOKUP($A16,PRICES!$A:$CJ,70,FALSE)="Y","Manual Adjusted",IF(VLOOKUP($A16,PRICES!$A:$CJ,52,FALSE)="Roll-over","Roll-Over","Modelled"))</f>
        <v>Modelled</v>
      </c>
      <c r="I16" s="460" t="str">
        <f>IF(VLOOKUP($A16,PRICES!$A:$CJ,70,FALSE)="Y","Manual Adjusted",IF(VLOOKUP($A16,PRICES!$A:$CJ,53,FALSE)="Roll-over","Roll-Over","Modelled"))</f>
        <v>Modelled</v>
      </c>
      <c r="J16" s="461" t="str">
        <f>IF(VLOOKUP($A16,PRICES!$A:$CJ,70,FALSE)="Y","Manual Adjusted",IF(VLOOKUP($A16,PRICES!$A:$CJ,54,FALSE)="Roll-over","Roll-Over","Modelled"))</f>
        <v>Modelled</v>
      </c>
      <c r="L16" s="369">
        <v>140</v>
      </c>
      <c r="M16" s="242" t="s">
        <v>10</v>
      </c>
      <c r="N16" s="451">
        <f>VLOOKUP($L16,'14-15 tariff'!$A:$F,3,FALSE)</f>
        <v>118</v>
      </c>
      <c r="O16" s="453">
        <f>VLOOKUP($L16,'14-15 tariff'!$A:$F,4,FALSE)</f>
        <v>147</v>
      </c>
      <c r="P16" s="453">
        <f>VLOOKUP($L16,'14-15 tariff'!$A:$F,5,FALSE)</f>
        <v>75</v>
      </c>
      <c r="Q16" s="242">
        <f>VLOOKUP($L16,'14-15 tariff'!$A:$F,6,FALSE)</f>
        <v>106</v>
      </c>
      <c r="S16" s="369">
        <v>140</v>
      </c>
      <c r="T16" s="242" t="s">
        <v>10</v>
      </c>
      <c r="U16" s="652">
        <f t="shared" si="0"/>
        <v>-8.7901415944150463E-3</v>
      </c>
      <c r="V16" s="653">
        <f t="shared" si="1"/>
        <v>0.23590494294887709</v>
      </c>
      <c r="W16" s="653">
        <f t="shared" si="2"/>
        <v>-2.6602683443579744E-2</v>
      </c>
      <c r="X16" s="654">
        <f t="shared" si="3"/>
        <v>0.18910487796089126</v>
      </c>
    </row>
    <row r="17" spans="1:24">
      <c r="A17" s="369">
        <v>143</v>
      </c>
      <c r="B17" s="242" t="s">
        <v>11</v>
      </c>
      <c r="C17" s="451">
        <f>VLOOKUP($A17,PRICES!$A:$CJ,76,FALSE)</f>
        <v>152.27413633283331</v>
      </c>
      <c r="D17" s="453">
        <f>VLOOKUP($A17,PRICES!$A:$CJ,77,FALSE)</f>
        <v>203.16018210869933</v>
      </c>
      <c r="E17" s="453">
        <f>VLOOKUP($A17,PRICES!$A:$CJ,78,FALSE)</f>
        <v>76.752070666418149</v>
      </c>
      <c r="F17" s="242">
        <f>VLOOKUP($A17,PRICES!$A:$CJ,79,FALSE)</f>
        <v>104.96199137132258</v>
      </c>
      <c r="G17" s="369" t="str">
        <f>IF(VLOOKUP($A17,PRICES!$A:$CJ,70,FALSE)="Y","Manual Adjusted",IF(VLOOKUP($A17,PRICES!$A:$CJ,51,FALSE)="Roll-over","Roll-Over","Modelled"))</f>
        <v>Modelled</v>
      </c>
      <c r="H17" s="460" t="str">
        <f>IF(VLOOKUP($A17,PRICES!$A:$CJ,70,FALSE)="Y","Manual Adjusted",IF(VLOOKUP($A17,PRICES!$A:$CJ,52,FALSE)="Roll-over","Roll-Over","Modelled"))</f>
        <v>Modelled</v>
      </c>
      <c r="I17" s="460" t="str">
        <f>IF(VLOOKUP($A17,PRICES!$A:$CJ,70,FALSE)="Y","Manual Adjusted",IF(VLOOKUP($A17,PRICES!$A:$CJ,53,FALSE)="Roll-over","Roll-Over","Modelled"))</f>
        <v>Modelled</v>
      </c>
      <c r="J17" s="461" t="str">
        <f>IF(VLOOKUP($A17,PRICES!$A:$CJ,70,FALSE)="Y","Manual Adjusted",IF(VLOOKUP($A17,PRICES!$A:$CJ,54,FALSE)="Roll-over","Roll-Over","Modelled"))</f>
        <v>Modelled</v>
      </c>
      <c r="L17" s="369">
        <v>143</v>
      </c>
      <c r="M17" s="242" t="s">
        <v>11</v>
      </c>
      <c r="N17" s="451">
        <f>VLOOKUP($L17,'14-15 tariff'!$A:$F,3,FALSE)</f>
        <v>180</v>
      </c>
      <c r="O17" s="453">
        <f>VLOOKUP($L17,'14-15 tariff'!$A:$F,4,FALSE)</f>
        <v>247</v>
      </c>
      <c r="P17" s="453">
        <f>VLOOKUP($L17,'14-15 tariff'!$A:$F,5,FALSE)</f>
        <v>80</v>
      </c>
      <c r="Q17" s="242">
        <f>VLOOKUP($L17,'14-15 tariff'!$A:$F,6,FALSE)</f>
        <v>113</v>
      </c>
      <c r="S17" s="369">
        <v>143</v>
      </c>
      <c r="T17" s="242" t="s">
        <v>11</v>
      </c>
      <c r="U17" s="652">
        <f t="shared" si="0"/>
        <v>-0.1540325759287039</v>
      </c>
      <c r="V17" s="653">
        <f t="shared" si="1"/>
        <v>-0.17748914126032656</v>
      </c>
      <c r="W17" s="653">
        <f t="shared" si="2"/>
        <v>-4.0599116669773117E-2</v>
      </c>
      <c r="X17" s="654">
        <f t="shared" si="3"/>
        <v>-7.1132819722809049E-2</v>
      </c>
    </row>
    <row r="18" spans="1:24">
      <c r="A18" s="369">
        <v>144</v>
      </c>
      <c r="B18" s="242" t="s">
        <v>12</v>
      </c>
      <c r="C18" s="451">
        <f>VLOOKUP($A18,PRICES!$A:$CJ,76,FALSE)</f>
        <v>106.38105497857184</v>
      </c>
      <c r="D18" s="453">
        <f>VLOOKUP($A18,PRICES!$A:$CJ,77,FALSE)</f>
        <v>171.93817784311</v>
      </c>
      <c r="E18" s="453">
        <f>VLOOKUP($A18,PRICES!$A:$CJ,78,FALSE)</f>
        <v>72.310077815684252</v>
      </c>
      <c r="F18" s="242">
        <f>VLOOKUP($A18,PRICES!$A:$CJ,79,FALSE)</f>
        <v>81.396937383979392</v>
      </c>
      <c r="G18" s="369" t="str">
        <f>IF(VLOOKUP($A18,PRICES!$A:$CJ,70,FALSE)="Y","Manual Adjusted",IF(VLOOKUP($A18,PRICES!$A:$CJ,51,FALSE)="Roll-over","Roll-Over","Modelled"))</f>
        <v>Modelled</v>
      </c>
      <c r="H18" s="460" t="str">
        <f>IF(VLOOKUP($A18,PRICES!$A:$CJ,70,FALSE)="Y","Manual Adjusted",IF(VLOOKUP($A18,PRICES!$A:$CJ,52,FALSE)="Roll-over","Roll-Over","Modelled"))</f>
        <v>Modelled</v>
      </c>
      <c r="I18" s="460" t="str">
        <f>IF(VLOOKUP($A18,PRICES!$A:$CJ,70,FALSE)="Y","Manual Adjusted",IF(VLOOKUP($A18,PRICES!$A:$CJ,53,FALSE)="Roll-over","Roll-Over","Modelled"))</f>
        <v>Modelled</v>
      </c>
      <c r="J18" s="461" t="str">
        <f>IF(VLOOKUP($A18,PRICES!$A:$CJ,70,FALSE)="Y","Manual Adjusted",IF(VLOOKUP($A18,PRICES!$A:$CJ,54,FALSE)="Roll-over","Roll-Over","Modelled"))</f>
        <v>Modelled</v>
      </c>
      <c r="L18" s="369">
        <v>144</v>
      </c>
      <c r="M18" s="242" t="s">
        <v>12</v>
      </c>
      <c r="N18" s="451">
        <f>VLOOKUP($L18,'14-15 tariff'!$A:$F,3,FALSE)</f>
        <v>113</v>
      </c>
      <c r="O18" s="453">
        <f>VLOOKUP($L18,'14-15 tariff'!$A:$F,4,FALSE)</f>
        <v>178</v>
      </c>
      <c r="P18" s="453">
        <f>VLOOKUP($L18,'14-15 tariff'!$A:$F,5,FALSE)</f>
        <v>74</v>
      </c>
      <c r="Q18" s="242">
        <f>VLOOKUP($L18,'14-15 tariff'!$A:$F,6,FALSE)</f>
        <v>74</v>
      </c>
      <c r="S18" s="369">
        <v>144</v>
      </c>
      <c r="T18" s="242" t="s">
        <v>12</v>
      </c>
      <c r="U18" s="652">
        <f t="shared" si="0"/>
        <v>-5.8574734702904085E-2</v>
      </c>
      <c r="V18" s="653">
        <f t="shared" si="1"/>
        <v>-3.4055180656685446E-2</v>
      </c>
      <c r="W18" s="653">
        <f t="shared" si="2"/>
        <v>-2.2836786274537113E-2</v>
      </c>
      <c r="X18" s="654">
        <f t="shared" si="3"/>
        <v>9.9958613297018717E-2</v>
      </c>
    </row>
    <row r="19" spans="1:24">
      <c r="A19" s="369">
        <v>160</v>
      </c>
      <c r="B19" s="242" t="s">
        <v>13</v>
      </c>
      <c r="C19" s="451">
        <f>VLOOKUP($A19,PRICES!$A:$CJ,76,FALSE)</f>
        <v>112.35601148757019</v>
      </c>
      <c r="D19" s="453">
        <f>VLOOKUP($A19,PRICES!$A:$CJ,77,FALSE)</f>
        <v>149.35672170053718</v>
      </c>
      <c r="E19" s="453">
        <f>VLOOKUP($A19,PRICES!$A:$CJ,78,FALSE)</f>
        <v>64.851073262703522</v>
      </c>
      <c r="F19" s="242">
        <f>VLOOKUP($A19,PRICES!$A:$CJ,79,FALSE)</f>
        <v>99.185306508465032</v>
      </c>
      <c r="G19" s="369" t="str">
        <f>IF(VLOOKUP($A19,PRICES!$A:$CJ,70,FALSE)="Y","Manual Adjusted",IF(VLOOKUP($A19,PRICES!$A:$CJ,51,FALSE)="Roll-over","Roll-Over","Modelled"))</f>
        <v>Modelled</v>
      </c>
      <c r="H19" s="460" t="str">
        <f>IF(VLOOKUP($A19,PRICES!$A:$CJ,70,FALSE)="Y","Manual Adjusted",IF(VLOOKUP($A19,PRICES!$A:$CJ,52,FALSE)="Roll-over","Roll-Over","Modelled"))</f>
        <v>Modelled</v>
      </c>
      <c r="I19" s="460" t="str">
        <f>IF(VLOOKUP($A19,PRICES!$A:$CJ,70,FALSE)="Y","Manual Adjusted",IF(VLOOKUP($A19,PRICES!$A:$CJ,53,FALSE)="Roll-over","Roll-Over","Modelled"))</f>
        <v>Modelled</v>
      </c>
      <c r="J19" s="461" t="str">
        <f>IF(VLOOKUP($A19,PRICES!$A:$CJ,70,FALSE)="Y","Manual Adjusted",IF(VLOOKUP($A19,PRICES!$A:$CJ,54,FALSE)="Roll-over","Roll-Over","Modelled"))</f>
        <v>Modelled</v>
      </c>
      <c r="L19" s="369">
        <v>160</v>
      </c>
      <c r="M19" s="242" t="s">
        <v>13</v>
      </c>
      <c r="N19" s="451">
        <f>VLOOKUP($L19,'14-15 tariff'!$A:$F,3,FALSE)</f>
        <v>110</v>
      </c>
      <c r="O19" s="453">
        <f>VLOOKUP($L19,'14-15 tariff'!$A:$F,4,FALSE)</f>
        <v>124</v>
      </c>
      <c r="P19" s="453">
        <f>VLOOKUP($L19,'14-15 tariff'!$A:$F,5,FALSE)</f>
        <v>63</v>
      </c>
      <c r="Q19" s="242">
        <f>VLOOKUP($L19,'14-15 tariff'!$A:$F,6,FALSE)</f>
        <v>80</v>
      </c>
      <c r="S19" s="369">
        <v>160</v>
      </c>
      <c r="T19" s="242" t="s">
        <v>13</v>
      </c>
      <c r="U19" s="652">
        <f t="shared" si="0"/>
        <v>2.1418286250638019E-2</v>
      </c>
      <c r="V19" s="653">
        <f t="shared" si="1"/>
        <v>0.20448969113336424</v>
      </c>
      <c r="W19" s="653">
        <f t="shared" si="2"/>
        <v>2.9382115281008314E-2</v>
      </c>
      <c r="X19" s="654">
        <f t="shared" si="3"/>
        <v>0.23981633135581282</v>
      </c>
    </row>
    <row r="20" spans="1:24">
      <c r="A20" s="369">
        <v>170</v>
      </c>
      <c r="B20" s="242" t="s">
        <v>14</v>
      </c>
      <c r="C20" s="451">
        <f>VLOOKUP($A20,PRICES!$A:$CJ,76,FALSE)</f>
        <v>255.91470229130562</v>
      </c>
      <c r="D20" s="453">
        <f>VLOOKUP($A20,PRICES!$A:$CJ,77,FALSE)</f>
        <v>255.91470229130562</v>
      </c>
      <c r="E20" s="453">
        <f>VLOOKUP($A20,PRICES!$A:$CJ,78,FALSE)</f>
        <v>174.65934955922725</v>
      </c>
      <c r="F20" s="242">
        <f>VLOOKUP($A20,PRICES!$A:$CJ,79,FALSE)</f>
        <v>177.44141791360238</v>
      </c>
      <c r="G20" s="369" t="str">
        <f>IF(VLOOKUP($A20,PRICES!$A:$CJ,70,FALSE)="Y","Manual Adjusted",IF(VLOOKUP($A20,PRICES!$A:$CJ,51,FALSE)="Roll-over","Roll-Over","Modelled"))</f>
        <v>Modelled</v>
      </c>
      <c r="H20" s="460" t="str">
        <f>IF(VLOOKUP($A20,PRICES!$A:$CJ,70,FALSE)="Y","Manual Adjusted",IF(VLOOKUP($A20,PRICES!$A:$CJ,52,FALSE)="Roll-over","Roll-Over","Modelled"))</f>
        <v>Modelled</v>
      </c>
      <c r="I20" s="460" t="str">
        <f>IF(VLOOKUP($A20,PRICES!$A:$CJ,70,FALSE)="Y","Manual Adjusted",IF(VLOOKUP($A20,PRICES!$A:$CJ,53,FALSE)="Roll-over","Roll-Over","Modelled"))</f>
        <v>Modelled</v>
      </c>
      <c r="J20" s="461" t="str">
        <f>IF(VLOOKUP($A20,PRICES!$A:$CJ,70,FALSE)="Y","Manual Adjusted",IF(VLOOKUP($A20,PRICES!$A:$CJ,54,FALSE)="Roll-over","Roll-Over","Modelled"))</f>
        <v>Modelled</v>
      </c>
      <c r="L20" s="369">
        <v>170</v>
      </c>
      <c r="M20" s="242" t="s">
        <v>14</v>
      </c>
      <c r="N20" s="451">
        <f>VLOOKUP($L20,'14-15 tariff'!$A:$F,3,FALSE)</f>
        <v>234</v>
      </c>
      <c r="O20" s="453">
        <f>VLOOKUP($L20,'14-15 tariff'!$A:$F,4,FALSE)</f>
        <v>234</v>
      </c>
      <c r="P20" s="453">
        <f>VLOOKUP($L20,'14-15 tariff'!$A:$F,5,FALSE)</f>
        <v>156</v>
      </c>
      <c r="Q20" s="242">
        <f>VLOOKUP($L20,'14-15 tariff'!$A:$F,6,FALSE)</f>
        <v>156</v>
      </c>
      <c r="S20" s="369">
        <v>170</v>
      </c>
      <c r="T20" s="242" t="s">
        <v>14</v>
      </c>
      <c r="U20" s="652">
        <f t="shared" si="0"/>
        <v>9.365257389446846E-2</v>
      </c>
      <c r="V20" s="653">
        <f t="shared" si="1"/>
        <v>9.365257389446846E-2</v>
      </c>
      <c r="W20" s="653">
        <f t="shared" si="2"/>
        <v>0.11961121512325157</v>
      </c>
      <c r="X20" s="654">
        <f t="shared" si="3"/>
        <v>0.13744498662565618</v>
      </c>
    </row>
    <row r="21" spans="1:24">
      <c r="A21" s="369">
        <v>171</v>
      </c>
      <c r="B21" s="242" t="s">
        <v>15</v>
      </c>
      <c r="C21" s="451">
        <f>VLOOKUP($A21,PRICES!$A:$CJ,76,FALSE)</f>
        <v>166.55833745561605</v>
      </c>
      <c r="D21" s="453">
        <f>VLOOKUP($A21,PRICES!$A:$CJ,77,FALSE)</f>
        <v>166.55833745561605</v>
      </c>
      <c r="E21" s="453">
        <f>VLOOKUP($A21,PRICES!$A:$CJ,78,FALSE)</f>
        <v>108.63991652261016</v>
      </c>
      <c r="F21" s="242">
        <f>VLOOKUP($A21,PRICES!$A:$CJ,79,FALSE)</f>
        <v>110.76296803581735</v>
      </c>
      <c r="G21" s="369" t="str">
        <f>IF(VLOOKUP($A21,PRICES!$A:$CJ,70,FALSE)="Y","Manual Adjusted",IF(VLOOKUP($A21,PRICES!$A:$CJ,51,FALSE)="Roll-over","Roll-Over","Modelled"))</f>
        <v>Modelled</v>
      </c>
      <c r="H21" s="460" t="str">
        <f>IF(VLOOKUP($A21,PRICES!$A:$CJ,70,FALSE)="Y","Manual Adjusted",IF(VLOOKUP($A21,PRICES!$A:$CJ,52,FALSE)="Roll-over","Roll-Over","Modelled"))</f>
        <v>Modelled</v>
      </c>
      <c r="I21" s="460" t="str">
        <f>IF(VLOOKUP($A21,PRICES!$A:$CJ,70,FALSE)="Y","Manual Adjusted",IF(VLOOKUP($A21,PRICES!$A:$CJ,53,FALSE)="Roll-over","Roll-Over","Modelled"))</f>
        <v>Modelled</v>
      </c>
      <c r="J21" s="461" t="str">
        <f>IF(VLOOKUP($A21,PRICES!$A:$CJ,70,FALSE)="Y","Manual Adjusted",IF(VLOOKUP($A21,PRICES!$A:$CJ,54,FALSE)="Roll-over","Roll-Over","Modelled"))</f>
        <v>Modelled</v>
      </c>
      <c r="L21" s="369">
        <v>171</v>
      </c>
      <c r="M21" s="242" t="s">
        <v>15</v>
      </c>
      <c r="N21" s="451">
        <f>VLOOKUP($L21,'14-15 tariff'!$A:$F,3,FALSE)</f>
        <v>177</v>
      </c>
      <c r="O21" s="453">
        <f>VLOOKUP($L21,'14-15 tariff'!$A:$F,4,FALSE)</f>
        <v>288</v>
      </c>
      <c r="P21" s="453">
        <f>VLOOKUP($L21,'14-15 tariff'!$A:$F,5,FALSE)</f>
        <v>108</v>
      </c>
      <c r="Q21" s="242">
        <f>VLOOKUP($L21,'14-15 tariff'!$A:$F,6,FALSE)</f>
        <v>176</v>
      </c>
      <c r="S21" s="369">
        <v>171</v>
      </c>
      <c r="T21" s="242" t="s">
        <v>15</v>
      </c>
      <c r="U21" s="652">
        <f t="shared" si="0"/>
        <v>-5.8992443753581592E-2</v>
      </c>
      <c r="V21" s="653">
        <f t="shared" si="1"/>
        <v>-0.42167243939022203</v>
      </c>
      <c r="W21" s="653">
        <f t="shared" si="2"/>
        <v>5.9251529871311437E-3</v>
      </c>
      <c r="X21" s="654">
        <f t="shared" si="3"/>
        <v>-0.37066495434194691</v>
      </c>
    </row>
    <row r="22" spans="1:24">
      <c r="A22" s="369">
        <v>172</v>
      </c>
      <c r="B22" s="242" t="s">
        <v>16</v>
      </c>
      <c r="C22" s="451">
        <f>VLOOKUP($A22,PRICES!$A:$CJ,76,FALSE)</f>
        <v>275.36073902040789</v>
      </c>
      <c r="D22" s="453">
        <f>VLOOKUP($A22,PRICES!$A:$CJ,77,FALSE)</f>
        <v>275.36073902040789</v>
      </c>
      <c r="E22" s="453">
        <f>VLOOKUP($A22,PRICES!$A:$CJ,78,FALSE)</f>
        <v>179.30788427795591</v>
      </c>
      <c r="F22" s="242">
        <f>VLOOKUP($A22,PRICES!$A:$CJ,79,FALSE)</f>
        <v>179.30788427795591</v>
      </c>
      <c r="G22" s="369" t="str">
        <f>IF(VLOOKUP($A22,PRICES!$A:$CJ,70,FALSE)="Y","Manual Adjusted",IF(VLOOKUP($A22,PRICES!$A:$CJ,51,FALSE)="Roll-over","Roll-Over","Modelled"))</f>
        <v>Modelled</v>
      </c>
      <c r="H22" s="460" t="str">
        <f>IF(VLOOKUP($A22,PRICES!$A:$CJ,70,FALSE)="Y","Manual Adjusted",IF(VLOOKUP($A22,PRICES!$A:$CJ,52,FALSE)="Roll-over","Roll-Over","Modelled"))</f>
        <v>Modelled</v>
      </c>
      <c r="I22" s="460" t="str">
        <f>IF(VLOOKUP($A22,PRICES!$A:$CJ,70,FALSE)="Y","Manual Adjusted",IF(VLOOKUP($A22,PRICES!$A:$CJ,53,FALSE)="Roll-over","Roll-Over","Modelled"))</f>
        <v>Modelled</v>
      </c>
      <c r="J22" s="461" t="str">
        <f>IF(VLOOKUP($A22,PRICES!$A:$CJ,70,FALSE)="Y","Manual Adjusted",IF(VLOOKUP($A22,PRICES!$A:$CJ,54,FALSE)="Roll-over","Roll-Over","Modelled"))</f>
        <v>Modelled</v>
      </c>
      <c r="L22" s="369">
        <v>172</v>
      </c>
      <c r="M22" s="242" t="s">
        <v>16</v>
      </c>
      <c r="N22" s="451">
        <f>VLOOKUP($L22,'14-15 tariff'!$A:$F,3,FALSE)</f>
        <v>268</v>
      </c>
      <c r="O22" s="453">
        <f>VLOOKUP($L22,'14-15 tariff'!$A:$F,4,FALSE)</f>
        <v>268</v>
      </c>
      <c r="P22" s="453">
        <f>VLOOKUP($L22,'14-15 tariff'!$A:$F,5,FALSE)</f>
        <v>151</v>
      </c>
      <c r="Q22" s="242">
        <f>VLOOKUP($L22,'14-15 tariff'!$A:$F,6,FALSE)</f>
        <v>229</v>
      </c>
      <c r="S22" s="369">
        <v>172</v>
      </c>
      <c r="T22" s="242" t="s">
        <v>16</v>
      </c>
      <c r="U22" s="652">
        <f t="shared" si="0"/>
        <v>2.7465444105999604E-2</v>
      </c>
      <c r="V22" s="653">
        <f t="shared" si="1"/>
        <v>2.7465444105999604E-2</v>
      </c>
      <c r="W22" s="653">
        <f t="shared" si="2"/>
        <v>0.18746943230434376</v>
      </c>
      <c r="X22" s="654">
        <f t="shared" si="3"/>
        <v>-0.21699613852421007</v>
      </c>
    </row>
    <row r="23" spans="1:24">
      <c r="A23" s="369">
        <v>173</v>
      </c>
      <c r="B23" s="242" t="s">
        <v>17</v>
      </c>
      <c r="C23" s="451">
        <f>VLOOKUP($A23,PRICES!$A:$CJ,76,FALSE)</f>
        <v>270.33939739882868</v>
      </c>
      <c r="D23" s="453">
        <f>VLOOKUP($A23,PRICES!$A:$CJ,77,FALSE)</f>
        <v>272.39165528340305</v>
      </c>
      <c r="E23" s="453">
        <f>VLOOKUP($A23,PRICES!$A:$CJ,78,FALSE)</f>
        <v>166.25144633885711</v>
      </c>
      <c r="F23" s="242">
        <f>VLOOKUP($A23,PRICES!$A:$CJ,79,FALSE)</f>
        <v>167.21829208180216</v>
      </c>
      <c r="G23" s="369" t="str">
        <f>IF(VLOOKUP($A23,PRICES!$A:$CJ,70,FALSE)="Y","Manual Adjusted",IF(VLOOKUP($A23,PRICES!$A:$CJ,51,FALSE)="Roll-over","Roll-Over","Modelled"))</f>
        <v>Modelled</v>
      </c>
      <c r="H23" s="460" t="str">
        <f>IF(VLOOKUP($A23,PRICES!$A:$CJ,70,FALSE)="Y","Manual Adjusted",IF(VLOOKUP($A23,PRICES!$A:$CJ,52,FALSE)="Roll-over","Roll-Over","Modelled"))</f>
        <v>Modelled</v>
      </c>
      <c r="I23" s="460" t="str">
        <f>IF(VLOOKUP($A23,PRICES!$A:$CJ,70,FALSE)="Y","Manual Adjusted",IF(VLOOKUP($A23,PRICES!$A:$CJ,53,FALSE)="Roll-over","Roll-Over","Modelled"))</f>
        <v>Modelled</v>
      </c>
      <c r="J23" s="461" t="str">
        <f>IF(VLOOKUP($A23,PRICES!$A:$CJ,70,FALSE)="Y","Manual Adjusted",IF(VLOOKUP($A23,PRICES!$A:$CJ,54,FALSE)="Roll-over","Roll-Over","Modelled"))</f>
        <v>Modelled</v>
      </c>
      <c r="L23" s="369">
        <v>173</v>
      </c>
      <c r="M23" s="242" t="s">
        <v>17</v>
      </c>
      <c r="N23" s="451">
        <f>VLOOKUP($L23,'14-15 tariff'!$A:$F,3,FALSE)</f>
        <v>227</v>
      </c>
      <c r="O23" s="453">
        <f>VLOOKUP($L23,'14-15 tariff'!$A:$F,4,FALSE)</f>
        <v>227</v>
      </c>
      <c r="P23" s="453">
        <f>VLOOKUP($L23,'14-15 tariff'!$A:$F,5,FALSE)</f>
        <v>146</v>
      </c>
      <c r="Q23" s="242">
        <f>VLOOKUP($L23,'14-15 tariff'!$A:$F,6,FALSE)</f>
        <v>155</v>
      </c>
      <c r="S23" s="369">
        <v>173</v>
      </c>
      <c r="T23" s="242" t="s">
        <v>17</v>
      </c>
      <c r="U23" s="652">
        <f t="shared" si="0"/>
        <v>0.19092245550144793</v>
      </c>
      <c r="V23" s="653">
        <f t="shared" si="1"/>
        <v>0.1999632391339341</v>
      </c>
      <c r="W23" s="653">
        <f t="shared" si="2"/>
        <v>0.13870853656751447</v>
      </c>
      <c r="X23" s="654">
        <f t="shared" si="3"/>
        <v>7.8827690850336474E-2</v>
      </c>
    </row>
    <row r="24" spans="1:24">
      <c r="A24" s="369">
        <v>190</v>
      </c>
      <c r="B24" s="242" t="s">
        <v>18</v>
      </c>
      <c r="C24" s="451">
        <f>VLOOKUP($A24,PRICES!$A:$CJ,76,FALSE)</f>
        <v>92.939131712481796</v>
      </c>
      <c r="D24" s="453">
        <f>VLOOKUP($A24,PRICES!$A:$CJ,77,FALSE)</f>
        <v>92.939131712481796</v>
      </c>
      <c r="E24" s="453">
        <f>VLOOKUP($A24,PRICES!$A:$CJ,78,FALSE)</f>
        <v>59.725169865382611</v>
      </c>
      <c r="F24" s="242">
        <f>VLOOKUP($A24,PRICES!$A:$CJ,79,FALSE)</f>
        <v>82.817702318652877</v>
      </c>
      <c r="G24" s="369" t="str">
        <f>IF(VLOOKUP($A24,PRICES!$A:$CJ,70,FALSE)="Y","Manual Adjusted",IF(VLOOKUP($A24,PRICES!$A:$CJ,51,FALSE)="Roll-over","Roll-Over","Modelled"))</f>
        <v>Modelled</v>
      </c>
      <c r="H24" s="460" t="str">
        <f>IF(VLOOKUP($A24,PRICES!$A:$CJ,70,FALSE)="Y","Manual Adjusted",IF(VLOOKUP($A24,PRICES!$A:$CJ,52,FALSE)="Roll-over","Roll-Over","Modelled"))</f>
        <v>Modelled</v>
      </c>
      <c r="I24" s="460" t="str">
        <f>IF(VLOOKUP($A24,PRICES!$A:$CJ,70,FALSE)="Y","Manual Adjusted",IF(VLOOKUP($A24,PRICES!$A:$CJ,53,FALSE)="Roll-over","Roll-Over","Modelled"))</f>
        <v>Modelled</v>
      </c>
      <c r="J24" s="461" t="str">
        <f>IF(VLOOKUP($A24,PRICES!$A:$CJ,70,FALSE)="Y","Manual Adjusted",IF(VLOOKUP($A24,PRICES!$A:$CJ,54,FALSE)="Roll-over","Roll-Over","Modelled"))</f>
        <v>Modelled</v>
      </c>
      <c r="L24" s="369">
        <v>190</v>
      </c>
      <c r="M24" s="242" t="s">
        <v>18</v>
      </c>
      <c r="N24" s="451">
        <f>VLOOKUP($L24,'14-15 tariff'!$A:$F,3,FALSE)</f>
        <v>125</v>
      </c>
      <c r="O24" s="453">
        <f>VLOOKUP($L24,'14-15 tariff'!$A:$F,4,FALSE)</f>
        <v>125</v>
      </c>
      <c r="P24" s="453">
        <f>VLOOKUP($L24,'14-15 tariff'!$A:$F,5,FALSE)</f>
        <v>65</v>
      </c>
      <c r="Q24" s="242">
        <f>VLOOKUP($L24,'14-15 tariff'!$A:$F,6,FALSE)</f>
        <v>95</v>
      </c>
      <c r="S24" s="369">
        <v>190</v>
      </c>
      <c r="T24" s="242" t="s">
        <v>18</v>
      </c>
      <c r="U24" s="652">
        <f t="shared" si="0"/>
        <v>-0.25648694630014568</v>
      </c>
      <c r="V24" s="653">
        <f t="shared" si="1"/>
        <v>-0.25648694630014568</v>
      </c>
      <c r="W24" s="653">
        <f t="shared" si="2"/>
        <v>-8.1151232840267484E-2</v>
      </c>
      <c r="X24" s="654">
        <f t="shared" si="3"/>
        <v>-0.12823471243523288</v>
      </c>
    </row>
    <row r="25" spans="1:24">
      <c r="A25" s="369">
        <v>191</v>
      </c>
      <c r="B25" s="242" t="s">
        <v>19</v>
      </c>
      <c r="C25" s="451">
        <f>VLOOKUP($A25,PRICES!$A:$CJ,76,FALSE)</f>
        <v>161.73580080572822</v>
      </c>
      <c r="D25" s="453">
        <f>VLOOKUP($A25,PRICES!$A:$CJ,77,FALSE)</f>
        <v>161.73580080572822</v>
      </c>
      <c r="E25" s="453">
        <f>VLOOKUP($A25,PRICES!$A:$CJ,78,FALSE)</f>
        <v>90.808599633208573</v>
      </c>
      <c r="F25" s="242">
        <f>VLOOKUP($A25,PRICES!$A:$CJ,79,FALSE)</f>
        <v>90.808599633208573</v>
      </c>
      <c r="G25" s="369" t="str">
        <f>IF(VLOOKUP($A25,PRICES!$A:$CJ,70,FALSE)="Y","Manual Adjusted",IF(VLOOKUP($A25,PRICES!$A:$CJ,51,FALSE)="Roll-over","Roll-Over","Modelled"))</f>
        <v>Modelled</v>
      </c>
      <c r="H25" s="460" t="str">
        <f>IF(VLOOKUP($A25,PRICES!$A:$CJ,70,FALSE)="Y","Manual Adjusted",IF(VLOOKUP($A25,PRICES!$A:$CJ,52,FALSE)="Roll-over","Roll-Over","Modelled"))</f>
        <v>Modelled</v>
      </c>
      <c r="I25" s="460" t="str">
        <f>IF(VLOOKUP($A25,PRICES!$A:$CJ,70,FALSE)="Y","Manual Adjusted",IF(VLOOKUP($A25,PRICES!$A:$CJ,53,FALSE)="Roll-over","Roll-Over","Modelled"))</f>
        <v>Modelled</v>
      </c>
      <c r="J25" s="461" t="str">
        <f>IF(VLOOKUP($A25,PRICES!$A:$CJ,70,FALSE)="Y","Manual Adjusted",IF(VLOOKUP($A25,PRICES!$A:$CJ,54,FALSE)="Roll-over","Roll-Over","Modelled"))</f>
        <v>Modelled</v>
      </c>
      <c r="L25" s="369">
        <v>191</v>
      </c>
      <c r="M25" s="242" t="s">
        <v>19</v>
      </c>
      <c r="N25" s="451">
        <f>VLOOKUP($L25,'14-15 tariff'!$A:$F,3,FALSE)</f>
        <v>168</v>
      </c>
      <c r="O25" s="453">
        <f>VLOOKUP($L25,'14-15 tariff'!$A:$F,4,FALSE)</f>
        <v>168</v>
      </c>
      <c r="P25" s="453">
        <f>VLOOKUP($L25,'14-15 tariff'!$A:$F,5,FALSE)</f>
        <v>89</v>
      </c>
      <c r="Q25" s="242">
        <f>VLOOKUP($L25,'14-15 tariff'!$A:$F,6,FALSE)</f>
        <v>123</v>
      </c>
      <c r="S25" s="369">
        <v>191</v>
      </c>
      <c r="T25" s="242" t="s">
        <v>19</v>
      </c>
      <c r="U25" s="652">
        <f t="shared" si="0"/>
        <v>-3.7286899965903508E-2</v>
      </c>
      <c r="V25" s="653">
        <f t="shared" si="1"/>
        <v>-3.7286899965903508E-2</v>
      </c>
      <c r="W25" s="653">
        <f t="shared" si="2"/>
        <v>2.032134419335474E-2</v>
      </c>
      <c r="X25" s="654">
        <f t="shared" si="3"/>
        <v>-0.26171870216903603</v>
      </c>
    </row>
    <row r="26" spans="1:24">
      <c r="A26" s="369">
        <v>211</v>
      </c>
      <c r="B26" s="242" t="s">
        <v>20</v>
      </c>
      <c r="C26" s="451">
        <f>VLOOKUP($A26,PRICES!$A:$CJ,76,FALSE)</f>
        <v>170.11814675297509</v>
      </c>
      <c r="D26" s="453">
        <f>VLOOKUP($A26,PRICES!$A:$CJ,77,FALSE)</f>
        <v>298.64303076875052</v>
      </c>
      <c r="E26" s="453">
        <f>VLOOKUP($A26,PRICES!$A:$CJ,78,FALSE)</f>
        <v>141.41316639534045</v>
      </c>
      <c r="F26" s="242">
        <f>VLOOKUP($A26,PRICES!$A:$CJ,79,FALSE)</f>
        <v>203.81230163937548</v>
      </c>
      <c r="G26" s="369" t="str">
        <f>IF(VLOOKUP($A26,PRICES!$A:$CJ,70,FALSE)="Y","Manual Adjusted",IF(VLOOKUP($A26,PRICES!$A:$CJ,51,FALSE)="Roll-over","Roll-Over","Modelled"))</f>
        <v>Modelled</v>
      </c>
      <c r="H26" s="460" t="str">
        <f>IF(VLOOKUP($A26,PRICES!$A:$CJ,70,FALSE)="Y","Manual Adjusted",IF(VLOOKUP($A26,PRICES!$A:$CJ,52,FALSE)="Roll-over","Roll-Over","Modelled"))</f>
        <v>Modelled</v>
      </c>
      <c r="I26" s="460" t="str">
        <f>IF(VLOOKUP($A26,PRICES!$A:$CJ,70,FALSE)="Y","Manual Adjusted",IF(VLOOKUP($A26,PRICES!$A:$CJ,53,FALSE)="Roll-over","Roll-Over","Modelled"))</f>
        <v>Modelled</v>
      </c>
      <c r="J26" s="461" t="str">
        <f>IF(VLOOKUP($A26,PRICES!$A:$CJ,70,FALSE)="Y","Manual Adjusted",IF(VLOOKUP($A26,PRICES!$A:$CJ,54,FALSE)="Roll-over","Roll-Over","Modelled"))</f>
        <v>Modelled</v>
      </c>
      <c r="L26" s="369">
        <v>211</v>
      </c>
      <c r="M26" s="242" t="s">
        <v>20</v>
      </c>
      <c r="N26" s="451">
        <f>VLOOKUP($L26,'14-15 tariff'!$A:$F,3,FALSE)</f>
        <v>162</v>
      </c>
      <c r="O26" s="453">
        <f>VLOOKUP($L26,'14-15 tariff'!$A:$F,4,FALSE)</f>
        <v>162</v>
      </c>
      <c r="P26" s="453">
        <f>VLOOKUP($L26,'14-15 tariff'!$A:$F,5,FALSE)</f>
        <v>94</v>
      </c>
      <c r="Q26" s="242">
        <f>VLOOKUP($L26,'14-15 tariff'!$A:$F,6,FALSE)</f>
        <v>106</v>
      </c>
      <c r="S26" s="369">
        <v>211</v>
      </c>
      <c r="T26" s="242" t="s">
        <v>20</v>
      </c>
      <c r="U26" s="652">
        <f t="shared" si="0"/>
        <v>5.0112016993673514E-2</v>
      </c>
      <c r="V26" s="653">
        <f t="shared" si="1"/>
        <v>0.84347549857253412</v>
      </c>
      <c r="W26" s="653">
        <f t="shared" si="2"/>
        <v>0.50439538718447285</v>
      </c>
      <c r="X26" s="654">
        <f t="shared" si="3"/>
        <v>0.9227575626356177</v>
      </c>
    </row>
    <row r="27" spans="1:24">
      <c r="A27" s="369">
        <v>214</v>
      </c>
      <c r="B27" s="242" t="s">
        <v>58</v>
      </c>
      <c r="C27" s="451">
        <f>VLOOKUP($A27,PRICES!$A:$CJ,76,FALSE)</f>
        <v>143.37857435719246</v>
      </c>
      <c r="D27" s="453">
        <f>VLOOKUP($A27,PRICES!$A:$CJ,77,FALSE)</f>
        <v>143.37857435719246</v>
      </c>
      <c r="E27" s="453">
        <f>VLOOKUP($A27,PRICES!$A:$CJ,78,FALSE)</f>
        <v>92.077668044044231</v>
      </c>
      <c r="F27" s="242">
        <f>VLOOKUP($A27,PRICES!$A:$CJ,79,FALSE)</f>
        <v>107.34581452692588</v>
      </c>
      <c r="G27" s="369" t="str">
        <f>IF(VLOOKUP($A27,PRICES!$A:$CJ,70,FALSE)="Y","Manual Adjusted",IF(VLOOKUP($A27,PRICES!$A:$CJ,51,FALSE)="Roll-over","Roll-Over","Modelled"))</f>
        <v>Modelled</v>
      </c>
      <c r="H27" s="460" t="str">
        <f>IF(VLOOKUP($A27,PRICES!$A:$CJ,70,FALSE)="Y","Manual Adjusted",IF(VLOOKUP($A27,PRICES!$A:$CJ,52,FALSE)="Roll-over","Roll-Over","Modelled"))</f>
        <v>Modelled</v>
      </c>
      <c r="I27" s="460" t="str">
        <f>IF(VLOOKUP($A27,PRICES!$A:$CJ,70,FALSE)="Y","Manual Adjusted",IF(VLOOKUP($A27,PRICES!$A:$CJ,53,FALSE)="Roll-over","Roll-Over","Modelled"))</f>
        <v>Modelled</v>
      </c>
      <c r="J27" s="461" t="str">
        <f>IF(VLOOKUP($A27,PRICES!$A:$CJ,70,FALSE)="Y","Manual Adjusted",IF(VLOOKUP($A27,PRICES!$A:$CJ,54,FALSE)="Roll-over","Roll-Over","Modelled"))</f>
        <v>Modelled</v>
      </c>
      <c r="L27" s="369">
        <v>214</v>
      </c>
      <c r="M27" s="242" t="s">
        <v>58</v>
      </c>
      <c r="N27" s="451">
        <f>VLOOKUP($L27,'14-15 tariff'!$A:$F,3,FALSE)</f>
        <v>139</v>
      </c>
      <c r="O27" s="453">
        <f>VLOOKUP($L27,'14-15 tariff'!$A:$F,4,FALSE)</f>
        <v>139</v>
      </c>
      <c r="P27" s="453">
        <f>VLOOKUP($L27,'14-15 tariff'!$A:$F,5,FALSE)</f>
        <v>92</v>
      </c>
      <c r="Q27" s="242">
        <f>VLOOKUP($L27,'14-15 tariff'!$A:$F,6,FALSE)</f>
        <v>100</v>
      </c>
      <c r="S27" s="369">
        <v>214</v>
      </c>
      <c r="T27" s="242" t="s">
        <v>58</v>
      </c>
      <c r="U27" s="652">
        <f t="shared" si="0"/>
        <v>3.1500534943830649E-2</v>
      </c>
      <c r="V27" s="653">
        <f t="shared" si="1"/>
        <v>3.1500534943830649E-2</v>
      </c>
      <c r="W27" s="653">
        <f t="shared" si="2"/>
        <v>8.4421787004607118E-4</v>
      </c>
      <c r="X27" s="654">
        <f t="shared" si="3"/>
        <v>7.3458145269258868E-2</v>
      </c>
    </row>
    <row r="28" spans="1:24">
      <c r="A28" s="369">
        <v>215</v>
      </c>
      <c r="B28" s="242" t="s">
        <v>59</v>
      </c>
      <c r="C28" s="454">
        <f>VLOOKUP($A28,PRICES!$A:$CJ,76,FALSE)</f>
        <v>105.41525762687209</v>
      </c>
      <c r="D28" s="452">
        <f>VLOOKUP($A28,PRICES!$A:$CJ,77,FALSE)</f>
        <v>164.59511984800105</v>
      </c>
      <c r="E28" s="452">
        <f>VLOOKUP($A28,PRICES!$A:$CJ,78,FALSE)</f>
        <v>65.000595658196275</v>
      </c>
      <c r="F28" s="243">
        <f>VLOOKUP($A28,PRICES!$A:$CJ,79,FALSE)</f>
        <v>90.109763020838017</v>
      </c>
      <c r="G28" s="369" t="str">
        <f>IF(VLOOKUP($A28,PRICES!$A:$CJ,70,FALSE)="Y","Manual Adjusted",IF(VLOOKUP($A28,PRICES!$A:$CJ,51,FALSE)="Roll-over","Roll-Over","Modelled"))</f>
        <v>Modelled</v>
      </c>
      <c r="H28" s="460" t="str">
        <f>IF(VLOOKUP($A28,PRICES!$A:$CJ,70,FALSE)="Y","Manual Adjusted",IF(VLOOKUP($A28,PRICES!$A:$CJ,52,FALSE)="Roll-over","Roll-Over","Modelled"))</f>
        <v>Modelled</v>
      </c>
      <c r="I28" s="460" t="str">
        <f>IF(VLOOKUP($A28,PRICES!$A:$CJ,70,FALSE)="Y","Manual Adjusted",IF(VLOOKUP($A28,PRICES!$A:$CJ,53,FALSE)="Roll-over","Roll-Over","Modelled"))</f>
        <v>Modelled</v>
      </c>
      <c r="J28" s="461" t="str">
        <f>IF(VLOOKUP($A28,PRICES!$A:$CJ,70,FALSE)="Y","Manual Adjusted",IF(VLOOKUP($A28,PRICES!$A:$CJ,54,FALSE)="Roll-over","Roll-Over","Modelled"))</f>
        <v>Modelled</v>
      </c>
      <c r="L28" s="369">
        <v>215</v>
      </c>
      <c r="M28" s="242" t="s">
        <v>59</v>
      </c>
      <c r="N28" s="454">
        <f>VLOOKUP($L28,'14-15 tariff'!$A:$F,3,FALSE)</f>
        <v>103</v>
      </c>
      <c r="O28" s="452">
        <f>VLOOKUP($L28,'14-15 tariff'!$A:$F,4,FALSE)</f>
        <v>136</v>
      </c>
      <c r="P28" s="452">
        <f>VLOOKUP($L28,'14-15 tariff'!$A:$F,5,FALSE)</f>
        <v>65</v>
      </c>
      <c r="Q28" s="243">
        <f>VLOOKUP($L28,'14-15 tariff'!$A:$F,6,FALSE)</f>
        <v>81</v>
      </c>
      <c r="S28" s="369">
        <v>215</v>
      </c>
      <c r="T28" s="242" t="s">
        <v>59</v>
      </c>
      <c r="U28" s="652">
        <f t="shared" si="0"/>
        <v>2.344910317351534E-2</v>
      </c>
      <c r="V28" s="653">
        <f t="shared" si="1"/>
        <v>0.21025823417647826</v>
      </c>
      <c r="W28" s="653">
        <f t="shared" si="2"/>
        <v>9.1639722503700227E-6</v>
      </c>
      <c r="X28" s="654">
        <f t="shared" si="3"/>
        <v>0.11246621013380276</v>
      </c>
    </row>
    <row r="29" spans="1:24">
      <c r="A29" s="369">
        <v>216</v>
      </c>
      <c r="B29" s="242" t="s">
        <v>21</v>
      </c>
      <c r="C29" s="454">
        <f>VLOOKUP($A29,PRICES!$A:$CJ,76,FALSE)</f>
        <v>133.51821396237895</v>
      </c>
      <c r="D29" s="452">
        <f>VLOOKUP($A29,PRICES!$A:$CJ,77,FALSE)</f>
        <v>162.81028489562331</v>
      </c>
      <c r="E29" s="452">
        <f>VLOOKUP($A29,PRICES!$A:$CJ,78,FALSE)</f>
        <v>80.228863086774055</v>
      </c>
      <c r="F29" s="243">
        <f>VLOOKUP($A29,PRICES!$A:$CJ,79,FALSE)</f>
        <v>133.17884838113088</v>
      </c>
      <c r="G29" s="369" t="str">
        <f>IF(VLOOKUP($A29,PRICES!$A:$CJ,70,FALSE)="Y","Manual Adjusted",IF(VLOOKUP($A29,PRICES!$A:$CJ,51,FALSE)="Roll-over","Roll-Over","Modelled"))</f>
        <v>Modelled</v>
      </c>
      <c r="H29" s="460" t="str">
        <f>IF(VLOOKUP($A29,PRICES!$A:$CJ,70,FALSE)="Y","Manual Adjusted",IF(VLOOKUP($A29,PRICES!$A:$CJ,52,FALSE)="Roll-over","Roll-Over","Modelled"))</f>
        <v>Modelled</v>
      </c>
      <c r="I29" s="460" t="str">
        <f>IF(VLOOKUP($A29,PRICES!$A:$CJ,70,FALSE)="Y","Manual Adjusted",IF(VLOOKUP($A29,PRICES!$A:$CJ,53,FALSE)="Roll-over","Roll-Over","Modelled"))</f>
        <v>Modelled</v>
      </c>
      <c r="J29" s="461" t="str">
        <f>IF(VLOOKUP($A29,PRICES!$A:$CJ,70,FALSE)="Y","Manual Adjusted",IF(VLOOKUP($A29,PRICES!$A:$CJ,54,FALSE)="Roll-over","Roll-Over","Modelled"))</f>
        <v>Modelled</v>
      </c>
      <c r="L29" s="369">
        <v>216</v>
      </c>
      <c r="M29" s="242" t="s">
        <v>21</v>
      </c>
      <c r="N29" s="454">
        <f>VLOOKUP($L29,'14-15 tariff'!$A:$F,3,FALSE)</f>
        <v>149</v>
      </c>
      <c r="O29" s="452">
        <f>VLOOKUP($L29,'14-15 tariff'!$A:$F,4,FALSE)</f>
        <v>149</v>
      </c>
      <c r="P29" s="452">
        <f>VLOOKUP($L29,'14-15 tariff'!$A:$F,5,FALSE)</f>
        <v>100</v>
      </c>
      <c r="Q29" s="243">
        <f>VLOOKUP($L29,'14-15 tariff'!$A:$F,6,FALSE)</f>
        <v>108</v>
      </c>
      <c r="S29" s="369">
        <v>216</v>
      </c>
      <c r="T29" s="242" t="s">
        <v>21</v>
      </c>
      <c r="U29" s="652">
        <f t="shared" si="0"/>
        <v>-0.1039046042793359</v>
      </c>
      <c r="V29" s="653">
        <f t="shared" si="1"/>
        <v>9.2686475809552471E-2</v>
      </c>
      <c r="W29" s="653">
        <f t="shared" si="2"/>
        <v>-0.1977113691322594</v>
      </c>
      <c r="X29" s="654">
        <f t="shared" si="3"/>
        <v>0.23313748501047105</v>
      </c>
    </row>
    <row r="30" spans="1:24">
      <c r="A30" s="369">
        <v>217</v>
      </c>
      <c r="B30" s="242" t="s">
        <v>22</v>
      </c>
      <c r="C30" s="454">
        <f>VLOOKUP($A30,PRICES!$A:$CJ,76,FALSE)</f>
        <v>126.25970777449457</v>
      </c>
      <c r="D30" s="452">
        <f>VLOOKUP($A30,PRICES!$A:$CJ,77,FALSE)</f>
        <v>208.73636380824291</v>
      </c>
      <c r="E30" s="452">
        <f>VLOOKUP($A30,PRICES!$A:$CJ,78,FALSE)</f>
        <v>126.25970777449457</v>
      </c>
      <c r="F30" s="243">
        <f>VLOOKUP($A30,PRICES!$A:$CJ,79,FALSE)</f>
        <v>184.70961857127926</v>
      </c>
      <c r="G30" s="369" t="str">
        <f>IF(VLOOKUP($A30,PRICES!$A:$CJ,70,FALSE)="Y","Manual Adjusted",IF(VLOOKUP($A30,PRICES!$A:$CJ,51,FALSE)="Roll-over","Roll-Over","Modelled"))</f>
        <v>Modelled</v>
      </c>
      <c r="H30" s="460" t="str">
        <f>IF(VLOOKUP($A30,PRICES!$A:$CJ,70,FALSE)="Y","Manual Adjusted",IF(VLOOKUP($A30,PRICES!$A:$CJ,52,FALSE)="Roll-over","Roll-Over","Modelled"))</f>
        <v>Modelled</v>
      </c>
      <c r="I30" s="460" t="str">
        <f>IF(VLOOKUP($A30,PRICES!$A:$CJ,70,FALSE)="Y","Manual Adjusted",IF(VLOOKUP($A30,PRICES!$A:$CJ,53,FALSE)="Roll-over","Roll-Over","Modelled"))</f>
        <v>Modelled</v>
      </c>
      <c r="J30" s="461" t="str">
        <f>IF(VLOOKUP($A30,PRICES!$A:$CJ,70,FALSE)="Y","Manual Adjusted",IF(VLOOKUP($A30,PRICES!$A:$CJ,54,FALSE)="Roll-over","Roll-Over","Modelled"))</f>
        <v>Modelled</v>
      </c>
      <c r="L30" s="369">
        <v>217</v>
      </c>
      <c r="M30" s="242" t="s">
        <v>22</v>
      </c>
      <c r="N30" s="454">
        <f>VLOOKUP($L30,'14-15 tariff'!$A:$F,3,FALSE)</f>
        <v>188</v>
      </c>
      <c r="O30" s="452">
        <f>VLOOKUP($L30,'14-15 tariff'!$A:$F,4,FALSE)</f>
        <v>375</v>
      </c>
      <c r="P30" s="452">
        <f>VLOOKUP($L30,'14-15 tariff'!$A:$F,5,FALSE)</f>
        <v>133</v>
      </c>
      <c r="Q30" s="243">
        <f>VLOOKUP($L30,'14-15 tariff'!$A:$F,6,FALSE)</f>
        <v>264</v>
      </c>
      <c r="S30" s="369">
        <v>217</v>
      </c>
      <c r="T30" s="242" t="s">
        <v>22</v>
      </c>
      <c r="U30" s="652">
        <f t="shared" si="0"/>
        <v>-0.32840580971013522</v>
      </c>
      <c r="V30" s="653">
        <f t="shared" si="1"/>
        <v>-0.44336969651135227</v>
      </c>
      <c r="W30" s="653">
        <f t="shared" si="2"/>
        <v>-5.0678888913574638E-2</v>
      </c>
      <c r="X30" s="654">
        <f t="shared" si="3"/>
        <v>-0.30034235389666941</v>
      </c>
    </row>
    <row r="31" spans="1:24">
      <c r="A31" s="369">
        <v>219</v>
      </c>
      <c r="B31" s="242" t="s">
        <v>23</v>
      </c>
      <c r="C31" s="454">
        <f>VLOOKUP($A31,PRICES!$A:$CJ,76,FALSE)</f>
        <v>135.19200575573416</v>
      </c>
      <c r="D31" s="452">
        <f>VLOOKUP($A31,PRICES!$A:$CJ,77,FALSE)</f>
        <v>190.34395965492132</v>
      </c>
      <c r="E31" s="452">
        <f>VLOOKUP($A31,PRICES!$A:$CJ,78,FALSE)</f>
        <v>103.08406920539316</v>
      </c>
      <c r="F31" s="243">
        <f>VLOOKUP($A31,PRICES!$A:$CJ,79,FALSE)</f>
        <v>103.08406920539316</v>
      </c>
      <c r="G31" s="369" t="str">
        <f>IF(VLOOKUP($A31,PRICES!$A:$CJ,70,FALSE)="Y","Manual Adjusted",IF(VLOOKUP($A31,PRICES!$A:$CJ,51,FALSE)="Roll-over","Roll-Over","Modelled"))</f>
        <v>Modelled</v>
      </c>
      <c r="H31" s="460" t="str">
        <f>IF(VLOOKUP($A31,PRICES!$A:$CJ,70,FALSE)="Y","Manual Adjusted",IF(VLOOKUP($A31,PRICES!$A:$CJ,52,FALSE)="Roll-over","Roll-Over","Modelled"))</f>
        <v>Modelled</v>
      </c>
      <c r="I31" s="460" t="str">
        <f>IF(VLOOKUP($A31,PRICES!$A:$CJ,70,FALSE)="Y","Manual Adjusted",IF(VLOOKUP($A31,PRICES!$A:$CJ,53,FALSE)="Roll-over","Roll-Over","Modelled"))</f>
        <v>Modelled</v>
      </c>
      <c r="J31" s="461" t="str">
        <f>IF(VLOOKUP($A31,PRICES!$A:$CJ,70,FALSE)="Y","Manual Adjusted",IF(VLOOKUP($A31,PRICES!$A:$CJ,54,FALSE)="Roll-over","Roll-Over","Modelled"))</f>
        <v>Modelled</v>
      </c>
      <c r="L31" s="369">
        <v>219</v>
      </c>
      <c r="M31" s="242" t="s">
        <v>23</v>
      </c>
      <c r="N31" s="454">
        <f>VLOOKUP($L31,'14-15 tariff'!$A:$F,3,FALSE)</f>
        <v>134</v>
      </c>
      <c r="O31" s="452">
        <f>VLOOKUP($L31,'14-15 tariff'!$A:$F,4,FALSE)</f>
        <v>267</v>
      </c>
      <c r="P31" s="452">
        <f>VLOOKUP($L31,'14-15 tariff'!$A:$F,5,FALSE)</f>
        <v>99</v>
      </c>
      <c r="Q31" s="243">
        <f>VLOOKUP($L31,'14-15 tariff'!$A:$F,6,FALSE)</f>
        <v>115</v>
      </c>
      <c r="S31" s="369">
        <v>219</v>
      </c>
      <c r="T31" s="242" t="s">
        <v>23</v>
      </c>
      <c r="U31" s="652">
        <f t="shared" si="0"/>
        <v>8.8955653412996494E-3</v>
      </c>
      <c r="V31" s="653">
        <f t="shared" si="1"/>
        <v>-0.28710127470066926</v>
      </c>
      <c r="W31" s="653">
        <f t="shared" si="2"/>
        <v>4.1253224296900592E-2</v>
      </c>
      <c r="X31" s="654">
        <f t="shared" si="3"/>
        <v>-0.10361678951832032</v>
      </c>
    </row>
    <row r="32" spans="1:24">
      <c r="A32" s="369">
        <v>223</v>
      </c>
      <c r="B32" s="242" t="s">
        <v>60</v>
      </c>
      <c r="C32" s="454">
        <f>VLOOKUP($A32,PRICES!$A:$CJ,76,FALSE)</f>
        <v>209.41088477688211</v>
      </c>
      <c r="D32" s="452">
        <f>VLOOKUP($A32,PRICES!$A:$CJ,77,FALSE)</f>
        <v>209.41088477688211</v>
      </c>
      <c r="E32" s="452">
        <f>VLOOKUP($A32,PRICES!$A:$CJ,78,FALSE)</f>
        <v>167.92382269844319</v>
      </c>
      <c r="F32" s="243">
        <f>VLOOKUP($A32,PRICES!$A:$CJ,79,FALSE)</f>
        <v>167.92382269844319</v>
      </c>
      <c r="G32" s="369" t="str">
        <f>IF(VLOOKUP($A32,PRICES!$A:$CJ,70,FALSE)="Y","Manual Adjusted",IF(VLOOKUP($A32,PRICES!$A:$CJ,51,FALSE)="Roll-over","Roll-Over","Modelled"))</f>
        <v>Roll-Over</v>
      </c>
      <c r="H32" s="460" t="str">
        <f>IF(VLOOKUP($A32,PRICES!$A:$CJ,70,FALSE)="Y","Manual Adjusted",IF(VLOOKUP($A32,PRICES!$A:$CJ,52,FALSE)="Roll-over","Roll-Over","Modelled"))</f>
        <v>Roll-Over</v>
      </c>
      <c r="I32" s="460" t="str">
        <f>IF(VLOOKUP($A32,PRICES!$A:$CJ,70,FALSE)="Y","Manual Adjusted",IF(VLOOKUP($A32,PRICES!$A:$CJ,53,FALSE)="Roll-over","Roll-Over","Modelled"))</f>
        <v>Roll-Over</v>
      </c>
      <c r="J32" s="461" t="str">
        <f>IF(VLOOKUP($A32,PRICES!$A:$CJ,70,FALSE)="Y","Manual Adjusted",IF(VLOOKUP($A32,PRICES!$A:$CJ,54,FALSE)="Roll-over","Roll-Over","Modelled"))</f>
        <v>Roll-Over</v>
      </c>
      <c r="L32" s="369">
        <v>223</v>
      </c>
      <c r="M32" s="242" t="s">
        <v>60</v>
      </c>
      <c r="N32" s="454">
        <f>VLOOKUP($L32,'14-15 tariff'!$A:$F,3,FALSE)</f>
        <v>212</v>
      </c>
      <c r="O32" s="452">
        <f>VLOOKUP($L32,'14-15 tariff'!$A:$F,4,FALSE)</f>
        <v>212</v>
      </c>
      <c r="P32" s="452">
        <f>VLOOKUP($L32,'14-15 tariff'!$A:$F,5,FALSE)</f>
        <v>170</v>
      </c>
      <c r="Q32" s="243">
        <f>VLOOKUP($L32,'14-15 tariff'!$A:$F,6,FALSE)</f>
        <v>170</v>
      </c>
      <c r="S32" s="369">
        <v>223</v>
      </c>
      <c r="T32" s="242" t="s">
        <v>60</v>
      </c>
      <c r="U32" s="652">
        <f t="shared" si="0"/>
        <v>-1.2212807656216462E-2</v>
      </c>
      <c r="V32" s="653">
        <f t="shared" si="1"/>
        <v>-1.2212807656216462E-2</v>
      </c>
      <c r="W32" s="653">
        <f t="shared" si="2"/>
        <v>-1.2212807656216573E-2</v>
      </c>
      <c r="X32" s="654">
        <f t="shared" si="3"/>
        <v>-1.2212807656216573E-2</v>
      </c>
    </row>
    <row r="33" spans="1:24">
      <c r="A33" s="369">
        <v>251</v>
      </c>
      <c r="B33" s="242" t="s">
        <v>38</v>
      </c>
      <c r="C33" s="454">
        <f>VLOOKUP($A33,PRICES!$A:$CJ,76,FALSE)</f>
        <v>252.03707650811037</v>
      </c>
      <c r="D33" s="452">
        <f>VLOOKUP($A33,PRICES!$A:$CJ,77,FALSE)</f>
        <v>252.03707650811037</v>
      </c>
      <c r="E33" s="452">
        <f>VLOOKUP($A33,PRICES!$A:$CJ,78,FALSE)</f>
        <v>146.44799839476832</v>
      </c>
      <c r="F33" s="243">
        <f>VLOOKUP($A33,PRICES!$A:$CJ,79,FALSE)</f>
        <v>146.44799839476832</v>
      </c>
      <c r="G33" s="369" t="str">
        <f>IF(VLOOKUP($A33,PRICES!$A:$CJ,70,FALSE)="Y","Manual Adjusted",IF(VLOOKUP($A33,PRICES!$A:$CJ,51,FALSE)="Roll-over","Roll-Over","Modelled"))</f>
        <v>Modelled</v>
      </c>
      <c r="H33" s="460" t="str">
        <f>IF(VLOOKUP($A33,PRICES!$A:$CJ,70,FALSE)="Y","Manual Adjusted",IF(VLOOKUP($A33,PRICES!$A:$CJ,52,FALSE)="Roll-over","Roll-Over","Modelled"))</f>
        <v>Modelled</v>
      </c>
      <c r="I33" s="460" t="str">
        <f>IF(VLOOKUP($A33,PRICES!$A:$CJ,70,FALSE)="Y","Manual Adjusted",IF(VLOOKUP($A33,PRICES!$A:$CJ,53,FALSE)="Roll-over","Roll-Over","Modelled"))</f>
        <v>Modelled</v>
      </c>
      <c r="J33" s="461" t="str">
        <f>IF(VLOOKUP($A33,PRICES!$A:$CJ,70,FALSE)="Y","Manual Adjusted",IF(VLOOKUP($A33,PRICES!$A:$CJ,54,FALSE)="Roll-over","Roll-Over","Modelled"))</f>
        <v>Modelled</v>
      </c>
      <c r="L33" s="369">
        <v>251</v>
      </c>
      <c r="M33" s="242" t="s">
        <v>38</v>
      </c>
      <c r="N33" s="454">
        <f>VLOOKUP($L33,'14-15 tariff'!$A:$F,3,FALSE)</f>
        <v>243</v>
      </c>
      <c r="O33" s="452">
        <f>VLOOKUP($L33,'14-15 tariff'!$A:$F,4,FALSE)</f>
        <v>258</v>
      </c>
      <c r="P33" s="452">
        <f>VLOOKUP($L33,'14-15 tariff'!$A:$F,5,FALSE)</f>
        <v>155</v>
      </c>
      <c r="Q33" s="243">
        <f>VLOOKUP($L33,'14-15 tariff'!$A:$F,6,FALSE)</f>
        <v>155</v>
      </c>
      <c r="S33" s="369">
        <v>251</v>
      </c>
      <c r="T33" s="242" t="s">
        <v>38</v>
      </c>
      <c r="U33" s="652">
        <f t="shared" si="0"/>
        <v>3.7189615259713538E-2</v>
      </c>
      <c r="V33" s="653">
        <f t="shared" si="1"/>
        <v>-2.3112106557711676E-2</v>
      </c>
      <c r="W33" s="653">
        <f t="shared" si="2"/>
        <v>-5.5174203904720498E-2</v>
      </c>
      <c r="X33" s="654">
        <f t="shared" si="3"/>
        <v>-5.5174203904720498E-2</v>
      </c>
    </row>
    <row r="34" spans="1:24">
      <c r="A34" s="369">
        <v>252</v>
      </c>
      <c r="B34" s="242" t="s">
        <v>39</v>
      </c>
      <c r="C34" s="454">
        <f>VLOOKUP($A34,PRICES!$A:$CJ,76,FALSE)</f>
        <v>378.40437020925856</v>
      </c>
      <c r="D34" s="452">
        <f>VLOOKUP($A34,PRICES!$A:$CJ,77,FALSE)</f>
        <v>378.40437020925856</v>
      </c>
      <c r="E34" s="452">
        <f>VLOOKUP($A34,PRICES!$A:$CJ,78,FALSE)</f>
        <v>182.68231734094027</v>
      </c>
      <c r="F34" s="243">
        <f>VLOOKUP($A34,PRICES!$A:$CJ,79,FALSE)</f>
        <v>196.50984381445119</v>
      </c>
      <c r="G34" s="369" t="str">
        <f>IF(VLOOKUP($A34,PRICES!$A:$CJ,70,FALSE)="Y","Manual Adjusted",IF(VLOOKUP($A34,PRICES!$A:$CJ,51,FALSE)="Roll-over","Roll-Over","Modelled"))</f>
        <v>Modelled</v>
      </c>
      <c r="H34" s="460" t="str">
        <f>IF(VLOOKUP($A34,PRICES!$A:$CJ,70,FALSE)="Y","Manual Adjusted",IF(VLOOKUP($A34,PRICES!$A:$CJ,52,FALSE)="Roll-over","Roll-Over","Modelled"))</f>
        <v>Modelled</v>
      </c>
      <c r="I34" s="460" t="str">
        <f>IF(VLOOKUP($A34,PRICES!$A:$CJ,70,FALSE)="Y","Manual Adjusted",IF(VLOOKUP($A34,PRICES!$A:$CJ,53,FALSE)="Roll-over","Roll-Over","Modelled"))</f>
        <v>Modelled</v>
      </c>
      <c r="J34" s="461" t="str">
        <f>IF(VLOOKUP($A34,PRICES!$A:$CJ,70,FALSE)="Y","Manual Adjusted",IF(VLOOKUP($A34,PRICES!$A:$CJ,54,FALSE)="Roll-over","Roll-Over","Modelled"))</f>
        <v>Modelled</v>
      </c>
      <c r="L34" s="369">
        <v>252</v>
      </c>
      <c r="M34" s="242" t="s">
        <v>39</v>
      </c>
      <c r="N34" s="454">
        <f>VLOOKUP($L34,'14-15 tariff'!$A:$F,3,FALSE)</f>
        <v>373</v>
      </c>
      <c r="O34" s="452">
        <f>VLOOKUP($L34,'14-15 tariff'!$A:$F,4,FALSE)</f>
        <v>373</v>
      </c>
      <c r="P34" s="452">
        <f>VLOOKUP($L34,'14-15 tariff'!$A:$F,5,FALSE)</f>
        <v>176</v>
      </c>
      <c r="Q34" s="243">
        <f>VLOOKUP($L34,'14-15 tariff'!$A:$F,6,FALSE)</f>
        <v>188</v>
      </c>
      <c r="S34" s="369">
        <v>252</v>
      </c>
      <c r="T34" s="242" t="s">
        <v>39</v>
      </c>
      <c r="U34" s="652">
        <f t="shared" si="0"/>
        <v>1.448892817495584E-2</v>
      </c>
      <c r="V34" s="653">
        <f t="shared" si="1"/>
        <v>1.448892817495584E-2</v>
      </c>
      <c r="W34" s="653">
        <f t="shared" si="2"/>
        <v>3.7967712164433287E-2</v>
      </c>
      <c r="X34" s="654">
        <f t="shared" si="3"/>
        <v>4.5265126672612732E-2</v>
      </c>
    </row>
    <row r="35" spans="1:24">
      <c r="A35" s="369">
        <v>253</v>
      </c>
      <c r="B35" s="242" t="s">
        <v>40</v>
      </c>
      <c r="C35" s="454">
        <f>VLOOKUP($A35,PRICES!$A:$CJ,76,FALSE)</f>
        <v>423.07518999605776</v>
      </c>
      <c r="D35" s="452">
        <f>VLOOKUP($A35,PRICES!$A:$CJ,77,FALSE)</f>
        <v>454.56200020900462</v>
      </c>
      <c r="E35" s="452">
        <f>VLOOKUP($A35,PRICES!$A:$CJ,78,FALSE)</f>
        <v>205.80974613519587</v>
      </c>
      <c r="F35" s="243">
        <f>VLOOKUP($A35,PRICES!$A:$CJ,79,FALSE)</f>
        <v>212.2270315301021</v>
      </c>
      <c r="G35" s="369" t="str">
        <f>IF(VLOOKUP($A35,PRICES!$A:$CJ,70,FALSE)="Y","Manual Adjusted",IF(VLOOKUP($A35,PRICES!$A:$CJ,51,FALSE)="Roll-over","Roll-Over","Modelled"))</f>
        <v>Modelled</v>
      </c>
      <c r="H35" s="460" t="str">
        <f>IF(VLOOKUP($A35,PRICES!$A:$CJ,70,FALSE)="Y","Manual Adjusted",IF(VLOOKUP($A35,PRICES!$A:$CJ,52,FALSE)="Roll-over","Roll-Over","Modelled"))</f>
        <v>Modelled</v>
      </c>
      <c r="I35" s="460" t="str">
        <f>IF(VLOOKUP($A35,PRICES!$A:$CJ,70,FALSE)="Y","Manual Adjusted",IF(VLOOKUP($A35,PRICES!$A:$CJ,53,FALSE)="Roll-over","Roll-Over","Modelled"))</f>
        <v>Modelled</v>
      </c>
      <c r="J35" s="461" t="str">
        <f>IF(VLOOKUP($A35,PRICES!$A:$CJ,70,FALSE)="Y","Manual Adjusted",IF(VLOOKUP($A35,PRICES!$A:$CJ,54,FALSE)="Roll-over","Roll-Over","Modelled"))</f>
        <v>Modelled</v>
      </c>
      <c r="L35" s="369">
        <v>253</v>
      </c>
      <c r="M35" s="242" t="s">
        <v>40</v>
      </c>
      <c r="N35" s="454">
        <f>VLOOKUP($L35,'14-15 tariff'!$A:$F,3,FALSE)</f>
        <v>417</v>
      </c>
      <c r="O35" s="452">
        <f>VLOOKUP($L35,'14-15 tariff'!$A:$F,4,FALSE)</f>
        <v>417</v>
      </c>
      <c r="P35" s="452">
        <f>VLOOKUP($L35,'14-15 tariff'!$A:$F,5,FALSE)</f>
        <v>203</v>
      </c>
      <c r="Q35" s="243">
        <f>VLOOKUP($L35,'14-15 tariff'!$A:$F,6,FALSE)</f>
        <v>212</v>
      </c>
      <c r="S35" s="369">
        <v>253</v>
      </c>
      <c r="T35" s="242" t="s">
        <v>40</v>
      </c>
      <c r="U35" s="652">
        <f t="shared" si="0"/>
        <v>1.456880094977886E-2</v>
      </c>
      <c r="V35" s="653">
        <f t="shared" si="1"/>
        <v>9.0076739110322768E-2</v>
      </c>
      <c r="W35" s="653">
        <f t="shared" si="2"/>
        <v>1.3841113966482022E-2</v>
      </c>
      <c r="X35" s="654">
        <f t="shared" si="3"/>
        <v>1.0709034438778353E-3</v>
      </c>
    </row>
    <row r="36" spans="1:24">
      <c r="A36" s="369">
        <v>257</v>
      </c>
      <c r="B36" s="242" t="s">
        <v>41</v>
      </c>
      <c r="C36" s="454">
        <f>VLOOKUP($A36,PRICES!$A:$CJ,76,FALSE)</f>
        <v>127.60665202947742</v>
      </c>
      <c r="D36" s="452">
        <f>VLOOKUP($A36,PRICES!$A:$CJ,77,FALSE)</f>
        <v>197.41968522448474</v>
      </c>
      <c r="E36" s="452">
        <f>VLOOKUP($A36,PRICES!$A:$CJ,78,FALSE)</f>
        <v>92.461524979482476</v>
      </c>
      <c r="F36" s="243">
        <f>VLOOKUP($A36,PRICES!$A:$CJ,79,FALSE)</f>
        <v>161.34900618461702</v>
      </c>
      <c r="G36" s="369" t="str">
        <f>IF(VLOOKUP($A36,PRICES!$A:$CJ,70,FALSE)="Y","Manual Adjusted",IF(VLOOKUP($A36,PRICES!$A:$CJ,51,FALSE)="Roll-over","Roll-Over","Modelled"))</f>
        <v>Modelled</v>
      </c>
      <c r="H36" s="460" t="str">
        <f>IF(VLOOKUP($A36,PRICES!$A:$CJ,70,FALSE)="Y","Manual Adjusted",IF(VLOOKUP($A36,PRICES!$A:$CJ,52,FALSE)="Roll-over","Roll-Over","Modelled"))</f>
        <v>Modelled</v>
      </c>
      <c r="I36" s="460" t="str">
        <f>IF(VLOOKUP($A36,PRICES!$A:$CJ,70,FALSE)="Y","Manual Adjusted",IF(VLOOKUP($A36,PRICES!$A:$CJ,53,FALSE)="Roll-over","Roll-Over","Modelled"))</f>
        <v>Modelled</v>
      </c>
      <c r="J36" s="461" t="str">
        <f>IF(VLOOKUP($A36,PRICES!$A:$CJ,70,FALSE)="Y","Manual Adjusted",IF(VLOOKUP($A36,PRICES!$A:$CJ,54,FALSE)="Roll-over","Roll-Over","Modelled"))</f>
        <v>Modelled</v>
      </c>
      <c r="L36" s="369">
        <v>257</v>
      </c>
      <c r="M36" s="242" t="s">
        <v>41</v>
      </c>
      <c r="N36" s="454">
        <f>VLOOKUP($L36,'14-15 tariff'!$A:$F,3,FALSE)</f>
        <v>133</v>
      </c>
      <c r="O36" s="452">
        <f>VLOOKUP($L36,'14-15 tariff'!$A:$F,4,FALSE)</f>
        <v>133</v>
      </c>
      <c r="P36" s="452">
        <f>VLOOKUP($L36,'14-15 tariff'!$A:$F,5,FALSE)</f>
        <v>90</v>
      </c>
      <c r="Q36" s="243">
        <f>VLOOKUP($L36,'14-15 tariff'!$A:$F,6,FALSE)</f>
        <v>110</v>
      </c>
      <c r="S36" s="369">
        <v>257</v>
      </c>
      <c r="T36" s="242" t="s">
        <v>41</v>
      </c>
      <c r="U36" s="652">
        <f t="shared" si="0"/>
        <v>-4.0551488500169763E-2</v>
      </c>
      <c r="V36" s="653">
        <f t="shared" si="1"/>
        <v>0.48435853552244157</v>
      </c>
      <c r="W36" s="653">
        <f t="shared" si="2"/>
        <v>2.7350277549805346E-2</v>
      </c>
      <c r="X36" s="654">
        <f t="shared" si="3"/>
        <v>0.46680914713288213</v>
      </c>
    </row>
    <row r="37" spans="1:24">
      <c r="A37" s="369">
        <v>258</v>
      </c>
      <c r="B37" s="242" t="s">
        <v>42</v>
      </c>
      <c r="C37" s="454">
        <f>VLOOKUP($A37,PRICES!$A:$CJ,76,FALSE)</f>
        <v>279.51694987685926</v>
      </c>
      <c r="D37" s="452">
        <f>VLOOKUP($A37,PRICES!$A:$CJ,77,FALSE)</f>
        <v>288.83556877029491</v>
      </c>
      <c r="E37" s="452">
        <f>VLOOKUP($A37,PRICES!$A:$CJ,78,FALSE)</f>
        <v>147.77803238350847</v>
      </c>
      <c r="F37" s="243">
        <f>VLOOKUP($A37,PRICES!$A:$CJ,79,FALSE)</f>
        <v>170.40260486830564</v>
      </c>
      <c r="G37" s="369" t="str">
        <f>IF(VLOOKUP($A37,PRICES!$A:$CJ,70,FALSE)="Y","Manual Adjusted",IF(VLOOKUP($A37,PRICES!$A:$CJ,51,FALSE)="Roll-over","Roll-Over","Modelled"))</f>
        <v>Modelled</v>
      </c>
      <c r="H37" s="460" t="str">
        <f>IF(VLOOKUP($A37,PRICES!$A:$CJ,70,FALSE)="Y","Manual Adjusted",IF(VLOOKUP($A37,PRICES!$A:$CJ,52,FALSE)="Roll-over","Roll-Over","Modelled"))</f>
        <v>Modelled</v>
      </c>
      <c r="I37" s="460" t="str">
        <f>IF(VLOOKUP($A37,PRICES!$A:$CJ,70,FALSE)="Y","Manual Adjusted",IF(VLOOKUP($A37,PRICES!$A:$CJ,53,FALSE)="Roll-over","Roll-Over","Modelled"))</f>
        <v>Modelled</v>
      </c>
      <c r="J37" s="461" t="str">
        <f>IF(VLOOKUP($A37,PRICES!$A:$CJ,70,FALSE)="Y","Manual Adjusted",IF(VLOOKUP($A37,PRICES!$A:$CJ,54,FALSE)="Roll-over","Roll-Over","Modelled"))</f>
        <v>Modelled</v>
      </c>
      <c r="L37" s="369">
        <v>258</v>
      </c>
      <c r="M37" s="242" t="s">
        <v>42</v>
      </c>
      <c r="N37" s="454">
        <f>VLOOKUP($L37,'14-15 tariff'!$A:$F,3,FALSE)</f>
        <v>287</v>
      </c>
      <c r="O37" s="452">
        <f>VLOOKUP($L37,'14-15 tariff'!$A:$F,4,FALSE)</f>
        <v>287</v>
      </c>
      <c r="P37" s="452">
        <f>VLOOKUP($L37,'14-15 tariff'!$A:$F,5,FALSE)</f>
        <v>151</v>
      </c>
      <c r="Q37" s="243">
        <f>VLOOKUP($L37,'14-15 tariff'!$A:$F,6,FALSE)</f>
        <v>165</v>
      </c>
      <c r="S37" s="369">
        <v>258</v>
      </c>
      <c r="T37" s="242" t="s">
        <v>42</v>
      </c>
      <c r="U37" s="652">
        <f t="shared" si="0"/>
        <v>-2.6073345376797064E-2</v>
      </c>
      <c r="V37" s="653">
        <f t="shared" si="1"/>
        <v>6.3957100010276768E-3</v>
      </c>
      <c r="W37" s="653">
        <f t="shared" si="2"/>
        <v>-2.1337533884049797E-2</v>
      </c>
      <c r="X37" s="654">
        <f t="shared" si="3"/>
        <v>3.2743059807913033E-2</v>
      </c>
    </row>
    <row r="38" spans="1:24">
      <c r="A38" s="369">
        <v>263</v>
      </c>
      <c r="B38" s="242" t="s">
        <v>61</v>
      </c>
      <c r="C38" s="454">
        <f>VLOOKUP($A38,PRICES!$A:$CJ,76,FALSE)</f>
        <v>145.57640839115743</v>
      </c>
      <c r="D38" s="452">
        <f>VLOOKUP($A38,PRICES!$A:$CJ,77,FALSE)</f>
        <v>145.57640839115743</v>
      </c>
      <c r="E38" s="452">
        <f>VLOOKUP($A38,PRICES!$A:$CJ,78,FALSE)</f>
        <v>66.763595870988226</v>
      </c>
      <c r="F38" s="243">
        <f>VLOOKUP($A38,PRICES!$A:$CJ,79,FALSE)</f>
        <v>96.217439652893077</v>
      </c>
      <c r="G38" s="369" t="str">
        <f>IF(VLOOKUP($A38,PRICES!$A:$CJ,70,FALSE)="Y","Manual Adjusted",IF(VLOOKUP($A38,PRICES!$A:$CJ,51,FALSE)="Roll-over","Roll-Over","Modelled"))</f>
        <v>Modelled</v>
      </c>
      <c r="H38" s="460" t="str">
        <f>IF(VLOOKUP($A38,PRICES!$A:$CJ,70,FALSE)="Y","Manual Adjusted",IF(VLOOKUP($A38,PRICES!$A:$CJ,52,FALSE)="Roll-over","Roll-Over","Modelled"))</f>
        <v>Modelled</v>
      </c>
      <c r="I38" s="460" t="str">
        <f>IF(VLOOKUP($A38,PRICES!$A:$CJ,70,FALSE)="Y","Manual Adjusted",IF(VLOOKUP($A38,PRICES!$A:$CJ,53,FALSE)="Roll-over","Roll-Over","Modelled"))</f>
        <v>Modelled</v>
      </c>
      <c r="J38" s="461" t="str">
        <f>IF(VLOOKUP($A38,PRICES!$A:$CJ,70,FALSE)="Y","Manual Adjusted",IF(VLOOKUP($A38,PRICES!$A:$CJ,54,FALSE)="Roll-over","Roll-Over","Modelled"))</f>
        <v>Modelled</v>
      </c>
      <c r="L38" s="369">
        <v>263</v>
      </c>
      <c r="M38" s="242" t="s">
        <v>61</v>
      </c>
      <c r="N38" s="454">
        <f>VLOOKUP($L38,'14-15 tariff'!$A:$F,3,FALSE)</f>
        <v>222</v>
      </c>
      <c r="O38" s="452">
        <f>VLOOKUP($L38,'14-15 tariff'!$A:$F,4,FALSE)</f>
        <v>224</v>
      </c>
      <c r="P38" s="452">
        <f>VLOOKUP($L38,'14-15 tariff'!$A:$F,5,FALSE)</f>
        <v>126</v>
      </c>
      <c r="Q38" s="243">
        <f>VLOOKUP($L38,'14-15 tariff'!$A:$F,6,FALSE)</f>
        <v>126</v>
      </c>
      <c r="S38" s="369">
        <v>263</v>
      </c>
      <c r="T38" s="242" t="s">
        <v>61</v>
      </c>
      <c r="U38" s="652">
        <f t="shared" si="0"/>
        <v>-0.34425041265244405</v>
      </c>
      <c r="V38" s="653">
        <f t="shared" si="1"/>
        <v>-0.35010531968233294</v>
      </c>
      <c r="W38" s="653">
        <f t="shared" si="2"/>
        <v>-0.4701301915000935</v>
      </c>
      <c r="X38" s="654">
        <f t="shared" si="3"/>
        <v>-0.23636952656434063</v>
      </c>
    </row>
    <row r="39" spans="1:24">
      <c r="A39" s="369">
        <v>300</v>
      </c>
      <c r="B39" s="242" t="s">
        <v>43</v>
      </c>
      <c r="C39" s="454">
        <f>VLOOKUP($A39,PRICES!$A:$CJ,76,FALSE)</f>
        <v>179.42538274948325</v>
      </c>
      <c r="D39" s="452">
        <f>VLOOKUP($A39,PRICES!$A:$CJ,77,FALSE)</f>
        <v>254.16505358315513</v>
      </c>
      <c r="E39" s="452">
        <f>VLOOKUP($A39,PRICES!$A:$CJ,78,FALSE)</f>
        <v>105.99908880083886</v>
      </c>
      <c r="F39" s="243">
        <f>VLOOKUP($A39,PRICES!$A:$CJ,79,FALSE)</f>
        <v>137.11673478243065</v>
      </c>
      <c r="G39" s="369" t="str">
        <f>IF(VLOOKUP($A39,PRICES!$A:$CJ,70,FALSE)="Y","Manual Adjusted",IF(VLOOKUP($A39,PRICES!$A:$CJ,51,FALSE)="Roll-over","Roll-Over","Modelled"))</f>
        <v>Manual Adjusted</v>
      </c>
      <c r="H39" s="460" t="str">
        <f>IF(VLOOKUP($A39,PRICES!$A:$CJ,70,FALSE)="Y","Manual Adjusted",IF(VLOOKUP($A39,PRICES!$A:$CJ,52,FALSE)="Roll-over","Roll-Over","Modelled"))</f>
        <v>Manual Adjusted</v>
      </c>
      <c r="I39" s="460" t="str">
        <f>IF(VLOOKUP($A39,PRICES!$A:$CJ,70,FALSE)="Y","Manual Adjusted",IF(VLOOKUP($A39,PRICES!$A:$CJ,53,FALSE)="Roll-over","Roll-Over","Modelled"))</f>
        <v>Manual Adjusted</v>
      </c>
      <c r="J39" s="461" t="str">
        <f>IF(VLOOKUP($A39,PRICES!$A:$CJ,70,FALSE)="Y","Manual Adjusted",IF(VLOOKUP($A39,PRICES!$A:$CJ,54,FALSE)="Roll-over","Roll-Over","Modelled"))</f>
        <v>Manual Adjusted</v>
      </c>
      <c r="L39" s="369">
        <v>300</v>
      </c>
      <c r="M39" s="242" t="s">
        <v>43</v>
      </c>
      <c r="N39" s="454">
        <f>VLOOKUP($L39,'14-15 tariff'!$A:$F,3,FALSE)</f>
        <v>178</v>
      </c>
      <c r="O39" s="452">
        <f>VLOOKUP($L39,'14-15 tariff'!$A:$F,4,FALSE)</f>
        <v>233</v>
      </c>
      <c r="P39" s="452">
        <f>VLOOKUP($L39,'14-15 tariff'!$A:$F,5,FALSE)</f>
        <v>101</v>
      </c>
      <c r="Q39" s="243">
        <f>VLOOKUP($L39,'14-15 tariff'!$A:$F,6,FALSE)</f>
        <v>201</v>
      </c>
      <c r="S39" s="369">
        <v>300</v>
      </c>
      <c r="T39" s="242" t="s">
        <v>43</v>
      </c>
      <c r="U39" s="652">
        <f t="shared" si="0"/>
        <v>8.0077682555239615E-3</v>
      </c>
      <c r="V39" s="653">
        <f t="shared" si="1"/>
        <v>9.0837139841867476E-2</v>
      </c>
      <c r="W39" s="653">
        <f t="shared" si="2"/>
        <v>4.9495928721176918E-2</v>
      </c>
      <c r="X39" s="654">
        <f t="shared" si="3"/>
        <v>-0.31782719013716088</v>
      </c>
    </row>
    <row r="40" spans="1:24">
      <c r="A40" s="369">
        <v>301</v>
      </c>
      <c r="B40" s="242" t="s">
        <v>44</v>
      </c>
      <c r="C40" s="454">
        <f>VLOOKUP($A40,PRICES!$A:$CJ,76,FALSE)</f>
        <v>179.42538274948325</v>
      </c>
      <c r="D40" s="452">
        <f>VLOOKUP($A40,PRICES!$A:$CJ,77,FALSE)</f>
        <v>254.16505358315513</v>
      </c>
      <c r="E40" s="452">
        <f>VLOOKUP($A40,PRICES!$A:$CJ,78,FALSE)</f>
        <v>105.99908880083886</v>
      </c>
      <c r="F40" s="243">
        <f>VLOOKUP($A40,PRICES!$A:$CJ,79,FALSE)</f>
        <v>137.11673478243065</v>
      </c>
      <c r="G40" s="369" t="str">
        <f>IF(VLOOKUP($A40,PRICES!$A:$CJ,70,FALSE)="Y","Manual Adjusted",IF(VLOOKUP($A40,PRICES!$A:$CJ,51,FALSE)="Roll-over","Roll-Over","Modelled"))</f>
        <v>Manual Adjusted</v>
      </c>
      <c r="H40" s="460" t="str">
        <f>IF(VLOOKUP($A40,PRICES!$A:$CJ,70,FALSE)="Y","Manual Adjusted",IF(VLOOKUP($A40,PRICES!$A:$CJ,52,FALSE)="Roll-over","Roll-Over","Modelled"))</f>
        <v>Manual Adjusted</v>
      </c>
      <c r="I40" s="460" t="str">
        <f>IF(VLOOKUP($A40,PRICES!$A:$CJ,70,FALSE)="Y","Manual Adjusted",IF(VLOOKUP($A40,PRICES!$A:$CJ,53,FALSE)="Roll-over","Roll-Over","Modelled"))</f>
        <v>Manual Adjusted</v>
      </c>
      <c r="J40" s="461" t="str">
        <f>IF(VLOOKUP($A40,PRICES!$A:$CJ,70,FALSE)="Y","Manual Adjusted",IF(VLOOKUP($A40,PRICES!$A:$CJ,54,FALSE)="Roll-over","Roll-Over","Modelled"))</f>
        <v>Manual Adjusted</v>
      </c>
      <c r="L40" s="369">
        <v>301</v>
      </c>
      <c r="M40" s="242" t="s">
        <v>44</v>
      </c>
      <c r="N40" s="454">
        <f>VLOOKUP($L40,'14-15 tariff'!$A:$F,3,FALSE)</f>
        <v>178</v>
      </c>
      <c r="O40" s="452">
        <f>VLOOKUP($L40,'14-15 tariff'!$A:$F,4,FALSE)</f>
        <v>233</v>
      </c>
      <c r="P40" s="452">
        <f>VLOOKUP($L40,'14-15 tariff'!$A:$F,5,FALSE)</f>
        <v>101</v>
      </c>
      <c r="Q40" s="243">
        <f>VLOOKUP($L40,'14-15 tariff'!$A:$F,6,FALSE)</f>
        <v>201</v>
      </c>
      <c r="S40" s="369">
        <v>301</v>
      </c>
      <c r="T40" s="242" t="s">
        <v>44</v>
      </c>
      <c r="U40" s="652">
        <f t="shared" si="0"/>
        <v>8.0077682555239615E-3</v>
      </c>
      <c r="V40" s="653">
        <f t="shared" si="1"/>
        <v>9.0837139841867476E-2</v>
      </c>
      <c r="W40" s="653">
        <f t="shared" si="2"/>
        <v>4.9495928721176918E-2</v>
      </c>
      <c r="X40" s="654">
        <f t="shared" si="3"/>
        <v>-0.31782719013716088</v>
      </c>
    </row>
    <row r="41" spans="1:24">
      <c r="A41" s="369">
        <v>302</v>
      </c>
      <c r="B41" s="242" t="s">
        <v>45</v>
      </c>
      <c r="C41" s="454">
        <f>VLOOKUP($A41,PRICES!$A:$CJ,76,FALSE)</f>
        <v>186.06485194707298</v>
      </c>
      <c r="D41" s="452">
        <f>VLOOKUP($A41,PRICES!$A:$CJ,77,FALSE)</f>
        <v>186.06485194707298</v>
      </c>
      <c r="E41" s="452">
        <f>VLOOKUP($A41,PRICES!$A:$CJ,78,FALSE)</f>
        <v>94.302525836923166</v>
      </c>
      <c r="F41" s="243">
        <f>VLOOKUP($A41,PRICES!$A:$CJ,79,FALSE)</f>
        <v>104.13386337458942</v>
      </c>
      <c r="G41" s="369" t="str">
        <f>IF(VLOOKUP($A41,PRICES!$A:$CJ,70,FALSE)="Y","Manual Adjusted",IF(VLOOKUP($A41,PRICES!$A:$CJ,51,FALSE)="Roll-over","Roll-Over","Modelled"))</f>
        <v>Modelled</v>
      </c>
      <c r="H41" s="460" t="str">
        <f>IF(VLOOKUP($A41,PRICES!$A:$CJ,70,FALSE)="Y","Manual Adjusted",IF(VLOOKUP($A41,PRICES!$A:$CJ,52,FALSE)="Roll-over","Roll-Over","Modelled"))</f>
        <v>Modelled</v>
      </c>
      <c r="I41" s="460" t="str">
        <f>IF(VLOOKUP($A41,PRICES!$A:$CJ,70,FALSE)="Y","Manual Adjusted",IF(VLOOKUP($A41,PRICES!$A:$CJ,53,FALSE)="Roll-over","Roll-Over","Modelled"))</f>
        <v>Modelled</v>
      </c>
      <c r="J41" s="461" t="str">
        <f>IF(VLOOKUP($A41,PRICES!$A:$CJ,70,FALSE)="Y","Manual Adjusted",IF(VLOOKUP($A41,PRICES!$A:$CJ,54,FALSE)="Roll-over","Roll-Over","Modelled"))</f>
        <v>Modelled</v>
      </c>
      <c r="L41" s="369">
        <v>302</v>
      </c>
      <c r="M41" s="242" t="s">
        <v>45</v>
      </c>
      <c r="N41" s="454">
        <f>VLOOKUP($L41,'14-15 tariff'!$A:$F,3,FALSE)</f>
        <v>187</v>
      </c>
      <c r="O41" s="452">
        <f>VLOOKUP($L41,'14-15 tariff'!$A:$F,4,FALSE)</f>
        <v>187</v>
      </c>
      <c r="P41" s="452">
        <f>VLOOKUP($L41,'14-15 tariff'!$A:$F,5,FALSE)</f>
        <v>93</v>
      </c>
      <c r="Q41" s="243">
        <f>VLOOKUP($L41,'14-15 tariff'!$A:$F,6,FALSE)</f>
        <v>140</v>
      </c>
      <c r="S41" s="369">
        <v>302</v>
      </c>
      <c r="T41" s="242" t="s">
        <v>45</v>
      </c>
      <c r="U41" s="652">
        <f t="shared" si="0"/>
        <v>-5.0007917268825031E-3</v>
      </c>
      <c r="V41" s="653">
        <f t="shared" si="1"/>
        <v>-5.0007917268825031E-3</v>
      </c>
      <c r="W41" s="653">
        <f t="shared" si="2"/>
        <v>1.4005654160464065E-2</v>
      </c>
      <c r="X41" s="654">
        <f t="shared" si="3"/>
        <v>-0.25618669018150408</v>
      </c>
    </row>
    <row r="42" spans="1:24">
      <c r="A42" s="369">
        <v>303</v>
      </c>
      <c r="B42" s="242" t="s">
        <v>46</v>
      </c>
      <c r="C42" s="454">
        <f>VLOOKUP($A42,PRICES!$A:$CJ,76,FALSE)</f>
        <v>282.97853118643098</v>
      </c>
      <c r="D42" s="452">
        <f>VLOOKUP($A42,PRICES!$A:$CJ,77,FALSE)</f>
        <v>454.56200020900462</v>
      </c>
      <c r="E42" s="452">
        <f>VLOOKUP($A42,PRICES!$A:$CJ,78,FALSE)</f>
        <v>118.41515270136726</v>
      </c>
      <c r="F42" s="243">
        <f>VLOOKUP($A42,PRICES!$A:$CJ,79,FALSE)</f>
        <v>212.2270315301021</v>
      </c>
      <c r="G42" s="369" t="str">
        <f>IF(VLOOKUP($A42,PRICES!$A:$CJ,70,FALSE)="Y","Manual Adjusted",IF(VLOOKUP($A42,PRICES!$A:$CJ,51,FALSE)="Roll-over","Roll-Over","Modelled"))</f>
        <v>Modelled</v>
      </c>
      <c r="H42" s="460" t="str">
        <f>IF(VLOOKUP($A42,PRICES!$A:$CJ,70,FALSE)="Y","Manual Adjusted",IF(VLOOKUP($A42,PRICES!$A:$CJ,52,FALSE)="Roll-over","Roll-Over","Modelled"))</f>
        <v>Modelled</v>
      </c>
      <c r="I42" s="460" t="str">
        <f>IF(VLOOKUP($A42,PRICES!$A:$CJ,70,FALSE)="Y","Manual Adjusted",IF(VLOOKUP($A42,PRICES!$A:$CJ,53,FALSE)="Roll-over","Roll-Over","Modelled"))</f>
        <v>Modelled</v>
      </c>
      <c r="J42" s="461" t="str">
        <f>IF(VLOOKUP($A42,PRICES!$A:$CJ,70,FALSE)="Y","Manual Adjusted",IF(VLOOKUP($A42,PRICES!$A:$CJ,54,FALSE)="Roll-over","Roll-Over","Modelled"))</f>
        <v>Modelled</v>
      </c>
      <c r="L42" s="369">
        <v>303</v>
      </c>
      <c r="M42" s="242" t="s">
        <v>46</v>
      </c>
      <c r="N42" s="454">
        <f>VLOOKUP($L42,'14-15 tariff'!$A:$F,3,FALSE)</f>
        <v>243</v>
      </c>
      <c r="O42" s="452">
        <f>VLOOKUP($L42,'14-15 tariff'!$A:$F,4,FALSE)</f>
        <v>244</v>
      </c>
      <c r="P42" s="452">
        <f>VLOOKUP($L42,'14-15 tariff'!$A:$F,5,FALSE)</f>
        <v>111</v>
      </c>
      <c r="Q42" s="243">
        <f>VLOOKUP($L42,'14-15 tariff'!$A:$F,6,FALSE)</f>
        <v>171</v>
      </c>
      <c r="S42" s="369">
        <v>303</v>
      </c>
      <c r="T42" s="242" t="s">
        <v>46</v>
      </c>
      <c r="U42" s="652">
        <f t="shared" si="0"/>
        <v>0.16452070447090938</v>
      </c>
      <c r="V42" s="653">
        <f t="shared" si="1"/>
        <v>0.862959017250019</v>
      </c>
      <c r="W42" s="653">
        <f t="shared" si="2"/>
        <v>6.6803177489795251E-2</v>
      </c>
      <c r="X42" s="654">
        <f t="shared" si="3"/>
        <v>0.24109375163802405</v>
      </c>
    </row>
    <row r="43" spans="1:24">
      <c r="A43" s="369">
        <v>306</v>
      </c>
      <c r="B43" s="242" t="s">
        <v>47</v>
      </c>
      <c r="C43" s="454">
        <f>VLOOKUP($A43,PRICES!$A:$CJ,76,FALSE)</f>
        <v>179.42538274948325</v>
      </c>
      <c r="D43" s="452">
        <f>VLOOKUP($A43,PRICES!$A:$CJ,77,FALSE)</f>
        <v>254.16505358315513</v>
      </c>
      <c r="E43" s="452">
        <f>VLOOKUP($A43,PRICES!$A:$CJ,78,FALSE)</f>
        <v>105.99908880083886</v>
      </c>
      <c r="F43" s="243">
        <f>VLOOKUP($A43,PRICES!$A:$CJ,79,FALSE)</f>
        <v>137.11673478243065</v>
      </c>
      <c r="G43" s="369" t="str">
        <f>IF(VLOOKUP($A43,PRICES!$A:$CJ,70,FALSE)="Y","Manual Adjusted",IF(VLOOKUP($A43,PRICES!$A:$CJ,51,FALSE)="Roll-over","Roll-Over","Modelled"))</f>
        <v>Manual Adjusted</v>
      </c>
      <c r="H43" s="460" t="str">
        <f>IF(VLOOKUP($A43,PRICES!$A:$CJ,70,FALSE)="Y","Manual Adjusted",IF(VLOOKUP($A43,PRICES!$A:$CJ,52,FALSE)="Roll-over","Roll-Over","Modelled"))</f>
        <v>Manual Adjusted</v>
      </c>
      <c r="I43" s="460" t="str">
        <f>IF(VLOOKUP($A43,PRICES!$A:$CJ,70,FALSE)="Y","Manual Adjusted",IF(VLOOKUP($A43,PRICES!$A:$CJ,53,FALSE)="Roll-over","Roll-Over","Modelled"))</f>
        <v>Manual Adjusted</v>
      </c>
      <c r="J43" s="461" t="str">
        <f>IF(VLOOKUP($A43,PRICES!$A:$CJ,70,FALSE)="Y","Manual Adjusted",IF(VLOOKUP($A43,PRICES!$A:$CJ,54,FALSE)="Roll-over","Roll-Over","Modelled"))</f>
        <v>Manual Adjusted</v>
      </c>
      <c r="L43" s="369">
        <v>306</v>
      </c>
      <c r="M43" s="242" t="s">
        <v>47</v>
      </c>
      <c r="N43" s="454">
        <f>VLOOKUP($L43,'14-15 tariff'!$A:$F,3,FALSE)</f>
        <v>178</v>
      </c>
      <c r="O43" s="452">
        <f>VLOOKUP($L43,'14-15 tariff'!$A:$F,4,FALSE)</f>
        <v>233</v>
      </c>
      <c r="P43" s="452">
        <f>VLOOKUP($L43,'14-15 tariff'!$A:$F,5,FALSE)</f>
        <v>101</v>
      </c>
      <c r="Q43" s="243">
        <f>VLOOKUP($L43,'14-15 tariff'!$A:$F,6,FALSE)</f>
        <v>201</v>
      </c>
      <c r="S43" s="369">
        <v>306</v>
      </c>
      <c r="T43" s="242" t="s">
        <v>47</v>
      </c>
      <c r="U43" s="652">
        <f t="shared" si="0"/>
        <v>8.0077682555239615E-3</v>
      </c>
      <c r="V43" s="653">
        <f t="shared" si="1"/>
        <v>9.0837139841867476E-2</v>
      </c>
      <c r="W43" s="653">
        <f t="shared" si="2"/>
        <v>4.9495928721176918E-2</v>
      </c>
      <c r="X43" s="654">
        <f t="shared" si="3"/>
        <v>-0.31782719013716088</v>
      </c>
    </row>
    <row r="44" spans="1:24">
      <c r="A44" s="369">
        <v>307</v>
      </c>
      <c r="B44" s="242" t="s">
        <v>48</v>
      </c>
      <c r="C44" s="454">
        <f>VLOOKUP($A44,PRICES!$A:$CJ,76,FALSE)</f>
        <v>200.96479095878911</v>
      </c>
      <c r="D44" s="452">
        <f>VLOOKUP($A44,PRICES!$A:$CJ,77,FALSE)</f>
        <v>206.27905947720362</v>
      </c>
      <c r="E44" s="452">
        <f>VLOOKUP($A44,PRICES!$A:$CJ,78,FALSE)</f>
        <v>93.800076927292082</v>
      </c>
      <c r="F44" s="243">
        <f>VLOOKUP($A44,PRICES!$A:$CJ,79,FALSE)</f>
        <v>110.11331310689852</v>
      </c>
      <c r="G44" s="369" t="str">
        <f>IF(VLOOKUP($A44,PRICES!$A:$CJ,70,FALSE)="Y","Manual Adjusted",IF(VLOOKUP($A44,PRICES!$A:$CJ,51,FALSE)="Roll-over","Roll-Over","Modelled"))</f>
        <v>Modelled</v>
      </c>
      <c r="H44" s="460" t="str">
        <f>IF(VLOOKUP($A44,PRICES!$A:$CJ,70,FALSE)="Y","Manual Adjusted",IF(VLOOKUP($A44,PRICES!$A:$CJ,52,FALSE)="Roll-over","Roll-Over","Modelled"))</f>
        <v>Modelled</v>
      </c>
      <c r="I44" s="460" t="str">
        <f>IF(VLOOKUP($A44,PRICES!$A:$CJ,70,FALSE)="Y","Manual Adjusted",IF(VLOOKUP($A44,PRICES!$A:$CJ,53,FALSE)="Roll-over","Roll-Over","Modelled"))</f>
        <v>Modelled</v>
      </c>
      <c r="J44" s="461" t="str">
        <f>IF(VLOOKUP($A44,PRICES!$A:$CJ,70,FALSE)="Y","Manual Adjusted",IF(VLOOKUP($A44,PRICES!$A:$CJ,54,FALSE)="Roll-over","Roll-Over","Modelled"))</f>
        <v>Modelled</v>
      </c>
      <c r="L44" s="369">
        <v>307</v>
      </c>
      <c r="M44" s="242" t="s">
        <v>48</v>
      </c>
      <c r="N44" s="454">
        <f>VLOOKUP($L44,'14-15 tariff'!$A:$F,3,FALSE)</f>
        <v>222</v>
      </c>
      <c r="O44" s="452">
        <f>VLOOKUP($L44,'14-15 tariff'!$A:$F,4,FALSE)</f>
        <v>224</v>
      </c>
      <c r="P44" s="452">
        <f>VLOOKUP($L44,'14-15 tariff'!$A:$F,5,FALSE)</f>
        <v>99</v>
      </c>
      <c r="Q44" s="243">
        <f>VLOOKUP($L44,'14-15 tariff'!$A:$F,6,FALSE)</f>
        <v>99</v>
      </c>
      <c r="S44" s="369">
        <v>307</v>
      </c>
      <c r="T44" s="242" t="s">
        <v>48</v>
      </c>
      <c r="U44" s="652">
        <f t="shared" si="0"/>
        <v>-9.4753193879328346E-2</v>
      </c>
      <c r="V44" s="653">
        <f t="shared" si="1"/>
        <v>-7.911134161962674E-2</v>
      </c>
      <c r="W44" s="653">
        <f t="shared" si="2"/>
        <v>-5.2524475481898203E-2</v>
      </c>
      <c r="X44" s="654">
        <f t="shared" si="3"/>
        <v>0.11225568794846996</v>
      </c>
    </row>
    <row r="45" spans="1:24">
      <c r="A45" s="369">
        <v>320</v>
      </c>
      <c r="B45" s="242" t="s">
        <v>24</v>
      </c>
      <c r="C45" s="454">
        <f>VLOOKUP($A45,PRICES!$A:$CJ,76,FALSE)</f>
        <v>163.0466102005482</v>
      </c>
      <c r="D45" s="452">
        <f>VLOOKUP($A45,PRICES!$A:$CJ,77,FALSE)</f>
        <v>226.20511994881829</v>
      </c>
      <c r="E45" s="452">
        <f>VLOOKUP($A45,PRICES!$A:$CJ,78,FALSE)</f>
        <v>94.618317491119257</v>
      </c>
      <c r="F45" s="243">
        <f>VLOOKUP($A45,PRICES!$A:$CJ,79,FALSE)</f>
        <v>145.37747637312253</v>
      </c>
      <c r="G45" s="369" t="str">
        <f>IF(VLOOKUP($A45,PRICES!$A:$CJ,70,FALSE)="Y","Manual Adjusted",IF(VLOOKUP($A45,PRICES!$A:$CJ,51,FALSE)="Roll-over","Roll-Over","Modelled"))</f>
        <v>Modelled</v>
      </c>
      <c r="H45" s="460" t="str">
        <f>IF(VLOOKUP($A45,PRICES!$A:$CJ,70,FALSE)="Y","Manual Adjusted",IF(VLOOKUP($A45,PRICES!$A:$CJ,52,FALSE)="Roll-over","Roll-Over","Modelled"))</f>
        <v>Modelled</v>
      </c>
      <c r="I45" s="460" t="str">
        <f>IF(VLOOKUP($A45,PRICES!$A:$CJ,70,FALSE)="Y","Manual Adjusted",IF(VLOOKUP($A45,PRICES!$A:$CJ,53,FALSE)="Roll-over","Roll-Over","Modelled"))</f>
        <v>Modelled</v>
      </c>
      <c r="J45" s="461" t="str">
        <f>IF(VLOOKUP($A45,PRICES!$A:$CJ,70,FALSE)="Y","Manual Adjusted",IF(VLOOKUP($A45,PRICES!$A:$CJ,54,FALSE)="Roll-over","Roll-Over","Modelled"))</f>
        <v>Modelled</v>
      </c>
      <c r="L45" s="369">
        <v>320</v>
      </c>
      <c r="M45" s="242" t="s">
        <v>24</v>
      </c>
      <c r="N45" s="454">
        <f>VLOOKUP($L45,'14-15 tariff'!$A:$F,3,FALSE)</f>
        <v>164</v>
      </c>
      <c r="O45" s="452">
        <f>VLOOKUP($L45,'14-15 tariff'!$A:$F,4,FALSE)</f>
        <v>189</v>
      </c>
      <c r="P45" s="452">
        <f>VLOOKUP($L45,'14-15 tariff'!$A:$F,5,FALSE)</f>
        <v>92</v>
      </c>
      <c r="Q45" s="243">
        <f>VLOOKUP($L45,'14-15 tariff'!$A:$F,6,FALSE)</f>
        <v>131</v>
      </c>
      <c r="S45" s="369">
        <v>320</v>
      </c>
      <c r="T45" s="242" t="s">
        <v>24</v>
      </c>
      <c r="U45" s="652">
        <f t="shared" si="0"/>
        <v>-5.8133524356817068E-3</v>
      </c>
      <c r="V45" s="653">
        <f t="shared" si="1"/>
        <v>0.19685248650168408</v>
      </c>
      <c r="W45" s="653">
        <f t="shared" si="2"/>
        <v>2.8459972729557137E-2</v>
      </c>
      <c r="X45" s="654">
        <f t="shared" si="3"/>
        <v>0.10975172803910338</v>
      </c>
    </row>
    <row r="46" spans="1:24">
      <c r="A46" s="369">
        <v>321</v>
      </c>
      <c r="B46" s="242" t="s">
        <v>25</v>
      </c>
      <c r="C46" s="454">
        <f>VLOOKUP($A46,PRICES!$A:$CJ,76,FALSE)</f>
        <v>224.93350518120187</v>
      </c>
      <c r="D46" s="452">
        <f>VLOOKUP($A46,PRICES!$A:$CJ,77,FALSE)</f>
        <v>227.83034535783585</v>
      </c>
      <c r="E46" s="452">
        <f>VLOOKUP($A46,PRICES!$A:$CJ,78,FALSE)</f>
        <v>122.82502238654284</v>
      </c>
      <c r="F46" s="243">
        <f>VLOOKUP($A46,PRICES!$A:$CJ,79,FALSE)</f>
        <v>163.69671910036939</v>
      </c>
      <c r="G46" s="369" t="str">
        <f>IF(VLOOKUP($A46,PRICES!$A:$CJ,70,FALSE)="Y","Manual Adjusted",IF(VLOOKUP($A46,PRICES!$A:$CJ,51,FALSE)="Roll-over","Roll-Over","Modelled"))</f>
        <v>Modelled</v>
      </c>
      <c r="H46" s="460" t="str">
        <f>IF(VLOOKUP($A46,PRICES!$A:$CJ,70,FALSE)="Y","Manual Adjusted",IF(VLOOKUP($A46,PRICES!$A:$CJ,52,FALSE)="Roll-over","Roll-Over","Modelled"))</f>
        <v>Modelled</v>
      </c>
      <c r="I46" s="460" t="str">
        <f>IF(VLOOKUP($A46,PRICES!$A:$CJ,70,FALSE)="Y","Manual Adjusted",IF(VLOOKUP($A46,PRICES!$A:$CJ,53,FALSE)="Roll-over","Roll-Over","Modelled"))</f>
        <v>Modelled</v>
      </c>
      <c r="J46" s="461" t="str">
        <f>IF(VLOOKUP($A46,PRICES!$A:$CJ,70,FALSE)="Y","Manual Adjusted",IF(VLOOKUP($A46,PRICES!$A:$CJ,54,FALSE)="Roll-over","Roll-Over","Modelled"))</f>
        <v>Modelled</v>
      </c>
      <c r="L46" s="369">
        <v>321</v>
      </c>
      <c r="M46" s="242" t="s">
        <v>25</v>
      </c>
      <c r="N46" s="454">
        <f>VLOOKUP($L46,'14-15 tariff'!$A:$F,3,FALSE)</f>
        <v>217</v>
      </c>
      <c r="O46" s="452">
        <f>VLOOKUP($L46,'14-15 tariff'!$A:$F,4,FALSE)</f>
        <v>217</v>
      </c>
      <c r="P46" s="452">
        <f>VLOOKUP($L46,'14-15 tariff'!$A:$F,5,FALSE)</f>
        <v>144</v>
      </c>
      <c r="Q46" s="243">
        <f>VLOOKUP($L46,'14-15 tariff'!$A:$F,6,FALSE)</f>
        <v>160</v>
      </c>
      <c r="S46" s="369">
        <v>321</v>
      </c>
      <c r="T46" s="242" t="s">
        <v>25</v>
      </c>
      <c r="U46" s="652">
        <f t="shared" si="0"/>
        <v>3.6559931710607785E-2</v>
      </c>
      <c r="V46" s="653">
        <f t="shared" si="1"/>
        <v>4.990942561214684E-2</v>
      </c>
      <c r="W46" s="653">
        <f t="shared" si="2"/>
        <v>-0.14704845564900804</v>
      </c>
      <c r="X46" s="654">
        <f t="shared" si="3"/>
        <v>2.310449437730866E-2</v>
      </c>
    </row>
    <row r="47" spans="1:24">
      <c r="A47" s="369">
        <v>329</v>
      </c>
      <c r="B47" s="242" t="s">
        <v>62</v>
      </c>
      <c r="C47" s="454">
        <f>VLOOKUP($A47,PRICES!$A:$CJ,76,FALSE)</f>
        <v>193.04300626727115</v>
      </c>
      <c r="D47" s="452">
        <f>VLOOKUP($A47,PRICES!$A:$CJ,77,FALSE)</f>
        <v>386.08601253454231</v>
      </c>
      <c r="E47" s="455">
        <f>VLOOKUP($A47,PRICES!$A:$CJ,78,FALSE)</f>
        <v>142.99541836514982</v>
      </c>
      <c r="F47" s="244">
        <f>VLOOKUP($A47,PRICES!$A:$CJ,79,FALSE)</f>
        <v>285.99083673029963</v>
      </c>
      <c r="G47" s="369" t="str">
        <f>IF(VLOOKUP($A47,PRICES!$A:$CJ,70,FALSE)="Y","Manual Adjusted",IF(VLOOKUP($A47,PRICES!$A:$CJ,51,FALSE)="Roll-over","Roll-Over","Modelled"))</f>
        <v>Modelled</v>
      </c>
      <c r="H47" s="460" t="str">
        <f>IF(VLOOKUP($A47,PRICES!$A:$CJ,70,FALSE)="Y","Manual Adjusted",IF(VLOOKUP($A47,PRICES!$A:$CJ,52,FALSE)="Roll-over","Roll-Over","Modelled"))</f>
        <v>Modelled</v>
      </c>
      <c r="I47" s="460" t="str">
        <f>IF(VLOOKUP($A47,PRICES!$A:$CJ,70,FALSE)="Y","Manual Adjusted",IF(VLOOKUP($A47,PRICES!$A:$CJ,53,FALSE)="Roll-over","Roll-Over","Modelled"))</f>
        <v>Modelled</v>
      </c>
      <c r="J47" s="461" t="str">
        <f>IF(VLOOKUP($A47,PRICES!$A:$CJ,70,FALSE)="Y","Manual Adjusted",IF(VLOOKUP($A47,PRICES!$A:$CJ,54,FALSE)="Roll-over","Roll-Over","Modelled"))</f>
        <v>Modelled</v>
      </c>
      <c r="L47" s="369">
        <v>329</v>
      </c>
      <c r="M47" s="242" t="s">
        <v>62</v>
      </c>
      <c r="N47" s="454">
        <f>VLOOKUP($L47,'14-15 tariff'!$A:$F,3,FALSE)</f>
        <v>317</v>
      </c>
      <c r="O47" s="452">
        <f>VLOOKUP($L47,'14-15 tariff'!$A:$F,4,FALSE)</f>
        <v>317</v>
      </c>
      <c r="P47" s="455" t="str">
        <f>VLOOKUP($L47,'14-15 tariff'!$A:$F,5,FALSE)</f>
        <v>-</v>
      </c>
      <c r="Q47" s="244" t="str">
        <f>VLOOKUP($L47,'14-15 tariff'!$A:$F,6,FALSE)</f>
        <v>-</v>
      </c>
      <c r="S47" s="369">
        <v>329</v>
      </c>
      <c r="T47" s="242" t="s">
        <v>62</v>
      </c>
      <c r="U47" s="652">
        <f t="shared" si="0"/>
        <v>-0.39103152597075341</v>
      </c>
      <c r="V47" s="653">
        <f t="shared" si="1"/>
        <v>0.21793694805849317</v>
      </c>
      <c r="W47" s="653" t="str">
        <f t="shared" si="2"/>
        <v/>
      </c>
      <c r="X47" s="654" t="str">
        <f t="shared" si="3"/>
        <v/>
      </c>
    </row>
    <row r="48" spans="1:24">
      <c r="A48" s="369">
        <v>330</v>
      </c>
      <c r="B48" s="242" t="s">
        <v>26</v>
      </c>
      <c r="C48" s="454">
        <f>VLOOKUP($A48,PRICES!$A:$CJ,76,FALSE)</f>
        <v>105.62901865247829</v>
      </c>
      <c r="D48" s="452">
        <f>VLOOKUP($A48,PRICES!$A:$CJ,77,FALSE)</f>
        <v>120.8319344156096</v>
      </c>
      <c r="E48" s="452">
        <f>VLOOKUP($A48,PRICES!$A:$CJ,78,FALSE)</f>
        <v>68.779393115168673</v>
      </c>
      <c r="F48" s="243">
        <f>VLOOKUP($A48,PRICES!$A:$CJ,79,FALSE)</f>
        <v>75.593863636638361</v>
      </c>
      <c r="G48" s="369" t="str">
        <f>IF(VLOOKUP($A48,PRICES!$A:$CJ,70,FALSE)="Y","Manual Adjusted",IF(VLOOKUP($A48,PRICES!$A:$CJ,51,FALSE)="Roll-over","Roll-Over","Modelled"))</f>
        <v>Modelled</v>
      </c>
      <c r="H48" s="460" t="str">
        <f>IF(VLOOKUP($A48,PRICES!$A:$CJ,70,FALSE)="Y","Manual Adjusted",IF(VLOOKUP($A48,PRICES!$A:$CJ,52,FALSE)="Roll-over","Roll-Over","Modelled"))</f>
        <v>Modelled</v>
      </c>
      <c r="I48" s="460" t="str">
        <f>IF(VLOOKUP($A48,PRICES!$A:$CJ,70,FALSE)="Y","Manual Adjusted",IF(VLOOKUP($A48,PRICES!$A:$CJ,53,FALSE)="Roll-over","Roll-Over","Modelled"))</f>
        <v>Modelled</v>
      </c>
      <c r="J48" s="461" t="str">
        <f>IF(VLOOKUP($A48,PRICES!$A:$CJ,70,FALSE)="Y","Manual Adjusted",IF(VLOOKUP($A48,PRICES!$A:$CJ,54,FALSE)="Roll-over","Roll-Over","Modelled"))</f>
        <v>Modelled</v>
      </c>
      <c r="L48" s="369">
        <v>330</v>
      </c>
      <c r="M48" s="242" t="s">
        <v>26</v>
      </c>
      <c r="N48" s="454">
        <f>VLOOKUP($L48,'14-15 tariff'!$A:$F,3,FALSE)</f>
        <v>104</v>
      </c>
      <c r="O48" s="452">
        <f>VLOOKUP($L48,'14-15 tariff'!$A:$F,4,FALSE)</f>
        <v>133</v>
      </c>
      <c r="P48" s="452">
        <f>VLOOKUP($L48,'14-15 tariff'!$A:$F,5,FALSE)</f>
        <v>68</v>
      </c>
      <c r="Q48" s="243">
        <f>VLOOKUP($L48,'14-15 tariff'!$A:$F,6,FALSE)</f>
        <v>81</v>
      </c>
      <c r="S48" s="369">
        <v>330</v>
      </c>
      <c r="T48" s="242" t="s">
        <v>26</v>
      </c>
      <c r="U48" s="652">
        <f t="shared" si="0"/>
        <v>1.5663640889214347E-2</v>
      </c>
      <c r="V48" s="653">
        <f t="shared" si="1"/>
        <v>-9.1489214920228656E-2</v>
      </c>
      <c r="W48" s="653">
        <f t="shared" si="2"/>
        <v>1.1461663458362858E-2</v>
      </c>
      <c r="X48" s="654">
        <f t="shared" si="3"/>
        <v>-6.6742424239032538E-2</v>
      </c>
    </row>
    <row r="49" spans="1:24">
      <c r="A49" s="369">
        <v>340</v>
      </c>
      <c r="B49" s="242" t="s">
        <v>27</v>
      </c>
      <c r="C49" s="454">
        <f>VLOOKUP($A49,PRICES!$A:$CJ,76,FALSE)</f>
        <v>178.7230337221128</v>
      </c>
      <c r="D49" s="452">
        <f>VLOOKUP($A49,PRICES!$A:$CJ,77,FALSE)</f>
        <v>272.45440190719069</v>
      </c>
      <c r="E49" s="452">
        <f>VLOOKUP($A49,PRICES!$A:$CJ,78,FALSE)</f>
        <v>103.64962151383421</v>
      </c>
      <c r="F49" s="243">
        <f>VLOOKUP($A49,PRICES!$A:$CJ,79,FALSE)</f>
        <v>170.40260486830564</v>
      </c>
      <c r="G49" s="369" t="str">
        <f>IF(VLOOKUP($A49,PRICES!$A:$CJ,70,FALSE)="Y","Manual Adjusted",IF(VLOOKUP($A49,PRICES!$A:$CJ,51,FALSE)="Roll-over","Roll-Over","Modelled"))</f>
        <v>Modelled</v>
      </c>
      <c r="H49" s="460" t="str">
        <f>IF(VLOOKUP($A49,PRICES!$A:$CJ,70,FALSE)="Y","Manual Adjusted",IF(VLOOKUP($A49,PRICES!$A:$CJ,52,FALSE)="Roll-over","Roll-Over","Modelled"))</f>
        <v>Modelled</v>
      </c>
      <c r="I49" s="460" t="str">
        <f>IF(VLOOKUP($A49,PRICES!$A:$CJ,70,FALSE)="Y","Manual Adjusted",IF(VLOOKUP($A49,PRICES!$A:$CJ,53,FALSE)="Roll-over","Roll-Over","Modelled"))</f>
        <v>Modelled</v>
      </c>
      <c r="J49" s="461" t="str">
        <f>IF(VLOOKUP($A49,PRICES!$A:$CJ,70,FALSE)="Y","Manual Adjusted",IF(VLOOKUP($A49,PRICES!$A:$CJ,54,FALSE)="Roll-over","Roll-Over","Modelled"))</f>
        <v>Modelled</v>
      </c>
      <c r="L49" s="369">
        <v>340</v>
      </c>
      <c r="M49" s="242" t="s">
        <v>27</v>
      </c>
      <c r="N49" s="454">
        <f>VLOOKUP($L49,'14-15 tariff'!$A:$F,3,FALSE)</f>
        <v>186</v>
      </c>
      <c r="O49" s="452">
        <f>VLOOKUP($L49,'14-15 tariff'!$A:$F,4,FALSE)</f>
        <v>241</v>
      </c>
      <c r="P49" s="452">
        <f>VLOOKUP($L49,'14-15 tariff'!$A:$F,5,FALSE)</f>
        <v>102</v>
      </c>
      <c r="Q49" s="243">
        <f>VLOOKUP($L49,'14-15 tariff'!$A:$F,6,FALSE)</f>
        <v>143</v>
      </c>
      <c r="S49" s="369">
        <v>340</v>
      </c>
      <c r="T49" s="242" t="s">
        <v>27</v>
      </c>
      <c r="U49" s="652">
        <f t="shared" si="0"/>
        <v>-3.9123474612296816E-2</v>
      </c>
      <c r="V49" s="653">
        <f t="shared" si="1"/>
        <v>0.13051619048626839</v>
      </c>
      <c r="W49" s="653">
        <f t="shared" si="2"/>
        <v>1.617275993955114E-2</v>
      </c>
      <c r="X49" s="654">
        <f t="shared" si="3"/>
        <v>0.19162660747066895</v>
      </c>
    </row>
    <row r="50" spans="1:24">
      <c r="A50" s="369">
        <v>341</v>
      </c>
      <c r="B50" s="242" t="s">
        <v>64</v>
      </c>
      <c r="C50" s="454">
        <f>VLOOKUP($A50,PRICES!$A:$CJ,76,FALSE)</f>
        <v>163.99595499853731</v>
      </c>
      <c r="D50" s="452">
        <f>VLOOKUP($A50,PRICES!$A:$CJ,77,FALSE)</f>
        <v>327.99190999707463</v>
      </c>
      <c r="E50" s="452">
        <f>VLOOKUP($A50,PRICES!$A:$CJ,78,FALSE)</f>
        <v>134.33800265163092</v>
      </c>
      <c r="F50" s="243">
        <f>VLOOKUP($A50,PRICES!$A:$CJ,79,FALSE)</f>
        <v>268.67600530326183</v>
      </c>
      <c r="G50" s="369" t="str">
        <f>IF(VLOOKUP($A50,PRICES!$A:$CJ,70,FALSE)="Y","Manual Adjusted",IF(VLOOKUP($A50,PRICES!$A:$CJ,51,FALSE)="Roll-over","Roll-Over","Modelled"))</f>
        <v>Modelled</v>
      </c>
      <c r="H50" s="460" t="str">
        <f>IF(VLOOKUP($A50,PRICES!$A:$CJ,70,FALSE)="Y","Manual Adjusted",IF(VLOOKUP($A50,PRICES!$A:$CJ,52,FALSE)="Roll-over","Roll-Over","Modelled"))</f>
        <v>Modelled</v>
      </c>
      <c r="I50" s="460" t="str">
        <f>IF(VLOOKUP($A50,PRICES!$A:$CJ,70,FALSE)="Y","Manual Adjusted",IF(VLOOKUP($A50,PRICES!$A:$CJ,53,FALSE)="Roll-over","Roll-Over","Modelled"))</f>
        <v>Modelled</v>
      </c>
      <c r="J50" s="461" t="str">
        <f>IF(VLOOKUP($A50,PRICES!$A:$CJ,70,FALSE)="Y","Manual Adjusted",IF(VLOOKUP($A50,PRICES!$A:$CJ,54,FALSE)="Roll-over","Roll-Over","Modelled"))</f>
        <v>Modelled</v>
      </c>
      <c r="L50" s="369">
        <v>341</v>
      </c>
      <c r="M50" s="242" t="s">
        <v>64</v>
      </c>
      <c r="N50" s="454">
        <f>VLOOKUP($L50,'14-15 tariff'!$A:$F,3,FALSE)</f>
        <v>167</v>
      </c>
      <c r="O50" s="452">
        <f>VLOOKUP($L50,'14-15 tariff'!$A:$F,4,FALSE)</f>
        <v>335</v>
      </c>
      <c r="P50" s="452">
        <f>VLOOKUP($L50,'14-15 tariff'!$A:$F,5,FALSE)</f>
        <v>119</v>
      </c>
      <c r="Q50" s="243">
        <f>VLOOKUP($L50,'14-15 tariff'!$A:$F,6,FALSE)</f>
        <v>238</v>
      </c>
      <c r="S50" s="369">
        <v>341</v>
      </c>
      <c r="T50" s="242" t="s">
        <v>64</v>
      </c>
      <c r="U50" s="652">
        <f t="shared" si="0"/>
        <v>-1.79882934219322E-2</v>
      </c>
      <c r="V50" s="653">
        <f t="shared" si="1"/>
        <v>-2.0919671650523441E-2</v>
      </c>
      <c r="W50" s="653">
        <f t="shared" si="2"/>
        <v>0.12889077858513365</v>
      </c>
      <c r="X50" s="654">
        <f t="shared" si="3"/>
        <v>0.12889077858513365</v>
      </c>
    </row>
    <row r="51" spans="1:24">
      <c r="A51" s="369">
        <v>350</v>
      </c>
      <c r="B51" s="242" t="s">
        <v>28</v>
      </c>
      <c r="C51" s="454">
        <f>VLOOKUP($A51,PRICES!$A:$CJ,76,FALSE)</f>
        <v>316.84159517533698</v>
      </c>
      <c r="D51" s="452">
        <f>VLOOKUP($A51,PRICES!$A:$CJ,77,FALSE)</f>
        <v>321.22394103891793</v>
      </c>
      <c r="E51" s="452">
        <f>VLOOKUP($A51,PRICES!$A:$CJ,78,FALSE)</f>
        <v>205.12267967921235</v>
      </c>
      <c r="F51" s="243">
        <f>VLOOKUP($A51,PRICES!$A:$CJ,79,FALSE)</f>
        <v>205.12267967921235</v>
      </c>
      <c r="G51" s="369" t="str">
        <f>IF(VLOOKUP($A51,PRICES!$A:$CJ,70,FALSE)="Y","Manual Adjusted",IF(VLOOKUP($A51,PRICES!$A:$CJ,51,FALSE)="Roll-over","Roll-Over","Modelled"))</f>
        <v>Modelled</v>
      </c>
      <c r="H51" s="460" t="str">
        <f>IF(VLOOKUP($A51,PRICES!$A:$CJ,70,FALSE)="Y","Manual Adjusted",IF(VLOOKUP($A51,PRICES!$A:$CJ,52,FALSE)="Roll-over","Roll-Over","Modelled"))</f>
        <v>Modelled</v>
      </c>
      <c r="I51" s="460" t="str">
        <f>IF(VLOOKUP($A51,PRICES!$A:$CJ,70,FALSE)="Y","Manual Adjusted",IF(VLOOKUP($A51,PRICES!$A:$CJ,53,FALSE)="Roll-over","Roll-Over","Modelled"))</f>
        <v>Modelled</v>
      </c>
      <c r="J51" s="461" t="str">
        <f>IF(VLOOKUP($A51,PRICES!$A:$CJ,70,FALSE)="Y","Manual Adjusted",IF(VLOOKUP($A51,PRICES!$A:$CJ,54,FALSE)="Roll-over","Roll-Over","Modelled"))</f>
        <v>Modelled</v>
      </c>
      <c r="L51" s="369">
        <v>350</v>
      </c>
      <c r="M51" s="242" t="s">
        <v>28</v>
      </c>
      <c r="N51" s="454">
        <f>VLOOKUP($L51,'14-15 tariff'!$A:$F,3,FALSE)</f>
        <v>263</v>
      </c>
      <c r="O51" s="452">
        <f>VLOOKUP($L51,'14-15 tariff'!$A:$F,4,FALSE)</f>
        <v>263</v>
      </c>
      <c r="P51" s="452">
        <f>VLOOKUP($L51,'14-15 tariff'!$A:$F,5,FALSE)</f>
        <v>209</v>
      </c>
      <c r="Q51" s="243">
        <f>VLOOKUP($L51,'14-15 tariff'!$A:$F,6,FALSE)</f>
        <v>210</v>
      </c>
      <c r="S51" s="369">
        <v>350</v>
      </c>
      <c r="T51" s="242" t="s">
        <v>28</v>
      </c>
      <c r="U51" s="652">
        <f t="shared" si="0"/>
        <v>0.20472089420280226</v>
      </c>
      <c r="V51" s="653">
        <f t="shared" si="1"/>
        <v>0.22138380623162712</v>
      </c>
      <c r="W51" s="653">
        <f t="shared" si="2"/>
        <v>-1.8551771869797395E-2</v>
      </c>
      <c r="X51" s="654">
        <f t="shared" si="3"/>
        <v>-2.322533486089351E-2</v>
      </c>
    </row>
    <row r="52" spans="1:24">
      <c r="A52" s="369">
        <v>361</v>
      </c>
      <c r="B52" s="242" t="s">
        <v>29</v>
      </c>
      <c r="C52" s="454">
        <f>VLOOKUP($A52,PRICES!$A:$CJ,76,FALSE)</f>
        <v>264.37446690799129</v>
      </c>
      <c r="D52" s="452">
        <f>VLOOKUP($A52,PRICES!$A:$CJ,77,FALSE)</f>
        <v>307.72133945426685</v>
      </c>
      <c r="E52" s="452">
        <f>VLOOKUP($A52,PRICES!$A:$CJ,78,FALSE)</f>
        <v>126.46813715520734</v>
      </c>
      <c r="F52" s="243">
        <f>VLOOKUP($A52,PRICES!$A:$CJ,79,FALSE)</f>
        <v>146.58696744331661</v>
      </c>
      <c r="G52" s="369" t="str">
        <f>IF(VLOOKUP($A52,PRICES!$A:$CJ,70,FALSE)="Y","Manual Adjusted",IF(VLOOKUP($A52,PRICES!$A:$CJ,51,FALSE)="Roll-over","Roll-Over","Modelled"))</f>
        <v>Modelled</v>
      </c>
      <c r="H52" s="460" t="str">
        <f>IF(VLOOKUP($A52,PRICES!$A:$CJ,70,FALSE)="Y","Manual Adjusted",IF(VLOOKUP($A52,PRICES!$A:$CJ,52,FALSE)="Roll-over","Roll-Over","Modelled"))</f>
        <v>Modelled</v>
      </c>
      <c r="I52" s="460" t="str">
        <f>IF(VLOOKUP($A52,PRICES!$A:$CJ,70,FALSE)="Y","Manual Adjusted",IF(VLOOKUP($A52,PRICES!$A:$CJ,53,FALSE)="Roll-over","Roll-Over","Modelled"))</f>
        <v>Modelled</v>
      </c>
      <c r="J52" s="461" t="str">
        <f>IF(VLOOKUP($A52,PRICES!$A:$CJ,70,FALSE)="Y","Manual Adjusted",IF(VLOOKUP($A52,PRICES!$A:$CJ,54,FALSE)="Roll-over","Roll-Over","Modelled"))</f>
        <v>Modelled</v>
      </c>
      <c r="L52" s="369">
        <v>361</v>
      </c>
      <c r="M52" s="242" t="s">
        <v>29</v>
      </c>
      <c r="N52" s="454">
        <f>VLOOKUP($L52,'14-15 tariff'!$A:$F,3,FALSE)</f>
        <v>182</v>
      </c>
      <c r="O52" s="452">
        <f>VLOOKUP($L52,'14-15 tariff'!$A:$F,4,FALSE)</f>
        <v>248</v>
      </c>
      <c r="P52" s="452">
        <f>VLOOKUP($L52,'14-15 tariff'!$A:$F,5,FALSE)</f>
        <v>130</v>
      </c>
      <c r="Q52" s="243">
        <f>VLOOKUP($L52,'14-15 tariff'!$A:$F,6,FALSE)</f>
        <v>243</v>
      </c>
      <c r="S52" s="369">
        <v>361</v>
      </c>
      <c r="T52" s="242" t="s">
        <v>29</v>
      </c>
      <c r="U52" s="652">
        <f t="shared" si="0"/>
        <v>0.45260696103291909</v>
      </c>
      <c r="V52" s="653">
        <f t="shared" si="1"/>
        <v>0.24081185263817284</v>
      </c>
      <c r="W52" s="653">
        <f t="shared" si="2"/>
        <v>-2.7168175729174293E-2</v>
      </c>
      <c r="X52" s="654">
        <f t="shared" si="3"/>
        <v>-0.39676145085054892</v>
      </c>
    </row>
    <row r="53" spans="1:24">
      <c r="A53" s="369">
        <v>370</v>
      </c>
      <c r="B53" s="242" t="s">
        <v>30</v>
      </c>
      <c r="C53" s="454">
        <f>VLOOKUP($A53,PRICES!$A:$CJ,76,FALSE)</f>
        <v>217.31178274551482</v>
      </c>
      <c r="D53" s="452">
        <f>VLOOKUP($A53,PRICES!$A:$CJ,77,FALSE)</f>
        <v>235.77484562254656</v>
      </c>
      <c r="E53" s="452">
        <f>VLOOKUP($A53,PRICES!$A:$CJ,78,FALSE)</f>
        <v>95.574324148958723</v>
      </c>
      <c r="F53" s="243">
        <f>VLOOKUP($A53,PRICES!$A:$CJ,79,FALSE)</f>
        <v>117.22896646600145</v>
      </c>
      <c r="G53" s="369" t="str">
        <f>IF(VLOOKUP($A53,PRICES!$A:$CJ,70,FALSE)="Y","Manual Adjusted",IF(VLOOKUP($A53,PRICES!$A:$CJ,51,FALSE)="Roll-over","Roll-Over","Modelled"))</f>
        <v>Modelled</v>
      </c>
      <c r="H53" s="460" t="str">
        <f>IF(VLOOKUP($A53,PRICES!$A:$CJ,70,FALSE)="Y","Manual Adjusted",IF(VLOOKUP($A53,PRICES!$A:$CJ,52,FALSE)="Roll-over","Roll-Over","Modelled"))</f>
        <v>Modelled</v>
      </c>
      <c r="I53" s="460" t="str">
        <f>IF(VLOOKUP($A53,PRICES!$A:$CJ,70,FALSE)="Y","Manual Adjusted",IF(VLOOKUP($A53,PRICES!$A:$CJ,53,FALSE)="Roll-over","Roll-Over","Modelled"))</f>
        <v>Modelled</v>
      </c>
      <c r="J53" s="461" t="str">
        <f>IF(VLOOKUP($A53,PRICES!$A:$CJ,70,FALSE)="Y","Manual Adjusted",IF(VLOOKUP($A53,PRICES!$A:$CJ,54,FALSE)="Roll-over","Roll-Over","Modelled"))</f>
        <v>Modelled</v>
      </c>
      <c r="L53" s="369">
        <v>370</v>
      </c>
      <c r="M53" s="242" t="s">
        <v>30</v>
      </c>
      <c r="N53" s="454">
        <f>VLOOKUP($L53,'14-15 tariff'!$A:$F,3,FALSE)</f>
        <v>210</v>
      </c>
      <c r="O53" s="452">
        <f>VLOOKUP($L53,'14-15 tariff'!$A:$F,4,FALSE)</f>
        <v>220</v>
      </c>
      <c r="P53" s="452">
        <f>VLOOKUP($L53,'14-15 tariff'!$A:$F,5,FALSE)</f>
        <v>91</v>
      </c>
      <c r="Q53" s="243">
        <f>VLOOKUP($L53,'14-15 tariff'!$A:$F,6,FALSE)</f>
        <v>103</v>
      </c>
      <c r="S53" s="369">
        <v>370</v>
      </c>
      <c r="T53" s="242" t="s">
        <v>30</v>
      </c>
      <c r="U53" s="652">
        <f t="shared" si="0"/>
        <v>3.4818013073879994E-2</v>
      </c>
      <c r="V53" s="653">
        <f t="shared" si="1"/>
        <v>7.1703843738847972E-2</v>
      </c>
      <c r="W53" s="653">
        <f t="shared" si="2"/>
        <v>5.0267298340205713E-2</v>
      </c>
      <c r="X53" s="654">
        <f t="shared" si="3"/>
        <v>0.1381453054951598</v>
      </c>
    </row>
    <row r="54" spans="1:24">
      <c r="A54" s="369">
        <v>410</v>
      </c>
      <c r="B54" s="242" t="s">
        <v>31</v>
      </c>
      <c r="C54" s="454">
        <f>VLOOKUP($A54,PRICES!$A:$CJ,76,FALSE)</f>
        <v>221.41022211171264</v>
      </c>
      <c r="D54" s="452">
        <f>VLOOKUP($A54,PRICES!$A:$CJ,77,FALSE)</f>
        <v>241.38267894052194</v>
      </c>
      <c r="E54" s="452">
        <f>VLOOKUP($A54,PRICES!$A:$CJ,78,FALSE)</f>
        <v>101.60026586125527</v>
      </c>
      <c r="F54" s="243">
        <f>VLOOKUP($A54,PRICES!$A:$CJ,79,FALSE)</f>
        <v>161.79355350340651</v>
      </c>
      <c r="G54" s="369" t="str">
        <f>IF(VLOOKUP($A54,PRICES!$A:$CJ,70,FALSE)="Y","Manual Adjusted",IF(VLOOKUP($A54,PRICES!$A:$CJ,51,FALSE)="Roll-over","Roll-Over","Modelled"))</f>
        <v>Modelled</v>
      </c>
      <c r="H54" s="460" t="str">
        <f>IF(VLOOKUP($A54,PRICES!$A:$CJ,70,FALSE)="Y","Manual Adjusted",IF(VLOOKUP($A54,PRICES!$A:$CJ,52,FALSE)="Roll-over","Roll-Over","Modelled"))</f>
        <v>Modelled</v>
      </c>
      <c r="I54" s="460" t="str">
        <f>IF(VLOOKUP($A54,PRICES!$A:$CJ,70,FALSE)="Y","Manual Adjusted",IF(VLOOKUP($A54,PRICES!$A:$CJ,53,FALSE)="Roll-over","Roll-Over","Modelled"))</f>
        <v>Modelled</v>
      </c>
      <c r="J54" s="461" t="str">
        <f>IF(VLOOKUP($A54,PRICES!$A:$CJ,70,FALSE)="Y","Manual Adjusted",IF(VLOOKUP($A54,PRICES!$A:$CJ,54,FALSE)="Roll-over","Roll-Over","Modelled"))</f>
        <v>Modelled</v>
      </c>
      <c r="L54" s="369">
        <v>410</v>
      </c>
      <c r="M54" s="242" t="s">
        <v>31</v>
      </c>
      <c r="N54" s="454">
        <f>VLOOKUP($L54,'14-15 tariff'!$A:$F,3,FALSE)</f>
        <v>214</v>
      </c>
      <c r="O54" s="452">
        <f>VLOOKUP($L54,'14-15 tariff'!$A:$F,4,FALSE)</f>
        <v>214</v>
      </c>
      <c r="P54" s="452">
        <f>VLOOKUP($L54,'14-15 tariff'!$A:$F,5,FALSE)</f>
        <v>99</v>
      </c>
      <c r="Q54" s="243">
        <f>VLOOKUP($L54,'14-15 tariff'!$A:$F,6,FALSE)</f>
        <v>99</v>
      </c>
      <c r="S54" s="369">
        <v>410</v>
      </c>
      <c r="T54" s="242" t="s">
        <v>31</v>
      </c>
      <c r="U54" s="652">
        <f t="shared" si="0"/>
        <v>3.4627206129498322E-2</v>
      </c>
      <c r="V54" s="653">
        <f t="shared" si="1"/>
        <v>0.12795644364729886</v>
      </c>
      <c r="W54" s="653">
        <f t="shared" si="2"/>
        <v>2.6265311729851248E-2</v>
      </c>
      <c r="X54" s="654">
        <f t="shared" si="3"/>
        <v>0.63427831821622749</v>
      </c>
    </row>
    <row r="55" spans="1:24">
      <c r="A55" s="369">
        <v>420</v>
      </c>
      <c r="B55" s="242" t="s">
        <v>32</v>
      </c>
      <c r="C55" s="454">
        <f>VLOOKUP($A55,PRICES!$A:$CJ,76,FALSE)</f>
        <v>218.0185583843772</v>
      </c>
      <c r="D55" s="452">
        <f>VLOOKUP($A55,PRICES!$A:$CJ,77,FALSE)</f>
        <v>231.13274553929779</v>
      </c>
      <c r="E55" s="452">
        <f>VLOOKUP($A55,PRICES!$A:$CJ,78,FALSE)</f>
        <v>132.60591272984914</v>
      </c>
      <c r="F55" s="243">
        <f>VLOOKUP($A55,PRICES!$A:$CJ,79,FALSE)</f>
        <v>153.33372096722084</v>
      </c>
      <c r="G55" s="369" t="str">
        <f>IF(VLOOKUP($A55,PRICES!$A:$CJ,70,FALSE)="Y","Manual Adjusted",IF(VLOOKUP($A55,PRICES!$A:$CJ,51,FALSE)="Roll-over","Roll-Over","Modelled"))</f>
        <v>Modelled</v>
      </c>
      <c r="H55" s="460" t="str">
        <f>IF(VLOOKUP($A55,PRICES!$A:$CJ,70,FALSE)="Y","Manual Adjusted",IF(VLOOKUP($A55,PRICES!$A:$CJ,52,FALSE)="Roll-over","Roll-Over","Modelled"))</f>
        <v>Modelled</v>
      </c>
      <c r="I55" s="460" t="str">
        <f>IF(VLOOKUP($A55,PRICES!$A:$CJ,70,FALSE)="Y","Manual Adjusted",IF(VLOOKUP($A55,PRICES!$A:$CJ,53,FALSE)="Roll-over","Roll-Over","Modelled"))</f>
        <v>Modelled</v>
      </c>
      <c r="J55" s="461" t="str">
        <f>IF(VLOOKUP($A55,PRICES!$A:$CJ,70,FALSE)="Y","Manual Adjusted",IF(VLOOKUP($A55,PRICES!$A:$CJ,54,FALSE)="Roll-over","Roll-Over","Modelled"))</f>
        <v>Modelled</v>
      </c>
      <c r="L55" s="369">
        <v>420</v>
      </c>
      <c r="M55" s="242" t="s">
        <v>32</v>
      </c>
      <c r="N55" s="454">
        <f>VLOOKUP($L55,'14-15 tariff'!$A:$F,3,FALSE)</f>
        <v>212</v>
      </c>
      <c r="O55" s="452">
        <f>VLOOKUP($L55,'14-15 tariff'!$A:$F,4,FALSE)</f>
        <v>212</v>
      </c>
      <c r="P55" s="452">
        <f>VLOOKUP($L55,'14-15 tariff'!$A:$F,5,FALSE)</f>
        <v>123</v>
      </c>
      <c r="Q55" s="243">
        <f>VLOOKUP($L55,'14-15 tariff'!$A:$F,6,FALSE)</f>
        <v>160</v>
      </c>
      <c r="S55" s="369">
        <v>420</v>
      </c>
      <c r="T55" s="242" t="s">
        <v>32</v>
      </c>
      <c r="U55" s="652">
        <f t="shared" si="0"/>
        <v>2.8389426341401958E-2</v>
      </c>
      <c r="V55" s="653">
        <f t="shared" si="1"/>
        <v>9.0248799713668726E-2</v>
      </c>
      <c r="W55" s="653">
        <f t="shared" si="2"/>
        <v>7.8096851462188033E-2</v>
      </c>
      <c r="X55" s="654">
        <f t="shared" si="3"/>
        <v>-4.1664243954869784E-2</v>
      </c>
    </row>
    <row r="56" spans="1:24">
      <c r="A56" s="369">
        <v>430</v>
      </c>
      <c r="B56" s="242" t="s">
        <v>33</v>
      </c>
      <c r="C56" s="454">
        <f>VLOOKUP($A56,PRICES!$A:$CJ,76,FALSE)</f>
        <v>240.16180699196363</v>
      </c>
      <c r="D56" s="452">
        <f>VLOOKUP($A56,PRICES!$A:$CJ,77,FALSE)</f>
        <v>240.16180699196363</v>
      </c>
      <c r="E56" s="452">
        <f>VLOOKUP($A56,PRICES!$A:$CJ,78,FALSE)</f>
        <v>135.05993794556565</v>
      </c>
      <c r="F56" s="243">
        <f>VLOOKUP($A56,PRICES!$A:$CJ,79,FALSE)</f>
        <v>135.05993794556565</v>
      </c>
      <c r="G56" s="369" t="str">
        <f>IF(VLOOKUP($A56,PRICES!$A:$CJ,70,FALSE)="Y","Manual Adjusted",IF(VLOOKUP($A56,PRICES!$A:$CJ,51,FALSE)="Roll-over","Roll-Over","Modelled"))</f>
        <v>Modelled</v>
      </c>
      <c r="H56" s="460" t="str">
        <f>IF(VLOOKUP($A56,PRICES!$A:$CJ,70,FALSE)="Y","Manual Adjusted",IF(VLOOKUP($A56,PRICES!$A:$CJ,52,FALSE)="Roll-over","Roll-Over","Modelled"))</f>
        <v>Modelled</v>
      </c>
      <c r="I56" s="460" t="str">
        <f>IF(VLOOKUP($A56,PRICES!$A:$CJ,70,FALSE)="Y","Manual Adjusted",IF(VLOOKUP($A56,PRICES!$A:$CJ,53,FALSE)="Roll-over","Roll-Over","Modelled"))</f>
        <v>Modelled</v>
      </c>
      <c r="J56" s="461" t="str">
        <f>IF(VLOOKUP($A56,PRICES!$A:$CJ,70,FALSE)="Y","Manual Adjusted",IF(VLOOKUP($A56,PRICES!$A:$CJ,54,FALSE)="Roll-over","Roll-Over","Modelled"))</f>
        <v>Modelled</v>
      </c>
      <c r="L56" s="369">
        <v>430</v>
      </c>
      <c r="M56" s="242" t="s">
        <v>33</v>
      </c>
      <c r="N56" s="454">
        <f>VLOOKUP($L56,'14-15 tariff'!$A:$F,3,FALSE)</f>
        <v>253</v>
      </c>
      <c r="O56" s="452">
        <f>VLOOKUP($L56,'14-15 tariff'!$A:$F,4,FALSE)</f>
        <v>253</v>
      </c>
      <c r="P56" s="452">
        <f>VLOOKUP($L56,'14-15 tariff'!$A:$F,5,FALSE)</f>
        <v>134</v>
      </c>
      <c r="Q56" s="243">
        <f>VLOOKUP($L56,'14-15 tariff'!$A:$F,6,FALSE)</f>
        <v>134</v>
      </c>
      <c r="S56" s="369">
        <v>430</v>
      </c>
      <c r="T56" s="242" t="s">
        <v>33</v>
      </c>
      <c r="U56" s="652">
        <f t="shared" si="0"/>
        <v>-5.0743845881566663E-2</v>
      </c>
      <c r="V56" s="653">
        <f t="shared" si="1"/>
        <v>-5.0743845881566663E-2</v>
      </c>
      <c r="W56" s="653">
        <f t="shared" si="2"/>
        <v>7.9099846684003161E-3</v>
      </c>
      <c r="X56" s="654">
        <f t="shared" si="3"/>
        <v>7.9099846684003161E-3</v>
      </c>
    </row>
    <row r="57" spans="1:24">
      <c r="A57" s="369">
        <v>502</v>
      </c>
      <c r="B57" s="242" t="s">
        <v>34</v>
      </c>
      <c r="C57" s="454">
        <f>VLOOKUP($A57,PRICES!$A:$CJ,76,FALSE)</f>
        <v>135.65150813569355</v>
      </c>
      <c r="D57" s="452">
        <f>VLOOKUP($A57,PRICES!$A:$CJ,77,FALSE)</f>
        <v>147.82424384596308</v>
      </c>
      <c r="E57" s="452">
        <f>VLOOKUP($A57,PRICES!$A:$CJ,78,FALSE)</f>
        <v>87.557879234762837</v>
      </c>
      <c r="F57" s="243">
        <f>VLOOKUP($A57,PRICES!$A:$CJ,79,FALSE)</f>
        <v>103.49972490904884</v>
      </c>
      <c r="G57" s="369" t="str">
        <f>IF(VLOOKUP($A57,PRICES!$A:$CJ,70,FALSE)="Y","Manual Adjusted",IF(VLOOKUP($A57,PRICES!$A:$CJ,51,FALSE)="Roll-over","Roll-Over","Modelled"))</f>
        <v>Modelled</v>
      </c>
      <c r="H57" s="460" t="str">
        <f>IF(VLOOKUP($A57,PRICES!$A:$CJ,70,FALSE)="Y","Manual Adjusted",IF(VLOOKUP($A57,PRICES!$A:$CJ,52,FALSE)="Roll-over","Roll-Over","Modelled"))</f>
        <v>Modelled</v>
      </c>
      <c r="I57" s="460" t="str">
        <f>IF(VLOOKUP($A57,PRICES!$A:$CJ,70,FALSE)="Y","Manual Adjusted",IF(VLOOKUP($A57,PRICES!$A:$CJ,53,FALSE)="Roll-over","Roll-Over","Modelled"))</f>
        <v>Modelled</v>
      </c>
      <c r="J57" s="461" t="str">
        <f>IF(VLOOKUP($A57,PRICES!$A:$CJ,70,FALSE)="Y","Manual Adjusted",IF(VLOOKUP($A57,PRICES!$A:$CJ,54,FALSE)="Roll-over","Roll-Over","Modelled"))</f>
        <v>Modelled</v>
      </c>
      <c r="L57" s="369">
        <v>502</v>
      </c>
      <c r="M57" s="242" t="s">
        <v>34</v>
      </c>
      <c r="N57" s="454">
        <f>VLOOKUP($L57,'14-15 tariff'!$A:$F,3,FALSE)</f>
        <v>131</v>
      </c>
      <c r="O57" s="452">
        <f>VLOOKUP($L57,'14-15 tariff'!$A:$F,4,FALSE)</f>
        <v>131</v>
      </c>
      <c r="P57" s="452">
        <f>VLOOKUP($L57,'14-15 tariff'!$A:$F,5,FALSE)</f>
        <v>80</v>
      </c>
      <c r="Q57" s="243">
        <f>VLOOKUP($L57,'14-15 tariff'!$A:$F,6,FALSE)</f>
        <v>99</v>
      </c>
      <c r="S57" s="369">
        <v>502</v>
      </c>
      <c r="T57" s="242" t="s">
        <v>34</v>
      </c>
      <c r="U57" s="652">
        <f t="shared" si="0"/>
        <v>3.5507695692317043E-2</v>
      </c>
      <c r="V57" s="653">
        <f t="shared" si="1"/>
        <v>0.128429342335596</v>
      </c>
      <c r="W57" s="653">
        <f t="shared" si="2"/>
        <v>9.4473490434535456E-2</v>
      </c>
      <c r="X57" s="654">
        <f t="shared" si="3"/>
        <v>4.5451766758069168E-2</v>
      </c>
    </row>
    <row r="58" spans="1:24">
      <c r="A58" s="369">
        <v>503</v>
      </c>
      <c r="B58" s="242" t="s">
        <v>35</v>
      </c>
      <c r="C58" s="454">
        <f>VLOOKUP($A58,PRICES!$A:$CJ,76,FALSE)</f>
        <v>157.09969872922295</v>
      </c>
      <c r="D58" s="452">
        <f>VLOOKUP($A58,PRICES!$A:$CJ,77,FALSE)</f>
        <v>199.22220167837585</v>
      </c>
      <c r="E58" s="452">
        <f>VLOOKUP($A58,PRICES!$A:$CJ,78,FALSE)</f>
        <v>93.817171022202587</v>
      </c>
      <c r="F58" s="243">
        <f>VLOOKUP($A58,PRICES!$A:$CJ,79,FALSE)</f>
        <v>106.42695637798853</v>
      </c>
      <c r="G58" s="369" t="str">
        <f>IF(VLOOKUP($A58,PRICES!$A:$CJ,70,FALSE)="Y","Manual Adjusted",IF(VLOOKUP($A58,PRICES!$A:$CJ,51,FALSE)="Roll-over","Roll-Over","Modelled"))</f>
        <v>Modelled</v>
      </c>
      <c r="H58" s="460" t="str">
        <f>IF(VLOOKUP($A58,PRICES!$A:$CJ,70,FALSE)="Y","Manual Adjusted",IF(VLOOKUP($A58,PRICES!$A:$CJ,52,FALSE)="Roll-over","Roll-Over","Modelled"))</f>
        <v>Modelled</v>
      </c>
      <c r="I58" s="460" t="str">
        <f>IF(VLOOKUP($A58,PRICES!$A:$CJ,70,FALSE)="Y","Manual Adjusted",IF(VLOOKUP($A58,PRICES!$A:$CJ,53,FALSE)="Roll-over","Roll-Over","Modelled"))</f>
        <v>Modelled</v>
      </c>
      <c r="J58" s="461" t="str">
        <f>IF(VLOOKUP($A58,PRICES!$A:$CJ,70,FALSE)="Y","Manual Adjusted",IF(VLOOKUP($A58,PRICES!$A:$CJ,54,FALSE)="Roll-over","Roll-Over","Modelled"))</f>
        <v>Modelled</v>
      </c>
      <c r="L58" s="369">
        <v>503</v>
      </c>
      <c r="M58" s="242" t="s">
        <v>35</v>
      </c>
      <c r="N58" s="454">
        <f>VLOOKUP($L58,'14-15 tariff'!$A:$F,3,FALSE)</f>
        <v>152</v>
      </c>
      <c r="O58" s="452">
        <f>VLOOKUP($L58,'14-15 tariff'!$A:$F,4,FALSE)</f>
        <v>287</v>
      </c>
      <c r="P58" s="452">
        <f>VLOOKUP($L58,'14-15 tariff'!$A:$F,5,FALSE)</f>
        <v>88</v>
      </c>
      <c r="Q58" s="243">
        <f>VLOOKUP($L58,'14-15 tariff'!$A:$F,6,FALSE)</f>
        <v>130</v>
      </c>
      <c r="S58" s="369">
        <v>503</v>
      </c>
      <c r="T58" s="242" t="s">
        <v>35</v>
      </c>
      <c r="U58" s="652">
        <f t="shared" si="0"/>
        <v>3.3550649534361598E-2</v>
      </c>
      <c r="V58" s="653">
        <f t="shared" si="1"/>
        <v>-0.30584598718335942</v>
      </c>
      <c r="W58" s="653">
        <f t="shared" si="2"/>
        <v>6.6104216161392948E-2</v>
      </c>
      <c r="X58" s="654">
        <f t="shared" si="3"/>
        <v>-0.1813311047847036</v>
      </c>
    </row>
    <row r="59" spans="1:24">
      <c r="A59" s="369">
        <v>800</v>
      </c>
      <c r="B59" s="242" t="s">
        <v>36</v>
      </c>
      <c r="C59" s="454">
        <f>VLOOKUP($A59,PRICES!$A:$CJ,76,FALSE)</f>
        <v>197.97499214481519</v>
      </c>
      <c r="D59" s="452">
        <f>VLOOKUP($A59,PRICES!$A:$CJ,77,FALSE)</f>
        <v>197.97499214481519</v>
      </c>
      <c r="E59" s="452">
        <f>VLOOKUP($A59,PRICES!$A:$CJ,78,FALSE)</f>
        <v>88.801145365377479</v>
      </c>
      <c r="F59" s="243">
        <f>VLOOKUP($A59,PRICES!$A:$CJ,79,FALSE)</f>
        <v>88.801145365377479</v>
      </c>
      <c r="G59" s="369" t="str">
        <f>IF(VLOOKUP($A59,PRICES!$A:$CJ,70,FALSE)="Y","Manual Adjusted",IF(VLOOKUP($A59,PRICES!$A:$CJ,51,FALSE)="Roll-over","Roll-Over","Modelled"))</f>
        <v>Modelled</v>
      </c>
      <c r="H59" s="460" t="str">
        <f>IF(VLOOKUP($A59,PRICES!$A:$CJ,70,FALSE)="Y","Manual Adjusted",IF(VLOOKUP($A59,PRICES!$A:$CJ,52,FALSE)="Roll-over","Roll-Over","Modelled"))</f>
        <v>Modelled</v>
      </c>
      <c r="I59" s="460" t="str">
        <f>IF(VLOOKUP($A59,PRICES!$A:$CJ,70,FALSE)="Y","Manual Adjusted",IF(VLOOKUP($A59,PRICES!$A:$CJ,53,FALSE)="Roll-over","Roll-Over","Modelled"))</f>
        <v>Modelled</v>
      </c>
      <c r="J59" s="461" t="str">
        <f>IF(VLOOKUP($A59,PRICES!$A:$CJ,70,FALSE)="Y","Manual Adjusted",IF(VLOOKUP($A59,PRICES!$A:$CJ,54,FALSE)="Roll-over","Roll-Over","Modelled"))</f>
        <v>Modelled</v>
      </c>
      <c r="L59" s="369">
        <v>800</v>
      </c>
      <c r="M59" s="242" t="s">
        <v>36</v>
      </c>
      <c r="N59" s="454">
        <f>VLOOKUP($L59,'14-15 tariff'!$A:$F,3,FALSE)</f>
        <v>210</v>
      </c>
      <c r="O59" s="452">
        <f>VLOOKUP($L59,'14-15 tariff'!$A:$F,4,FALSE)</f>
        <v>220</v>
      </c>
      <c r="P59" s="452">
        <f>VLOOKUP($L59,'14-15 tariff'!$A:$F,5,FALSE)</f>
        <v>91</v>
      </c>
      <c r="Q59" s="243">
        <f>VLOOKUP($L59,'14-15 tariff'!$A:$F,6,FALSE)</f>
        <v>103</v>
      </c>
      <c r="S59" s="369">
        <v>800</v>
      </c>
      <c r="T59" s="242" t="s">
        <v>36</v>
      </c>
      <c r="U59" s="652">
        <f t="shared" si="0"/>
        <v>-5.7261942167546764E-2</v>
      </c>
      <c r="V59" s="653">
        <f t="shared" si="1"/>
        <v>-0.10011367206902189</v>
      </c>
      <c r="W59" s="653">
        <f t="shared" si="2"/>
        <v>-2.4163237743104582E-2</v>
      </c>
      <c r="X59" s="654">
        <f t="shared" si="3"/>
        <v>-0.13785295761769434</v>
      </c>
    </row>
    <row r="60" spans="1:24" ht="12" thickBot="1">
      <c r="A60" s="374">
        <v>812</v>
      </c>
      <c r="B60" s="246" t="s">
        <v>37</v>
      </c>
      <c r="C60" s="338">
        <f>VLOOKUP($A60,PRICES!$A:$CJ,76,FALSE)</f>
        <v>0</v>
      </c>
      <c r="D60" s="456">
        <f>VLOOKUP($A60,PRICES!$A:$CJ,77,FALSE)</f>
        <v>0</v>
      </c>
      <c r="E60" s="456">
        <f>VLOOKUP($A60,PRICES!$A:$CJ,78,FALSE)</f>
        <v>0</v>
      </c>
      <c r="F60" s="457">
        <f>VLOOKUP($A60,PRICES!$A:$CJ,79,FALSE)</f>
        <v>0</v>
      </c>
      <c r="G60" s="374" t="str">
        <f>IF(VLOOKUP($A60,PRICES!$A:$CJ,70,FALSE)="Y","Manual Adjusted",IF(VLOOKUP($A60,PRICES!$A:$CJ,51,FALSE)="Roll-over","Roll-Over","Modelled"))</f>
        <v>Roll-Over</v>
      </c>
      <c r="H60" s="462" t="str">
        <f>IF(VLOOKUP($A60,PRICES!$A:$CJ,70,FALSE)="Y","Manual Adjusted",IF(VLOOKUP($A60,PRICES!$A:$CJ,52,FALSE)="Roll-over","Roll-Over","Modelled"))</f>
        <v>Roll-Over</v>
      </c>
      <c r="I60" s="462" t="str">
        <f>IF(VLOOKUP($A60,PRICES!$A:$CJ,70,FALSE)="Y","Manual Adjusted",IF(VLOOKUP($A60,PRICES!$A:$CJ,53,FALSE)="Roll-over","Roll-Over","Modelled"))</f>
        <v>Roll-Over</v>
      </c>
      <c r="J60" s="463" t="str">
        <f>IF(VLOOKUP($A60,PRICES!$A:$CJ,70,FALSE)="Y","Manual Adjusted",IF(VLOOKUP($A60,PRICES!$A:$CJ,54,FALSE)="Roll-over","Roll-Over","Modelled"))</f>
        <v>Roll-Over</v>
      </c>
      <c r="L60" s="374">
        <v>812</v>
      </c>
      <c r="M60" s="246" t="s">
        <v>37</v>
      </c>
      <c r="N60" s="338">
        <f>VLOOKUP($L60,'14-15 tariff'!$A:$F,3,FALSE)</f>
        <v>0</v>
      </c>
      <c r="O60" s="456">
        <f>VLOOKUP($L60,'14-15 tariff'!$A:$F,4,FALSE)</f>
        <v>0</v>
      </c>
      <c r="P60" s="456">
        <f>VLOOKUP($L60,'14-15 tariff'!$A:$F,5,FALSE)</f>
        <v>0</v>
      </c>
      <c r="Q60" s="457">
        <f>VLOOKUP($L60,'14-15 tariff'!$A:$F,6,FALSE)</f>
        <v>0</v>
      </c>
      <c r="S60" s="374">
        <v>812</v>
      </c>
      <c r="T60" s="246" t="s">
        <v>37</v>
      </c>
      <c r="U60" s="733" t="str">
        <f t="shared" si="0"/>
        <v/>
      </c>
      <c r="V60" s="734" t="str">
        <f t="shared" si="1"/>
        <v/>
      </c>
      <c r="W60" s="734" t="str">
        <f t="shared" si="2"/>
        <v/>
      </c>
      <c r="X60" s="735" t="str">
        <f t="shared" si="3"/>
        <v/>
      </c>
    </row>
    <row r="63" spans="1:24">
      <c r="C63" s="447" t="s">
        <v>973</v>
      </c>
    </row>
  </sheetData>
  <mergeCells count="1">
    <mergeCell ref="C3:J3"/>
  </mergeCells>
  <conditionalFormatting sqref="U5:X60">
    <cfRule type="cellIs" dxfId="3" priority="1" operator="between">
      <formula>-0.05</formula>
      <formula>0.05</formula>
    </cfRule>
    <cfRule type="cellIs" dxfId="2" priority="2" operator="between">
      <formula>-0.1</formula>
      <formula>0.1</formula>
    </cfRule>
    <cfRule type="cellIs" dxfId="1" priority="3" operator="greaterThan">
      <formula>0.1</formula>
    </cfRule>
    <cfRule type="cellIs" dxfId="0" priority="4" operator="lessThan">
      <formula>-0.1</formula>
    </cfRule>
  </conditionalFormatting>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sheetPr>
  <dimension ref="A1:X66"/>
  <sheetViews>
    <sheetView showGridLines="0" workbookViewId="0">
      <pane ySplit="4" topLeftCell="A5" activePane="bottomLeft" state="frozen"/>
      <selection pane="bottomLeft" activeCell="A5" sqref="A5"/>
    </sheetView>
  </sheetViews>
  <sheetFormatPr defaultRowHeight="11.25"/>
  <cols>
    <col min="1" max="1" width="8.42578125" style="447" customWidth="1"/>
    <col min="2" max="2" width="26" style="447" customWidth="1"/>
    <col min="3" max="3" width="12.85546875" style="447" customWidth="1"/>
    <col min="4" max="10" width="10.7109375" style="447" customWidth="1"/>
    <col min="11" max="11" width="9.140625" style="447"/>
    <col min="12" max="12" width="8.42578125" style="233" customWidth="1"/>
    <col min="13" max="13" width="25.85546875" style="233" customWidth="1"/>
    <col min="14" max="14" width="12.85546875" style="233" customWidth="1"/>
    <col min="15" max="17" width="10.7109375" style="233" customWidth="1"/>
    <col min="18" max="18" width="8.5703125" style="233" customWidth="1"/>
    <col min="19" max="19" width="9.140625" style="233"/>
    <col min="20" max="20" width="21.140625" style="233" customWidth="1"/>
    <col min="21" max="16384" width="9.140625" style="233"/>
  </cols>
  <sheetData>
    <row r="1" spans="1:24" s="231" customFormat="1" ht="12.75" customHeight="1">
      <c r="A1" s="360" t="s">
        <v>938</v>
      </c>
      <c r="B1" s="446"/>
      <c r="C1" s="446"/>
      <c r="D1" s="446"/>
      <c r="E1" s="446"/>
      <c r="F1" s="446"/>
      <c r="G1" s="446"/>
      <c r="H1" s="446"/>
      <c r="I1" s="446"/>
      <c r="J1" s="446"/>
      <c r="K1" s="446"/>
      <c r="L1" s="230" t="s">
        <v>939</v>
      </c>
    </row>
    <row r="2" spans="1:24" ht="11.25" customHeight="1" thickBot="1">
      <c r="A2" s="699" t="s">
        <v>974</v>
      </c>
      <c r="L2" s="232"/>
      <c r="V2" s="447"/>
    </row>
    <row r="3" spans="1:24" ht="12" customHeight="1" thickBot="1">
      <c r="C3" s="860" t="s">
        <v>49</v>
      </c>
      <c r="D3" s="861"/>
      <c r="E3" s="861"/>
      <c r="F3" s="861"/>
      <c r="G3" s="861"/>
      <c r="H3" s="861"/>
      <c r="I3" s="861"/>
      <c r="J3" s="861"/>
      <c r="N3" s="778" t="s">
        <v>49</v>
      </c>
      <c r="O3" s="779"/>
      <c r="P3" s="779"/>
      <c r="Q3" s="780"/>
      <c r="U3" s="778" t="s">
        <v>937</v>
      </c>
      <c r="V3" s="779"/>
      <c r="W3" s="779"/>
      <c r="X3" s="780"/>
    </row>
    <row r="4" spans="1:24" s="236" customFormat="1" ht="68.25" thickBot="1">
      <c r="A4" s="448" t="s">
        <v>50</v>
      </c>
      <c r="B4" s="450" t="s">
        <v>51</v>
      </c>
      <c r="C4" s="448" t="s">
        <v>52</v>
      </c>
      <c r="D4" s="449" t="s">
        <v>53</v>
      </c>
      <c r="E4" s="449" t="s">
        <v>54</v>
      </c>
      <c r="F4" s="450" t="s">
        <v>55</v>
      </c>
      <c r="G4" s="448" t="s">
        <v>745</v>
      </c>
      <c r="H4" s="449" t="s">
        <v>746</v>
      </c>
      <c r="I4" s="449" t="s">
        <v>747</v>
      </c>
      <c r="J4" s="450" t="s">
        <v>748</v>
      </c>
      <c r="L4" s="234" t="s">
        <v>50</v>
      </c>
      <c r="M4" s="235" t="s">
        <v>51</v>
      </c>
      <c r="N4" s="448" t="s">
        <v>52</v>
      </c>
      <c r="O4" s="449" t="s">
        <v>53</v>
      </c>
      <c r="P4" s="449" t="s">
        <v>54</v>
      </c>
      <c r="Q4" s="450" t="s">
        <v>55</v>
      </c>
      <c r="S4" s="448" t="s">
        <v>50</v>
      </c>
      <c r="T4" s="450" t="s">
        <v>51</v>
      </c>
      <c r="U4" s="448" t="s">
        <v>52</v>
      </c>
      <c r="V4" s="449" t="s">
        <v>53</v>
      </c>
      <c r="W4" s="449" t="s">
        <v>54</v>
      </c>
      <c r="X4" s="450" t="s">
        <v>55</v>
      </c>
    </row>
    <row r="5" spans="1:24">
      <c r="A5" s="237">
        <v>100</v>
      </c>
      <c r="B5" s="238" t="s">
        <v>1</v>
      </c>
      <c r="C5" s="239">
        <f>VLOOKUP($L5,PRICES!$A:$CJ,76,FALSE)</f>
        <v>141.50598262698671</v>
      </c>
      <c r="D5" s="240">
        <f>VLOOKUP($L5,PRICES!$A:$CJ,77,FALSE)</f>
        <v>220.27502338285331</v>
      </c>
      <c r="E5" s="240">
        <f>VLOOKUP($L5,PRICES!$A:$CJ,78,FALSE)</f>
        <v>86.874552740012533</v>
      </c>
      <c r="F5" s="238">
        <f>VLOOKUP($L5,PRICES!$A:$CJ,79,FALSE)</f>
        <v>126.28250544695442</v>
      </c>
      <c r="G5" s="237" t="str">
        <f>IF(VLOOKUP($A5,PRICES!$A:$CJ,70,FALSE)="Y","Manual Adjusted",IF(VLOOKUP($A5,PRICES!$A:$CJ,51,FALSE)="Roll-over","Roll-Over","Modelled"))</f>
        <v>Modelled</v>
      </c>
      <c r="H5" s="458" t="str">
        <f>IF(VLOOKUP($A5,PRICES!$A:$CJ,70,FALSE)="Y","Manual Adjusted",IF(VLOOKUP($A5,PRICES!$A:$CJ,52,FALSE)="Roll-over","Roll-Over","Modelled"))</f>
        <v>Modelled</v>
      </c>
      <c r="I5" s="458" t="str">
        <f>IF(VLOOKUP($A5,PRICES!$A:$CJ,70,FALSE)="Y","Manual Adjusted",IF(VLOOKUP($A5,PRICES!$A:$CJ,53,FALSE)="Roll-over","Roll-Over","Modelled"))</f>
        <v>Modelled</v>
      </c>
      <c r="J5" s="459" t="str">
        <f>IF(VLOOKUP($A5,PRICES!$A:$CJ,70,FALSE)="Y","Manual Adjusted",IF(VLOOKUP($A5,PRICES!$A:$CJ,54,FALSE)="Roll-over","Roll-Over","Modelled"))</f>
        <v>Modelled</v>
      </c>
      <c r="L5" s="237">
        <v>100</v>
      </c>
      <c r="M5" s="238" t="s">
        <v>1</v>
      </c>
      <c r="N5" s="239">
        <f>VLOOKUP($L5,PRICES!$A:$CJ,71,FALSE)</f>
        <v>141.50598262698671</v>
      </c>
      <c r="O5" s="240">
        <f>VLOOKUP($L5,PRICES!$A:$CJ,72,FALSE)</f>
        <v>220.27502338285331</v>
      </c>
      <c r="P5" s="240">
        <f>VLOOKUP($L5,PRICES!$A:$CJ,73,FALSE)</f>
        <v>86.874552740012533</v>
      </c>
      <c r="Q5" s="238">
        <f>VLOOKUP($L5,PRICES!$A:$CJ,74,FALSE)</f>
        <v>126.28250544695442</v>
      </c>
      <c r="S5" s="237">
        <v>100</v>
      </c>
      <c r="T5" s="238" t="s">
        <v>1</v>
      </c>
      <c r="U5" s="239">
        <f>IFERROR(VLOOKUP($S5,'Further adjustment'!$A:$Q,7,FALSE),0)</f>
        <v>694397</v>
      </c>
      <c r="V5" s="240">
        <f>IFERROR(VLOOKUP($S5,'Further adjustment'!$A:$Q,6,FALSE),0)</f>
        <v>16535</v>
      </c>
      <c r="W5" s="240">
        <f>IFERROR(VLOOKUP($S5,'Further adjustment'!$A:$Q,9,FALSE),0)</f>
        <v>1051987</v>
      </c>
      <c r="X5" s="238">
        <f>IFERROR(VLOOKUP($S5,'Further adjustment'!$A:$Q,8,FALSE),0)</f>
        <v>32120</v>
      </c>
    </row>
    <row r="6" spans="1:24">
      <c r="A6" s="369">
        <v>101</v>
      </c>
      <c r="B6" s="242" t="s">
        <v>2</v>
      </c>
      <c r="C6" s="451">
        <f>VLOOKUP($L6,PRICES!$A:$CJ,76,FALSE)</f>
        <v>130.42793658753891</v>
      </c>
      <c r="D6" s="453">
        <f>VLOOKUP($L6,PRICES!$A:$CJ,77,FALSE)</f>
        <v>199.87426283821185</v>
      </c>
      <c r="E6" s="453">
        <f>VLOOKUP($L6,PRICES!$A:$CJ,78,FALSE)</f>
        <v>74.404542494883842</v>
      </c>
      <c r="F6" s="242">
        <f>VLOOKUP($L6,PRICES!$A:$CJ,79,FALSE)</f>
        <v>103.47197539185906</v>
      </c>
      <c r="G6" s="369" t="str">
        <f>IF(VLOOKUP($A6,PRICES!$A:$CJ,70,FALSE)="Y","Manual Adjusted",IF(VLOOKUP($A6,PRICES!$A:$CJ,51,FALSE)="Roll-over","Roll-Over","Modelled"))</f>
        <v>Modelled</v>
      </c>
      <c r="H6" s="460" t="str">
        <f>IF(VLOOKUP($A6,PRICES!$A:$CJ,70,FALSE)="Y","Manual Adjusted",IF(VLOOKUP($A6,PRICES!$A:$CJ,52,FALSE)="Roll-over","Roll-Over","Modelled"))</f>
        <v>Modelled</v>
      </c>
      <c r="I6" s="460" t="str">
        <f>IF(VLOOKUP($A6,PRICES!$A:$CJ,70,FALSE)="Y","Manual Adjusted",IF(VLOOKUP($A6,PRICES!$A:$CJ,53,FALSE)="Roll-over","Roll-Over","Modelled"))</f>
        <v>Modelled</v>
      </c>
      <c r="J6" s="461" t="str">
        <f>IF(VLOOKUP($A6,PRICES!$A:$CJ,70,FALSE)="Y","Manual Adjusted",IF(VLOOKUP($A6,PRICES!$A:$CJ,54,FALSE)="Roll-over","Roll-Over","Modelled"))</f>
        <v>Modelled</v>
      </c>
      <c r="L6" s="241">
        <v>101</v>
      </c>
      <c r="M6" s="242" t="s">
        <v>2</v>
      </c>
      <c r="N6" s="451">
        <f>VLOOKUP($L6,PRICES!$A:$CJ,71,FALSE)</f>
        <v>130.42793658753891</v>
      </c>
      <c r="O6" s="453">
        <f>VLOOKUP($L6,PRICES!$A:$CJ,72,FALSE)</f>
        <v>199.87426283821185</v>
      </c>
      <c r="P6" s="453">
        <f>VLOOKUP($L6,PRICES!$A:$CJ,73,FALSE)</f>
        <v>74.404542494883842</v>
      </c>
      <c r="Q6" s="242">
        <f>VLOOKUP($L6,PRICES!$A:$CJ,74,FALSE)</f>
        <v>103.47197539185906</v>
      </c>
      <c r="S6" s="369">
        <v>101</v>
      </c>
      <c r="T6" s="242" t="s">
        <v>2</v>
      </c>
      <c r="U6" s="451">
        <f>IFERROR(VLOOKUP($S6,'Further adjustment'!$A:$Q,7,FALSE),0)</f>
        <v>491052</v>
      </c>
      <c r="V6" s="453">
        <f>IFERROR(VLOOKUP($S6,'Further adjustment'!$A:$Q,6,FALSE),0)</f>
        <v>5080</v>
      </c>
      <c r="W6" s="453">
        <f>IFERROR(VLOOKUP($S6,'Further adjustment'!$A:$Q,9,FALSE),0)</f>
        <v>1042490</v>
      </c>
      <c r="X6" s="242">
        <f>IFERROR(VLOOKUP($S6,'Further adjustment'!$A:$Q,8,FALSE),0)</f>
        <v>18312</v>
      </c>
    </row>
    <row r="7" spans="1:24">
      <c r="A7" s="369">
        <v>103</v>
      </c>
      <c r="B7" s="242" t="s">
        <v>3</v>
      </c>
      <c r="C7" s="451">
        <f>VLOOKUP($L7,PRICES!$A:$CJ,76,FALSE)</f>
        <v>164.80736545663319</v>
      </c>
      <c r="D7" s="453">
        <f>VLOOKUP($L7,PRICES!$A:$CJ,77,FALSE)</f>
        <v>164.80736545663319</v>
      </c>
      <c r="E7" s="453">
        <f>VLOOKUP($L7,PRICES!$A:$CJ,78,FALSE)</f>
        <v>94.432085884315427</v>
      </c>
      <c r="F7" s="242">
        <f>VLOOKUP($L7,PRICES!$A:$CJ,79,FALSE)</f>
        <v>94.432085884315427</v>
      </c>
      <c r="G7" s="369" t="str">
        <f>IF(VLOOKUP($A7,PRICES!$A:$CJ,70,FALSE)="Y","Manual Adjusted",IF(VLOOKUP($A7,PRICES!$A:$CJ,51,FALSE)="Roll-over","Roll-Over","Modelled"))</f>
        <v>Modelled</v>
      </c>
      <c r="H7" s="460" t="str">
        <f>IF(VLOOKUP($A7,PRICES!$A:$CJ,70,FALSE)="Y","Manual Adjusted",IF(VLOOKUP($A7,PRICES!$A:$CJ,52,FALSE)="Roll-over","Roll-Over","Modelled"))</f>
        <v>Modelled</v>
      </c>
      <c r="I7" s="460" t="str">
        <f>IF(VLOOKUP($A7,PRICES!$A:$CJ,70,FALSE)="Y","Manual Adjusted",IF(VLOOKUP($A7,PRICES!$A:$CJ,53,FALSE)="Roll-over","Roll-Over","Modelled"))</f>
        <v>Modelled</v>
      </c>
      <c r="J7" s="461" t="str">
        <f>IF(VLOOKUP($A7,PRICES!$A:$CJ,70,FALSE)="Y","Manual Adjusted",IF(VLOOKUP($A7,PRICES!$A:$CJ,54,FALSE)="Roll-over","Roll-Over","Modelled"))</f>
        <v>Modelled</v>
      </c>
      <c r="L7" s="241">
        <v>103</v>
      </c>
      <c r="M7" s="242" t="s">
        <v>3</v>
      </c>
      <c r="N7" s="451">
        <f>VLOOKUP($L7,PRICES!$A:$CJ,71,FALSE)</f>
        <v>164.80736545663319</v>
      </c>
      <c r="O7" s="453">
        <f>VLOOKUP($L7,PRICES!$A:$CJ,72,FALSE)</f>
        <v>164.80736545663319</v>
      </c>
      <c r="P7" s="453">
        <f>VLOOKUP($L7,PRICES!$A:$CJ,73,FALSE)</f>
        <v>94.432085884315427</v>
      </c>
      <c r="Q7" s="242">
        <f>VLOOKUP($L7,PRICES!$A:$CJ,74,FALSE)</f>
        <v>94.432085884315427</v>
      </c>
      <c r="S7" s="369">
        <v>103</v>
      </c>
      <c r="T7" s="242" t="s">
        <v>3</v>
      </c>
      <c r="U7" s="451">
        <f>IFERROR(VLOOKUP($S7,'Further adjustment'!$A:$Q,7,FALSE),0)</f>
        <v>266623</v>
      </c>
      <c r="V7" s="453">
        <f>IFERROR(VLOOKUP($S7,'Further adjustment'!$A:$Q,6,FALSE),0)</f>
        <v>34052</v>
      </c>
      <c r="W7" s="453">
        <f>IFERROR(VLOOKUP($S7,'Further adjustment'!$A:$Q,9,FALSE),0)</f>
        <v>404078</v>
      </c>
      <c r="X7" s="242">
        <f>IFERROR(VLOOKUP($S7,'Further adjustment'!$A:$Q,8,FALSE),0)</f>
        <v>31220</v>
      </c>
    </row>
    <row r="8" spans="1:24">
      <c r="A8" s="369">
        <v>104</v>
      </c>
      <c r="B8" s="242" t="s">
        <v>4</v>
      </c>
      <c r="C8" s="451">
        <f>VLOOKUP($L8,PRICES!$A:$CJ,76,FALSE)</f>
        <v>118.60061969269005</v>
      </c>
      <c r="D8" s="453">
        <f>VLOOKUP($L8,PRICES!$A:$CJ,77,FALSE)</f>
        <v>126.84429722692788</v>
      </c>
      <c r="E8" s="453">
        <f>VLOOKUP($L8,PRICES!$A:$CJ,78,FALSE)</f>
        <v>73.983647994322197</v>
      </c>
      <c r="F8" s="242">
        <f>VLOOKUP($L8,PRICES!$A:$CJ,79,FALSE)</f>
        <v>99.830661426516343</v>
      </c>
      <c r="G8" s="369" t="str">
        <f>IF(VLOOKUP($A8,PRICES!$A:$CJ,70,FALSE)="Y","Manual Adjusted",IF(VLOOKUP($A8,PRICES!$A:$CJ,51,FALSE)="Roll-over","Roll-Over","Modelled"))</f>
        <v>Modelled</v>
      </c>
      <c r="H8" s="460" t="str">
        <f>IF(VLOOKUP($A8,PRICES!$A:$CJ,70,FALSE)="Y","Manual Adjusted",IF(VLOOKUP($A8,PRICES!$A:$CJ,52,FALSE)="Roll-over","Roll-Over","Modelled"))</f>
        <v>Modelled</v>
      </c>
      <c r="I8" s="460" t="str">
        <f>IF(VLOOKUP($A8,PRICES!$A:$CJ,70,FALSE)="Y","Manual Adjusted",IF(VLOOKUP($A8,PRICES!$A:$CJ,53,FALSE)="Roll-over","Roll-Over","Modelled"))</f>
        <v>Modelled</v>
      </c>
      <c r="J8" s="461" t="str">
        <f>IF(VLOOKUP($A8,PRICES!$A:$CJ,70,FALSE)="Y","Manual Adjusted",IF(VLOOKUP($A8,PRICES!$A:$CJ,54,FALSE)="Roll-over","Roll-Over","Modelled"))</f>
        <v>Modelled</v>
      </c>
      <c r="L8" s="241">
        <v>104</v>
      </c>
      <c r="M8" s="242" t="s">
        <v>4</v>
      </c>
      <c r="N8" s="451">
        <f>VLOOKUP($L8,PRICES!$A:$CJ,71,FALSE)</f>
        <v>118.60061969269005</v>
      </c>
      <c r="O8" s="453">
        <f>VLOOKUP($L8,PRICES!$A:$CJ,72,FALSE)</f>
        <v>126.84429722692788</v>
      </c>
      <c r="P8" s="453">
        <f>VLOOKUP($L8,PRICES!$A:$CJ,73,FALSE)</f>
        <v>73.983647994322197</v>
      </c>
      <c r="Q8" s="242">
        <f>VLOOKUP($L8,PRICES!$A:$CJ,74,FALSE)</f>
        <v>99.830661426516343</v>
      </c>
      <c r="S8" s="369">
        <v>104</v>
      </c>
      <c r="T8" s="242" t="s">
        <v>4</v>
      </c>
      <c r="U8" s="451">
        <f>IFERROR(VLOOKUP($S8,'Further adjustment'!$A:$Q,7,FALSE),0)</f>
        <v>157148</v>
      </c>
      <c r="V8" s="453">
        <f>IFERROR(VLOOKUP($S8,'Further adjustment'!$A:$Q,6,FALSE),0)</f>
        <v>1127</v>
      </c>
      <c r="W8" s="453">
        <f>IFERROR(VLOOKUP($S8,'Further adjustment'!$A:$Q,9,FALSE),0)</f>
        <v>192025</v>
      </c>
      <c r="X8" s="242">
        <f>IFERROR(VLOOKUP($S8,'Further adjustment'!$A:$Q,8,FALSE),0)</f>
        <v>2377</v>
      </c>
    </row>
    <row r="9" spans="1:24">
      <c r="A9" s="369">
        <v>105</v>
      </c>
      <c r="B9" s="242" t="s">
        <v>56</v>
      </c>
      <c r="C9" s="451">
        <f>VLOOKUP($L9,PRICES!$A:$CJ,76,FALSE)</f>
        <v>184.12514484242038</v>
      </c>
      <c r="D9" s="453">
        <f>VLOOKUP($L9,PRICES!$A:$CJ,77,FALSE)</f>
        <v>204.49680527106671</v>
      </c>
      <c r="E9" s="453">
        <f>VLOOKUP($L9,PRICES!$A:$CJ,78,FALSE)</f>
        <v>118.08057971506548</v>
      </c>
      <c r="F9" s="242">
        <f>VLOOKUP($L9,PRICES!$A:$CJ,79,FALSE)</f>
        <v>138.4767599505924</v>
      </c>
      <c r="G9" s="369" t="str">
        <f>IF(VLOOKUP($A9,PRICES!$A:$CJ,70,FALSE)="Y","Manual Adjusted",IF(VLOOKUP($A9,PRICES!$A:$CJ,51,FALSE)="Roll-over","Roll-Over","Modelled"))</f>
        <v>Modelled</v>
      </c>
      <c r="H9" s="460" t="str">
        <f>IF(VLOOKUP($A9,PRICES!$A:$CJ,70,FALSE)="Y","Manual Adjusted",IF(VLOOKUP($A9,PRICES!$A:$CJ,52,FALSE)="Roll-over","Roll-Over","Modelled"))</f>
        <v>Modelled</v>
      </c>
      <c r="I9" s="460" t="str">
        <f>IF(VLOOKUP($A9,PRICES!$A:$CJ,70,FALSE)="Y","Manual Adjusted",IF(VLOOKUP($A9,PRICES!$A:$CJ,53,FALSE)="Roll-over","Roll-Over","Modelled"))</f>
        <v>Modelled</v>
      </c>
      <c r="J9" s="461" t="str">
        <f>IF(VLOOKUP($A9,PRICES!$A:$CJ,70,FALSE)="Y","Manual Adjusted",IF(VLOOKUP($A9,PRICES!$A:$CJ,54,FALSE)="Roll-over","Roll-Over","Modelled"))</f>
        <v>Modelled</v>
      </c>
      <c r="L9" s="241">
        <v>105</v>
      </c>
      <c r="M9" s="242" t="s">
        <v>56</v>
      </c>
      <c r="N9" s="451">
        <f>VLOOKUP($L9,PRICES!$A:$CJ,71,FALSE)</f>
        <v>184.12514484242038</v>
      </c>
      <c r="O9" s="453">
        <f>VLOOKUP($L9,PRICES!$A:$CJ,72,FALSE)</f>
        <v>204.49680527106671</v>
      </c>
      <c r="P9" s="453">
        <f>VLOOKUP($L9,PRICES!$A:$CJ,73,FALSE)</f>
        <v>118.08057971506548</v>
      </c>
      <c r="Q9" s="242">
        <f>VLOOKUP($L9,PRICES!$A:$CJ,74,FALSE)</f>
        <v>138.4767599505924</v>
      </c>
      <c r="S9" s="369">
        <v>105</v>
      </c>
      <c r="T9" s="242" t="s">
        <v>56</v>
      </c>
      <c r="U9" s="451">
        <f>IFERROR(VLOOKUP($S9,'Further adjustment'!$A:$Q,7,FALSE),0)</f>
        <v>10162</v>
      </c>
      <c r="V9" s="453">
        <f>IFERROR(VLOOKUP($S9,'Further adjustment'!$A:$Q,6,FALSE),0)</f>
        <v>1417</v>
      </c>
      <c r="W9" s="453">
        <f>IFERROR(VLOOKUP($S9,'Further adjustment'!$A:$Q,9,FALSE),0)</f>
        <v>24207</v>
      </c>
      <c r="X9" s="242">
        <f>IFERROR(VLOOKUP($S9,'Further adjustment'!$A:$Q,8,FALSE),0)</f>
        <v>3455</v>
      </c>
    </row>
    <row r="10" spans="1:24">
      <c r="A10" s="369">
        <v>106</v>
      </c>
      <c r="B10" s="242" t="s">
        <v>5</v>
      </c>
      <c r="C10" s="451">
        <f>VLOOKUP($L10,PRICES!$A:$CJ,76,FALSE)</f>
        <v>111.56111383429365</v>
      </c>
      <c r="D10" s="453">
        <f>VLOOKUP($L10,PRICES!$A:$CJ,77,FALSE)</f>
        <v>141.90015822365118</v>
      </c>
      <c r="E10" s="453">
        <f>VLOOKUP($L10,PRICES!$A:$CJ,78,FALSE)</f>
        <v>79.539495191221505</v>
      </c>
      <c r="F10" s="242">
        <f>VLOOKUP($L10,PRICES!$A:$CJ,79,FALSE)</f>
        <v>98.908282224678302</v>
      </c>
      <c r="G10" s="369" t="str">
        <f>IF(VLOOKUP($A10,PRICES!$A:$CJ,70,FALSE)="Y","Manual Adjusted",IF(VLOOKUP($A10,PRICES!$A:$CJ,51,FALSE)="Roll-over","Roll-Over","Modelled"))</f>
        <v>Modelled</v>
      </c>
      <c r="H10" s="460" t="str">
        <f>IF(VLOOKUP($A10,PRICES!$A:$CJ,70,FALSE)="Y","Manual Adjusted",IF(VLOOKUP($A10,PRICES!$A:$CJ,52,FALSE)="Roll-over","Roll-Over","Modelled"))</f>
        <v>Modelled</v>
      </c>
      <c r="I10" s="460" t="str">
        <f>IF(VLOOKUP($A10,PRICES!$A:$CJ,70,FALSE)="Y","Manual Adjusted",IF(VLOOKUP($A10,PRICES!$A:$CJ,53,FALSE)="Roll-over","Roll-Over","Modelled"))</f>
        <v>Modelled</v>
      </c>
      <c r="J10" s="461" t="str">
        <f>IF(VLOOKUP($A10,PRICES!$A:$CJ,70,FALSE)="Y","Manual Adjusted",IF(VLOOKUP($A10,PRICES!$A:$CJ,54,FALSE)="Roll-over","Roll-Over","Modelled"))</f>
        <v>Modelled</v>
      </c>
      <c r="L10" s="241">
        <v>106</v>
      </c>
      <c r="M10" s="242" t="s">
        <v>5</v>
      </c>
      <c r="N10" s="451">
        <f>VLOOKUP($L10,PRICES!$A:$CJ,71,FALSE)</f>
        <v>111.56111383429365</v>
      </c>
      <c r="O10" s="453">
        <f>VLOOKUP($L10,PRICES!$A:$CJ,72,FALSE)</f>
        <v>141.90015822365118</v>
      </c>
      <c r="P10" s="453">
        <f>VLOOKUP($L10,PRICES!$A:$CJ,73,FALSE)</f>
        <v>79.539495191221505</v>
      </c>
      <c r="Q10" s="242">
        <f>VLOOKUP($L10,PRICES!$A:$CJ,74,FALSE)</f>
        <v>98.908282224678302</v>
      </c>
      <c r="S10" s="369">
        <v>106</v>
      </c>
      <c r="T10" s="242" t="s">
        <v>5</v>
      </c>
      <c r="U10" s="451">
        <f>IFERROR(VLOOKUP($S10,'Further adjustment'!$A:$Q,7,FALSE),0)</f>
        <v>46307</v>
      </c>
      <c r="V10" s="453">
        <f>IFERROR(VLOOKUP($S10,'Further adjustment'!$A:$Q,6,FALSE),0)</f>
        <v>540</v>
      </c>
      <c r="W10" s="453">
        <f>IFERROR(VLOOKUP($S10,'Further adjustment'!$A:$Q,9,FALSE),0)</f>
        <v>53717</v>
      </c>
      <c r="X10" s="242">
        <f>IFERROR(VLOOKUP($S10,'Further adjustment'!$A:$Q,8,FALSE),0)</f>
        <v>879</v>
      </c>
    </row>
    <row r="11" spans="1:24">
      <c r="A11" s="369">
        <v>107</v>
      </c>
      <c r="B11" s="242" t="s">
        <v>6</v>
      </c>
      <c r="C11" s="454">
        <f>VLOOKUP($L11,PRICES!$A:$CJ,76,FALSE)</f>
        <v>162.27971027295521</v>
      </c>
      <c r="D11" s="452">
        <f>VLOOKUP($L11,PRICES!$A:$CJ,77,FALSE)</f>
        <v>174.0594623716442</v>
      </c>
      <c r="E11" s="452">
        <f>VLOOKUP($L11,PRICES!$A:$CJ,78,FALSE)</f>
        <v>102.85210313900454</v>
      </c>
      <c r="F11" s="243">
        <f>VLOOKUP($L11,PRICES!$A:$CJ,79,FALSE)</f>
        <v>117.47091374886156</v>
      </c>
      <c r="G11" s="369" t="str">
        <f>IF(VLOOKUP($A11,PRICES!$A:$CJ,70,FALSE)="Y","Manual Adjusted",IF(VLOOKUP($A11,PRICES!$A:$CJ,51,FALSE)="Roll-over","Roll-Over","Modelled"))</f>
        <v>Modelled</v>
      </c>
      <c r="H11" s="460" t="str">
        <f>IF(VLOOKUP($A11,PRICES!$A:$CJ,70,FALSE)="Y","Manual Adjusted",IF(VLOOKUP($A11,PRICES!$A:$CJ,52,FALSE)="Roll-over","Roll-Over","Modelled"))</f>
        <v>Modelled</v>
      </c>
      <c r="I11" s="460" t="str">
        <f>IF(VLOOKUP($A11,PRICES!$A:$CJ,70,FALSE)="Y","Manual Adjusted",IF(VLOOKUP($A11,PRICES!$A:$CJ,53,FALSE)="Roll-over","Roll-Over","Modelled"))</f>
        <v>Modelled</v>
      </c>
      <c r="J11" s="461" t="str">
        <f>IF(VLOOKUP($A11,PRICES!$A:$CJ,70,FALSE)="Y","Manual Adjusted",IF(VLOOKUP($A11,PRICES!$A:$CJ,54,FALSE)="Roll-over","Roll-Over","Modelled"))</f>
        <v>Modelled</v>
      </c>
      <c r="L11" s="241">
        <v>107</v>
      </c>
      <c r="M11" s="242" t="s">
        <v>6</v>
      </c>
      <c r="N11" s="454">
        <f>VLOOKUP($L11,PRICES!$A:$CJ,71,FALSE)</f>
        <v>162.27971027295521</v>
      </c>
      <c r="O11" s="452">
        <f>VLOOKUP($L11,PRICES!$A:$CJ,72,FALSE)</f>
        <v>174.0594623716442</v>
      </c>
      <c r="P11" s="452">
        <f>VLOOKUP($L11,PRICES!$A:$CJ,73,FALSE)</f>
        <v>102.85210313900454</v>
      </c>
      <c r="Q11" s="243">
        <f>VLOOKUP($L11,PRICES!$A:$CJ,74,FALSE)</f>
        <v>117.47091374886156</v>
      </c>
      <c r="S11" s="369">
        <v>107</v>
      </c>
      <c r="T11" s="242" t="s">
        <v>6</v>
      </c>
      <c r="U11" s="451">
        <f>IFERROR(VLOOKUP($S11,'Further adjustment'!$A:$Q,7,FALSE),0)</f>
        <v>135496</v>
      </c>
      <c r="V11" s="453">
        <f>IFERROR(VLOOKUP($S11,'Further adjustment'!$A:$Q,6,FALSE),0)</f>
        <v>1338</v>
      </c>
      <c r="W11" s="453">
        <f>IFERROR(VLOOKUP($S11,'Further adjustment'!$A:$Q,9,FALSE),0)</f>
        <v>197345</v>
      </c>
      <c r="X11" s="242">
        <f>IFERROR(VLOOKUP($S11,'Further adjustment'!$A:$Q,8,FALSE),0)</f>
        <v>2516</v>
      </c>
    </row>
    <row r="12" spans="1:24">
      <c r="A12" s="369">
        <v>108</v>
      </c>
      <c r="B12" s="242" t="s">
        <v>57</v>
      </c>
      <c r="C12" s="454">
        <f>VLOOKUP($L12,PRICES!$A:$CJ,76,FALSE)</f>
        <v>159.03373796734914</v>
      </c>
      <c r="D12" s="452">
        <f>VLOOKUP($L12,PRICES!$A:$CJ,77,FALSE)</f>
        <v>159.03373796734914</v>
      </c>
      <c r="E12" s="452">
        <f>VLOOKUP($L12,PRICES!$A:$CJ,78,FALSE)</f>
        <v>96.803144849690781</v>
      </c>
      <c r="F12" s="243">
        <f>VLOOKUP($L12,PRICES!$A:$CJ,79,FALSE)</f>
        <v>96.803144849690781</v>
      </c>
      <c r="G12" s="369" t="str">
        <f>IF(VLOOKUP($A12,PRICES!$A:$CJ,70,FALSE)="Y","Manual Adjusted",IF(VLOOKUP($A12,PRICES!$A:$CJ,51,FALSE)="Roll-over","Roll-Over","Modelled"))</f>
        <v>Roll-Over</v>
      </c>
      <c r="H12" s="460" t="str">
        <f>IF(VLOOKUP($A12,PRICES!$A:$CJ,70,FALSE)="Y","Manual Adjusted",IF(VLOOKUP($A12,PRICES!$A:$CJ,52,FALSE)="Roll-over","Roll-Over","Modelled"))</f>
        <v>Roll-Over</v>
      </c>
      <c r="I12" s="460" t="str">
        <f>IF(VLOOKUP($A12,PRICES!$A:$CJ,70,FALSE)="Y","Manual Adjusted",IF(VLOOKUP($A12,PRICES!$A:$CJ,53,FALSE)="Roll-over","Roll-Over","Modelled"))</f>
        <v>Roll-Over</v>
      </c>
      <c r="J12" s="461" t="str">
        <f>IF(VLOOKUP($A12,PRICES!$A:$CJ,70,FALSE)="Y","Manual Adjusted",IF(VLOOKUP($A12,PRICES!$A:$CJ,54,FALSE)="Roll-over","Roll-Over","Modelled"))</f>
        <v>Roll-Over</v>
      </c>
      <c r="L12" s="241">
        <v>108</v>
      </c>
      <c r="M12" s="242" t="s">
        <v>57</v>
      </c>
      <c r="N12" s="454">
        <f>VLOOKUP($L12,PRICES!$A:$CJ,71,FALSE)</f>
        <v>159.03373796734914</v>
      </c>
      <c r="O12" s="452">
        <f>VLOOKUP($L12,PRICES!$A:$CJ,72,FALSE)</f>
        <v>159.03373796734914</v>
      </c>
      <c r="P12" s="452">
        <f>VLOOKUP($L12,PRICES!$A:$CJ,73,FALSE)</f>
        <v>96.803144849690781</v>
      </c>
      <c r="Q12" s="243">
        <f>VLOOKUP($L12,PRICES!$A:$CJ,74,FALSE)</f>
        <v>96.803144849690781</v>
      </c>
      <c r="S12" s="369">
        <v>108</v>
      </c>
      <c r="T12" s="242" t="s">
        <v>57</v>
      </c>
      <c r="U12" s="451">
        <f>IFERROR(VLOOKUP($S12,'Further adjustment'!$A:$Q,7,FALSE),0)</f>
        <v>0</v>
      </c>
      <c r="V12" s="453">
        <f>IFERROR(VLOOKUP($S12,'Further adjustment'!$A:$Q,6,FALSE),0)</f>
        <v>0</v>
      </c>
      <c r="W12" s="453">
        <f>IFERROR(VLOOKUP($S12,'Further adjustment'!$A:$Q,9,FALSE),0)</f>
        <v>0</v>
      </c>
      <c r="X12" s="242">
        <f>IFERROR(VLOOKUP($S12,'Further adjustment'!$A:$Q,8,FALSE),0)</f>
        <v>0</v>
      </c>
    </row>
    <row r="13" spans="1:24">
      <c r="A13" s="369">
        <v>110</v>
      </c>
      <c r="B13" s="242" t="s">
        <v>7</v>
      </c>
      <c r="C13" s="451">
        <f>VLOOKUP($L13,PRICES!$A:$CJ,76,FALSE)</f>
        <v>127.33488973178393</v>
      </c>
      <c r="D13" s="453">
        <f>VLOOKUP($L13,PRICES!$A:$CJ,77,FALSE)</f>
        <v>128.87747812064984</v>
      </c>
      <c r="E13" s="453">
        <f>VLOOKUP($L13,PRICES!$A:$CJ,78,FALSE)</f>
        <v>75.001839927714286</v>
      </c>
      <c r="F13" s="242">
        <f>VLOOKUP($L13,PRICES!$A:$CJ,79,FALSE)</f>
        <v>84.033262174515698</v>
      </c>
      <c r="G13" s="369" t="str">
        <f>IF(VLOOKUP($A13,PRICES!$A:$CJ,70,FALSE)="Y","Manual Adjusted",IF(VLOOKUP($A13,PRICES!$A:$CJ,51,FALSE)="Roll-over","Roll-Over","Modelled"))</f>
        <v>Modelled</v>
      </c>
      <c r="H13" s="460" t="str">
        <f>IF(VLOOKUP($A13,PRICES!$A:$CJ,70,FALSE)="Y","Manual Adjusted",IF(VLOOKUP($A13,PRICES!$A:$CJ,52,FALSE)="Roll-over","Roll-Over","Modelled"))</f>
        <v>Modelled</v>
      </c>
      <c r="I13" s="460" t="str">
        <f>IF(VLOOKUP($A13,PRICES!$A:$CJ,70,FALSE)="Y","Manual Adjusted",IF(VLOOKUP($A13,PRICES!$A:$CJ,53,FALSE)="Roll-over","Roll-Over","Modelled"))</f>
        <v>Modelled</v>
      </c>
      <c r="J13" s="461" t="str">
        <f>IF(VLOOKUP($A13,PRICES!$A:$CJ,70,FALSE)="Y","Manual Adjusted",IF(VLOOKUP($A13,PRICES!$A:$CJ,54,FALSE)="Roll-over","Roll-Over","Modelled"))</f>
        <v>Modelled</v>
      </c>
      <c r="L13" s="241">
        <v>110</v>
      </c>
      <c r="M13" s="242" t="s">
        <v>7</v>
      </c>
      <c r="N13" s="451">
        <f>VLOOKUP($L13,PRICES!$A:$CJ,71,FALSE)</f>
        <v>127.33488973178393</v>
      </c>
      <c r="O13" s="453">
        <f>VLOOKUP($L13,PRICES!$A:$CJ,72,FALSE)</f>
        <v>128.87747812064984</v>
      </c>
      <c r="P13" s="453">
        <f>VLOOKUP($L13,PRICES!$A:$CJ,73,FALSE)</f>
        <v>75.001839927714286</v>
      </c>
      <c r="Q13" s="242">
        <f>VLOOKUP($L13,PRICES!$A:$CJ,74,FALSE)</f>
        <v>84.033262174515698</v>
      </c>
      <c r="S13" s="369">
        <v>110</v>
      </c>
      <c r="T13" s="242" t="s">
        <v>7</v>
      </c>
      <c r="U13" s="451">
        <f>IFERROR(VLOOKUP($S13,'Further adjustment'!$A:$Q,7,FALSE),0)</f>
        <v>2068047</v>
      </c>
      <c r="V13" s="453">
        <f>IFERROR(VLOOKUP($S13,'Further adjustment'!$A:$Q,6,FALSE),0)</f>
        <v>37608</v>
      </c>
      <c r="W13" s="453">
        <f>IFERROR(VLOOKUP($S13,'Further adjustment'!$A:$Q,9,FALSE),0)</f>
        <v>3834515</v>
      </c>
      <c r="X13" s="242">
        <f>IFERROR(VLOOKUP($S13,'Further adjustment'!$A:$Q,8,FALSE),0)</f>
        <v>70215</v>
      </c>
    </row>
    <row r="14" spans="1:24">
      <c r="A14" s="369">
        <v>120</v>
      </c>
      <c r="B14" s="242" t="s">
        <v>8</v>
      </c>
      <c r="C14" s="451">
        <f>VLOOKUP($L14,PRICES!$A:$CJ,76,FALSE)</f>
        <v>105.41525762687209</v>
      </c>
      <c r="D14" s="453">
        <f>VLOOKUP($L14,PRICES!$A:$CJ,77,FALSE)</f>
        <v>164.59511984800105</v>
      </c>
      <c r="E14" s="453">
        <f>VLOOKUP($L14,PRICES!$A:$CJ,78,FALSE)</f>
        <v>65.000595658196275</v>
      </c>
      <c r="F14" s="242">
        <f>VLOOKUP($L14,PRICES!$A:$CJ,79,FALSE)</f>
        <v>90.109763020838017</v>
      </c>
      <c r="G14" s="369" t="str">
        <f>IF(VLOOKUP($A14,PRICES!$A:$CJ,70,FALSE)="Y","Manual Adjusted",IF(VLOOKUP($A14,PRICES!$A:$CJ,51,FALSE)="Roll-over","Roll-Over","Modelled"))</f>
        <v>Modelled</v>
      </c>
      <c r="H14" s="460" t="str">
        <f>IF(VLOOKUP($A14,PRICES!$A:$CJ,70,FALSE)="Y","Manual Adjusted",IF(VLOOKUP($A14,PRICES!$A:$CJ,52,FALSE)="Roll-over","Roll-Over","Modelled"))</f>
        <v>Modelled</v>
      </c>
      <c r="I14" s="460" t="str">
        <f>IF(VLOOKUP($A14,PRICES!$A:$CJ,70,FALSE)="Y","Manual Adjusted",IF(VLOOKUP($A14,PRICES!$A:$CJ,53,FALSE)="Roll-over","Roll-Over","Modelled"))</f>
        <v>Modelled</v>
      </c>
      <c r="J14" s="461" t="str">
        <f>IF(VLOOKUP($A14,PRICES!$A:$CJ,70,FALSE)="Y","Manual Adjusted",IF(VLOOKUP($A14,PRICES!$A:$CJ,54,FALSE)="Roll-over","Roll-Over","Modelled"))</f>
        <v>Modelled</v>
      </c>
      <c r="L14" s="241">
        <v>120</v>
      </c>
      <c r="M14" s="242" t="s">
        <v>8</v>
      </c>
      <c r="N14" s="451">
        <f>VLOOKUP($L14,PRICES!$A:$CJ,71,FALSE)</f>
        <v>105.41525762687209</v>
      </c>
      <c r="O14" s="453">
        <f>VLOOKUP($L14,PRICES!$A:$CJ,72,FALSE)</f>
        <v>164.59511984800105</v>
      </c>
      <c r="P14" s="453">
        <f>VLOOKUP($L14,PRICES!$A:$CJ,73,FALSE)</f>
        <v>65.000595658196275</v>
      </c>
      <c r="Q14" s="242">
        <f>VLOOKUP($L14,PRICES!$A:$CJ,74,FALSE)</f>
        <v>90.109763020838017</v>
      </c>
      <c r="S14" s="369">
        <v>120</v>
      </c>
      <c r="T14" s="242" t="s">
        <v>8</v>
      </c>
      <c r="U14" s="451">
        <f>IFERROR(VLOOKUP($S14,'Further adjustment'!$A:$Q,7,FALSE),0)</f>
        <v>619482</v>
      </c>
      <c r="V14" s="453">
        <f>IFERROR(VLOOKUP($S14,'Further adjustment'!$A:$Q,6,FALSE),0)</f>
        <v>7813</v>
      </c>
      <c r="W14" s="453">
        <f>IFERROR(VLOOKUP($S14,'Further adjustment'!$A:$Q,9,FALSE),0)</f>
        <v>926757</v>
      </c>
      <c r="X14" s="242">
        <f>IFERROR(VLOOKUP($S14,'Further adjustment'!$A:$Q,8,FALSE),0)</f>
        <v>17865</v>
      </c>
    </row>
    <row r="15" spans="1:24">
      <c r="A15" s="369">
        <v>130</v>
      </c>
      <c r="B15" s="242" t="s">
        <v>9</v>
      </c>
      <c r="C15" s="451">
        <f>VLOOKUP($L15,PRICES!$A:$CJ,76,FALSE)</f>
        <v>110.87456657199363</v>
      </c>
      <c r="D15" s="453">
        <f>VLOOKUP($L15,PRICES!$A:$CJ,77,FALSE)</f>
        <v>123.46124517654974</v>
      </c>
      <c r="E15" s="453">
        <f>VLOOKUP($L15,PRICES!$A:$CJ,78,FALSE)</f>
        <v>62.679844038293318</v>
      </c>
      <c r="F15" s="242">
        <f>VLOOKUP($L15,PRICES!$A:$CJ,79,FALSE)</f>
        <v>92.738711316496733</v>
      </c>
      <c r="G15" s="369" t="str">
        <f>IF(VLOOKUP($A15,PRICES!$A:$CJ,70,FALSE)="Y","Manual Adjusted",IF(VLOOKUP($A15,PRICES!$A:$CJ,51,FALSE)="Roll-over","Roll-Over","Modelled"))</f>
        <v>Modelled</v>
      </c>
      <c r="H15" s="460" t="str">
        <f>IF(VLOOKUP($A15,PRICES!$A:$CJ,70,FALSE)="Y","Manual Adjusted",IF(VLOOKUP($A15,PRICES!$A:$CJ,52,FALSE)="Roll-over","Roll-Over","Modelled"))</f>
        <v>Modelled</v>
      </c>
      <c r="I15" s="460" t="str">
        <f>IF(VLOOKUP($A15,PRICES!$A:$CJ,70,FALSE)="Y","Manual Adjusted",IF(VLOOKUP($A15,PRICES!$A:$CJ,53,FALSE)="Roll-over","Roll-Over","Modelled"))</f>
        <v>Modelled</v>
      </c>
      <c r="J15" s="461" t="str">
        <f>IF(VLOOKUP($A15,PRICES!$A:$CJ,70,FALSE)="Y","Manual Adjusted",IF(VLOOKUP($A15,PRICES!$A:$CJ,54,FALSE)="Roll-over","Roll-Over","Modelled"))</f>
        <v>Modelled</v>
      </c>
      <c r="L15" s="241">
        <v>130</v>
      </c>
      <c r="M15" s="242" t="s">
        <v>9</v>
      </c>
      <c r="N15" s="451">
        <f>VLOOKUP($L15,PRICES!$A:$CJ,71,FALSE)</f>
        <v>110.87456657199363</v>
      </c>
      <c r="O15" s="453">
        <f>VLOOKUP($L15,PRICES!$A:$CJ,72,FALSE)</f>
        <v>123.46124517654974</v>
      </c>
      <c r="P15" s="453">
        <f>VLOOKUP($L15,PRICES!$A:$CJ,73,FALSE)</f>
        <v>62.679844038293318</v>
      </c>
      <c r="Q15" s="242">
        <f>VLOOKUP($L15,PRICES!$A:$CJ,74,FALSE)</f>
        <v>92.738711316496733</v>
      </c>
      <c r="S15" s="369">
        <v>130</v>
      </c>
      <c r="T15" s="242" t="s">
        <v>9</v>
      </c>
      <c r="U15" s="451">
        <f>IFERROR(VLOOKUP($S15,'Further adjustment'!$A:$Q,7,FALSE),0)</f>
        <v>1316401</v>
      </c>
      <c r="V15" s="453">
        <f>IFERROR(VLOOKUP($S15,'Further adjustment'!$A:$Q,6,FALSE),0)</f>
        <v>30076</v>
      </c>
      <c r="W15" s="453">
        <f>IFERROR(VLOOKUP($S15,'Further adjustment'!$A:$Q,9,FALSE),0)</f>
        <v>3416985</v>
      </c>
      <c r="X15" s="242">
        <f>IFERROR(VLOOKUP($S15,'Further adjustment'!$A:$Q,8,FALSE),0)</f>
        <v>65003</v>
      </c>
    </row>
    <row r="16" spans="1:24">
      <c r="A16" s="369">
        <v>140</v>
      </c>
      <c r="B16" s="242" t="s">
        <v>10</v>
      </c>
      <c r="C16" s="451">
        <f>VLOOKUP($L16,PRICES!$A:$CJ,76,FALSE)</f>
        <v>116.96276329185902</v>
      </c>
      <c r="D16" s="453">
        <f>VLOOKUP($L16,PRICES!$A:$CJ,77,FALSE)</f>
        <v>181.67802661348495</v>
      </c>
      <c r="E16" s="453">
        <f>VLOOKUP($L16,PRICES!$A:$CJ,78,FALSE)</f>
        <v>73.00479874173152</v>
      </c>
      <c r="F16" s="242">
        <f>VLOOKUP($L16,PRICES!$A:$CJ,79,FALSE)</f>
        <v>126.04511706385448</v>
      </c>
      <c r="G16" s="369" t="str">
        <f>IF(VLOOKUP($A16,PRICES!$A:$CJ,70,FALSE)="Y","Manual Adjusted",IF(VLOOKUP($A16,PRICES!$A:$CJ,51,FALSE)="Roll-over","Roll-Over","Modelled"))</f>
        <v>Modelled</v>
      </c>
      <c r="H16" s="460" t="str">
        <f>IF(VLOOKUP($A16,PRICES!$A:$CJ,70,FALSE)="Y","Manual Adjusted",IF(VLOOKUP($A16,PRICES!$A:$CJ,52,FALSE)="Roll-over","Roll-Over","Modelled"))</f>
        <v>Modelled</v>
      </c>
      <c r="I16" s="460" t="str">
        <f>IF(VLOOKUP($A16,PRICES!$A:$CJ,70,FALSE)="Y","Manual Adjusted",IF(VLOOKUP($A16,PRICES!$A:$CJ,53,FALSE)="Roll-over","Roll-Over","Modelled"))</f>
        <v>Modelled</v>
      </c>
      <c r="J16" s="461" t="str">
        <f>IF(VLOOKUP($A16,PRICES!$A:$CJ,70,FALSE)="Y","Manual Adjusted",IF(VLOOKUP($A16,PRICES!$A:$CJ,54,FALSE)="Roll-over","Roll-Over","Modelled"))</f>
        <v>Modelled</v>
      </c>
      <c r="L16" s="241">
        <v>140</v>
      </c>
      <c r="M16" s="242" t="s">
        <v>10</v>
      </c>
      <c r="N16" s="451">
        <f>VLOOKUP($L16,PRICES!$A:$CJ,71,FALSE)</f>
        <v>116.96276329185902</v>
      </c>
      <c r="O16" s="453">
        <f>VLOOKUP($L16,PRICES!$A:$CJ,72,FALSE)</f>
        <v>181.67802661348495</v>
      </c>
      <c r="P16" s="453">
        <f>VLOOKUP($L16,PRICES!$A:$CJ,73,FALSE)</f>
        <v>73.00479874173152</v>
      </c>
      <c r="Q16" s="242">
        <f>VLOOKUP($L16,PRICES!$A:$CJ,74,FALSE)</f>
        <v>126.04511706385448</v>
      </c>
      <c r="S16" s="369">
        <v>140</v>
      </c>
      <c r="T16" s="242" t="s">
        <v>10</v>
      </c>
      <c r="U16" s="451">
        <f>IFERROR(VLOOKUP($S16,'Further adjustment'!$A:$Q,7,FALSE),0)</f>
        <v>358682</v>
      </c>
      <c r="V16" s="453">
        <f>IFERROR(VLOOKUP($S16,'Further adjustment'!$A:$Q,6,FALSE),0)</f>
        <v>3712</v>
      </c>
      <c r="W16" s="453">
        <f>IFERROR(VLOOKUP($S16,'Further adjustment'!$A:$Q,9,FALSE),0)</f>
        <v>378908</v>
      </c>
      <c r="X16" s="242">
        <f>IFERROR(VLOOKUP($S16,'Further adjustment'!$A:$Q,8,FALSE),0)</f>
        <v>5954</v>
      </c>
    </row>
    <row r="17" spans="1:24">
      <c r="A17" s="369">
        <v>143</v>
      </c>
      <c r="B17" s="242" t="s">
        <v>11</v>
      </c>
      <c r="C17" s="451">
        <f>VLOOKUP($L17,PRICES!$A:$CJ,76,FALSE)</f>
        <v>152.27413633283331</v>
      </c>
      <c r="D17" s="453">
        <f>VLOOKUP($L17,PRICES!$A:$CJ,77,FALSE)</f>
        <v>203.16018210869933</v>
      </c>
      <c r="E17" s="453">
        <f>VLOOKUP($L17,PRICES!$A:$CJ,78,FALSE)</f>
        <v>76.752070666418149</v>
      </c>
      <c r="F17" s="242">
        <f>VLOOKUP($L17,PRICES!$A:$CJ,79,FALSE)</f>
        <v>104.96199137132258</v>
      </c>
      <c r="G17" s="369" t="str">
        <f>IF(VLOOKUP($A17,PRICES!$A:$CJ,70,FALSE)="Y","Manual Adjusted",IF(VLOOKUP($A17,PRICES!$A:$CJ,51,FALSE)="Roll-over","Roll-Over","Modelled"))</f>
        <v>Modelled</v>
      </c>
      <c r="H17" s="460" t="str">
        <f>IF(VLOOKUP($A17,PRICES!$A:$CJ,70,FALSE)="Y","Manual Adjusted",IF(VLOOKUP($A17,PRICES!$A:$CJ,52,FALSE)="Roll-over","Roll-Over","Modelled"))</f>
        <v>Modelled</v>
      </c>
      <c r="I17" s="460" t="str">
        <f>IF(VLOOKUP($A17,PRICES!$A:$CJ,70,FALSE)="Y","Manual Adjusted",IF(VLOOKUP($A17,PRICES!$A:$CJ,53,FALSE)="Roll-over","Roll-Over","Modelled"))</f>
        <v>Modelled</v>
      </c>
      <c r="J17" s="461" t="str">
        <f>IF(VLOOKUP($A17,PRICES!$A:$CJ,70,FALSE)="Y","Manual Adjusted",IF(VLOOKUP($A17,PRICES!$A:$CJ,54,FALSE)="Roll-over","Roll-Over","Modelled"))</f>
        <v>Modelled</v>
      </c>
      <c r="L17" s="241">
        <v>143</v>
      </c>
      <c r="M17" s="242" t="s">
        <v>11</v>
      </c>
      <c r="N17" s="451">
        <f>VLOOKUP($L17,PRICES!$A:$CJ,71,FALSE)</f>
        <v>152.27413633283331</v>
      </c>
      <c r="O17" s="453">
        <f>VLOOKUP($L17,PRICES!$A:$CJ,72,FALSE)</f>
        <v>203.16018210869933</v>
      </c>
      <c r="P17" s="453">
        <f>VLOOKUP($L17,PRICES!$A:$CJ,73,FALSE)</f>
        <v>76.752070666418149</v>
      </c>
      <c r="Q17" s="242">
        <f>VLOOKUP($L17,PRICES!$A:$CJ,74,FALSE)</f>
        <v>104.96199137132258</v>
      </c>
      <c r="S17" s="369">
        <v>143</v>
      </c>
      <c r="T17" s="242" t="s">
        <v>11</v>
      </c>
      <c r="U17" s="451">
        <f>IFERROR(VLOOKUP($S17,'Further adjustment'!$A:$Q,7,FALSE),0)</f>
        <v>65160</v>
      </c>
      <c r="V17" s="453">
        <f>IFERROR(VLOOKUP($S17,'Further adjustment'!$A:$Q,6,FALSE),0)</f>
        <v>1365</v>
      </c>
      <c r="W17" s="453">
        <f>IFERROR(VLOOKUP($S17,'Further adjustment'!$A:$Q,9,FALSE),0)</f>
        <v>245076</v>
      </c>
      <c r="X17" s="242">
        <f>IFERROR(VLOOKUP($S17,'Further adjustment'!$A:$Q,8,FALSE),0)</f>
        <v>5219</v>
      </c>
    </row>
    <row r="18" spans="1:24">
      <c r="A18" s="369">
        <v>144</v>
      </c>
      <c r="B18" s="242" t="s">
        <v>12</v>
      </c>
      <c r="C18" s="451">
        <f>VLOOKUP($L18,PRICES!$A:$CJ,76,FALSE)</f>
        <v>106.38105497857184</v>
      </c>
      <c r="D18" s="453">
        <f>VLOOKUP($L18,PRICES!$A:$CJ,77,FALSE)</f>
        <v>171.93817784311</v>
      </c>
      <c r="E18" s="453">
        <f>VLOOKUP($L18,PRICES!$A:$CJ,78,FALSE)</f>
        <v>72.310077815684252</v>
      </c>
      <c r="F18" s="242">
        <f>VLOOKUP($L18,PRICES!$A:$CJ,79,FALSE)</f>
        <v>81.396937383979392</v>
      </c>
      <c r="G18" s="369" t="str">
        <f>IF(VLOOKUP($A18,PRICES!$A:$CJ,70,FALSE)="Y","Manual Adjusted",IF(VLOOKUP($A18,PRICES!$A:$CJ,51,FALSE)="Roll-over","Roll-Over","Modelled"))</f>
        <v>Modelled</v>
      </c>
      <c r="H18" s="460" t="str">
        <f>IF(VLOOKUP($A18,PRICES!$A:$CJ,70,FALSE)="Y","Manual Adjusted",IF(VLOOKUP($A18,PRICES!$A:$CJ,52,FALSE)="Roll-over","Roll-Over","Modelled"))</f>
        <v>Modelled</v>
      </c>
      <c r="I18" s="460" t="str">
        <f>IF(VLOOKUP($A18,PRICES!$A:$CJ,70,FALSE)="Y","Manual Adjusted",IF(VLOOKUP($A18,PRICES!$A:$CJ,53,FALSE)="Roll-over","Roll-Over","Modelled"))</f>
        <v>Modelled</v>
      </c>
      <c r="J18" s="461" t="str">
        <f>IF(VLOOKUP($A18,PRICES!$A:$CJ,70,FALSE)="Y","Manual Adjusted",IF(VLOOKUP($A18,PRICES!$A:$CJ,54,FALSE)="Roll-over","Roll-Over","Modelled"))</f>
        <v>Modelled</v>
      </c>
      <c r="L18" s="241">
        <v>144</v>
      </c>
      <c r="M18" s="242" t="s">
        <v>12</v>
      </c>
      <c r="N18" s="451">
        <f>VLOOKUP($L18,PRICES!$A:$CJ,71,FALSE)</f>
        <v>106.38105497857184</v>
      </c>
      <c r="O18" s="453">
        <f>VLOOKUP($L18,PRICES!$A:$CJ,72,FALSE)</f>
        <v>171.93817784311</v>
      </c>
      <c r="P18" s="453">
        <f>VLOOKUP($L18,PRICES!$A:$CJ,73,FALSE)</f>
        <v>72.310077815684252</v>
      </c>
      <c r="Q18" s="242">
        <f>VLOOKUP($L18,PRICES!$A:$CJ,74,FALSE)</f>
        <v>81.396937383979392</v>
      </c>
      <c r="S18" s="369">
        <v>144</v>
      </c>
      <c r="T18" s="242" t="s">
        <v>12</v>
      </c>
      <c r="U18" s="451">
        <f>IFERROR(VLOOKUP($S18,'Further adjustment'!$A:$Q,7,FALSE),0)</f>
        <v>137414</v>
      </c>
      <c r="V18" s="453">
        <f>IFERROR(VLOOKUP($S18,'Further adjustment'!$A:$Q,6,FALSE),0)</f>
        <v>840</v>
      </c>
      <c r="W18" s="453">
        <f>IFERROR(VLOOKUP($S18,'Further adjustment'!$A:$Q,9,FALSE),0)</f>
        <v>167524</v>
      </c>
      <c r="X18" s="242">
        <f>IFERROR(VLOOKUP($S18,'Further adjustment'!$A:$Q,8,FALSE),0)</f>
        <v>4380</v>
      </c>
    </row>
    <row r="19" spans="1:24">
      <c r="A19" s="369">
        <v>160</v>
      </c>
      <c r="B19" s="242" t="s">
        <v>13</v>
      </c>
      <c r="C19" s="451">
        <f>VLOOKUP($L19,PRICES!$A:$CJ,76,FALSE)</f>
        <v>112.35601148757019</v>
      </c>
      <c r="D19" s="453">
        <f>VLOOKUP($L19,PRICES!$A:$CJ,77,FALSE)</f>
        <v>149.35672170053718</v>
      </c>
      <c r="E19" s="453">
        <f>VLOOKUP($L19,PRICES!$A:$CJ,78,FALSE)</f>
        <v>64.851073262703522</v>
      </c>
      <c r="F19" s="242">
        <f>VLOOKUP($L19,PRICES!$A:$CJ,79,FALSE)</f>
        <v>99.185306508465032</v>
      </c>
      <c r="G19" s="369" t="str">
        <f>IF(VLOOKUP($A19,PRICES!$A:$CJ,70,FALSE)="Y","Manual Adjusted",IF(VLOOKUP($A19,PRICES!$A:$CJ,51,FALSE)="Roll-over","Roll-Over","Modelled"))</f>
        <v>Modelled</v>
      </c>
      <c r="H19" s="460" t="str">
        <f>IF(VLOOKUP($A19,PRICES!$A:$CJ,70,FALSE)="Y","Manual Adjusted",IF(VLOOKUP($A19,PRICES!$A:$CJ,52,FALSE)="Roll-over","Roll-Over","Modelled"))</f>
        <v>Modelled</v>
      </c>
      <c r="I19" s="460" t="str">
        <f>IF(VLOOKUP($A19,PRICES!$A:$CJ,70,FALSE)="Y","Manual Adjusted",IF(VLOOKUP($A19,PRICES!$A:$CJ,53,FALSE)="Roll-over","Roll-Over","Modelled"))</f>
        <v>Modelled</v>
      </c>
      <c r="J19" s="461" t="str">
        <f>IF(VLOOKUP($A19,PRICES!$A:$CJ,70,FALSE)="Y","Manual Adjusted",IF(VLOOKUP($A19,PRICES!$A:$CJ,54,FALSE)="Roll-over","Roll-Over","Modelled"))</f>
        <v>Modelled</v>
      </c>
      <c r="L19" s="241">
        <v>160</v>
      </c>
      <c r="M19" s="242" t="s">
        <v>13</v>
      </c>
      <c r="N19" s="451">
        <f>VLOOKUP($L19,PRICES!$A:$CJ,71,FALSE)</f>
        <v>112.35601148757019</v>
      </c>
      <c r="O19" s="453">
        <f>VLOOKUP($L19,PRICES!$A:$CJ,72,FALSE)</f>
        <v>149.35672170053718</v>
      </c>
      <c r="P19" s="453">
        <f>VLOOKUP($L19,PRICES!$A:$CJ,73,FALSE)</f>
        <v>64.851073262703522</v>
      </c>
      <c r="Q19" s="242">
        <f>VLOOKUP($L19,PRICES!$A:$CJ,74,FALSE)</f>
        <v>99.185306508465032</v>
      </c>
      <c r="S19" s="369">
        <v>160</v>
      </c>
      <c r="T19" s="242" t="s">
        <v>13</v>
      </c>
      <c r="U19" s="451">
        <f>IFERROR(VLOOKUP($S19,'Further adjustment'!$A:$Q,7,FALSE),0)</f>
        <v>206917</v>
      </c>
      <c r="V19" s="453">
        <f>IFERROR(VLOOKUP($S19,'Further adjustment'!$A:$Q,6,FALSE),0)</f>
        <v>4208</v>
      </c>
      <c r="W19" s="453">
        <f>IFERROR(VLOOKUP($S19,'Further adjustment'!$A:$Q,9,FALSE),0)</f>
        <v>547714</v>
      </c>
      <c r="X19" s="242">
        <f>IFERROR(VLOOKUP($S19,'Further adjustment'!$A:$Q,8,FALSE),0)</f>
        <v>10979</v>
      </c>
    </row>
    <row r="20" spans="1:24">
      <c r="A20" s="369">
        <v>170</v>
      </c>
      <c r="B20" s="242" t="s">
        <v>14</v>
      </c>
      <c r="C20" s="451">
        <f>VLOOKUP($L20,PRICES!$A:$CJ,76,FALSE)</f>
        <v>255.91470229130562</v>
      </c>
      <c r="D20" s="453">
        <f>VLOOKUP($L20,PRICES!$A:$CJ,77,FALSE)</f>
        <v>255.91470229130562</v>
      </c>
      <c r="E20" s="453">
        <f>VLOOKUP($L20,PRICES!$A:$CJ,78,FALSE)</f>
        <v>174.65934955922725</v>
      </c>
      <c r="F20" s="242">
        <f>VLOOKUP($L20,PRICES!$A:$CJ,79,FALSE)</f>
        <v>177.44141791360238</v>
      </c>
      <c r="G20" s="369" t="str">
        <f>IF(VLOOKUP($A20,PRICES!$A:$CJ,70,FALSE)="Y","Manual Adjusted",IF(VLOOKUP($A20,PRICES!$A:$CJ,51,FALSE)="Roll-over","Roll-Over","Modelled"))</f>
        <v>Modelled</v>
      </c>
      <c r="H20" s="460" t="str">
        <f>IF(VLOOKUP($A20,PRICES!$A:$CJ,70,FALSE)="Y","Manual Adjusted",IF(VLOOKUP($A20,PRICES!$A:$CJ,52,FALSE)="Roll-over","Roll-Over","Modelled"))</f>
        <v>Modelled</v>
      </c>
      <c r="I20" s="460" t="str">
        <f>IF(VLOOKUP($A20,PRICES!$A:$CJ,70,FALSE)="Y","Manual Adjusted",IF(VLOOKUP($A20,PRICES!$A:$CJ,53,FALSE)="Roll-over","Roll-Over","Modelled"))</f>
        <v>Modelled</v>
      </c>
      <c r="J20" s="461" t="str">
        <f>IF(VLOOKUP($A20,PRICES!$A:$CJ,70,FALSE)="Y","Manual Adjusted",IF(VLOOKUP($A20,PRICES!$A:$CJ,54,FALSE)="Roll-over","Roll-Over","Modelled"))</f>
        <v>Modelled</v>
      </c>
      <c r="L20" s="241">
        <v>170</v>
      </c>
      <c r="M20" s="242" t="s">
        <v>14</v>
      </c>
      <c r="N20" s="451">
        <f>VLOOKUP($L20,PRICES!$A:$CJ,71,FALSE)</f>
        <v>255.91470229130562</v>
      </c>
      <c r="O20" s="453">
        <f>VLOOKUP($L20,PRICES!$A:$CJ,72,FALSE)</f>
        <v>255.91470229130562</v>
      </c>
      <c r="P20" s="453">
        <f>VLOOKUP($L20,PRICES!$A:$CJ,73,FALSE)</f>
        <v>174.65934955922725</v>
      </c>
      <c r="Q20" s="242">
        <f>VLOOKUP($L20,PRICES!$A:$CJ,74,FALSE)</f>
        <v>177.44141791360238</v>
      </c>
      <c r="S20" s="369">
        <v>170</v>
      </c>
      <c r="T20" s="242" t="s">
        <v>14</v>
      </c>
      <c r="U20" s="451">
        <f>IFERROR(VLOOKUP($S20,'Further adjustment'!$A:$Q,7,FALSE),0)</f>
        <v>22523</v>
      </c>
      <c r="V20" s="453">
        <f>IFERROR(VLOOKUP($S20,'Further adjustment'!$A:$Q,6,FALSE),0)</f>
        <v>940</v>
      </c>
      <c r="W20" s="453">
        <f>IFERROR(VLOOKUP($S20,'Further adjustment'!$A:$Q,9,FALSE),0)</f>
        <v>36193</v>
      </c>
      <c r="X20" s="242">
        <f>IFERROR(VLOOKUP($S20,'Further adjustment'!$A:$Q,8,FALSE),0)</f>
        <v>600</v>
      </c>
    </row>
    <row r="21" spans="1:24">
      <c r="A21" s="369">
        <v>171</v>
      </c>
      <c r="B21" s="242" t="s">
        <v>15</v>
      </c>
      <c r="C21" s="451">
        <f>VLOOKUP($L21,PRICES!$A:$CJ,76,FALSE)</f>
        <v>166.55833745561605</v>
      </c>
      <c r="D21" s="453">
        <f>VLOOKUP($L21,PRICES!$A:$CJ,77,FALSE)</f>
        <v>166.55833745561605</v>
      </c>
      <c r="E21" s="453">
        <f>VLOOKUP($L21,PRICES!$A:$CJ,78,FALSE)</f>
        <v>108.63991652261016</v>
      </c>
      <c r="F21" s="242">
        <f>VLOOKUP($L21,PRICES!$A:$CJ,79,FALSE)</f>
        <v>110.76296803581735</v>
      </c>
      <c r="G21" s="369" t="str">
        <f>IF(VLOOKUP($A21,PRICES!$A:$CJ,70,FALSE)="Y","Manual Adjusted",IF(VLOOKUP($A21,PRICES!$A:$CJ,51,FALSE)="Roll-over","Roll-Over","Modelled"))</f>
        <v>Modelled</v>
      </c>
      <c r="H21" s="460" t="str">
        <f>IF(VLOOKUP($A21,PRICES!$A:$CJ,70,FALSE)="Y","Manual Adjusted",IF(VLOOKUP($A21,PRICES!$A:$CJ,52,FALSE)="Roll-over","Roll-Over","Modelled"))</f>
        <v>Modelled</v>
      </c>
      <c r="I21" s="460" t="str">
        <f>IF(VLOOKUP($A21,PRICES!$A:$CJ,70,FALSE)="Y","Manual Adjusted",IF(VLOOKUP($A21,PRICES!$A:$CJ,53,FALSE)="Roll-over","Roll-Over","Modelled"))</f>
        <v>Modelled</v>
      </c>
      <c r="J21" s="461" t="str">
        <f>IF(VLOOKUP($A21,PRICES!$A:$CJ,70,FALSE)="Y","Manual Adjusted",IF(VLOOKUP($A21,PRICES!$A:$CJ,54,FALSE)="Roll-over","Roll-Over","Modelled"))</f>
        <v>Modelled</v>
      </c>
      <c r="L21" s="241">
        <v>171</v>
      </c>
      <c r="M21" s="242" t="s">
        <v>15</v>
      </c>
      <c r="N21" s="451">
        <f>VLOOKUP($L21,PRICES!$A:$CJ,71,FALSE)</f>
        <v>166.55833745561605</v>
      </c>
      <c r="O21" s="453">
        <f>VLOOKUP($L21,PRICES!$A:$CJ,72,FALSE)</f>
        <v>166.55833745561605</v>
      </c>
      <c r="P21" s="453">
        <f>VLOOKUP($L21,PRICES!$A:$CJ,73,FALSE)</f>
        <v>108.63991652261016</v>
      </c>
      <c r="Q21" s="242">
        <f>VLOOKUP($L21,PRICES!$A:$CJ,74,FALSE)</f>
        <v>110.76296803581735</v>
      </c>
      <c r="S21" s="369">
        <v>171</v>
      </c>
      <c r="T21" s="242" t="s">
        <v>15</v>
      </c>
      <c r="U21" s="451">
        <f>IFERROR(VLOOKUP($S21,'Further adjustment'!$A:$Q,7,FALSE),0)</f>
        <v>48931</v>
      </c>
      <c r="V21" s="453">
        <f>IFERROR(VLOOKUP($S21,'Further adjustment'!$A:$Q,6,FALSE),0)</f>
        <v>963</v>
      </c>
      <c r="W21" s="453">
        <f>IFERROR(VLOOKUP($S21,'Further adjustment'!$A:$Q,9,FALSE),0)</f>
        <v>74228</v>
      </c>
      <c r="X21" s="242">
        <f>IFERROR(VLOOKUP($S21,'Further adjustment'!$A:$Q,8,FALSE),0)</f>
        <v>1794</v>
      </c>
    </row>
    <row r="22" spans="1:24">
      <c r="A22" s="369">
        <v>172</v>
      </c>
      <c r="B22" s="242" t="s">
        <v>16</v>
      </c>
      <c r="C22" s="451">
        <f>VLOOKUP($L22,PRICES!$A:$CJ,76,FALSE)</f>
        <v>275.36073902040789</v>
      </c>
      <c r="D22" s="453">
        <f>VLOOKUP($L22,PRICES!$A:$CJ,77,FALSE)</f>
        <v>275.36073902040789</v>
      </c>
      <c r="E22" s="453">
        <f>VLOOKUP($L22,PRICES!$A:$CJ,78,FALSE)</f>
        <v>179.30788427795591</v>
      </c>
      <c r="F22" s="242">
        <f>VLOOKUP($L22,PRICES!$A:$CJ,79,FALSE)</f>
        <v>179.30788427795591</v>
      </c>
      <c r="G22" s="369" t="str">
        <f>IF(VLOOKUP($A22,PRICES!$A:$CJ,70,FALSE)="Y","Manual Adjusted",IF(VLOOKUP($A22,PRICES!$A:$CJ,51,FALSE)="Roll-over","Roll-Over","Modelled"))</f>
        <v>Modelled</v>
      </c>
      <c r="H22" s="460" t="str">
        <f>IF(VLOOKUP($A22,PRICES!$A:$CJ,70,FALSE)="Y","Manual Adjusted",IF(VLOOKUP($A22,PRICES!$A:$CJ,52,FALSE)="Roll-over","Roll-Over","Modelled"))</f>
        <v>Modelled</v>
      </c>
      <c r="I22" s="460" t="str">
        <f>IF(VLOOKUP($A22,PRICES!$A:$CJ,70,FALSE)="Y","Manual Adjusted",IF(VLOOKUP($A22,PRICES!$A:$CJ,53,FALSE)="Roll-over","Roll-Over","Modelled"))</f>
        <v>Modelled</v>
      </c>
      <c r="J22" s="461" t="str">
        <f>IF(VLOOKUP($A22,PRICES!$A:$CJ,70,FALSE)="Y","Manual Adjusted",IF(VLOOKUP($A22,PRICES!$A:$CJ,54,FALSE)="Roll-over","Roll-Over","Modelled"))</f>
        <v>Modelled</v>
      </c>
      <c r="L22" s="241">
        <v>172</v>
      </c>
      <c r="M22" s="242" t="s">
        <v>16</v>
      </c>
      <c r="N22" s="451">
        <f>VLOOKUP($L22,PRICES!$A:$CJ,71,FALSE)</f>
        <v>275.36073902040789</v>
      </c>
      <c r="O22" s="453">
        <f>VLOOKUP($L22,PRICES!$A:$CJ,72,FALSE)</f>
        <v>275.36073902040789</v>
      </c>
      <c r="P22" s="453">
        <f>VLOOKUP($L22,PRICES!$A:$CJ,73,FALSE)</f>
        <v>179.30788427795591</v>
      </c>
      <c r="Q22" s="242">
        <f>VLOOKUP($L22,PRICES!$A:$CJ,74,FALSE)</f>
        <v>179.30788427795591</v>
      </c>
      <c r="S22" s="369">
        <v>172</v>
      </c>
      <c r="T22" s="242" t="s">
        <v>16</v>
      </c>
      <c r="U22" s="451">
        <f>IFERROR(VLOOKUP($S22,'Further adjustment'!$A:$Q,7,FALSE),0)</f>
        <v>15271</v>
      </c>
      <c r="V22" s="453">
        <f>IFERROR(VLOOKUP($S22,'Further adjustment'!$A:$Q,6,FALSE),0)</f>
        <v>1333</v>
      </c>
      <c r="W22" s="453">
        <f>IFERROR(VLOOKUP($S22,'Further adjustment'!$A:$Q,9,FALSE),0)</f>
        <v>27178</v>
      </c>
      <c r="X22" s="242">
        <f>IFERROR(VLOOKUP($S22,'Further adjustment'!$A:$Q,8,FALSE),0)</f>
        <v>2834</v>
      </c>
    </row>
    <row r="23" spans="1:24">
      <c r="A23" s="369">
        <v>173</v>
      </c>
      <c r="B23" s="242" t="s">
        <v>17</v>
      </c>
      <c r="C23" s="451">
        <f>VLOOKUP($L23,PRICES!$A:$CJ,76,FALSE)</f>
        <v>270.33939739882868</v>
      </c>
      <c r="D23" s="453">
        <f>VLOOKUP($L23,PRICES!$A:$CJ,77,FALSE)</f>
        <v>272.39165528340305</v>
      </c>
      <c r="E23" s="453">
        <f>VLOOKUP($L23,PRICES!$A:$CJ,78,FALSE)</f>
        <v>166.25144633885711</v>
      </c>
      <c r="F23" s="242">
        <f>VLOOKUP($L23,PRICES!$A:$CJ,79,FALSE)</f>
        <v>167.21829208180216</v>
      </c>
      <c r="G23" s="369" t="str">
        <f>IF(VLOOKUP($A23,PRICES!$A:$CJ,70,FALSE)="Y","Manual Adjusted",IF(VLOOKUP($A23,PRICES!$A:$CJ,51,FALSE)="Roll-over","Roll-Over","Modelled"))</f>
        <v>Modelled</v>
      </c>
      <c r="H23" s="460" t="str">
        <f>IF(VLOOKUP($A23,PRICES!$A:$CJ,70,FALSE)="Y","Manual Adjusted",IF(VLOOKUP($A23,PRICES!$A:$CJ,52,FALSE)="Roll-over","Roll-Over","Modelled"))</f>
        <v>Modelled</v>
      </c>
      <c r="I23" s="460" t="str">
        <f>IF(VLOOKUP($A23,PRICES!$A:$CJ,70,FALSE)="Y","Manual Adjusted",IF(VLOOKUP($A23,PRICES!$A:$CJ,53,FALSE)="Roll-over","Roll-Over","Modelled"))</f>
        <v>Modelled</v>
      </c>
      <c r="J23" s="461" t="str">
        <f>IF(VLOOKUP($A23,PRICES!$A:$CJ,70,FALSE)="Y","Manual Adjusted",IF(VLOOKUP($A23,PRICES!$A:$CJ,54,FALSE)="Roll-over","Roll-Over","Modelled"))</f>
        <v>Modelled</v>
      </c>
      <c r="L23" s="241">
        <v>173</v>
      </c>
      <c r="M23" s="242" t="s">
        <v>17</v>
      </c>
      <c r="N23" s="451">
        <f>VLOOKUP($L23,PRICES!$A:$CJ,71,FALSE)</f>
        <v>270.33939739882868</v>
      </c>
      <c r="O23" s="453">
        <f>VLOOKUP($L23,PRICES!$A:$CJ,72,FALSE)</f>
        <v>272.39165528340305</v>
      </c>
      <c r="P23" s="453">
        <f>VLOOKUP($L23,PRICES!$A:$CJ,73,FALSE)</f>
        <v>166.25144633885711</v>
      </c>
      <c r="Q23" s="242">
        <f>VLOOKUP($L23,PRICES!$A:$CJ,74,FALSE)</f>
        <v>167.21829208180216</v>
      </c>
      <c r="S23" s="369">
        <v>173</v>
      </c>
      <c r="T23" s="242" t="s">
        <v>17</v>
      </c>
      <c r="U23" s="451">
        <f>IFERROR(VLOOKUP($S23,'Further adjustment'!$A:$Q,7,FALSE),0)</f>
        <v>9288</v>
      </c>
      <c r="V23" s="453">
        <f>IFERROR(VLOOKUP($S23,'Further adjustment'!$A:$Q,6,FALSE),0)</f>
        <v>46</v>
      </c>
      <c r="W23" s="453">
        <f>IFERROR(VLOOKUP($S23,'Further adjustment'!$A:$Q,9,FALSE),0)</f>
        <v>22189</v>
      </c>
      <c r="X23" s="242">
        <f>IFERROR(VLOOKUP($S23,'Further adjustment'!$A:$Q,8,FALSE),0)</f>
        <v>236</v>
      </c>
    </row>
    <row r="24" spans="1:24">
      <c r="A24" s="369">
        <v>190</v>
      </c>
      <c r="B24" s="242" t="s">
        <v>18</v>
      </c>
      <c r="C24" s="451">
        <f>VLOOKUP($L24,PRICES!$A:$CJ,76,FALSE)</f>
        <v>92.939131712481796</v>
      </c>
      <c r="D24" s="453">
        <f>VLOOKUP($L24,PRICES!$A:$CJ,77,FALSE)</f>
        <v>92.939131712481796</v>
      </c>
      <c r="E24" s="453">
        <f>VLOOKUP($L24,PRICES!$A:$CJ,78,FALSE)</f>
        <v>59.725169865382611</v>
      </c>
      <c r="F24" s="242">
        <f>VLOOKUP($L24,PRICES!$A:$CJ,79,FALSE)</f>
        <v>82.817702318652877</v>
      </c>
      <c r="G24" s="369" t="str">
        <f>IF(VLOOKUP($A24,PRICES!$A:$CJ,70,FALSE)="Y","Manual Adjusted",IF(VLOOKUP($A24,PRICES!$A:$CJ,51,FALSE)="Roll-over","Roll-Over","Modelled"))</f>
        <v>Modelled</v>
      </c>
      <c r="H24" s="460" t="str">
        <f>IF(VLOOKUP($A24,PRICES!$A:$CJ,70,FALSE)="Y","Manual Adjusted",IF(VLOOKUP($A24,PRICES!$A:$CJ,52,FALSE)="Roll-over","Roll-Over","Modelled"))</f>
        <v>Modelled</v>
      </c>
      <c r="I24" s="460" t="str">
        <f>IF(VLOOKUP($A24,PRICES!$A:$CJ,70,FALSE)="Y","Manual Adjusted",IF(VLOOKUP($A24,PRICES!$A:$CJ,53,FALSE)="Roll-over","Roll-Over","Modelled"))</f>
        <v>Modelled</v>
      </c>
      <c r="J24" s="461" t="str">
        <f>IF(VLOOKUP($A24,PRICES!$A:$CJ,70,FALSE)="Y","Manual Adjusted",IF(VLOOKUP($A24,PRICES!$A:$CJ,54,FALSE)="Roll-over","Roll-Over","Modelled"))</f>
        <v>Modelled</v>
      </c>
      <c r="L24" s="241">
        <v>190</v>
      </c>
      <c r="M24" s="242" t="s">
        <v>18</v>
      </c>
      <c r="N24" s="451">
        <f>VLOOKUP($L24,PRICES!$A:$CJ,71,FALSE)</f>
        <v>92.939131712481796</v>
      </c>
      <c r="O24" s="453">
        <f>VLOOKUP($L24,PRICES!$A:$CJ,72,FALSE)</f>
        <v>92.939131712481796</v>
      </c>
      <c r="P24" s="453">
        <f>VLOOKUP($L24,PRICES!$A:$CJ,73,FALSE)</f>
        <v>59.725169865382611</v>
      </c>
      <c r="Q24" s="242">
        <f>VLOOKUP($L24,PRICES!$A:$CJ,74,FALSE)</f>
        <v>82.817702318652877</v>
      </c>
      <c r="S24" s="369">
        <v>190</v>
      </c>
      <c r="T24" s="242" t="s">
        <v>18</v>
      </c>
      <c r="U24" s="451">
        <f>IFERROR(VLOOKUP($S24,'Further adjustment'!$A:$Q,7,FALSE),0)</f>
        <v>62104</v>
      </c>
      <c r="V24" s="453">
        <f>IFERROR(VLOOKUP($S24,'Further adjustment'!$A:$Q,6,FALSE),0)</f>
        <v>5</v>
      </c>
      <c r="W24" s="453">
        <f>IFERROR(VLOOKUP($S24,'Further adjustment'!$A:$Q,9,FALSE),0)</f>
        <v>143093</v>
      </c>
      <c r="X24" s="242">
        <f>IFERROR(VLOOKUP($S24,'Further adjustment'!$A:$Q,8,FALSE),0)</f>
        <v>1106</v>
      </c>
    </row>
    <row r="25" spans="1:24">
      <c r="A25" s="369">
        <v>191</v>
      </c>
      <c r="B25" s="242" t="s">
        <v>19</v>
      </c>
      <c r="C25" s="451">
        <f>VLOOKUP($L25,PRICES!$A:$CJ,76,FALSE)</f>
        <v>161.73580080572822</v>
      </c>
      <c r="D25" s="453">
        <f>VLOOKUP($L25,PRICES!$A:$CJ,77,FALSE)</f>
        <v>161.73580080572822</v>
      </c>
      <c r="E25" s="453">
        <f>VLOOKUP($L25,PRICES!$A:$CJ,78,FALSE)</f>
        <v>90.808599633208573</v>
      </c>
      <c r="F25" s="242">
        <f>VLOOKUP($L25,PRICES!$A:$CJ,79,FALSE)</f>
        <v>90.808599633208573</v>
      </c>
      <c r="G25" s="369" t="str">
        <f>IF(VLOOKUP($A25,PRICES!$A:$CJ,70,FALSE)="Y","Manual Adjusted",IF(VLOOKUP($A25,PRICES!$A:$CJ,51,FALSE)="Roll-over","Roll-Over","Modelled"))</f>
        <v>Modelled</v>
      </c>
      <c r="H25" s="460" t="str">
        <f>IF(VLOOKUP($A25,PRICES!$A:$CJ,70,FALSE)="Y","Manual Adjusted",IF(VLOOKUP($A25,PRICES!$A:$CJ,52,FALSE)="Roll-over","Roll-Over","Modelled"))</f>
        <v>Modelled</v>
      </c>
      <c r="I25" s="460" t="str">
        <f>IF(VLOOKUP($A25,PRICES!$A:$CJ,70,FALSE)="Y","Manual Adjusted",IF(VLOOKUP($A25,PRICES!$A:$CJ,53,FALSE)="Roll-over","Roll-Over","Modelled"))</f>
        <v>Modelled</v>
      </c>
      <c r="J25" s="461" t="str">
        <f>IF(VLOOKUP($A25,PRICES!$A:$CJ,70,FALSE)="Y","Manual Adjusted",IF(VLOOKUP($A25,PRICES!$A:$CJ,54,FALSE)="Roll-over","Roll-Over","Modelled"))</f>
        <v>Modelled</v>
      </c>
      <c r="L25" s="241">
        <v>191</v>
      </c>
      <c r="M25" s="242" t="s">
        <v>19</v>
      </c>
      <c r="N25" s="451">
        <f>VLOOKUP($L25,PRICES!$A:$CJ,71,FALSE)</f>
        <v>161.73580080572822</v>
      </c>
      <c r="O25" s="453">
        <f>VLOOKUP($L25,PRICES!$A:$CJ,72,FALSE)</f>
        <v>161.73580080572822</v>
      </c>
      <c r="P25" s="453">
        <f>VLOOKUP($L25,PRICES!$A:$CJ,73,FALSE)</f>
        <v>90.808599633208573</v>
      </c>
      <c r="Q25" s="242">
        <f>VLOOKUP($L25,PRICES!$A:$CJ,74,FALSE)</f>
        <v>90.808599633208573</v>
      </c>
      <c r="S25" s="369">
        <v>191</v>
      </c>
      <c r="T25" s="242" t="s">
        <v>19</v>
      </c>
      <c r="U25" s="451">
        <f>IFERROR(VLOOKUP($S25,'Further adjustment'!$A:$Q,7,FALSE),0)</f>
        <v>166438</v>
      </c>
      <c r="V25" s="453">
        <f>IFERROR(VLOOKUP($S25,'Further adjustment'!$A:$Q,6,FALSE),0)</f>
        <v>4891</v>
      </c>
      <c r="W25" s="453">
        <f>IFERROR(VLOOKUP($S25,'Further adjustment'!$A:$Q,9,FALSE),0)</f>
        <v>310124</v>
      </c>
      <c r="X25" s="242">
        <f>IFERROR(VLOOKUP($S25,'Further adjustment'!$A:$Q,8,FALSE),0)</f>
        <v>7864</v>
      </c>
    </row>
    <row r="26" spans="1:24">
      <c r="A26" s="369">
        <v>211</v>
      </c>
      <c r="B26" s="242" t="s">
        <v>20</v>
      </c>
      <c r="C26" s="451">
        <f>VLOOKUP($L26,PRICES!$A:$CJ,76,FALSE)</f>
        <v>170.11814675297509</v>
      </c>
      <c r="D26" s="453">
        <f>VLOOKUP($L26,PRICES!$A:$CJ,77,FALSE)</f>
        <v>298.64303076875052</v>
      </c>
      <c r="E26" s="453">
        <f>VLOOKUP($L26,PRICES!$A:$CJ,78,FALSE)</f>
        <v>141.41316639534045</v>
      </c>
      <c r="F26" s="242">
        <f>VLOOKUP($L26,PRICES!$A:$CJ,79,FALSE)</f>
        <v>203.81230163937548</v>
      </c>
      <c r="G26" s="369" t="str">
        <f>IF(VLOOKUP($A26,PRICES!$A:$CJ,70,FALSE)="Y","Manual Adjusted",IF(VLOOKUP($A26,PRICES!$A:$CJ,51,FALSE)="Roll-over","Roll-Over","Modelled"))</f>
        <v>Modelled</v>
      </c>
      <c r="H26" s="460" t="str">
        <f>IF(VLOOKUP($A26,PRICES!$A:$CJ,70,FALSE)="Y","Manual Adjusted",IF(VLOOKUP($A26,PRICES!$A:$CJ,52,FALSE)="Roll-over","Roll-Over","Modelled"))</f>
        <v>Modelled</v>
      </c>
      <c r="I26" s="460" t="str">
        <f>IF(VLOOKUP($A26,PRICES!$A:$CJ,70,FALSE)="Y","Manual Adjusted",IF(VLOOKUP($A26,PRICES!$A:$CJ,53,FALSE)="Roll-over","Roll-Over","Modelled"))</f>
        <v>Modelled</v>
      </c>
      <c r="J26" s="461" t="str">
        <f>IF(VLOOKUP($A26,PRICES!$A:$CJ,70,FALSE)="Y","Manual Adjusted",IF(VLOOKUP($A26,PRICES!$A:$CJ,54,FALSE)="Roll-over","Roll-Over","Modelled"))</f>
        <v>Modelled</v>
      </c>
      <c r="L26" s="241">
        <v>211</v>
      </c>
      <c r="M26" s="242" t="s">
        <v>20</v>
      </c>
      <c r="N26" s="451">
        <f>VLOOKUP($L26,PRICES!$A:$CJ,71,FALSE)</f>
        <v>170.11814675297509</v>
      </c>
      <c r="O26" s="453">
        <f>VLOOKUP($L26,PRICES!$A:$CJ,72,FALSE)</f>
        <v>298.64303076875052</v>
      </c>
      <c r="P26" s="453">
        <f>VLOOKUP($L26,PRICES!$A:$CJ,73,FALSE)</f>
        <v>141.41316639534045</v>
      </c>
      <c r="Q26" s="242">
        <f>VLOOKUP($L26,PRICES!$A:$CJ,74,FALSE)</f>
        <v>203.81230163937548</v>
      </c>
      <c r="S26" s="369">
        <v>211</v>
      </c>
      <c r="T26" s="242" t="s">
        <v>20</v>
      </c>
      <c r="U26" s="451">
        <f>IFERROR(VLOOKUP($S26,'Further adjustment'!$A:$Q,7,FALSE),0)</f>
        <v>12043</v>
      </c>
      <c r="V26" s="453">
        <f>IFERROR(VLOOKUP($S26,'Further adjustment'!$A:$Q,6,FALSE),0)</f>
        <v>340</v>
      </c>
      <c r="W26" s="453">
        <f>IFERROR(VLOOKUP($S26,'Further adjustment'!$A:$Q,9,FALSE),0)</f>
        <v>23490</v>
      </c>
      <c r="X26" s="242">
        <f>IFERROR(VLOOKUP($S26,'Further adjustment'!$A:$Q,8,FALSE),0)</f>
        <v>861</v>
      </c>
    </row>
    <row r="27" spans="1:24">
      <c r="A27" s="369">
        <v>214</v>
      </c>
      <c r="B27" s="242" t="s">
        <v>58</v>
      </c>
      <c r="C27" s="451">
        <f>VLOOKUP($L27,PRICES!$A:$CJ,76,FALSE)</f>
        <v>143.37857435719246</v>
      </c>
      <c r="D27" s="453">
        <f>VLOOKUP($L27,PRICES!$A:$CJ,77,FALSE)</f>
        <v>143.37857435719246</v>
      </c>
      <c r="E27" s="453">
        <f>VLOOKUP($L27,PRICES!$A:$CJ,78,FALSE)</f>
        <v>92.077668044044231</v>
      </c>
      <c r="F27" s="242">
        <f>VLOOKUP($L27,PRICES!$A:$CJ,79,FALSE)</f>
        <v>107.34581452692588</v>
      </c>
      <c r="G27" s="369" t="str">
        <f>IF(VLOOKUP($A27,PRICES!$A:$CJ,70,FALSE)="Y","Manual Adjusted",IF(VLOOKUP($A27,PRICES!$A:$CJ,51,FALSE)="Roll-over","Roll-Over","Modelled"))</f>
        <v>Modelled</v>
      </c>
      <c r="H27" s="460" t="str">
        <f>IF(VLOOKUP($A27,PRICES!$A:$CJ,70,FALSE)="Y","Manual Adjusted",IF(VLOOKUP($A27,PRICES!$A:$CJ,52,FALSE)="Roll-over","Roll-Over","Modelled"))</f>
        <v>Modelled</v>
      </c>
      <c r="I27" s="460" t="str">
        <f>IF(VLOOKUP($A27,PRICES!$A:$CJ,70,FALSE)="Y","Manual Adjusted",IF(VLOOKUP($A27,PRICES!$A:$CJ,53,FALSE)="Roll-over","Roll-Over","Modelled"))</f>
        <v>Modelled</v>
      </c>
      <c r="J27" s="461" t="str">
        <f>IF(VLOOKUP($A27,PRICES!$A:$CJ,70,FALSE)="Y","Manual Adjusted",IF(VLOOKUP($A27,PRICES!$A:$CJ,54,FALSE)="Roll-over","Roll-Over","Modelled"))</f>
        <v>Modelled</v>
      </c>
      <c r="L27" s="241">
        <v>214</v>
      </c>
      <c r="M27" s="242" t="s">
        <v>58</v>
      </c>
      <c r="N27" s="451">
        <f>VLOOKUP($L27,PRICES!$A:$CJ,71,FALSE)</f>
        <v>143.37857435719246</v>
      </c>
      <c r="O27" s="453">
        <f>VLOOKUP($L27,PRICES!$A:$CJ,72,FALSE)</f>
        <v>143.37857435719246</v>
      </c>
      <c r="P27" s="453">
        <f>VLOOKUP($L27,PRICES!$A:$CJ,73,FALSE)</f>
        <v>92.077668044044231</v>
      </c>
      <c r="Q27" s="242">
        <f>VLOOKUP($L27,PRICES!$A:$CJ,74,FALSE)</f>
        <v>107.34581452692588</v>
      </c>
      <c r="S27" s="369">
        <v>214</v>
      </c>
      <c r="T27" s="242" t="s">
        <v>58</v>
      </c>
      <c r="U27" s="451">
        <f>IFERROR(VLOOKUP($S27,'Further adjustment'!$A:$Q,7,FALSE),0)</f>
        <v>67978</v>
      </c>
      <c r="V27" s="453">
        <f>IFERROR(VLOOKUP($S27,'Further adjustment'!$A:$Q,6,FALSE),0)</f>
        <v>3073</v>
      </c>
      <c r="W27" s="453">
        <f>IFERROR(VLOOKUP($S27,'Further adjustment'!$A:$Q,9,FALSE),0)</f>
        <v>109806</v>
      </c>
      <c r="X27" s="242">
        <f>IFERROR(VLOOKUP($S27,'Further adjustment'!$A:$Q,8,FALSE),0)</f>
        <v>6819</v>
      </c>
    </row>
    <row r="28" spans="1:24">
      <c r="A28" s="369">
        <v>215</v>
      </c>
      <c r="B28" s="242" t="s">
        <v>59</v>
      </c>
      <c r="C28" s="454">
        <f>VLOOKUP($L28,PRICES!$A:$CJ,76,FALSE)</f>
        <v>105.41525762687209</v>
      </c>
      <c r="D28" s="452">
        <f>VLOOKUP($L28,PRICES!$A:$CJ,77,FALSE)</f>
        <v>164.59511984800105</v>
      </c>
      <c r="E28" s="452">
        <f>VLOOKUP($L28,PRICES!$A:$CJ,78,FALSE)</f>
        <v>65.000595658196275</v>
      </c>
      <c r="F28" s="243">
        <f>VLOOKUP($L28,PRICES!$A:$CJ,79,FALSE)</f>
        <v>90.109763020838017</v>
      </c>
      <c r="G28" s="369" t="str">
        <f>IF(VLOOKUP($A28,PRICES!$A:$CJ,70,FALSE)="Y","Manual Adjusted",IF(VLOOKUP($A28,PRICES!$A:$CJ,51,FALSE)="Roll-over","Roll-Over","Modelled"))</f>
        <v>Modelled</v>
      </c>
      <c r="H28" s="460" t="str">
        <f>IF(VLOOKUP($A28,PRICES!$A:$CJ,70,FALSE)="Y","Manual Adjusted",IF(VLOOKUP($A28,PRICES!$A:$CJ,52,FALSE)="Roll-over","Roll-Over","Modelled"))</f>
        <v>Modelled</v>
      </c>
      <c r="I28" s="460" t="str">
        <f>IF(VLOOKUP($A28,PRICES!$A:$CJ,70,FALSE)="Y","Manual Adjusted",IF(VLOOKUP($A28,PRICES!$A:$CJ,53,FALSE)="Roll-over","Roll-Over","Modelled"))</f>
        <v>Modelled</v>
      </c>
      <c r="J28" s="461" t="str">
        <f>IF(VLOOKUP($A28,PRICES!$A:$CJ,70,FALSE)="Y","Manual Adjusted",IF(VLOOKUP($A28,PRICES!$A:$CJ,54,FALSE)="Roll-over","Roll-Over","Modelled"))</f>
        <v>Modelled</v>
      </c>
      <c r="L28" s="241">
        <v>215</v>
      </c>
      <c r="M28" s="242" t="s">
        <v>59</v>
      </c>
      <c r="N28" s="454">
        <f>VLOOKUP($L28,PRICES!$A:$CJ,71,FALSE)</f>
        <v>105.41525762687209</v>
      </c>
      <c r="O28" s="452">
        <f>VLOOKUP($L28,PRICES!$A:$CJ,72,FALSE)</f>
        <v>164.59511984800105</v>
      </c>
      <c r="P28" s="452">
        <f>VLOOKUP($L28,PRICES!$A:$CJ,73,FALSE)</f>
        <v>65.000595658196275</v>
      </c>
      <c r="Q28" s="243">
        <f>VLOOKUP($L28,PRICES!$A:$CJ,74,FALSE)</f>
        <v>90.109763020838017</v>
      </c>
      <c r="S28" s="369">
        <v>215</v>
      </c>
      <c r="T28" s="242" t="s">
        <v>59</v>
      </c>
      <c r="U28" s="451">
        <f>IFERROR(VLOOKUP($S28,'Further adjustment'!$A:$Q,7,FALSE),0)</f>
        <v>31648</v>
      </c>
      <c r="V28" s="453">
        <f>IFERROR(VLOOKUP($S28,'Further adjustment'!$A:$Q,6,FALSE),0)</f>
        <v>2086</v>
      </c>
      <c r="W28" s="453">
        <f>IFERROR(VLOOKUP($S28,'Further adjustment'!$A:$Q,9,FALSE),0)</f>
        <v>49838</v>
      </c>
      <c r="X28" s="242">
        <f>IFERROR(VLOOKUP($S28,'Further adjustment'!$A:$Q,8,FALSE),0)</f>
        <v>3389</v>
      </c>
    </row>
    <row r="29" spans="1:24">
      <c r="A29" s="369">
        <v>216</v>
      </c>
      <c r="B29" s="242" t="s">
        <v>21</v>
      </c>
      <c r="C29" s="454">
        <f>VLOOKUP($L29,PRICES!$A:$CJ,76,FALSE)</f>
        <v>133.51821396237895</v>
      </c>
      <c r="D29" s="452">
        <f>VLOOKUP($L29,PRICES!$A:$CJ,77,FALSE)</f>
        <v>162.81028489562331</v>
      </c>
      <c r="E29" s="452">
        <f>VLOOKUP($L29,PRICES!$A:$CJ,78,FALSE)</f>
        <v>80.228863086774055</v>
      </c>
      <c r="F29" s="243">
        <f>VLOOKUP($L29,PRICES!$A:$CJ,79,FALSE)</f>
        <v>133.17884838113088</v>
      </c>
      <c r="G29" s="369" t="str">
        <f>IF(VLOOKUP($A29,PRICES!$A:$CJ,70,FALSE)="Y","Manual Adjusted",IF(VLOOKUP($A29,PRICES!$A:$CJ,51,FALSE)="Roll-over","Roll-Over","Modelled"))</f>
        <v>Modelled</v>
      </c>
      <c r="H29" s="460" t="str">
        <f>IF(VLOOKUP($A29,PRICES!$A:$CJ,70,FALSE)="Y","Manual Adjusted",IF(VLOOKUP($A29,PRICES!$A:$CJ,52,FALSE)="Roll-over","Roll-Over","Modelled"))</f>
        <v>Modelled</v>
      </c>
      <c r="I29" s="460" t="str">
        <f>IF(VLOOKUP($A29,PRICES!$A:$CJ,70,FALSE)="Y","Manual Adjusted",IF(VLOOKUP($A29,PRICES!$A:$CJ,53,FALSE)="Roll-over","Roll-Over","Modelled"))</f>
        <v>Modelled</v>
      </c>
      <c r="J29" s="461" t="str">
        <f>IF(VLOOKUP($A29,PRICES!$A:$CJ,70,FALSE)="Y","Manual Adjusted",IF(VLOOKUP($A29,PRICES!$A:$CJ,54,FALSE)="Roll-over","Roll-Over","Modelled"))</f>
        <v>Modelled</v>
      </c>
      <c r="L29" s="241">
        <v>216</v>
      </c>
      <c r="M29" s="242" t="s">
        <v>21</v>
      </c>
      <c r="N29" s="454">
        <f>VLOOKUP($L29,PRICES!$A:$CJ,71,FALSE)</f>
        <v>133.51821396237895</v>
      </c>
      <c r="O29" s="452">
        <f>VLOOKUP($L29,PRICES!$A:$CJ,72,FALSE)</f>
        <v>162.81028489562331</v>
      </c>
      <c r="P29" s="452">
        <f>VLOOKUP($L29,PRICES!$A:$CJ,73,FALSE)</f>
        <v>80.228863086774055</v>
      </c>
      <c r="Q29" s="243">
        <f>VLOOKUP($L29,PRICES!$A:$CJ,74,FALSE)</f>
        <v>133.17884838113088</v>
      </c>
      <c r="S29" s="369">
        <v>216</v>
      </c>
      <c r="T29" s="242" t="s">
        <v>21</v>
      </c>
      <c r="U29" s="451">
        <f>IFERROR(VLOOKUP($S29,'Further adjustment'!$A:$Q,7,FALSE),0)</f>
        <v>42328</v>
      </c>
      <c r="V29" s="453">
        <f>IFERROR(VLOOKUP($S29,'Further adjustment'!$A:$Q,6,FALSE),0)</f>
        <v>2635</v>
      </c>
      <c r="W29" s="453">
        <f>IFERROR(VLOOKUP($S29,'Further adjustment'!$A:$Q,9,FALSE),0)</f>
        <v>111315</v>
      </c>
      <c r="X29" s="242">
        <f>IFERROR(VLOOKUP($S29,'Further adjustment'!$A:$Q,8,FALSE),0)</f>
        <v>4607</v>
      </c>
    </row>
    <row r="30" spans="1:24">
      <c r="A30" s="369">
        <v>217</v>
      </c>
      <c r="B30" s="242" t="s">
        <v>22</v>
      </c>
      <c r="C30" s="454">
        <f>VLOOKUP($L30,PRICES!$A:$CJ,76,FALSE)</f>
        <v>126.25970777449457</v>
      </c>
      <c r="D30" s="452">
        <f>VLOOKUP($L30,PRICES!$A:$CJ,77,FALSE)</f>
        <v>208.73636380824291</v>
      </c>
      <c r="E30" s="452">
        <f>VLOOKUP($L30,PRICES!$A:$CJ,78,FALSE)</f>
        <v>126.25970777449457</v>
      </c>
      <c r="F30" s="243">
        <f>VLOOKUP($L30,PRICES!$A:$CJ,79,FALSE)</f>
        <v>184.70961857127926</v>
      </c>
      <c r="G30" s="369" t="str">
        <f>IF(VLOOKUP($A30,PRICES!$A:$CJ,70,FALSE)="Y","Manual Adjusted",IF(VLOOKUP($A30,PRICES!$A:$CJ,51,FALSE)="Roll-over","Roll-Over","Modelled"))</f>
        <v>Modelled</v>
      </c>
      <c r="H30" s="460" t="str">
        <f>IF(VLOOKUP($A30,PRICES!$A:$CJ,70,FALSE)="Y","Manual Adjusted",IF(VLOOKUP($A30,PRICES!$A:$CJ,52,FALSE)="Roll-over","Roll-Over","Modelled"))</f>
        <v>Modelled</v>
      </c>
      <c r="I30" s="460" t="str">
        <f>IF(VLOOKUP($A30,PRICES!$A:$CJ,70,FALSE)="Y","Manual Adjusted",IF(VLOOKUP($A30,PRICES!$A:$CJ,53,FALSE)="Roll-over","Roll-Over","Modelled"))</f>
        <v>Modelled</v>
      </c>
      <c r="J30" s="461" t="str">
        <f>IF(VLOOKUP($A30,PRICES!$A:$CJ,70,FALSE)="Y","Manual Adjusted",IF(VLOOKUP($A30,PRICES!$A:$CJ,54,FALSE)="Roll-over","Roll-Over","Modelled"))</f>
        <v>Modelled</v>
      </c>
      <c r="L30" s="241">
        <v>217</v>
      </c>
      <c r="M30" s="242" t="s">
        <v>22</v>
      </c>
      <c r="N30" s="454">
        <f>VLOOKUP($L30,PRICES!$A:$CJ,71,FALSE)</f>
        <v>126.25970777449457</v>
      </c>
      <c r="O30" s="452">
        <f>VLOOKUP($L30,PRICES!$A:$CJ,72,FALSE)</f>
        <v>208.73636380824291</v>
      </c>
      <c r="P30" s="452">
        <f>VLOOKUP($L30,PRICES!$A:$CJ,73,FALSE)</f>
        <v>126.25970777449457</v>
      </c>
      <c r="Q30" s="243">
        <f>VLOOKUP($L30,PRICES!$A:$CJ,74,FALSE)</f>
        <v>184.70961857127926</v>
      </c>
      <c r="S30" s="369">
        <v>217</v>
      </c>
      <c r="T30" s="242" t="s">
        <v>22</v>
      </c>
      <c r="U30" s="451">
        <f>IFERROR(VLOOKUP($S30,'Further adjustment'!$A:$Q,7,FALSE),0)</f>
        <v>1849</v>
      </c>
      <c r="V30" s="453">
        <f>IFERROR(VLOOKUP($S30,'Further adjustment'!$A:$Q,6,FALSE),0)</f>
        <v>481</v>
      </c>
      <c r="W30" s="453">
        <f>IFERROR(VLOOKUP($S30,'Further adjustment'!$A:$Q,9,FALSE),0)</f>
        <v>1932</v>
      </c>
      <c r="X30" s="242">
        <f>IFERROR(VLOOKUP($S30,'Further adjustment'!$A:$Q,8,FALSE),0)</f>
        <v>1251</v>
      </c>
    </row>
    <row r="31" spans="1:24">
      <c r="A31" s="369">
        <v>219</v>
      </c>
      <c r="B31" s="242" t="s">
        <v>23</v>
      </c>
      <c r="C31" s="454">
        <f>VLOOKUP($L31,PRICES!$A:$CJ,76,FALSE)</f>
        <v>135.19200575573416</v>
      </c>
      <c r="D31" s="452">
        <f>VLOOKUP($L31,PRICES!$A:$CJ,77,FALSE)</f>
        <v>190.34395965492132</v>
      </c>
      <c r="E31" s="452">
        <f>VLOOKUP($L31,PRICES!$A:$CJ,78,FALSE)</f>
        <v>103.08406920539316</v>
      </c>
      <c r="F31" s="243">
        <f>VLOOKUP($L31,PRICES!$A:$CJ,79,FALSE)</f>
        <v>103.08406920539316</v>
      </c>
      <c r="G31" s="369" t="str">
        <f>IF(VLOOKUP($A31,PRICES!$A:$CJ,70,FALSE)="Y","Manual Adjusted",IF(VLOOKUP($A31,PRICES!$A:$CJ,51,FALSE)="Roll-over","Roll-Over","Modelled"))</f>
        <v>Modelled</v>
      </c>
      <c r="H31" s="460" t="str">
        <f>IF(VLOOKUP($A31,PRICES!$A:$CJ,70,FALSE)="Y","Manual Adjusted",IF(VLOOKUP($A31,PRICES!$A:$CJ,52,FALSE)="Roll-over","Roll-Over","Modelled"))</f>
        <v>Modelled</v>
      </c>
      <c r="I31" s="460" t="str">
        <f>IF(VLOOKUP($A31,PRICES!$A:$CJ,70,FALSE)="Y","Manual Adjusted",IF(VLOOKUP($A31,PRICES!$A:$CJ,53,FALSE)="Roll-over","Roll-Over","Modelled"))</f>
        <v>Modelled</v>
      </c>
      <c r="J31" s="461" t="str">
        <f>IF(VLOOKUP($A31,PRICES!$A:$CJ,70,FALSE)="Y","Manual Adjusted",IF(VLOOKUP($A31,PRICES!$A:$CJ,54,FALSE)="Roll-over","Roll-Over","Modelled"))</f>
        <v>Modelled</v>
      </c>
      <c r="L31" s="241">
        <v>219</v>
      </c>
      <c r="M31" s="242" t="s">
        <v>23</v>
      </c>
      <c r="N31" s="454">
        <f>VLOOKUP($L31,PRICES!$A:$CJ,71,FALSE)</f>
        <v>135.19200575573416</v>
      </c>
      <c r="O31" s="452">
        <f>VLOOKUP($L31,PRICES!$A:$CJ,72,FALSE)</f>
        <v>190.34395965492132</v>
      </c>
      <c r="P31" s="452">
        <f>VLOOKUP($L31,PRICES!$A:$CJ,73,FALSE)</f>
        <v>103.08406920539316</v>
      </c>
      <c r="Q31" s="243">
        <f>VLOOKUP($L31,PRICES!$A:$CJ,74,FALSE)</f>
        <v>103.08406920539316</v>
      </c>
      <c r="S31" s="369">
        <v>219</v>
      </c>
      <c r="T31" s="242" t="s">
        <v>23</v>
      </c>
      <c r="U31" s="451">
        <f>IFERROR(VLOOKUP($S31,'Further adjustment'!$A:$Q,7,FALSE),0)</f>
        <v>15496</v>
      </c>
      <c r="V31" s="453">
        <f>IFERROR(VLOOKUP($S31,'Further adjustment'!$A:$Q,6,FALSE),0)</f>
        <v>193</v>
      </c>
      <c r="W31" s="453">
        <f>IFERROR(VLOOKUP($S31,'Further adjustment'!$A:$Q,9,FALSE),0)</f>
        <v>41156</v>
      </c>
      <c r="X31" s="242">
        <f>IFERROR(VLOOKUP($S31,'Further adjustment'!$A:$Q,8,FALSE),0)</f>
        <v>586</v>
      </c>
    </row>
    <row r="32" spans="1:24">
      <c r="A32" s="369">
        <v>223</v>
      </c>
      <c r="B32" s="242" t="s">
        <v>60</v>
      </c>
      <c r="C32" s="454">
        <f>VLOOKUP($L32,PRICES!$A:$CJ,76,FALSE)</f>
        <v>209.41088477688211</v>
      </c>
      <c r="D32" s="452">
        <f>VLOOKUP($L32,PRICES!$A:$CJ,77,FALSE)</f>
        <v>209.41088477688211</v>
      </c>
      <c r="E32" s="452">
        <f>VLOOKUP($L32,PRICES!$A:$CJ,78,FALSE)</f>
        <v>167.92382269844319</v>
      </c>
      <c r="F32" s="243">
        <f>VLOOKUP($L32,PRICES!$A:$CJ,79,FALSE)</f>
        <v>167.92382269844319</v>
      </c>
      <c r="G32" s="369" t="str">
        <f>IF(VLOOKUP($A32,PRICES!$A:$CJ,70,FALSE)="Y","Manual Adjusted",IF(VLOOKUP($A32,PRICES!$A:$CJ,51,FALSE)="Roll-over","Roll-Over","Modelled"))</f>
        <v>Roll-Over</v>
      </c>
      <c r="H32" s="460" t="str">
        <f>IF(VLOOKUP($A32,PRICES!$A:$CJ,70,FALSE)="Y","Manual Adjusted",IF(VLOOKUP($A32,PRICES!$A:$CJ,52,FALSE)="Roll-over","Roll-Over","Modelled"))</f>
        <v>Roll-Over</v>
      </c>
      <c r="I32" s="460" t="str">
        <f>IF(VLOOKUP($A32,PRICES!$A:$CJ,70,FALSE)="Y","Manual Adjusted",IF(VLOOKUP($A32,PRICES!$A:$CJ,53,FALSE)="Roll-over","Roll-Over","Modelled"))</f>
        <v>Roll-Over</v>
      </c>
      <c r="J32" s="461" t="str">
        <f>IF(VLOOKUP($A32,PRICES!$A:$CJ,70,FALSE)="Y","Manual Adjusted",IF(VLOOKUP($A32,PRICES!$A:$CJ,54,FALSE)="Roll-over","Roll-Over","Modelled"))</f>
        <v>Roll-Over</v>
      </c>
      <c r="L32" s="241">
        <v>223</v>
      </c>
      <c r="M32" s="242" t="s">
        <v>60</v>
      </c>
      <c r="N32" s="454">
        <f>VLOOKUP($L32,PRICES!$A:$CJ,71,FALSE)</f>
        <v>209.41088477688211</v>
      </c>
      <c r="O32" s="452">
        <f>VLOOKUP($L32,PRICES!$A:$CJ,72,FALSE)</f>
        <v>209.41088477688211</v>
      </c>
      <c r="P32" s="452">
        <f>VLOOKUP($L32,PRICES!$A:$CJ,73,FALSE)</f>
        <v>167.92382269844319</v>
      </c>
      <c r="Q32" s="243">
        <f>VLOOKUP($L32,PRICES!$A:$CJ,74,FALSE)</f>
        <v>167.92382269844319</v>
      </c>
      <c r="S32" s="369">
        <v>223</v>
      </c>
      <c r="T32" s="242" t="s">
        <v>60</v>
      </c>
      <c r="U32" s="451">
        <f>IFERROR(VLOOKUP($S32,'Further adjustment'!$A:$Q,7,FALSE),0)</f>
        <v>0</v>
      </c>
      <c r="V32" s="453">
        <f>IFERROR(VLOOKUP($S32,'Further adjustment'!$A:$Q,6,FALSE),0)</f>
        <v>0</v>
      </c>
      <c r="W32" s="453">
        <f>IFERROR(VLOOKUP($S32,'Further adjustment'!$A:$Q,9,FALSE),0)</f>
        <v>0</v>
      </c>
      <c r="X32" s="242">
        <f>IFERROR(VLOOKUP($S32,'Further adjustment'!$A:$Q,8,FALSE),0)</f>
        <v>0</v>
      </c>
    </row>
    <row r="33" spans="1:24">
      <c r="A33" s="369">
        <v>251</v>
      </c>
      <c r="B33" s="242" t="s">
        <v>38</v>
      </c>
      <c r="C33" s="454">
        <f>VLOOKUP($L33,PRICES!$A:$CJ,76,FALSE)</f>
        <v>252.03707650811037</v>
      </c>
      <c r="D33" s="452">
        <f>VLOOKUP($L33,PRICES!$A:$CJ,77,FALSE)</f>
        <v>252.03707650811037</v>
      </c>
      <c r="E33" s="452">
        <f>VLOOKUP($L33,PRICES!$A:$CJ,78,FALSE)</f>
        <v>146.44799839476832</v>
      </c>
      <c r="F33" s="243">
        <f>VLOOKUP($L33,PRICES!$A:$CJ,79,FALSE)</f>
        <v>146.44799839476832</v>
      </c>
      <c r="G33" s="369" t="str">
        <f>IF(VLOOKUP($A33,PRICES!$A:$CJ,70,FALSE)="Y","Manual Adjusted",IF(VLOOKUP($A33,PRICES!$A:$CJ,51,FALSE)="Roll-over","Roll-Over","Modelled"))</f>
        <v>Modelled</v>
      </c>
      <c r="H33" s="460" t="str">
        <f>IF(VLOOKUP($A33,PRICES!$A:$CJ,70,FALSE)="Y","Manual Adjusted",IF(VLOOKUP($A33,PRICES!$A:$CJ,52,FALSE)="Roll-over","Roll-Over","Modelled"))</f>
        <v>Modelled</v>
      </c>
      <c r="I33" s="460" t="str">
        <f>IF(VLOOKUP($A33,PRICES!$A:$CJ,70,FALSE)="Y","Manual Adjusted",IF(VLOOKUP($A33,PRICES!$A:$CJ,53,FALSE)="Roll-over","Roll-Over","Modelled"))</f>
        <v>Modelled</v>
      </c>
      <c r="J33" s="461" t="str">
        <f>IF(VLOOKUP($A33,PRICES!$A:$CJ,70,FALSE)="Y","Manual Adjusted",IF(VLOOKUP($A33,PRICES!$A:$CJ,54,FALSE)="Roll-over","Roll-Over","Modelled"))</f>
        <v>Modelled</v>
      </c>
      <c r="L33" s="241">
        <v>251</v>
      </c>
      <c r="M33" s="242" t="s">
        <v>38</v>
      </c>
      <c r="N33" s="454">
        <f>VLOOKUP($L33,PRICES!$A:$CJ,71,FALSE)</f>
        <v>252.03707650811037</v>
      </c>
      <c r="O33" s="452">
        <f>VLOOKUP($L33,PRICES!$A:$CJ,72,FALSE)</f>
        <v>252.03707650811037</v>
      </c>
      <c r="P33" s="452">
        <f>VLOOKUP($L33,PRICES!$A:$CJ,73,FALSE)</f>
        <v>146.44799839476832</v>
      </c>
      <c r="Q33" s="243">
        <f>VLOOKUP($L33,PRICES!$A:$CJ,74,FALSE)</f>
        <v>146.44799839476832</v>
      </c>
      <c r="S33" s="369">
        <v>251</v>
      </c>
      <c r="T33" s="242" t="s">
        <v>38</v>
      </c>
      <c r="U33" s="451">
        <f>IFERROR(VLOOKUP($S33,'Further adjustment'!$A:$Q,7,FALSE),0)</f>
        <v>12901</v>
      </c>
      <c r="V33" s="453">
        <f>IFERROR(VLOOKUP($S33,'Further adjustment'!$A:$Q,6,FALSE),0)</f>
        <v>1220</v>
      </c>
      <c r="W33" s="453">
        <f>IFERROR(VLOOKUP($S33,'Further adjustment'!$A:$Q,9,FALSE),0)</f>
        <v>38718</v>
      </c>
      <c r="X33" s="242">
        <f>IFERROR(VLOOKUP($S33,'Further adjustment'!$A:$Q,8,FALSE),0)</f>
        <v>4456</v>
      </c>
    </row>
    <row r="34" spans="1:24">
      <c r="A34" s="369">
        <v>252</v>
      </c>
      <c r="B34" s="242" t="s">
        <v>39</v>
      </c>
      <c r="C34" s="454">
        <f>VLOOKUP($L34,PRICES!$A:$CJ,76,FALSE)</f>
        <v>378.40437020925856</v>
      </c>
      <c r="D34" s="452">
        <f>VLOOKUP($L34,PRICES!$A:$CJ,77,FALSE)</f>
        <v>378.40437020925856</v>
      </c>
      <c r="E34" s="452">
        <f>VLOOKUP($L34,PRICES!$A:$CJ,78,FALSE)</f>
        <v>182.68231734094027</v>
      </c>
      <c r="F34" s="243">
        <f>VLOOKUP($L34,PRICES!$A:$CJ,79,FALSE)</f>
        <v>196.50984381445119</v>
      </c>
      <c r="G34" s="369" t="str">
        <f>IF(VLOOKUP($A34,PRICES!$A:$CJ,70,FALSE)="Y","Manual Adjusted",IF(VLOOKUP($A34,PRICES!$A:$CJ,51,FALSE)="Roll-over","Roll-Over","Modelled"))</f>
        <v>Modelled</v>
      </c>
      <c r="H34" s="460" t="str">
        <f>IF(VLOOKUP($A34,PRICES!$A:$CJ,70,FALSE)="Y","Manual Adjusted",IF(VLOOKUP($A34,PRICES!$A:$CJ,52,FALSE)="Roll-over","Roll-Over","Modelled"))</f>
        <v>Modelled</v>
      </c>
      <c r="I34" s="460" t="str">
        <f>IF(VLOOKUP($A34,PRICES!$A:$CJ,70,FALSE)="Y","Manual Adjusted",IF(VLOOKUP($A34,PRICES!$A:$CJ,53,FALSE)="Roll-over","Roll-Over","Modelled"))</f>
        <v>Modelled</v>
      </c>
      <c r="J34" s="461" t="str">
        <f>IF(VLOOKUP($A34,PRICES!$A:$CJ,70,FALSE)="Y","Manual Adjusted",IF(VLOOKUP($A34,PRICES!$A:$CJ,54,FALSE)="Roll-over","Roll-Over","Modelled"))</f>
        <v>Modelled</v>
      </c>
      <c r="L34" s="241">
        <v>252</v>
      </c>
      <c r="M34" s="242" t="s">
        <v>39</v>
      </c>
      <c r="N34" s="454">
        <f>VLOOKUP($L34,PRICES!$A:$CJ,71,FALSE)</f>
        <v>378.40437020925856</v>
      </c>
      <c r="O34" s="452">
        <f>VLOOKUP($L34,PRICES!$A:$CJ,72,FALSE)</f>
        <v>378.40437020925856</v>
      </c>
      <c r="P34" s="452">
        <f>VLOOKUP($L34,PRICES!$A:$CJ,73,FALSE)</f>
        <v>182.68231734094027</v>
      </c>
      <c r="Q34" s="243">
        <f>VLOOKUP($L34,PRICES!$A:$CJ,74,FALSE)</f>
        <v>196.50984381445119</v>
      </c>
      <c r="S34" s="369">
        <v>252</v>
      </c>
      <c r="T34" s="242" t="s">
        <v>39</v>
      </c>
      <c r="U34" s="451">
        <f>IFERROR(VLOOKUP($S34,'Further adjustment'!$A:$Q,7,FALSE),0)</f>
        <v>8526</v>
      </c>
      <c r="V34" s="453">
        <f>IFERROR(VLOOKUP($S34,'Further adjustment'!$A:$Q,6,FALSE),0)</f>
        <v>915</v>
      </c>
      <c r="W34" s="453">
        <f>IFERROR(VLOOKUP($S34,'Further adjustment'!$A:$Q,9,FALSE),0)</f>
        <v>33817</v>
      </c>
      <c r="X34" s="242">
        <f>IFERROR(VLOOKUP($S34,'Further adjustment'!$A:$Q,8,FALSE),0)</f>
        <v>5478</v>
      </c>
    </row>
    <row r="35" spans="1:24">
      <c r="A35" s="369">
        <v>253</v>
      </c>
      <c r="B35" s="242" t="s">
        <v>40</v>
      </c>
      <c r="C35" s="454">
        <f>VLOOKUP($L35,PRICES!$A:$CJ,76,FALSE)</f>
        <v>423.07518999605776</v>
      </c>
      <c r="D35" s="452">
        <f>VLOOKUP($L35,PRICES!$A:$CJ,77,FALSE)</f>
        <v>454.56200020900462</v>
      </c>
      <c r="E35" s="452">
        <f>VLOOKUP($L35,PRICES!$A:$CJ,78,FALSE)</f>
        <v>205.80974613519587</v>
      </c>
      <c r="F35" s="243">
        <f>VLOOKUP($L35,PRICES!$A:$CJ,79,FALSE)</f>
        <v>212.2270315301021</v>
      </c>
      <c r="G35" s="369" t="str">
        <f>IF(VLOOKUP($A35,PRICES!$A:$CJ,70,FALSE)="Y","Manual Adjusted",IF(VLOOKUP($A35,PRICES!$A:$CJ,51,FALSE)="Roll-over","Roll-Over","Modelled"))</f>
        <v>Modelled</v>
      </c>
      <c r="H35" s="460" t="str">
        <f>IF(VLOOKUP($A35,PRICES!$A:$CJ,70,FALSE)="Y","Manual Adjusted",IF(VLOOKUP($A35,PRICES!$A:$CJ,52,FALSE)="Roll-over","Roll-Over","Modelled"))</f>
        <v>Modelled</v>
      </c>
      <c r="I35" s="460" t="str">
        <f>IF(VLOOKUP($A35,PRICES!$A:$CJ,70,FALSE)="Y","Manual Adjusted",IF(VLOOKUP($A35,PRICES!$A:$CJ,53,FALSE)="Roll-over","Roll-Over","Modelled"))</f>
        <v>Modelled</v>
      </c>
      <c r="J35" s="461" t="str">
        <f>IF(VLOOKUP($A35,PRICES!$A:$CJ,70,FALSE)="Y","Manual Adjusted",IF(VLOOKUP($A35,PRICES!$A:$CJ,54,FALSE)="Roll-over","Roll-Over","Modelled"))</f>
        <v>Modelled</v>
      </c>
      <c r="L35" s="241">
        <v>253</v>
      </c>
      <c r="M35" s="242" t="s">
        <v>40</v>
      </c>
      <c r="N35" s="454">
        <f>VLOOKUP($L35,PRICES!$A:$CJ,71,FALSE)</f>
        <v>423.07518999605776</v>
      </c>
      <c r="O35" s="452">
        <f>VLOOKUP($L35,PRICES!$A:$CJ,72,FALSE)</f>
        <v>454.56200020900462</v>
      </c>
      <c r="P35" s="452">
        <f>VLOOKUP($L35,PRICES!$A:$CJ,73,FALSE)</f>
        <v>205.80974613519587</v>
      </c>
      <c r="Q35" s="243">
        <f>VLOOKUP($L35,PRICES!$A:$CJ,74,FALSE)</f>
        <v>212.2270315301021</v>
      </c>
      <c r="S35" s="369">
        <v>253</v>
      </c>
      <c r="T35" s="242" t="s">
        <v>40</v>
      </c>
      <c r="U35" s="451">
        <f>IFERROR(VLOOKUP($S35,'Further adjustment'!$A:$Q,7,FALSE),0)</f>
        <v>5365</v>
      </c>
      <c r="V35" s="453">
        <f>IFERROR(VLOOKUP($S35,'Further adjustment'!$A:$Q,6,FALSE),0)</f>
        <v>239</v>
      </c>
      <c r="W35" s="453">
        <f>IFERROR(VLOOKUP($S35,'Further adjustment'!$A:$Q,9,FALSE),0)</f>
        <v>38399</v>
      </c>
      <c r="X35" s="242">
        <f>IFERROR(VLOOKUP($S35,'Further adjustment'!$A:$Q,8,FALSE),0)</f>
        <v>1770</v>
      </c>
    </row>
    <row r="36" spans="1:24">
      <c r="A36" s="369">
        <v>257</v>
      </c>
      <c r="B36" s="242" t="s">
        <v>41</v>
      </c>
      <c r="C36" s="454">
        <f>VLOOKUP($L36,PRICES!$A:$CJ,76,FALSE)</f>
        <v>127.60665202947742</v>
      </c>
      <c r="D36" s="452">
        <f>VLOOKUP($L36,PRICES!$A:$CJ,77,FALSE)</f>
        <v>197.41968522448474</v>
      </c>
      <c r="E36" s="452">
        <f>VLOOKUP($L36,PRICES!$A:$CJ,78,FALSE)</f>
        <v>92.461524979482476</v>
      </c>
      <c r="F36" s="243">
        <f>VLOOKUP($L36,PRICES!$A:$CJ,79,FALSE)</f>
        <v>161.34900618461702</v>
      </c>
      <c r="G36" s="369" t="str">
        <f>IF(VLOOKUP($A36,PRICES!$A:$CJ,70,FALSE)="Y","Manual Adjusted",IF(VLOOKUP($A36,PRICES!$A:$CJ,51,FALSE)="Roll-over","Roll-Over","Modelled"))</f>
        <v>Modelled</v>
      </c>
      <c r="H36" s="460" t="str">
        <f>IF(VLOOKUP($A36,PRICES!$A:$CJ,70,FALSE)="Y","Manual Adjusted",IF(VLOOKUP($A36,PRICES!$A:$CJ,52,FALSE)="Roll-over","Roll-Over","Modelled"))</f>
        <v>Modelled</v>
      </c>
      <c r="I36" s="460" t="str">
        <f>IF(VLOOKUP($A36,PRICES!$A:$CJ,70,FALSE)="Y","Manual Adjusted",IF(VLOOKUP($A36,PRICES!$A:$CJ,53,FALSE)="Roll-over","Roll-Over","Modelled"))</f>
        <v>Modelled</v>
      </c>
      <c r="J36" s="461" t="str">
        <f>IF(VLOOKUP($A36,PRICES!$A:$CJ,70,FALSE)="Y","Manual Adjusted",IF(VLOOKUP($A36,PRICES!$A:$CJ,54,FALSE)="Roll-over","Roll-Over","Modelled"))</f>
        <v>Modelled</v>
      </c>
      <c r="L36" s="241">
        <v>257</v>
      </c>
      <c r="M36" s="242" t="s">
        <v>41</v>
      </c>
      <c r="N36" s="454">
        <f>VLOOKUP($L36,PRICES!$A:$CJ,71,FALSE)</f>
        <v>127.60665202947742</v>
      </c>
      <c r="O36" s="452">
        <f>VLOOKUP($L36,PRICES!$A:$CJ,72,FALSE)</f>
        <v>197.41968522448474</v>
      </c>
      <c r="P36" s="452">
        <f>VLOOKUP($L36,PRICES!$A:$CJ,73,FALSE)</f>
        <v>92.461524979482476</v>
      </c>
      <c r="Q36" s="243">
        <f>VLOOKUP($L36,PRICES!$A:$CJ,74,FALSE)</f>
        <v>161.34900618461702</v>
      </c>
      <c r="S36" s="369">
        <v>257</v>
      </c>
      <c r="T36" s="242" t="s">
        <v>41</v>
      </c>
      <c r="U36" s="451">
        <f>IFERROR(VLOOKUP($S36,'Further adjustment'!$A:$Q,7,FALSE),0)</f>
        <v>19812</v>
      </c>
      <c r="V36" s="453">
        <f>IFERROR(VLOOKUP($S36,'Further adjustment'!$A:$Q,6,FALSE),0)</f>
        <v>344</v>
      </c>
      <c r="W36" s="453">
        <f>IFERROR(VLOOKUP($S36,'Further adjustment'!$A:$Q,9,FALSE),0)</f>
        <v>33316</v>
      </c>
      <c r="X36" s="242">
        <f>IFERROR(VLOOKUP($S36,'Further adjustment'!$A:$Q,8,FALSE),0)</f>
        <v>452</v>
      </c>
    </row>
    <row r="37" spans="1:24">
      <c r="A37" s="369">
        <v>258</v>
      </c>
      <c r="B37" s="242" t="s">
        <v>42</v>
      </c>
      <c r="C37" s="454">
        <f>VLOOKUP($L37,PRICES!$A:$CJ,76,FALSE)</f>
        <v>279.51694987685926</v>
      </c>
      <c r="D37" s="452">
        <f>VLOOKUP($L37,PRICES!$A:$CJ,77,FALSE)</f>
        <v>288.83556877029491</v>
      </c>
      <c r="E37" s="452">
        <f>VLOOKUP($L37,PRICES!$A:$CJ,78,FALSE)</f>
        <v>147.77803238350847</v>
      </c>
      <c r="F37" s="243">
        <f>VLOOKUP($L37,PRICES!$A:$CJ,79,FALSE)</f>
        <v>170.40260486830564</v>
      </c>
      <c r="G37" s="369" t="str">
        <f>IF(VLOOKUP($A37,PRICES!$A:$CJ,70,FALSE)="Y","Manual Adjusted",IF(VLOOKUP($A37,PRICES!$A:$CJ,51,FALSE)="Roll-over","Roll-Over","Modelled"))</f>
        <v>Modelled</v>
      </c>
      <c r="H37" s="460" t="str">
        <f>IF(VLOOKUP($A37,PRICES!$A:$CJ,70,FALSE)="Y","Manual Adjusted",IF(VLOOKUP($A37,PRICES!$A:$CJ,52,FALSE)="Roll-over","Roll-Over","Modelled"))</f>
        <v>Modelled</v>
      </c>
      <c r="I37" s="460" t="str">
        <f>IF(VLOOKUP($A37,PRICES!$A:$CJ,70,FALSE)="Y","Manual Adjusted",IF(VLOOKUP($A37,PRICES!$A:$CJ,53,FALSE)="Roll-over","Roll-Over","Modelled"))</f>
        <v>Modelled</v>
      </c>
      <c r="J37" s="461" t="str">
        <f>IF(VLOOKUP($A37,PRICES!$A:$CJ,70,FALSE)="Y","Manual Adjusted",IF(VLOOKUP($A37,PRICES!$A:$CJ,54,FALSE)="Roll-over","Roll-Over","Modelled"))</f>
        <v>Modelled</v>
      </c>
      <c r="L37" s="241">
        <v>258</v>
      </c>
      <c r="M37" s="242" t="s">
        <v>42</v>
      </c>
      <c r="N37" s="454">
        <f>VLOOKUP($L37,PRICES!$A:$CJ,71,FALSE)</f>
        <v>279.51694987685926</v>
      </c>
      <c r="O37" s="452">
        <f>VLOOKUP($L37,PRICES!$A:$CJ,72,FALSE)</f>
        <v>288.83556877029491</v>
      </c>
      <c r="P37" s="452">
        <f>VLOOKUP($L37,PRICES!$A:$CJ,73,FALSE)</f>
        <v>147.77803238350847</v>
      </c>
      <c r="Q37" s="243">
        <f>VLOOKUP($L37,PRICES!$A:$CJ,74,FALSE)</f>
        <v>170.40260486830564</v>
      </c>
      <c r="S37" s="369">
        <v>258</v>
      </c>
      <c r="T37" s="242" t="s">
        <v>42</v>
      </c>
      <c r="U37" s="451">
        <f>IFERROR(VLOOKUP($S37,'Further adjustment'!$A:$Q,7,FALSE),0)</f>
        <v>8971</v>
      </c>
      <c r="V37" s="453">
        <f>IFERROR(VLOOKUP($S37,'Further adjustment'!$A:$Q,6,FALSE),0)</f>
        <v>802</v>
      </c>
      <c r="W37" s="453">
        <f>IFERROR(VLOOKUP($S37,'Further adjustment'!$A:$Q,9,FALSE),0)</f>
        <v>31940</v>
      </c>
      <c r="X37" s="242">
        <f>IFERROR(VLOOKUP($S37,'Further adjustment'!$A:$Q,8,FALSE),0)</f>
        <v>2665</v>
      </c>
    </row>
    <row r="38" spans="1:24">
      <c r="A38" s="369">
        <v>263</v>
      </c>
      <c r="B38" s="242" t="s">
        <v>61</v>
      </c>
      <c r="C38" s="454">
        <f>VLOOKUP($L38,PRICES!$A:$CJ,76,FALSE)</f>
        <v>145.57640839115743</v>
      </c>
      <c r="D38" s="452">
        <f>VLOOKUP($L38,PRICES!$A:$CJ,77,FALSE)</f>
        <v>145.57640839115743</v>
      </c>
      <c r="E38" s="452">
        <f>VLOOKUP($L38,PRICES!$A:$CJ,78,FALSE)</f>
        <v>66.763595870988226</v>
      </c>
      <c r="F38" s="243">
        <f>VLOOKUP($L38,PRICES!$A:$CJ,79,FALSE)</f>
        <v>96.217439652893077</v>
      </c>
      <c r="G38" s="369" t="str">
        <f>IF(VLOOKUP($A38,PRICES!$A:$CJ,70,FALSE)="Y","Manual Adjusted",IF(VLOOKUP($A38,PRICES!$A:$CJ,51,FALSE)="Roll-over","Roll-Over","Modelled"))</f>
        <v>Modelled</v>
      </c>
      <c r="H38" s="460" t="str">
        <f>IF(VLOOKUP($A38,PRICES!$A:$CJ,70,FALSE)="Y","Manual Adjusted",IF(VLOOKUP($A38,PRICES!$A:$CJ,52,FALSE)="Roll-over","Roll-Over","Modelled"))</f>
        <v>Modelled</v>
      </c>
      <c r="I38" s="460" t="str">
        <f>IF(VLOOKUP($A38,PRICES!$A:$CJ,70,FALSE)="Y","Manual Adjusted",IF(VLOOKUP($A38,PRICES!$A:$CJ,53,FALSE)="Roll-over","Roll-Over","Modelled"))</f>
        <v>Modelled</v>
      </c>
      <c r="J38" s="461" t="str">
        <f>IF(VLOOKUP($A38,PRICES!$A:$CJ,70,FALSE)="Y","Manual Adjusted",IF(VLOOKUP($A38,PRICES!$A:$CJ,54,FALSE)="Roll-over","Roll-Over","Modelled"))</f>
        <v>Modelled</v>
      </c>
      <c r="L38" s="241">
        <v>263</v>
      </c>
      <c r="M38" s="242" t="s">
        <v>61</v>
      </c>
      <c r="N38" s="454">
        <f>VLOOKUP($L38,PRICES!$A:$CJ,71,FALSE)</f>
        <v>145.57640839115743</v>
      </c>
      <c r="O38" s="452">
        <f>VLOOKUP($L38,PRICES!$A:$CJ,72,FALSE)</f>
        <v>145.57640839115743</v>
      </c>
      <c r="P38" s="452">
        <f>VLOOKUP($L38,PRICES!$A:$CJ,73,FALSE)</f>
        <v>66.763595870988226</v>
      </c>
      <c r="Q38" s="243">
        <f>VLOOKUP($L38,PRICES!$A:$CJ,74,FALSE)</f>
        <v>96.217439652893077</v>
      </c>
      <c r="S38" s="369">
        <v>263</v>
      </c>
      <c r="T38" s="242" t="s">
        <v>61</v>
      </c>
      <c r="U38" s="451">
        <f>IFERROR(VLOOKUP($S38,'Further adjustment'!$A:$Q,7,FALSE),0)</f>
        <v>2264</v>
      </c>
      <c r="V38" s="453">
        <f>IFERROR(VLOOKUP($S38,'Further adjustment'!$A:$Q,6,FALSE),0)</f>
        <v>497</v>
      </c>
      <c r="W38" s="453">
        <f>IFERROR(VLOOKUP($S38,'Further adjustment'!$A:$Q,9,FALSE),0)</f>
        <v>17682</v>
      </c>
      <c r="X38" s="242">
        <f>IFERROR(VLOOKUP($S38,'Further adjustment'!$A:$Q,8,FALSE),0)</f>
        <v>3428</v>
      </c>
    </row>
    <row r="39" spans="1:24">
      <c r="A39" s="369">
        <v>300</v>
      </c>
      <c r="B39" s="242" t="s">
        <v>43</v>
      </c>
      <c r="C39" s="454">
        <f>VLOOKUP($L39,PRICES!$A:$CJ,76,FALSE)</f>
        <v>179.42538274948325</v>
      </c>
      <c r="D39" s="452">
        <f>VLOOKUP($L39,PRICES!$A:$CJ,77,FALSE)</f>
        <v>254.16505358315513</v>
      </c>
      <c r="E39" s="452">
        <f>VLOOKUP($L39,PRICES!$A:$CJ,78,FALSE)</f>
        <v>105.99908880083886</v>
      </c>
      <c r="F39" s="243">
        <f>VLOOKUP($L39,PRICES!$A:$CJ,79,FALSE)</f>
        <v>137.11673478243065</v>
      </c>
      <c r="G39" s="369" t="str">
        <f>IF(VLOOKUP($A39,PRICES!$A:$CJ,70,FALSE)="Y","Manual Adjusted",IF(VLOOKUP($A39,PRICES!$A:$CJ,51,FALSE)="Roll-over","Roll-Over","Modelled"))</f>
        <v>Manual Adjusted</v>
      </c>
      <c r="H39" s="460" t="str">
        <f>IF(VLOOKUP($A39,PRICES!$A:$CJ,70,FALSE)="Y","Manual Adjusted",IF(VLOOKUP($A39,PRICES!$A:$CJ,52,FALSE)="Roll-over","Roll-Over","Modelled"))</f>
        <v>Manual Adjusted</v>
      </c>
      <c r="I39" s="460" t="str">
        <f>IF(VLOOKUP($A39,PRICES!$A:$CJ,70,FALSE)="Y","Manual Adjusted",IF(VLOOKUP($A39,PRICES!$A:$CJ,53,FALSE)="Roll-over","Roll-Over","Modelled"))</f>
        <v>Manual Adjusted</v>
      </c>
      <c r="J39" s="461" t="str">
        <f>IF(VLOOKUP($A39,PRICES!$A:$CJ,70,FALSE)="Y","Manual Adjusted",IF(VLOOKUP($A39,PRICES!$A:$CJ,54,FALSE)="Roll-over","Roll-Over","Modelled"))</f>
        <v>Manual Adjusted</v>
      </c>
      <c r="L39" s="241">
        <v>300</v>
      </c>
      <c r="M39" s="242" t="s">
        <v>43</v>
      </c>
      <c r="N39" s="454">
        <f>VLOOKUP($L39,PRICES!$A:$CJ,71,FALSE)</f>
        <v>179.42538274948325</v>
      </c>
      <c r="O39" s="452">
        <f>VLOOKUP($L39,PRICES!$A:$CJ,72,FALSE)</f>
        <v>254.16505358315513</v>
      </c>
      <c r="P39" s="452">
        <f>VLOOKUP($L39,PRICES!$A:$CJ,73,FALSE)</f>
        <v>105.99908880083886</v>
      </c>
      <c r="Q39" s="243">
        <f>VLOOKUP($L39,PRICES!$A:$CJ,74,FALSE)</f>
        <v>137.11673478243065</v>
      </c>
      <c r="S39" s="369">
        <v>300</v>
      </c>
      <c r="T39" s="242" t="s">
        <v>43</v>
      </c>
      <c r="U39" s="451">
        <f>IFERROR(VLOOKUP($S39,'Further adjustment'!$A:$Q,7,FALSE),0)</f>
        <v>361039</v>
      </c>
      <c r="V39" s="453">
        <f>IFERROR(VLOOKUP($S39,'Further adjustment'!$A:$Q,6,FALSE),0)</f>
        <v>3833</v>
      </c>
      <c r="W39" s="453">
        <f>IFERROR(VLOOKUP($S39,'Further adjustment'!$A:$Q,9,FALSE),0)</f>
        <v>623402</v>
      </c>
      <c r="X39" s="242">
        <f>IFERROR(VLOOKUP($S39,'Further adjustment'!$A:$Q,8,FALSE),0)</f>
        <v>11253</v>
      </c>
    </row>
    <row r="40" spans="1:24">
      <c r="A40" s="369">
        <v>301</v>
      </c>
      <c r="B40" s="242" t="s">
        <v>44</v>
      </c>
      <c r="C40" s="454">
        <f>VLOOKUP($L40,PRICES!$A:$CJ,76,FALSE)</f>
        <v>179.42538274948325</v>
      </c>
      <c r="D40" s="452">
        <f>VLOOKUP($L40,PRICES!$A:$CJ,77,FALSE)</f>
        <v>254.16505358315513</v>
      </c>
      <c r="E40" s="452">
        <f>VLOOKUP($L40,PRICES!$A:$CJ,78,FALSE)</f>
        <v>105.99908880083886</v>
      </c>
      <c r="F40" s="243">
        <f>VLOOKUP($L40,PRICES!$A:$CJ,79,FALSE)</f>
        <v>137.11673478243065</v>
      </c>
      <c r="G40" s="369" t="str">
        <f>IF(VLOOKUP($A40,PRICES!$A:$CJ,70,FALSE)="Y","Manual Adjusted",IF(VLOOKUP($A40,PRICES!$A:$CJ,51,FALSE)="Roll-over","Roll-Over","Modelled"))</f>
        <v>Manual Adjusted</v>
      </c>
      <c r="H40" s="460" t="str">
        <f>IF(VLOOKUP($A40,PRICES!$A:$CJ,70,FALSE)="Y","Manual Adjusted",IF(VLOOKUP($A40,PRICES!$A:$CJ,52,FALSE)="Roll-over","Roll-Over","Modelled"))</f>
        <v>Manual Adjusted</v>
      </c>
      <c r="I40" s="460" t="str">
        <f>IF(VLOOKUP($A40,PRICES!$A:$CJ,70,FALSE)="Y","Manual Adjusted",IF(VLOOKUP($A40,PRICES!$A:$CJ,53,FALSE)="Roll-over","Roll-Over","Modelled"))</f>
        <v>Manual Adjusted</v>
      </c>
      <c r="J40" s="461" t="str">
        <f>IF(VLOOKUP($A40,PRICES!$A:$CJ,70,FALSE)="Y","Manual Adjusted",IF(VLOOKUP($A40,PRICES!$A:$CJ,54,FALSE)="Roll-over","Roll-Over","Modelled"))</f>
        <v>Manual Adjusted</v>
      </c>
      <c r="L40" s="241">
        <v>301</v>
      </c>
      <c r="M40" s="242" t="s">
        <v>44</v>
      </c>
      <c r="N40" s="454">
        <f>VLOOKUP($L40,PRICES!$A:$CJ,71,FALSE)</f>
        <v>179.42538274948325</v>
      </c>
      <c r="O40" s="452">
        <f>VLOOKUP($L40,PRICES!$A:$CJ,72,FALSE)</f>
        <v>254.16505358315513</v>
      </c>
      <c r="P40" s="452">
        <f>VLOOKUP($L40,PRICES!$A:$CJ,73,FALSE)</f>
        <v>105.99908880083886</v>
      </c>
      <c r="Q40" s="243">
        <f>VLOOKUP($L40,PRICES!$A:$CJ,74,FALSE)</f>
        <v>137.11673478243065</v>
      </c>
      <c r="S40" s="369">
        <v>301</v>
      </c>
      <c r="T40" s="242" t="s">
        <v>44</v>
      </c>
      <c r="U40" s="451">
        <f>IFERROR(VLOOKUP($S40,'Further adjustment'!$A:$Q,7,FALSE),0)</f>
        <v>357257</v>
      </c>
      <c r="V40" s="453">
        <f>IFERROR(VLOOKUP($S40,'Further adjustment'!$A:$Q,6,FALSE),0)</f>
        <v>3302</v>
      </c>
      <c r="W40" s="453">
        <f>IFERROR(VLOOKUP($S40,'Further adjustment'!$A:$Q,9,FALSE),0)</f>
        <v>666114</v>
      </c>
      <c r="X40" s="242">
        <f>IFERROR(VLOOKUP($S40,'Further adjustment'!$A:$Q,8,FALSE),0)</f>
        <v>9663</v>
      </c>
    </row>
    <row r="41" spans="1:24">
      <c r="A41" s="369">
        <v>302</v>
      </c>
      <c r="B41" s="242" t="s">
        <v>45</v>
      </c>
      <c r="C41" s="454">
        <f>VLOOKUP($L41,PRICES!$A:$CJ,76,FALSE)</f>
        <v>186.06485194707298</v>
      </c>
      <c r="D41" s="452">
        <f>VLOOKUP($L41,PRICES!$A:$CJ,77,FALSE)</f>
        <v>186.06485194707298</v>
      </c>
      <c r="E41" s="452">
        <f>VLOOKUP($L41,PRICES!$A:$CJ,78,FALSE)</f>
        <v>94.302525836923166</v>
      </c>
      <c r="F41" s="243">
        <f>VLOOKUP($L41,PRICES!$A:$CJ,79,FALSE)</f>
        <v>104.13386337458942</v>
      </c>
      <c r="G41" s="369" t="str">
        <f>IF(VLOOKUP($A41,PRICES!$A:$CJ,70,FALSE)="Y","Manual Adjusted",IF(VLOOKUP($A41,PRICES!$A:$CJ,51,FALSE)="Roll-over","Roll-Over","Modelled"))</f>
        <v>Modelled</v>
      </c>
      <c r="H41" s="460" t="str">
        <f>IF(VLOOKUP($A41,PRICES!$A:$CJ,70,FALSE)="Y","Manual Adjusted",IF(VLOOKUP($A41,PRICES!$A:$CJ,52,FALSE)="Roll-over","Roll-Over","Modelled"))</f>
        <v>Modelled</v>
      </c>
      <c r="I41" s="460" t="str">
        <f>IF(VLOOKUP($A41,PRICES!$A:$CJ,70,FALSE)="Y","Manual Adjusted",IF(VLOOKUP($A41,PRICES!$A:$CJ,53,FALSE)="Roll-over","Roll-Over","Modelled"))</f>
        <v>Modelled</v>
      </c>
      <c r="J41" s="461" t="str">
        <f>IF(VLOOKUP($A41,PRICES!$A:$CJ,70,FALSE)="Y","Manual Adjusted",IF(VLOOKUP($A41,PRICES!$A:$CJ,54,FALSE)="Roll-over","Roll-Over","Modelled"))</f>
        <v>Modelled</v>
      </c>
      <c r="L41" s="241">
        <v>302</v>
      </c>
      <c r="M41" s="242" t="s">
        <v>45</v>
      </c>
      <c r="N41" s="454">
        <f>VLOOKUP($L41,PRICES!$A:$CJ,71,FALSE)</f>
        <v>186.06485194707298</v>
      </c>
      <c r="O41" s="452">
        <f>VLOOKUP($L41,PRICES!$A:$CJ,72,FALSE)</f>
        <v>186.06485194707298</v>
      </c>
      <c r="P41" s="452">
        <f>VLOOKUP($L41,PRICES!$A:$CJ,73,FALSE)</f>
        <v>94.302525836923166</v>
      </c>
      <c r="Q41" s="243">
        <f>VLOOKUP($L41,PRICES!$A:$CJ,74,FALSE)</f>
        <v>104.13386337458942</v>
      </c>
      <c r="S41" s="369">
        <v>302</v>
      </c>
      <c r="T41" s="242" t="s">
        <v>45</v>
      </c>
      <c r="U41" s="451">
        <f>IFERROR(VLOOKUP($S41,'Further adjustment'!$A:$Q,7,FALSE),0)</f>
        <v>93592</v>
      </c>
      <c r="V41" s="453">
        <f>IFERROR(VLOOKUP($S41,'Further adjustment'!$A:$Q,6,FALSE),0)</f>
        <v>2435</v>
      </c>
      <c r="W41" s="453">
        <f>IFERROR(VLOOKUP($S41,'Further adjustment'!$A:$Q,9,FALSE),0)</f>
        <v>319456</v>
      </c>
      <c r="X41" s="242">
        <f>IFERROR(VLOOKUP($S41,'Further adjustment'!$A:$Q,8,FALSE),0)</f>
        <v>8588</v>
      </c>
    </row>
    <row r="42" spans="1:24">
      <c r="A42" s="369">
        <v>303</v>
      </c>
      <c r="B42" s="242" t="s">
        <v>46</v>
      </c>
      <c r="C42" s="454">
        <f>VLOOKUP($L42,PRICES!$A:$CJ,76,FALSE)</f>
        <v>282.97853118643098</v>
      </c>
      <c r="D42" s="452">
        <f>VLOOKUP($L42,PRICES!$A:$CJ,77,FALSE)</f>
        <v>454.56200020900462</v>
      </c>
      <c r="E42" s="452">
        <f>VLOOKUP($L42,PRICES!$A:$CJ,78,FALSE)</f>
        <v>118.41515270136726</v>
      </c>
      <c r="F42" s="243">
        <f>VLOOKUP($L42,PRICES!$A:$CJ,79,FALSE)</f>
        <v>212.2270315301021</v>
      </c>
      <c r="G42" s="369" t="str">
        <f>IF(VLOOKUP($A42,PRICES!$A:$CJ,70,FALSE)="Y","Manual Adjusted",IF(VLOOKUP($A42,PRICES!$A:$CJ,51,FALSE)="Roll-over","Roll-Over","Modelled"))</f>
        <v>Modelled</v>
      </c>
      <c r="H42" s="460" t="str">
        <f>IF(VLOOKUP($A42,PRICES!$A:$CJ,70,FALSE)="Y","Manual Adjusted",IF(VLOOKUP($A42,PRICES!$A:$CJ,52,FALSE)="Roll-over","Roll-Over","Modelled"))</f>
        <v>Modelled</v>
      </c>
      <c r="I42" s="460" t="str">
        <f>IF(VLOOKUP($A42,PRICES!$A:$CJ,70,FALSE)="Y","Manual Adjusted",IF(VLOOKUP($A42,PRICES!$A:$CJ,53,FALSE)="Roll-over","Roll-Over","Modelled"))</f>
        <v>Modelled</v>
      </c>
      <c r="J42" s="461" t="str">
        <f>IF(VLOOKUP($A42,PRICES!$A:$CJ,70,FALSE)="Y","Manual Adjusted",IF(VLOOKUP($A42,PRICES!$A:$CJ,54,FALSE)="Roll-over","Roll-Over","Modelled"))</f>
        <v>Modelled</v>
      </c>
      <c r="L42" s="241">
        <v>303</v>
      </c>
      <c r="M42" s="242" t="s">
        <v>46</v>
      </c>
      <c r="N42" s="454">
        <f>VLOOKUP($L42,PRICES!$A:$CJ,71,FALSE)</f>
        <v>282.97853118643098</v>
      </c>
      <c r="O42" s="452">
        <f>VLOOKUP($L42,PRICES!$A:$CJ,72,FALSE)</f>
        <v>454.56200020900462</v>
      </c>
      <c r="P42" s="452">
        <f>VLOOKUP($L42,PRICES!$A:$CJ,73,FALSE)</f>
        <v>118.41515270136726</v>
      </c>
      <c r="Q42" s="243">
        <f>VLOOKUP($L42,PRICES!$A:$CJ,74,FALSE)</f>
        <v>212.2270315301021</v>
      </c>
      <c r="S42" s="369">
        <v>303</v>
      </c>
      <c r="T42" s="242" t="s">
        <v>46</v>
      </c>
      <c r="U42" s="451">
        <f>IFERROR(VLOOKUP($S42,'Further adjustment'!$A:$Q,7,FALSE),0)</f>
        <v>153297</v>
      </c>
      <c r="V42" s="453">
        <f>IFERROR(VLOOKUP($S42,'Further adjustment'!$A:$Q,6,FALSE),0)</f>
        <v>4066</v>
      </c>
      <c r="W42" s="453">
        <f>IFERROR(VLOOKUP($S42,'Further adjustment'!$A:$Q,9,FALSE),0)</f>
        <v>1034772</v>
      </c>
      <c r="X42" s="242">
        <f>IFERROR(VLOOKUP($S42,'Further adjustment'!$A:$Q,8,FALSE),0)</f>
        <v>40872</v>
      </c>
    </row>
    <row r="43" spans="1:24">
      <c r="A43" s="369">
        <v>306</v>
      </c>
      <c r="B43" s="242" t="s">
        <v>47</v>
      </c>
      <c r="C43" s="454">
        <f>VLOOKUP($L43,PRICES!$A:$CJ,76,FALSE)</f>
        <v>179.42538274948325</v>
      </c>
      <c r="D43" s="452">
        <f>VLOOKUP($L43,PRICES!$A:$CJ,77,FALSE)</f>
        <v>254.16505358315513</v>
      </c>
      <c r="E43" s="452">
        <f>VLOOKUP($L43,PRICES!$A:$CJ,78,FALSE)</f>
        <v>105.99908880083886</v>
      </c>
      <c r="F43" s="243">
        <f>VLOOKUP($L43,PRICES!$A:$CJ,79,FALSE)</f>
        <v>137.11673478243065</v>
      </c>
      <c r="G43" s="369" t="str">
        <f>IF(VLOOKUP($A43,PRICES!$A:$CJ,70,FALSE)="Y","Manual Adjusted",IF(VLOOKUP($A43,PRICES!$A:$CJ,51,FALSE)="Roll-over","Roll-Over","Modelled"))</f>
        <v>Manual Adjusted</v>
      </c>
      <c r="H43" s="460" t="str">
        <f>IF(VLOOKUP($A43,PRICES!$A:$CJ,70,FALSE)="Y","Manual Adjusted",IF(VLOOKUP($A43,PRICES!$A:$CJ,52,FALSE)="Roll-over","Roll-Over","Modelled"))</f>
        <v>Manual Adjusted</v>
      </c>
      <c r="I43" s="460" t="str">
        <f>IF(VLOOKUP($A43,PRICES!$A:$CJ,70,FALSE)="Y","Manual Adjusted",IF(VLOOKUP($A43,PRICES!$A:$CJ,53,FALSE)="Roll-over","Roll-Over","Modelled"))</f>
        <v>Manual Adjusted</v>
      </c>
      <c r="J43" s="461" t="str">
        <f>IF(VLOOKUP($A43,PRICES!$A:$CJ,70,FALSE)="Y","Manual Adjusted",IF(VLOOKUP($A43,PRICES!$A:$CJ,54,FALSE)="Roll-over","Roll-Over","Modelled"))</f>
        <v>Manual Adjusted</v>
      </c>
      <c r="L43" s="241">
        <v>306</v>
      </c>
      <c r="M43" s="242" t="s">
        <v>47</v>
      </c>
      <c r="N43" s="454">
        <f>VLOOKUP($L43,PRICES!$A:$CJ,71,FALSE)</f>
        <v>179.42538274948325</v>
      </c>
      <c r="O43" s="452">
        <f>VLOOKUP($L43,PRICES!$A:$CJ,72,FALSE)</f>
        <v>254.16505358315513</v>
      </c>
      <c r="P43" s="452">
        <f>VLOOKUP($L43,PRICES!$A:$CJ,73,FALSE)</f>
        <v>105.99908880083886</v>
      </c>
      <c r="Q43" s="243">
        <f>VLOOKUP($L43,PRICES!$A:$CJ,74,FALSE)</f>
        <v>137.11673478243065</v>
      </c>
      <c r="S43" s="369">
        <v>306</v>
      </c>
      <c r="T43" s="242" t="s">
        <v>47</v>
      </c>
      <c r="U43" s="451">
        <f>IFERROR(VLOOKUP($S43,'Further adjustment'!$A:$Q,7,FALSE),0)</f>
        <v>22778</v>
      </c>
      <c r="V43" s="453">
        <f>IFERROR(VLOOKUP($S43,'Further adjustment'!$A:$Q,6,FALSE),0)</f>
        <v>2821</v>
      </c>
      <c r="W43" s="453">
        <f>IFERROR(VLOOKUP($S43,'Further adjustment'!$A:$Q,9,FALSE),0)</f>
        <v>103410</v>
      </c>
      <c r="X43" s="242">
        <f>IFERROR(VLOOKUP($S43,'Further adjustment'!$A:$Q,8,FALSE),0)</f>
        <v>17274</v>
      </c>
    </row>
    <row r="44" spans="1:24">
      <c r="A44" s="369">
        <v>307</v>
      </c>
      <c r="B44" s="242" t="s">
        <v>48</v>
      </c>
      <c r="C44" s="454">
        <f>VLOOKUP($L44,PRICES!$A:$CJ,76,FALSE)</f>
        <v>200.96479095878911</v>
      </c>
      <c r="D44" s="452">
        <f>VLOOKUP($L44,PRICES!$A:$CJ,77,FALSE)</f>
        <v>206.27905947720362</v>
      </c>
      <c r="E44" s="452">
        <f>VLOOKUP($L44,PRICES!$A:$CJ,78,FALSE)</f>
        <v>93.800076927292082</v>
      </c>
      <c r="F44" s="243">
        <f>VLOOKUP($L44,PRICES!$A:$CJ,79,FALSE)</f>
        <v>110.11331310689852</v>
      </c>
      <c r="G44" s="369" t="str">
        <f>IF(VLOOKUP($A44,PRICES!$A:$CJ,70,FALSE)="Y","Manual Adjusted",IF(VLOOKUP($A44,PRICES!$A:$CJ,51,FALSE)="Roll-over","Roll-Over","Modelled"))</f>
        <v>Modelled</v>
      </c>
      <c r="H44" s="460" t="str">
        <f>IF(VLOOKUP($A44,PRICES!$A:$CJ,70,FALSE)="Y","Manual Adjusted",IF(VLOOKUP($A44,PRICES!$A:$CJ,52,FALSE)="Roll-over","Roll-Over","Modelled"))</f>
        <v>Modelled</v>
      </c>
      <c r="I44" s="460" t="str">
        <f>IF(VLOOKUP($A44,PRICES!$A:$CJ,70,FALSE)="Y","Manual Adjusted",IF(VLOOKUP($A44,PRICES!$A:$CJ,53,FALSE)="Roll-over","Roll-Over","Modelled"))</f>
        <v>Modelled</v>
      </c>
      <c r="J44" s="461" t="str">
        <f>IF(VLOOKUP($A44,PRICES!$A:$CJ,70,FALSE)="Y","Manual Adjusted",IF(VLOOKUP($A44,PRICES!$A:$CJ,54,FALSE)="Roll-over","Roll-Over","Modelled"))</f>
        <v>Modelled</v>
      </c>
      <c r="L44" s="241">
        <v>307</v>
      </c>
      <c r="M44" s="242" t="s">
        <v>48</v>
      </c>
      <c r="N44" s="454">
        <f>VLOOKUP($L44,PRICES!$A:$CJ,71,FALSE)</f>
        <v>200.96479095878911</v>
      </c>
      <c r="O44" s="452">
        <f>VLOOKUP($L44,PRICES!$A:$CJ,72,FALSE)</f>
        <v>206.27905947720362</v>
      </c>
      <c r="P44" s="452">
        <f>VLOOKUP($L44,PRICES!$A:$CJ,73,FALSE)</f>
        <v>93.800076927292082</v>
      </c>
      <c r="Q44" s="243">
        <f>VLOOKUP($L44,PRICES!$A:$CJ,74,FALSE)</f>
        <v>110.11331310689852</v>
      </c>
      <c r="S44" s="369">
        <v>307</v>
      </c>
      <c r="T44" s="242" t="s">
        <v>48</v>
      </c>
      <c r="U44" s="451">
        <f>IFERROR(VLOOKUP($S44,'Further adjustment'!$A:$Q,7,FALSE),0)</f>
        <v>101644</v>
      </c>
      <c r="V44" s="453">
        <f>IFERROR(VLOOKUP($S44,'Further adjustment'!$A:$Q,6,FALSE),0)</f>
        <v>11275</v>
      </c>
      <c r="W44" s="453">
        <f>IFERROR(VLOOKUP($S44,'Further adjustment'!$A:$Q,9,FALSE),0)</f>
        <v>565045</v>
      </c>
      <c r="X44" s="242">
        <f>IFERROR(VLOOKUP($S44,'Further adjustment'!$A:$Q,8,FALSE),0)</f>
        <v>51643</v>
      </c>
    </row>
    <row r="45" spans="1:24">
      <c r="A45" s="369">
        <v>320</v>
      </c>
      <c r="B45" s="242" t="s">
        <v>24</v>
      </c>
      <c r="C45" s="454">
        <f>VLOOKUP($L45,PRICES!$A:$CJ,76,FALSE)</f>
        <v>163.0466102005482</v>
      </c>
      <c r="D45" s="452">
        <f>VLOOKUP($L45,PRICES!$A:$CJ,77,FALSE)</f>
        <v>226.20511994881829</v>
      </c>
      <c r="E45" s="452">
        <f>VLOOKUP($L45,PRICES!$A:$CJ,78,FALSE)</f>
        <v>94.618317491119257</v>
      </c>
      <c r="F45" s="243">
        <f>VLOOKUP($L45,PRICES!$A:$CJ,79,FALSE)</f>
        <v>145.37747637312253</v>
      </c>
      <c r="G45" s="369" t="str">
        <f>IF(VLOOKUP($A45,PRICES!$A:$CJ,70,FALSE)="Y","Manual Adjusted",IF(VLOOKUP($A45,PRICES!$A:$CJ,51,FALSE)="Roll-over","Roll-Over","Modelled"))</f>
        <v>Modelled</v>
      </c>
      <c r="H45" s="460" t="str">
        <f>IF(VLOOKUP($A45,PRICES!$A:$CJ,70,FALSE)="Y","Manual Adjusted",IF(VLOOKUP($A45,PRICES!$A:$CJ,52,FALSE)="Roll-over","Roll-Over","Modelled"))</f>
        <v>Modelled</v>
      </c>
      <c r="I45" s="460" t="str">
        <f>IF(VLOOKUP($A45,PRICES!$A:$CJ,70,FALSE)="Y","Manual Adjusted",IF(VLOOKUP($A45,PRICES!$A:$CJ,53,FALSE)="Roll-over","Roll-Over","Modelled"))</f>
        <v>Modelled</v>
      </c>
      <c r="J45" s="461" t="str">
        <f>IF(VLOOKUP($A45,PRICES!$A:$CJ,70,FALSE)="Y","Manual Adjusted",IF(VLOOKUP($A45,PRICES!$A:$CJ,54,FALSE)="Roll-over","Roll-Over","Modelled"))</f>
        <v>Modelled</v>
      </c>
      <c r="L45" s="241">
        <v>320</v>
      </c>
      <c r="M45" s="242" t="s">
        <v>24</v>
      </c>
      <c r="N45" s="454">
        <f>VLOOKUP($L45,PRICES!$A:$CJ,71,FALSE)</f>
        <v>163.0466102005482</v>
      </c>
      <c r="O45" s="452">
        <f>VLOOKUP($L45,PRICES!$A:$CJ,72,FALSE)</f>
        <v>226.20511994881829</v>
      </c>
      <c r="P45" s="452">
        <f>VLOOKUP($L45,PRICES!$A:$CJ,73,FALSE)</f>
        <v>94.618317491119257</v>
      </c>
      <c r="Q45" s="243">
        <f>VLOOKUP($L45,PRICES!$A:$CJ,74,FALSE)</f>
        <v>145.37747637312253</v>
      </c>
      <c r="S45" s="369">
        <v>320</v>
      </c>
      <c r="T45" s="242" t="s">
        <v>24</v>
      </c>
      <c r="U45" s="451">
        <f>IFERROR(VLOOKUP($S45,'Further adjustment'!$A:$Q,7,FALSE),0)</f>
        <v>614730</v>
      </c>
      <c r="V45" s="453">
        <f>IFERROR(VLOOKUP($S45,'Further adjustment'!$A:$Q,6,FALSE),0)</f>
        <v>14302</v>
      </c>
      <c r="W45" s="452">
        <f>IFERROR(VLOOKUP($S45,'Further adjustment'!$A:$Q,9,FALSE),0)</f>
        <v>992924</v>
      </c>
      <c r="X45" s="243">
        <f>IFERROR(VLOOKUP($S45,'Further adjustment'!$A:$Q,8,FALSE),0)</f>
        <v>24071</v>
      </c>
    </row>
    <row r="46" spans="1:24">
      <c r="A46" s="369">
        <v>321</v>
      </c>
      <c r="B46" s="242" t="s">
        <v>25</v>
      </c>
      <c r="C46" s="454">
        <f>VLOOKUP($L46,PRICES!$A:$CJ,76,FALSE)</f>
        <v>224.93350518120187</v>
      </c>
      <c r="D46" s="452">
        <f>VLOOKUP($L46,PRICES!$A:$CJ,77,FALSE)</f>
        <v>227.83034535783585</v>
      </c>
      <c r="E46" s="452">
        <f>VLOOKUP($L46,PRICES!$A:$CJ,78,FALSE)</f>
        <v>122.82502238654284</v>
      </c>
      <c r="F46" s="243">
        <f>VLOOKUP($L46,PRICES!$A:$CJ,79,FALSE)</f>
        <v>163.69671910036939</v>
      </c>
      <c r="G46" s="369" t="str">
        <f>IF(VLOOKUP($A46,PRICES!$A:$CJ,70,FALSE)="Y","Manual Adjusted",IF(VLOOKUP($A46,PRICES!$A:$CJ,51,FALSE)="Roll-over","Roll-Over","Modelled"))</f>
        <v>Modelled</v>
      </c>
      <c r="H46" s="460" t="str">
        <f>IF(VLOOKUP($A46,PRICES!$A:$CJ,70,FALSE)="Y","Manual Adjusted",IF(VLOOKUP($A46,PRICES!$A:$CJ,52,FALSE)="Roll-over","Roll-Over","Modelled"))</f>
        <v>Modelled</v>
      </c>
      <c r="I46" s="460" t="str">
        <f>IF(VLOOKUP($A46,PRICES!$A:$CJ,70,FALSE)="Y","Manual Adjusted",IF(VLOOKUP($A46,PRICES!$A:$CJ,53,FALSE)="Roll-over","Roll-Over","Modelled"))</f>
        <v>Modelled</v>
      </c>
      <c r="J46" s="461" t="str">
        <f>IF(VLOOKUP($A46,PRICES!$A:$CJ,70,FALSE)="Y","Manual Adjusted",IF(VLOOKUP($A46,PRICES!$A:$CJ,54,FALSE)="Roll-over","Roll-Over","Modelled"))</f>
        <v>Modelled</v>
      </c>
      <c r="L46" s="241">
        <v>321</v>
      </c>
      <c r="M46" s="242" t="s">
        <v>25</v>
      </c>
      <c r="N46" s="454">
        <f>VLOOKUP($L46,PRICES!$A:$CJ,71,FALSE)</f>
        <v>224.93350518120187</v>
      </c>
      <c r="O46" s="452">
        <f>VLOOKUP($L46,PRICES!$A:$CJ,72,FALSE)</f>
        <v>227.83034535783585</v>
      </c>
      <c r="P46" s="452">
        <f>VLOOKUP($L46,PRICES!$A:$CJ,73,FALSE)</f>
        <v>122.82502238654284</v>
      </c>
      <c r="Q46" s="243">
        <f>VLOOKUP($L46,PRICES!$A:$CJ,74,FALSE)</f>
        <v>163.69671910036939</v>
      </c>
      <c r="S46" s="369">
        <v>321</v>
      </c>
      <c r="T46" s="242" t="s">
        <v>25</v>
      </c>
      <c r="U46" s="451">
        <f>IFERROR(VLOOKUP($S46,'Further adjustment'!$A:$Q,7,FALSE),0)</f>
        <v>25386</v>
      </c>
      <c r="V46" s="453">
        <f>IFERROR(VLOOKUP($S46,'Further adjustment'!$A:$Q,6,FALSE),0)</f>
        <v>2694</v>
      </c>
      <c r="W46" s="453">
        <f>IFERROR(VLOOKUP($S46,'Further adjustment'!$A:$Q,9,FALSE),0)</f>
        <v>66558</v>
      </c>
      <c r="X46" s="242">
        <f>IFERROR(VLOOKUP($S46,'Further adjustment'!$A:$Q,8,FALSE),0)</f>
        <v>3893</v>
      </c>
    </row>
    <row r="47" spans="1:24">
      <c r="A47" s="369">
        <v>329</v>
      </c>
      <c r="B47" s="242" t="s">
        <v>62</v>
      </c>
      <c r="C47" s="454">
        <f>VLOOKUP($L47,PRICES!$A:$CJ,76,FALSE)</f>
        <v>193.04300626727115</v>
      </c>
      <c r="D47" s="452">
        <f>VLOOKUP($L47,PRICES!$A:$CJ,77,FALSE)</f>
        <v>386.08601253454231</v>
      </c>
      <c r="E47" s="455">
        <f>VLOOKUP($L47,PRICES!$A:$CJ,78,FALSE)</f>
        <v>142.99541836514982</v>
      </c>
      <c r="F47" s="244">
        <f>VLOOKUP($L47,PRICES!$A:$CJ,79,FALSE)</f>
        <v>285.99083673029963</v>
      </c>
      <c r="G47" s="369" t="str">
        <f>IF(VLOOKUP($A47,PRICES!$A:$CJ,70,FALSE)="Y","Manual Adjusted",IF(VLOOKUP($A47,PRICES!$A:$CJ,51,FALSE)="Roll-over","Roll-Over","Modelled"))</f>
        <v>Modelled</v>
      </c>
      <c r="H47" s="460" t="str">
        <f>IF(VLOOKUP($A47,PRICES!$A:$CJ,70,FALSE)="Y","Manual Adjusted",IF(VLOOKUP($A47,PRICES!$A:$CJ,52,FALSE)="Roll-over","Roll-Over","Modelled"))</f>
        <v>Modelled</v>
      </c>
      <c r="I47" s="460" t="str">
        <f>IF(VLOOKUP($A47,PRICES!$A:$CJ,70,FALSE)="Y","Manual Adjusted",IF(VLOOKUP($A47,PRICES!$A:$CJ,53,FALSE)="Roll-over","Roll-Over","Modelled"))</f>
        <v>Modelled</v>
      </c>
      <c r="J47" s="461" t="str">
        <f>IF(VLOOKUP($A47,PRICES!$A:$CJ,70,FALSE)="Y","Manual Adjusted",IF(VLOOKUP($A47,PRICES!$A:$CJ,54,FALSE)="Roll-over","Roll-Over","Modelled"))</f>
        <v>Modelled</v>
      </c>
      <c r="L47" s="241">
        <v>329</v>
      </c>
      <c r="M47" s="242" t="s">
        <v>62</v>
      </c>
      <c r="N47" s="454">
        <f>VLOOKUP($L47,PRICES!$A:$CJ,71,FALSE)</f>
        <v>193.04300626727115</v>
      </c>
      <c r="O47" s="452">
        <f>VLOOKUP($L47,PRICES!$A:$CJ,72,FALSE)</f>
        <v>386.08601253454231</v>
      </c>
      <c r="P47" s="455">
        <f>VLOOKUP($L47,PRICES!$A:$CJ,73,FALSE)</f>
        <v>142.99541836514982</v>
      </c>
      <c r="Q47" s="244">
        <f>VLOOKUP($L47,PRICES!$A:$CJ,74,FALSE)</f>
        <v>285.99083673029963</v>
      </c>
      <c r="S47" s="369">
        <v>329</v>
      </c>
      <c r="T47" s="242" t="s">
        <v>62</v>
      </c>
      <c r="U47" s="454">
        <f>IFERROR(VLOOKUP($S47,'Further adjustment'!$A:$Q,7,FALSE),0)</f>
        <v>8772</v>
      </c>
      <c r="V47" s="452">
        <f>IFERROR(VLOOKUP($S47,'Further adjustment'!$A:$Q,6,FALSE),0)</f>
        <v>1648</v>
      </c>
      <c r="W47" s="455">
        <f>IFERROR(VLOOKUP($S47,'Further adjustment'!$A:$Q,9,FALSE),0)</f>
        <v>3340</v>
      </c>
      <c r="X47" s="244">
        <f>IFERROR(VLOOKUP($S47,'Further adjustment'!$A:$Q,8,FALSE),0)</f>
        <v>15</v>
      </c>
    </row>
    <row r="48" spans="1:24">
      <c r="A48" s="369">
        <v>330</v>
      </c>
      <c r="B48" s="242" t="s">
        <v>26</v>
      </c>
      <c r="C48" s="454">
        <f>VLOOKUP($L48,PRICES!$A:$CJ,76,FALSE)</f>
        <v>105.62901865247829</v>
      </c>
      <c r="D48" s="452">
        <f>VLOOKUP($L48,PRICES!$A:$CJ,77,FALSE)</f>
        <v>120.8319344156096</v>
      </c>
      <c r="E48" s="452">
        <f>VLOOKUP($L48,PRICES!$A:$CJ,78,FALSE)</f>
        <v>68.779393115168673</v>
      </c>
      <c r="F48" s="243">
        <f>VLOOKUP($L48,PRICES!$A:$CJ,79,FALSE)</f>
        <v>75.593863636638361</v>
      </c>
      <c r="G48" s="369" t="str">
        <f>IF(VLOOKUP($A48,PRICES!$A:$CJ,70,FALSE)="Y","Manual Adjusted",IF(VLOOKUP($A48,PRICES!$A:$CJ,51,FALSE)="Roll-over","Roll-Over","Modelled"))</f>
        <v>Modelled</v>
      </c>
      <c r="H48" s="460" t="str">
        <f>IF(VLOOKUP($A48,PRICES!$A:$CJ,70,FALSE)="Y","Manual Adjusted",IF(VLOOKUP($A48,PRICES!$A:$CJ,52,FALSE)="Roll-over","Roll-Over","Modelled"))</f>
        <v>Modelled</v>
      </c>
      <c r="I48" s="460" t="str">
        <f>IF(VLOOKUP($A48,PRICES!$A:$CJ,70,FALSE)="Y","Manual Adjusted",IF(VLOOKUP($A48,PRICES!$A:$CJ,53,FALSE)="Roll-over","Roll-Over","Modelled"))</f>
        <v>Modelled</v>
      </c>
      <c r="J48" s="461" t="str">
        <f>IF(VLOOKUP($A48,PRICES!$A:$CJ,70,FALSE)="Y","Manual Adjusted",IF(VLOOKUP($A48,PRICES!$A:$CJ,54,FALSE)="Roll-over","Roll-Over","Modelled"))</f>
        <v>Modelled</v>
      </c>
      <c r="L48" s="241">
        <v>330</v>
      </c>
      <c r="M48" s="242" t="s">
        <v>26</v>
      </c>
      <c r="N48" s="454">
        <f>VLOOKUP($L48,PRICES!$A:$CJ,71,FALSE)</f>
        <v>105.62901865247829</v>
      </c>
      <c r="O48" s="452">
        <f>VLOOKUP($L48,PRICES!$A:$CJ,72,FALSE)</f>
        <v>120.8319344156096</v>
      </c>
      <c r="P48" s="452">
        <f>VLOOKUP($L48,PRICES!$A:$CJ,73,FALSE)</f>
        <v>68.779393115168673</v>
      </c>
      <c r="Q48" s="243">
        <f>VLOOKUP($L48,PRICES!$A:$CJ,74,FALSE)</f>
        <v>75.593863636638361</v>
      </c>
      <c r="S48" s="369">
        <v>330</v>
      </c>
      <c r="T48" s="242" t="s">
        <v>26</v>
      </c>
      <c r="U48" s="451">
        <f>IFERROR(VLOOKUP($S48,'Further adjustment'!$A:$Q,7,FALSE),0)</f>
        <v>694038</v>
      </c>
      <c r="V48" s="453">
        <f>IFERROR(VLOOKUP($S48,'Further adjustment'!$A:$Q,6,FALSE),0)</f>
        <v>5153</v>
      </c>
      <c r="W48" s="453">
        <f>IFERROR(VLOOKUP($S48,'Further adjustment'!$A:$Q,9,FALSE),0)</f>
        <v>1275277</v>
      </c>
      <c r="X48" s="242">
        <f>IFERROR(VLOOKUP($S48,'Further adjustment'!$A:$Q,8,FALSE),0)</f>
        <v>11805</v>
      </c>
    </row>
    <row r="49" spans="1:24">
      <c r="A49" s="369">
        <v>340</v>
      </c>
      <c r="B49" s="242" t="s">
        <v>27</v>
      </c>
      <c r="C49" s="454">
        <f>VLOOKUP($L49,PRICES!$A:$CJ,76,FALSE)</f>
        <v>178.7230337221128</v>
      </c>
      <c r="D49" s="452">
        <f>VLOOKUP($L49,PRICES!$A:$CJ,77,FALSE)</f>
        <v>272.45440190719069</v>
      </c>
      <c r="E49" s="452">
        <f>VLOOKUP($L49,PRICES!$A:$CJ,78,FALSE)</f>
        <v>103.64962151383421</v>
      </c>
      <c r="F49" s="243">
        <f>VLOOKUP($L49,PRICES!$A:$CJ,79,FALSE)</f>
        <v>170.40260486830564</v>
      </c>
      <c r="G49" s="369" t="str">
        <f>IF(VLOOKUP($A49,PRICES!$A:$CJ,70,FALSE)="Y","Manual Adjusted",IF(VLOOKUP($A49,PRICES!$A:$CJ,51,FALSE)="Roll-over","Roll-Over","Modelled"))</f>
        <v>Modelled</v>
      </c>
      <c r="H49" s="460" t="str">
        <f>IF(VLOOKUP($A49,PRICES!$A:$CJ,70,FALSE)="Y","Manual Adjusted",IF(VLOOKUP($A49,PRICES!$A:$CJ,52,FALSE)="Roll-over","Roll-Over","Modelled"))</f>
        <v>Modelled</v>
      </c>
      <c r="I49" s="460" t="str">
        <f>IF(VLOOKUP($A49,PRICES!$A:$CJ,70,FALSE)="Y","Manual Adjusted",IF(VLOOKUP($A49,PRICES!$A:$CJ,53,FALSE)="Roll-over","Roll-Over","Modelled"))</f>
        <v>Modelled</v>
      </c>
      <c r="J49" s="461" t="str">
        <f>IF(VLOOKUP($A49,PRICES!$A:$CJ,70,FALSE)="Y","Manual Adjusted",IF(VLOOKUP($A49,PRICES!$A:$CJ,54,FALSE)="Roll-over","Roll-Over","Modelled"))</f>
        <v>Modelled</v>
      </c>
      <c r="L49" s="241">
        <v>340</v>
      </c>
      <c r="M49" s="242" t="s">
        <v>27</v>
      </c>
      <c r="N49" s="454">
        <f>VLOOKUP($L49,PRICES!$A:$CJ,71,FALSE)</f>
        <v>178.7230337221128</v>
      </c>
      <c r="O49" s="452">
        <f>VLOOKUP($L49,PRICES!$A:$CJ,72,FALSE)</f>
        <v>272.45440190719069</v>
      </c>
      <c r="P49" s="452">
        <f>VLOOKUP($L49,PRICES!$A:$CJ,73,FALSE)</f>
        <v>103.64962151383421</v>
      </c>
      <c r="Q49" s="243">
        <f>VLOOKUP($L49,PRICES!$A:$CJ,74,FALSE)</f>
        <v>170.40260486830564</v>
      </c>
      <c r="S49" s="369">
        <v>340</v>
      </c>
      <c r="T49" s="242" t="s">
        <v>27</v>
      </c>
      <c r="U49" s="451">
        <f>IFERROR(VLOOKUP($S49,'Further adjustment'!$A:$Q,7,FALSE),0)</f>
        <v>348314</v>
      </c>
      <c r="V49" s="453">
        <f>IFERROR(VLOOKUP($S49,'Further adjustment'!$A:$Q,6,FALSE),0)</f>
        <v>9124</v>
      </c>
      <c r="W49" s="453">
        <f>IFERROR(VLOOKUP($S49,'Further adjustment'!$A:$Q,9,FALSE),0)</f>
        <v>757732</v>
      </c>
      <c r="X49" s="242">
        <f>IFERROR(VLOOKUP($S49,'Further adjustment'!$A:$Q,8,FALSE),0)</f>
        <v>27773</v>
      </c>
    </row>
    <row r="50" spans="1:24">
      <c r="A50" s="369">
        <v>341</v>
      </c>
      <c r="B50" s="242" t="s">
        <v>64</v>
      </c>
      <c r="C50" s="454">
        <f>VLOOKUP($L50,PRICES!$A:$CJ,76,FALSE)</f>
        <v>163.99595499853731</v>
      </c>
      <c r="D50" s="452">
        <f>VLOOKUP($L50,PRICES!$A:$CJ,77,FALSE)</f>
        <v>327.99190999707463</v>
      </c>
      <c r="E50" s="452">
        <f>VLOOKUP($L50,PRICES!$A:$CJ,78,FALSE)</f>
        <v>134.33800265163092</v>
      </c>
      <c r="F50" s="243">
        <f>VLOOKUP($L50,PRICES!$A:$CJ,79,FALSE)</f>
        <v>268.67600530326183</v>
      </c>
      <c r="G50" s="369" t="str">
        <f>IF(VLOOKUP($A50,PRICES!$A:$CJ,70,FALSE)="Y","Manual Adjusted",IF(VLOOKUP($A50,PRICES!$A:$CJ,51,FALSE)="Roll-over","Roll-Over","Modelled"))</f>
        <v>Modelled</v>
      </c>
      <c r="H50" s="460" t="str">
        <f>IF(VLOOKUP($A50,PRICES!$A:$CJ,70,FALSE)="Y","Manual Adjusted",IF(VLOOKUP($A50,PRICES!$A:$CJ,52,FALSE)="Roll-over","Roll-Over","Modelled"))</f>
        <v>Modelled</v>
      </c>
      <c r="I50" s="460" t="str">
        <f>IF(VLOOKUP($A50,PRICES!$A:$CJ,70,FALSE)="Y","Manual Adjusted",IF(VLOOKUP($A50,PRICES!$A:$CJ,53,FALSE)="Roll-over","Roll-Over","Modelled"))</f>
        <v>Modelled</v>
      </c>
      <c r="J50" s="461" t="str">
        <f>IF(VLOOKUP($A50,PRICES!$A:$CJ,70,FALSE)="Y","Manual Adjusted",IF(VLOOKUP($A50,PRICES!$A:$CJ,54,FALSE)="Roll-over","Roll-Over","Modelled"))</f>
        <v>Modelled</v>
      </c>
      <c r="L50" s="241">
        <v>341</v>
      </c>
      <c r="M50" s="242" t="s">
        <v>64</v>
      </c>
      <c r="N50" s="454">
        <f>VLOOKUP($L50,PRICES!$A:$CJ,71,FALSE)</f>
        <v>163.99595499853731</v>
      </c>
      <c r="O50" s="452">
        <f>VLOOKUP($L50,PRICES!$A:$CJ,72,FALSE)</f>
        <v>327.99190999707463</v>
      </c>
      <c r="P50" s="452">
        <f>VLOOKUP($L50,PRICES!$A:$CJ,73,FALSE)</f>
        <v>134.33800265163092</v>
      </c>
      <c r="Q50" s="243">
        <f>VLOOKUP($L50,PRICES!$A:$CJ,74,FALSE)</f>
        <v>268.67600530326183</v>
      </c>
      <c r="S50" s="369">
        <v>341</v>
      </c>
      <c r="T50" s="242" t="s">
        <v>64</v>
      </c>
      <c r="U50" s="451">
        <f>IFERROR(VLOOKUP($S50,'Further adjustment'!$A:$Q,7,FALSE),0)</f>
        <v>22928</v>
      </c>
      <c r="V50" s="453">
        <f>IFERROR(VLOOKUP($S50,'Further adjustment'!$A:$Q,6,FALSE),0)</f>
        <v>237</v>
      </c>
      <c r="W50" s="453">
        <f>IFERROR(VLOOKUP($S50,'Further adjustment'!$A:$Q,9,FALSE),0)</f>
        <v>54149</v>
      </c>
      <c r="X50" s="242">
        <f>IFERROR(VLOOKUP($S50,'Further adjustment'!$A:$Q,8,FALSE),0)</f>
        <v>132</v>
      </c>
    </row>
    <row r="51" spans="1:24">
      <c r="A51" s="369">
        <v>350</v>
      </c>
      <c r="B51" s="242" t="s">
        <v>28</v>
      </c>
      <c r="C51" s="454">
        <f>VLOOKUP($L51,PRICES!$A:$CJ,76,FALSE)</f>
        <v>316.84159517533698</v>
      </c>
      <c r="D51" s="452">
        <f>VLOOKUP($L51,PRICES!$A:$CJ,77,FALSE)</f>
        <v>321.22394103891793</v>
      </c>
      <c r="E51" s="452">
        <f>VLOOKUP($L51,PRICES!$A:$CJ,78,FALSE)</f>
        <v>205.12267967921235</v>
      </c>
      <c r="F51" s="243">
        <f>VLOOKUP($L51,PRICES!$A:$CJ,79,FALSE)</f>
        <v>205.12267967921235</v>
      </c>
      <c r="G51" s="369" t="str">
        <f>IF(VLOOKUP($A51,PRICES!$A:$CJ,70,FALSE)="Y","Manual Adjusted",IF(VLOOKUP($A51,PRICES!$A:$CJ,51,FALSE)="Roll-over","Roll-Over","Modelled"))</f>
        <v>Modelled</v>
      </c>
      <c r="H51" s="460" t="str">
        <f>IF(VLOOKUP($A51,PRICES!$A:$CJ,70,FALSE)="Y","Manual Adjusted",IF(VLOOKUP($A51,PRICES!$A:$CJ,52,FALSE)="Roll-over","Roll-Over","Modelled"))</f>
        <v>Modelled</v>
      </c>
      <c r="I51" s="460" t="str">
        <f>IF(VLOOKUP($A51,PRICES!$A:$CJ,70,FALSE)="Y","Manual Adjusted",IF(VLOOKUP($A51,PRICES!$A:$CJ,53,FALSE)="Roll-over","Roll-Over","Modelled"))</f>
        <v>Modelled</v>
      </c>
      <c r="J51" s="461" t="str">
        <f>IF(VLOOKUP($A51,PRICES!$A:$CJ,70,FALSE)="Y","Manual Adjusted",IF(VLOOKUP($A51,PRICES!$A:$CJ,54,FALSE)="Roll-over","Roll-Over","Modelled"))</f>
        <v>Modelled</v>
      </c>
      <c r="L51" s="241">
        <v>350</v>
      </c>
      <c r="M51" s="242" t="s">
        <v>28</v>
      </c>
      <c r="N51" s="454">
        <f>VLOOKUP($L51,PRICES!$A:$CJ,71,FALSE)</f>
        <v>316.84159517533698</v>
      </c>
      <c r="O51" s="452">
        <f>VLOOKUP($L51,PRICES!$A:$CJ,72,FALSE)</f>
        <v>321.22394103891793</v>
      </c>
      <c r="P51" s="452">
        <f>VLOOKUP($L51,PRICES!$A:$CJ,73,FALSE)</f>
        <v>205.12267967921235</v>
      </c>
      <c r="Q51" s="243">
        <f>VLOOKUP($L51,PRICES!$A:$CJ,74,FALSE)</f>
        <v>205.12267967921235</v>
      </c>
      <c r="S51" s="369">
        <v>350</v>
      </c>
      <c r="T51" s="242" t="s">
        <v>28</v>
      </c>
      <c r="U51" s="451">
        <f>IFERROR(VLOOKUP($S51,'Further adjustment'!$A:$Q,7,FALSE),0)</f>
        <v>18813</v>
      </c>
      <c r="V51" s="453">
        <f>IFERROR(VLOOKUP($S51,'Further adjustment'!$A:$Q,6,FALSE),0)</f>
        <v>750</v>
      </c>
      <c r="W51" s="453">
        <f>IFERROR(VLOOKUP($S51,'Further adjustment'!$A:$Q,9,FALSE),0)</f>
        <v>58416</v>
      </c>
      <c r="X51" s="242">
        <f>IFERROR(VLOOKUP($S51,'Further adjustment'!$A:$Q,8,FALSE),0)</f>
        <v>3740</v>
      </c>
    </row>
    <row r="52" spans="1:24">
      <c r="A52" s="369">
        <v>361</v>
      </c>
      <c r="B52" s="242" t="s">
        <v>29</v>
      </c>
      <c r="C52" s="454">
        <f>VLOOKUP($L52,PRICES!$A:$CJ,76,FALSE)</f>
        <v>264.37446690799129</v>
      </c>
      <c r="D52" s="452">
        <f>VLOOKUP($L52,PRICES!$A:$CJ,77,FALSE)</f>
        <v>307.72133945426685</v>
      </c>
      <c r="E52" s="452">
        <f>VLOOKUP($L52,PRICES!$A:$CJ,78,FALSE)</f>
        <v>126.46813715520734</v>
      </c>
      <c r="F52" s="243">
        <f>VLOOKUP($L52,PRICES!$A:$CJ,79,FALSE)</f>
        <v>146.58696744331661</v>
      </c>
      <c r="G52" s="369" t="str">
        <f>IF(VLOOKUP($A52,PRICES!$A:$CJ,70,FALSE)="Y","Manual Adjusted",IF(VLOOKUP($A52,PRICES!$A:$CJ,51,FALSE)="Roll-over","Roll-Over","Modelled"))</f>
        <v>Modelled</v>
      </c>
      <c r="H52" s="460" t="str">
        <f>IF(VLOOKUP($A52,PRICES!$A:$CJ,70,FALSE)="Y","Manual Adjusted",IF(VLOOKUP($A52,PRICES!$A:$CJ,52,FALSE)="Roll-over","Roll-Over","Modelled"))</f>
        <v>Modelled</v>
      </c>
      <c r="I52" s="460" t="str">
        <f>IF(VLOOKUP($A52,PRICES!$A:$CJ,70,FALSE)="Y","Manual Adjusted",IF(VLOOKUP($A52,PRICES!$A:$CJ,53,FALSE)="Roll-over","Roll-Over","Modelled"))</f>
        <v>Modelled</v>
      </c>
      <c r="J52" s="461" t="str">
        <f>IF(VLOOKUP($A52,PRICES!$A:$CJ,70,FALSE)="Y","Manual Adjusted",IF(VLOOKUP($A52,PRICES!$A:$CJ,54,FALSE)="Roll-over","Roll-Over","Modelled"))</f>
        <v>Modelled</v>
      </c>
      <c r="L52" s="241">
        <v>361</v>
      </c>
      <c r="M52" s="242" t="s">
        <v>29</v>
      </c>
      <c r="N52" s="454">
        <f>VLOOKUP($L52,PRICES!$A:$CJ,71,FALSE)</f>
        <v>264.37446690799129</v>
      </c>
      <c r="O52" s="452">
        <f>VLOOKUP($L52,PRICES!$A:$CJ,72,FALSE)</f>
        <v>307.72133945426685</v>
      </c>
      <c r="P52" s="452">
        <f>VLOOKUP($L52,PRICES!$A:$CJ,73,FALSE)</f>
        <v>126.46813715520734</v>
      </c>
      <c r="Q52" s="243">
        <f>VLOOKUP($L52,PRICES!$A:$CJ,74,FALSE)</f>
        <v>146.58696744331661</v>
      </c>
      <c r="S52" s="369">
        <v>361</v>
      </c>
      <c r="T52" s="242" t="s">
        <v>29</v>
      </c>
      <c r="U52" s="451">
        <f>IFERROR(VLOOKUP($S52,'Further adjustment'!$A:$Q,7,FALSE),0)</f>
        <v>70458</v>
      </c>
      <c r="V52" s="453">
        <f>IFERROR(VLOOKUP($S52,'Further adjustment'!$A:$Q,6,FALSE),0)</f>
        <v>1454</v>
      </c>
      <c r="W52" s="453">
        <f>IFERROR(VLOOKUP($S52,'Further adjustment'!$A:$Q,9,FALSE),0)</f>
        <v>581903</v>
      </c>
      <c r="X52" s="242">
        <f>IFERROR(VLOOKUP($S52,'Further adjustment'!$A:$Q,8,FALSE),0)</f>
        <v>15040</v>
      </c>
    </row>
    <row r="53" spans="1:24">
      <c r="A53" s="369">
        <v>370</v>
      </c>
      <c r="B53" s="242" t="s">
        <v>30</v>
      </c>
      <c r="C53" s="454">
        <f>VLOOKUP($L53,PRICES!$A:$CJ,76,FALSE)</f>
        <v>217.31178274551482</v>
      </c>
      <c r="D53" s="452">
        <f>VLOOKUP($L53,PRICES!$A:$CJ,77,FALSE)</f>
        <v>235.77484562254656</v>
      </c>
      <c r="E53" s="452">
        <f>VLOOKUP($L53,PRICES!$A:$CJ,78,FALSE)</f>
        <v>95.574324148958723</v>
      </c>
      <c r="F53" s="243">
        <f>VLOOKUP($L53,PRICES!$A:$CJ,79,FALSE)</f>
        <v>117.22896646600145</v>
      </c>
      <c r="G53" s="369" t="str">
        <f>IF(VLOOKUP($A53,PRICES!$A:$CJ,70,FALSE)="Y","Manual Adjusted",IF(VLOOKUP($A53,PRICES!$A:$CJ,51,FALSE)="Roll-over","Roll-Over","Modelled"))</f>
        <v>Modelled</v>
      </c>
      <c r="H53" s="460" t="str">
        <f>IF(VLOOKUP($A53,PRICES!$A:$CJ,70,FALSE)="Y","Manual Adjusted",IF(VLOOKUP($A53,PRICES!$A:$CJ,52,FALSE)="Roll-over","Roll-Over","Modelled"))</f>
        <v>Modelled</v>
      </c>
      <c r="I53" s="460" t="str">
        <f>IF(VLOOKUP($A53,PRICES!$A:$CJ,70,FALSE)="Y","Manual Adjusted",IF(VLOOKUP($A53,PRICES!$A:$CJ,53,FALSE)="Roll-over","Roll-Over","Modelled"))</f>
        <v>Modelled</v>
      </c>
      <c r="J53" s="461" t="str">
        <f>IF(VLOOKUP($A53,PRICES!$A:$CJ,70,FALSE)="Y","Manual Adjusted",IF(VLOOKUP($A53,PRICES!$A:$CJ,54,FALSE)="Roll-over","Roll-Over","Modelled"))</f>
        <v>Modelled</v>
      </c>
      <c r="L53" s="241">
        <v>370</v>
      </c>
      <c r="M53" s="242" t="s">
        <v>30</v>
      </c>
      <c r="N53" s="454">
        <f>VLOOKUP($L53,PRICES!$A:$CJ,71,FALSE)</f>
        <v>217.31178274551482</v>
      </c>
      <c r="O53" s="452">
        <f>VLOOKUP($L53,PRICES!$A:$CJ,72,FALSE)</f>
        <v>235.77484562254656</v>
      </c>
      <c r="P53" s="452">
        <f>VLOOKUP($L53,PRICES!$A:$CJ,73,FALSE)</f>
        <v>95.574324148958723</v>
      </c>
      <c r="Q53" s="243">
        <f>VLOOKUP($L53,PRICES!$A:$CJ,74,FALSE)</f>
        <v>117.22896646600145</v>
      </c>
      <c r="S53" s="369">
        <v>370</v>
      </c>
      <c r="T53" s="242" t="s">
        <v>30</v>
      </c>
      <c r="U53" s="451">
        <f>IFERROR(VLOOKUP($S53,'Further adjustment'!$A:$Q,7,FALSE),0)</f>
        <v>83939</v>
      </c>
      <c r="V53" s="453">
        <f>IFERROR(VLOOKUP($S53,'Further adjustment'!$A:$Q,6,FALSE),0)</f>
        <v>6332</v>
      </c>
      <c r="W53" s="453">
        <f>IFERROR(VLOOKUP($S53,'Further adjustment'!$A:$Q,9,FALSE),0)</f>
        <v>605539</v>
      </c>
      <c r="X53" s="242">
        <f>IFERROR(VLOOKUP($S53,'Further adjustment'!$A:$Q,8,FALSE),0)</f>
        <v>36408</v>
      </c>
    </row>
    <row r="54" spans="1:24">
      <c r="A54" s="369">
        <v>410</v>
      </c>
      <c r="B54" s="242" t="s">
        <v>31</v>
      </c>
      <c r="C54" s="454">
        <f>VLOOKUP($L54,PRICES!$A:$CJ,76,FALSE)</f>
        <v>221.41022211171264</v>
      </c>
      <c r="D54" s="452">
        <f>VLOOKUP($L54,PRICES!$A:$CJ,77,FALSE)</f>
        <v>241.38267894052194</v>
      </c>
      <c r="E54" s="452">
        <f>VLOOKUP($L54,PRICES!$A:$CJ,78,FALSE)</f>
        <v>101.60026586125527</v>
      </c>
      <c r="F54" s="243">
        <f>VLOOKUP($L54,PRICES!$A:$CJ,79,FALSE)</f>
        <v>161.79355350340651</v>
      </c>
      <c r="G54" s="369" t="str">
        <f>IF(VLOOKUP($A54,PRICES!$A:$CJ,70,FALSE)="Y","Manual Adjusted",IF(VLOOKUP($A54,PRICES!$A:$CJ,51,FALSE)="Roll-over","Roll-Over","Modelled"))</f>
        <v>Modelled</v>
      </c>
      <c r="H54" s="460" t="str">
        <f>IF(VLOOKUP($A54,PRICES!$A:$CJ,70,FALSE)="Y","Manual Adjusted",IF(VLOOKUP($A54,PRICES!$A:$CJ,52,FALSE)="Roll-over","Roll-Over","Modelled"))</f>
        <v>Modelled</v>
      </c>
      <c r="I54" s="460" t="str">
        <f>IF(VLOOKUP($A54,PRICES!$A:$CJ,70,FALSE)="Y","Manual Adjusted",IF(VLOOKUP($A54,PRICES!$A:$CJ,53,FALSE)="Roll-over","Roll-Over","Modelled"))</f>
        <v>Modelled</v>
      </c>
      <c r="J54" s="461" t="str">
        <f>IF(VLOOKUP($A54,PRICES!$A:$CJ,70,FALSE)="Y","Manual Adjusted",IF(VLOOKUP($A54,PRICES!$A:$CJ,54,FALSE)="Roll-over","Roll-Over","Modelled"))</f>
        <v>Modelled</v>
      </c>
      <c r="L54" s="241">
        <v>410</v>
      </c>
      <c r="M54" s="242" t="s">
        <v>31</v>
      </c>
      <c r="N54" s="454">
        <f>VLOOKUP($L54,PRICES!$A:$CJ,71,FALSE)</f>
        <v>221.41022211171264</v>
      </c>
      <c r="O54" s="452">
        <f>VLOOKUP($L54,PRICES!$A:$CJ,72,FALSE)</f>
        <v>241.38267894052194</v>
      </c>
      <c r="P54" s="452">
        <f>VLOOKUP($L54,PRICES!$A:$CJ,73,FALSE)</f>
        <v>101.60026586125527</v>
      </c>
      <c r="Q54" s="243">
        <f>VLOOKUP($L54,PRICES!$A:$CJ,74,FALSE)</f>
        <v>161.79355350340651</v>
      </c>
      <c r="S54" s="369">
        <v>410</v>
      </c>
      <c r="T54" s="242" t="s">
        <v>31</v>
      </c>
      <c r="U54" s="451">
        <f>IFERROR(VLOOKUP($S54,'Further adjustment'!$A:$Q,7,FALSE),0)</f>
        <v>286103</v>
      </c>
      <c r="V54" s="453">
        <f>IFERROR(VLOOKUP($S54,'Further adjustment'!$A:$Q,6,FALSE),0)</f>
        <v>4256</v>
      </c>
      <c r="W54" s="453">
        <f>IFERROR(VLOOKUP($S54,'Further adjustment'!$A:$Q,9,FALSE),0)</f>
        <v>1208951</v>
      </c>
      <c r="X54" s="242">
        <f>IFERROR(VLOOKUP($S54,'Further adjustment'!$A:$Q,8,FALSE),0)</f>
        <v>12294</v>
      </c>
    </row>
    <row r="55" spans="1:24">
      <c r="A55" s="369">
        <v>420</v>
      </c>
      <c r="B55" s="242" t="s">
        <v>32</v>
      </c>
      <c r="C55" s="454">
        <f>VLOOKUP($L55,PRICES!$A:$CJ,76,FALSE)</f>
        <v>218.0185583843772</v>
      </c>
      <c r="D55" s="452">
        <f>VLOOKUP($L55,PRICES!$A:$CJ,77,FALSE)</f>
        <v>231.13274553929779</v>
      </c>
      <c r="E55" s="452">
        <f>VLOOKUP($L55,PRICES!$A:$CJ,78,FALSE)</f>
        <v>132.60591272984914</v>
      </c>
      <c r="F55" s="243">
        <f>VLOOKUP($L55,PRICES!$A:$CJ,79,FALSE)</f>
        <v>153.33372096722084</v>
      </c>
      <c r="G55" s="369" t="str">
        <f>IF(VLOOKUP($A55,PRICES!$A:$CJ,70,FALSE)="Y","Manual Adjusted",IF(VLOOKUP($A55,PRICES!$A:$CJ,51,FALSE)="Roll-over","Roll-Over","Modelled"))</f>
        <v>Modelled</v>
      </c>
      <c r="H55" s="460" t="str">
        <f>IF(VLOOKUP($A55,PRICES!$A:$CJ,70,FALSE)="Y","Manual Adjusted",IF(VLOOKUP($A55,PRICES!$A:$CJ,52,FALSE)="Roll-over","Roll-Over","Modelled"))</f>
        <v>Modelled</v>
      </c>
      <c r="I55" s="460" t="str">
        <f>IF(VLOOKUP($A55,PRICES!$A:$CJ,70,FALSE)="Y","Manual Adjusted",IF(VLOOKUP($A55,PRICES!$A:$CJ,53,FALSE)="Roll-over","Roll-Over","Modelled"))</f>
        <v>Modelled</v>
      </c>
      <c r="J55" s="461" t="str">
        <f>IF(VLOOKUP($A55,PRICES!$A:$CJ,70,FALSE)="Y","Manual Adjusted",IF(VLOOKUP($A55,PRICES!$A:$CJ,54,FALSE)="Roll-over","Roll-Over","Modelled"))</f>
        <v>Modelled</v>
      </c>
      <c r="L55" s="241">
        <v>420</v>
      </c>
      <c r="M55" s="242" t="s">
        <v>32</v>
      </c>
      <c r="N55" s="454">
        <f>VLOOKUP($L55,PRICES!$A:$CJ,71,FALSE)</f>
        <v>218.0185583843772</v>
      </c>
      <c r="O55" s="452">
        <f>VLOOKUP($L55,PRICES!$A:$CJ,72,FALSE)</f>
        <v>231.13274553929779</v>
      </c>
      <c r="P55" s="452">
        <f>VLOOKUP($L55,PRICES!$A:$CJ,73,FALSE)</f>
        <v>132.60591272984914</v>
      </c>
      <c r="Q55" s="243">
        <f>VLOOKUP($L55,PRICES!$A:$CJ,74,FALSE)</f>
        <v>153.33372096722084</v>
      </c>
      <c r="S55" s="369">
        <v>420</v>
      </c>
      <c r="T55" s="242" t="s">
        <v>32</v>
      </c>
      <c r="U55" s="451">
        <f>IFERROR(VLOOKUP($S55,'Further adjustment'!$A:$Q,7,FALSE),0)</f>
        <v>546391</v>
      </c>
      <c r="V55" s="453">
        <f>IFERROR(VLOOKUP($S55,'Further adjustment'!$A:$Q,6,FALSE),0)</f>
        <v>10863</v>
      </c>
      <c r="W55" s="453">
        <f>IFERROR(VLOOKUP($S55,'Further adjustment'!$A:$Q,9,FALSE),0)</f>
        <v>836252</v>
      </c>
      <c r="X55" s="242">
        <f>IFERROR(VLOOKUP($S55,'Further adjustment'!$A:$Q,8,FALSE),0)</f>
        <v>24569</v>
      </c>
    </row>
    <row r="56" spans="1:24">
      <c r="A56" s="369">
        <v>430</v>
      </c>
      <c r="B56" s="242" t="s">
        <v>33</v>
      </c>
      <c r="C56" s="454">
        <f>VLOOKUP($L56,PRICES!$A:$CJ,76,FALSE)</f>
        <v>240.16180699196363</v>
      </c>
      <c r="D56" s="452">
        <f>VLOOKUP($L56,PRICES!$A:$CJ,77,FALSE)</f>
        <v>240.16180699196363</v>
      </c>
      <c r="E56" s="452">
        <f>VLOOKUP($L56,PRICES!$A:$CJ,78,FALSE)</f>
        <v>135.05993794556565</v>
      </c>
      <c r="F56" s="243">
        <f>VLOOKUP($L56,PRICES!$A:$CJ,79,FALSE)</f>
        <v>135.05993794556565</v>
      </c>
      <c r="G56" s="369" t="str">
        <f>IF(VLOOKUP($A56,PRICES!$A:$CJ,70,FALSE)="Y","Manual Adjusted",IF(VLOOKUP($A56,PRICES!$A:$CJ,51,FALSE)="Roll-over","Roll-Over","Modelled"))</f>
        <v>Modelled</v>
      </c>
      <c r="H56" s="460" t="str">
        <f>IF(VLOOKUP($A56,PRICES!$A:$CJ,70,FALSE)="Y","Manual Adjusted",IF(VLOOKUP($A56,PRICES!$A:$CJ,52,FALSE)="Roll-over","Roll-Over","Modelled"))</f>
        <v>Modelled</v>
      </c>
      <c r="I56" s="460" t="str">
        <f>IF(VLOOKUP($A56,PRICES!$A:$CJ,70,FALSE)="Y","Manual Adjusted",IF(VLOOKUP($A56,PRICES!$A:$CJ,53,FALSE)="Roll-over","Roll-Over","Modelled"))</f>
        <v>Modelled</v>
      </c>
      <c r="J56" s="461" t="str">
        <f>IF(VLOOKUP($A56,PRICES!$A:$CJ,70,FALSE)="Y","Manual Adjusted",IF(VLOOKUP($A56,PRICES!$A:$CJ,54,FALSE)="Roll-over","Roll-Over","Modelled"))</f>
        <v>Modelled</v>
      </c>
      <c r="L56" s="241">
        <v>430</v>
      </c>
      <c r="M56" s="242" t="s">
        <v>33</v>
      </c>
      <c r="N56" s="454">
        <f>VLOOKUP($L56,PRICES!$A:$CJ,71,FALSE)</f>
        <v>240.16180699196363</v>
      </c>
      <c r="O56" s="452">
        <f>VLOOKUP($L56,PRICES!$A:$CJ,72,FALSE)</f>
        <v>240.16180699196363</v>
      </c>
      <c r="P56" s="452">
        <f>VLOOKUP($L56,PRICES!$A:$CJ,73,FALSE)</f>
        <v>135.05993794556565</v>
      </c>
      <c r="Q56" s="243">
        <f>VLOOKUP($L56,PRICES!$A:$CJ,74,FALSE)</f>
        <v>135.05993794556565</v>
      </c>
      <c r="S56" s="369">
        <v>430</v>
      </c>
      <c r="T56" s="242" t="s">
        <v>33</v>
      </c>
      <c r="U56" s="451">
        <f>IFERROR(VLOOKUP($S56,'Further adjustment'!$A:$Q,7,FALSE),0)</f>
        <v>173372</v>
      </c>
      <c r="V56" s="453">
        <f>IFERROR(VLOOKUP($S56,'Further adjustment'!$A:$Q,6,FALSE),0)</f>
        <v>4676</v>
      </c>
      <c r="W56" s="453">
        <f>IFERROR(VLOOKUP($S56,'Further adjustment'!$A:$Q,9,FALSE),0)</f>
        <v>254914</v>
      </c>
      <c r="X56" s="242">
        <f>IFERROR(VLOOKUP($S56,'Further adjustment'!$A:$Q,8,FALSE),0)</f>
        <v>6145</v>
      </c>
    </row>
    <row r="57" spans="1:24">
      <c r="A57" s="369">
        <v>502</v>
      </c>
      <c r="B57" s="242" t="s">
        <v>34</v>
      </c>
      <c r="C57" s="454">
        <f>VLOOKUP($L57,PRICES!$A:$CJ,76,FALSE)</f>
        <v>135.65150813569355</v>
      </c>
      <c r="D57" s="452">
        <f>VLOOKUP($L57,PRICES!$A:$CJ,77,FALSE)</f>
        <v>147.82424384596308</v>
      </c>
      <c r="E57" s="452">
        <f>VLOOKUP($L57,PRICES!$A:$CJ,78,FALSE)</f>
        <v>87.557879234762837</v>
      </c>
      <c r="F57" s="243">
        <f>VLOOKUP($L57,PRICES!$A:$CJ,79,FALSE)</f>
        <v>103.49972490904884</v>
      </c>
      <c r="G57" s="369" t="str">
        <f>IF(VLOOKUP($A57,PRICES!$A:$CJ,70,FALSE)="Y","Manual Adjusted",IF(VLOOKUP($A57,PRICES!$A:$CJ,51,FALSE)="Roll-over","Roll-Over","Modelled"))</f>
        <v>Modelled</v>
      </c>
      <c r="H57" s="460" t="str">
        <f>IF(VLOOKUP($A57,PRICES!$A:$CJ,70,FALSE)="Y","Manual Adjusted",IF(VLOOKUP($A57,PRICES!$A:$CJ,52,FALSE)="Roll-over","Roll-Over","Modelled"))</f>
        <v>Modelled</v>
      </c>
      <c r="I57" s="460" t="str">
        <f>IF(VLOOKUP($A57,PRICES!$A:$CJ,70,FALSE)="Y","Manual Adjusted",IF(VLOOKUP($A57,PRICES!$A:$CJ,53,FALSE)="Roll-over","Roll-Over","Modelled"))</f>
        <v>Modelled</v>
      </c>
      <c r="J57" s="461" t="str">
        <f>IF(VLOOKUP($A57,PRICES!$A:$CJ,70,FALSE)="Y","Manual Adjusted",IF(VLOOKUP($A57,PRICES!$A:$CJ,54,FALSE)="Roll-over","Roll-Over","Modelled"))</f>
        <v>Modelled</v>
      </c>
      <c r="L57" s="241">
        <v>502</v>
      </c>
      <c r="M57" s="242" t="s">
        <v>34</v>
      </c>
      <c r="N57" s="454">
        <f>VLOOKUP($L57,PRICES!$A:$CJ,71,FALSE)</f>
        <v>135.65150813569355</v>
      </c>
      <c r="O57" s="452">
        <f>VLOOKUP($L57,PRICES!$A:$CJ,72,FALSE)</f>
        <v>147.82424384596308</v>
      </c>
      <c r="P57" s="452">
        <f>VLOOKUP($L57,PRICES!$A:$CJ,73,FALSE)</f>
        <v>87.557879234762837</v>
      </c>
      <c r="Q57" s="243">
        <f>VLOOKUP($L57,PRICES!$A:$CJ,74,FALSE)</f>
        <v>103.49972490904884</v>
      </c>
      <c r="S57" s="369">
        <v>502</v>
      </c>
      <c r="T57" s="242" t="s">
        <v>34</v>
      </c>
      <c r="U57" s="451">
        <f>IFERROR(VLOOKUP($S57,'Further adjustment'!$A:$Q,7,FALSE),0)</f>
        <v>882248</v>
      </c>
      <c r="V57" s="453">
        <f>IFERROR(VLOOKUP($S57,'Further adjustment'!$A:$Q,6,FALSE),0)</f>
        <v>27132</v>
      </c>
      <c r="W57" s="453">
        <f>IFERROR(VLOOKUP($S57,'Further adjustment'!$A:$Q,9,FALSE),0)</f>
        <v>1076943</v>
      </c>
      <c r="X57" s="242">
        <f>IFERROR(VLOOKUP($S57,'Further adjustment'!$A:$Q,8,FALSE),0)</f>
        <v>29684</v>
      </c>
    </row>
    <row r="58" spans="1:24">
      <c r="A58" s="369">
        <v>503</v>
      </c>
      <c r="B58" s="242" t="s">
        <v>35</v>
      </c>
      <c r="C58" s="454">
        <f>VLOOKUP($L58,PRICES!$A:$CJ,76,FALSE)</f>
        <v>157.09969872922295</v>
      </c>
      <c r="D58" s="452">
        <f>VLOOKUP($L58,PRICES!$A:$CJ,77,FALSE)</f>
        <v>199.22220167837585</v>
      </c>
      <c r="E58" s="452">
        <f>VLOOKUP($L58,PRICES!$A:$CJ,78,FALSE)</f>
        <v>93.817171022202587</v>
      </c>
      <c r="F58" s="243">
        <f>VLOOKUP($L58,PRICES!$A:$CJ,79,FALSE)</f>
        <v>106.42695637798853</v>
      </c>
      <c r="G58" s="369" t="str">
        <f>IF(VLOOKUP($A58,PRICES!$A:$CJ,70,FALSE)="Y","Manual Adjusted",IF(VLOOKUP($A58,PRICES!$A:$CJ,51,FALSE)="Roll-over","Roll-Over","Modelled"))</f>
        <v>Modelled</v>
      </c>
      <c r="H58" s="460" t="str">
        <f>IF(VLOOKUP($A58,PRICES!$A:$CJ,70,FALSE)="Y","Manual Adjusted",IF(VLOOKUP($A58,PRICES!$A:$CJ,52,FALSE)="Roll-over","Roll-Over","Modelled"))</f>
        <v>Modelled</v>
      </c>
      <c r="I58" s="460" t="str">
        <f>IF(VLOOKUP($A58,PRICES!$A:$CJ,70,FALSE)="Y","Manual Adjusted",IF(VLOOKUP($A58,PRICES!$A:$CJ,53,FALSE)="Roll-over","Roll-Over","Modelled"))</f>
        <v>Modelled</v>
      </c>
      <c r="J58" s="461" t="str">
        <f>IF(VLOOKUP($A58,PRICES!$A:$CJ,70,FALSE)="Y","Manual Adjusted",IF(VLOOKUP($A58,PRICES!$A:$CJ,54,FALSE)="Roll-over","Roll-Over","Modelled"))</f>
        <v>Modelled</v>
      </c>
      <c r="L58" s="241">
        <v>503</v>
      </c>
      <c r="M58" s="242" t="s">
        <v>35</v>
      </c>
      <c r="N58" s="454">
        <f>VLOOKUP($L58,PRICES!$A:$CJ,71,FALSE)</f>
        <v>157.09969872922295</v>
      </c>
      <c r="O58" s="452">
        <f>VLOOKUP($L58,PRICES!$A:$CJ,72,FALSE)</f>
        <v>199.22220167837585</v>
      </c>
      <c r="P58" s="452">
        <f>VLOOKUP($L58,PRICES!$A:$CJ,73,FALSE)</f>
        <v>93.817171022202587</v>
      </c>
      <c r="Q58" s="243">
        <f>VLOOKUP($L58,PRICES!$A:$CJ,74,FALSE)</f>
        <v>106.42695637798853</v>
      </c>
      <c r="S58" s="369">
        <v>503</v>
      </c>
      <c r="T58" s="242" t="s">
        <v>35</v>
      </c>
      <c r="U58" s="451">
        <f>IFERROR(VLOOKUP($S58,'Further adjustment'!$A:$Q,7,FALSE),0)</f>
        <v>26395</v>
      </c>
      <c r="V58" s="453">
        <f>IFERROR(VLOOKUP($S58,'Further adjustment'!$A:$Q,6,FALSE),0)</f>
        <v>2136</v>
      </c>
      <c r="W58" s="453">
        <f>IFERROR(VLOOKUP($S58,'Further adjustment'!$A:$Q,9,FALSE),0)</f>
        <v>53257</v>
      </c>
      <c r="X58" s="242">
        <f>IFERROR(VLOOKUP($S58,'Further adjustment'!$A:$Q,8,FALSE),0)</f>
        <v>7239</v>
      </c>
    </row>
    <row r="59" spans="1:24">
      <c r="A59" s="369">
        <v>800</v>
      </c>
      <c r="B59" s="242" t="s">
        <v>36</v>
      </c>
      <c r="C59" s="454">
        <f>VLOOKUP($L59,PRICES!$A:$CJ,76,FALSE)</f>
        <v>197.97499214481519</v>
      </c>
      <c r="D59" s="452">
        <f>VLOOKUP($L59,PRICES!$A:$CJ,77,FALSE)</f>
        <v>197.97499214481519</v>
      </c>
      <c r="E59" s="452">
        <f>VLOOKUP($L59,PRICES!$A:$CJ,78,FALSE)</f>
        <v>88.801145365377479</v>
      </c>
      <c r="F59" s="243">
        <f>VLOOKUP($L59,PRICES!$A:$CJ,79,FALSE)</f>
        <v>88.801145365377479</v>
      </c>
      <c r="G59" s="369" t="str">
        <f>IF(VLOOKUP($A59,PRICES!$A:$CJ,70,FALSE)="Y","Manual Adjusted",IF(VLOOKUP($A59,PRICES!$A:$CJ,51,FALSE)="Roll-over","Roll-Over","Modelled"))</f>
        <v>Modelled</v>
      </c>
      <c r="H59" s="460" t="str">
        <f>IF(VLOOKUP($A59,PRICES!$A:$CJ,70,FALSE)="Y","Manual Adjusted",IF(VLOOKUP($A59,PRICES!$A:$CJ,52,FALSE)="Roll-over","Roll-Over","Modelled"))</f>
        <v>Modelled</v>
      </c>
      <c r="I59" s="460" t="str">
        <f>IF(VLOOKUP($A59,PRICES!$A:$CJ,70,FALSE)="Y","Manual Adjusted",IF(VLOOKUP($A59,PRICES!$A:$CJ,53,FALSE)="Roll-over","Roll-Over","Modelled"))</f>
        <v>Modelled</v>
      </c>
      <c r="J59" s="461" t="str">
        <f>IF(VLOOKUP($A59,PRICES!$A:$CJ,70,FALSE)="Y","Manual Adjusted",IF(VLOOKUP($A59,PRICES!$A:$CJ,54,FALSE)="Roll-over","Roll-Over","Modelled"))</f>
        <v>Modelled</v>
      </c>
      <c r="L59" s="241">
        <v>800</v>
      </c>
      <c r="M59" s="242" t="s">
        <v>36</v>
      </c>
      <c r="N59" s="454">
        <f>VLOOKUP($L59,PRICES!$A:$CJ,71,FALSE)</f>
        <v>197.97499214481519</v>
      </c>
      <c r="O59" s="452">
        <f>VLOOKUP($L59,PRICES!$A:$CJ,72,FALSE)</f>
        <v>197.97499214481519</v>
      </c>
      <c r="P59" s="452">
        <f>VLOOKUP($L59,PRICES!$A:$CJ,73,FALSE)</f>
        <v>88.801145365377479</v>
      </c>
      <c r="Q59" s="243">
        <f>VLOOKUP($L59,PRICES!$A:$CJ,74,FALSE)</f>
        <v>88.801145365377479</v>
      </c>
      <c r="S59" s="369">
        <v>800</v>
      </c>
      <c r="T59" s="242" t="s">
        <v>36</v>
      </c>
      <c r="U59" s="451">
        <f>IFERROR(VLOOKUP($S59,'Further adjustment'!$A:$Q,7,FALSE),0)</f>
        <v>132585</v>
      </c>
      <c r="V59" s="453">
        <f>IFERROR(VLOOKUP($S59,'Further adjustment'!$A:$Q,6,FALSE),0)</f>
        <v>11208</v>
      </c>
      <c r="W59" s="453">
        <f>IFERROR(VLOOKUP($S59,'Further adjustment'!$A:$Q,9,FALSE),0)</f>
        <v>819677</v>
      </c>
      <c r="X59" s="242">
        <f>IFERROR(VLOOKUP($S59,'Further adjustment'!$A:$Q,8,FALSE),0)</f>
        <v>51082</v>
      </c>
    </row>
    <row r="60" spans="1:24" ht="12" thickBot="1">
      <c r="A60" s="374">
        <v>812</v>
      </c>
      <c r="B60" s="246" t="s">
        <v>37</v>
      </c>
      <c r="C60" s="338">
        <f>VLOOKUP($L60,PRICES!$A:$CJ,76,FALSE)</f>
        <v>0</v>
      </c>
      <c r="D60" s="456">
        <f>VLOOKUP($L60,PRICES!$A:$CJ,77,FALSE)</f>
        <v>0</v>
      </c>
      <c r="E60" s="456">
        <f>VLOOKUP($L60,PRICES!$A:$CJ,78,FALSE)</f>
        <v>0</v>
      </c>
      <c r="F60" s="457">
        <f>VLOOKUP($L60,PRICES!$A:$CJ,79,FALSE)</f>
        <v>0</v>
      </c>
      <c r="G60" s="374" t="str">
        <f>IF(VLOOKUP($A60,PRICES!$A:$CJ,70,FALSE)="Y","Manual Adjusted",IF(VLOOKUP($A60,PRICES!$A:$CJ,51,FALSE)="Roll-over","Roll-Over","Modelled"))</f>
        <v>Roll-Over</v>
      </c>
      <c r="H60" s="462" t="str">
        <f>IF(VLOOKUP($A60,PRICES!$A:$CJ,70,FALSE)="Y","Manual Adjusted",IF(VLOOKUP($A60,PRICES!$A:$CJ,52,FALSE)="Roll-over","Roll-Over","Modelled"))</f>
        <v>Roll-Over</v>
      </c>
      <c r="I60" s="462" t="str">
        <f>IF(VLOOKUP($A60,PRICES!$A:$CJ,70,FALSE)="Y","Manual Adjusted",IF(VLOOKUP($A60,PRICES!$A:$CJ,53,FALSE)="Roll-over","Roll-Over","Modelled"))</f>
        <v>Roll-Over</v>
      </c>
      <c r="J60" s="463" t="str">
        <f>IF(VLOOKUP($A60,PRICES!$A:$CJ,70,FALSE)="Y","Manual Adjusted",IF(VLOOKUP($A60,PRICES!$A:$CJ,54,FALSE)="Roll-over","Roll-Over","Modelled"))</f>
        <v>Roll-Over</v>
      </c>
      <c r="L60" s="245">
        <v>812</v>
      </c>
      <c r="M60" s="246" t="s">
        <v>37</v>
      </c>
      <c r="N60" s="338">
        <f>VLOOKUP($L60,PRICES!$A:$CJ,71,FALSE)</f>
        <v>0</v>
      </c>
      <c r="O60" s="456">
        <f>VLOOKUP($L60,PRICES!$A:$CJ,72,FALSE)</f>
        <v>0</v>
      </c>
      <c r="P60" s="456">
        <f>VLOOKUP($L60,PRICES!$A:$CJ,73,FALSE)</f>
        <v>0</v>
      </c>
      <c r="Q60" s="457">
        <f>VLOOKUP($L60,PRICES!$A:$CJ,74,FALSE)</f>
        <v>0</v>
      </c>
      <c r="S60" s="374">
        <v>812</v>
      </c>
      <c r="T60" s="246" t="s">
        <v>37</v>
      </c>
      <c r="U60" s="372">
        <f>IFERROR(VLOOKUP($S60,'Further adjustment'!$A:$Q,7,FALSE),0)</f>
        <v>52186</v>
      </c>
      <c r="V60" s="373">
        <f>IFERROR(VLOOKUP($S60,'Further adjustment'!$A:$Q,6,FALSE),0)</f>
        <v>0</v>
      </c>
      <c r="W60" s="373">
        <f>IFERROR(VLOOKUP($S60,'Further adjustment'!$A:$Q,9,FALSE),0)</f>
        <v>43829</v>
      </c>
      <c r="X60" s="246">
        <f>IFERROR(VLOOKUP($S60,'Further adjustment'!$A:$Q,8,FALSE),0)</f>
        <v>2</v>
      </c>
    </row>
    <row r="62" spans="1:24" ht="33.75">
      <c r="B62" s="728" t="s">
        <v>1010</v>
      </c>
      <c r="C62" s="729" t="s">
        <v>940</v>
      </c>
      <c r="D62" s="729" t="s">
        <v>934</v>
      </c>
      <c r="M62" s="730" t="s">
        <v>1010</v>
      </c>
      <c r="N62" s="729" t="s">
        <v>933</v>
      </c>
      <c r="O62" s="729" t="s">
        <v>934</v>
      </c>
    </row>
    <row r="63" spans="1:24">
      <c r="B63" s="725">
        <f>M63</f>
        <v>4163985596.7545342</v>
      </c>
      <c r="C63" s="726">
        <f>SUMPRODUCT($C$5:$F$60,$U$5:$X$60)</f>
        <v>4163985596.7545333</v>
      </c>
      <c r="D63" s="727">
        <f>B63/C63-1</f>
        <v>0</v>
      </c>
      <c r="M63" s="725">
        <f>SUMPRODUCT(PRICES!$BM$6:$BP$61,$U$5:$X$60)</f>
        <v>4163985596.7545342</v>
      </c>
      <c r="N63" s="726">
        <f>SUMPRODUCT($N$5:$Q$60,$U$5:$X$60)</f>
        <v>4163985596.7545333</v>
      </c>
      <c r="O63" s="727">
        <f>M63/N63-1</f>
        <v>0</v>
      </c>
    </row>
    <row r="64" spans="1:24">
      <c r="B64" s="447" t="b">
        <f>B63=C63</f>
        <v>1</v>
      </c>
      <c r="M64" s="756" t="b">
        <f>M63=N63</f>
        <v>1</v>
      </c>
    </row>
    <row r="66" spans="3:3">
      <c r="C66" s="698"/>
    </row>
  </sheetData>
  <mergeCells count="3">
    <mergeCell ref="U3:X3"/>
    <mergeCell ref="C3:J3"/>
    <mergeCell ref="N3:Q3"/>
  </mergeCells>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0"/>
  <sheetViews>
    <sheetView zoomScaleNormal="100" workbookViewId="0">
      <pane ySplit="4" topLeftCell="A5" activePane="bottomLeft" state="frozen"/>
      <selection pane="bottomLeft" activeCell="A5" sqref="A5"/>
    </sheetView>
  </sheetViews>
  <sheetFormatPr defaultRowHeight="11.25"/>
  <cols>
    <col min="1" max="1" width="8.42578125" style="661" customWidth="1"/>
    <col min="2" max="2" width="28.5703125" style="661" bestFit="1" customWidth="1"/>
    <col min="3" max="6" width="10.7109375" style="661" customWidth="1"/>
    <col min="7" max="16384" width="9.140625" style="661"/>
  </cols>
  <sheetData>
    <row r="1" spans="1:6" s="660" customFormat="1" ht="12.75" customHeight="1">
      <c r="A1" s="659" t="s">
        <v>958</v>
      </c>
    </row>
    <row r="2" spans="1:6" ht="11.25" customHeight="1" thickBot="1">
      <c r="A2" s="699" t="s">
        <v>974</v>
      </c>
    </row>
    <row r="3" spans="1:6" ht="12" customHeight="1" thickBot="1">
      <c r="C3" s="762" t="s">
        <v>49</v>
      </c>
      <c r="D3" s="763"/>
      <c r="E3" s="763"/>
      <c r="F3" s="764"/>
    </row>
    <row r="4" spans="1:6" s="667" customFormat="1" ht="57" thickBot="1">
      <c r="A4" s="662" t="s">
        <v>50</v>
      </c>
      <c r="B4" s="663" t="s">
        <v>51</v>
      </c>
      <c r="C4" s="664" t="s">
        <v>52</v>
      </c>
      <c r="D4" s="665" t="s">
        <v>53</v>
      </c>
      <c r="E4" s="665" t="s">
        <v>54</v>
      </c>
      <c r="F4" s="666" t="s">
        <v>55</v>
      </c>
    </row>
    <row r="5" spans="1:6">
      <c r="A5" s="668">
        <v>100</v>
      </c>
      <c r="B5" s="669" t="s">
        <v>1</v>
      </c>
      <c r="C5" s="670">
        <f>VLOOKUP($A5,'Linked Sheet'!$A:$J,3,FALSE)</f>
        <v>141.50598262698671</v>
      </c>
      <c r="D5" s="671">
        <f>VLOOKUP($A5,'Linked Sheet'!$A:$J,4,FALSE)</f>
        <v>220.27502338285331</v>
      </c>
      <c r="E5" s="672">
        <f>VLOOKUP($A5,'Linked Sheet'!$A:$J,5,FALSE)</f>
        <v>86.874552740012533</v>
      </c>
      <c r="F5" s="673">
        <f>VLOOKUP($A5,'Linked Sheet'!$A:$J,6,FALSE)</f>
        <v>126.28250544695442</v>
      </c>
    </row>
    <row r="6" spans="1:6">
      <c r="A6" s="674">
        <v>101</v>
      </c>
      <c r="B6" s="675" t="s">
        <v>2</v>
      </c>
      <c r="C6" s="676">
        <f>VLOOKUP(A6,'Linked Sheet'!A:J,3,FALSE)</f>
        <v>130.42793658753891</v>
      </c>
      <c r="D6" s="677">
        <f>VLOOKUP($A6,'Linked Sheet'!$A:$J,4,FALSE)</f>
        <v>199.87426283821185</v>
      </c>
      <c r="E6" s="677">
        <f>VLOOKUP($A6,'Linked Sheet'!$A:$J,5,FALSE)</f>
        <v>74.404542494883842</v>
      </c>
      <c r="F6" s="678">
        <f>VLOOKUP($A6,'Linked Sheet'!$A:$J,6,FALSE)</f>
        <v>103.47197539185906</v>
      </c>
    </row>
    <row r="7" spans="1:6">
      <c r="A7" s="674">
        <v>103</v>
      </c>
      <c r="B7" s="675" t="s">
        <v>3</v>
      </c>
      <c r="C7" s="676">
        <f>VLOOKUP(A7,'Linked Sheet'!A:J,3,FALSE)</f>
        <v>164.80736545663319</v>
      </c>
      <c r="D7" s="677">
        <f>VLOOKUP($A7,'Linked Sheet'!$A:$J,4,FALSE)</f>
        <v>164.80736545663319</v>
      </c>
      <c r="E7" s="677">
        <f>VLOOKUP($A7,'Linked Sheet'!$A:$J,5,FALSE)</f>
        <v>94.432085884315427</v>
      </c>
      <c r="F7" s="678">
        <f>VLOOKUP($A7,'Linked Sheet'!$A:$J,6,FALSE)</f>
        <v>94.432085884315427</v>
      </c>
    </row>
    <row r="8" spans="1:6">
      <c r="A8" s="674">
        <v>104</v>
      </c>
      <c r="B8" s="675" t="s">
        <v>4</v>
      </c>
      <c r="C8" s="676">
        <f>VLOOKUP(A8,'Linked Sheet'!A:J,3,FALSE)</f>
        <v>118.60061969269005</v>
      </c>
      <c r="D8" s="677">
        <f>VLOOKUP($A8,'Linked Sheet'!$A:$J,4,FALSE)</f>
        <v>126.84429722692788</v>
      </c>
      <c r="E8" s="677">
        <f>VLOOKUP($A8,'Linked Sheet'!$A:$J,5,FALSE)</f>
        <v>73.983647994322197</v>
      </c>
      <c r="F8" s="678">
        <f>VLOOKUP($A8,'Linked Sheet'!$A:$J,6,FALSE)</f>
        <v>99.830661426516343</v>
      </c>
    </row>
    <row r="9" spans="1:6">
      <c r="A9" s="674">
        <v>105</v>
      </c>
      <c r="B9" s="675" t="s">
        <v>56</v>
      </c>
      <c r="C9" s="676">
        <f>VLOOKUP(A9,'Linked Sheet'!A:J,3,FALSE)</f>
        <v>184.12514484242038</v>
      </c>
      <c r="D9" s="677">
        <f>VLOOKUP($A9,'Linked Sheet'!$A:$J,4,FALSE)</f>
        <v>204.49680527106671</v>
      </c>
      <c r="E9" s="677">
        <f>VLOOKUP($A9,'Linked Sheet'!$A:$J,5,FALSE)</f>
        <v>118.08057971506548</v>
      </c>
      <c r="F9" s="678">
        <f>VLOOKUP($A9,'Linked Sheet'!$A:$J,6,FALSE)</f>
        <v>138.4767599505924</v>
      </c>
    </row>
    <row r="10" spans="1:6">
      <c r="A10" s="674">
        <v>106</v>
      </c>
      <c r="B10" s="675" t="s">
        <v>5</v>
      </c>
      <c r="C10" s="676">
        <f>VLOOKUP(A10,'Linked Sheet'!A:J,3,FALSE)</f>
        <v>111.56111383429365</v>
      </c>
      <c r="D10" s="677">
        <f>VLOOKUP($A10,'Linked Sheet'!$A:$J,4,FALSE)</f>
        <v>141.90015822365118</v>
      </c>
      <c r="E10" s="677">
        <f>VLOOKUP($A10,'Linked Sheet'!$A:$J,5,FALSE)</f>
        <v>79.539495191221505</v>
      </c>
      <c r="F10" s="678">
        <f>VLOOKUP($A10,'Linked Sheet'!$A:$J,6,FALSE)</f>
        <v>98.908282224678302</v>
      </c>
    </row>
    <row r="11" spans="1:6">
      <c r="A11" s="674">
        <v>107</v>
      </c>
      <c r="B11" s="675" t="s">
        <v>6</v>
      </c>
      <c r="C11" s="676">
        <f>VLOOKUP(A11,'Linked Sheet'!A:J,3,FALSE)</f>
        <v>162.27971027295521</v>
      </c>
      <c r="D11" s="677">
        <f>VLOOKUP($A11,'Linked Sheet'!$A:$J,4,FALSE)</f>
        <v>174.0594623716442</v>
      </c>
      <c r="E11" s="677">
        <f>VLOOKUP($A11,'Linked Sheet'!$A:$J,5,FALSE)</f>
        <v>102.85210313900454</v>
      </c>
      <c r="F11" s="678">
        <f>VLOOKUP($A11,'Linked Sheet'!$A:$J,6,FALSE)</f>
        <v>117.47091374886156</v>
      </c>
    </row>
    <row r="12" spans="1:6">
      <c r="A12" s="674">
        <v>108</v>
      </c>
      <c r="B12" s="675" t="s">
        <v>57</v>
      </c>
      <c r="C12" s="676">
        <f>VLOOKUP(A12,'Linked Sheet'!A:J,3,FALSE)</f>
        <v>159.03373796734914</v>
      </c>
      <c r="D12" s="677">
        <f>VLOOKUP($A12,'Linked Sheet'!$A:$J,4,FALSE)</f>
        <v>159.03373796734914</v>
      </c>
      <c r="E12" s="677">
        <f>VLOOKUP($A12,'Linked Sheet'!$A:$J,5,FALSE)</f>
        <v>96.803144849690781</v>
      </c>
      <c r="F12" s="678">
        <f>VLOOKUP($A12,'Linked Sheet'!$A:$J,6,FALSE)</f>
        <v>96.803144849690781</v>
      </c>
    </row>
    <row r="13" spans="1:6">
      <c r="A13" s="674">
        <v>110</v>
      </c>
      <c r="B13" s="675" t="s">
        <v>7</v>
      </c>
      <c r="C13" s="676">
        <f>VLOOKUP(A13,'Linked Sheet'!A:J,3,FALSE)</f>
        <v>127.33488973178393</v>
      </c>
      <c r="D13" s="677">
        <f>VLOOKUP($A13,'Linked Sheet'!$A:$J,4,FALSE)</f>
        <v>128.87747812064984</v>
      </c>
      <c r="E13" s="677">
        <f>VLOOKUP($A13,'Linked Sheet'!$A:$J,5,FALSE)</f>
        <v>75.001839927714286</v>
      </c>
      <c r="F13" s="678">
        <f>VLOOKUP($A13,'Linked Sheet'!$A:$J,6,FALSE)</f>
        <v>84.033262174515698</v>
      </c>
    </row>
    <row r="14" spans="1:6">
      <c r="A14" s="674">
        <v>120</v>
      </c>
      <c r="B14" s="675" t="s">
        <v>8</v>
      </c>
      <c r="C14" s="676">
        <f>VLOOKUP(A14,'Linked Sheet'!A:J,3,FALSE)</f>
        <v>105.41525762687209</v>
      </c>
      <c r="D14" s="677">
        <f>VLOOKUP($A14,'Linked Sheet'!$A:$J,4,FALSE)</f>
        <v>164.59511984800105</v>
      </c>
      <c r="E14" s="677">
        <f>VLOOKUP($A14,'Linked Sheet'!$A:$J,5,FALSE)</f>
        <v>65.000595658196275</v>
      </c>
      <c r="F14" s="678">
        <f>VLOOKUP($A14,'Linked Sheet'!$A:$J,6,FALSE)</f>
        <v>90.109763020838017</v>
      </c>
    </row>
    <row r="15" spans="1:6">
      <c r="A15" s="674">
        <v>130</v>
      </c>
      <c r="B15" s="675" t="s">
        <v>9</v>
      </c>
      <c r="C15" s="676">
        <f>VLOOKUP(A15,'Linked Sheet'!A:J,3,FALSE)</f>
        <v>110.87456657199363</v>
      </c>
      <c r="D15" s="677">
        <f>VLOOKUP($A15,'Linked Sheet'!$A:$J,4,FALSE)</f>
        <v>123.46124517654974</v>
      </c>
      <c r="E15" s="677">
        <f>VLOOKUP($A15,'Linked Sheet'!$A:$J,5,FALSE)</f>
        <v>62.679844038293318</v>
      </c>
      <c r="F15" s="678">
        <f>VLOOKUP($A15,'Linked Sheet'!$A:$J,6,FALSE)</f>
        <v>92.738711316496733</v>
      </c>
    </row>
    <row r="16" spans="1:6">
      <c r="A16" s="674">
        <v>140</v>
      </c>
      <c r="B16" s="675" t="s">
        <v>10</v>
      </c>
      <c r="C16" s="676">
        <f>VLOOKUP(A16,'Linked Sheet'!A:J,3,FALSE)</f>
        <v>116.96276329185902</v>
      </c>
      <c r="D16" s="677">
        <f>VLOOKUP($A16,'Linked Sheet'!$A:$J,4,FALSE)</f>
        <v>181.67802661348495</v>
      </c>
      <c r="E16" s="677">
        <f>VLOOKUP($A16,'Linked Sheet'!$A:$J,5,FALSE)</f>
        <v>73.00479874173152</v>
      </c>
      <c r="F16" s="678">
        <f>VLOOKUP($A16,'Linked Sheet'!$A:$J,6,FALSE)</f>
        <v>126.04511706385448</v>
      </c>
    </row>
    <row r="17" spans="1:6">
      <c r="A17" s="674">
        <v>143</v>
      </c>
      <c r="B17" s="675" t="s">
        <v>11</v>
      </c>
      <c r="C17" s="676">
        <f>VLOOKUP(A17,'Linked Sheet'!A:J,3,FALSE)</f>
        <v>152.27413633283331</v>
      </c>
      <c r="D17" s="677">
        <f>VLOOKUP($A17,'Linked Sheet'!$A:$J,4,FALSE)</f>
        <v>203.16018210869933</v>
      </c>
      <c r="E17" s="677">
        <f>VLOOKUP($A17,'Linked Sheet'!$A:$J,5,FALSE)</f>
        <v>76.752070666418149</v>
      </c>
      <c r="F17" s="678">
        <f>VLOOKUP($A17,'Linked Sheet'!$A:$J,6,FALSE)</f>
        <v>104.96199137132258</v>
      </c>
    </row>
    <row r="18" spans="1:6">
      <c r="A18" s="674">
        <v>144</v>
      </c>
      <c r="B18" s="675" t="s">
        <v>12</v>
      </c>
      <c r="C18" s="676">
        <f>VLOOKUP(A18,'Linked Sheet'!A:J,3,FALSE)</f>
        <v>106.38105497857184</v>
      </c>
      <c r="D18" s="677">
        <f>VLOOKUP($A18,'Linked Sheet'!$A:$J,4,FALSE)</f>
        <v>171.93817784311</v>
      </c>
      <c r="E18" s="677">
        <f>VLOOKUP($A18,'Linked Sheet'!$A:$J,5,FALSE)</f>
        <v>72.310077815684252</v>
      </c>
      <c r="F18" s="678">
        <f>VLOOKUP($A18,'Linked Sheet'!$A:$J,6,FALSE)</f>
        <v>81.396937383979392</v>
      </c>
    </row>
    <row r="19" spans="1:6">
      <c r="A19" s="674">
        <v>160</v>
      </c>
      <c r="B19" s="675" t="s">
        <v>13</v>
      </c>
      <c r="C19" s="676">
        <f>VLOOKUP(A19,'Linked Sheet'!A:J,3,FALSE)</f>
        <v>112.35601148757019</v>
      </c>
      <c r="D19" s="677">
        <f>VLOOKUP($A19,'Linked Sheet'!$A:$J,4,FALSE)</f>
        <v>149.35672170053718</v>
      </c>
      <c r="E19" s="677">
        <f>VLOOKUP($A19,'Linked Sheet'!$A:$J,5,FALSE)</f>
        <v>64.851073262703522</v>
      </c>
      <c r="F19" s="678">
        <f>VLOOKUP($A19,'Linked Sheet'!$A:$J,6,FALSE)</f>
        <v>99.185306508465032</v>
      </c>
    </row>
    <row r="20" spans="1:6">
      <c r="A20" s="674">
        <v>170</v>
      </c>
      <c r="B20" s="675" t="s">
        <v>14</v>
      </c>
      <c r="C20" s="676">
        <f>VLOOKUP(A20,'Linked Sheet'!A:J,3,FALSE)</f>
        <v>255.91470229130562</v>
      </c>
      <c r="D20" s="677">
        <f>VLOOKUP($A20,'Linked Sheet'!$A:$J,4,FALSE)</f>
        <v>255.91470229130562</v>
      </c>
      <c r="E20" s="677">
        <f>VLOOKUP($A20,'Linked Sheet'!$A:$J,5,FALSE)</f>
        <v>174.65934955922725</v>
      </c>
      <c r="F20" s="678">
        <f>VLOOKUP($A20,'Linked Sheet'!$A:$J,6,FALSE)</f>
        <v>177.44141791360238</v>
      </c>
    </row>
    <row r="21" spans="1:6">
      <c r="A21" s="674">
        <v>171</v>
      </c>
      <c r="B21" s="675" t="s">
        <v>15</v>
      </c>
      <c r="C21" s="676">
        <f>VLOOKUP(A21,'Linked Sheet'!A:J,3,FALSE)</f>
        <v>166.55833745561605</v>
      </c>
      <c r="D21" s="677">
        <f>VLOOKUP($A21,'Linked Sheet'!$A:$J,4,FALSE)</f>
        <v>166.55833745561605</v>
      </c>
      <c r="E21" s="677">
        <f>VLOOKUP($A21,'Linked Sheet'!$A:$J,5,FALSE)</f>
        <v>108.63991652261016</v>
      </c>
      <c r="F21" s="678">
        <f>VLOOKUP($A21,'Linked Sheet'!$A:$J,6,FALSE)</f>
        <v>110.76296803581735</v>
      </c>
    </row>
    <row r="22" spans="1:6">
      <c r="A22" s="674">
        <v>172</v>
      </c>
      <c r="B22" s="675" t="s">
        <v>16</v>
      </c>
      <c r="C22" s="676">
        <f>VLOOKUP(A22,'Linked Sheet'!A:J,3,FALSE)</f>
        <v>275.36073902040789</v>
      </c>
      <c r="D22" s="677">
        <f>VLOOKUP($A22,'Linked Sheet'!$A:$J,4,FALSE)</f>
        <v>275.36073902040789</v>
      </c>
      <c r="E22" s="677">
        <f>VLOOKUP($A22,'Linked Sheet'!$A:$J,5,FALSE)</f>
        <v>179.30788427795591</v>
      </c>
      <c r="F22" s="678">
        <f>VLOOKUP($A22,'Linked Sheet'!$A:$J,6,FALSE)</f>
        <v>179.30788427795591</v>
      </c>
    </row>
    <row r="23" spans="1:6">
      <c r="A23" s="674">
        <v>173</v>
      </c>
      <c r="B23" s="675" t="s">
        <v>17</v>
      </c>
      <c r="C23" s="676">
        <f>VLOOKUP(A23,'Linked Sheet'!A:J,3,FALSE)</f>
        <v>270.33939739882868</v>
      </c>
      <c r="D23" s="677">
        <f>VLOOKUP($A23,'Linked Sheet'!$A:$J,4,FALSE)</f>
        <v>272.39165528340305</v>
      </c>
      <c r="E23" s="677">
        <f>VLOOKUP($A23,'Linked Sheet'!$A:$J,5,FALSE)</f>
        <v>166.25144633885711</v>
      </c>
      <c r="F23" s="678">
        <f>VLOOKUP($A23,'Linked Sheet'!$A:$J,6,FALSE)</f>
        <v>167.21829208180216</v>
      </c>
    </row>
    <row r="24" spans="1:6">
      <c r="A24" s="674">
        <v>190</v>
      </c>
      <c r="B24" s="675" t="s">
        <v>18</v>
      </c>
      <c r="C24" s="676">
        <f>VLOOKUP(A24,'Linked Sheet'!A:J,3,FALSE)</f>
        <v>92.939131712481796</v>
      </c>
      <c r="D24" s="677">
        <f>VLOOKUP($A24,'Linked Sheet'!$A:$J,4,FALSE)</f>
        <v>92.939131712481796</v>
      </c>
      <c r="E24" s="677">
        <f>VLOOKUP($A24,'Linked Sheet'!$A:$J,5,FALSE)</f>
        <v>59.725169865382611</v>
      </c>
      <c r="F24" s="678">
        <f>VLOOKUP($A24,'Linked Sheet'!$A:$J,6,FALSE)</f>
        <v>82.817702318652877</v>
      </c>
    </row>
    <row r="25" spans="1:6">
      <c r="A25" s="674">
        <v>191</v>
      </c>
      <c r="B25" s="675" t="s">
        <v>19</v>
      </c>
      <c r="C25" s="676">
        <f>VLOOKUP(A25,'Linked Sheet'!A:J,3,FALSE)</f>
        <v>161.73580080572822</v>
      </c>
      <c r="D25" s="677">
        <f>VLOOKUP($A25,'Linked Sheet'!$A:$J,4,FALSE)</f>
        <v>161.73580080572822</v>
      </c>
      <c r="E25" s="677">
        <f>VLOOKUP($A25,'Linked Sheet'!$A:$J,5,FALSE)</f>
        <v>90.808599633208573</v>
      </c>
      <c r="F25" s="678">
        <f>VLOOKUP($A25,'Linked Sheet'!$A:$J,6,FALSE)</f>
        <v>90.808599633208573</v>
      </c>
    </row>
    <row r="26" spans="1:6">
      <c r="A26" s="674">
        <v>211</v>
      </c>
      <c r="B26" s="675" t="s">
        <v>20</v>
      </c>
      <c r="C26" s="676">
        <f>VLOOKUP(A26,'Linked Sheet'!A:J,3,FALSE)</f>
        <v>170.11814675297509</v>
      </c>
      <c r="D26" s="677">
        <f>VLOOKUP($A26,'Linked Sheet'!$A:$J,4,FALSE)</f>
        <v>298.64303076875052</v>
      </c>
      <c r="E26" s="677">
        <f>VLOOKUP($A26,'Linked Sheet'!$A:$J,5,FALSE)</f>
        <v>141.41316639534045</v>
      </c>
      <c r="F26" s="678">
        <f>VLOOKUP($A26,'Linked Sheet'!$A:$J,6,FALSE)</f>
        <v>203.81230163937548</v>
      </c>
    </row>
    <row r="27" spans="1:6">
      <c r="A27" s="674">
        <v>214</v>
      </c>
      <c r="B27" s="675" t="s">
        <v>58</v>
      </c>
      <c r="C27" s="676">
        <f>VLOOKUP(A27,'Linked Sheet'!A:J,3,FALSE)</f>
        <v>143.37857435719246</v>
      </c>
      <c r="D27" s="677">
        <f>VLOOKUP($A27,'Linked Sheet'!$A:$J,4,FALSE)</f>
        <v>143.37857435719246</v>
      </c>
      <c r="E27" s="677">
        <f>VLOOKUP($A27,'Linked Sheet'!$A:$J,5,FALSE)</f>
        <v>92.077668044044231</v>
      </c>
      <c r="F27" s="678">
        <f>VLOOKUP($A27,'Linked Sheet'!$A:$J,6,FALSE)</f>
        <v>107.34581452692588</v>
      </c>
    </row>
    <row r="28" spans="1:6">
      <c r="A28" s="674">
        <v>215</v>
      </c>
      <c r="B28" s="675" t="s">
        <v>59</v>
      </c>
      <c r="C28" s="676">
        <f>VLOOKUP(A28,'Linked Sheet'!A:J,3,FALSE)</f>
        <v>105.41525762687209</v>
      </c>
      <c r="D28" s="677">
        <f>VLOOKUP($A28,'Linked Sheet'!$A:$J,4,FALSE)</f>
        <v>164.59511984800105</v>
      </c>
      <c r="E28" s="677">
        <f>VLOOKUP($A28,'Linked Sheet'!$A:$J,5,FALSE)</f>
        <v>65.000595658196275</v>
      </c>
      <c r="F28" s="678">
        <f>VLOOKUP($A28,'Linked Sheet'!$A:$J,6,FALSE)</f>
        <v>90.109763020838017</v>
      </c>
    </row>
    <row r="29" spans="1:6">
      <c r="A29" s="674">
        <v>216</v>
      </c>
      <c r="B29" s="675" t="s">
        <v>21</v>
      </c>
      <c r="C29" s="676">
        <f>VLOOKUP(A29,'Linked Sheet'!A:J,3,FALSE)</f>
        <v>133.51821396237895</v>
      </c>
      <c r="D29" s="677">
        <f>VLOOKUP($A29,'Linked Sheet'!$A:$J,4,FALSE)</f>
        <v>162.81028489562331</v>
      </c>
      <c r="E29" s="677">
        <f>VLOOKUP($A29,'Linked Sheet'!$A:$J,5,FALSE)</f>
        <v>80.228863086774055</v>
      </c>
      <c r="F29" s="678">
        <f>VLOOKUP($A29,'Linked Sheet'!$A:$J,6,FALSE)</f>
        <v>133.17884838113088</v>
      </c>
    </row>
    <row r="30" spans="1:6">
      <c r="A30" s="674">
        <v>217</v>
      </c>
      <c r="B30" s="675" t="s">
        <v>22</v>
      </c>
      <c r="C30" s="676">
        <f>VLOOKUP(A30,'Linked Sheet'!A:J,3,FALSE)</f>
        <v>126.25970777449457</v>
      </c>
      <c r="D30" s="677">
        <f>VLOOKUP($A30,'Linked Sheet'!$A:$J,4,FALSE)</f>
        <v>208.73636380824291</v>
      </c>
      <c r="E30" s="677">
        <f>VLOOKUP($A30,'Linked Sheet'!$A:$J,5,FALSE)</f>
        <v>126.25970777449457</v>
      </c>
      <c r="F30" s="678">
        <f>VLOOKUP($A30,'Linked Sheet'!$A:$J,6,FALSE)</f>
        <v>184.70961857127926</v>
      </c>
    </row>
    <row r="31" spans="1:6">
      <c r="A31" s="674">
        <v>219</v>
      </c>
      <c r="B31" s="675" t="s">
        <v>23</v>
      </c>
      <c r="C31" s="676">
        <f>VLOOKUP(A31,'Linked Sheet'!A:J,3,FALSE)</f>
        <v>135.19200575573416</v>
      </c>
      <c r="D31" s="677">
        <f>VLOOKUP($A31,'Linked Sheet'!$A:$J,4,FALSE)</f>
        <v>190.34395965492132</v>
      </c>
      <c r="E31" s="677">
        <f>VLOOKUP($A31,'Linked Sheet'!$A:$J,5,FALSE)</f>
        <v>103.08406920539316</v>
      </c>
      <c r="F31" s="678">
        <f>VLOOKUP($A31,'Linked Sheet'!$A:$J,6,FALSE)</f>
        <v>103.08406920539316</v>
      </c>
    </row>
    <row r="32" spans="1:6">
      <c r="A32" s="674">
        <v>223</v>
      </c>
      <c r="B32" s="675" t="s">
        <v>60</v>
      </c>
      <c r="C32" s="676">
        <f>VLOOKUP(A32,'Linked Sheet'!A:J,3,FALSE)</f>
        <v>209.41088477688211</v>
      </c>
      <c r="D32" s="677">
        <f>VLOOKUP($A32,'Linked Sheet'!$A:$J,4,FALSE)</f>
        <v>209.41088477688211</v>
      </c>
      <c r="E32" s="677">
        <f>VLOOKUP($A32,'Linked Sheet'!$A:$J,5,FALSE)</f>
        <v>167.92382269844319</v>
      </c>
      <c r="F32" s="678">
        <f>VLOOKUP($A32,'Linked Sheet'!$A:$J,6,FALSE)</f>
        <v>167.92382269844319</v>
      </c>
    </row>
    <row r="33" spans="1:6">
      <c r="A33" s="674">
        <v>251</v>
      </c>
      <c r="B33" s="675" t="s">
        <v>38</v>
      </c>
      <c r="C33" s="676">
        <f>VLOOKUP(A33,'Linked Sheet'!A:J,3,FALSE)</f>
        <v>252.03707650811037</v>
      </c>
      <c r="D33" s="677">
        <f>VLOOKUP($A33,'Linked Sheet'!$A:$J,4,FALSE)</f>
        <v>252.03707650811037</v>
      </c>
      <c r="E33" s="677">
        <f>VLOOKUP($A33,'Linked Sheet'!$A:$J,5,FALSE)</f>
        <v>146.44799839476832</v>
      </c>
      <c r="F33" s="678">
        <f>VLOOKUP($A33,'Linked Sheet'!$A:$J,6,FALSE)</f>
        <v>146.44799839476832</v>
      </c>
    </row>
    <row r="34" spans="1:6">
      <c r="A34" s="674">
        <v>252</v>
      </c>
      <c r="B34" s="675" t="s">
        <v>39</v>
      </c>
      <c r="C34" s="676">
        <f>VLOOKUP(A34,'Linked Sheet'!A:J,3,FALSE)</f>
        <v>378.40437020925856</v>
      </c>
      <c r="D34" s="677">
        <f>VLOOKUP($A34,'Linked Sheet'!$A:$J,4,FALSE)</f>
        <v>378.40437020925856</v>
      </c>
      <c r="E34" s="677">
        <f>VLOOKUP($A34,'Linked Sheet'!$A:$J,5,FALSE)</f>
        <v>182.68231734094027</v>
      </c>
      <c r="F34" s="678">
        <f>VLOOKUP($A34,'Linked Sheet'!$A:$J,6,FALSE)</f>
        <v>196.50984381445119</v>
      </c>
    </row>
    <row r="35" spans="1:6">
      <c r="A35" s="674">
        <v>253</v>
      </c>
      <c r="B35" s="675" t="s">
        <v>40</v>
      </c>
      <c r="C35" s="676">
        <f>VLOOKUP(A35,'Linked Sheet'!A:J,3,FALSE)</f>
        <v>423.07518999605776</v>
      </c>
      <c r="D35" s="677">
        <f>VLOOKUP($A35,'Linked Sheet'!$A:$J,4,FALSE)</f>
        <v>454.56200020900462</v>
      </c>
      <c r="E35" s="677">
        <f>VLOOKUP($A35,'Linked Sheet'!$A:$J,5,FALSE)</f>
        <v>205.80974613519587</v>
      </c>
      <c r="F35" s="678">
        <f>VLOOKUP($A35,'Linked Sheet'!$A:$J,6,FALSE)</f>
        <v>212.2270315301021</v>
      </c>
    </row>
    <row r="36" spans="1:6">
      <c r="A36" s="674">
        <v>257</v>
      </c>
      <c r="B36" s="675" t="s">
        <v>41</v>
      </c>
      <c r="C36" s="676">
        <f>VLOOKUP(A36,'Linked Sheet'!A:J,3,FALSE)</f>
        <v>127.60665202947742</v>
      </c>
      <c r="D36" s="677">
        <f>VLOOKUP($A36,'Linked Sheet'!$A:$J,4,FALSE)</f>
        <v>197.41968522448474</v>
      </c>
      <c r="E36" s="677">
        <f>VLOOKUP($A36,'Linked Sheet'!$A:$J,5,FALSE)</f>
        <v>92.461524979482476</v>
      </c>
      <c r="F36" s="678">
        <f>VLOOKUP($A36,'Linked Sheet'!$A:$J,6,FALSE)</f>
        <v>161.34900618461702</v>
      </c>
    </row>
    <row r="37" spans="1:6">
      <c r="A37" s="674">
        <v>258</v>
      </c>
      <c r="B37" s="675" t="s">
        <v>42</v>
      </c>
      <c r="C37" s="676">
        <f>VLOOKUP(A37,'Linked Sheet'!A:J,3,FALSE)</f>
        <v>279.51694987685926</v>
      </c>
      <c r="D37" s="677">
        <f>VLOOKUP($A37,'Linked Sheet'!$A:$J,4,FALSE)</f>
        <v>288.83556877029491</v>
      </c>
      <c r="E37" s="677">
        <f>VLOOKUP($A37,'Linked Sheet'!$A:$J,5,FALSE)</f>
        <v>147.77803238350847</v>
      </c>
      <c r="F37" s="678">
        <f>VLOOKUP($A37,'Linked Sheet'!$A:$J,6,FALSE)</f>
        <v>170.40260486830564</v>
      </c>
    </row>
    <row r="38" spans="1:6">
      <c r="A38" s="674">
        <v>263</v>
      </c>
      <c r="B38" s="675" t="s">
        <v>61</v>
      </c>
      <c r="C38" s="676">
        <f>VLOOKUP(A38,'Linked Sheet'!A:J,3,FALSE)</f>
        <v>145.57640839115743</v>
      </c>
      <c r="D38" s="677">
        <f>VLOOKUP($A38,'Linked Sheet'!$A:$J,4,FALSE)</f>
        <v>145.57640839115743</v>
      </c>
      <c r="E38" s="677">
        <f>VLOOKUP($A38,'Linked Sheet'!$A:$J,5,FALSE)</f>
        <v>66.763595870988226</v>
      </c>
      <c r="F38" s="678">
        <f>VLOOKUP($A38,'Linked Sheet'!$A:$J,6,FALSE)</f>
        <v>96.217439652893077</v>
      </c>
    </row>
    <row r="39" spans="1:6">
      <c r="A39" s="674">
        <v>300</v>
      </c>
      <c r="B39" s="675" t="s">
        <v>43</v>
      </c>
      <c r="C39" s="676">
        <f>VLOOKUP(A39,'Linked Sheet'!A:J,3,FALSE)</f>
        <v>179.42538274948325</v>
      </c>
      <c r="D39" s="677">
        <f>VLOOKUP($A39,'Linked Sheet'!$A:$J,4,FALSE)</f>
        <v>254.16505358315513</v>
      </c>
      <c r="E39" s="677">
        <f>VLOOKUP($A39,'Linked Sheet'!$A:$J,5,FALSE)</f>
        <v>105.99908880083886</v>
      </c>
      <c r="F39" s="678">
        <f>VLOOKUP($A39,'Linked Sheet'!$A:$J,6,FALSE)</f>
        <v>137.11673478243065</v>
      </c>
    </row>
    <row r="40" spans="1:6">
      <c r="A40" s="674">
        <v>301</v>
      </c>
      <c r="B40" s="675" t="s">
        <v>44</v>
      </c>
      <c r="C40" s="676">
        <f>VLOOKUP(A40,'Linked Sheet'!A:J,3,FALSE)</f>
        <v>179.42538274948325</v>
      </c>
      <c r="D40" s="677">
        <f>VLOOKUP($A40,'Linked Sheet'!$A:$J,4,FALSE)</f>
        <v>254.16505358315513</v>
      </c>
      <c r="E40" s="677">
        <f>VLOOKUP($A40,'Linked Sheet'!$A:$J,5,FALSE)</f>
        <v>105.99908880083886</v>
      </c>
      <c r="F40" s="678">
        <f>VLOOKUP($A40,'Linked Sheet'!$A:$J,6,FALSE)</f>
        <v>137.11673478243065</v>
      </c>
    </row>
    <row r="41" spans="1:6">
      <c r="A41" s="674">
        <v>302</v>
      </c>
      <c r="B41" s="675" t="s">
        <v>45</v>
      </c>
      <c r="C41" s="676">
        <f>VLOOKUP(A41,'Linked Sheet'!A:J,3,FALSE)</f>
        <v>186.06485194707298</v>
      </c>
      <c r="D41" s="677">
        <f>VLOOKUP($A41,'Linked Sheet'!$A:$J,4,FALSE)</f>
        <v>186.06485194707298</v>
      </c>
      <c r="E41" s="677">
        <f>VLOOKUP($A41,'Linked Sheet'!$A:$J,5,FALSE)</f>
        <v>94.302525836923166</v>
      </c>
      <c r="F41" s="678">
        <f>VLOOKUP($A41,'Linked Sheet'!$A:$J,6,FALSE)</f>
        <v>104.13386337458942</v>
      </c>
    </row>
    <row r="42" spans="1:6">
      <c r="A42" s="674">
        <v>303</v>
      </c>
      <c r="B42" s="675" t="s">
        <v>46</v>
      </c>
      <c r="C42" s="676">
        <f>VLOOKUP(A42,'Linked Sheet'!A:J,3,FALSE)</f>
        <v>282.97853118643098</v>
      </c>
      <c r="D42" s="677">
        <f>VLOOKUP($A42,'Linked Sheet'!$A:$J,4,FALSE)</f>
        <v>454.56200020900462</v>
      </c>
      <c r="E42" s="677">
        <f>VLOOKUP($A42,'Linked Sheet'!$A:$J,5,FALSE)</f>
        <v>118.41515270136726</v>
      </c>
      <c r="F42" s="678">
        <f>VLOOKUP($A42,'Linked Sheet'!$A:$J,6,FALSE)</f>
        <v>212.2270315301021</v>
      </c>
    </row>
    <row r="43" spans="1:6">
      <c r="A43" s="674">
        <v>306</v>
      </c>
      <c r="B43" s="675" t="s">
        <v>47</v>
      </c>
      <c r="C43" s="676">
        <f>VLOOKUP(A43,'Linked Sheet'!A:J,3,FALSE)</f>
        <v>179.42538274948325</v>
      </c>
      <c r="D43" s="677">
        <f>VLOOKUP($A43,'Linked Sheet'!$A:$J,4,FALSE)</f>
        <v>254.16505358315513</v>
      </c>
      <c r="E43" s="677">
        <f>VLOOKUP($A43,'Linked Sheet'!$A:$J,5,FALSE)</f>
        <v>105.99908880083886</v>
      </c>
      <c r="F43" s="678">
        <f>VLOOKUP($A43,'Linked Sheet'!$A:$J,6,FALSE)</f>
        <v>137.11673478243065</v>
      </c>
    </row>
    <row r="44" spans="1:6">
      <c r="A44" s="674">
        <v>307</v>
      </c>
      <c r="B44" s="675" t="s">
        <v>48</v>
      </c>
      <c r="C44" s="676">
        <f>VLOOKUP(A44,'Linked Sheet'!A:J,3,FALSE)</f>
        <v>200.96479095878911</v>
      </c>
      <c r="D44" s="677">
        <f>VLOOKUP($A44,'Linked Sheet'!$A:$J,4,FALSE)</f>
        <v>206.27905947720362</v>
      </c>
      <c r="E44" s="677">
        <f>VLOOKUP($A44,'Linked Sheet'!$A:$J,5,FALSE)</f>
        <v>93.800076927292082</v>
      </c>
      <c r="F44" s="678">
        <f>VLOOKUP($A44,'Linked Sheet'!$A:$J,6,FALSE)</f>
        <v>110.11331310689852</v>
      </c>
    </row>
    <row r="45" spans="1:6">
      <c r="A45" s="674">
        <v>320</v>
      </c>
      <c r="B45" s="675" t="s">
        <v>24</v>
      </c>
      <c r="C45" s="676">
        <f>VLOOKUP(A45,'Linked Sheet'!A:J,3,FALSE)</f>
        <v>163.0466102005482</v>
      </c>
      <c r="D45" s="677">
        <f>VLOOKUP($A45,'Linked Sheet'!$A:$J,4,FALSE)</f>
        <v>226.20511994881829</v>
      </c>
      <c r="E45" s="677">
        <f>VLOOKUP($A45,'Linked Sheet'!$A:$J,5,FALSE)</f>
        <v>94.618317491119257</v>
      </c>
      <c r="F45" s="678">
        <f>VLOOKUP($A45,'Linked Sheet'!$A:$J,6,FALSE)</f>
        <v>145.37747637312253</v>
      </c>
    </row>
    <row r="46" spans="1:6">
      <c r="A46" s="674">
        <v>321</v>
      </c>
      <c r="B46" s="675" t="s">
        <v>25</v>
      </c>
      <c r="C46" s="676">
        <f>VLOOKUP(A46,'Linked Sheet'!A:J,3,FALSE)</f>
        <v>224.93350518120187</v>
      </c>
      <c r="D46" s="677">
        <f>VLOOKUP($A46,'Linked Sheet'!$A:$J,4,FALSE)</f>
        <v>227.83034535783585</v>
      </c>
      <c r="E46" s="677">
        <f>VLOOKUP($A46,'Linked Sheet'!$A:$J,5,FALSE)</f>
        <v>122.82502238654284</v>
      </c>
      <c r="F46" s="678">
        <f>VLOOKUP($A46,'Linked Sheet'!$A:$J,6,FALSE)</f>
        <v>163.69671910036939</v>
      </c>
    </row>
    <row r="47" spans="1:6">
      <c r="A47" s="674">
        <v>329</v>
      </c>
      <c r="B47" s="675" t="s">
        <v>62</v>
      </c>
      <c r="C47" s="676">
        <f>VLOOKUP(A47,'Linked Sheet'!A:J,3,FALSE)</f>
        <v>193.04300626727115</v>
      </c>
      <c r="D47" s="677">
        <f>VLOOKUP($A47,'Linked Sheet'!$A:$J,4,FALSE)</f>
        <v>386.08601253454231</v>
      </c>
      <c r="E47" s="677">
        <f>VLOOKUP($A47,'Linked Sheet'!$A:$J,5,FALSE)</f>
        <v>142.99541836514982</v>
      </c>
      <c r="F47" s="678">
        <f>VLOOKUP($A47,'Linked Sheet'!$A:$J,6,FALSE)</f>
        <v>285.99083673029963</v>
      </c>
    </row>
    <row r="48" spans="1:6">
      <c r="A48" s="674">
        <v>330</v>
      </c>
      <c r="B48" s="675" t="s">
        <v>26</v>
      </c>
      <c r="C48" s="676">
        <f>VLOOKUP(A48,'Linked Sheet'!A:J,3,FALSE)</f>
        <v>105.62901865247829</v>
      </c>
      <c r="D48" s="677">
        <f>VLOOKUP($A48,'Linked Sheet'!$A:$J,4,FALSE)</f>
        <v>120.8319344156096</v>
      </c>
      <c r="E48" s="677">
        <f>VLOOKUP($A48,'Linked Sheet'!$A:$J,5,FALSE)</f>
        <v>68.779393115168673</v>
      </c>
      <c r="F48" s="678">
        <f>VLOOKUP($A48,'Linked Sheet'!$A:$J,6,FALSE)</f>
        <v>75.593863636638361</v>
      </c>
    </row>
    <row r="49" spans="1:6">
      <c r="A49" s="674">
        <v>340</v>
      </c>
      <c r="B49" s="675" t="s">
        <v>27</v>
      </c>
      <c r="C49" s="676">
        <f>VLOOKUP(A49,'Linked Sheet'!A:J,3,FALSE)</f>
        <v>178.7230337221128</v>
      </c>
      <c r="D49" s="677">
        <f>VLOOKUP($A49,'Linked Sheet'!$A:$J,4,FALSE)</f>
        <v>272.45440190719069</v>
      </c>
      <c r="E49" s="677">
        <f>VLOOKUP($A49,'Linked Sheet'!$A:$J,5,FALSE)</f>
        <v>103.64962151383421</v>
      </c>
      <c r="F49" s="678">
        <f>VLOOKUP($A49,'Linked Sheet'!$A:$J,6,FALSE)</f>
        <v>170.40260486830564</v>
      </c>
    </row>
    <row r="50" spans="1:6">
      <c r="A50" s="674">
        <v>341</v>
      </c>
      <c r="B50" s="675" t="s">
        <v>64</v>
      </c>
      <c r="C50" s="676">
        <f>VLOOKUP(A50,'Linked Sheet'!A:J,3,FALSE)</f>
        <v>163.99595499853731</v>
      </c>
      <c r="D50" s="677">
        <f>VLOOKUP($A50,'Linked Sheet'!$A:$J,4,FALSE)</f>
        <v>327.99190999707463</v>
      </c>
      <c r="E50" s="677">
        <f>VLOOKUP($A50,'Linked Sheet'!$A:$J,5,FALSE)</f>
        <v>134.33800265163092</v>
      </c>
      <c r="F50" s="678">
        <f>VLOOKUP($A50,'Linked Sheet'!$A:$J,6,FALSE)</f>
        <v>268.67600530326183</v>
      </c>
    </row>
    <row r="51" spans="1:6">
      <c r="A51" s="674">
        <v>350</v>
      </c>
      <c r="B51" s="675" t="s">
        <v>28</v>
      </c>
      <c r="C51" s="676">
        <f>VLOOKUP(A51,'Linked Sheet'!A:J,3,FALSE)</f>
        <v>316.84159517533698</v>
      </c>
      <c r="D51" s="677">
        <f>VLOOKUP($A51,'Linked Sheet'!$A:$J,4,FALSE)</f>
        <v>321.22394103891793</v>
      </c>
      <c r="E51" s="677">
        <f>VLOOKUP($A51,'Linked Sheet'!$A:$J,5,FALSE)</f>
        <v>205.12267967921235</v>
      </c>
      <c r="F51" s="678">
        <f>VLOOKUP($A51,'Linked Sheet'!$A:$J,6,FALSE)</f>
        <v>205.12267967921235</v>
      </c>
    </row>
    <row r="52" spans="1:6">
      <c r="A52" s="674">
        <v>361</v>
      </c>
      <c r="B52" s="675" t="s">
        <v>29</v>
      </c>
      <c r="C52" s="676">
        <f>VLOOKUP(A52,'Linked Sheet'!A:J,3,FALSE)</f>
        <v>264.37446690799129</v>
      </c>
      <c r="D52" s="677">
        <f>VLOOKUP($A52,'Linked Sheet'!$A:$J,4,FALSE)</f>
        <v>307.72133945426685</v>
      </c>
      <c r="E52" s="677">
        <f>VLOOKUP($A52,'Linked Sheet'!$A:$J,5,FALSE)</f>
        <v>126.46813715520734</v>
      </c>
      <c r="F52" s="678">
        <f>VLOOKUP($A52,'Linked Sheet'!$A:$J,6,FALSE)</f>
        <v>146.58696744331661</v>
      </c>
    </row>
    <row r="53" spans="1:6">
      <c r="A53" s="674">
        <v>370</v>
      </c>
      <c r="B53" s="675" t="s">
        <v>30</v>
      </c>
      <c r="C53" s="676">
        <f>VLOOKUP(A53,'Linked Sheet'!A:J,3,FALSE)</f>
        <v>217.31178274551482</v>
      </c>
      <c r="D53" s="677">
        <f>VLOOKUP($A53,'Linked Sheet'!$A:$J,4,FALSE)</f>
        <v>235.77484562254656</v>
      </c>
      <c r="E53" s="677">
        <f>VLOOKUP($A53,'Linked Sheet'!$A:$J,5,FALSE)</f>
        <v>95.574324148958723</v>
      </c>
      <c r="F53" s="678">
        <f>VLOOKUP($A53,'Linked Sheet'!$A:$J,6,FALSE)</f>
        <v>117.22896646600145</v>
      </c>
    </row>
    <row r="54" spans="1:6">
      <c r="A54" s="674">
        <v>410</v>
      </c>
      <c r="B54" s="675" t="s">
        <v>31</v>
      </c>
      <c r="C54" s="676">
        <f>VLOOKUP(A54,'Linked Sheet'!A:J,3,FALSE)</f>
        <v>221.41022211171264</v>
      </c>
      <c r="D54" s="677">
        <f>VLOOKUP($A54,'Linked Sheet'!$A:$J,4,FALSE)</f>
        <v>241.38267894052194</v>
      </c>
      <c r="E54" s="677">
        <f>VLOOKUP($A54,'Linked Sheet'!$A:$J,5,FALSE)</f>
        <v>101.60026586125527</v>
      </c>
      <c r="F54" s="678">
        <f>VLOOKUP($A54,'Linked Sheet'!$A:$J,6,FALSE)</f>
        <v>161.79355350340651</v>
      </c>
    </row>
    <row r="55" spans="1:6">
      <c r="A55" s="674">
        <v>420</v>
      </c>
      <c r="B55" s="675" t="s">
        <v>32</v>
      </c>
      <c r="C55" s="676">
        <f>VLOOKUP(A55,'Linked Sheet'!A:J,3,FALSE)</f>
        <v>218.0185583843772</v>
      </c>
      <c r="D55" s="677">
        <f>VLOOKUP($A55,'Linked Sheet'!$A:$J,4,FALSE)</f>
        <v>231.13274553929779</v>
      </c>
      <c r="E55" s="677">
        <f>VLOOKUP($A55,'Linked Sheet'!$A:$J,5,FALSE)</f>
        <v>132.60591272984914</v>
      </c>
      <c r="F55" s="678">
        <f>VLOOKUP($A55,'Linked Sheet'!$A:$J,6,FALSE)</f>
        <v>153.33372096722084</v>
      </c>
    </row>
    <row r="56" spans="1:6">
      <c r="A56" s="674">
        <v>430</v>
      </c>
      <c r="B56" s="675" t="s">
        <v>33</v>
      </c>
      <c r="C56" s="676">
        <f>VLOOKUP(A56,'Linked Sheet'!A:J,3,FALSE)</f>
        <v>240.16180699196363</v>
      </c>
      <c r="D56" s="677">
        <f>VLOOKUP($A56,'Linked Sheet'!$A:$J,4,FALSE)</f>
        <v>240.16180699196363</v>
      </c>
      <c r="E56" s="677">
        <f>VLOOKUP($A56,'Linked Sheet'!$A:$J,5,FALSE)</f>
        <v>135.05993794556565</v>
      </c>
      <c r="F56" s="678">
        <f>VLOOKUP($A56,'Linked Sheet'!$A:$J,6,FALSE)</f>
        <v>135.05993794556565</v>
      </c>
    </row>
    <row r="57" spans="1:6">
      <c r="A57" s="674">
        <v>502</v>
      </c>
      <c r="B57" s="675" t="s">
        <v>34</v>
      </c>
      <c r="C57" s="676">
        <f>VLOOKUP(A57,'Linked Sheet'!A:J,3,FALSE)</f>
        <v>135.65150813569355</v>
      </c>
      <c r="D57" s="677">
        <f>VLOOKUP($A57,'Linked Sheet'!$A:$J,4,FALSE)</f>
        <v>147.82424384596308</v>
      </c>
      <c r="E57" s="677">
        <f>VLOOKUP($A57,'Linked Sheet'!$A:$J,5,FALSE)</f>
        <v>87.557879234762837</v>
      </c>
      <c r="F57" s="678">
        <f>VLOOKUP($A57,'Linked Sheet'!$A:$J,6,FALSE)</f>
        <v>103.49972490904884</v>
      </c>
    </row>
    <row r="58" spans="1:6">
      <c r="A58" s="674">
        <v>503</v>
      </c>
      <c r="B58" s="675" t="s">
        <v>35</v>
      </c>
      <c r="C58" s="676">
        <f>VLOOKUP(A58,'Linked Sheet'!A:J,3,FALSE)</f>
        <v>157.09969872922295</v>
      </c>
      <c r="D58" s="677">
        <f>VLOOKUP($A58,'Linked Sheet'!$A:$J,4,FALSE)</f>
        <v>199.22220167837585</v>
      </c>
      <c r="E58" s="677">
        <f>VLOOKUP($A58,'Linked Sheet'!$A:$J,5,FALSE)</f>
        <v>93.817171022202587</v>
      </c>
      <c r="F58" s="678">
        <f>VLOOKUP($A58,'Linked Sheet'!$A:$J,6,FALSE)</f>
        <v>106.42695637798853</v>
      </c>
    </row>
    <row r="59" spans="1:6">
      <c r="A59" s="674">
        <v>800</v>
      </c>
      <c r="B59" s="675" t="s">
        <v>36</v>
      </c>
      <c r="C59" s="676">
        <f>VLOOKUP(A59,'Linked Sheet'!A:J,3,FALSE)</f>
        <v>197.97499214481519</v>
      </c>
      <c r="D59" s="677">
        <f>VLOOKUP($A59,'Linked Sheet'!$A:$J,4,FALSE)</f>
        <v>197.97499214481519</v>
      </c>
      <c r="E59" s="677">
        <f>VLOOKUP($A59,'Linked Sheet'!$A:$J,5,FALSE)</f>
        <v>88.801145365377479</v>
      </c>
      <c r="F59" s="678">
        <f>VLOOKUP($A59,'Linked Sheet'!$A:$J,6,FALSE)</f>
        <v>88.801145365377479</v>
      </c>
    </row>
    <row r="60" spans="1:6" ht="12" thickBot="1">
      <c r="A60" s="679">
        <v>812</v>
      </c>
      <c r="B60" s="680" t="s">
        <v>37</v>
      </c>
      <c r="C60" s="681">
        <f>VLOOKUP(A60,'Linked Sheet'!A:J,3,FALSE)</f>
        <v>0</v>
      </c>
      <c r="D60" s="682">
        <f>VLOOKUP($A60,'Linked Sheet'!$A:$J,4,FALSE)</f>
        <v>0</v>
      </c>
      <c r="E60" s="682">
        <f>VLOOKUP($A60,'Linked Sheet'!$A:$J,5,FALSE)</f>
        <v>0</v>
      </c>
      <c r="F60" s="683">
        <f>VLOOKUP($A60,'Linked Sheet'!$A:$J,6,FALSE)</f>
        <v>0</v>
      </c>
    </row>
  </sheetData>
  <mergeCells count="1">
    <mergeCell ref="C3:F3"/>
  </mergeCells>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H132"/>
  <sheetViews>
    <sheetView showGridLines="0" workbookViewId="0"/>
  </sheetViews>
  <sheetFormatPr defaultRowHeight="15"/>
  <cols>
    <col min="1" max="1" width="12.7109375" customWidth="1"/>
    <col min="2" max="2" width="11" customWidth="1"/>
    <col min="3" max="3" width="10.42578125" customWidth="1"/>
    <col min="4" max="4" width="12.5703125" customWidth="1"/>
    <col min="5" max="5" width="13.7109375" customWidth="1"/>
    <col min="6" max="6" width="14" customWidth="1"/>
  </cols>
  <sheetData>
    <row r="1" spans="1:8" s="507" customFormat="1">
      <c r="A1" s="699" t="s">
        <v>974</v>
      </c>
    </row>
    <row r="2" spans="1:8">
      <c r="A2" s="700" t="s">
        <v>0</v>
      </c>
      <c r="B2" s="700" t="s">
        <v>66</v>
      </c>
      <c r="C2" s="700" t="s">
        <v>67</v>
      </c>
      <c r="D2" s="700" t="s">
        <v>68</v>
      </c>
      <c r="E2" s="700" t="s">
        <v>69</v>
      </c>
      <c r="F2" s="700" t="s">
        <v>74</v>
      </c>
    </row>
    <row r="3" spans="1:8">
      <c r="A3" s="700">
        <v>100</v>
      </c>
      <c r="B3" s="700">
        <v>3374037.54629535</v>
      </c>
      <c r="C3" s="700">
        <v>91270551.950400203</v>
      </c>
      <c r="D3" s="700">
        <v>4764564.5204327004</v>
      </c>
      <c r="E3" s="700">
        <v>104638730.24225099</v>
      </c>
      <c r="F3" s="700">
        <v>204047884.259379</v>
      </c>
      <c r="H3" s="492"/>
    </row>
    <row r="4" spans="1:8">
      <c r="A4" s="700">
        <v>101</v>
      </c>
      <c r="B4" s="700">
        <v>850846.66468784702</v>
      </c>
      <c r="C4" s="700">
        <v>58054213.928478897</v>
      </c>
      <c r="D4" s="700">
        <v>2225681.4495186801</v>
      </c>
      <c r="E4" s="700">
        <v>89405576.031941295</v>
      </c>
      <c r="F4" s="700">
        <v>150536318.07462701</v>
      </c>
    </row>
    <row r="5" spans="1:8">
      <c r="A5" s="700">
        <v>102</v>
      </c>
      <c r="B5" s="700">
        <v>113644.85892317</v>
      </c>
      <c r="C5" s="700">
        <v>1456450.6291800099</v>
      </c>
      <c r="D5" s="700">
        <v>3212435.70693389</v>
      </c>
      <c r="E5" s="700">
        <v>16401684.842273301</v>
      </c>
      <c r="F5" s="700">
        <v>21184216.037310399</v>
      </c>
    </row>
    <row r="6" spans="1:8">
      <c r="A6" s="700">
        <v>103</v>
      </c>
      <c r="B6" s="700">
        <v>5286323.1015788103</v>
      </c>
      <c r="C6" s="700">
        <v>41807078.9526072</v>
      </c>
      <c r="D6" s="700">
        <v>3283421.8006849498</v>
      </c>
      <c r="E6" s="700">
        <v>43515856.079914398</v>
      </c>
      <c r="F6" s="700">
        <v>93892679.934785396</v>
      </c>
    </row>
    <row r="7" spans="1:8">
      <c r="A7" s="700">
        <v>104</v>
      </c>
      <c r="B7" s="700">
        <v>123253.03710354101</v>
      </c>
      <c r="C7" s="700">
        <v>17061981.038228501</v>
      </c>
      <c r="D7" s="700">
        <v>278738.92216115003</v>
      </c>
      <c r="E7" s="700">
        <v>16011262.376209</v>
      </c>
      <c r="F7" s="700">
        <v>33475235.373702299</v>
      </c>
    </row>
    <row r="8" spans="1:8">
      <c r="A8" s="700">
        <v>105</v>
      </c>
      <c r="B8" s="700">
        <v>250140.65487043301</v>
      </c>
      <c r="C8" s="700">
        <v>1640278.07451339</v>
      </c>
      <c r="D8" s="700">
        <v>561991.09142008703</v>
      </c>
      <c r="E8" s="700">
        <v>3349337.9984909701</v>
      </c>
      <c r="F8" s="700">
        <v>5801747.8192948699</v>
      </c>
    </row>
    <row r="9" spans="1:8">
      <c r="A9" s="700">
        <v>106</v>
      </c>
      <c r="B9" s="700">
        <v>70761.861975488006</v>
      </c>
      <c r="C9" s="700">
        <v>4924361.7571745599</v>
      </c>
      <c r="D9" s="700">
        <v>102453.406276618</v>
      </c>
      <c r="E9" s="700">
        <v>4958523.82751696</v>
      </c>
      <c r="F9" s="700">
        <v>10056100.852943599</v>
      </c>
    </row>
    <row r="10" spans="1:8">
      <c r="A10" s="700">
        <v>107</v>
      </c>
      <c r="B10" s="700">
        <v>211489.93640106599</v>
      </c>
      <c r="C10" s="700">
        <v>20400540.724900302</v>
      </c>
      <c r="D10" s="700">
        <v>347172.62229546899</v>
      </c>
      <c r="E10" s="700">
        <v>22779183.187006999</v>
      </c>
      <c r="F10" s="700">
        <v>43738386.470603801</v>
      </c>
    </row>
    <row r="11" spans="1:8">
      <c r="A11" s="700">
        <v>110</v>
      </c>
      <c r="B11" s="700">
        <v>4430859.1025239797</v>
      </c>
      <c r="C11" s="700">
        <v>239604759.52718899</v>
      </c>
      <c r="D11" s="700">
        <v>6930835.7917264802</v>
      </c>
      <c r="E11" s="700">
        <v>324233764.05217397</v>
      </c>
      <c r="F11" s="700">
        <v>575200218.47361302</v>
      </c>
    </row>
    <row r="12" spans="1:8">
      <c r="A12" s="700">
        <v>120</v>
      </c>
      <c r="B12" s="700">
        <v>1215430.0952586001</v>
      </c>
      <c r="C12" s="700">
        <v>60949318.353319399</v>
      </c>
      <c r="D12" s="700">
        <v>1893711.4209733</v>
      </c>
      <c r="E12" s="700">
        <v>69426178.1790732</v>
      </c>
      <c r="F12" s="700">
        <v>133484638.04862501</v>
      </c>
    </row>
    <row r="13" spans="1:8">
      <c r="A13" s="700">
        <v>130</v>
      </c>
      <c r="B13" s="700">
        <v>3217417.7004431598</v>
      </c>
      <c r="C13" s="700">
        <v>128692968.784651</v>
      </c>
      <c r="D13" s="700">
        <v>7081070.9084799299</v>
      </c>
      <c r="E13" s="700">
        <v>250516698.32473499</v>
      </c>
      <c r="F13" s="700">
        <v>389508155.71830899</v>
      </c>
    </row>
    <row r="14" spans="1:8">
      <c r="A14" s="700">
        <v>140</v>
      </c>
      <c r="B14" s="700">
        <v>624793.74301235494</v>
      </c>
      <c r="C14" s="700">
        <v>40760821.978819899</v>
      </c>
      <c r="D14" s="700">
        <v>881534.55827680801</v>
      </c>
      <c r="E14" s="700">
        <v>31493397.858015802</v>
      </c>
      <c r="F14" s="700">
        <v>73760548.138124898</v>
      </c>
    </row>
    <row r="15" spans="1:8">
      <c r="A15" s="700">
        <v>141</v>
      </c>
      <c r="B15" s="700">
        <v>155848.78263827399</v>
      </c>
      <c r="C15" s="700">
        <v>6507527.8469190197</v>
      </c>
      <c r="D15" s="700">
        <v>66643.260984632201</v>
      </c>
      <c r="E15" s="700">
        <v>16495428.7185078</v>
      </c>
      <c r="F15" s="700">
        <v>23225448.6090497</v>
      </c>
    </row>
    <row r="16" spans="1:8">
      <c r="A16" s="700">
        <v>142</v>
      </c>
      <c r="B16" s="700">
        <v>8472.6468588610805</v>
      </c>
      <c r="C16" s="700">
        <v>2033076.4509796901</v>
      </c>
      <c r="D16" s="700">
        <v>10099.7980232276</v>
      </c>
      <c r="E16" s="700">
        <v>4303615.5522757499</v>
      </c>
      <c r="F16" s="700">
        <v>6355264.4481375301</v>
      </c>
    </row>
    <row r="17" spans="1:6">
      <c r="A17" s="700">
        <v>143</v>
      </c>
      <c r="B17" s="700">
        <v>228822.792156165</v>
      </c>
      <c r="C17" s="700">
        <v>8275448.0167526398</v>
      </c>
      <c r="D17" s="700">
        <v>643463.39292824396</v>
      </c>
      <c r="E17" s="700">
        <v>22018183.8549877</v>
      </c>
      <c r="F17" s="700">
        <v>31165918.056824699</v>
      </c>
    </row>
    <row r="18" spans="1:6">
      <c r="A18" s="700">
        <v>144</v>
      </c>
      <c r="B18" s="700">
        <v>110807.71306543599</v>
      </c>
      <c r="C18" s="700">
        <v>13956747.8831807</v>
      </c>
      <c r="D18" s="700">
        <v>418780.70257738302</v>
      </c>
      <c r="E18" s="700">
        <v>13685256.284112301</v>
      </c>
      <c r="F18" s="700">
        <v>28171592.582935799</v>
      </c>
    </row>
    <row r="19" spans="1:6">
      <c r="A19" s="700">
        <v>150</v>
      </c>
      <c r="B19" s="700">
        <v>792256.89118983597</v>
      </c>
      <c r="C19" s="700">
        <v>13395935.5439064</v>
      </c>
      <c r="D19" s="700">
        <v>717816.45049910597</v>
      </c>
      <c r="E19" s="700">
        <v>19829494.657390401</v>
      </c>
      <c r="F19" s="700">
        <v>34735503.542985797</v>
      </c>
    </row>
    <row r="20" spans="1:6">
      <c r="A20" s="700">
        <v>160</v>
      </c>
      <c r="B20" s="700">
        <v>536514.36879774195</v>
      </c>
      <c r="C20" s="700">
        <v>19400107.723005801</v>
      </c>
      <c r="D20" s="700">
        <v>1279129.7825511899</v>
      </c>
      <c r="E20" s="700">
        <v>37254036.277381897</v>
      </c>
      <c r="F20" s="700">
        <v>58469788.151736602</v>
      </c>
    </row>
    <row r="21" spans="1:6">
      <c r="A21" s="700">
        <v>161</v>
      </c>
      <c r="B21" s="700">
        <v>0</v>
      </c>
      <c r="C21" s="700">
        <v>1167132.6820241199</v>
      </c>
      <c r="D21" s="700">
        <v>18974.721112152401</v>
      </c>
      <c r="E21" s="700">
        <v>2027189.84849142</v>
      </c>
      <c r="F21" s="700">
        <v>3213297.2516276902</v>
      </c>
    </row>
    <row r="22" spans="1:6">
      <c r="A22" s="700">
        <v>170</v>
      </c>
      <c r="B22" s="700">
        <v>145081.43242077099</v>
      </c>
      <c r="C22" s="700">
        <v>5423770.18537887</v>
      </c>
      <c r="D22" s="700">
        <v>143802.05320933901</v>
      </c>
      <c r="E22" s="700">
        <v>7399452.3035425302</v>
      </c>
      <c r="F22" s="700">
        <v>13112105.974551501</v>
      </c>
    </row>
    <row r="23" spans="1:6">
      <c r="A23" s="700">
        <v>171</v>
      </c>
      <c r="B23" s="700">
        <v>128677.96935126001</v>
      </c>
      <c r="C23" s="700">
        <v>7635355.2899585897</v>
      </c>
      <c r="D23" s="700">
        <v>233411.10225117599</v>
      </c>
      <c r="E23" s="700">
        <v>8935008.3475816399</v>
      </c>
      <c r="F23" s="700">
        <v>16932452.7091427</v>
      </c>
    </row>
    <row r="24" spans="1:6">
      <c r="A24" s="700">
        <v>172</v>
      </c>
      <c r="B24" s="700">
        <v>146577.548299463</v>
      </c>
      <c r="C24" s="700">
        <v>4053649.9622035502</v>
      </c>
      <c r="D24" s="700">
        <v>420526.77059181599</v>
      </c>
      <c r="E24" s="700">
        <v>5793478.3482177202</v>
      </c>
      <c r="F24" s="700">
        <v>10414232.6293125</v>
      </c>
    </row>
    <row r="25" spans="1:6">
      <c r="A25" s="700">
        <v>173</v>
      </c>
      <c r="B25" s="700">
        <v>9670.9413392319093</v>
      </c>
      <c r="C25" s="700">
        <v>2241212.7075529601</v>
      </c>
      <c r="D25" s="700">
        <v>29083.772732122201</v>
      </c>
      <c r="E25" s="700">
        <v>4358750.1214842396</v>
      </c>
      <c r="F25" s="700">
        <v>6638717.5431085601</v>
      </c>
    </row>
    <row r="26" spans="1:6">
      <c r="A26" s="700">
        <v>174</v>
      </c>
      <c r="B26" s="700">
        <v>0</v>
      </c>
      <c r="C26" s="700">
        <v>69712.545453045997</v>
      </c>
      <c r="D26" s="700">
        <v>655821.40706050198</v>
      </c>
      <c r="E26" s="700">
        <v>1298690.9332804999</v>
      </c>
      <c r="F26" s="700">
        <v>2024224.8857940501</v>
      </c>
    </row>
    <row r="27" spans="1:6">
      <c r="A27" s="700">
        <v>180</v>
      </c>
      <c r="B27" s="700">
        <v>17420.167719329798</v>
      </c>
      <c r="C27" s="700">
        <v>17368999.402978599</v>
      </c>
      <c r="D27" s="700">
        <v>7476.5588795099102</v>
      </c>
      <c r="E27" s="700">
        <v>6059833.0377409104</v>
      </c>
      <c r="F27" s="700">
        <v>23453729.167318299</v>
      </c>
    </row>
    <row r="28" spans="1:6">
      <c r="A28" s="700">
        <v>190</v>
      </c>
      <c r="B28" s="700">
        <v>1388.3314759922901</v>
      </c>
      <c r="C28" s="700">
        <v>5077503.4276652699</v>
      </c>
      <c r="D28" s="700">
        <v>105765.21490812</v>
      </c>
      <c r="E28" s="700">
        <v>10012133.505862501</v>
      </c>
      <c r="F28" s="700">
        <v>15196790.479911899</v>
      </c>
    </row>
    <row r="29" spans="1:6">
      <c r="A29" s="700">
        <v>191</v>
      </c>
      <c r="B29" s="700">
        <v>662020.59616155596</v>
      </c>
      <c r="C29" s="700">
        <v>25105594.007750601</v>
      </c>
      <c r="D29" s="700">
        <v>720747.65138732898</v>
      </c>
      <c r="E29" s="700">
        <v>32506125.8965303</v>
      </c>
      <c r="F29" s="700">
        <v>58994488.151829697</v>
      </c>
    </row>
    <row r="30" spans="1:6">
      <c r="A30" s="700">
        <v>192</v>
      </c>
      <c r="B30" s="700">
        <v>0</v>
      </c>
      <c r="C30" s="700">
        <v>96704.642184486496</v>
      </c>
      <c r="D30" s="700">
        <v>0</v>
      </c>
      <c r="E30" s="700">
        <v>169191.34104057599</v>
      </c>
      <c r="F30" s="700">
        <v>265895.98322506202</v>
      </c>
    </row>
    <row r="31" spans="1:6">
      <c r="A31" s="700">
        <v>211</v>
      </c>
      <c r="B31" s="700">
        <v>86731.279687968796</v>
      </c>
      <c r="C31" s="700">
        <v>1476723.9795796501</v>
      </c>
      <c r="D31" s="700">
        <v>206128.49436163399</v>
      </c>
      <c r="E31" s="700">
        <v>2257447.6849611802</v>
      </c>
      <c r="F31" s="700">
        <v>4027031.4385904302</v>
      </c>
    </row>
    <row r="32" spans="1:6">
      <c r="A32" s="700">
        <v>212</v>
      </c>
      <c r="B32" s="700">
        <v>3300.4352067679001</v>
      </c>
      <c r="C32" s="700">
        <v>27500.394161993801</v>
      </c>
      <c r="D32" s="700">
        <v>46345.894016728002</v>
      </c>
      <c r="E32" s="700">
        <v>390773.210629048</v>
      </c>
      <c r="F32" s="700">
        <v>467919.93401453702</v>
      </c>
    </row>
    <row r="33" spans="1:6">
      <c r="A33" s="700">
        <v>213</v>
      </c>
      <c r="B33" s="700">
        <v>0</v>
      </c>
      <c r="C33" s="700">
        <v>1702.7843026442899</v>
      </c>
      <c r="D33" s="700">
        <v>2342.3468278001601</v>
      </c>
      <c r="E33" s="700">
        <v>1702.7843026442899</v>
      </c>
      <c r="F33" s="700">
        <v>5747.9154330887404</v>
      </c>
    </row>
    <row r="34" spans="1:6">
      <c r="A34" s="700">
        <v>214</v>
      </c>
      <c r="B34" s="700">
        <v>361357.75945626001</v>
      </c>
      <c r="C34" s="700">
        <v>9100901.67522588</v>
      </c>
      <c r="D34" s="700">
        <v>859825.44326008402</v>
      </c>
      <c r="E34" s="700">
        <v>11666171.010888999</v>
      </c>
      <c r="F34" s="700">
        <v>21988255.888831198</v>
      </c>
    </row>
    <row r="35" spans="1:6">
      <c r="A35" s="700">
        <v>215</v>
      </c>
      <c r="B35" s="700">
        <v>282088.14934839401</v>
      </c>
      <c r="C35" s="700">
        <v>2765762.6943875402</v>
      </c>
      <c r="D35" s="700">
        <v>355949.21852252999</v>
      </c>
      <c r="E35" s="700">
        <v>3545399.5963762798</v>
      </c>
      <c r="F35" s="700">
        <v>6949199.6586347399</v>
      </c>
    </row>
    <row r="36" spans="1:6">
      <c r="A36" s="700">
        <v>216</v>
      </c>
      <c r="B36" s="700">
        <v>381463.01393571799</v>
      </c>
      <c r="C36" s="700">
        <v>4922327.4221653296</v>
      </c>
      <c r="D36" s="700">
        <v>720705.69442347204</v>
      </c>
      <c r="E36" s="700">
        <v>10484830.1317748</v>
      </c>
      <c r="F36" s="700">
        <v>16509326.262299299</v>
      </c>
    </row>
    <row r="37" spans="1:6">
      <c r="A37" s="700">
        <v>217</v>
      </c>
      <c r="B37" s="700">
        <v>79000.122124649803</v>
      </c>
      <c r="C37" s="700">
        <v>202487.40355072901</v>
      </c>
      <c r="D37" s="700">
        <v>271425.91295790998</v>
      </c>
      <c r="E37" s="700">
        <v>261629.860539588</v>
      </c>
      <c r="F37" s="700">
        <v>814543.29917287698</v>
      </c>
    </row>
    <row r="38" spans="1:6">
      <c r="A38" s="700">
        <v>218</v>
      </c>
      <c r="B38" s="700">
        <v>22694.554160627998</v>
      </c>
      <c r="C38" s="700">
        <v>969800.73417078902</v>
      </c>
      <c r="D38" s="700">
        <v>56842.055152748697</v>
      </c>
      <c r="E38" s="700">
        <v>2926449.89310739</v>
      </c>
      <c r="F38" s="700">
        <v>3975787.2365915501</v>
      </c>
    </row>
    <row r="39" spans="1:6">
      <c r="A39" s="700">
        <v>219</v>
      </c>
      <c r="B39" s="700">
        <v>33438.768920616101</v>
      </c>
      <c r="C39" s="700">
        <v>1701132.8444637</v>
      </c>
      <c r="D39" s="700">
        <v>53980.279973508601</v>
      </c>
      <c r="E39" s="700">
        <v>4896318.3930639401</v>
      </c>
      <c r="F39" s="700">
        <v>6684870.2864217702</v>
      </c>
    </row>
    <row r="40" spans="1:6">
      <c r="A40" s="700">
        <v>220</v>
      </c>
      <c r="B40" s="700">
        <v>11266.3163012655</v>
      </c>
      <c r="C40" s="700">
        <v>185654.26193926699</v>
      </c>
      <c r="D40" s="700">
        <v>45375.935283611601</v>
      </c>
      <c r="E40" s="700">
        <v>814673.41661168903</v>
      </c>
      <c r="F40" s="700">
        <v>1056969.9301358301</v>
      </c>
    </row>
    <row r="41" spans="1:6">
      <c r="A41" s="700">
        <v>221</v>
      </c>
      <c r="B41" s="700">
        <v>0</v>
      </c>
      <c r="C41" s="700">
        <v>228424.93549832801</v>
      </c>
      <c r="D41" s="700">
        <v>12043.5902281377</v>
      </c>
      <c r="E41" s="700">
        <v>275756.73612094001</v>
      </c>
      <c r="F41" s="700">
        <v>516225.261847405</v>
      </c>
    </row>
    <row r="42" spans="1:6">
      <c r="A42" s="700">
        <v>222</v>
      </c>
      <c r="B42" s="700">
        <v>0</v>
      </c>
      <c r="C42" s="700">
        <v>7030.2899230030098</v>
      </c>
      <c r="D42" s="700">
        <v>0</v>
      </c>
      <c r="E42" s="700">
        <v>11123.1622039793</v>
      </c>
      <c r="F42" s="700">
        <v>18153.4521269824</v>
      </c>
    </row>
    <row r="43" spans="1:6">
      <c r="A43" s="700">
        <v>241</v>
      </c>
      <c r="B43" s="700">
        <v>0</v>
      </c>
      <c r="C43" s="700">
        <v>195923.87175299501</v>
      </c>
      <c r="D43" s="700">
        <v>0</v>
      </c>
      <c r="E43" s="700">
        <v>309465.57718034397</v>
      </c>
      <c r="F43" s="700">
        <v>505389.44893333898</v>
      </c>
    </row>
    <row r="44" spans="1:6">
      <c r="A44" s="700">
        <v>242</v>
      </c>
      <c r="B44" s="700">
        <v>0</v>
      </c>
      <c r="C44" s="700">
        <v>681.54564903777498</v>
      </c>
      <c r="D44" s="700">
        <v>0</v>
      </c>
      <c r="E44" s="700">
        <v>5002.3772569372304</v>
      </c>
      <c r="F44" s="700">
        <v>5683.9229059750096</v>
      </c>
    </row>
    <row r="45" spans="1:6">
      <c r="A45" s="700">
        <v>251</v>
      </c>
      <c r="B45" s="700">
        <v>245765.798879699</v>
      </c>
      <c r="C45" s="700">
        <v>2770355.8840831998</v>
      </c>
      <c r="D45" s="700">
        <v>750173.31392146298</v>
      </c>
      <c r="E45" s="700">
        <v>6663803.5986974202</v>
      </c>
      <c r="F45" s="700">
        <v>10430098.5955818</v>
      </c>
    </row>
    <row r="46" spans="1:6">
      <c r="A46" s="700">
        <v>252</v>
      </c>
      <c r="B46" s="700">
        <v>181746.526212517</v>
      </c>
      <c r="C46" s="700">
        <v>2775401.2076065801</v>
      </c>
      <c r="D46" s="700">
        <v>1264476.6805070599</v>
      </c>
      <c r="E46" s="700">
        <v>7247122.9314443404</v>
      </c>
      <c r="F46" s="700">
        <v>11468747.345770501</v>
      </c>
    </row>
    <row r="47" spans="1:6">
      <c r="A47" s="700">
        <v>253</v>
      </c>
      <c r="B47" s="700">
        <v>51851.552905742799</v>
      </c>
      <c r="C47" s="700">
        <v>1618914.88030745</v>
      </c>
      <c r="D47" s="700">
        <v>290010.06115968898</v>
      </c>
      <c r="E47" s="700">
        <v>9401357.69633184</v>
      </c>
      <c r="F47" s="700">
        <v>11362134.1907047</v>
      </c>
    </row>
    <row r="48" spans="1:6">
      <c r="A48" s="700">
        <v>254</v>
      </c>
      <c r="B48" s="700">
        <v>0</v>
      </c>
      <c r="C48" s="700">
        <v>2487460.163127</v>
      </c>
      <c r="D48" s="700">
        <v>0</v>
      </c>
      <c r="E48" s="700">
        <v>3725272.7054657801</v>
      </c>
      <c r="F48" s="700">
        <v>6212732.8685927801</v>
      </c>
    </row>
    <row r="49" spans="1:6">
      <c r="A49" s="700">
        <v>255</v>
      </c>
      <c r="B49" s="700">
        <v>273958.82514780801</v>
      </c>
      <c r="C49" s="700">
        <v>2162717.81213137</v>
      </c>
      <c r="D49" s="700">
        <v>173659.91185025201</v>
      </c>
      <c r="E49" s="700">
        <v>2685083.69291774</v>
      </c>
      <c r="F49" s="700">
        <v>5295420.2420471702</v>
      </c>
    </row>
    <row r="50" spans="1:6">
      <c r="A50" s="700">
        <v>256</v>
      </c>
      <c r="B50" s="700">
        <v>715.592227707961</v>
      </c>
      <c r="C50" s="700">
        <v>343398.35606517497</v>
      </c>
      <c r="D50" s="700">
        <v>13851.333278985199</v>
      </c>
      <c r="E50" s="700">
        <v>1382729.76320182</v>
      </c>
      <c r="F50" s="700">
        <v>1740695.0447736899</v>
      </c>
    </row>
    <row r="51" spans="1:6">
      <c r="A51" s="700">
        <v>257</v>
      </c>
      <c r="B51" s="700">
        <v>63228.665604334397</v>
      </c>
      <c r="C51" s="700">
        <v>2302843.1081232401</v>
      </c>
      <c r="D51" s="700">
        <v>85666.143360691902</v>
      </c>
      <c r="E51" s="700">
        <v>3566122.4938558801</v>
      </c>
      <c r="F51" s="700">
        <v>6017860.4109441498</v>
      </c>
    </row>
    <row r="52" spans="1:6">
      <c r="A52" s="700">
        <v>258</v>
      </c>
      <c r="B52" s="700">
        <v>198099.43594508499</v>
      </c>
      <c r="C52" s="700">
        <v>2026020.60928499</v>
      </c>
      <c r="D52" s="700">
        <v>467911.20131647401</v>
      </c>
      <c r="E52" s="700">
        <v>5191602.7557239896</v>
      </c>
      <c r="F52" s="700">
        <v>7883634.0022705402</v>
      </c>
    </row>
    <row r="53" spans="1:6">
      <c r="A53" s="700">
        <v>259</v>
      </c>
      <c r="B53" s="700">
        <v>20878.964699611501</v>
      </c>
      <c r="C53" s="700">
        <v>1074307.08217369</v>
      </c>
      <c r="D53" s="700">
        <v>355743.50978437002</v>
      </c>
      <c r="E53" s="700">
        <v>6589349.4769638795</v>
      </c>
      <c r="F53" s="700">
        <v>8040279.0336215496</v>
      </c>
    </row>
    <row r="54" spans="1:6">
      <c r="A54" s="700">
        <v>260</v>
      </c>
      <c r="B54" s="700">
        <v>65574.579055278693</v>
      </c>
      <c r="C54" s="700">
        <v>640073.03165131295</v>
      </c>
      <c r="D54" s="700">
        <v>620646.09968082199</v>
      </c>
      <c r="E54" s="700">
        <v>7144176.2063862197</v>
      </c>
      <c r="F54" s="700">
        <v>8470469.9167736396</v>
      </c>
    </row>
    <row r="55" spans="1:6">
      <c r="A55" s="700">
        <v>261</v>
      </c>
      <c r="B55" s="700">
        <v>23867.4190016297</v>
      </c>
      <c r="C55" s="700">
        <v>846533.49647620704</v>
      </c>
      <c r="D55" s="700">
        <v>1251715.86239648</v>
      </c>
      <c r="E55" s="700">
        <v>3835622.8811138598</v>
      </c>
      <c r="F55" s="700">
        <v>5957739.6589881796</v>
      </c>
    </row>
    <row r="56" spans="1:6">
      <c r="A56" s="700">
        <v>262</v>
      </c>
      <c r="B56" s="700">
        <v>204765.732056707</v>
      </c>
      <c r="C56" s="700">
        <v>1337694.8889514799</v>
      </c>
      <c r="D56" s="700">
        <v>678350.38512724405</v>
      </c>
      <c r="E56" s="700">
        <v>3392793.0015951302</v>
      </c>
      <c r="F56" s="700">
        <v>5613604.0077305501</v>
      </c>
    </row>
    <row r="57" spans="1:6">
      <c r="A57" s="700">
        <v>263</v>
      </c>
      <c r="B57" s="700">
        <v>29193.466252020102</v>
      </c>
      <c r="C57" s="700">
        <v>249575.39786232801</v>
      </c>
      <c r="D57" s="700">
        <v>394950.76606085798</v>
      </c>
      <c r="E57" s="700">
        <v>1386677.89319639</v>
      </c>
      <c r="F57" s="700">
        <v>2060397.5233716001</v>
      </c>
    </row>
    <row r="58" spans="1:6">
      <c r="A58" s="700">
        <v>264</v>
      </c>
      <c r="B58" s="700">
        <v>6562.0358207066702</v>
      </c>
      <c r="C58" s="700">
        <v>4145.7233045242501</v>
      </c>
      <c r="D58" s="700">
        <v>37855.463027904101</v>
      </c>
      <c r="E58" s="700">
        <v>35087.815068874799</v>
      </c>
      <c r="F58" s="700">
        <v>83651.037222009807</v>
      </c>
    </row>
    <row r="59" spans="1:6">
      <c r="A59" s="700">
        <v>280</v>
      </c>
      <c r="B59" s="700">
        <v>0</v>
      </c>
      <c r="C59" s="700">
        <v>1296.0614271623499</v>
      </c>
      <c r="D59" s="700">
        <v>0</v>
      </c>
      <c r="E59" s="700">
        <v>0</v>
      </c>
      <c r="F59" s="700">
        <v>1296.0614271623499</v>
      </c>
    </row>
    <row r="60" spans="1:6">
      <c r="A60" s="700">
        <v>291</v>
      </c>
      <c r="B60" s="700">
        <v>763403.276713753</v>
      </c>
      <c r="C60" s="700">
        <v>7258422.6659142496</v>
      </c>
      <c r="D60" s="700">
        <v>1188002.0982375101</v>
      </c>
      <c r="E60" s="700">
        <v>9853935.6442035306</v>
      </c>
      <c r="F60" s="700">
        <v>19063763.685068998</v>
      </c>
    </row>
    <row r="61" spans="1:6">
      <c r="A61" s="700">
        <v>300</v>
      </c>
      <c r="B61" s="700">
        <v>875118.96417331696</v>
      </c>
      <c r="C61" s="700">
        <v>63555659.929519102</v>
      </c>
      <c r="D61" s="700">
        <v>1747845.76590576</v>
      </c>
      <c r="E61" s="700">
        <v>83324212.135400504</v>
      </c>
      <c r="F61" s="700">
        <v>149502836.794999</v>
      </c>
    </row>
    <row r="62" spans="1:6">
      <c r="A62" s="700">
        <v>301</v>
      </c>
      <c r="B62" s="700">
        <v>498216.91323707899</v>
      </c>
      <c r="C62" s="700">
        <v>53586370.59973</v>
      </c>
      <c r="D62" s="700">
        <v>935873.744401854</v>
      </c>
      <c r="E62" s="700">
        <v>70403921.353507504</v>
      </c>
      <c r="F62" s="700">
        <v>125424382.61087599</v>
      </c>
    </row>
    <row r="63" spans="1:6">
      <c r="A63" s="700">
        <v>302</v>
      </c>
      <c r="B63" s="700">
        <v>347079.20236960897</v>
      </c>
      <c r="C63" s="700">
        <v>14854778.899341701</v>
      </c>
      <c r="D63" s="700">
        <v>1050481.72846208</v>
      </c>
      <c r="E63" s="700">
        <v>35298153.1138632</v>
      </c>
      <c r="F63" s="700">
        <v>51550492.944036603</v>
      </c>
    </row>
    <row r="64" spans="1:6">
      <c r="A64" s="700">
        <v>303</v>
      </c>
      <c r="B64" s="700">
        <v>1307919.23074096</v>
      </c>
      <c r="C64" s="700">
        <v>31326184.516971301</v>
      </c>
      <c r="D64" s="700">
        <v>10202330.826974001</v>
      </c>
      <c r="E64" s="700">
        <v>142749496.678155</v>
      </c>
      <c r="F64" s="700">
        <v>185585931.252841</v>
      </c>
    </row>
    <row r="65" spans="1:6">
      <c r="A65" s="700">
        <v>304</v>
      </c>
      <c r="B65" s="700">
        <v>73.325639826787594</v>
      </c>
      <c r="C65" s="700">
        <v>1284978.3130961801</v>
      </c>
      <c r="D65" s="700">
        <v>0</v>
      </c>
      <c r="E65" s="700">
        <v>848435.19638970599</v>
      </c>
      <c r="F65" s="700">
        <v>2133486.8351257099</v>
      </c>
    </row>
    <row r="66" spans="1:6">
      <c r="A66" s="700">
        <v>305</v>
      </c>
      <c r="B66" s="700">
        <v>305.65456341239297</v>
      </c>
      <c r="C66" s="700">
        <v>274625.40647622198</v>
      </c>
      <c r="D66" s="700">
        <v>1374.2621212014801</v>
      </c>
      <c r="E66" s="700">
        <v>1181384.4599762501</v>
      </c>
      <c r="F66" s="700">
        <v>1457689.78313709</v>
      </c>
    </row>
    <row r="67" spans="1:6">
      <c r="A67" s="700">
        <v>306</v>
      </c>
      <c r="B67" s="700">
        <v>695702.650014324</v>
      </c>
      <c r="C67" s="700">
        <v>4403969.6658115303</v>
      </c>
      <c r="D67" s="700">
        <v>3377369.4586889301</v>
      </c>
      <c r="E67" s="700">
        <v>17254627.4729724</v>
      </c>
      <c r="F67" s="700">
        <v>25731669.247487102</v>
      </c>
    </row>
    <row r="68" spans="1:6">
      <c r="A68" s="700">
        <v>307</v>
      </c>
      <c r="B68" s="700">
        <v>1790806.2466442301</v>
      </c>
      <c r="C68" s="700">
        <v>15286477.6381317</v>
      </c>
      <c r="D68" s="700">
        <v>6679681.8700626697</v>
      </c>
      <c r="E68" s="700">
        <v>61660190.754759401</v>
      </c>
      <c r="F68" s="700">
        <v>85417156.509598106</v>
      </c>
    </row>
    <row r="69" spans="1:6">
      <c r="A69" s="700">
        <v>308</v>
      </c>
      <c r="B69" s="700">
        <v>1745.99381829043</v>
      </c>
      <c r="C69" s="700">
        <v>549829.756176083</v>
      </c>
      <c r="D69" s="700">
        <v>296313.456094364</v>
      </c>
      <c r="E69" s="700">
        <v>2758281.6810935498</v>
      </c>
      <c r="F69" s="700">
        <v>3606170.88718228</v>
      </c>
    </row>
    <row r="70" spans="1:6">
      <c r="A70" s="700">
        <v>309</v>
      </c>
      <c r="B70" s="700">
        <v>92798.959147329995</v>
      </c>
      <c r="C70" s="700">
        <v>3407385.40972248</v>
      </c>
      <c r="D70" s="700">
        <v>433470.921028123</v>
      </c>
      <c r="E70" s="700">
        <v>11378765.592990899</v>
      </c>
      <c r="F70" s="700">
        <v>15312420.8828889</v>
      </c>
    </row>
    <row r="71" spans="1:6">
      <c r="A71" s="700">
        <v>310</v>
      </c>
      <c r="B71" s="700">
        <v>731.75920349402998</v>
      </c>
      <c r="C71" s="700">
        <v>3066297.2420989699</v>
      </c>
      <c r="D71" s="700">
        <v>548.56447950639199</v>
      </c>
      <c r="E71" s="700">
        <v>3490450.2505506198</v>
      </c>
      <c r="F71" s="700">
        <v>6558027.8163326001</v>
      </c>
    </row>
    <row r="72" spans="1:6">
      <c r="A72" s="700">
        <v>311</v>
      </c>
      <c r="B72" s="700">
        <v>5325.3453675753299</v>
      </c>
      <c r="C72" s="700">
        <v>25817408.449224699</v>
      </c>
      <c r="D72" s="700">
        <v>11553.2703629799</v>
      </c>
      <c r="E72" s="700">
        <v>11724345.293827699</v>
      </c>
      <c r="F72" s="700">
        <v>37558632.358782999</v>
      </c>
    </row>
    <row r="73" spans="1:6">
      <c r="A73" s="700">
        <v>313</v>
      </c>
      <c r="B73" s="700">
        <v>324384.281402227</v>
      </c>
      <c r="C73" s="700">
        <v>2143040.6894788598</v>
      </c>
      <c r="D73" s="700">
        <v>185124.048383254</v>
      </c>
      <c r="E73" s="700">
        <v>3126245.4189967802</v>
      </c>
      <c r="F73" s="700">
        <v>5778794.4382611196</v>
      </c>
    </row>
    <row r="74" spans="1:6">
      <c r="A74" s="700">
        <v>314</v>
      </c>
      <c r="B74" s="700">
        <v>422422.56457641401</v>
      </c>
      <c r="C74" s="700">
        <v>4193092.71023132</v>
      </c>
      <c r="D74" s="700">
        <v>408521.24891880603</v>
      </c>
      <c r="E74" s="700">
        <v>6723667.32213715</v>
      </c>
      <c r="F74" s="700">
        <v>11747703.8458637</v>
      </c>
    </row>
    <row r="75" spans="1:6">
      <c r="A75" s="700">
        <v>315</v>
      </c>
      <c r="B75" s="700">
        <v>13189.385164330401</v>
      </c>
      <c r="C75" s="700">
        <v>1206754.5576963699</v>
      </c>
      <c r="D75" s="700">
        <v>30106.100837496298</v>
      </c>
      <c r="E75" s="700">
        <v>3038335.10308532</v>
      </c>
      <c r="F75" s="700">
        <v>4288385.1467835195</v>
      </c>
    </row>
    <row r="76" spans="1:6">
      <c r="A76" s="700">
        <v>316</v>
      </c>
      <c r="B76" s="700">
        <v>173016.813988398</v>
      </c>
      <c r="C76" s="700">
        <v>1091728.17150365</v>
      </c>
      <c r="D76" s="700">
        <v>311614.63594934199</v>
      </c>
      <c r="E76" s="700">
        <v>2012472.9584945899</v>
      </c>
      <c r="F76" s="700">
        <v>3588832.57993598</v>
      </c>
    </row>
    <row r="77" spans="1:6">
      <c r="A77" s="700">
        <v>317</v>
      </c>
      <c r="B77" s="700">
        <v>3386.95008130409</v>
      </c>
      <c r="C77" s="700">
        <v>1773659.68190081</v>
      </c>
      <c r="D77" s="700">
        <v>17988.577479289499</v>
      </c>
      <c r="E77" s="700">
        <v>1754310.4712338201</v>
      </c>
      <c r="F77" s="700">
        <v>3549345.6806952199</v>
      </c>
    </row>
    <row r="78" spans="1:6">
      <c r="A78" s="700">
        <v>319</v>
      </c>
      <c r="B78" s="700">
        <v>0</v>
      </c>
      <c r="C78" s="700">
        <v>26.8860679364888</v>
      </c>
      <c r="D78" s="700">
        <v>0</v>
      </c>
      <c r="E78" s="700">
        <v>138.50398633948799</v>
      </c>
      <c r="F78" s="700">
        <v>165.39005427597601</v>
      </c>
    </row>
    <row r="79" spans="1:6">
      <c r="A79" s="700">
        <v>320</v>
      </c>
      <c r="B79" s="700">
        <v>3009107.2051619799</v>
      </c>
      <c r="C79" s="700">
        <v>94033289.128395796</v>
      </c>
      <c r="D79" s="700">
        <v>4110510.33599868</v>
      </c>
      <c r="E79" s="700">
        <v>109218516.094129</v>
      </c>
      <c r="F79" s="700">
        <v>210371422.76368499</v>
      </c>
    </row>
    <row r="80" spans="1:6">
      <c r="A80" s="700">
        <v>321</v>
      </c>
      <c r="B80" s="700">
        <v>574011.31165441405</v>
      </c>
      <c r="C80" s="700">
        <v>5024393.7115240302</v>
      </c>
      <c r="D80" s="700">
        <v>748563.875540643</v>
      </c>
      <c r="E80" s="700">
        <v>9550838.4780397993</v>
      </c>
      <c r="F80" s="700">
        <v>15897807.3767589</v>
      </c>
    </row>
    <row r="81" spans="1:6">
      <c r="A81" s="700">
        <v>322</v>
      </c>
      <c r="B81" s="700">
        <v>0</v>
      </c>
      <c r="C81" s="700">
        <v>46151.771639220096</v>
      </c>
      <c r="D81" s="700">
        <v>0</v>
      </c>
      <c r="E81" s="700">
        <v>47472.806730472403</v>
      </c>
      <c r="F81" s="700">
        <v>93624.578369692506</v>
      </c>
    </row>
    <row r="82" spans="1:6">
      <c r="A82" s="700">
        <v>323</v>
      </c>
      <c r="B82" s="700">
        <v>1310.0343476022699</v>
      </c>
      <c r="C82" s="700">
        <v>471966.10214564099</v>
      </c>
      <c r="D82" s="700">
        <v>14568.5968361337</v>
      </c>
      <c r="E82" s="700">
        <v>4539379.5953970104</v>
      </c>
      <c r="F82" s="700">
        <v>5027224.3287263904</v>
      </c>
    </row>
    <row r="83" spans="1:6">
      <c r="A83" s="700">
        <v>324</v>
      </c>
      <c r="B83" s="700">
        <v>27286.194509413701</v>
      </c>
      <c r="C83" s="700">
        <v>3983690.8561728299</v>
      </c>
      <c r="D83" s="700">
        <v>8291.3597639061409</v>
      </c>
      <c r="E83" s="700">
        <v>29497219.271999199</v>
      </c>
      <c r="F83" s="700">
        <v>33516487.682445399</v>
      </c>
    </row>
    <row r="84" spans="1:6">
      <c r="A84" s="700">
        <v>325</v>
      </c>
      <c r="B84" s="700">
        <v>0</v>
      </c>
      <c r="C84" s="700">
        <v>313.74268694735503</v>
      </c>
      <c r="D84" s="700">
        <v>0</v>
      </c>
      <c r="E84" s="700">
        <v>50.8771924779495</v>
      </c>
      <c r="F84" s="700">
        <v>364.61987942530499</v>
      </c>
    </row>
    <row r="85" spans="1:6">
      <c r="A85" s="700">
        <v>327</v>
      </c>
      <c r="B85" s="700">
        <v>0</v>
      </c>
      <c r="C85" s="700">
        <v>41669.307004048802</v>
      </c>
      <c r="D85" s="700">
        <v>0</v>
      </c>
      <c r="E85" s="700">
        <v>31345.317417789</v>
      </c>
      <c r="F85" s="700">
        <v>73014.624421837798</v>
      </c>
    </row>
    <row r="86" spans="1:6">
      <c r="A86" s="700">
        <v>328</v>
      </c>
      <c r="B86" s="700">
        <v>6838.3134927618003</v>
      </c>
      <c r="C86" s="700">
        <v>696390.91119966598</v>
      </c>
      <c r="D86" s="700">
        <v>1129.2095135444599</v>
      </c>
      <c r="E86" s="700">
        <v>544513.92803680501</v>
      </c>
      <c r="F86" s="700">
        <v>1248872.3622427799</v>
      </c>
    </row>
    <row r="87" spans="1:6">
      <c r="A87" s="700">
        <v>329</v>
      </c>
      <c r="B87" s="700">
        <v>682604.36025791301</v>
      </c>
      <c r="C87" s="700">
        <v>1723667.0197802801</v>
      </c>
      <c r="D87" s="700">
        <v>6874.3538605923004</v>
      </c>
      <c r="E87" s="700">
        <v>559142.24610990798</v>
      </c>
      <c r="F87" s="700">
        <v>2972287.9800086902</v>
      </c>
    </row>
    <row r="88" spans="1:6">
      <c r="A88" s="700">
        <v>330</v>
      </c>
      <c r="B88" s="700">
        <v>553423.86118130398</v>
      </c>
      <c r="C88" s="700">
        <v>66499444.534847297</v>
      </c>
      <c r="D88" s="700">
        <v>1048231.0511404</v>
      </c>
      <c r="E88" s="700">
        <v>98155833.567430198</v>
      </c>
      <c r="F88" s="700">
        <v>166256933.014599</v>
      </c>
    </row>
    <row r="89" spans="1:6">
      <c r="A89" s="700">
        <v>340</v>
      </c>
      <c r="B89" s="700">
        <v>2065543.7893082399</v>
      </c>
      <c r="C89" s="700">
        <v>49785641.439245097</v>
      </c>
      <c r="D89" s="700">
        <v>5624606.8995471504</v>
      </c>
      <c r="E89" s="700">
        <v>81325772.013189301</v>
      </c>
      <c r="F89" s="700">
        <v>138801564.14129001</v>
      </c>
    </row>
    <row r="90" spans="1:6">
      <c r="A90" s="700">
        <v>341</v>
      </c>
      <c r="B90" s="700">
        <v>129325.694112679</v>
      </c>
      <c r="C90" s="700">
        <v>2735894.0435794401</v>
      </c>
      <c r="D90" s="700">
        <v>77126.305535062798</v>
      </c>
      <c r="E90" s="700">
        <v>7912039.8044507401</v>
      </c>
      <c r="F90" s="700">
        <v>10854385.8476779</v>
      </c>
    </row>
    <row r="91" spans="1:6">
      <c r="A91" s="700">
        <v>342</v>
      </c>
      <c r="B91" s="700">
        <v>0</v>
      </c>
      <c r="C91" s="700">
        <v>0</v>
      </c>
      <c r="D91" s="700">
        <v>0</v>
      </c>
      <c r="E91" s="700">
        <v>2417.6761927378202</v>
      </c>
      <c r="F91" s="700">
        <v>2417.6761927378202</v>
      </c>
    </row>
    <row r="92" spans="1:6">
      <c r="A92" s="700">
        <v>343</v>
      </c>
      <c r="B92" s="700">
        <v>2736.00405104437</v>
      </c>
      <c r="C92" s="700">
        <v>0</v>
      </c>
      <c r="D92" s="700">
        <v>256908.92212394901</v>
      </c>
      <c r="E92" s="700">
        <v>0</v>
      </c>
      <c r="F92" s="700">
        <v>259644.92617499299</v>
      </c>
    </row>
    <row r="93" spans="1:6">
      <c r="A93" s="700">
        <v>350</v>
      </c>
      <c r="B93" s="700">
        <v>180181.88846755601</v>
      </c>
      <c r="C93" s="700">
        <v>4859718.2490760898</v>
      </c>
      <c r="D93" s="700">
        <v>745106.16601444595</v>
      </c>
      <c r="E93" s="700">
        <v>14147380.596648701</v>
      </c>
      <c r="F93" s="700">
        <v>19932386.900206801</v>
      </c>
    </row>
    <row r="94" spans="1:6">
      <c r="A94" s="700">
        <v>352</v>
      </c>
      <c r="B94" s="700">
        <v>331939.21060021297</v>
      </c>
      <c r="C94" s="700">
        <v>600552.90312262299</v>
      </c>
      <c r="D94" s="700">
        <v>8828.3928709111005</v>
      </c>
      <c r="E94" s="700">
        <v>314902.27762290702</v>
      </c>
      <c r="F94" s="700">
        <v>1256222.7842166501</v>
      </c>
    </row>
    <row r="95" spans="1:6">
      <c r="A95" s="700">
        <v>360</v>
      </c>
      <c r="B95" s="700">
        <v>4317735.8156021005</v>
      </c>
      <c r="C95" s="700">
        <v>146725285.027738</v>
      </c>
      <c r="D95" s="700">
        <v>2181605.9479288599</v>
      </c>
      <c r="E95" s="700">
        <v>84356994.734581903</v>
      </c>
      <c r="F95" s="700">
        <v>237581621.52585</v>
      </c>
    </row>
    <row r="96" spans="1:6">
      <c r="A96" s="700">
        <v>361</v>
      </c>
      <c r="B96" s="700">
        <v>315339.05164084001</v>
      </c>
      <c r="C96" s="700">
        <v>13123572.267750699</v>
      </c>
      <c r="D96" s="700">
        <v>2589689.42117415</v>
      </c>
      <c r="E96" s="700">
        <v>86334491.348999396</v>
      </c>
      <c r="F96" s="700">
        <v>102363092.08956499</v>
      </c>
    </row>
    <row r="97" spans="1:6">
      <c r="A97" s="700">
        <v>370</v>
      </c>
      <c r="B97" s="700">
        <v>1076940.30055272</v>
      </c>
      <c r="C97" s="700">
        <v>12836081.5452093</v>
      </c>
      <c r="D97" s="700">
        <v>5013444.8825266799</v>
      </c>
      <c r="E97" s="700">
        <v>67702191.670221299</v>
      </c>
      <c r="F97" s="700">
        <v>86628658.398509905</v>
      </c>
    </row>
    <row r="98" spans="1:6">
      <c r="A98" s="700">
        <v>371</v>
      </c>
      <c r="B98" s="700">
        <v>0</v>
      </c>
      <c r="C98" s="700">
        <v>497933.629004755</v>
      </c>
      <c r="D98" s="700">
        <v>0</v>
      </c>
      <c r="E98" s="700">
        <v>314521.63925091003</v>
      </c>
      <c r="F98" s="700">
        <v>812455.26825566497</v>
      </c>
    </row>
    <row r="99" spans="1:6">
      <c r="A99" s="700">
        <v>400</v>
      </c>
      <c r="B99" s="700">
        <v>671819.56487963803</v>
      </c>
      <c r="C99" s="700">
        <v>73817457.882149905</v>
      </c>
      <c r="D99" s="700">
        <v>1152694.0214952501</v>
      </c>
      <c r="E99" s="700">
        <v>76513130.949026093</v>
      </c>
      <c r="F99" s="700">
        <v>152155102.41755101</v>
      </c>
    </row>
    <row r="100" spans="1:6">
      <c r="A100" s="700">
        <v>401</v>
      </c>
      <c r="B100" s="700">
        <v>362501.64875709498</v>
      </c>
      <c r="C100" s="700">
        <v>9814065.0577464197</v>
      </c>
      <c r="D100" s="700">
        <v>13992.4226787428</v>
      </c>
      <c r="E100" s="700">
        <v>727696.10089425102</v>
      </c>
      <c r="F100" s="700">
        <v>10918255.230076499</v>
      </c>
    </row>
    <row r="101" spans="1:6">
      <c r="A101" s="700">
        <v>410</v>
      </c>
      <c r="B101" s="700">
        <v>852415.94784972898</v>
      </c>
      <c r="C101" s="700">
        <v>51989729.266012996</v>
      </c>
      <c r="D101" s="700">
        <v>2336463.0028054798</v>
      </c>
      <c r="E101" s="700">
        <v>141645475.74443299</v>
      </c>
      <c r="F101" s="700">
        <v>196824083.96110201</v>
      </c>
    </row>
    <row r="102" spans="1:6">
      <c r="A102" s="700">
        <v>420</v>
      </c>
      <c r="B102" s="700">
        <v>2211833.72313555</v>
      </c>
      <c r="C102" s="700">
        <v>112685738.95124</v>
      </c>
      <c r="D102" s="700">
        <v>4425166.7579693403</v>
      </c>
      <c r="E102" s="700">
        <v>129493138.24613599</v>
      </c>
      <c r="F102" s="700">
        <v>248815877.67848101</v>
      </c>
    </row>
    <row r="103" spans="1:6">
      <c r="A103" s="700">
        <v>421</v>
      </c>
      <c r="B103" s="700">
        <v>323630.40257683501</v>
      </c>
      <c r="C103" s="700">
        <v>5710712.6729919398</v>
      </c>
      <c r="D103" s="700">
        <v>718461.99176653801</v>
      </c>
      <c r="E103" s="700">
        <v>9610110.0722796209</v>
      </c>
      <c r="F103" s="700">
        <v>16362915.139614901</v>
      </c>
    </row>
    <row r="104" spans="1:6">
      <c r="A104" s="700">
        <v>422</v>
      </c>
      <c r="B104" s="700">
        <v>31130.8134929404</v>
      </c>
      <c r="C104" s="700">
        <v>1973072.70016772</v>
      </c>
      <c r="D104" s="700">
        <v>158756.65644093399</v>
      </c>
      <c r="E104" s="700">
        <v>2821649.1380133601</v>
      </c>
      <c r="F104" s="700">
        <v>4984609.3081149496</v>
      </c>
    </row>
    <row r="105" spans="1:6">
      <c r="A105" s="700">
        <v>430</v>
      </c>
      <c r="B105" s="700">
        <v>889826.65469672403</v>
      </c>
      <c r="C105" s="700">
        <v>39794075.403171703</v>
      </c>
      <c r="D105" s="700">
        <v>868086.52457540506</v>
      </c>
      <c r="E105" s="700">
        <v>40279054.575345397</v>
      </c>
      <c r="F105" s="700">
        <v>81831043.157789201</v>
      </c>
    </row>
    <row r="106" spans="1:6">
      <c r="A106" s="700">
        <v>450</v>
      </c>
      <c r="B106" s="700">
        <v>4134.1724510568502</v>
      </c>
      <c r="C106" s="700">
        <v>2128792.3610637099</v>
      </c>
      <c r="D106" s="700">
        <v>6066.9552166929798</v>
      </c>
      <c r="E106" s="700">
        <v>2081992.94387608</v>
      </c>
      <c r="F106" s="700">
        <v>4220986.4326075502</v>
      </c>
    </row>
    <row r="107" spans="1:6">
      <c r="A107" s="700">
        <v>460</v>
      </c>
      <c r="B107" s="700">
        <v>6327.9176445742596</v>
      </c>
      <c r="C107" s="700">
        <v>490934.13369404699</v>
      </c>
      <c r="D107" s="700">
        <v>83890.415785628997</v>
      </c>
      <c r="E107" s="700">
        <v>1270310.3475369101</v>
      </c>
      <c r="F107" s="700">
        <v>1851462.8146611601</v>
      </c>
    </row>
    <row r="108" spans="1:6">
      <c r="A108" s="700">
        <v>501</v>
      </c>
      <c r="B108" s="700">
        <v>5406410.7697079396</v>
      </c>
      <c r="C108" s="700">
        <v>102275846.205081</v>
      </c>
      <c r="D108" s="700">
        <v>12074590.1909863</v>
      </c>
      <c r="E108" s="700">
        <v>166739209.74683201</v>
      </c>
      <c r="F108" s="700">
        <v>286496056.91260803</v>
      </c>
    </row>
    <row r="109" spans="1:6">
      <c r="A109" s="700">
        <v>502</v>
      </c>
      <c r="B109" s="700">
        <v>3879201.35991784</v>
      </c>
      <c r="C109" s="700">
        <v>105970554.503262</v>
      </c>
      <c r="D109" s="700">
        <v>3608827.3420241699</v>
      </c>
      <c r="E109" s="700">
        <v>105572077.332426</v>
      </c>
      <c r="F109" s="700">
        <v>219030660.53762999</v>
      </c>
    </row>
    <row r="110" spans="1:6">
      <c r="A110" s="700">
        <v>503</v>
      </c>
      <c r="B110" s="700">
        <v>359371.79976506601</v>
      </c>
      <c r="C110" s="700">
        <v>3778644.8996444698</v>
      </c>
      <c r="D110" s="700">
        <v>904971.08885575004</v>
      </c>
      <c r="E110" s="700">
        <v>5840281.2698802697</v>
      </c>
      <c r="F110" s="700">
        <v>10883269.058145599</v>
      </c>
    </row>
    <row r="111" spans="1:6">
      <c r="A111" s="700">
        <v>560</v>
      </c>
      <c r="B111" s="700">
        <v>470471.14899170498</v>
      </c>
      <c r="C111" s="700">
        <v>44834309.580389298</v>
      </c>
      <c r="D111" s="700">
        <v>819105.79177951999</v>
      </c>
      <c r="E111" s="700">
        <v>100224911.477547</v>
      </c>
      <c r="F111" s="700">
        <v>146348797.99870801</v>
      </c>
    </row>
    <row r="112" spans="1:6">
      <c r="A112" s="700">
        <v>650</v>
      </c>
      <c r="B112" s="700">
        <v>55635.123341608603</v>
      </c>
      <c r="C112" s="700">
        <v>6341829.6229592804</v>
      </c>
      <c r="D112" s="700">
        <v>695012.154459132</v>
      </c>
      <c r="E112" s="700">
        <v>19448809.582513399</v>
      </c>
      <c r="F112" s="700">
        <v>26541286.483273402</v>
      </c>
    </row>
    <row r="113" spans="1:6">
      <c r="A113" s="700">
        <v>651</v>
      </c>
      <c r="B113" s="700">
        <v>4320.3889808778804</v>
      </c>
      <c r="C113" s="700">
        <v>627858.52083007304</v>
      </c>
      <c r="D113" s="700">
        <v>18033.559577980999</v>
      </c>
      <c r="E113" s="700">
        <v>2232065.5073392601</v>
      </c>
      <c r="F113" s="700">
        <v>2882277.9767281902</v>
      </c>
    </row>
    <row r="114" spans="1:6">
      <c r="A114" s="700">
        <v>652</v>
      </c>
      <c r="B114" s="700">
        <v>0</v>
      </c>
      <c r="C114" s="700">
        <v>373684.93685361702</v>
      </c>
      <c r="D114" s="700">
        <v>22777.778090669799</v>
      </c>
      <c r="E114" s="700">
        <v>833837.13712577405</v>
      </c>
      <c r="F114" s="700">
        <v>1230299.8520700601</v>
      </c>
    </row>
    <row r="115" spans="1:6">
      <c r="A115" s="700">
        <v>653</v>
      </c>
      <c r="B115" s="700">
        <v>88523.033789847395</v>
      </c>
      <c r="C115" s="700">
        <v>1578652.64041916</v>
      </c>
      <c r="D115" s="700">
        <v>586834.06628674199</v>
      </c>
      <c r="E115" s="700">
        <v>4216195.6021762397</v>
      </c>
      <c r="F115" s="700">
        <v>6470205.3426719904</v>
      </c>
    </row>
    <row r="116" spans="1:6">
      <c r="A116" s="700">
        <v>654</v>
      </c>
      <c r="B116" s="700">
        <v>7207.0369435065004</v>
      </c>
      <c r="C116" s="700">
        <v>1031188.4712899</v>
      </c>
      <c r="D116" s="700">
        <v>50949.738461381203</v>
      </c>
      <c r="E116" s="700">
        <v>1722050.1700655599</v>
      </c>
      <c r="F116" s="700">
        <v>2811395.4167603501</v>
      </c>
    </row>
    <row r="117" spans="1:6">
      <c r="A117" s="700">
        <v>655</v>
      </c>
      <c r="B117" s="700">
        <v>1234.7998897263401</v>
      </c>
      <c r="C117" s="700">
        <v>1383989.95597891</v>
      </c>
      <c r="D117" s="700">
        <v>32898.401688679201</v>
      </c>
      <c r="E117" s="700">
        <v>5536576.9431364704</v>
      </c>
      <c r="F117" s="700">
        <v>6954700.10069378</v>
      </c>
    </row>
    <row r="118" spans="1:6">
      <c r="A118" s="700">
        <v>656</v>
      </c>
      <c r="B118" s="700">
        <v>4598.5181496381501</v>
      </c>
      <c r="C118" s="700">
        <v>4387651.3852096703</v>
      </c>
      <c r="D118" s="700">
        <v>2673.7032432929</v>
      </c>
      <c r="E118" s="700">
        <v>4340406.69403686</v>
      </c>
      <c r="F118" s="700">
        <v>8735330.3006394599</v>
      </c>
    </row>
    <row r="119" spans="1:6">
      <c r="A119" s="700">
        <v>662</v>
      </c>
      <c r="B119" s="700">
        <v>0</v>
      </c>
      <c r="C119" s="700">
        <v>3317.9558289159199</v>
      </c>
      <c r="D119" s="700">
        <v>0</v>
      </c>
      <c r="E119" s="700">
        <v>24777.236321305299</v>
      </c>
      <c r="F119" s="700">
        <v>28095.192150221199</v>
      </c>
    </row>
    <row r="120" spans="1:6">
      <c r="A120" s="700">
        <v>710</v>
      </c>
      <c r="B120" s="700">
        <v>549.13234173885201</v>
      </c>
      <c r="C120" s="700">
        <v>183994.303068726</v>
      </c>
      <c r="D120" s="700">
        <v>185.29440362592601</v>
      </c>
      <c r="E120" s="700">
        <v>433225.982879074</v>
      </c>
      <c r="F120" s="700">
        <v>617954.71269316401</v>
      </c>
    </row>
    <row r="121" spans="1:6">
      <c r="A121" s="700">
        <v>711</v>
      </c>
      <c r="B121" s="700">
        <v>27302.3570441511</v>
      </c>
      <c r="C121" s="700">
        <v>603804.52159307001</v>
      </c>
      <c r="D121" s="700">
        <v>2382.5261790314198</v>
      </c>
      <c r="E121" s="700">
        <v>3205641.9206468798</v>
      </c>
      <c r="F121" s="700">
        <v>3839131.3254631301</v>
      </c>
    </row>
    <row r="122" spans="1:6">
      <c r="A122" s="700">
        <v>712</v>
      </c>
      <c r="B122" s="700">
        <v>0</v>
      </c>
      <c r="C122" s="700">
        <v>0</v>
      </c>
      <c r="D122" s="700">
        <v>0</v>
      </c>
      <c r="E122" s="700">
        <v>66.986053727320495</v>
      </c>
      <c r="F122" s="700">
        <v>66.986053727320495</v>
      </c>
    </row>
    <row r="123" spans="1:6">
      <c r="A123" s="700">
        <v>713</v>
      </c>
      <c r="B123" s="700">
        <v>18696.6729642149</v>
      </c>
      <c r="C123" s="700">
        <v>654.26939611688499</v>
      </c>
      <c r="D123" s="700">
        <v>168270.65898255</v>
      </c>
      <c r="E123" s="700">
        <v>2353.0433946703301</v>
      </c>
      <c r="F123" s="700">
        <v>189974.64473755201</v>
      </c>
    </row>
    <row r="124" spans="1:6">
      <c r="A124" s="700">
        <v>715</v>
      </c>
      <c r="B124" s="700">
        <v>0</v>
      </c>
      <c r="C124" s="700">
        <v>60.514940256985803</v>
      </c>
      <c r="D124" s="700">
        <v>0</v>
      </c>
      <c r="E124" s="700">
        <v>0</v>
      </c>
      <c r="F124" s="700">
        <v>60.514940256985803</v>
      </c>
    </row>
    <row r="125" spans="1:6">
      <c r="A125" s="700">
        <v>720</v>
      </c>
      <c r="B125" s="700">
        <v>292.48782997574199</v>
      </c>
      <c r="C125" s="700">
        <v>0</v>
      </c>
      <c r="D125" s="700">
        <v>0</v>
      </c>
      <c r="E125" s="700">
        <v>463.60955754727399</v>
      </c>
      <c r="F125" s="700">
        <v>756.09738752301598</v>
      </c>
    </row>
    <row r="126" spans="1:6">
      <c r="A126" s="700">
        <v>721</v>
      </c>
      <c r="B126" s="700">
        <v>0</v>
      </c>
      <c r="C126" s="700">
        <v>0</v>
      </c>
      <c r="D126" s="700">
        <v>0</v>
      </c>
      <c r="E126" s="700">
        <v>21.997691948036302</v>
      </c>
      <c r="F126" s="700">
        <v>21.997691948036302</v>
      </c>
    </row>
    <row r="127" spans="1:6">
      <c r="A127" s="700">
        <v>722</v>
      </c>
      <c r="B127" s="700">
        <v>0</v>
      </c>
      <c r="C127" s="700">
        <v>139028.052026291</v>
      </c>
      <c r="D127" s="700">
        <v>0</v>
      </c>
      <c r="E127" s="700">
        <v>91419.6074333781</v>
      </c>
      <c r="F127" s="700">
        <v>230447.659459669</v>
      </c>
    </row>
    <row r="128" spans="1:6">
      <c r="A128" s="700">
        <v>800</v>
      </c>
      <c r="B128" s="700">
        <v>1326672.5160852601</v>
      </c>
      <c r="C128" s="700">
        <v>19660575.837998901</v>
      </c>
      <c r="D128" s="700">
        <v>4697648.5302695502</v>
      </c>
      <c r="E128" s="700">
        <v>86030349.404770494</v>
      </c>
      <c r="F128" s="700">
        <v>111715246.289124</v>
      </c>
    </row>
    <row r="129" spans="1:6">
      <c r="A129" s="700">
        <v>811</v>
      </c>
      <c r="B129" s="700">
        <v>0</v>
      </c>
      <c r="C129" s="700">
        <v>701283.68306963705</v>
      </c>
      <c r="D129" s="700">
        <v>402.47628971592297</v>
      </c>
      <c r="E129" s="700">
        <v>1779452.1068202299</v>
      </c>
      <c r="F129" s="700">
        <v>2481138.2661795798</v>
      </c>
    </row>
    <row r="130" spans="1:6">
      <c r="A130" s="700">
        <v>812</v>
      </c>
      <c r="B130" s="700">
        <v>0</v>
      </c>
      <c r="C130" s="700">
        <v>1357160.8343487</v>
      </c>
      <c r="D130" s="700">
        <v>192.276122212465</v>
      </c>
      <c r="E130" s="700">
        <v>1848446.6404273801</v>
      </c>
      <c r="F130" s="700">
        <v>3205799.7508983002</v>
      </c>
    </row>
    <row r="131" spans="1:6">
      <c r="A131" s="700">
        <v>822</v>
      </c>
      <c r="B131" s="700">
        <v>24426.704049189801</v>
      </c>
      <c r="C131" s="700">
        <v>1111592.9759243301</v>
      </c>
      <c r="D131" s="700">
        <v>83663.328070584699</v>
      </c>
      <c r="E131" s="700">
        <v>2349928.1810625698</v>
      </c>
      <c r="F131" s="700">
        <v>3569611.1891066702</v>
      </c>
    </row>
    <row r="132" spans="1:6">
      <c r="A132" s="700">
        <v>840</v>
      </c>
      <c r="B132" s="700">
        <v>257.486829651383</v>
      </c>
      <c r="C132" s="700">
        <v>514925.66965537902</v>
      </c>
      <c r="D132" s="700">
        <v>227.186379804659</v>
      </c>
      <c r="E132" s="700">
        <v>1504760.66688025</v>
      </c>
      <c r="F132" s="700">
        <v>2020171.00974508</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S132"/>
  <sheetViews>
    <sheetView showGridLines="0" zoomScaleNormal="100" workbookViewId="0"/>
  </sheetViews>
  <sheetFormatPr defaultRowHeight="15"/>
  <cols>
    <col min="2" max="2" width="14.5703125" customWidth="1"/>
    <col min="3" max="3" width="11.85546875" customWidth="1"/>
    <col min="4" max="4" width="10.28515625" customWidth="1"/>
    <col min="5" max="5" width="10.7109375" customWidth="1"/>
    <col min="6" max="6" width="10.85546875" customWidth="1"/>
    <col min="7" max="7" width="9.85546875" customWidth="1"/>
    <col min="9" max="9" width="10.7109375" customWidth="1"/>
    <col min="10" max="10" width="10" customWidth="1"/>
  </cols>
  <sheetData>
    <row r="1" spans="1:19" s="507" customFormat="1">
      <c r="A1" s="699" t="s">
        <v>974</v>
      </c>
    </row>
    <row r="2" spans="1:19">
      <c r="A2" s="700" t="s">
        <v>0</v>
      </c>
      <c r="B2" s="700" t="s">
        <v>65</v>
      </c>
      <c r="C2" s="700" t="s">
        <v>66</v>
      </c>
      <c r="D2" s="700" t="s">
        <v>67</v>
      </c>
      <c r="E2" s="700" t="s">
        <v>68</v>
      </c>
      <c r="F2" s="700" t="s">
        <v>69</v>
      </c>
      <c r="G2" s="700" t="s">
        <v>70</v>
      </c>
      <c r="H2" s="700" t="s">
        <v>71</v>
      </c>
      <c r="I2" s="700" t="s">
        <v>72</v>
      </c>
      <c r="J2" s="700" t="s">
        <v>73</v>
      </c>
      <c r="L2" s="143"/>
      <c r="M2" s="143"/>
      <c r="N2" s="143"/>
      <c r="O2" s="143"/>
      <c r="P2" s="143"/>
      <c r="Q2" s="143"/>
      <c r="R2" s="143"/>
      <c r="S2" s="143"/>
    </row>
    <row r="3" spans="1:19">
      <c r="A3" s="700">
        <v>100</v>
      </c>
      <c r="B3" s="700">
        <v>2079637</v>
      </c>
      <c r="C3" s="700">
        <v>16535</v>
      </c>
      <c r="D3" s="700">
        <v>682101</v>
      </c>
      <c r="E3" s="700">
        <v>32120</v>
      </c>
      <c r="F3" s="700">
        <v>1029268</v>
      </c>
      <c r="G3" s="700">
        <v>309</v>
      </c>
      <c r="H3" s="700">
        <v>70364</v>
      </c>
      <c r="I3" s="700">
        <v>1040</v>
      </c>
      <c r="J3" s="700">
        <v>247900</v>
      </c>
      <c r="L3" s="143"/>
      <c r="M3" s="143"/>
      <c r="N3" s="143"/>
      <c r="O3" s="143"/>
      <c r="P3" s="143"/>
      <c r="Q3" s="143"/>
      <c r="R3" s="143"/>
      <c r="S3" s="143"/>
    </row>
    <row r="4" spans="1:19">
      <c r="A4" s="700">
        <v>101</v>
      </c>
      <c r="B4" s="700">
        <v>1709746</v>
      </c>
      <c r="C4" s="700">
        <v>5080</v>
      </c>
      <c r="D4" s="700">
        <v>488658</v>
      </c>
      <c r="E4" s="700">
        <v>18312</v>
      </c>
      <c r="F4" s="700">
        <v>1032820</v>
      </c>
      <c r="G4" s="700">
        <v>499</v>
      </c>
      <c r="H4" s="700">
        <v>34278</v>
      </c>
      <c r="I4" s="700">
        <v>396</v>
      </c>
      <c r="J4" s="700">
        <v>129703</v>
      </c>
    </row>
    <row r="5" spans="1:19">
      <c r="A5" s="700">
        <v>102</v>
      </c>
      <c r="B5" s="700">
        <v>88308</v>
      </c>
      <c r="C5" s="700">
        <v>338</v>
      </c>
      <c r="D5" s="700">
        <v>4595</v>
      </c>
      <c r="E5" s="700">
        <v>8920</v>
      </c>
      <c r="F5" s="700">
        <v>69012</v>
      </c>
      <c r="G5" s="700">
        <v>0</v>
      </c>
      <c r="H5" s="700">
        <v>637</v>
      </c>
      <c r="I5" s="700">
        <v>0</v>
      </c>
      <c r="J5" s="700">
        <v>4806</v>
      </c>
    </row>
    <row r="6" spans="1:19">
      <c r="A6" s="700">
        <v>103</v>
      </c>
      <c r="B6" s="700">
        <v>801399</v>
      </c>
      <c r="C6" s="700">
        <v>34052</v>
      </c>
      <c r="D6" s="700">
        <v>263635</v>
      </c>
      <c r="E6" s="700">
        <v>31220</v>
      </c>
      <c r="F6" s="700">
        <v>391387</v>
      </c>
      <c r="G6" s="700">
        <v>306</v>
      </c>
      <c r="H6" s="700">
        <v>18214</v>
      </c>
      <c r="I6" s="700">
        <v>878</v>
      </c>
      <c r="J6" s="700">
        <v>61707</v>
      </c>
    </row>
    <row r="7" spans="1:19">
      <c r="A7" s="700">
        <v>104</v>
      </c>
      <c r="B7" s="700">
        <v>380103</v>
      </c>
      <c r="C7" s="700">
        <v>1127</v>
      </c>
      <c r="D7" s="700">
        <v>150702</v>
      </c>
      <c r="E7" s="700">
        <v>2377</v>
      </c>
      <c r="F7" s="700">
        <v>186239</v>
      </c>
      <c r="G7" s="700">
        <v>0</v>
      </c>
      <c r="H7" s="700">
        <v>9082</v>
      </c>
      <c r="I7" s="700">
        <v>46</v>
      </c>
      <c r="J7" s="700">
        <v>30530</v>
      </c>
    </row>
    <row r="8" spans="1:19">
      <c r="A8" s="700">
        <v>105</v>
      </c>
      <c r="B8" s="700">
        <v>40742</v>
      </c>
      <c r="C8" s="700">
        <v>1417</v>
      </c>
      <c r="D8" s="700">
        <v>10147</v>
      </c>
      <c r="E8" s="700">
        <v>3455</v>
      </c>
      <c r="F8" s="700">
        <v>24160</v>
      </c>
      <c r="G8" s="700">
        <v>0</v>
      </c>
      <c r="H8" s="700">
        <v>210</v>
      </c>
      <c r="I8" s="700">
        <v>0</v>
      </c>
      <c r="J8" s="700">
        <v>1353</v>
      </c>
    </row>
    <row r="9" spans="1:19">
      <c r="A9" s="700">
        <v>106</v>
      </c>
      <c r="B9" s="700">
        <v>107061</v>
      </c>
      <c r="C9" s="700">
        <v>540</v>
      </c>
      <c r="D9" s="700">
        <v>46012</v>
      </c>
      <c r="E9" s="700">
        <v>879</v>
      </c>
      <c r="F9" s="700">
        <v>53191</v>
      </c>
      <c r="G9" s="700">
        <v>0</v>
      </c>
      <c r="H9" s="700">
        <v>1560</v>
      </c>
      <c r="I9" s="700">
        <v>0</v>
      </c>
      <c r="J9" s="700">
        <v>4879</v>
      </c>
    </row>
    <row r="10" spans="1:19">
      <c r="A10" s="700">
        <v>107</v>
      </c>
      <c r="B10" s="700">
        <v>362838</v>
      </c>
      <c r="C10" s="700">
        <v>1338</v>
      </c>
      <c r="D10" s="700">
        <v>131886</v>
      </c>
      <c r="E10" s="700">
        <v>2516</v>
      </c>
      <c r="F10" s="700">
        <v>187649</v>
      </c>
      <c r="G10" s="700">
        <v>22</v>
      </c>
      <c r="H10" s="700">
        <v>19386</v>
      </c>
      <c r="I10" s="700">
        <v>2</v>
      </c>
      <c r="J10" s="700">
        <v>20039</v>
      </c>
    </row>
    <row r="11" spans="1:19">
      <c r="A11" s="700">
        <v>110</v>
      </c>
      <c r="B11" s="700">
        <v>6400527</v>
      </c>
      <c r="C11" s="700">
        <v>37608</v>
      </c>
      <c r="D11" s="700">
        <v>2029482</v>
      </c>
      <c r="E11" s="700">
        <v>70215</v>
      </c>
      <c r="F11" s="700">
        <v>3728329</v>
      </c>
      <c r="G11" s="700">
        <v>16567</v>
      </c>
      <c r="H11" s="700">
        <v>171601</v>
      </c>
      <c r="I11" s="700">
        <v>13540</v>
      </c>
      <c r="J11" s="700">
        <v>333185</v>
      </c>
    </row>
    <row r="12" spans="1:19">
      <c r="A12" s="700">
        <v>120</v>
      </c>
      <c r="B12" s="700">
        <v>1653434</v>
      </c>
      <c r="C12" s="700">
        <v>7813</v>
      </c>
      <c r="D12" s="700">
        <v>606937</v>
      </c>
      <c r="E12" s="700">
        <v>17865</v>
      </c>
      <c r="F12" s="700">
        <v>909927</v>
      </c>
      <c r="G12" s="700">
        <v>127</v>
      </c>
      <c r="H12" s="700">
        <v>40597</v>
      </c>
      <c r="I12" s="700">
        <v>158</v>
      </c>
      <c r="J12" s="700">
        <v>70010</v>
      </c>
    </row>
    <row r="13" spans="1:19">
      <c r="A13" s="700">
        <v>130</v>
      </c>
      <c r="B13" s="700">
        <v>5394222</v>
      </c>
      <c r="C13" s="700">
        <v>30076</v>
      </c>
      <c r="D13" s="700">
        <v>1313565</v>
      </c>
      <c r="E13" s="700">
        <v>65003</v>
      </c>
      <c r="F13" s="700">
        <v>3408378</v>
      </c>
      <c r="G13" s="700">
        <v>1535</v>
      </c>
      <c r="H13" s="700">
        <v>110574</v>
      </c>
      <c r="I13" s="700">
        <v>3640</v>
      </c>
      <c r="J13" s="700">
        <v>461451</v>
      </c>
    </row>
    <row r="14" spans="1:19">
      <c r="A14" s="700">
        <v>140</v>
      </c>
      <c r="B14" s="700">
        <v>787685</v>
      </c>
      <c r="C14" s="700">
        <v>3712</v>
      </c>
      <c r="D14" s="700">
        <v>355766</v>
      </c>
      <c r="E14" s="700">
        <v>5954</v>
      </c>
      <c r="F14" s="700">
        <v>369439</v>
      </c>
      <c r="G14" s="700">
        <v>147</v>
      </c>
      <c r="H14" s="700">
        <v>15186</v>
      </c>
      <c r="I14" s="700">
        <v>216</v>
      </c>
      <c r="J14" s="700">
        <v>37265</v>
      </c>
    </row>
    <row r="15" spans="1:19">
      <c r="A15" s="700">
        <v>141</v>
      </c>
      <c r="B15" s="700">
        <v>261896</v>
      </c>
      <c r="C15" s="700">
        <v>1004</v>
      </c>
      <c r="D15" s="700">
        <v>67868</v>
      </c>
      <c r="E15" s="700">
        <v>669</v>
      </c>
      <c r="F15" s="700">
        <v>170449</v>
      </c>
      <c r="G15" s="700">
        <v>8</v>
      </c>
      <c r="H15" s="700">
        <v>4915</v>
      </c>
      <c r="I15" s="700">
        <v>14</v>
      </c>
      <c r="J15" s="700">
        <v>16969</v>
      </c>
    </row>
    <row r="16" spans="1:19">
      <c r="A16" s="700">
        <v>142</v>
      </c>
      <c r="B16" s="700">
        <v>76237</v>
      </c>
      <c r="C16" s="700">
        <v>92</v>
      </c>
      <c r="D16" s="700">
        <v>20893</v>
      </c>
      <c r="E16" s="700">
        <v>198</v>
      </c>
      <c r="F16" s="700">
        <v>48025</v>
      </c>
      <c r="G16" s="700">
        <v>0</v>
      </c>
      <c r="H16" s="700">
        <v>2146</v>
      </c>
      <c r="I16" s="700">
        <v>39</v>
      </c>
      <c r="J16" s="700">
        <v>4844</v>
      </c>
    </row>
    <row r="17" spans="1:10">
      <c r="A17" s="700">
        <v>143</v>
      </c>
      <c r="B17" s="700">
        <v>332624</v>
      </c>
      <c r="C17" s="700">
        <v>1365</v>
      </c>
      <c r="D17" s="700">
        <v>65124</v>
      </c>
      <c r="E17" s="700">
        <v>5219</v>
      </c>
      <c r="F17" s="700">
        <v>244482</v>
      </c>
      <c r="G17" s="700">
        <v>132</v>
      </c>
      <c r="H17" s="700">
        <v>1743</v>
      </c>
      <c r="I17" s="700">
        <v>244</v>
      </c>
      <c r="J17" s="700">
        <v>14315</v>
      </c>
    </row>
    <row r="18" spans="1:10">
      <c r="A18" s="700">
        <v>144</v>
      </c>
      <c r="B18" s="700">
        <v>313612</v>
      </c>
      <c r="C18" s="700">
        <v>840</v>
      </c>
      <c r="D18" s="700">
        <v>136672</v>
      </c>
      <c r="E18" s="700">
        <v>4380</v>
      </c>
      <c r="F18" s="700">
        <v>162075</v>
      </c>
      <c r="G18" s="700">
        <v>3</v>
      </c>
      <c r="H18" s="700">
        <v>1710</v>
      </c>
      <c r="I18" s="700">
        <v>1</v>
      </c>
      <c r="J18" s="700">
        <v>7931</v>
      </c>
    </row>
    <row r="19" spans="1:10">
      <c r="A19" s="700">
        <v>150</v>
      </c>
      <c r="B19" s="700">
        <v>249467</v>
      </c>
      <c r="C19" s="700">
        <v>4772</v>
      </c>
      <c r="D19" s="700">
        <v>87202</v>
      </c>
      <c r="E19" s="700">
        <v>5064</v>
      </c>
      <c r="F19" s="700">
        <v>141817</v>
      </c>
      <c r="G19" s="700">
        <v>0</v>
      </c>
      <c r="H19" s="700">
        <v>3609</v>
      </c>
      <c r="I19" s="700">
        <v>35</v>
      </c>
      <c r="J19" s="700">
        <v>6968</v>
      </c>
    </row>
    <row r="20" spans="1:10">
      <c r="A20" s="700">
        <v>160</v>
      </c>
      <c r="B20" s="700">
        <v>793681</v>
      </c>
      <c r="C20" s="700">
        <v>4208</v>
      </c>
      <c r="D20" s="700">
        <v>196056</v>
      </c>
      <c r="E20" s="700">
        <v>10979</v>
      </c>
      <c r="F20" s="700">
        <v>500595</v>
      </c>
      <c r="G20" s="700">
        <v>1418</v>
      </c>
      <c r="H20" s="700">
        <v>12472</v>
      </c>
      <c r="I20" s="700">
        <v>432</v>
      </c>
      <c r="J20" s="700">
        <v>67521</v>
      </c>
    </row>
    <row r="21" spans="1:10">
      <c r="A21" s="700">
        <v>161</v>
      </c>
      <c r="B21" s="700">
        <v>35684</v>
      </c>
      <c r="C21" s="700">
        <v>0</v>
      </c>
      <c r="D21" s="700">
        <v>10208</v>
      </c>
      <c r="E21" s="700">
        <v>43</v>
      </c>
      <c r="F21" s="700">
        <v>19715</v>
      </c>
      <c r="G21" s="700">
        <v>0</v>
      </c>
      <c r="H21" s="700">
        <v>117</v>
      </c>
      <c r="I21" s="700">
        <v>0</v>
      </c>
      <c r="J21" s="700">
        <v>5601</v>
      </c>
    </row>
    <row r="22" spans="1:10">
      <c r="A22" s="700">
        <v>170</v>
      </c>
      <c r="B22" s="700">
        <v>65225</v>
      </c>
      <c r="C22" s="700">
        <v>940</v>
      </c>
      <c r="D22" s="700">
        <v>22495</v>
      </c>
      <c r="E22" s="700">
        <v>600</v>
      </c>
      <c r="F22" s="700">
        <v>36021</v>
      </c>
      <c r="G22" s="700">
        <v>0</v>
      </c>
      <c r="H22" s="700">
        <v>69</v>
      </c>
      <c r="I22" s="700">
        <v>5</v>
      </c>
      <c r="J22" s="700">
        <v>5095</v>
      </c>
    </row>
    <row r="23" spans="1:10">
      <c r="A23" s="700">
        <v>171</v>
      </c>
      <c r="B23" s="700">
        <v>131662</v>
      </c>
      <c r="C23" s="700">
        <v>963</v>
      </c>
      <c r="D23" s="700">
        <v>48838</v>
      </c>
      <c r="E23" s="700">
        <v>1794</v>
      </c>
      <c r="F23" s="700">
        <v>73532</v>
      </c>
      <c r="G23" s="700">
        <v>0</v>
      </c>
      <c r="H23" s="700">
        <v>1259</v>
      </c>
      <c r="I23" s="700">
        <v>66</v>
      </c>
      <c r="J23" s="700">
        <v>5210</v>
      </c>
    </row>
    <row r="24" spans="1:10">
      <c r="A24" s="700">
        <v>172</v>
      </c>
      <c r="B24" s="700">
        <v>52248</v>
      </c>
      <c r="C24" s="700">
        <v>1333</v>
      </c>
      <c r="D24" s="700">
        <v>15259</v>
      </c>
      <c r="E24" s="700">
        <v>2834</v>
      </c>
      <c r="F24" s="700">
        <v>26085</v>
      </c>
      <c r="G24" s="700">
        <v>0</v>
      </c>
      <c r="H24" s="700">
        <v>1387</v>
      </c>
      <c r="I24" s="700">
        <v>1</v>
      </c>
      <c r="J24" s="700">
        <v>5349</v>
      </c>
    </row>
    <row r="25" spans="1:10">
      <c r="A25" s="700">
        <v>173</v>
      </c>
      <c r="B25" s="700">
        <v>31968</v>
      </c>
      <c r="C25" s="700">
        <v>46</v>
      </c>
      <c r="D25" s="700">
        <v>9243</v>
      </c>
      <c r="E25" s="700">
        <v>236</v>
      </c>
      <c r="F25" s="700">
        <v>22113</v>
      </c>
      <c r="G25" s="700">
        <v>0</v>
      </c>
      <c r="H25" s="700">
        <v>189</v>
      </c>
      <c r="I25" s="700">
        <v>0</v>
      </c>
      <c r="J25" s="700">
        <v>141</v>
      </c>
    </row>
    <row r="26" spans="1:10">
      <c r="A26" s="700">
        <v>174</v>
      </c>
      <c r="B26" s="700">
        <v>8832</v>
      </c>
      <c r="C26" s="700">
        <v>0</v>
      </c>
      <c r="D26" s="700">
        <v>185</v>
      </c>
      <c r="E26" s="700">
        <v>2803</v>
      </c>
      <c r="F26" s="700">
        <v>5844</v>
      </c>
      <c r="G26" s="700">
        <v>0</v>
      </c>
      <c r="H26" s="700">
        <v>0</v>
      </c>
      <c r="I26" s="700">
        <v>0</v>
      </c>
      <c r="J26" s="700">
        <v>0</v>
      </c>
    </row>
    <row r="27" spans="1:10">
      <c r="A27" s="700">
        <v>180</v>
      </c>
      <c r="B27" s="700">
        <v>219079</v>
      </c>
      <c r="C27" s="700">
        <v>93</v>
      </c>
      <c r="D27" s="700">
        <v>150041</v>
      </c>
      <c r="E27" s="700">
        <v>28</v>
      </c>
      <c r="F27" s="700">
        <v>53286</v>
      </c>
      <c r="G27" s="700">
        <v>3</v>
      </c>
      <c r="H27" s="700">
        <v>8824</v>
      </c>
      <c r="I27" s="700">
        <v>1</v>
      </c>
      <c r="J27" s="700">
        <v>6803</v>
      </c>
    </row>
    <row r="28" spans="1:10">
      <c r="A28" s="700">
        <v>190</v>
      </c>
      <c r="B28" s="700">
        <v>310598</v>
      </c>
      <c r="C28" s="700">
        <v>5</v>
      </c>
      <c r="D28" s="700">
        <v>61923</v>
      </c>
      <c r="E28" s="700">
        <v>1106</v>
      </c>
      <c r="F28" s="700">
        <v>142869</v>
      </c>
      <c r="G28" s="700">
        <v>1</v>
      </c>
      <c r="H28" s="700">
        <v>32815</v>
      </c>
      <c r="I28" s="700">
        <v>170</v>
      </c>
      <c r="J28" s="700">
        <v>71709</v>
      </c>
    </row>
    <row r="29" spans="1:10">
      <c r="A29" s="700">
        <v>191</v>
      </c>
      <c r="B29" s="700">
        <v>571779</v>
      </c>
      <c r="C29" s="700">
        <v>4891</v>
      </c>
      <c r="D29" s="700">
        <v>165464</v>
      </c>
      <c r="E29" s="700">
        <v>7864</v>
      </c>
      <c r="F29" s="700">
        <v>305527</v>
      </c>
      <c r="G29" s="700">
        <v>316</v>
      </c>
      <c r="H29" s="700">
        <v>13626</v>
      </c>
      <c r="I29" s="700">
        <v>4183</v>
      </c>
      <c r="J29" s="700">
        <v>69908</v>
      </c>
    </row>
    <row r="30" spans="1:10">
      <c r="A30" s="700">
        <v>192</v>
      </c>
      <c r="B30" s="700">
        <v>1339</v>
      </c>
      <c r="C30" s="700">
        <v>0</v>
      </c>
      <c r="D30" s="700">
        <v>276</v>
      </c>
      <c r="E30" s="700">
        <v>0</v>
      </c>
      <c r="F30" s="700">
        <v>839</v>
      </c>
      <c r="G30" s="700">
        <v>0</v>
      </c>
      <c r="H30" s="700">
        <v>124</v>
      </c>
      <c r="I30" s="700">
        <v>0</v>
      </c>
      <c r="J30" s="700">
        <v>100</v>
      </c>
    </row>
    <row r="31" spans="1:10">
      <c r="A31" s="700">
        <v>211</v>
      </c>
      <c r="B31" s="700">
        <v>37013</v>
      </c>
      <c r="C31" s="700">
        <v>340</v>
      </c>
      <c r="D31" s="700">
        <v>11755</v>
      </c>
      <c r="E31" s="700">
        <v>861</v>
      </c>
      <c r="F31" s="700">
        <v>21762</v>
      </c>
      <c r="G31" s="700">
        <v>0</v>
      </c>
      <c r="H31" s="700">
        <v>373</v>
      </c>
      <c r="I31" s="700">
        <v>19</v>
      </c>
      <c r="J31" s="700">
        <v>1903</v>
      </c>
    </row>
    <row r="32" spans="1:10">
      <c r="A32" s="700">
        <v>212</v>
      </c>
      <c r="B32" s="700">
        <v>1371</v>
      </c>
      <c r="C32" s="700">
        <v>13</v>
      </c>
      <c r="D32" s="700">
        <v>83</v>
      </c>
      <c r="E32" s="700">
        <v>198</v>
      </c>
      <c r="F32" s="700">
        <v>1007</v>
      </c>
      <c r="G32" s="700">
        <v>0</v>
      </c>
      <c r="H32" s="700">
        <v>9</v>
      </c>
      <c r="I32" s="700">
        <v>0</v>
      </c>
      <c r="J32" s="700">
        <v>61</v>
      </c>
    </row>
    <row r="33" spans="1:10">
      <c r="A33" s="700">
        <v>213</v>
      </c>
      <c r="B33" s="700">
        <v>67</v>
      </c>
      <c r="C33" s="700">
        <v>0</v>
      </c>
      <c r="D33" s="700">
        <v>22</v>
      </c>
      <c r="E33" s="700">
        <v>23</v>
      </c>
      <c r="F33" s="700">
        <v>22</v>
      </c>
      <c r="G33" s="700">
        <v>0</v>
      </c>
      <c r="H33" s="700">
        <v>0</v>
      </c>
      <c r="I33" s="700">
        <v>0</v>
      </c>
      <c r="J33" s="700">
        <v>0</v>
      </c>
    </row>
    <row r="34" spans="1:10">
      <c r="A34" s="700">
        <v>214</v>
      </c>
      <c r="B34" s="700">
        <v>191010</v>
      </c>
      <c r="C34" s="700">
        <v>3073</v>
      </c>
      <c r="D34" s="700">
        <v>67698</v>
      </c>
      <c r="E34" s="700">
        <v>6819</v>
      </c>
      <c r="F34" s="700">
        <v>108434</v>
      </c>
      <c r="G34" s="700">
        <v>4</v>
      </c>
      <c r="H34" s="700">
        <v>1023</v>
      </c>
      <c r="I34" s="700">
        <v>3</v>
      </c>
      <c r="J34" s="700">
        <v>3956</v>
      </c>
    </row>
    <row r="35" spans="1:10">
      <c r="A35" s="700">
        <v>215</v>
      </c>
      <c r="B35" s="700">
        <v>102314</v>
      </c>
      <c r="C35" s="700">
        <v>2086</v>
      </c>
      <c r="D35" s="700">
        <v>31498</v>
      </c>
      <c r="E35" s="700">
        <v>3389</v>
      </c>
      <c r="F35" s="700">
        <v>49667</v>
      </c>
      <c r="G35" s="700">
        <v>1</v>
      </c>
      <c r="H35" s="700">
        <v>9914</v>
      </c>
      <c r="I35" s="700">
        <v>7</v>
      </c>
      <c r="J35" s="700">
        <v>5752</v>
      </c>
    </row>
    <row r="36" spans="1:10">
      <c r="A36" s="700">
        <v>216</v>
      </c>
      <c r="B36" s="700">
        <v>217118</v>
      </c>
      <c r="C36" s="700">
        <v>2635</v>
      </c>
      <c r="D36" s="700">
        <v>42307</v>
      </c>
      <c r="E36" s="700">
        <v>4607</v>
      </c>
      <c r="F36" s="700">
        <v>111253</v>
      </c>
      <c r="G36" s="700">
        <v>1210</v>
      </c>
      <c r="H36" s="700">
        <v>7775</v>
      </c>
      <c r="I36" s="700">
        <v>1586</v>
      </c>
      <c r="J36" s="700">
        <v>45745</v>
      </c>
    </row>
    <row r="37" spans="1:10">
      <c r="A37" s="700">
        <v>217</v>
      </c>
      <c r="B37" s="700">
        <v>6632</v>
      </c>
      <c r="C37" s="700">
        <v>481</v>
      </c>
      <c r="D37" s="700">
        <v>1774</v>
      </c>
      <c r="E37" s="700">
        <v>1251</v>
      </c>
      <c r="F37" s="700">
        <v>1634</v>
      </c>
      <c r="G37" s="700">
        <v>0</v>
      </c>
      <c r="H37" s="700">
        <v>419</v>
      </c>
      <c r="I37" s="700">
        <v>0</v>
      </c>
      <c r="J37" s="700">
        <v>1073</v>
      </c>
    </row>
    <row r="38" spans="1:10">
      <c r="A38" s="700">
        <v>218</v>
      </c>
      <c r="B38" s="700">
        <v>16608</v>
      </c>
      <c r="C38" s="700">
        <v>66</v>
      </c>
      <c r="D38" s="700">
        <v>3396</v>
      </c>
      <c r="E38" s="700">
        <v>249</v>
      </c>
      <c r="F38" s="700">
        <v>11775</v>
      </c>
      <c r="G38" s="700">
        <v>14</v>
      </c>
      <c r="H38" s="700">
        <v>231</v>
      </c>
      <c r="I38" s="700">
        <v>55</v>
      </c>
      <c r="J38" s="700">
        <v>822</v>
      </c>
    </row>
    <row r="39" spans="1:10">
      <c r="A39" s="700">
        <v>219</v>
      </c>
      <c r="B39" s="700">
        <v>63427</v>
      </c>
      <c r="C39" s="700">
        <v>193</v>
      </c>
      <c r="D39" s="700">
        <v>15389</v>
      </c>
      <c r="E39" s="700">
        <v>586</v>
      </c>
      <c r="F39" s="700">
        <v>40281</v>
      </c>
      <c r="G39" s="700">
        <v>0</v>
      </c>
      <c r="H39" s="700">
        <v>329</v>
      </c>
      <c r="I39" s="700">
        <v>0</v>
      </c>
      <c r="J39" s="700">
        <v>6649</v>
      </c>
    </row>
    <row r="40" spans="1:10">
      <c r="A40" s="700">
        <v>220</v>
      </c>
      <c r="B40" s="700">
        <v>8246</v>
      </c>
      <c r="C40" s="700">
        <v>51</v>
      </c>
      <c r="D40" s="700">
        <v>1184</v>
      </c>
      <c r="E40" s="700">
        <v>319</v>
      </c>
      <c r="F40" s="700">
        <v>6206</v>
      </c>
      <c r="G40" s="700">
        <v>0</v>
      </c>
      <c r="H40" s="700">
        <v>100</v>
      </c>
      <c r="I40" s="700">
        <v>0</v>
      </c>
      <c r="J40" s="700">
        <v>386</v>
      </c>
    </row>
    <row r="41" spans="1:10">
      <c r="A41" s="700">
        <v>221</v>
      </c>
      <c r="B41" s="700">
        <v>1694</v>
      </c>
      <c r="C41" s="700">
        <v>0</v>
      </c>
      <c r="D41" s="700">
        <v>790</v>
      </c>
      <c r="E41" s="700">
        <v>63</v>
      </c>
      <c r="F41" s="700">
        <v>630</v>
      </c>
      <c r="G41" s="700">
        <v>0</v>
      </c>
      <c r="H41" s="700">
        <v>7</v>
      </c>
      <c r="I41" s="700">
        <v>0</v>
      </c>
      <c r="J41" s="700">
        <v>204</v>
      </c>
    </row>
    <row r="42" spans="1:10">
      <c r="A42" s="700">
        <v>222</v>
      </c>
      <c r="B42" s="700">
        <v>285</v>
      </c>
      <c r="C42" s="700">
        <v>0</v>
      </c>
      <c r="D42" s="700">
        <v>99</v>
      </c>
      <c r="E42" s="700">
        <v>0</v>
      </c>
      <c r="F42" s="700">
        <v>186</v>
      </c>
      <c r="G42" s="700">
        <v>0</v>
      </c>
      <c r="H42" s="700">
        <v>0</v>
      </c>
      <c r="I42" s="700">
        <v>0</v>
      </c>
      <c r="J42" s="700">
        <v>0</v>
      </c>
    </row>
    <row r="43" spans="1:10">
      <c r="A43" s="700">
        <v>241</v>
      </c>
      <c r="B43" s="700">
        <v>855</v>
      </c>
      <c r="C43" s="700">
        <v>0</v>
      </c>
      <c r="D43" s="700">
        <v>221</v>
      </c>
      <c r="E43" s="700">
        <v>0</v>
      </c>
      <c r="F43" s="700">
        <v>496</v>
      </c>
      <c r="G43" s="700">
        <v>7</v>
      </c>
      <c r="H43" s="700">
        <v>19</v>
      </c>
      <c r="I43" s="700">
        <v>22</v>
      </c>
      <c r="J43" s="700">
        <v>90</v>
      </c>
    </row>
    <row r="44" spans="1:10">
      <c r="A44" s="700">
        <v>242</v>
      </c>
      <c r="B44" s="700">
        <v>33</v>
      </c>
      <c r="C44" s="700">
        <v>0</v>
      </c>
      <c r="D44" s="700">
        <v>1</v>
      </c>
      <c r="E44" s="700">
        <v>0</v>
      </c>
      <c r="F44" s="700">
        <v>32</v>
      </c>
      <c r="G44" s="700">
        <v>0</v>
      </c>
      <c r="H44" s="700">
        <v>0</v>
      </c>
      <c r="I44" s="700">
        <v>0</v>
      </c>
      <c r="J44" s="700">
        <v>0</v>
      </c>
    </row>
    <row r="45" spans="1:10">
      <c r="A45" s="700">
        <v>251</v>
      </c>
      <c r="B45" s="700">
        <v>60411</v>
      </c>
      <c r="C45" s="700">
        <v>1220</v>
      </c>
      <c r="D45" s="700">
        <v>12872</v>
      </c>
      <c r="E45" s="700">
        <v>4456</v>
      </c>
      <c r="F45" s="700">
        <v>38643</v>
      </c>
      <c r="G45" s="700">
        <v>32</v>
      </c>
      <c r="H45" s="700">
        <v>1533</v>
      </c>
      <c r="I45" s="700">
        <v>104</v>
      </c>
      <c r="J45" s="700">
        <v>1551</v>
      </c>
    </row>
    <row r="46" spans="1:10">
      <c r="A46" s="700">
        <v>252</v>
      </c>
      <c r="B46" s="700">
        <v>49998</v>
      </c>
      <c r="C46" s="700">
        <v>915</v>
      </c>
      <c r="D46" s="700">
        <v>8516</v>
      </c>
      <c r="E46" s="700">
        <v>5478</v>
      </c>
      <c r="F46" s="700">
        <v>33772</v>
      </c>
      <c r="G46" s="700">
        <v>1</v>
      </c>
      <c r="H46" s="700">
        <v>92</v>
      </c>
      <c r="I46" s="700">
        <v>94</v>
      </c>
      <c r="J46" s="700">
        <v>1130</v>
      </c>
    </row>
    <row r="47" spans="1:10">
      <c r="A47" s="700">
        <v>253</v>
      </c>
      <c r="B47" s="700">
        <v>51058</v>
      </c>
      <c r="C47" s="700">
        <v>239</v>
      </c>
      <c r="D47" s="700">
        <v>5363</v>
      </c>
      <c r="E47" s="700">
        <v>1770</v>
      </c>
      <c r="F47" s="700">
        <v>38293</v>
      </c>
      <c r="G47" s="700">
        <v>0</v>
      </c>
      <c r="H47" s="700">
        <v>3446</v>
      </c>
      <c r="I47" s="700">
        <v>0</v>
      </c>
      <c r="J47" s="700">
        <v>1947</v>
      </c>
    </row>
    <row r="48" spans="1:10">
      <c r="A48" s="700">
        <v>254</v>
      </c>
      <c r="B48" s="700">
        <v>56667</v>
      </c>
      <c r="C48" s="700">
        <v>0</v>
      </c>
      <c r="D48" s="700">
        <v>15577</v>
      </c>
      <c r="E48" s="700">
        <v>0</v>
      </c>
      <c r="F48" s="700">
        <v>20810</v>
      </c>
      <c r="G48" s="700">
        <v>2</v>
      </c>
      <c r="H48" s="700">
        <v>10258</v>
      </c>
      <c r="I48" s="700">
        <v>0</v>
      </c>
      <c r="J48" s="700">
        <v>10020</v>
      </c>
    </row>
    <row r="49" spans="1:10">
      <c r="A49" s="700">
        <v>255</v>
      </c>
      <c r="B49" s="700">
        <v>25368</v>
      </c>
      <c r="C49" s="700">
        <v>851</v>
      </c>
      <c r="D49" s="700">
        <v>8962</v>
      </c>
      <c r="E49" s="700">
        <v>740</v>
      </c>
      <c r="F49" s="700">
        <v>12568</v>
      </c>
      <c r="G49" s="700">
        <v>136</v>
      </c>
      <c r="H49" s="700">
        <v>778</v>
      </c>
      <c r="I49" s="700">
        <v>111</v>
      </c>
      <c r="J49" s="700">
        <v>1222</v>
      </c>
    </row>
    <row r="50" spans="1:10">
      <c r="A50" s="700">
        <v>256</v>
      </c>
      <c r="B50" s="700">
        <v>6319</v>
      </c>
      <c r="C50" s="700">
        <v>3</v>
      </c>
      <c r="D50" s="700">
        <v>1328</v>
      </c>
      <c r="E50" s="700">
        <v>97</v>
      </c>
      <c r="F50" s="700">
        <v>4686</v>
      </c>
      <c r="G50" s="700">
        <v>0</v>
      </c>
      <c r="H50" s="700">
        <v>117</v>
      </c>
      <c r="I50" s="700">
        <v>0</v>
      </c>
      <c r="J50" s="700">
        <v>88</v>
      </c>
    </row>
    <row r="51" spans="1:10">
      <c r="A51" s="700">
        <v>257</v>
      </c>
      <c r="B51" s="700">
        <v>57734</v>
      </c>
      <c r="C51" s="700">
        <v>344</v>
      </c>
      <c r="D51" s="700">
        <v>19723</v>
      </c>
      <c r="E51" s="700">
        <v>452</v>
      </c>
      <c r="F51" s="700">
        <v>32775</v>
      </c>
      <c r="G51" s="700">
        <v>0</v>
      </c>
      <c r="H51" s="700">
        <v>265</v>
      </c>
      <c r="I51" s="700">
        <v>0</v>
      </c>
      <c r="J51" s="700">
        <v>4175</v>
      </c>
    </row>
    <row r="52" spans="1:10">
      <c r="A52" s="700">
        <v>258</v>
      </c>
      <c r="B52" s="700">
        <v>43132</v>
      </c>
      <c r="C52" s="700">
        <v>802</v>
      </c>
      <c r="D52" s="700">
        <v>8371</v>
      </c>
      <c r="E52" s="700">
        <v>2665</v>
      </c>
      <c r="F52" s="700">
        <v>28918</v>
      </c>
      <c r="G52" s="700">
        <v>4</v>
      </c>
      <c r="H52" s="700">
        <v>666</v>
      </c>
      <c r="I52" s="700">
        <v>10</v>
      </c>
      <c r="J52" s="700">
        <v>1696</v>
      </c>
    </row>
    <row r="53" spans="1:10">
      <c r="A53" s="700">
        <v>259</v>
      </c>
      <c r="B53" s="700">
        <v>37556</v>
      </c>
      <c r="C53" s="700">
        <v>96</v>
      </c>
      <c r="D53" s="700">
        <v>3978</v>
      </c>
      <c r="E53" s="700">
        <v>2345</v>
      </c>
      <c r="F53" s="700">
        <v>29513</v>
      </c>
      <c r="G53" s="700">
        <v>0</v>
      </c>
      <c r="H53" s="700">
        <v>42</v>
      </c>
      <c r="I53" s="700">
        <v>0</v>
      </c>
      <c r="J53" s="700">
        <v>1582</v>
      </c>
    </row>
    <row r="54" spans="1:10">
      <c r="A54" s="700">
        <v>260</v>
      </c>
      <c r="B54" s="700">
        <v>39126</v>
      </c>
      <c r="C54" s="700">
        <v>226</v>
      </c>
      <c r="D54" s="700">
        <v>2134</v>
      </c>
      <c r="E54" s="700">
        <v>2390</v>
      </c>
      <c r="F54" s="700">
        <v>30801</v>
      </c>
      <c r="G54" s="700">
        <v>1</v>
      </c>
      <c r="H54" s="700">
        <v>28</v>
      </c>
      <c r="I54" s="700">
        <v>1</v>
      </c>
      <c r="J54" s="700">
        <v>3545</v>
      </c>
    </row>
    <row r="55" spans="1:10">
      <c r="A55" s="700">
        <v>261</v>
      </c>
      <c r="B55" s="700">
        <v>6681</v>
      </c>
      <c r="C55" s="700">
        <v>24</v>
      </c>
      <c r="D55" s="700">
        <v>967</v>
      </c>
      <c r="E55" s="700">
        <v>497</v>
      </c>
      <c r="F55" s="700">
        <v>5098</v>
      </c>
      <c r="G55" s="700">
        <v>0</v>
      </c>
      <c r="H55" s="700">
        <v>0</v>
      </c>
      <c r="I55" s="700">
        <v>0</v>
      </c>
      <c r="J55" s="700">
        <v>95</v>
      </c>
    </row>
    <row r="56" spans="1:10">
      <c r="A56" s="700">
        <v>262</v>
      </c>
      <c r="B56" s="700">
        <v>22762</v>
      </c>
      <c r="C56" s="700">
        <v>604</v>
      </c>
      <c r="D56" s="700">
        <v>4222</v>
      </c>
      <c r="E56" s="700">
        <v>2137</v>
      </c>
      <c r="F56" s="700">
        <v>15181</v>
      </c>
      <c r="G56" s="700">
        <v>1</v>
      </c>
      <c r="H56" s="700">
        <v>107</v>
      </c>
      <c r="I56" s="700">
        <v>141</v>
      </c>
      <c r="J56" s="700">
        <v>369</v>
      </c>
    </row>
    <row r="57" spans="1:10">
      <c r="A57" s="700">
        <v>263</v>
      </c>
      <c r="B57" s="700">
        <v>25015</v>
      </c>
      <c r="C57" s="700">
        <v>497</v>
      </c>
      <c r="D57" s="700">
        <v>2264</v>
      </c>
      <c r="E57" s="700">
        <v>3428</v>
      </c>
      <c r="F57" s="700">
        <v>17682</v>
      </c>
      <c r="G57" s="700">
        <v>1</v>
      </c>
      <c r="H57" s="700">
        <v>23</v>
      </c>
      <c r="I57" s="700">
        <v>11</v>
      </c>
      <c r="J57" s="700">
        <v>1109</v>
      </c>
    </row>
    <row r="58" spans="1:10">
      <c r="A58" s="700">
        <v>264</v>
      </c>
      <c r="B58" s="700">
        <v>144</v>
      </c>
      <c r="C58" s="700">
        <v>11</v>
      </c>
      <c r="D58" s="700">
        <v>9</v>
      </c>
      <c r="E58" s="700">
        <v>41</v>
      </c>
      <c r="F58" s="700">
        <v>53</v>
      </c>
      <c r="G58" s="700">
        <v>1</v>
      </c>
      <c r="H58" s="700">
        <v>17</v>
      </c>
      <c r="I58" s="700">
        <v>2</v>
      </c>
      <c r="J58" s="700">
        <v>10</v>
      </c>
    </row>
    <row r="59" spans="1:10">
      <c r="A59" s="700">
        <v>280</v>
      </c>
      <c r="B59" s="700">
        <v>1</v>
      </c>
      <c r="C59" s="700">
        <v>0</v>
      </c>
      <c r="D59" s="700">
        <v>1</v>
      </c>
      <c r="E59" s="700">
        <v>0</v>
      </c>
      <c r="F59" s="700">
        <v>0</v>
      </c>
      <c r="G59" s="700">
        <v>0</v>
      </c>
      <c r="H59" s="700">
        <v>0</v>
      </c>
      <c r="I59" s="700">
        <v>0</v>
      </c>
      <c r="J59" s="700">
        <v>0</v>
      </c>
    </row>
    <row r="60" spans="1:10">
      <c r="A60" s="700">
        <v>291</v>
      </c>
      <c r="B60" s="700">
        <v>60344</v>
      </c>
      <c r="C60" s="700">
        <v>514</v>
      </c>
      <c r="D60" s="700">
        <v>17723</v>
      </c>
      <c r="E60" s="700">
        <v>1596</v>
      </c>
      <c r="F60" s="700">
        <v>34655</v>
      </c>
      <c r="G60" s="700">
        <v>0</v>
      </c>
      <c r="H60" s="700">
        <v>523</v>
      </c>
      <c r="I60" s="700">
        <v>0</v>
      </c>
      <c r="J60" s="700">
        <v>5333</v>
      </c>
    </row>
    <row r="61" spans="1:10">
      <c r="A61" s="700">
        <v>300</v>
      </c>
      <c r="B61" s="700">
        <v>1166950</v>
      </c>
      <c r="C61" s="700">
        <v>3833</v>
      </c>
      <c r="D61" s="700">
        <v>352982</v>
      </c>
      <c r="E61" s="700">
        <v>11253</v>
      </c>
      <c r="F61" s="700">
        <v>608574</v>
      </c>
      <c r="G61" s="700">
        <v>50</v>
      </c>
      <c r="H61" s="700">
        <v>52901</v>
      </c>
      <c r="I61" s="700">
        <v>905</v>
      </c>
      <c r="J61" s="700">
        <v>136452</v>
      </c>
    </row>
    <row r="62" spans="1:10">
      <c r="A62" s="700">
        <v>301</v>
      </c>
      <c r="B62" s="700">
        <v>1116157</v>
      </c>
      <c r="C62" s="700">
        <v>3302</v>
      </c>
      <c r="D62" s="700">
        <v>355575</v>
      </c>
      <c r="E62" s="700">
        <v>9663</v>
      </c>
      <c r="F62" s="700">
        <v>664147</v>
      </c>
      <c r="G62" s="700">
        <v>13</v>
      </c>
      <c r="H62" s="700">
        <v>23425</v>
      </c>
      <c r="I62" s="700">
        <v>225</v>
      </c>
      <c r="J62" s="700">
        <v>59807</v>
      </c>
    </row>
    <row r="63" spans="1:10">
      <c r="A63" s="700">
        <v>302</v>
      </c>
      <c r="B63" s="700">
        <v>466167</v>
      </c>
      <c r="C63" s="700">
        <v>2435</v>
      </c>
      <c r="D63" s="700">
        <v>93414</v>
      </c>
      <c r="E63" s="700">
        <v>8588</v>
      </c>
      <c r="F63" s="700">
        <v>319108</v>
      </c>
      <c r="G63" s="700">
        <v>183</v>
      </c>
      <c r="H63" s="700">
        <v>6523</v>
      </c>
      <c r="I63" s="700">
        <v>555</v>
      </c>
      <c r="J63" s="700">
        <v>35361</v>
      </c>
    </row>
    <row r="64" spans="1:10">
      <c r="A64" s="700">
        <v>303</v>
      </c>
      <c r="B64" s="700">
        <v>1327224</v>
      </c>
      <c r="C64" s="700">
        <v>4066</v>
      </c>
      <c r="D64" s="700">
        <v>152570</v>
      </c>
      <c r="E64" s="700">
        <v>40872</v>
      </c>
      <c r="F64" s="700">
        <v>1028228</v>
      </c>
      <c r="G64" s="700">
        <v>832</v>
      </c>
      <c r="H64" s="700">
        <v>14140</v>
      </c>
      <c r="I64" s="700">
        <v>104</v>
      </c>
      <c r="J64" s="700">
        <v>86412</v>
      </c>
    </row>
    <row r="65" spans="1:10">
      <c r="A65" s="700">
        <v>304</v>
      </c>
      <c r="B65" s="700">
        <v>117489</v>
      </c>
      <c r="C65" s="700">
        <v>1</v>
      </c>
      <c r="D65" s="700">
        <v>8425</v>
      </c>
      <c r="E65" s="700">
        <v>0</v>
      </c>
      <c r="F65" s="700">
        <v>13820</v>
      </c>
      <c r="G65" s="700">
        <v>110</v>
      </c>
      <c r="H65" s="700">
        <v>33559</v>
      </c>
      <c r="I65" s="700">
        <v>144</v>
      </c>
      <c r="J65" s="700">
        <v>61430</v>
      </c>
    </row>
    <row r="66" spans="1:10">
      <c r="A66" s="700">
        <v>305</v>
      </c>
      <c r="B66" s="700">
        <v>13562</v>
      </c>
      <c r="C66" s="700">
        <v>2</v>
      </c>
      <c r="D66" s="700">
        <v>1914</v>
      </c>
      <c r="E66" s="700">
        <v>10</v>
      </c>
      <c r="F66" s="700">
        <v>10751</v>
      </c>
      <c r="G66" s="700">
        <v>0</v>
      </c>
      <c r="H66" s="700">
        <v>52</v>
      </c>
      <c r="I66" s="700">
        <v>0</v>
      </c>
      <c r="J66" s="700">
        <v>833</v>
      </c>
    </row>
    <row r="67" spans="1:10">
      <c r="A67" s="700">
        <v>306</v>
      </c>
      <c r="B67" s="700">
        <v>153298</v>
      </c>
      <c r="C67" s="700">
        <v>2821</v>
      </c>
      <c r="D67" s="700">
        <v>22694</v>
      </c>
      <c r="E67" s="700">
        <v>17274</v>
      </c>
      <c r="F67" s="700">
        <v>102753</v>
      </c>
      <c r="G67" s="700">
        <v>0</v>
      </c>
      <c r="H67" s="700">
        <v>907</v>
      </c>
      <c r="I67" s="700">
        <v>26</v>
      </c>
      <c r="J67" s="700">
        <v>6823</v>
      </c>
    </row>
    <row r="68" spans="1:10">
      <c r="A68" s="700">
        <v>307</v>
      </c>
      <c r="B68" s="700">
        <v>912101</v>
      </c>
      <c r="C68" s="700">
        <v>11275</v>
      </c>
      <c r="D68" s="700">
        <v>100999</v>
      </c>
      <c r="E68" s="700">
        <v>51643</v>
      </c>
      <c r="F68" s="700">
        <v>559918</v>
      </c>
      <c r="G68" s="700">
        <v>282</v>
      </c>
      <c r="H68" s="700">
        <v>30151</v>
      </c>
      <c r="I68" s="700">
        <v>630</v>
      </c>
      <c r="J68" s="700">
        <v>157203</v>
      </c>
    </row>
    <row r="69" spans="1:10">
      <c r="A69" s="700">
        <v>308</v>
      </c>
      <c r="B69" s="700">
        <v>15667</v>
      </c>
      <c r="C69" s="700">
        <v>5</v>
      </c>
      <c r="D69" s="700">
        <v>2210</v>
      </c>
      <c r="E69" s="700">
        <v>988</v>
      </c>
      <c r="F69" s="700">
        <v>12264</v>
      </c>
      <c r="G69" s="700">
        <v>0</v>
      </c>
      <c r="H69" s="700">
        <v>2</v>
      </c>
      <c r="I69" s="700">
        <v>0</v>
      </c>
      <c r="J69" s="700">
        <v>198</v>
      </c>
    </row>
    <row r="70" spans="1:10">
      <c r="A70" s="700">
        <v>309</v>
      </c>
      <c r="B70" s="700">
        <v>27650</v>
      </c>
      <c r="C70" s="700">
        <v>209</v>
      </c>
      <c r="D70" s="700">
        <v>4127</v>
      </c>
      <c r="E70" s="700">
        <v>714</v>
      </c>
      <c r="F70" s="700">
        <v>18180</v>
      </c>
      <c r="G70" s="700">
        <v>22</v>
      </c>
      <c r="H70" s="700">
        <v>151</v>
      </c>
      <c r="I70" s="700">
        <v>343</v>
      </c>
      <c r="J70" s="700">
        <v>3904</v>
      </c>
    </row>
    <row r="71" spans="1:10">
      <c r="A71" s="700">
        <v>310</v>
      </c>
      <c r="B71" s="700">
        <v>132852</v>
      </c>
      <c r="C71" s="700">
        <v>7</v>
      </c>
      <c r="D71" s="700">
        <v>40116</v>
      </c>
      <c r="E71" s="700">
        <v>4</v>
      </c>
      <c r="F71" s="700">
        <v>34939</v>
      </c>
      <c r="G71" s="700">
        <v>0</v>
      </c>
      <c r="H71" s="700">
        <v>22153</v>
      </c>
      <c r="I71" s="700">
        <v>0</v>
      </c>
      <c r="J71" s="700">
        <v>35633</v>
      </c>
    </row>
    <row r="72" spans="1:10">
      <c r="A72" s="700">
        <v>311</v>
      </c>
      <c r="B72" s="700">
        <v>87906</v>
      </c>
      <c r="C72" s="700">
        <v>22</v>
      </c>
      <c r="D72" s="700">
        <v>42502</v>
      </c>
      <c r="E72" s="700">
        <v>66</v>
      </c>
      <c r="F72" s="700">
        <v>23418</v>
      </c>
      <c r="G72" s="700">
        <v>0</v>
      </c>
      <c r="H72" s="700">
        <v>17891</v>
      </c>
      <c r="I72" s="700">
        <v>0</v>
      </c>
      <c r="J72" s="700">
        <v>4007</v>
      </c>
    </row>
    <row r="73" spans="1:10">
      <c r="A73" s="700">
        <v>313</v>
      </c>
      <c r="B73" s="700">
        <v>36183</v>
      </c>
      <c r="C73" s="700">
        <v>822</v>
      </c>
      <c r="D73" s="700">
        <v>11680</v>
      </c>
      <c r="E73" s="700">
        <v>1535</v>
      </c>
      <c r="F73" s="700">
        <v>20418</v>
      </c>
      <c r="G73" s="700">
        <v>0</v>
      </c>
      <c r="H73" s="700">
        <v>1229</v>
      </c>
      <c r="I73" s="700">
        <v>0</v>
      </c>
      <c r="J73" s="700">
        <v>499</v>
      </c>
    </row>
    <row r="74" spans="1:10">
      <c r="A74" s="700">
        <v>314</v>
      </c>
      <c r="B74" s="700">
        <v>193507</v>
      </c>
      <c r="C74" s="700">
        <v>1949</v>
      </c>
      <c r="D74" s="700">
        <v>23743</v>
      </c>
      <c r="E74" s="700">
        <v>2187</v>
      </c>
      <c r="F74" s="700">
        <v>41740</v>
      </c>
      <c r="G74" s="700">
        <v>6</v>
      </c>
      <c r="H74" s="700">
        <v>26566</v>
      </c>
      <c r="I74" s="700">
        <v>164</v>
      </c>
      <c r="J74" s="700">
        <v>97152</v>
      </c>
    </row>
    <row r="75" spans="1:10">
      <c r="A75" s="700">
        <v>315</v>
      </c>
      <c r="B75" s="700">
        <v>28346</v>
      </c>
      <c r="C75" s="700">
        <v>29</v>
      </c>
      <c r="D75" s="700">
        <v>5023</v>
      </c>
      <c r="E75" s="700">
        <v>64</v>
      </c>
      <c r="F75" s="700">
        <v>12640</v>
      </c>
      <c r="G75" s="700">
        <v>0</v>
      </c>
      <c r="H75" s="700">
        <v>2113</v>
      </c>
      <c r="I75" s="700">
        <v>0</v>
      </c>
      <c r="J75" s="700">
        <v>8477</v>
      </c>
    </row>
    <row r="76" spans="1:10">
      <c r="A76" s="700">
        <v>316</v>
      </c>
      <c r="B76" s="700">
        <v>20403</v>
      </c>
      <c r="C76" s="700">
        <v>608</v>
      </c>
      <c r="D76" s="700">
        <v>4485</v>
      </c>
      <c r="E76" s="700">
        <v>1554</v>
      </c>
      <c r="F76" s="700">
        <v>10460</v>
      </c>
      <c r="G76" s="700">
        <v>116</v>
      </c>
      <c r="H76" s="700">
        <v>136</v>
      </c>
      <c r="I76" s="700">
        <v>1</v>
      </c>
      <c r="J76" s="700">
        <v>3043</v>
      </c>
    </row>
    <row r="77" spans="1:10">
      <c r="A77" s="700">
        <v>317</v>
      </c>
      <c r="B77" s="700">
        <v>32587</v>
      </c>
      <c r="C77" s="700">
        <v>20</v>
      </c>
      <c r="D77" s="700">
        <v>13089</v>
      </c>
      <c r="E77" s="700">
        <v>76</v>
      </c>
      <c r="F77" s="700">
        <v>15385</v>
      </c>
      <c r="G77" s="700">
        <v>1</v>
      </c>
      <c r="H77" s="700">
        <v>466</v>
      </c>
      <c r="I77" s="700">
        <v>4</v>
      </c>
      <c r="J77" s="700">
        <v>3546</v>
      </c>
    </row>
    <row r="78" spans="1:10">
      <c r="A78" s="700">
        <v>319</v>
      </c>
      <c r="B78" s="700">
        <v>3</v>
      </c>
      <c r="C78" s="700">
        <v>0</v>
      </c>
      <c r="D78" s="700">
        <v>1</v>
      </c>
      <c r="E78" s="700">
        <v>0</v>
      </c>
      <c r="F78" s="700">
        <v>2</v>
      </c>
      <c r="G78" s="700">
        <v>0</v>
      </c>
      <c r="H78" s="700">
        <v>0</v>
      </c>
      <c r="I78" s="700">
        <v>0</v>
      </c>
      <c r="J78" s="700">
        <v>0</v>
      </c>
    </row>
    <row r="79" spans="1:10">
      <c r="A79" s="700">
        <v>320</v>
      </c>
      <c r="B79" s="700">
        <v>2118499</v>
      </c>
      <c r="C79" s="700">
        <v>14302</v>
      </c>
      <c r="D79" s="700">
        <v>605181</v>
      </c>
      <c r="E79" s="700">
        <v>24071</v>
      </c>
      <c r="F79" s="700">
        <v>981096</v>
      </c>
      <c r="G79" s="700">
        <v>1478</v>
      </c>
      <c r="H79" s="700">
        <v>180489</v>
      </c>
      <c r="I79" s="700">
        <v>6958</v>
      </c>
      <c r="J79" s="700">
        <v>304924</v>
      </c>
    </row>
    <row r="80" spans="1:10">
      <c r="A80" s="700">
        <v>321</v>
      </c>
      <c r="B80" s="700">
        <v>98209</v>
      </c>
      <c r="C80" s="700">
        <v>2694</v>
      </c>
      <c r="D80" s="700">
        <v>24477</v>
      </c>
      <c r="E80" s="700">
        <v>3893</v>
      </c>
      <c r="F80" s="700">
        <v>65671</v>
      </c>
      <c r="G80" s="700">
        <v>4</v>
      </c>
      <c r="H80" s="700">
        <v>364</v>
      </c>
      <c r="I80" s="700">
        <v>11</v>
      </c>
      <c r="J80" s="700">
        <v>1095</v>
      </c>
    </row>
    <row r="81" spans="1:10">
      <c r="A81" s="700">
        <v>322</v>
      </c>
      <c r="B81" s="700">
        <v>639</v>
      </c>
      <c r="C81" s="700">
        <v>0</v>
      </c>
      <c r="D81" s="700">
        <v>233</v>
      </c>
      <c r="E81" s="700">
        <v>0</v>
      </c>
      <c r="F81" s="700">
        <v>394</v>
      </c>
      <c r="G81" s="700">
        <v>0</v>
      </c>
      <c r="H81" s="700">
        <v>9</v>
      </c>
      <c r="I81" s="700">
        <v>0</v>
      </c>
      <c r="J81" s="700">
        <v>3</v>
      </c>
    </row>
    <row r="82" spans="1:10">
      <c r="A82" s="700">
        <v>323</v>
      </c>
      <c r="B82" s="700">
        <v>16135</v>
      </c>
      <c r="C82" s="700">
        <v>3</v>
      </c>
      <c r="D82" s="700">
        <v>1137</v>
      </c>
      <c r="E82" s="700">
        <v>66</v>
      </c>
      <c r="F82" s="700">
        <v>14047</v>
      </c>
      <c r="G82" s="700">
        <v>0</v>
      </c>
      <c r="H82" s="700">
        <v>444</v>
      </c>
      <c r="I82" s="700">
        <v>0</v>
      </c>
      <c r="J82" s="700">
        <v>438</v>
      </c>
    </row>
    <row r="83" spans="1:10">
      <c r="A83" s="700">
        <v>324</v>
      </c>
      <c r="B83" s="700">
        <v>2285376</v>
      </c>
      <c r="C83" s="700">
        <v>690</v>
      </c>
      <c r="D83" s="700">
        <v>147295</v>
      </c>
      <c r="E83" s="700">
        <v>335</v>
      </c>
      <c r="F83" s="700">
        <v>1404501</v>
      </c>
      <c r="G83" s="700">
        <v>1</v>
      </c>
      <c r="H83" s="700">
        <v>121152</v>
      </c>
      <c r="I83" s="700">
        <v>1</v>
      </c>
      <c r="J83" s="700">
        <v>611401</v>
      </c>
    </row>
    <row r="84" spans="1:10">
      <c r="A84" s="700">
        <v>325</v>
      </c>
      <c r="B84" s="700">
        <v>43</v>
      </c>
      <c r="C84" s="700">
        <v>0</v>
      </c>
      <c r="D84" s="700">
        <v>37</v>
      </c>
      <c r="E84" s="700">
        <v>0</v>
      </c>
      <c r="F84" s="700">
        <v>6</v>
      </c>
      <c r="G84" s="700">
        <v>0</v>
      </c>
      <c r="H84" s="700">
        <v>0</v>
      </c>
      <c r="I84" s="700">
        <v>0</v>
      </c>
      <c r="J84" s="700">
        <v>0</v>
      </c>
    </row>
    <row r="85" spans="1:10">
      <c r="A85" s="700">
        <v>327</v>
      </c>
      <c r="B85" s="700">
        <v>18885</v>
      </c>
      <c r="C85" s="700">
        <v>0</v>
      </c>
      <c r="D85" s="700">
        <v>317</v>
      </c>
      <c r="E85" s="700">
        <v>0</v>
      </c>
      <c r="F85" s="700">
        <v>823</v>
      </c>
      <c r="G85" s="700">
        <v>0</v>
      </c>
      <c r="H85" s="700">
        <v>2210</v>
      </c>
      <c r="I85" s="700">
        <v>0</v>
      </c>
      <c r="J85" s="700">
        <v>15535</v>
      </c>
    </row>
    <row r="86" spans="1:10">
      <c r="A86" s="700">
        <v>328</v>
      </c>
      <c r="B86" s="700">
        <v>7041</v>
      </c>
      <c r="C86" s="700">
        <v>16</v>
      </c>
      <c r="D86" s="700">
        <v>3079</v>
      </c>
      <c r="E86" s="700">
        <v>5</v>
      </c>
      <c r="F86" s="700">
        <v>3800</v>
      </c>
      <c r="G86" s="700">
        <v>0</v>
      </c>
      <c r="H86" s="700">
        <v>126</v>
      </c>
      <c r="I86" s="700">
        <v>0</v>
      </c>
      <c r="J86" s="700">
        <v>15</v>
      </c>
    </row>
    <row r="87" spans="1:10">
      <c r="A87" s="700">
        <v>329</v>
      </c>
      <c r="B87" s="700">
        <v>14392</v>
      </c>
      <c r="C87" s="700">
        <v>1648</v>
      </c>
      <c r="D87" s="700">
        <v>8772</v>
      </c>
      <c r="E87" s="700">
        <v>15</v>
      </c>
      <c r="F87" s="700">
        <v>3340</v>
      </c>
      <c r="G87" s="700">
        <v>174</v>
      </c>
      <c r="H87" s="700">
        <v>420</v>
      </c>
      <c r="I87" s="700">
        <v>0</v>
      </c>
      <c r="J87" s="700">
        <v>23</v>
      </c>
    </row>
    <row r="88" spans="1:10">
      <c r="A88" s="700">
        <v>330</v>
      </c>
      <c r="B88" s="700">
        <v>2147204</v>
      </c>
      <c r="C88" s="700">
        <v>5153</v>
      </c>
      <c r="D88" s="700">
        <v>686888</v>
      </c>
      <c r="E88" s="700">
        <v>11805</v>
      </c>
      <c r="F88" s="700">
        <v>1221706</v>
      </c>
      <c r="G88" s="700">
        <v>565</v>
      </c>
      <c r="H88" s="700">
        <v>36534</v>
      </c>
      <c r="I88" s="700">
        <v>2793</v>
      </c>
      <c r="J88" s="700">
        <v>181760</v>
      </c>
    </row>
    <row r="89" spans="1:10">
      <c r="A89" s="700">
        <v>340</v>
      </c>
      <c r="B89" s="700">
        <v>1152928</v>
      </c>
      <c r="C89" s="700">
        <v>9124</v>
      </c>
      <c r="D89" s="700">
        <v>291606</v>
      </c>
      <c r="E89" s="700">
        <v>27773</v>
      </c>
      <c r="F89" s="700">
        <v>664905</v>
      </c>
      <c r="G89" s="700">
        <v>512</v>
      </c>
      <c r="H89" s="700">
        <v>58122</v>
      </c>
      <c r="I89" s="700">
        <v>3391</v>
      </c>
      <c r="J89" s="700">
        <v>97495</v>
      </c>
    </row>
    <row r="90" spans="1:10">
      <c r="A90" s="700">
        <v>341</v>
      </c>
      <c r="B90" s="700">
        <v>108731</v>
      </c>
      <c r="C90" s="700">
        <v>237</v>
      </c>
      <c r="D90" s="700">
        <v>19987</v>
      </c>
      <c r="E90" s="700">
        <v>132</v>
      </c>
      <c r="F90" s="700">
        <v>49091</v>
      </c>
      <c r="G90" s="700">
        <v>2909</v>
      </c>
      <c r="H90" s="700">
        <v>7421</v>
      </c>
      <c r="I90" s="700">
        <v>3837</v>
      </c>
      <c r="J90" s="700">
        <v>25117</v>
      </c>
    </row>
    <row r="91" spans="1:10">
      <c r="A91" s="700">
        <v>342</v>
      </c>
      <c r="B91" s="700">
        <v>182</v>
      </c>
      <c r="C91" s="700">
        <v>0</v>
      </c>
      <c r="D91" s="700">
        <v>0</v>
      </c>
      <c r="E91" s="700">
        <v>0</v>
      </c>
      <c r="F91" s="700">
        <v>35</v>
      </c>
      <c r="G91" s="700">
        <v>0</v>
      </c>
      <c r="H91" s="700">
        <v>36</v>
      </c>
      <c r="I91" s="700">
        <v>0</v>
      </c>
      <c r="J91" s="700">
        <v>111</v>
      </c>
    </row>
    <row r="92" spans="1:10">
      <c r="A92" s="700">
        <v>343</v>
      </c>
      <c r="B92" s="700">
        <v>268</v>
      </c>
      <c r="C92" s="700">
        <v>3</v>
      </c>
      <c r="D92" s="700">
        <v>0</v>
      </c>
      <c r="E92" s="700">
        <v>265</v>
      </c>
      <c r="F92" s="700">
        <v>0</v>
      </c>
      <c r="G92" s="700">
        <v>0</v>
      </c>
      <c r="H92" s="700">
        <v>0</v>
      </c>
      <c r="I92" s="700">
        <v>0</v>
      </c>
      <c r="J92" s="700">
        <v>0</v>
      </c>
    </row>
    <row r="93" spans="1:10">
      <c r="A93" s="700">
        <v>350</v>
      </c>
      <c r="B93" s="700">
        <v>89688</v>
      </c>
      <c r="C93" s="700">
        <v>750</v>
      </c>
      <c r="D93" s="700">
        <v>18748</v>
      </c>
      <c r="E93" s="700">
        <v>3740</v>
      </c>
      <c r="F93" s="700">
        <v>58106</v>
      </c>
      <c r="G93" s="700">
        <v>0</v>
      </c>
      <c r="H93" s="700">
        <v>2155</v>
      </c>
      <c r="I93" s="700">
        <v>1</v>
      </c>
      <c r="J93" s="700">
        <v>6188</v>
      </c>
    </row>
    <row r="94" spans="1:10">
      <c r="A94" s="700">
        <v>352</v>
      </c>
      <c r="B94" s="700">
        <v>5812</v>
      </c>
      <c r="C94" s="700">
        <v>1423</v>
      </c>
      <c r="D94" s="700">
        <v>2672</v>
      </c>
      <c r="E94" s="700">
        <v>47</v>
      </c>
      <c r="F94" s="700">
        <v>1670</v>
      </c>
      <c r="G94" s="700">
        <v>0</v>
      </c>
      <c r="H94" s="700">
        <v>0</v>
      </c>
      <c r="I94" s="700">
        <v>0</v>
      </c>
      <c r="J94" s="700">
        <v>0</v>
      </c>
    </row>
    <row r="95" spans="1:10">
      <c r="A95" s="700">
        <v>360</v>
      </c>
      <c r="B95" s="700">
        <v>2128476</v>
      </c>
      <c r="C95" s="700">
        <v>35862</v>
      </c>
      <c r="D95" s="700">
        <v>1093998</v>
      </c>
      <c r="E95" s="700">
        <v>20909</v>
      </c>
      <c r="F95" s="700">
        <v>687388</v>
      </c>
      <c r="G95" s="700">
        <v>7360</v>
      </c>
      <c r="H95" s="700">
        <v>115159</v>
      </c>
      <c r="I95" s="700">
        <v>22</v>
      </c>
      <c r="J95" s="700">
        <v>167778</v>
      </c>
    </row>
    <row r="96" spans="1:10">
      <c r="A96" s="700">
        <v>361</v>
      </c>
      <c r="B96" s="700">
        <v>743974</v>
      </c>
      <c r="C96" s="700">
        <v>1454</v>
      </c>
      <c r="D96" s="700">
        <v>70421</v>
      </c>
      <c r="E96" s="700">
        <v>15040</v>
      </c>
      <c r="F96" s="700">
        <v>581036</v>
      </c>
      <c r="G96" s="700">
        <v>12</v>
      </c>
      <c r="H96" s="700">
        <v>5428</v>
      </c>
      <c r="I96" s="700">
        <v>718</v>
      </c>
      <c r="J96" s="700">
        <v>69865</v>
      </c>
    </row>
    <row r="97" spans="1:10">
      <c r="A97" s="700">
        <v>370</v>
      </c>
      <c r="B97" s="700">
        <v>810396</v>
      </c>
      <c r="C97" s="700">
        <v>6332</v>
      </c>
      <c r="D97" s="700">
        <v>83819</v>
      </c>
      <c r="E97" s="700">
        <v>36408</v>
      </c>
      <c r="F97" s="700">
        <v>604185</v>
      </c>
      <c r="G97" s="700">
        <v>32</v>
      </c>
      <c r="H97" s="700">
        <v>10018</v>
      </c>
      <c r="I97" s="700">
        <v>256</v>
      </c>
      <c r="J97" s="700">
        <v>69346</v>
      </c>
    </row>
    <row r="98" spans="1:10">
      <c r="A98" s="700">
        <v>371</v>
      </c>
      <c r="B98" s="700">
        <v>7231</v>
      </c>
      <c r="C98" s="700">
        <v>0</v>
      </c>
      <c r="D98" s="700">
        <v>2388</v>
      </c>
      <c r="E98" s="700">
        <v>0</v>
      </c>
      <c r="F98" s="700">
        <v>4514</v>
      </c>
      <c r="G98" s="700">
        <v>0</v>
      </c>
      <c r="H98" s="700">
        <v>17</v>
      </c>
      <c r="I98" s="700">
        <v>0</v>
      </c>
      <c r="J98" s="700">
        <v>312</v>
      </c>
    </row>
    <row r="99" spans="1:10">
      <c r="A99" s="700">
        <v>400</v>
      </c>
      <c r="B99" s="700">
        <v>1030317</v>
      </c>
      <c r="C99" s="700">
        <v>2313</v>
      </c>
      <c r="D99" s="700">
        <v>396481</v>
      </c>
      <c r="E99" s="700">
        <v>7354</v>
      </c>
      <c r="F99" s="700">
        <v>572207</v>
      </c>
      <c r="G99" s="700">
        <v>149</v>
      </c>
      <c r="H99" s="700">
        <v>8201</v>
      </c>
      <c r="I99" s="700">
        <v>864</v>
      </c>
      <c r="J99" s="700">
        <v>42748</v>
      </c>
    </row>
    <row r="100" spans="1:10">
      <c r="A100" s="700">
        <v>401</v>
      </c>
      <c r="B100" s="700">
        <v>80060</v>
      </c>
      <c r="C100" s="700">
        <v>706</v>
      </c>
      <c r="D100" s="700">
        <v>61547</v>
      </c>
      <c r="E100" s="700">
        <v>60</v>
      </c>
      <c r="F100" s="700">
        <v>4560</v>
      </c>
      <c r="G100" s="700">
        <v>0</v>
      </c>
      <c r="H100" s="700">
        <v>11858</v>
      </c>
      <c r="I100" s="700">
        <v>0</v>
      </c>
      <c r="J100" s="700">
        <v>1329</v>
      </c>
    </row>
    <row r="101" spans="1:10">
      <c r="A101" s="700">
        <v>410</v>
      </c>
      <c r="B101" s="700">
        <v>1710806</v>
      </c>
      <c r="C101" s="700">
        <v>4256</v>
      </c>
      <c r="D101" s="700">
        <v>283365</v>
      </c>
      <c r="E101" s="700">
        <v>12294</v>
      </c>
      <c r="F101" s="700">
        <v>1196206</v>
      </c>
      <c r="G101" s="700">
        <v>71</v>
      </c>
      <c r="H101" s="700">
        <v>24723</v>
      </c>
      <c r="I101" s="700">
        <v>769</v>
      </c>
      <c r="J101" s="700">
        <v>189122</v>
      </c>
    </row>
    <row r="102" spans="1:10">
      <c r="A102" s="700">
        <v>420</v>
      </c>
      <c r="B102" s="700">
        <v>1539189</v>
      </c>
      <c r="C102" s="700">
        <v>10863</v>
      </c>
      <c r="D102" s="700">
        <v>544639</v>
      </c>
      <c r="E102" s="700">
        <v>24569</v>
      </c>
      <c r="F102" s="700">
        <v>829976</v>
      </c>
      <c r="G102" s="700">
        <v>1915</v>
      </c>
      <c r="H102" s="700">
        <v>47839</v>
      </c>
      <c r="I102" s="700">
        <v>1604</v>
      </c>
      <c r="J102" s="700">
        <v>77784</v>
      </c>
    </row>
    <row r="103" spans="1:10">
      <c r="A103" s="700">
        <v>421</v>
      </c>
      <c r="B103" s="700">
        <v>60382</v>
      </c>
      <c r="C103" s="700">
        <v>1083</v>
      </c>
      <c r="D103" s="700">
        <v>16436</v>
      </c>
      <c r="E103" s="700">
        <v>3012</v>
      </c>
      <c r="F103" s="700">
        <v>37624</v>
      </c>
      <c r="G103" s="700">
        <v>0</v>
      </c>
      <c r="H103" s="700">
        <v>843</v>
      </c>
      <c r="I103" s="700">
        <v>85</v>
      </c>
      <c r="J103" s="700">
        <v>1299</v>
      </c>
    </row>
    <row r="104" spans="1:10">
      <c r="A104" s="700">
        <v>422</v>
      </c>
      <c r="B104" s="700">
        <v>32564</v>
      </c>
      <c r="C104" s="700">
        <v>132</v>
      </c>
      <c r="D104" s="700">
        <v>10676</v>
      </c>
      <c r="E104" s="700">
        <v>516</v>
      </c>
      <c r="F104" s="700">
        <v>18607</v>
      </c>
      <c r="G104" s="700">
        <v>0</v>
      </c>
      <c r="H104" s="700">
        <v>450</v>
      </c>
      <c r="I104" s="700">
        <v>2</v>
      </c>
      <c r="J104" s="700">
        <v>2181</v>
      </c>
    </row>
    <row r="105" spans="1:10">
      <c r="A105" s="700">
        <v>430</v>
      </c>
      <c r="B105" s="700">
        <v>470232</v>
      </c>
      <c r="C105" s="700">
        <v>4676</v>
      </c>
      <c r="D105" s="700">
        <v>172195</v>
      </c>
      <c r="E105" s="700">
        <v>6145</v>
      </c>
      <c r="F105" s="700">
        <v>253980</v>
      </c>
      <c r="G105" s="700">
        <v>24</v>
      </c>
      <c r="H105" s="700">
        <v>8132</v>
      </c>
      <c r="I105" s="700">
        <v>155</v>
      </c>
      <c r="J105" s="700">
        <v>24925</v>
      </c>
    </row>
    <row r="106" spans="1:10">
      <c r="A106" s="700">
        <v>450</v>
      </c>
      <c r="B106" s="700">
        <v>45549</v>
      </c>
      <c r="C106" s="700">
        <v>20</v>
      </c>
      <c r="D106" s="700">
        <v>21147</v>
      </c>
      <c r="E106" s="700">
        <v>62</v>
      </c>
      <c r="F106" s="700">
        <v>23928</v>
      </c>
      <c r="G106" s="700">
        <v>0</v>
      </c>
      <c r="H106" s="700">
        <v>197</v>
      </c>
      <c r="I106" s="700">
        <v>0</v>
      </c>
      <c r="J106" s="700">
        <v>195</v>
      </c>
    </row>
    <row r="107" spans="1:10">
      <c r="A107" s="700">
        <v>460</v>
      </c>
      <c r="B107" s="700">
        <v>24135</v>
      </c>
      <c r="C107" s="700">
        <v>101</v>
      </c>
      <c r="D107" s="700">
        <v>5010</v>
      </c>
      <c r="E107" s="700">
        <v>722</v>
      </c>
      <c r="F107" s="700">
        <v>18192</v>
      </c>
      <c r="G107" s="700">
        <v>2</v>
      </c>
      <c r="H107" s="700">
        <v>25</v>
      </c>
      <c r="I107" s="700">
        <v>6</v>
      </c>
      <c r="J107" s="700">
        <v>77</v>
      </c>
    </row>
    <row r="108" spans="1:10">
      <c r="A108" s="700">
        <v>501</v>
      </c>
      <c r="B108" s="700">
        <v>2730565</v>
      </c>
      <c r="C108" s="700">
        <v>37561</v>
      </c>
      <c r="D108" s="700">
        <v>742291</v>
      </c>
      <c r="E108" s="700">
        <v>112461</v>
      </c>
      <c r="F108" s="700">
        <v>1838252</v>
      </c>
      <c r="G108" s="700">
        <v>0</v>
      </c>
      <c r="H108" s="700">
        <v>0</v>
      </c>
      <c r="I108" s="700">
        <v>0</v>
      </c>
      <c r="J108" s="700">
        <v>0</v>
      </c>
    </row>
    <row r="109" spans="1:10">
      <c r="A109" s="700">
        <v>502</v>
      </c>
      <c r="B109" s="700">
        <v>2085281</v>
      </c>
      <c r="C109" s="700">
        <v>27132</v>
      </c>
      <c r="D109" s="700">
        <v>792846</v>
      </c>
      <c r="E109" s="700">
        <v>29684</v>
      </c>
      <c r="F109" s="700">
        <v>1029592</v>
      </c>
      <c r="G109" s="700">
        <v>538</v>
      </c>
      <c r="H109" s="700">
        <v>62364</v>
      </c>
      <c r="I109" s="700">
        <v>925</v>
      </c>
      <c r="J109" s="700">
        <v>142200</v>
      </c>
    </row>
    <row r="110" spans="1:10">
      <c r="A110" s="700">
        <v>503</v>
      </c>
      <c r="B110" s="700">
        <v>91624</v>
      </c>
      <c r="C110" s="700">
        <v>2136</v>
      </c>
      <c r="D110" s="700">
        <v>26270</v>
      </c>
      <c r="E110" s="700">
        <v>7239</v>
      </c>
      <c r="F110" s="700">
        <v>53057</v>
      </c>
      <c r="G110" s="700">
        <v>2</v>
      </c>
      <c r="H110" s="700">
        <v>867</v>
      </c>
      <c r="I110" s="700">
        <v>0</v>
      </c>
      <c r="J110" s="700">
        <v>2053</v>
      </c>
    </row>
    <row r="111" spans="1:10">
      <c r="A111" s="700">
        <v>560</v>
      </c>
      <c r="B111" s="700">
        <v>2607907</v>
      </c>
      <c r="C111" s="700">
        <v>6587</v>
      </c>
      <c r="D111" s="700">
        <v>486748</v>
      </c>
      <c r="E111" s="700">
        <v>26022</v>
      </c>
      <c r="F111" s="700">
        <v>2088550</v>
      </c>
      <c r="G111" s="700">
        <v>0</v>
      </c>
      <c r="H111" s="700">
        <v>0</v>
      </c>
      <c r="I111" s="700">
        <v>0</v>
      </c>
      <c r="J111" s="700">
        <v>0</v>
      </c>
    </row>
    <row r="112" spans="1:10">
      <c r="A112" s="700">
        <v>650</v>
      </c>
      <c r="B112" s="700">
        <v>6863019</v>
      </c>
      <c r="C112" s="700">
        <v>1323</v>
      </c>
      <c r="D112" s="700">
        <v>142328</v>
      </c>
      <c r="E112" s="700">
        <v>15416</v>
      </c>
      <c r="F112" s="700">
        <v>505071</v>
      </c>
      <c r="G112" s="700">
        <v>2061</v>
      </c>
      <c r="H112" s="700">
        <v>1595071</v>
      </c>
      <c r="I112" s="700">
        <v>17466</v>
      </c>
      <c r="J112" s="700">
        <v>4584283</v>
      </c>
    </row>
    <row r="113" spans="1:10">
      <c r="A113" s="700">
        <v>651</v>
      </c>
      <c r="B113" s="700">
        <v>546833</v>
      </c>
      <c r="C113" s="700">
        <v>147</v>
      </c>
      <c r="D113" s="700">
        <v>11998</v>
      </c>
      <c r="E113" s="700">
        <v>590</v>
      </c>
      <c r="F113" s="700">
        <v>49236</v>
      </c>
      <c r="G113" s="700">
        <v>5398</v>
      </c>
      <c r="H113" s="700">
        <v>141527</v>
      </c>
      <c r="I113" s="700">
        <v>25076</v>
      </c>
      <c r="J113" s="700">
        <v>312861</v>
      </c>
    </row>
    <row r="114" spans="1:10">
      <c r="A114" s="700">
        <v>652</v>
      </c>
      <c r="B114" s="700">
        <v>280421</v>
      </c>
      <c r="C114" s="700">
        <v>0</v>
      </c>
      <c r="D114" s="700">
        <v>4204</v>
      </c>
      <c r="E114" s="700">
        <v>1197</v>
      </c>
      <c r="F114" s="700">
        <v>13121</v>
      </c>
      <c r="G114" s="700">
        <v>166</v>
      </c>
      <c r="H114" s="700">
        <v>65819</v>
      </c>
      <c r="I114" s="700">
        <v>123</v>
      </c>
      <c r="J114" s="700">
        <v>195791</v>
      </c>
    </row>
    <row r="115" spans="1:10">
      <c r="A115" s="700">
        <v>653</v>
      </c>
      <c r="B115" s="700">
        <v>1050782</v>
      </c>
      <c r="C115" s="700">
        <v>370</v>
      </c>
      <c r="D115" s="700">
        <v>13380</v>
      </c>
      <c r="E115" s="700">
        <v>3242</v>
      </c>
      <c r="F115" s="700">
        <v>81161</v>
      </c>
      <c r="G115" s="700">
        <v>233</v>
      </c>
      <c r="H115" s="700">
        <v>138733</v>
      </c>
      <c r="I115" s="700">
        <v>770</v>
      </c>
      <c r="J115" s="700">
        <v>812893</v>
      </c>
    </row>
    <row r="116" spans="1:10">
      <c r="A116" s="700">
        <v>654</v>
      </c>
      <c r="B116" s="700">
        <v>517442</v>
      </c>
      <c r="C116" s="700">
        <v>400</v>
      </c>
      <c r="D116" s="700">
        <v>12111</v>
      </c>
      <c r="E116" s="700">
        <v>3216</v>
      </c>
      <c r="F116" s="700">
        <v>19712</v>
      </c>
      <c r="G116" s="700">
        <v>88</v>
      </c>
      <c r="H116" s="700">
        <v>158692</v>
      </c>
      <c r="I116" s="700">
        <v>239</v>
      </c>
      <c r="J116" s="700">
        <v>322984</v>
      </c>
    </row>
    <row r="117" spans="1:10">
      <c r="A117" s="700">
        <v>655</v>
      </c>
      <c r="B117" s="700">
        <v>508427</v>
      </c>
      <c r="C117" s="700">
        <v>8</v>
      </c>
      <c r="D117" s="700">
        <v>17668</v>
      </c>
      <c r="E117" s="700">
        <v>203</v>
      </c>
      <c r="F117" s="700">
        <v>103235</v>
      </c>
      <c r="G117" s="700">
        <v>6590</v>
      </c>
      <c r="H117" s="700">
        <v>102705</v>
      </c>
      <c r="I117" s="700">
        <v>1859</v>
      </c>
      <c r="J117" s="700">
        <v>276159</v>
      </c>
    </row>
    <row r="118" spans="1:10">
      <c r="A118" s="700">
        <v>656</v>
      </c>
      <c r="B118" s="700">
        <v>82067</v>
      </c>
      <c r="C118" s="700">
        <v>57</v>
      </c>
      <c r="D118" s="700">
        <v>50932</v>
      </c>
      <c r="E118" s="700">
        <v>18</v>
      </c>
      <c r="F118" s="700">
        <v>13591</v>
      </c>
      <c r="G118" s="700">
        <v>0</v>
      </c>
      <c r="H118" s="700">
        <v>3373</v>
      </c>
      <c r="I118" s="700">
        <v>5</v>
      </c>
      <c r="J118" s="700">
        <v>14091</v>
      </c>
    </row>
    <row r="119" spans="1:10">
      <c r="A119" s="700">
        <v>662</v>
      </c>
      <c r="B119" s="700">
        <v>23633</v>
      </c>
      <c r="C119" s="700">
        <v>0</v>
      </c>
      <c r="D119" s="700">
        <v>131</v>
      </c>
      <c r="E119" s="700">
        <v>0</v>
      </c>
      <c r="F119" s="700">
        <v>959</v>
      </c>
      <c r="G119" s="700">
        <v>0</v>
      </c>
      <c r="H119" s="700">
        <v>6187</v>
      </c>
      <c r="I119" s="700">
        <v>22</v>
      </c>
      <c r="J119" s="700">
        <v>16334</v>
      </c>
    </row>
    <row r="120" spans="1:10">
      <c r="A120" s="700">
        <v>710</v>
      </c>
      <c r="B120" s="700">
        <v>4276</v>
      </c>
      <c r="C120" s="700">
        <v>4</v>
      </c>
      <c r="D120" s="700">
        <v>975</v>
      </c>
      <c r="E120" s="700">
        <v>1</v>
      </c>
      <c r="F120" s="700">
        <v>3192</v>
      </c>
      <c r="G120" s="700">
        <v>0</v>
      </c>
      <c r="H120" s="700">
        <v>0</v>
      </c>
      <c r="I120" s="700">
        <v>0</v>
      </c>
      <c r="J120" s="700">
        <v>104</v>
      </c>
    </row>
    <row r="121" spans="1:10">
      <c r="A121" s="700">
        <v>711</v>
      </c>
      <c r="B121" s="700">
        <v>20251</v>
      </c>
      <c r="C121" s="700">
        <v>39</v>
      </c>
      <c r="D121" s="700">
        <v>1884</v>
      </c>
      <c r="E121" s="700">
        <v>15</v>
      </c>
      <c r="F121" s="700">
        <v>14003</v>
      </c>
      <c r="G121" s="700">
        <v>0</v>
      </c>
      <c r="H121" s="700">
        <v>880</v>
      </c>
      <c r="I121" s="700">
        <v>0</v>
      </c>
      <c r="J121" s="700">
        <v>3430</v>
      </c>
    </row>
    <row r="122" spans="1:10">
      <c r="A122" s="700">
        <v>712</v>
      </c>
      <c r="B122" s="700">
        <v>5</v>
      </c>
      <c r="C122" s="700">
        <v>0</v>
      </c>
      <c r="D122" s="700">
        <v>0</v>
      </c>
      <c r="E122" s="700">
        <v>0</v>
      </c>
      <c r="F122" s="700">
        <v>5</v>
      </c>
      <c r="G122" s="700">
        <v>0</v>
      </c>
      <c r="H122" s="700">
        <v>0</v>
      </c>
      <c r="I122" s="700">
        <v>0</v>
      </c>
      <c r="J122" s="700">
        <v>0</v>
      </c>
    </row>
    <row r="123" spans="1:10">
      <c r="A123" s="700">
        <v>713</v>
      </c>
      <c r="B123" s="700">
        <v>5882</v>
      </c>
      <c r="C123" s="700">
        <v>56</v>
      </c>
      <c r="D123" s="700">
        <v>12</v>
      </c>
      <c r="E123" s="700">
        <v>528</v>
      </c>
      <c r="F123" s="700">
        <v>83</v>
      </c>
      <c r="G123" s="700">
        <v>6</v>
      </c>
      <c r="H123" s="700">
        <v>641</v>
      </c>
      <c r="I123" s="700">
        <v>49</v>
      </c>
      <c r="J123" s="700">
        <v>4507</v>
      </c>
    </row>
    <row r="124" spans="1:10">
      <c r="A124" s="700">
        <v>715</v>
      </c>
      <c r="B124" s="700">
        <v>1</v>
      </c>
      <c r="C124" s="700">
        <v>0</v>
      </c>
      <c r="D124" s="700">
        <v>1</v>
      </c>
      <c r="E124" s="700">
        <v>0</v>
      </c>
      <c r="F124" s="700">
        <v>0</v>
      </c>
      <c r="G124" s="700">
        <v>0</v>
      </c>
      <c r="H124" s="700">
        <v>0</v>
      </c>
      <c r="I124" s="700">
        <v>0</v>
      </c>
      <c r="J124" s="700">
        <v>0</v>
      </c>
    </row>
    <row r="125" spans="1:10">
      <c r="A125" s="700">
        <v>720</v>
      </c>
      <c r="B125" s="700">
        <v>6</v>
      </c>
      <c r="C125" s="700">
        <v>1</v>
      </c>
      <c r="D125" s="700">
        <v>0</v>
      </c>
      <c r="E125" s="700">
        <v>0</v>
      </c>
      <c r="F125" s="700">
        <v>5</v>
      </c>
      <c r="G125" s="700">
        <v>0</v>
      </c>
      <c r="H125" s="700">
        <v>0</v>
      </c>
      <c r="I125" s="700">
        <v>0</v>
      </c>
      <c r="J125" s="700">
        <v>0</v>
      </c>
    </row>
    <row r="126" spans="1:10">
      <c r="A126" s="700">
        <v>721</v>
      </c>
      <c r="B126" s="700">
        <v>1</v>
      </c>
      <c r="C126" s="700">
        <v>0</v>
      </c>
      <c r="D126" s="700">
        <v>0</v>
      </c>
      <c r="E126" s="700">
        <v>0</v>
      </c>
      <c r="F126" s="700">
        <v>1</v>
      </c>
      <c r="G126" s="700">
        <v>0</v>
      </c>
      <c r="H126" s="700">
        <v>0</v>
      </c>
      <c r="I126" s="700">
        <v>0</v>
      </c>
      <c r="J126" s="700">
        <v>0</v>
      </c>
    </row>
    <row r="127" spans="1:10">
      <c r="A127" s="700">
        <v>722</v>
      </c>
      <c r="B127" s="700">
        <v>3253</v>
      </c>
      <c r="C127" s="700">
        <v>0</v>
      </c>
      <c r="D127" s="700">
        <v>852</v>
      </c>
      <c r="E127" s="700">
        <v>0</v>
      </c>
      <c r="F127" s="700">
        <v>492</v>
      </c>
      <c r="G127" s="700">
        <v>0</v>
      </c>
      <c r="H127" s="700">
        <v>504</v>
      </c>
      <c r="I127" s="700">
        <v>0</v>
      </c>
      <c r="J127" s="700">
        <v>1405</v>
      </c>
    </row>
    <row r="128" spans="1:10">
      <c r="A128" s="700">
        <v>800</v>
      </c>
      <c r="B128" s="700">
        <v>1075994</v>
      </c>
      <c r="C128" s="700">
        <v>11208</v>
      </c>
      <c r="D128" s="700">
        <v>132302</v>
      </c>
      <c r="E128" s="700">
        <v>51082</v>
      </c>
      <c r="F128" s="700">
        <v>818710</v>
      </c>
      <c r="G128" s="700">
        <v>32</v>
      </c>
      <c r="H128" s="700">
        <v>12338</v>
      </c>
      <c r="I128" s="700">
        <v>756</v>
      </c>
      <c r="J128" s="700">
        <v>49566</v>
      </c>
    </row>
    <row r="129" spans="1:10">
      <c r="A129" s="700">
        <v>811</v>
      </c>
      <c r="B129" s="700">
        <v>20756</v>
      </c>
      <c r="C129" s="700">
        <v>0</v>
      </c>
      <c r="D129" s="700">
        <v>17154</v>
      </c>
      <c r="E129" s="700">
        <v>2</v>
      </c>
      <c r="F129" s="700">
        <v>1752</v>
      </c>
      <c r="G129" s="700">
        <v>0</v>
      </c>
      <c r="H129" s="700">
        <v>203</v>
      </c>
      <c r="I129" s="700">
        <v>0</v>
      </c>
      <c r="J129" s="700">
        <v>1645</v>
      </c>
    </row>
    <row r="130" spans="1:10">
      <c r="A130" s="700">
        <v>812</v>
      </c>
      <c r="B130" s="700">
        <v>169199</v>
      </c>
      <c r="C130" s="700">
        <v>0</v>
      </c>
      <c r="D130" s="700">
        <v>52186</v>
      </c>
      <c r="E130" s="700">
        <v>2</v>
      </c>
      <c r="F130" s="700">
        <v>43829</v>
      </c>
      <c r="G130" s="700">
        <v>0</v>
      </c>
      <c r="H130" s="700">
        <v>57205</v>
      </c>
      <c r="I130" s="700">
        <v>0</v>
      </c>
      <c r="J130" s="700">
        <v>15977</v>
      </c>
    </row>
    <row r="131" spans="1:10">
      <c r="A131" s="700">
        <v>822</v>
      </c>
      <c r="B131" s="700">
        <v>65309</v>
      </c>
      <c r="C131" s="700">
        <v>145</v>
      </c>
      <c r="D131" s="700">
        <v>16901</v>
      </c>
      <c r="E131" s="700">
        <v>638</v>
      </c>
      <c r="F131" s="700">
        <v>40289</v>
      </c>
      <c r="G131" s="700">
        <v>0</v>
      </c>
      <c r="H131" s="700">
        <v>6226</v>
      </c>
      <c r="I131" s="700">
        <v>0</v>
      </c>
      <c r="J131" s="700">
        <v>1110</v>
      </c>
    </row>
    <row r="132" spans="1:10">
      <c r="A132" s="700">
        <v>840</v>
      </c>
      <c r="B132" s="700">
        <v>117465</v>
      </c>
      <c r="C132" s="700">
        <v>24</v>
      </c>
      <c r="D132" s="700">
        <v>5743</v>
      </c>
      <c r="E132" s="700">
        <v>13</v>
      </c>
      <c r="F132" s="700">
        <v>22674</v>
      </c>
      <c r="G132" s="700">
        <v>465</v>
      </c>
      <c r="H132" s="700">
        <v>30921</v>
      </c>
      <c r="I132" s="700">
        <v>965</v>
      </c>
      <c r="J132" s="700">
        <v>56660</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1:W530"/>
  <sheetViews>
    <sheetView showGridLines="0" zoomScaleNormal="100" workbookViewId="0"/>
  </sheetViews>
  <sheetFormatPr defaultRowHeight="15"/>
  <cols>
    <col min="3" max="3" width="14.28515625" bestFit="1" customWidth="1"/>
    <col min="4" max="4" width="9.140625" style="507"/>
    <col min="5" max="5" width="0.85546875" style="606" customWidth="1"/>
    <col min="11" max="11" width="14.28515625" bestFit="1" customWidth="1"/>
    <col min="12" max="12" width="9.5703125" bestFit="1" customWidth="1"/>
    <col min="14" max="14" width="0.85546875" style="606" customWidth="1"/>
    <col min="16" max="16" width="9.140625" style="507"/>
    <col min="17" max="17" width="13.42578125" style="507" customWidth="1"/>
    <col min="18" max="18" width="0.85546875" style="606" customWidth="1"/>
    <col min="19" max="19" width="9.140625" style="507"/>
    <col min="20" max="20" width="9.140625" style="492"/>
    <col min="22" max="22" width="11.7109375" style="143" customWidth="1"/>
    <col min="23" max="23" width="11.42578125" style="604" customWidth="1"/>
  </cols>
  <sheetData>
    <row r="1" spans="1:23" s="507" customFormat="1">
      <c r="A1" s="699" t="s">
        <v>974</v>
      </c>
      <c r="E1" s="606"/>
      <c r="G1" s="699"/>
      <c r="N1" s="606"/>
      <c r="R1" s="606"/>
      <c r="V1" s="143"/>
      <c r="W1" s="604"/>
    </row>
    <row r="2" spans="1:23" s="143" customFormat="1">
      <c r="A2" s="605" t="s">
        <v>912</v>
      </c>
      <c r="E2" s="606"/>
      <c r="G2" s="605" t="s">
        <v>884</v>
      </c>
      <c r="N2" s="606"/>
      <c r="P2" s="605" t="s">
        <v>913</v>
      </c>
      <c r="R2" s="606"/>
      <c r="W2" s="604"/>
    </row>
    <row r="3" spans="1:23" ht="30">
      <c r="A3" s="701" t="s">
        <v>740</v>
      </c>
      <c r="B3" s="701" t="s">
        <v>75</v>
      </c>
      <c r="C3" s="701" t="s">
        <v>76</v>
      </c>
      <c r="D3" s="493"/>
      <c r="E3" s="146"/>
      <c r="G3" s="700" t="s">
        <v>781</v>
      </c>
      <c r="H3" s="700" t="s">
        <v>782</v>
      </c>
      <c r="I3" s="700" t="s">
        <v>783</v>
      </c>
      <c r="J3" s="700" t="s">
        <v>75</v>
      </c>
      <c r="K3" s="700" t="s">
        <v>76</v>
      </c>
      <c r="L3" s="700" t="s">
        <v>784</v>
      </c>
      <c r="M3" s="700"/>
      <c r="N3" s="146"/>
      <c r="P3" s="703" t="s">
        <v>740</v>
      </c>
      <c r="R3" s="146"/>
      <c r="T3" s="705" t="s">
        <v>883</v>
      </c>
      <c r="U3" s="706" t="s">
        <v>882</v>
      </c>
      <c r="V3" s="705" t="s">
        <v>749</v>
      </c>
      <c r="W3" s="707" t="s">
        <v>750</v>
      </c>
    </row>
    <row r="4" spans="1:23">
      <c r="A4" s="700" t="s">
        <v>622</v>
      </c>
      <c r="B4" s="700">
        <v>1</v>
      </c>
      <c r="C4" s="702">
        <v>145.34420655386</v>
      </c>
      <c r="G4" s="700" t="s">
        <v>785</v>
      </c>
      <c r="H4" s="700" t="s">
        <v>785</v>
      </c>
      <c r="I4" s="700" t="s">
        <v>331</v>
      </c>
      <c r="J4" s="700">
        <v>2467</v>
      </c>
      <c r="K4" s="702">
        <v>235948.553460745</v>
      </c>
      <c r="L4" s="702">
        <v>95.641894390249405</v>
      </c>
      <c r="M4" s="700"/>
      <c r="P4" s="704" t="s">
        <v>342</v>
      </c>
      <c r="Q4" s="697"/>
      <c r="T4" s="706">
        <f t="shared" ref="T4:T67" si="0">VLOOKUP(A4,$I:$L,2,FALSE)</f>
        <v>1</v>
      </c>
      <c r="U4" s="706">
        <f t="shared" ref="U4:U67" si="1">VLOOKUP(A4,$I:$L,3,FALSE)</f>
        <v>145.34420655386</v>
      </c>
      <c r="V4" s="706">
        <f t="shared" ref="V4:V67" si="2">IF(COUNTIF($P:$P,A4)=1,0,T4)</f>
        <v>1</v>
      </c>
      <c r="W4" s="708">
        <f t="shared" ref="W4:W67" si="3">IF(COUNTIF($P:$P,A4)=1,0,U4)</f>
        <v>145.34420655386</v>
      </c>
    </row>
    <row r="5" spans="1:23">
      <c r="A5" s="700" t="s">
        <v>77</v>
      </c>
      <c r="B5" s="700">
        <v>43</v>
      </c>
      <c r="C5" s="702">
        <v>6182.3933848911201</v>
      </c>
      <c r="G5" s="700" t="s">
        <v>785</v>
      </c>
      <c r="H5" s="700" t="s">
        <v>785</v>
      </c>
      <c r="I5" s="700" t="s">
        <v>278</v>
      </c>
      <c r="J5" s="700">
        <v>676</v>
      </c>
      <c r="K5" s="702">
        <v>65843.189058301097</v>
      </c>
      <c r="L5" s="702">
        <v>97.401167246007503</v>
      </c>
      <c r="M5" s="700"/>
      <c r="P5" s="704" t="s">
        <v>343</v>
      </c>
      <c r="Q5" s="697"/>
      <c r="T5" s="706">
        <f t="shared" si="0"/>
        <v>43</v>
      </c>
      <c r="U5" s="706">
        <f t="shared" si="1"/>
        <v>6182.3933848911201</v>
      </c>
      <c r="V5" s="706">
        <f t="shared" si="2"/>
        <v>43</v>
      </c>
      <c r="W5" s="708">
        <f t="shared" si="3"/>
        <v>6182.3933848911201</v>
      </c>
    </row>
    <row r="6" spans="1:23">
      <c r="A6" s="700" t="s">
        <v>582</v>
      </c>
      <c r="B6" s="700">
        <v>3</v>
      </c>
      <c r="C6" s="702">
        <v>351.74463170824203</v>
      </c>
      <c r="G6" s="700" t="s">
        <v>785</v>
      </c>
      <c r="H6" s="700" t="s">
        <v>785</v>
      </c>
      <c r="I6" s="700" t="s">
        <v>525</v>
      </c>
      <c r="J6" s="700">
        <v>780</v>
      </c>
      <c r="K6" s="702">
        <v>116457.984000105</v>
      </c>
      <c r="L6" s="702">
        <v>149.30510769244199</v>
      </c>
      <c r="M6" s="700"/>
      <c r="P6" s="704" t="s">
        <v>344</v>
      </c>
      <c r="Q6" s="697"/>
      <c r="T6" s="706">
        <f t="shared" si="0"/>
        <v>3</v>
      </c>
      <c r="U6" s="706">
        <f t="shared" si="1"/>
        <v>351.74463170824203</v>
      </c>
      <c r="V6" s="706">
        <f t="shared" si="2"/>
        <v>3</v>
      </c>
      <c r="W6" s="708">
        <f t="shared" si="3"/>
        <v>351.74463170824203</v>
      </c>
    </row>
    <row r="7" spans="1:23">
      <c r="A7" s="700" t="s">
        <v>78</v>
      </c>
      <c r="B7" s="700">
        <v>15</v>
      </c>
      <c r="C7" s="702">
        <v>2402.39694105033</v>
      </c>
      <c r="G7" s="700" t="s">
        <v>785</v>
      </c>
      <c r="H7" s="700" t="s">
        <v>785</v>
      </c>
      <c r="I7" s="700" t="s">
        <v>300</v>
      </c>
      <c r="J7" s="700">
        <v>232</v>
      </c>
      <c r="K7" s="702">
        <v>39906.251911192201</v>
      </c>
      <c r="L7" s="702">
        <v>172.00970651375999</v>
      </c>
      <c r="M7" s="700"/>
      <c r="P7" s="704" t="s">
        <v>587</v>
      </c>
      <c r="Q7" s="697"/>
      <c r="T7" s="706">
        <f t="shared" si="0"/>
        <v>15</v>
      </c>
      <c r="U7" s="706">
        <f t="shared" si="1"/>
        <v>2402.39694105033</v>
      </c>
      <c r="V7" s="706">
        <f t="shared" si="2"/>
        <v>15</v>
      </c>
      <c r="W7" s="708">
        <f t="shared" si="3"/>
        <v>2402.39694105033</v>
      </c>
    </row>
    <row r="8" spans="1:23">
      <c r="A8" s="700" t="s">
        <v>581</v>
      </c>
      <c r="B8" s="700">
        <v>1</v>
      </c>
      <c r="C8" s="702">
        <v>281.76652147575498</v>
      </c>
      <c r="G8" s="700" t="s">
        <v>785</v>
      </c>
      <c r="H8" s="700" t="s">
        <v>785</v>
      </c>
      <c r="I8" s="700" t="s">
        <v>526</v>
      </c>
      <c r="J8" s="700">
        <v>5</v>
      </c>
      <c r="K8" s="702">
        <v>618.33850320607996</v>
      </c>
      <c r="L8" s="702">
        <v>123.667700641216</v>
      </c>
      <c r="M8" s="700"/>
      <c r="P8" s="704" t="s">
        <v>595</v>
      </c>
      <c r="Q8" s="697"/>
      <c r="T8" s="706">
        <f t="shared" si="0"/>
        <v>1</v>
      </c>
      <c r="U8" s="706">
        <f t="shared" si="1"/>
        <v>281.76652147575498</v>
      </c>
      <c r="V8" s="706">
        <f t="shared" si="2"/>
        <v>1</v>
      </c>
      <c r="W8" s="708">
        <f t="shared" si="3"/>
        <v>281.76652147575498</v>
      </c>
    </row>
    <row r="9" spans="1:23">
      <c r="A9" s="700" t="s">
        <v>654</v>
      </c>
      <c r="B9" s="700">
        <v>2</v>
      </c>
      <c r="C9" s="702">
        <v>169394.77517820601</v>
      </c>
      <c r="G9" s="700" t="s">
        <v>785</v>
      </c>
      <c r="H9" s="700" t="s">
        <v>785</v>
      </c>
      <c r="I9" s="700" t="s">
        <v>527</v>
      </c>
      <c r="J9" s="700">
        <v>1</v>
      </c>
      <c r="K9" s="702">
        <v>209.04789653717299</v>
      </c>
      <c r="L9" s="702">
        <v>209.04789653717299</v>
      </c>
      <c r="M9" s="700"/>
      <c r="P9" s="704" t="s">
        <v>623</v>
      </c>
      <c r="Q9" s="697"/>
      <c r="T9" s="706">
        <f t="shared" si="0"/>
        <v>2</v>
      </c>
      <c r="U9" s="706">
        <f t="shared" si="1"/>
        <v>135.46152483262401</v>
      </c>
      <c r="V9" s="706">
        <f t="shared" si="2"/>
        <v>2</v>
      </c>
      <c r="W9" s="708">
        <f t="shared" si="3"/>
        <v>135.46152483262401</v>
      </c>
    </row>
    <row r="10" spans="1:23">
      <c r="A10" s="700" t="s">
        <v>79</v>
      </c>
      <c r="B10" s="700">
        <v>2661</v>
      </c>
      <c r="C10" s="702">
        <v>553312.364253495</v>
      </c>
      <c r="G10" s="700" t="s">
        <v>785</v>
      </c>
      <c r="H10" s="700" t="s">
        <v>785</v>
      </c>
      <c r="I10" s="700" t="s">
        <v>174</v>
      </c>
      <c r="J10" s="700">
        <v>10886</v>
      </c>
      <c r="K10" s="702">
        <v>1605221.8748874899</v>
      </c>
      <c r="L10" s="702">
        <v>147.457456814945</v>
      </c>
      <c r="M10" s="700"/>
      <c r="P10" s="704" t="s">
        <v>287</v>
      </c>
      <c r="Q10" s="697"/>
      <c r="T10" s="706">
        <f t="shared" si="0"/>
        <v>2661</v>
      </c>
      <c r="U10" s="706">
        <f t="shared" si="1"/>
        <v>384053.05060012097</v>
      </c>
      <c r="V10" s="706">
        <f t="shared" si="2"/>
        <v>2661</v>
      </c>
      <c r="W10" s="708">
        <f t="shared" si="3"/>
        <v>384053.05060012097</v>
      </c>
    </row>
    <row r="11" spans="1:23">
      <c r="A11" s="700" t="s">
        <v>80</v>
      </c>
      <c r="B11" s="700">
        <v>6</v>
      </c>
      <c r="C11" s="702">
        <v>1317.13288693596</v>
      </c>
      <c r="G11" s="700" t="s">
        <v>785</v>
      </c>
      <c r="H11" s="700" t="s">
        <v>785</v>
      </c>
      <c r="I11" s="700" t="s">
        <v>113</v>
      </c>
      <c r="J11" s="700">
        <v>103</v>
      </c>
      <c r="K11" s="702">
        <v>13343.7020944616</v>
      </c>
      <c r="L11" s="702">
        <v>129.55050577147199</v>
      </c>
      <c r="M11" s="700"/>
      <c r="P11" s="704" t="s">
        <v>288</v>
      </c>
      <c r="Q11" s="697"/>
      <c r="T11" s="706">
        <f t="shared" si="0"/>
        <v>6</v>
      </c>
      <c r="U11" s="706">
        <f t="shared" si="1"/>
        <v>1317.13288693596</v>
      </c>
      <c r="V11" s="706">
        <f t="shared" si="2"/>
        <v>6</v>
      </c>
      <c r="W11" s="708">
        <f t="shared" si="3"/>
        <v>1317.13288693596</v>
      </c>
    </row>
    <row r="12" spans="1:23">
      <c r="A12" s="700" t="s">
        <v>577</v>
      </c>
      <c r="B12" s="700">
        <v>3</v>
      </c>
      <c r="C12" s="702">
        <v>940.95249084143404</v>
      </c>
      <c r="G12" s="700" t="s">
        <v>785</v>
      </c>
      <c r="H12" s="700" t="s">
        <v>785</v>
      </c>
      <c r="I12" s="700" t="s">
        <v>337</v>
      </c>
      <c r="J12" s="700">
        <v>2233</v>
      </c>
      <c r="K12" s="702">
        <v>802354.73238932597</v>
      </c>
      <c r="L12" s="702">
        <v>359.31694240453498</v>
      </c>
      <c r="M12" s="700"/>
      <c r="P12" s="704" t="s">
        <v>289</v>
      </c>
      <c r="Q12" s="697"/>
      <c r="T12" s="706">
        <f t="shared" si="0"/>
        <v>3</v>
      </c>
      <c r="U12" s="706">
        <f t="shared" si="1"/>
        <v>940.95249084143404</v>
      </c>
      <c r="V12" s="706">
        <f t="shared" si="2"/>
        <v>3</v>
      </c>
      <c r="W12" s="708">
        <f t="shared" si="3"/>
        <v>940.95249084143404</v>
      </c>
    </row>
    <row r="13" spans="1:23">
      <c r="A13" s="700" t="s">
        <v>81</v>
      </c>
      <c r="B13" s="700">
        <v>15</v>
      </c>
      <c r="C13" s="702">
        <v>4704.7624542071699</v>
      </c>
      <c r="G13" s="700" t="s">
        <v>785</v>
      </c>
      <c r="H13" s="700" t="s">
        <v>785</v>
      </c>
      <c r="I13" s="700" t="s">
        <v>304</v>
      </c>
      <c r="J13" s="700">
        <v>6</v>
      </c>
      <c r="K13" s="702">
        <v>993.57944630541294</v>
      </c>
      <c r="L13" s="702">
        <v>165.59657438423599</v>
      </c>
      <c r="M13" s="700"/>
      <c r="P13" s="704" t="s">
        <v>290</v>
      </c>
      <c r="Q13" s="697"/>
      <c r="T13" s="706">
        <f t="shared" si="0"/>
        <v>15</v>
      </c>
      <c r="U13" s="706">
        <f t="shared" si="1"/>
        <v>4704.7624542071699</v>
      </c>
      <c r="V13" s="706">
        <f t="shared" si="2"/>
        <v>15</v>
      </c>
      <c r="W13" s="708">
        <f t="shared" si="3"/>
        <v>4704.7624542071699</v>
      </c>
    </row>
    <row r="14" spans="1:23">
      <c r="A14" s="700" t="s">
        <v>82</v>
      </c>
      <c r="B14" s="700">
        <v>867</v>
      </c>
      <c r="C14" s="702">
        <v>185654.84607443001</v>
      </c>
      <c r="G14" s="700" t="s">
        <v>785</v>
      </c>
      <c r="H14" s="700" t="s">
        <v>785</v>
      </c>
      <c r="I14" s="700" t="s">
        <v>190</v>
      </c>
      <c r="J14" s="700">
        <v>60</v>
      </c>
      <c r="K14" s="702">
        <v>7278.9303995381397</v>
      </c>
      <c r="L14" s="702">
        <v>121.315506658969</v>
      </c>
      <c r="M14" s="700"/>
      <c r="P14" s="704" t="s">
        <v>291</v>
      </c>
      <c r="Q14" s="697"/>
      <c r="T14" s="706">
        <f t="shared" si="0"/>
        <v>867</v>
      </c>
      <c r="U14" s="706">
        <f t="shared" si="1"/>
        <v>185654.84607443001</v>
      </c>
      <c r="V14" s="706">
        <f t="shared" si="2"/>
        <v>867</v>
      </c>
      <c r="W14" s="708">
        <f t="shared" si="3"/>
        <v>185654.84607443001</v>
      </c>
    </row>
    <row r="15" spans="1:23">
      <c r="A15" s="700" t="s">
        <v>83</v>
      </c>
      <c r="B15" s="700">
        <v>3611</v>
      </c>
      <c r="C15" s="702">
        <v>555144.77897717897</v>
      </c>
      <c r="G15" s="700" t="s">
        <v>785</v>
      </c>
      <c r="H15" s="700" t="s">
        <v>785</v>
      </c>
      <c r="I15" s="700" t="s">
        <v>528</v>
      </c>
      <c r="J15" s="700">
        <v>13</v>
      </c>
      <c r="K15" s="702">
        <v>1550.6875040838199</v>
      </c>
      <c r="L15" s="702">
        <v>119.28365416029401</v>
      </c>
      <c r="M15" s="700"/>
      <c r="P15" s="704" t="s">
        <v>160</v>
      </c>
      <c r="Q15" s="697"/>
      <c r="T15" s="706">
        <f t="shared" si="0"/>
        <v>3611</v>
      </c>
      <c r="U15" s="706">
        <f t="shared" si="1"/>
        <v>555144.77897717897</v>
      </c>
      <c r="V15" s="706">
        <f t="shared" si="2"/>
        <v>3611</v>
      </c>
      <c r="W15" s="708">
        <f t="shared" si="3"/>
        <v>555144.77897717897</v>
      </c>
    </row>
    <row r="16" spans="1:23">
      <c r="A16" s="700" t="s">
        <v>84</v>
      </c>
      <c r="B16" s="700">
        <v>6263</v>
      </c>
      <c r="C16" s="702">
        <v>979349.48180722899</v>
      </c>
      <c r="G16" s="700" t="s">
        <v>785</v>
      </c>
      <c r="H16" s="700" t="s">
        <v>785</v>
      </c>
      <c r="I16" s="700" t="s">
        <v>529</v>
      </c>
      <c r="J16" s="700">
        <v>3630</v>
      </c>
      <c r="K16" s="702">
        <v>1431645.7029264099</v>
      </c>
      <c r="L16" s="702">
        <v>394.39275562710998</v>
      </c>
      <c r="M16" s="700"/>
      <c r="P16" s="704" t="s">
        <v>161</v>
      </c>
      <c r="Q16" s="697"/>
      <c r="T16" s="706">
        <f t="shared" si="0"/>
        <v>6263</v>
      </c>
      <c r="U16" s="706">
        <f t="shared" si="1"/>
        <v>979349.48180722899</v>
      </c>
      <c r="V16" s="706">
        <f t="shared" si="2"/>
        <v>6263</v>
      </c>
      <c r="W16" s="708">
        <f t="shared" si="3"/>
        <v>979349.48180722899</v>
      </c>
    </row>
    <row r="17" spans="1:23">
      <c r="A17" s="700" t="s">
        <v>85</v>
      </c>
      <c r="B17" s="700">
        <v>163</v>
      </c>
      <c r="C17" s="702">
        <v>48255.300988719297</v>
      </c>
      <c r="G17" s="700" t="s">
        <v>785</v>
      </c>
      <c r="H17" s="700" t="s">
        <v>785</v>
      </c>
      <c r="I17" s="700" t="s">
        <v>175</v>
      </c>
      <c r="J17" s="700">
        <v>10</v>
      </c>
      <c r="K17" s="702">
        <v>1077.96945982492</v>
      </c>
      <c r="L17" s="702">
        <v>107.79694598249201</v>
      </c>
      <c r="M17" s="700"/>
      <c r="P17" s="704" t="s">
        <v>162</v>
      </c>
      <c r="Q17" s="697"/>
      <c r="T17" s="706">
        <f t="shared" si="0"/>
        <v>163</v>
      </c>
      <c r="U17" s="706">
        <f t="shared" si="1"/>
        <v>48255.300988719297</v>
      </c>
      <c r="V17" s="706">
        <f t="shared" si="2"/>
        <v>163</v>
      </c>
      <c r="W17" s="708">
        <f t="shared" si="3"/>
        <v>48255.300988719297</v>
      </c>
    </row>
    <row r="18" spans="1:23">
      <c r="A18" s="700" t="s">
        <v>86</v>
      </c>
      <c r="B18" s="700">
        <v>18</v>
      </c>
      <c r="C18" s="702">
        <v>2891.1722987365501</v>
      </c>
      <c r="G18" s="700" t="s">
        <v>785</v>
      </c>
      <c r="H18" s="700" t="s">
        <v>785</v>
      </c>
      <c r="I18" s="700" t="s">
        <v>228</v>
      </c>
      <c r="J18" s="700">
        <v>295</v>
      </c>
      <c r="K18" s="702">
        <v>50086.007642126802</v>
      </c>
      <c r="L18" s="702">
        <v>169.78307675297199</v>
      </c>
      <c r="M18" s="700"/>
      <c r="P18" s="704" t="s">
        <v>163</v>
      </c>
      <c r="Q18" s="697"/>
      <c r="T18" s="706">
        <f t="shared" si="0"/>
        <v>18</v>
      </c>
      <c r="U18" s="706">
        <f t="shared" si="1"/>
        <v>2891.1722987365501</v>
      </c>
      <c r="V18" s="706">
        <f t="shared" si="2"/>
        <v>18</v>
      </c>
      <c r="W18" s="708">
        <f t="shared" si="3"/>
        <v>2891.1722987365501</v>
      </c>
    </row>
    <row r="19" spans="1:23">
      <c r="A19" s="700" t="s">
        <v>87</v>
      </c>
      <c r="B19" s="700">
        <v>433</v>
      </c>
      <c r="C19" s="702">
        <v>64368.332391704098</v>
      </c>
      <c r="G19" s="700" t="s">
        <v>785</v>
      </c>
      <c r="H19" s="700" t="s">
        <v>785</v>
      </c>
      <c r="I19" s="700" t="s">
        <v>530</v>
      </c>
      <c r="J19" s="700">
        <v>47663</v>
      </c>
      <c r="K19" s="702">
        <v>7745035.3715006597</v>
      </c>
      <c r="L19" s="702">
        <v>162.495759215758</v>
      </c>
      <c r="M19" s="700"/>
      <c r="P19" s="704" t="s">
        <v>168</v>
      </c>
      <c r="Q19" s="697"/>
      <c r="T19" s="706">
        <f t="shared" si="0"/>
        <v>433</v>
      </c>
      <c r="U19" s="706">
        <f t="shared" si="1"/>
        <v>64368.332391704098</v>
      </c>
      <c r="V19" s="706">
        <f t="shared" si="2"/>
        <v>433</v>
      </c>
      <c r="W19" s="708">
        <f t="shared" si="3"/>
        <v>64368.332391704098</v>
      </c>
    </row>
    <row r="20" spans="1:23">
      <c r="A20" s="700" t="s">
        <v>88</v>
      </c>
      <c r="B20" s="700">
        <v>2791</v>
      </c>
      <c r="C20" s="702">
        <v>379550.93946685502</v>
      </c>
      <c r="G20" s="700" t="s">
        <v>785</v>
      </c>
      <c r="H20" s="700" t="s">
        <v>785</v>
      </c>
      <c r="I20" s="700" t="s">
        <v>193</v>
      </c>
      <c r="J20" s="700">
        <v>74</v>
      </c>
      <c r="K20" s="702">
        <v>15923.3097424512</v>
      </c>
      <c r="L20" s="702">
        <v>215.179861384476</v>
      </c>
      <c r="M20" s="700"/>
      <c r="P20" s="704" t="s">
        <v>169</v>
      </c>
      <c r="Q20" s="697"/>
      <c r="T20" s="706">
        <f t="shared" si="0"/>
        <v>2791</v>
      </c>
      <c r="U20" s="706">
        <f t="shared" si="1"/>
        <v>379550.93946685502</v>
      </c>
      <c r="V20" s="706">
        <f t="shared" si="2"/>
        <v>2791</v>
      </c>
      <c r="W20" s="708">
        <f t="shared" si="3"/>
        <v>379550.93946685502</v>
      </c>
    </row>
    <row r="21" spans="1:23">
      <c r="A21" s="700" t="s">
        <v>89</v>
      </c>
      <c r="B21" s="700">
        <v>85</v>
      </c>
      <c r="C21" s="702">
        <v>5719.3993178889996</v>
      </c>
      <c r="G21" s="700" t="s">
        <v>785</v>
      </c>
      <c r="H21" s="700" t="s">
        <v>785</v>
      </c>
      <c r="I21" s="700" t="s">
        <v>531</v>
      </c>
      <c r="J21" s="700">
        <v>14</v>
      </c>
      <c r="K21" s="702">
        <v>2875.4414872421198</v>
      </c>
      <c r="L21" s="702">
        <v>205.38867766015201</v>
      </c>
      <c r="M21" s="700"/>
      <c r="P21" s="704" t="s">
        <v>171</v>
      </c>
      <c r="Q21" s="697"/>
      <c r="T21" s="706">
        <f t="shared" si="0"/>
        <v>85</v>
      </c>
      <c r="U21" s="706">
        <f t="shared" si="1"/>
        <v>5719.3993178889996</v>
      </c>
      <c r="V21" s="706">
        <f t="shared" si="2"/>
        <v>85</v>
      </c>
      <c r="W21" s="708">
        <f t="shared" si="3"/>
        <v>5719.3993178889996</v>
      </c>
    </row>
    <row r="22" spans="1:23">
      <c r="A22" s="700" t="s">
        <v>90</v>
      </c>
      <c r="B22" s="700">
        <v>25</v>
      </c>
      <c r="C22" s="702">
        <v>11770.681486014701</v>
      </c>
      <c r="G22" s="700" t="s">
        <v>785</v>
      </c>
      <c r="H22" s="700" t="s">
        <v>785</v>
      </c>
      <c r="I22" s="700" t="s">
        <v>230</v>
      </c>
      <c r="J22" s="700">
        <v>220</v>
      </c>
      <c r="K22" s="702">
        <v>19175.494637307402</v>
      </c>
      <c r="L22" s="702">
        <v>87.161339260488404</v>
      </c>
      <c r="M22" s="700"/>
      <c r="P22" s="704" t="s">
        <v>172</v>
      </c>
      <c r="Q22" s="697"/>
      <c r="T22" s="706">
        <f t="shared" si="0"/>
        <v>25</v>
      </c>
      <c r="U22" s="706">
        <f t="shared" si="1"/>
        <v>11770.681486014701</v>
      </c>
      <c r="V22" s="706">
        <f t="shared" si="2"/>
        <v>25</v>
      </c>
      <c r="W22" s="708">
        <f t="shared" si="3"/>
        <v>11770.681486014701</v>
      </c>
    </row>
    <row r="23" spans="1:23">
      <c r="A23" s="700" t="s">
        <v>91</v>
      </c>
      <c r="B23" s="700">
        <v>140</v>
      </c>
      <c r="C23" s="702">
        <v>14364.080726178699</v>
      </c>
      <c r="G23" s="700" t="s">
        <v>785</v>
      </c>
      <c r="H23" s="700" t="s">
        <v>785</v>
      </c>
      <c r="I23" s="700" t="s">
        <v>786</v>
      </c>
      <c r="J23" s="700">
        <v>20985</v>
      </c>
      <c r="K23" s="702">
        <v>2735670.9206019701</v>
      </c>
      <c r="L23" s="702">
        <v>130.36316038131901</v>
      </c>
      <c r="M23" s="700"/>
      <c r="P23" s="704" t="s">
        <v>173</v>
      </c>
      <c r="Q23" s="697"/>
      <c r="T23" s="706">
        <f t="shared" si="0"/>
        <v>140</v>
      </c>
      <c r="U23" s="706">
        <f t="shared" si="1"/>
        <v>14364.080726178699</v>
      </c>
      <c r="V23" s="706">
        <f t="shared" si="2"/>
        <v>140</v>
      </c>
      <c r="W23" s="708">
        <f t="shared" si="3"/>
        <v>14364.080726178699</v>
      </c>
    </row>
    <row r="24" spans="1:23">
      <c r="A24" s="700" t="s">
        <v>92</v>
      </c>
      <c r="B24" s="700">
        <v>2</v>
      </c>
      <c r="C24" s="702">
        <v>235.40908853873901</v>
      </c>
      <c r="G24" s="700" t="s">
        <v>785</v>
      </c>
      <c r="H24" s="700" t="s">
        <v>785</v>
      </c>
      <c r="I24" s="700" t="s">
        <v>532</v>
      </c>
      <c r="J24" s="700">
        <v>343</v>
      </c>
      <c r="K24" s="702">
        <v>244750.05778551201</v>
      </c>
      <c r="L24" s="702">
        <v>713.55701978283503</v>
      </c>
      <c r="M24" s="700"/>
      <c r="P24" s="704" t="s">
        <v>174</v>
      </c>
      <c r="Q24" s="697"/>
      <c r="T24" s="706">
        <f t="shared" si="0"/>
        <v>2</v>
      </c>
      <c r="U24" s="706">
        <f t="shared" si="1"/>
        <v>235.40908853873901</v>
      </c>
      <c r="V24" s="706">
        <f t="shared" si="2"/>
        <v>2</v>
      </c>
      <c r="W24" s="708">
        <f t="shared" si="3"/>
        <v>235.40908853873901</v>
      </c>
    </row>
    <row r="25" spans="1:23">
      <c r="A25" s="700" t="s">
        <v>93</v>
      </c>
      <c r="B25" s="700">
        <v>16</v>
      </c>
      <c r="C25" s="702">
        <v>1277.60431725741</v>
      </c>
      <c r="G25" s="700" t="s">
        <v>785</v>
      </c>
      <c r="H25" s="700" t="s">
        <v>785</v>
      </c>
      <c r="I25" s="700" t="s">
        <v>787</v>
      </c>
      <c r="J25" s="700">
        <v>734</v>
      </c>
      <c r="K25" s="702">
        <v>59791.825085127799</v>
      </c>
      <c r="L25" s="702">
        <v>81.460252159574594</v>
      </c>
      <c r="M25" s="700"/>
      <c r="P25" s="704" t="s">
        <v>657</v>
      </c>
      <c r="Q25" s="697"/>
      <c r="T25" s="706">
        <f t="shared" si="0"/>
        <v>16</v>
      </c>
      <c r="U25" s="706">
        <f t="shared" si="1"/>
        <v>1277.60431725741</v>
      </c>
      <c r="V25" s="706">
        <f t="shared" si="2"/>
        <v>16</v>
      </c>
      <c r="W25" s="708">
        <f t="shared" si="3"/>
        <v>1277.60431725741</v>
      </c>
    </row>
    <row r="26" spans="1:23">
      <c r="A26" s="700" t="s">
        <v>94</v>
      </c>
      <c r="B26" s="700">
        <v>700</v>
      </c>
      <c r="C26" s="702">
        <v>86057.850067098407</v>
      </c>
      <c r="G26" s="700" t="s">
        <v>785</v>
      </c>
      <c r="H26" s="700" t="s">
        <v>785</v>
      </c>
      <c r="I26" s="700" t="s">
        <v>294</v>
      </c>
      <c r="J26" s="700">
        <v>4</v>
      </c>
      <c r="K26" s="702">
        <v>1386.9703392282599</v>
      </c>
      <c r="L26" s="702">
        <v>346.74258480706499</v>
      </c>
      <c r="M26" s="700"/>
      <c r="P26" s="704" t="s">
        <v>175</v>
      </c>
      <c r="Q26" s="697"/>
      <c r="T26" s="706">
        <f t="shared" si="0"/>
        <v>700</v>
      </c>
      <c r="U26" s="706">
        <f t="shared" si="1"/>
        <v>86057.850067098407</v>
      </c>
      <c r="V26" s="706">
        <f t="shared" si="2"/>
        <v>700</v>
      </c>
      <c r="W26" s="708">
        <f t="shared" si="3"/>
        <v>86057.850067098407</v>
      </c>
    </row>
    <row r="27" spans="1:23">
      <c r="A27" s="700" t="s">
        <v>95</v>
      </c>
      <c r="B27" s="700">
        <v>23</v>
      </c>
      <c r="C27" s="702">
        <v>3209.3305907294498</v>
      </c>
      <c r="G27" s="700" t="s">
        <v>785</v>
      </c>
      <c r="H27" s="700" t="s">
        <v>785</v>
      </c>
      <c r="I27" s="700" t="s">
        <v>533</v>
      </c>
      <c r="J27" s="700">
        <v>15</v>
      </c>
      <c r="K27" s="702">
        <v>3260.2146070786398</v>
      </c>
      <c r="L27" s="702">
        <v>217.34764047191001</v>
      </c>
      <c r="M27" s="700"/>
      <c r="P27" s="704" t="s">
        <v>151</v>
      </c>
      <c r="Q27" s="697"/>
      <c r="T27" s="706">
        <f t="shared" si="0"/>
        <v>23</v>
      </c>
      <c r="U27" s="706">
        <f t="shared" si="1"/>
        <v>3209.3305907294498</v>
      </c>
      <c r="V27" s="706">
        <f t="shared" si="2"/>
        <v>23</v>
      </c>
      <c r="W27" s="708">
        <f t="shared" si="3"/>
        <v>3209.3305907294498</v>
      </c>
    </row>
    <row r="28" spans="1:23">
      <c r="A28" s="700" t="s">
        <v>96</v>
      </c>
      <c r="B28" s="700">
        <v>1300</v>
      </c>
      <c r="C28" s="702">
        <v>202940.354435413</v>
      </c>
      <c r="G28" s="700" t="s">
        <v>785</v>
      </c>
      <c r="H28" s="700" t="s">
        <v>785</v>
      </c>
      <c r="I28" s="700" t="s">
        <v>534</v>
      </c>
      <c r="J28" s="700">
        <v>4</v>
      </c>
      <c r="K28" s="702">
        <v>1008.97541742831</v>
      </c>
      <c r="L28" s="702">
        <v>252.24385435707799</v>
      </c>
      <c r="M28" s="700"/>
      <c r="P28" s="704" t="s">
        <v>588</v>
      </c>
      <c r="Q28" s="697"/>
      <c r="T28" s="706">
        <f t="shared" si="0"/>
        <v>1300</v>
      </c>
      <c r="U28" s="706">
        <f t="shared" si="1"/>
        <v>182225.44679923399</v>
      </c>
      <c r="V28" s="706">
        <f t="shared" si="2"/>
        <v>1300</v>
      </c>
      <c r="W28" s="708">
        <f t="shared" si="3"/>
        <v>182225.44679923399</v>
      </c>
    </row>
    <row r="29" spans="1:23">
      <c r="A29" s="700" t="s">
        <v>97</v>
      </c>
      <c r="B29" s="700">
        <v>68</v>
      </c>
      <c r="C29" s="702">
        <v>10025.4328062201</v>
      </c>
      <c r="G29" s="700" t="s">
        <v>785</v>
      </c>
      <c r="H29" s="700" t="s">
        <v>785</v>
      </c>
      <c r="I29" s="700" t="s">
        <v>173</v>
      </c>
      <c r="J29" s="700">
        <v>29</v>
      </c>
      <c r="K29" s="702">
        <v>3058.6193533107698</v>
      </c>
      <c r="L29" s="702">
        <v>105.469632872785</v>
      </c>
      <c r="M29" s="700"/>
      <c r="P29" s="704" t="s">
        <v>589</v>
      </c>
      <c r="Q29" s="697"/>
      <c r="T29" s="706">
        <f t="shared" si="0"/>
        <v>68</v>
      </c>
      <c r="U29" s="706">
        <f t="shared" si="1"/>
        <v>10025.4328062201</v>
      </c>
      <c r="V29" s="706">
        <f t="shared" si="2"/>
        <v>68</v>
      </c>
      <c r="W29" s="708">
        <f t="shared" si="3"/>
        <v>10025.4328062201</v>
      </c>
    </row>
    <row r="30" spans="1:23">
      <c r="A30" s="700" t="s">
        <v>98</v>
      </c>
      <c r="B30" s="700">
        <v>49</v>
      </c>
      <c r="C30" s="702">
        <v>9370.7232394272996</v>
      </c>
      <c r="G30" s="700" t="s">
        <v>785</v>
      </c>
      <c r="H30" s="700" t="s">
        <v>785</v>
      </c>
      <c r="I30" s="700" t="s">
        <v>535</v>
      </c>
      <c r="J30" s="700">
        <v>53</v>
      </c>
      <c r="K30" s="702">
        <v>12769.824955102</v>
      </c>
      <c r="L30" s="702">
        <v>240.94009349249001</v>
      </c>
      <c r="M30" s="700"/>
      <c r="P30" s="704" t="s">
        <v>362</v>
      </c>
      <c r="Q30" s="697"/>
      <c r="T30" s="706">
        <f t="shared" si="0"/>
        <v>49</v>
      </c>
      <c r="U30" s="706">
        <f t="shared" si="1"/>
        <v>9370.7232394272996</v>
      </c>
      <c r="V30" s="706">
        <f t="shared" si="2"/>
        <v>49</v>
      </c>
      <c r="W30" s="708">
        <f t="shared" si="3"/>
        <v>9370.7232394272996</v>
      </c>
    </row>
    <row r="31" spans="1:23">
      <c r="A31" s="700" t="s">
        <v>99</v>
      </c>
      <c r="B31" s="700">
        <v>1636</v>
      </c>
      <c r="C31" s="702">
        <v>200476.363855228</v>
      </c>
      <c r="G31" s="700" t="s">
        <v>785</v>
      </c>
      <c r="H31" s="700" t="s">
        <v>785</v>
      </c>
      <c r="I31" s="700" t="s">
        <v>788</v>
      </c>
      <c r="J31" s="700">
        <v>865</v>
      </c>
      <c r="K31" s="702">
        <v>165802.151227959</v>
      </c>
      <c r="L31" s="702">
        <v>191.67878754677301</v>
      </c>
      <c r="M31" s="700"/>
      <c r="P31" s="704" t="s">
        <v>363</v>
      </c>
      <c r="Q31" s="697"/>
      <c r="T31" s="706">
        <f t="shared" si="0"/>
        <v>1636</v>
      </c>
      <c r="U31" s="706">
        <f t="shared" si="1"/>
        <v>200476.363855228</v>
      </c>
      <c r="V31" s="706">
        <f t="shared" si="2"/>
        <v>1636</v>
      </c>
      <c r="W31" s="708">
        <f t="shared" si="3"/>
        <v>200476.363855228</v>
      </c>
    </row>
    <row r="32" spans="1:23">
      <c r="A32" s="700" t="s">
        <v>100</v>
      </c>
      <c r="B32" s="700">
        <v>111</v>
      </c>
      <c r="C32" s="702">
        <v>14522.684594427399</v>
      </c>
      <c r="G32" s="700" t="s">
        <v>785</v>
      </c>
      <c r="H32" s="700" t="s">
        <v>785</v>
      </c>
      <c r="I32" s="700" t="s">
        <v>151</v>
      </c>
      <c r="J32" s="700">
        <v>5</v>
      </c>
      <c r="K32" s="702">
        <v>588.51032939368201</v>
      </c>
      <c r="L32" s="702">
        <v>117.70206587873599</v>
      </c>
      <c r="M32" s="700"/>
      <c r="P32" s="704" t="s">
        <v>365</v>
      </c>
      <c r="Q32" s="697"/>
      <c r="T32" s="706">
        <f t="shared" si="0"/>
        <v>111</v>
      </c>
      <c r="U32" s="706">
        <f t="shared" si="1"/>
        <v>14522.684594427399</v>
      </c>
      <c r="V32" s="706">
        <f t="shared" si="2"/>
        <v>111</v>
      </c>
      <c r="W32" s="708">
        <f t="shared" si="3"/>
        <v>14522.684594427399</v>
      </c>
    </row>
    <row r="33" spans="1:23">
      <c r="A33" s="700" t="s">
        <v>101</v>
      </c>
      <c r="B33" s="700">
        <v>51</v>
      </c>
      <c r="C33" s="702">
        <v>5376.5228159743101</v>
      </c>
      <c r="G33" s="700" t="s">
        <v>785</v>
      </c>
      <c r="H33" s="700" t="s">
        <v>785</v>
      </c>
      <c r="I33" s="700" t="s">
        <v>789</v>
      </c>
      <c r="J33" s="700">
        <v>4444</v>
      </c>
      <c r="K33" s="702">
        <v>615509.40315675095</v>
      </c>
      <c r="L33" s="702">
        <v>138.503466056875</v>
      </c>
      <c r="M33" s="700"/>
      <c r="T33" s="706">
        <f t="shared" si="0"/>
        <v>51</v>
      </c>
      <c r="U33" s="706">
        <f t="shared" si="1"/>
        <v>5376.5228159743101</v>
      </c>
      <c r="V33" s="706">
        <f t="shared" si="2"/>
        <v>51</v>
      </c>
      <c r="W33" s="708">
        <f t="shared" si="3"/>
        <v>5376.5228159743101</v>
      </c>
    </row>
    <row r="34" spans="1:23">
      <c r="A34" s="700" t="s">
        <v>102</v>
      </c>
      <c r="B34" s="700">
        <v>24</v>
      </c>
      <c r="C34" s="702">
        <v>2313.0069585289398</v>
      </c>
      <c r="G34" s="700" t="s">
        <v>785</v>
      </c>
      <c r="H34" s="700" t="s">
        <v>785</v>
      </c>
      <c r="I34" s="700" t="s">
        <v>177</v>
      </c>
      <c r="J34" s="700">
        <v>8</v>
      </c>
      <c r="K34" s="702">
        <v>1474.9750520024199</v>
      </c>
      <c r="L34" s="702">
        <v>184.371881500303</v>
      </c>
      <c r="M34" s="700"/>
      <c r="T34" s="706">
        <f t="shared" si="0"/>
        <v>24</v>
      </c>
      <c r="U34" s="706">
        <f t="shared" si="1"/>
        <v>2313.0069585289398</v>
      </c>
      <c r="V34" s="706">
        <f t="shared" si="2"/>
        <v>24</v>
      </c>
      <c r="W34" s="708">
        <f t="shared" si="3"/>
        <v>2313.0069585289398</v>
      </c>
    </row>
    <row r="35" spans="1:23">
      <c r="A35" s="700" t="s">
        <v>103</v>
      </c>
      <c r="B35" s="700">
        <v>34</v>
      </c>
      <c r="C35" s="702">
        <v>1935.64086554151</v>
      </c>
      <c r="G35" s="700" t="s">
        <v>785</v>
      </c>
      <c r="H35" s="700" t="s">
        <v>785</v>
      </c>
      <c r="I35" s="700" t="s">
        <v>790</v>
      </c>
      <c r="J35" s="700">
        <v>25364</v>
      </c>
      <c r="K35" s="702">
        <v>3058924.3910842398</v>
      </c>
      <c r="L35" s="702">
        <v>120.601024723397</v>
      </c>
      <c r="M35" s="700"/>
      <c r="T35" s="706">
        <f t="shared" si="0"/>
        <v>34</v>
      </c>
      <c r="U35" s="706">
        <f t="shared" si="1"/>
        <v>1935.64086554151</v>
      </c>
      <c r="V35" s="706">
        <f t="shared" si="2"/>
        <v>34</v>
      </c>
      <c r="W35" s="708">
        <f t="shared" si="3"/>
        <v>1935.64086554151</v>
      </c>
    </row>
    <row r="36" spans="1:23">
      <c r="A36" s="700" t="s">
        <v>104</v>
      </c>
      <c r="B36" s="700">
        <v>285</v>
      </c>
      <c r="C36" s="702">
        <v>36926.731166223399</v>
      </c>
      <c r="G36" s="700" t="s">
        <v>785</v>
      </c>
      <c r="H36" s="700" t="s">
        <v>785</v>
      </c>
      <c r="I36" s="700" t="s">
        <v>154</v>
      </c>
      <c r="J36" s="700">
        <v>31</v>
      </c>
      <c r="K36" s="702">
        <v>5933.2730118175596</v>
      </c>
      <c r="L36" s="702">
        <v>191.395903607018</v>
      </c>
      <c r="M36" s="700"/>
      <c r="T36" s="706">
        <f t="shared" si="0"/>
        <v>285</v>
      </c>
      <c r="U36" s="706">
        <f t="shared" si="1"/>
        <v>36926.731166223399</v>
      </c>
      <c r="V36" s="706">
        <f t="shared" si="2"/>
        <v>285</v>
      </c>
      <c r="W36" s="708">
        <f t="shared" si="3"/>
        <v>36926.731166223399</v>
      </c>
    </row>
    <row r="37" spans="1:23">
      <c r="A37" s="700" t="s">
        <v>105</v>
      </c>
      <c r="B37" s="700">
        <v>13</v>
      </c>
      <c r="C37" s="702">
        <v>1084.62733213314</v>
      </c>
      <c r="G37" s="700" t="s">
        <v>785</v>
      </c>
      <c r="H37" s="700" t="s">
        <v>785</v>
      </c>
      <c r="I37" s="700" t="s">
        <v>227</v>
      </c>
      <c r="J37" s="700">
        <v>4</v>
      </c>
      <c r="K37" s="702">
        <v>433.36577109365101</v>
      </c>
      <c r="L37" s="702">
        <v>108.34144277341299</v>
      </c>
      <c r="M37" s="700"/>
      <c r="T37" s="706">
        <f t="shared" si="0"/>
        <v>13</v>
      </c>
      <c r="U37" s="706">
        <f t="shared" si="1"/>
        <v>1084.62733213314</v>
      </c>
      <c r="V37" s="706">
        <f t="shared" si="2"/>
        <v>13</v>
      </c>
      <c r="W37" s="708">
        <f t="shared" si="3"/>
        <v>1084.62733213314</v>
      </c>
    </row>
    <row r="38" spans="1:23">
      <c r="A38" s="700" t="s">
        <v>106</v>
      </c>
      <c r="B38" s="700">
        <v>27</v>
      </c>
      <c r="C38" s="702">
        <v>2717.37808653497</v>
      </c>
      <c r="G38" s="700" t="s">
        <v>785</v>
      </c>
      <c r="H38" s="700" t="s">
        <v>785</v>
      </c>
      <c r="I38" s="700" t="s">
        <v>536</v>
      </c>
      <c r="J38" s="700">
        <v>1</v>
      </c>
      <c r="K38" s="702">
        <v>236.29781169982601</v>
      </c>
      <c r="L38" s="702">
        <v>236.29781169982601</v>
      </c>
      <c r="M38" s="700"/>
      <c r="T38" s="706">
        <f t="shared" si="0"/>
        <v>27</v>
      </c>
      <c r="U38" s="706">
        <f t="shared" si="1"/>
        <v>2717.37808653497</v>
      </c>
      <c r="V38" s="706">
        <f t="shared" si="2"/>
        <v>27</v>
      </c>
      <c r="W38" s="708">
        <f t="shared" si="3"/>
        <v>2717.37808653497</v>
      </c>
    </row>
    <row r="39" spans="1:23">
      <c r="A39" s="700" t="s">
        <v>107</v>
      </c>
      <c r="B39" s="700">
        <v>3</v>
      </c>
      <c r="C39" s="702">
        <v>217.871639377722</v>
      </c>
      <c r="G39" s="700" t="s">
        <v>785</v>
      </c>
      <c r="H39" s="700" t="s">
        <v>785</v>
      </c>
      <c r="I39" s="700" t="s">
        <v>537</v>
      </c>
      <c r="J39" s="700">
        <v>4</v>
      </c>
      <c r="K39" s="702">
        <v>82.029086107692606</v>
      </c>
      <c r="L39" s="702">
        <v>20.507271526923201</v>
      </c>
      <c r="M39" s="700"/>
      <c r="T39" s="706">
        <f t="shared" si="0"/>
        <v>3</v>
      </c>
      <c r="U39" s="706">
        <f t="shared" si="1"/>
        <v>217.871639377722</v>
      </c>
      <c r="V39" s="706">
        <f t="shared" si="2"/>
        <v>3</v>
      </c>
      <c r="W39" s="708">
        <f t="shared" si="3"/>
        <v>217.871639377722</v>
      </c>
    </row>
    <row r="40" spans="1:23">
      <c r="A40" s="700" t="s">
        <v>108</v>
      </c>
      <c r="B40" s="700">
        <v>294</v>
      </c>
      <c r="C40" s="702">
        <v>38109.856438433999</v>
      </c>
      <c r="G40" s="700" t="s">
        <v>785</v>
      </c>
      <c r="H40" s="700" t="s">
        <v>785</v>
      </c>
      <c r="I40" s="700" t="s">
        <v>269</v>
      </c>
      <c r="J40" s="700">
        <v>3779</v>
      </c>
      <c r="K40" s="702">
        <v>467695.11237741099</v>
      </c>
      <c r="L40" s="702">
        <v>123.76160687415</v>
      </c>
      <c r="M40" s="700"/>
      <c r="T40" s="706">
        <f t="shared" si="0"/>
        <v>294</v>
      </c>
      <c r="U40" s="706">
        <f t="shared" si="1"/>
        <v>38109.856438433999</v>
      </c>
      <c r="V40" s="706">
        <f t="shared" si="2"/>
        <v>294</v>
      </c>
      <c r="W40" s="708">
        <f t="shared" si="3"/>
        <v>38109.856438433999</v>
      </c>
    </row>
    <row r="41" spans="1:23">
      <c r="A41" s="700" t="s">
        <v>109</v>
      </c>
      <c r="B41" s="700">
        <v>11</v>
      </c>
      <c r="C41" s="702">
        <v>934.84844066097503</v>
      </c>
      <c r="G41" s="700" t="s">
        <v>785</v>
      </c>
      <c r="H41" s="700" t="s">
        <v>785</v>
      </c>
      <c r="I41" s="700" t="s">
        <v>538</v>
      </c>
      <c r="J41" s="700">
        <v>4</v>
      </c>
      <c r="K41" s="702">
        <v>493.41764599502</v>
      </c>
      <c r="L41" s="702">
        <v>123.354411498755</v>
      </c>
      <c r="M41" s="700"/>
      <c r="T41" s="706">
        <f t="shared" si="0"/>
        <v>11</v>
      </c>
      <c r="U41" s="706">
        <f t="shared" si="1"/>
        <v>934.84844066097503</v>
      </c>
      <c r="V41" s="706">
        <f t="shared" si="2"/>
        <v>11</v>
      </c>
      <c r="W41" s="708">
        <f t="shared" si="3"/>
        <v>934.84844066097503</v>
      </c>
    </row>
    <row r="42" spans="1:23">
      <c r="A42" s="700" t="s">
        <v>110</v>
      </c>
      <c r="B42" s="700">
        <v>4860</v>
      </c>
      <c r="C42" s="702">
        <v>572893.654278929</v>
      </c>
      <c r="G42" s="700" t="s">
        <v>785</v>
      </c>
      <c r="H42" s="700" t="s">
        <v>785</v>
      </c>
      <c r="I42" s="700" t="s">
        <v>250</v>
      </c>
      <c r="J42" s="700">
        <v>1</v>
      </c>
      <c r="K42" s="702">
        <v>393.50500446947302</v>
      </c>
      <c r="L42" s="702">
        <v>393.50500446947302</v>
      </c>
      <c r="M42" s="700"/>
      <c r="T42" s="706">
        <f t="shared" si="0"/>
        <v>4860</v>
      </c>
      <c r="U42" s="706">
        <f t="shared" si="1"/>
        <v>572893.654278929</v>
      </c>
      <c r="V42" s="706">
        <f t="shared" si="2"/>
        <v>4860</v>
      </c>
      <c r="W42" s="708">
        <f t="shared" si="3"/>
        <v>572893.654278929</v>
      </c>
    </row>
    <row r="43" spans="1:23">
      <c r="A43" s="700" t="s">
        <v>643</v>
      </c>
      <c r="B43" s="700">
        <v>15</v>
      </c>
      <c r="C43" s="702">
        <v>3079.51077332772</v>
      </c>
      <c r="G43" s="700" t="s">
        <v>785</v>
      </c>
      <c r="H43" s="700" t="s">
        <v>785</v>
      </c>
      <c r="I43" s="700" t="s">
        <v>791</v>
      </c>
      <c r="J43" s="700">
        <v>4517</v>
      </c>
      <c r="K43" s="702">
        <v>532244.30373584502</v>
      </c>
      <c r="L43" s="702">
        <v>117.831371205633</v>
      </c>
      <c r="M43" s="700"/>
      <c r="T43" s="706">
        <f t="shared" si="0"/>
        <v>15</v>
      </c>
      <c r="U43" s="706">
        <f t="shared" si="1"/>
        <v>3079.51077332772</v>
      </c>
      <c r="V43" s="706">
        <f t="shared" si="2"/>
        <v>15</v>
      </c>
      <c r="W43" s="708">
        <f t="shared" si="3"/>
        <v>3079.51077332772</v>
      </c>
    </row>
    <row r="44" spans="1:23">
      <c r="A44" s="700" t="s">
        <v>111</v>
      </c>
      <c r="B44" s="700">
        <v>469</v>
      </c>
      <c r="C44" s="702">
        <v>64644.714954663898</v>
      </c>
      <c r="G44" s="700" t="s">
        <v>785</v>
      </c>
      <c r="H44" s="700" t="s">
        <v>785</v>
      </c>
      <c r="I44" s="700" t="s">
        <v>792</v>
      </c>
      <c r="J44" s="700">
        <v>19420</v>
      </c>
      <c r="K44" s="702">
        <v>3550324.0284959599</v>
      </c>
      <c r="L44" s="702">
        <v>182.817921137794</v>
      </c>
      <c r="M44" s="700"/>
      <c r="T44" s="706">
        <f t="shared" si="0"/>
        <v>469</v>
      </c>
      <c r="U44" s="706">
        <f t="shared" si="1"/>
        <v>64644.714954663898</v>
      </c>
      <c r="V44" s="706">
        <f t="shared" si="2"/>
        <v>469</v>
      </c>
      <c r="W44" s="708">
        <f t="shared" si="3"/>
        <v>64644.714954663898</v>
      </c>
    </row>
    <row r="45" spans="1:23">
      <c r="A45" s="700" t="s">
        <v>112</v>
      </c>
      <c r="B45" s="700">
        <v>1</v>
      </c>
      <c r="C45" s="702">
        <v>281.76652147575498</v>
      </c>
      <c r="G45" s="700" t="s">
        <v>785</v>
      </c>
      <c r="H45" s="700" t="s">
        <v>785</v>
      </c>
      <c r="I45" s="700" t="s">
        <v>539</v>
      </c>
      <c r="J45" s="700">
        <v>5</v>
      </c>
      <c r="K45" s="702">
        <v>684.89233542408601</v>
      </c>
      <c r="L45" s="702">
        <v>136.978467084817</v>
      </c>
      <c r="M45" s="700"/>
      <c r="T45" s="706">
        <f t="shared" si="0"/>
        <v>1</v>
      </c>
      <c r="U45" s="706">
        <f t="shared" si="1"/>
        <v>281.76652147575498</v>
      </c>
      <c r="V45" s="706">
        <f t="shared" si="2"/>
        <v>1</v>
      </c>
      <c r="W45" s="708">
        <f t="shared" si="3"/>
        <v>281.76652147575498</v>
      </c>
    </row>
    <row r="46" spans="1:23">
      <c r="A46" s="700" t="s">
        <v>113</v>
      </c>
      <c r="B46" s="700">
        <v>103</v>
      </c>
      <c r="C46" s="702">
        <v>13343.7020944616</v>
      </c>
      <c r="G46" s="700" t="s">
        <v>785</v>
      </c>
      <c r="H46" s="700" t="s">
        <v>785</v>
      </c>
      <c r="I46" s="700" t="s">
        <v>362</v>
      </c>
      <c r="J46" s="700">
        <v>3</v>
      </c>
      <c r="K46" s="702">
        <v>823.03280032289297</v>
      </c>
      <c r="L46" s="702">
        <v>274.34426677429798</v>
      </c>
      <c r="M46" s="700"/>
      <c r="T46" s="706">
        <f t="shared" si="0"/>
        <v>103</v>
      </c>
      <c r="U46" s="706">
        <f t="shared" si="1"/>
        <v>13343.7020944616</v>
      </c>
      <c r="V46" s="706">
        <f t="shared" si="2"/>
        <v>103</v>
      </c>
      <c r="W46" s="708">
        <f t="shared" si="3"/>
        <v>13343.7020944616</v>
      </c>
    </row>
    <row r="47" spans="1:23">
      <c r="A47" s="700" t="s">
        <v>114</v>
      </c>
      <c r="B47" s="700">
        <v>1815</v>
      </c>
      <c r="C47" s="702">
        <v>217091.41462327601</v>
      </c>
      <c r="G47" s="700" t="s">
        <v>785</v>
      </c>
      <c r="H47" s="700" t="s">
        <v>785</v>
      </c>
      <c r="I47" s="700" t="s">
        <v>540</v>
      </c>
      <c r="J47" s="700">
        <v>301</v>
      </c>
      <c r="K47" s="702">
        <v>71280.5196403999</v>
      </c>
      <c r="L47" s="702">
        <v>236.81235760930201</v>
      </c>
      <c r="M47" s="700"/>
      <c r="T47" s="706">
        <f t="shared" si="0"/>
        <v>1815</v>
      </c>
      <c r="U47" s="706">
        <f t="shared" si="1"/>
        <v>216719.156975889</v>
      </c>
      <c r="V47" s="706">
        <f t="shared" si="2"/>
        <v>1815</v>
      </c>
      <c r="W47" s="708">
        <f t="shared" si="3"/>
        <v>216719.156975889</v>
      </c>
    </row>
    <row r="48" spans="1:23">
      <c r="A48" s="700" t="s">
        <v>115</v>
      </c>
      <c r="B48" s="700">
        <v>58</v>
      </c>
      <c r="C48" s="702">
        <v>6289.0400978940797</v>
      </c>
      <c r="G48" s="700" t="s">
        <v>785</v>
      </c>
      <c r="H48" s="700" t="s">
        <v>785</v>
      </c>
      <c r="I48" s="700" t="s">
        <v>125</v>
      </c>
      <c r="J48" s="700">
        <v>70</v>
      </c>
      <c r="K48" s="702">
        <v>8388.2085037966208</v>
      </c>
      <c r="L48" s="702">
        <v>119.831550054237</v>
      </c>
      <c r="M48" s="700"/>
      <c r="T48" s="706">
        <f t="shared" si="0"/>
        <v>58</v>
      </c>
      <c r="U48" s="706">
        <f t="shared" si="1"/>
        <v>6289.0400978940797</v>
      </c>
      <c r="V48" s="706">
        <f t="shared" si="2"/>
        <v>58</v>
      </c>
      <c r="W48" s="708">
        <f t="shared" si="3"/>
        <v>6289.0400978940797</v>
      </c>
    </row>
    <row r="49" spans="1:23">
      <c r="A49" s="700" t="s">
        <v>116</v>
      </c>
      <c r="B49" s="700">
        <v>44</v>
      </c>
      <c r="C49" s="702">
        <v>4860.3557708052303</v>
      </c>
      <c r="G49" s="700" t="s">
        <v>785</v>
      </c>
      <c r="H49" s="700" t="s">
        <v>785</v>
      </c>
      <c r="I49" s="700" t="s">
        <v>185</v>
      </c>
      <c r="J49" s="700">
        <v>45</v>
      </c>
      <c r="K49" s="702">
        <v>5049.6530306263403</v>
      </c>
      <c r="L49" s="702">
        <v>112.21451179169701</v>
      </c>
      <c r="M49" s="700"/>
      <c r="T49" s="706">
        <f t="shared" si="0"/>
        <v>44</v>
      </c>
      <c r="U49" s="706">
        <f t="shared" si="1"/>
        <v>4860.3557708052303</v>
      </c>
      <c r="V49" s="706">
        <f t="shared" si="2"/>
        <v>44</v>
      </c>
      <c r="W49" s="708">
        <f t="shared" si="3"/>
        <v>4860.3557708052303</v>
      </c>
    </row>
    <row r="50" spans="1:23">
      <c r="A50" s="700" t="s">
        <v>117</v>
      </c>
      <c r="B50" s="700">
        <v>266</v>
      </c>
      <c r="C50" s="702">
        <v>29887.032111936001</v>
      </c>
      <c r="G50" s="700" t="s">
        <v>785</v>
      </c>
      <c r="H50" s="700" t="s">
        <v>785</v>
      </c>
      <c r="I50" s="700" t="s">
        <v>168</v>
      </c>
      <c r="J50" s="700">
        <v>43</v>
      </c>
      <c r="K50" s="702">
        <v>5158.3723447534403</v>
      </c>
      <c r="L50" s="702">
        <v>119.96214755240599</v>
      </c>
      <c r="M50" s="700"/>
      <c r="T50" s="706">
        <f t="shared" si="0"/>
        <v>266</v>
      </c>
      <c r="U50" s="706">
        <f t="shared" si="1"/>
        <v>29887.032111936001</v>
      </c>
      <c r="V50" s="706">
        <f t="shared" si="2"/>
        <v>266</v>
      </c>
      <c r="W50" s="708">
        <f t="shared" si="3"/>
        <v>29887.032111936001</v>
      </c>
    </row>
    <row r="51" spans="1:23">
      <c r="A51" s="700" t="s">
        <v>536</v>
      </c>
      <c r="B51" s="700">
        <v>1</v>
      </c>
      <c r="C51" s="702">
        <v>236.29781169982601</v>
      </c>
      <c r="G51" s="700" t="s">
        <v>785</v>
      </c>
      <c r="H51" s="700" t="s">
        <v>785</v>
      </c>
      <c r="I51" s="700" t="s">
        <v>541</v>
      </c>
      <c r="J51" s="700">
        <v>48</v>
      </c>
      <c r="K51" s="702">
        <v>17771.6632995334</v>
      </c>
      <c r="L51" s="702">
        <v>370.24298540694701</v>
      </c>
      <c r="M51" s="700"/>
      <c r="T51" s="706">
        <f t="shared" si="0"/>
        <v>1</v>
      </c>
      <c r="U51" s="706">
        <f t="shared" si="1"/>
        <v>236.29781169982601</v>
      </c>
      <c r="V51" s="706">
        <f t="shared" si="2"/>
        <v>1</v>
      </c>
      <c r="W51" s="708">
        <f t="shared" si="3"/>
        <v>236.29781169982601</v>
      </c>
    </row>
    <row r="52" spans="1:23">
      <c r="A52" s="700" t="s">
        <v>118</v>
      </c>
      <c r="B52" s="700">
        <v>241</v>
      </c>
      <c r="C52" s="702">
        <v>43101.712026789501</v>
      </c>
      <c r="G52" s="700" t="s">
        <v>785</v>
      </c>
      <c r="H52" s="700" t="s">
        <v>785</v>
      </c>
      <c r="I52" s="700" t="s">
        <v>542</v>
      </c>
      <c r="J52" s="700">
        <v>644</v>
      </c>
      <c r="K52" s="702">
        <v>92918.565522665202</v>
      </c>
      <c r="L52" s="702">
        <v>144.28348683643699</v>
      </c>
      <c r="M52" s="700"/>
      <c r="T52" s="706">
        <f t="shared" si="0"/>
        <v>241</v>
      </c>
      <c r="U52" s="706">
        <f t="shared" si="1"/>
        <v>43101.712026789501</v>
      </c>
      <c r="V52" s="706">
        <f t="shared" si="2"/>
        <v>241</v>
      </c>
      <c r="W52" s="708">
        <f t="shared" si="3"/>
        <v>43101.712026789501</v>
      </c>
    </row>
    <row r="53" spans="1:23">
      <c r="A53" s="700" t="s">
        <v>119</v>
      </c>
      <c r="B53" s="700">
        <v>48</v>
      </c>
      <c r="C53" s="702">
        <v>15821.8478668474</v>
      </c>
      <c r="G53" s="700" t="s">
        <v>785</v>
      </c>
      <c r="H53" s="700" t="s">
        <v>785</v>
      </c>
      <c r="I53" s="700" t="s">
        <v>275</v>
      </c>
      <c r="J53" s="700">
        <v>925</v>
      </c>
      <c r="K53" s="702">
        <v>90184.245295943707</v>
      </c>
      <c r="L53" s="702">
        <v>97.496481401020304</v>
      </c>
      <c r="M53" s="700"/>
      <c r="T53" s="706">
        <f t="shared" si="0"/>
        <v>48</v>
      </c>
      <c r="U53" s="706">
        <f t="shared" si="1"/>
        <v>15821.8478668474</v>
      </c>
      <c r="V53" s="706">
        <f t="shared" si="2"/>
        <v>48</v>
      </c>
      <c r="W53" s="708">
        <f t="shared" si="3"/>
        <v>15821.8478668474</v>
      </c>
    </row>
    <row r="54" spans="1:23">
      <c r="A54" s="700" t="s">
        <v>120</v>
      </c>
      <c r="B54" s="700">
        <v>1088</v>
      </c>
      <c r="C54" s="702">
        <v>106344.087706266</v>
      </c>
      <c r="G54" s="700" t="s">
        <v>785</v>
      </c>
      <c r="H54" s="700" t="s">
        <v>785</v>
      </c>
      <c r="I54" s="700" t="s">
        <v>793</v>
      </c>
      <c r="J54" s="700">
        <v>2606</v>
      </c>
      <c r="K54" s="702">
        <v>255695.437860101</v>
      </c>
      <c r="L54" s="702">
        <v>98.117973085226794</v>
      </c>
      <c r="M54" s="700"/>
      <c r="T54" s="706">
        <f t="shared" si="0"/>
        <v>1088</v>
      </c>
      <c r="U54" s="706">
        <f t="shared" si="1"/>
        <v>106344.087706266</v>
      </c>
      <c r="V54" s="706">
        <f t="shared" si="2"/>
        <v>1088</v>
      </c>
      <c r="W54" s="708">
        <f t="shared" si="3"/>
        <v>106344.087706266</v>
      </c>
    </row>
    <row r="55" spans="1:23">
      <c r="A55" s="700" t="s">
        <v>121</v>
      </c>
      <c r="B55" s="700">
        <v>1</v>
      </c>
      <c r="C55" s="702">
        <v>337.13137373679098</v>
      </c>
      <c r="G55" s="700" t="s">
        <v>785</v>
      </c>
      <c r="H55" s="700" t="s">
        <v>785</v>
      </c>
      <c r="I55" s="700" t="s">
        <v>89</v>
      </c>
      <c r="J55" s="700">
        <v>85</v>
      </c>
      <c r="K55" s="702">
        <v>5719.3993178889996</v>
      </c>
      <c r="L55" s="702">
        <v>67.287050798694096</v>
      </c>
      <c r="M55" s="700"/>
      <c r="T55" s="706">
        <f t="shared" si="0"/>
        <v>1</v>
      </c>
      <c r="U55" s="706">
        <f t="shared" si="1"/>
        <v>337.13137373679098</v>
      </c>
      <c r="V55" s="706">
        <f t="shared" si="2"/>
        <v>1</v>
      </c>
      <c r="W55" s="708">
        <f t="shared" si="3"/>
        <v>337.13137373679098</v>
      </c>
    </row>
    <row r="56" spans="1:23">
      <c r="A56" s="700" t="s">
        <v>122</v>
      </c>
      <c r="B56" s="700">
        <v>1481</v>
      </c>
      <c r="C56" s="702">
        <v>154050.66178436199</v>
      </c>
      <c r="G56" s="700" t="s">
        <v>785</v>
      </c>
      <c r="H56" s="700" t="s">
        <v>785</v>
      </c>
      <c r="I56" s="700" t="s">
        <v>261</v>
      </c>
      <c r="J56" s="700">
        <v>1</v>
      </c>
      <c r="K56" s="702">
        <v>212.66383458495201</v>
      </c>
      <c r="L56" s="702">
        <v>212.66383458495201</v>
      </c>
      <c r="M56" s="700"/>
      <c r="T56" s="706">
        <f t="shared" si="0"/>
        <v>1481</v>
      </c>
      <c r="U56" s="706">
        <f t="shared" si="1"/>
        <v>154050.66178436199</v>
      </c>
      <c r="V56" s="706">
        <f t="shared" si="2"/>
        <v>1481</v>
      </c>
      <c r="W56" s="708">
        <f t="shared" si="3"/>
        <v>154050.66178436199</v>
      </c>
    </row>
    <row r="57" spans="1:23">
      <c r="A57" s="700" t="s">
        <v>123</v>
      </c>
      <c r="B57" s="700">
        <v>57</v>
      </c>
      <c r="C57" s="702">
        <v>7671.6520571102001</v>
      </c>
      <c r="G57" s="700" t="s">
        <v>785</v>
      </c>
      <c r="H57" s="700" t="s">
        <v>785</v>
      </c>
      <c r="I57" s="700" t="s">
        <v>198</v>
      </c>
      <c r="J57" s="700">
        <v>47</v>
      </c>
      <c r="K57" s="702">
        <v>11289.8639823248</v>
      </c>
      <c r="L57" s="702">
        <v>240.209871964358</v>
      </c>
      <c r="M57" s="700"/>
      <c r="T57" s="706">
        <f t="shared" si="0"/>
        <v>57</v>
      </c>
      <c r="U57" s="706">
        <f t="shared" si="1"/>
        <v>7671.6520571102001</v>
      </c>
      <c r="V57" s="706">
        <f t="shared" si="2"/>
        <v>57</v>
      </c>
      <c r="W57" s="708">
        <f t="shared" si="3"/>
        <v>7671.6520571102001</v>
      </c>
    </row>
    <row r="58" spans="1:23">
      <c r="A58" s="700" t="s">
        <v>124</v>
      </c>
      <c r="B58" s="700">
        <v>556</v>
      </c>
      <c r="C58" s="702">
        <v>62942.839664371801</v>
      </c>
      <c r="G58" s="700" t="s">
        <v>785</v>
      </c>
      <c r="H58" s="700" t="s">
        <v>785</v>
      </c>
      <c r="I58" s="700" t="s">
        <v>158</v>
      </c>
      <c r="J58" s="700">
        <v>8</v>
      </c>
      <c r="K58" s="702">
        <v>1484.0522367736801</v>
      </c>
      <c r="L58" s="702">
        <v>185.50652959670899</v>
      </c>
      <c r="M58" s="700"/>
      <c r="T58" s="706">
        <f t="shared" si="0"/>
        <v>556</v>
      </c>
      <c r="U58" s="706">
        <f t="shared" si="1"/>
        <v>62942.839664371801</v>
      </c>
      <c r="V58" s="706">
        <f t="shared" si="2"/>
        <v>556</v>
      </c>
      <c r="W58" s="708">
        <f t="shared" si="3"/>
        <v>62942.839664371801</v>
      </c>
    </row>
    <row r="59" spans="1:23">
      <c r="A59" s="700" t="s">
        <v>125</v>
      </c>
      <c r="B59" s="700">
        <v>70</v>
      </c>
      <c r="C59" s="702">
        <v>8388.2085037966208</v>
      </c>
      <c r="G59" s="700" t="s">
        <v>785</v>
      </c>
      <c r="H59" s="700" t="s">
        <v>785</v>
      </c>
      <c r="I59" s="700" t="s">
        <v>543</v>
      </c>
      <c r="J59" s="700">
        <v>43</v>
      </c>
      <c r="K59" s="702">
        <v>8742.9001061865692</v>
      </c>
      <c r="L59" s="702">
        <v>203.32325828340899</v>
      </c>
      <c r="M59" s="700"/>
      <c r="T59" s="706">
        <f t="shared" si="0"/>
        <v>70</v>
      </c>
      <c r="U59" s="706">
        <f t="shared" si="1"/>
        <v>8388.2085037966208</v>
      </c>
      <c r="V59" s="706">
        <f t="shared" si="2"/>
        <v>70</v>
      </c>
      <c r="W59" s="708">
        <f t="shared" si="3"/>
        <v>8388.2085037966208</v>
      </c>
    </row>
    <row r="60" spans="1:23">
      <c r="A60" s="700" t="s">
        <v>126</v>
      </c>
      <c r="B60" s="700">
        <v>47</v>
      </c>
      <c r="C60" s="702">
        <v>12654.7917808483</v>
      </c>
      <c r="G60" s="700" t="s">
        <v>785</v>
      </c>
      <c r="H60" s="700" t="s">
        <v>785</v>
      </c>
      <c r="I60" s="700" t="s">
        <v>109</v>
      </c>
      <c r="J60" s="700">
        <v>11</v>
      </c>
      <c r="K60" s="702">
        <v>934.84844066097503</v>
      </c>
      <c r="L60" s="702">
        <v>84.986221878270499</v>
      </c>
      <c r="M60" s="700"/>
      <c r="T60" s="706">
        <f t="shared" si="0"/>
        <v>47</v>
      </c>
      <c r="U60" s="706">
        <f t="shared" si="1"/>
        <v>12654.7917808483</v>
      </c>
      <c r="V60" s="706">
        <f t="shared" si="2"/>
        <v>47</v>
      </c>
      <c r="W60" s="708">
        <f t="shared" si="3"/>
        <v>12654.7917808483</v>
      </c>
    </row>
    <row r="61" spans="1:23">
      <c r="A61" s="700" t="s">
        <v>127</v>
      </c>
      <c r="B61" s="700">
        <v>1106</v>
      </c>
      <c r="C61" s="702">
        <v>123041.59307910599</v>
      </c>
      <c r="G61" s="700" t="s">
        <v>785</v>
      </c>
      <c r="H61" s="700" t="s">
        <v>785</v>
      </c>
      <c r="I61" s="700" t="s">
        <v>365</v>
      </c>
      <c r="J61" s="700">
        <v>6</v>
      </c>
      <c r="K61" s="702">
        <v>287.09679279778101</v>
      </c>
      <c r="L61" s="702">
        <v>47.849465466296799</v>
      </c>
      <c r="M61" s="700"/>
      <c r="T61" s="706">
        <f t="shared" si="0"/>
        <v>1106</v>
      </c>
      <c r="U61" s="706">
        <f t="shared" si="1"/>
        <v>123041.59307910599</v>
      </c>
      <c r="V61" s="706">
        <f t="shared" si="2"/>
        <v>1106</v>
      </c>
      <c r="W61" s="708">
        <f t="shared" si="3"/>
        <v>123041.59307910599</v>
      </c>
    </row>
    <row r="62" spans="1:23">
      <c r="A62" s="700" t="s">
        <v>128</v>
      </c>
      <c r="B62" s="700">
        <v>27</v>
      </c>
      <c r="C62" s="702">
        <v>3403.7288339698598</v>
      </c>
      <c r="G62" s="700" t="s">
        <v>785</v>
      </c>
      <c r="H62" s="700" t="s">
        <v>785</v>
      </c>
      <c r="I62" s="700" t="s">
        <v>85</v>
      </c>
      <c r="J62" s="700">
        <v>163</v>
      </c>
      <c r="K62" s="702">
        <v>48255.300988719297</v>
      </c>
      <c r="L62" s="702">
        <v>296.044791341836</v>
      </c>
      <c r="M62" s="700"/>
      <c r="T62" s="706">
        <f t="shared" si="0"/>
        <v>27</v>
      </c>
      <c r="U62" s="706">
        <f t="shared" si="1"/>
        <v>3403.7288339698598</v>
      </c>
      <c r="V62" s="706">
        <f t="shared" si="2"/>
        <v>27</v>
      </c>
      <c r="W62" s="708">
        <f t="shared" si="3"/>
        <v>3403.7288339698598</v>
      </c>
    </row>
    <row r="63" spans="1:23">
      <c r="A63" s="700" t="s">
        <v>129</v>
      </c>
      <c r="B63" s="700">
        <v>302</v>
      </c>
      <c r="C63" s="702">
        <v>36640.080821165298</v>
      </c>
      <c r="G63" s="700" t="s">
        <v>785</v>
      </c>
      <c r="H63" s="700" t="s">
        <v>785</v>
      </c>
      <c r="I63" s="700" t="s">
        <v>213</v>
      </c>
      <c r="J63" s="700">
        <v>8</v>
      </c>
      <c r="K63" s="702">
        <v>1241.3667408256999</v>
      </c>
      <c r="L63" s="702">
        <v>155.17084260321201</v>
      </c>
      <c r="M63" s="700"/>
      <c r="T63" s="706">
        <f t="shared" si="0"/>
        <v>302</v>
      </c>
      <c r="U63" s="706">
        <f t="shared" si="1"/>
        <v>36640.080821165298</v>
      </c>
      <c r="V63" s="706">
        <f t="shared" si="2"/>
        <v>302</v>
      </c>
      <c r="W63" s="708">
        <f t="shared" si="3"/>
        <v>36640.080821165298</v>
      </c>
    </row>
    <row r="64" spans="1:23">
      <c r="A64" s="700" t="s">
        <v>130</v>
      </c>
      <c r="B64" s="700">
        <v>27</v>
      </c>
      <c r="C64" s="702">
        <v>3709.0750200627899</v>
      </c>
      <c r="G64" s="700" t="s">
        <v>785</v>
      </c>
      <c r="H64" s="700" t="s">
        <v>785</v>
      </c>
      <c r="I64" s="700" t="s">
        <v>307</v>
      </c>
      <c r="J64" s="700">
        <v>11</v>
      </c>
      <c r="K64" s="702">
        <v>1489.1496374951701</v>
      </c>
      <c r="L64" s="702">
        <v>135.37723977228799</v>
      </c>
      <c r="M64" s="700"/>
      <c r="T64" s="706">
        <f t="shared" si="0"/>
        <v>27</v>
      </c>
      <c r="U64" s="706">
        <f t="shared" si="1"/>
        <v>3709.0750200627899</v>
      </c>
      <c r="V64" s="706">
        <f t="shared" si="2"/>
        <v>27</v>
      </c>
      <c r="W64" s="708">
        <f t="shared" si="3"/>
        <v>3709.0750200627899</v>
      </c>
    </row>
    <row r="65" spans="1:23">
      <c r="A65" s="700" t="s">
        <v>131</v>
      </c>
      <c r="B65" s="700">
        <v>1</v>
      </c>
      <c r="C65" s="702">
        <v>323.85265526293</v>
      </c>
      <c r="G65" s="700" t="s">
        <v>785</v>
      </c>
      <c r="H65" s="700" t="s">
        <v>785</v>
      </c>
      <c r="I65" s="700" t="s">
        <v>544</v>
      </c>
      <c r="J65" s="700">
        <v>2</v>
      </c>
      <c r="K65" s="702">
        <v>530.96340732744795</v>
      </c>
      <c r="L65" s="702">
        <v>265.48170366372398</v>
      </c>
      <c r="M65" s="700"/>
      <c r="T65" s="706">
        <f t="shared" si="0"/>
        <v>1</v>
      </c>
      <c r="U65" s="706">
        <f t="shared" si="1"/>
        <v>323.85265526293</v>
      </c>
      <c r="V65" s="706">
        <f t="shared" si="2"/>
        <v>1</v>
      </c>
      <c r="W65" s="708">
        <f t="shared" si="3"/>
        <v>323.85265526293</v>
      </c>
    </row>
    <row r="66" spans="1:23">
      <c r="A66" s="700" t="s">
        <v>132</v>
      </c>
      <c r="B66" s="700">
        <v>692</v>
      </c>
      <c r="C66" s="702">
        <v>121386.46440703</v>
      </c>
      <c r="G66" s="700" t="s">
        <v>785</v>
      </c>
      <c r="H66" s="700" t="s">
        <v>785</v>
      </c>
      <c r="I66" s="700" t="s">
        <v>545</v>
      </c>
      <c r="J66" s="700">
        <v>1</v>
      </c>
      <c r="K66" s="702">
        <v>276.71276504526099</v>
      </c>
      <c r="L66" s="702">
        <v>276.71276504526099</v>
      </c>
      <c r="M66" s="700"/>
      <c r="T66" s="706">
        <f t="shared" si="0"/>
        <v>692</v>
      </c>
      <c r="U66" s="706">
        <f t="shared" si="1"/>
        <v>121386.46440703</v>
      </c>
      <c r="V66" s="706">
        <f t="shared" si="2"/>
        <v>692</v>
      </c>
      <c r="W66" s="708">
        <f t="shared" si="3"/>
        <v>121386.46440703</v>
      </c>
    </row>
    <row r="67" spans="1:23">
      <c r="A67" s="700" t="s">
        <v>133</v>
      </c>
      <c r="B67" s="700">
        <v>79</v>
      </c>
      <c r="C67" s="702">
        <v>10705.895771920899</v>
      </c>
      <c r="G67" s="700" t="s">
        <v>785</v>
      </c>
      <c r="H67" s="700" t="s">
        <v>785</v>
      </c>
      <c r="I67" s="700" t="s">
        <v>546</v>
      </c>
      <c r="J67" s="700">
        <v>356</v>
      </c>
      <c r="K67" s="702">
        <v>104221.28547299901</v>
      </c>
      <c r="L67" s="702">
        <v>292.75641986797598</v>
      </c>
      <c r="M67" s="700"/>
      <c r="T67" s="706">
        <f t="shared" si="0"/>
        <v>79</v>
      </c>
      <c r="U67" s="706">
        <f t="shared" si="1"/>
        <v>10705.895771920899</v>
      </c>
      <c r="V67" s="706">
        <f t="shared" si="2"/>
        <v>79</v>
      </c>
      <c r="W67" s="708">
        <f t="shared" si="3"/>
        <v>10705.895771920899</v>
      </c>
    </row>
    <row r="68" spans="1:23">
      <c r="A68" s="700" t="s">
        <v>134</v>
      </c>
      <c r="B68" s="700">
        <v>2428</v>
      </c>
      <c r="C68" s="702">
        <v>452121.13895675697</v>
      </c>
      <c r="G68" s="700" t="s">
        <v>785</v>
      </c>
      <c r="H68" s="700" t="s">
        <v>785</v>
      </c>
      <c r="I68" s="700" t="s">
        <v>794</v>
      </c>
      <c r="J68" s="700">
        <v>12889</v>
      </c>
      <c r="K68" s="702">
        <v>1660964.2529750101</v>
      </c>
      <c r="L68" s="702">
        <v>128.86680525836101</v>
      </c>
      <c r="M68" s="700"/>
      <c r="T68" s="706">
        <f t="shared" ref="T68:T131" si="4">VLOOKUP(A68,$I:$L,2,FALSE)</f>
        <v>2428</v>
      </c>
      <c r="U68" s="706">
        <f t="shared" ref="U68:U131" si="5">VLOOKUP(A68,$I:$L,3,FALSE)</f>
        <v>357212.09690059797</v>
      </c>
      <c r="V68" s="706">
        <f t="shared" ref="V68:V131" si="6">IF(COUNTIF($P:$P,A68)=1,0,T68)</f>
        <v>2428</v>
      </c>
      <c r="W68" s="708">
        <f t="shared" ref="W68:W131" si="7">IF(COUNTIF($P:$P,A68)=1,0,U68)</f>
        <v>357212.09690059797</v>
      </c>
    </row>
    <row r="69" spans="1:23">
      <c r="A69" s="700" t="s">
        <v>135</v>
      </c>
      <c r="B69" s="700">
        <v>50</v>
      </c>
      <c r="C69" s="702">
        <v>7477.7720944299099</v>
      </c>
      <c r="G69" s="700" t="s">
        <v>785</v>
      </c>
      <c r="H69" s="700" t="s">
        <v>785</v>
      </c>
      <c r="I69" s="700" t="s">
        <v>308</v>
      </c>
      <c r="J69" s="700">
        <v>1569</v>
      </c>
      <c r="K69" s="702">
        <v>322065.634274818</v>
      </c>
      <c r="L69" s="702">
        <v>205.268090678661</v>
      </c>
      <c r="M69" s="700"/>
      <c r="T69" s="706">
        <f t="shared" si="4"/>
        <v>50</v>
      </c>
      <c r="U69" s="706">
        <f t="shared" si="5"/>
        <v>7477.7720944299099</v>
      </c>
      <c r="V69" s="706">
        <f t="shared" si="6"/>
        <v>50</v>
      </c>
      <c r="W69" s="708">
        <f t="shared" si="7"/>
        <v>7477.7720944299099</v>
      </c>
    </row>
    <row r="70" spans="1:23">
      <c r="A70" s="700" t="s">
        <v>136</v>
      </c>
      <c r="B70" s="700">
        <v>4</v>
      </c>
      <c r="C70" s="702">
        <v>522.54027684288405</v>
      </c>
      <c r="G70" s="700" t="s">
        <v>785</v>
      </c>
      <c r="H70" s="700" t="s">
        <v>785</v>
      </c>
      <c r="I70" s="700" t="s">
        <v>94</v>
      </c>
      <c r="J70" s="700">
        <v>700</v>
      </c>
      <c r="K70" s="702">
        <v>86057.850067098407</v>
      </c>
      <c r="L70" s="702">
        <v>122.939785810141</v>
      </c>
      <c r="M70" s="700"/>
      <c r="T70" s="706">
        <f t="shared" si="4"/>
        <v>4</v>
      </c>
      <c r="U70" s="706">
        <f t="shared" si="5"/>
        <v>522.54027684288405</v>
      </c>
      <c r="V70" s="706">
        <f t="shared" si="6"/>
        <v>4</v>
      </c>
      <c r="W70" s="708">
        <f t="shared" si="7"/>
        <v>522.54027684288405</v>
      </c>
    </row>
    <row r="71" spans="1:23">
      <c r="A71" s="700" t="s">
        <v>137</v>
      </c>
      <c r="B71" s="700">
        <v>2</v>
      </c>
      <c r="C71" s="702">
        <v>627.30166056095595</v>
      </c>
      <c r="G71" s="700" t="s">
        <v>785</v>
      </c>
      <c r="H71" s="700" t="s">
        <v>785</v>
      </c>
      <c r="I71" s="700" t="s">
        <v>547</v>
      </c>
      <c r="J71" s="700">
        <v>40</v>
      </c>
      <c r="K71" s="702">
        <v>6979.0997412877796</v>
      </c>
      <c r="L71" s="702">
        <v>174.47749353219399</v>
      </c>
      <c r="M71" s="700"/>
      <c r="T71" s="706">
        <f t="shared" si="4"/>
        <v>2</v>
      </c>
      <c r="U71" s="706">
        <f t="shared" si="5"/>
        <v>627.30166056095595</v>
      </c>
      <c r="V71" s="706">
        <f t="shared" si="6"/>
        <v>2</v>
      </c>
      <c r="W71" s="708">
        <f t="shared" si="7"/>
        <v>627.30166056095595</v>
      </c>
    </row>
    <row r="72" spans="1:23">
      <c r="A72" s="700" t="s">
        <v>138</v>
      </c>
      <c r="B72" s="700">
        <v>18</v>
      </c>
      <c r="C72" s="702">
        <v>5533.0874460326904</v>
      </c>
      <c r="G72" s="700" t="s">
        <v>785</v>
      </c>
      <c r="H72" s="700" t="s">
        <v>785</v>
      </c>
      <c r="I72" s="700" t="s">
        <v>548</v>
      </c>
      <c r="J72" s="700">
        <v>1</v>
      </c>
      <c r="K72" s="702">
        <v>209.04789653717299</v>
      </c>
      <c r="L72" s="702">
        <v>209.04789653717299</v>
      </c>
      <c r="M72" s="700"/>
      <c r="T72" s="706">
        <f t="shared" si="4"/>
        <v>18</v>
      </c>
      <c r="U72" s="706">
        <f t="shared" si="5"/>
        <v>5533.0874460326904</v>
      </c>
      <c r="V72" s="706">
        <f t="shared" si="6"/>
        <v>18</v>
      </c>
      <c r="W72" s="708">
        <f t="shared" si="7"/>
        <v>5533.0874460326904</v>
      </c>
    </row>
    <row r="73" spans="1:23">
      <c r="A73" s="700" t="s">
        <v>139</v>
      </c>
      <c r="B73" s="700">
        <v>1</v>
      </c>
      <c r="C73" s="702">
        <v>313.65083028047798</v>
      </c>
      <c r="G73" s="700" t="s">
        <v>785</v>
      </c>
      <c r="H73" s="700" t="s">
        <v>785</v>
      </c>
      <c r="I73" s="700" t="s">
        <v>549</v>
      </c>
      <c r="J73" s="700">
        <v>8</v>
      </c>
      <c r="K73" s="702">
        <v>2002.7246518115901</v>
      </c>
      <c r="L73" s="702">
        <v>250.34058147644899</v>
      </c>
      <c r="M73" s="700"/>
      <c r="T73" s="706">
        <f t="shared" si="4"/>
        <v>1</v>
      </c>
      <c r="U73" s="706">
        <f t="shared" si="5"/>
        <v>313.65083028047798</v>
      </c>
      <c r="V73" s="706">
        <f t="shared" si="6"/>
        <v>1</v>
      </c>
      <c r="W73" s="708">
        <f t="shared" si="7"/>
        <v>313.65083028047798</v>
      </c>
    </row>
    <row r="74" spans="1:23">
      <c r="A74" s="700" t="s">
        <v>543</v>
      </c>
      <c r="B74" s="700">
        <v>43</v>
      </c>
      <c r="C74" s="702">
        <v>8742.9001061865692</v>
      </c>
      <c r="G74" s="700" t="s">
        <v>785</v>
      </c>
      <c r="H74" s="700" t="s">
        <v>785</v>
      </c>
      <c r="I74" s="700" t="s">
        <v>550</v>
      </c>
      <c r="J74" s="700">
        <v>5</v>
      </c>
      <c r="K74" s="702">
        <v>813.77501909835905</v>
      </c>
      <c r="L74" s="702">
        <v>162.755003819672</v>
      </c>
      <c r="M74" s="700"/>
      <c r="T74" s="706">
        <f t="shared" si="4"/>
        <v>43</v>
      </c>
      <c r="U74" s="706">
        <f t="shared" si="5"/>
        <v>8742.9001061865692</v>
      </c>
      <c r="V74" s="706">
        <f t="shared" si="6"/>
        <v>43</v>
      </c>
      <c r="W74" s="708">
        <f t="shared" si="7"/>
        <v>8742.9001061865692</v>
      </c>
    </row>
    <row r="75" spans="1:23">
      <c r="A75" s="700" t="s">
        <v>140</v>
      </c>
      <c r="B75" s="700">
        <v>14</v>
      </c>
      <c r="C75" s="702">
        <v>1420.77126795859</v>
      </c>
      <c r="G75" s="700" t="s">
        <v>785</v>
      </c>
      <c r="H75" s="700" t="s">
        <v>785</v>
      </c>
      <c r="I75" s="700" t="s">
        <v>795</v>
      </c>
      <c r="J75" s="700">
        <v>4</v>
      </c>
      <c r="K75" s="702">
        <v>8661.8389155613404</v>
      </c>
      <c r="L75" s="702">
        <v>2165.4597288903401</v>
      </c>
      <c r="M75" s="700"/>
      <c r="T75" s="706">
        <f t="shared" si="4"/>
        <v>14</v>
      </c>
      <c r="U75" s="706">
        <f t="shared" si="5"/>
        <v>1420.77126795859</v>
      </c>
      <c r="V75" s="706">
        <f t="shared" si="6"/>
        <v>14</v>
      </c>
      <c r="W75" s="708">
        <f t="shared" si="7"/>
        <v>1420.77126795859</v>
      </c>
    </row>
    <row r="76" spans="1:23">
      <c r="A76" s="700" t="s">
        <v>141</v>
      </c>
      <c r="B76" s="700">
        <v>168</v>
      </c>
      <c r="C76" s="702">
        <v>17749.420020025002</v>
      </c>
      <c r="G76" s="700" t="s">
        <v>785</v>
      </c>
      <c r="H76" s="700" t="s">
        <v>785</v>
      </c>
      <c r="I76" s="700" t="s">
        <v>366</v>
      </c>
      <c r="J76" s="700">
        <v>9544</v>
      </c>
      <c r="K76" s="702">
        <v>452037.99512848299</v>
      </c>
      <c r="L76" s="702">
        <v>47.363578701643199</v>
      </c>
      <c r="M76" s="700"/>
      <c r="T76" s="706">
        <f t="shared" si="4"/>
        <v>168</v>
      </c>
      <c r="U76" s="706">
        <f t="shared" si="5"/>
        <v>17749.420020025002</v>
      </c>
      <c r="V76" s="706">
        <f t="shared" si="6"/>
        <v>168</v>
      </c>
      <c r="W76" s="708">
        <f t="shared" si="7"/>
        <v>17749.420020025002</v>
      </c>
    </row>
    <row r="77" spans="1:23">
      <c r="A77" s="700" t="s">
        <v>142</v>
      </c>
      <c r="B77" s="700">
        <v>191</v>
      </c>
      <c r="C77" s="702">
        <v>532441.95136361802</v>
      </c>
      <c r="G77" s="700" t="s">
        <v>785</v>
      </c>
      <c r="H77" s="700" t="s">
        <v>785</v>
      </c>
      <c r="I77" s="700" t="s">
        <v>551</v>
      </c>
      <c r="J77" s="700">
        <v>22</v>
      </c>
      <c r="K77" s="702">
        <v>3382.9965932251498</v>
      </c>
      <c r="L77" s="702">
        <v>153.772572419325</v>
      </c>
      <c r="M77" s="700"/>
      <c r="T77" s="706">
        <f t="shared" si="4"/>
        <v>191</v>
      </c>
      <c r="U77" s="706">
        <f t="shared" si="5"/>
        <v>532441.95136361802</v>
      </c>
      <c r="V77" s="706">
        <f t="shared" si="6"/>
        <v>191</v>
      </c>
      <c r="W77" s="708">
        <f t="shared" si="7"/>
        <v>532441.95136361802</v>
      </c>
    </row>
    <row r="78" spans="1:23">
      <c r="A78" s="700" t="s">
        <v>143</v>
      </c>
      <c r="B78" s="700">
        <v>1331</v>
      </c>
      <c r="C78" s="702">
        <v>159201.2723631</v>
      </c>
      <c r="G78" s="700" t="s">
        <v>785</v>
      </c>
      <c r="H78" s="700" t="s">
        <v>785</v>
      </c>
      <c r="I78" s="700" t="s">
        <v>333</v>
      </c>
      <c r="J78" s="700">
        <v>736</v>
      </c>
      <c r="K78" s="702">
        <v>229760.662343554</v>
      </c>
      <c r="L78" s="702">
        <v>312.174812966785</v>
      </c>
      <c r="M78" s="700"/>
      <c r="T78" s="706">
        <f t="shared" si="4"/>
        <v>1331</v>
      </c>
      <c r="U78" s="706">
        <f t="shared" si="5"/>
        <v>159201.2723631</v>
      </c>
      <c r="V78" s="706">
        <f t="shared" si="6"/>
        <v>1331</v>
      </c>
      <c r="W78" s="708">
        <f t="shared" si="7"/>
        <v>159201.2723631</v>
      </c>
    </row>
    <row r="79" spans="1:23">
      <c r="A79" s="700" t="s">
        <v>144</v>
      </c>
      <c r="B79" s="700">
        <v>444</v>
      </c>
      <c r="C79" s="702">
        <v>71761.411988057996</v>
      </c>
      <c r="G79" s="700" t="s">
        <v>785</v>
      </c>
      <c r="H79" s="700" t="s">
        <v>785</v>
      </c>
      <c r="I79" s="700" t="s">
        <v>264</v>
      </c>
      <c r="J79" s="700">
        <v>94</v>
      </c>
      <c r="K79" s="702">
        <v>13037.686062259199</v>
      </c>
      <c r="L79" s="702">
        <v>138.69878789637499</v>
      </c>
      <c r="M79" s="700"/>
      <c r="T79" s="706">
        <f t="shared" si="4"/>
        <v>444</v>
      </c>
      <c r="U79" s="706">
        <f t="shared" si="5"/>
        <v>71761.411988057996</v>
      </c>
      <c r="V79" s="706">
        <f t="shared" si="6"/>
        <v>444</v>
      </c>
      <c r="W79" s="708">
        <f t="shared" si="7"/>
        <v>71761.411988057996</v>
      </c>
    </row>
    <row r="80" spans="1:23">
      <c r="A80" s="700" t="s">
        <v>145</v>
      </c>
      <c r="B80" s="700">
        <v>3064</v>
      </c>
      <c r="C80" s="702">
        <v>344258.4268291</v>
      </c>
      <c r="G80" s="700" t="s">
        <v>785</v>
      </c>
      <c r="H80" s="700" t="s">
        <v>785</v>
      </c>
      <c r="I80" s="700" t="s">
        <v>552</v>
      </c>
      <c r="J80" s="700">
        <v>1</v>
      </c>
      <c r="K80" s="702">
        <v>143.42832428276199</v>
      </c>
      <c r="L80" s="702">
        <v>143.42832428276199</v>
      </c>
      <c r="M80" s="700"/>
      <c r="T80" s="706">
        <f t="shared" si="4"/>
        <v>3064</v>
      </c>
      <c r="U80" s="706">
        <f t="shared" si="5"/>
        <v>344258.4268291</v>
      </c>
      <c r="V80" s="706">
        <f t="shared" si="6"/>
        <v>3064</v>
      </c>
      <c r="W80" s="708">
        <f t="shared" si="7"/>
        <v>344258.4268291</v>
      </c>
    </row>
    <row r="81" spans="1:23">
      <c r="A81" s="700" t="s">
        <v>146</v>
      </c>
      <c r="B81" s="700">
        <v>550</v>
      </c>
      <c r="C81" s="702">
        <v>86071.700348586193</v>
      </c>
      <c r="G81" s="700" t="s">
        <v>785</v>
      </c>
      <c r="H81" s="700" t="s">
        <v>785</v>
      </c>
      <c r="I81" s="700" t="s">
        <v>553</v>
      </c>
      <c r="J81" s="700">
        <v>4</v>
      </c>
      <c r="K81" s="702">
        <v>1912.35746434405</v>
      </c>
      <c r="L81" s="702">
        <v>478.089366086013</v>
      </c>
      <c r="M81" s="700"/>
      <c r="T81" s="706">
        <f t="shared" si="4"/>
        <v>550</v>
      </c>
      <c r="U81" s="706">
        <f t="shared" si="5"/>
        <v>86071.700348586193</v>
      </c>
      <c r="V81" s="706">
        <f t="shared" si="6"/>
        <v>550</v>
      </c>
      <c r="W81" s="708">
        <f t="shared" si="7"/>
        <v>86071.700348586193</v>
      </c>
    </row>
    <row r="82" spans="1:23">
      <c r="A82" s="700" t="s">
        <v>147</v>
      </c>
      <c r="B82" s="700">
        <v>1290</v>
      </c>
      <c r="C82" s="702">
        <v>220951.77400020801</v>
      </c>
      <c r="G82" s="700" t="s">
        <v>785</v>
      </c>
      <c r="H82" s="700" t="s">
        <v>785</v>
      </c>
      <c r="I82" s="700" t="s">
        <v>554</v>
      </c>
      <c r="J82" s="700">
        <v>1</v>
      </c>
      <c r="K82" s="702">
        <v>674.78769790152705</v>
      </c>
      <c r="L82" s="702">
        <v>674.78769790152705</v>
      </c>
      <c r="M82" s="700"/>
      <c r="T82" s="706">
        <f t="shared" si="4"/>
        <v>1290</v>
      </c>
      <c r="U82" s="706">
        <f t="shared" si="5"/>
        <v>220951.77400020801</v>
      </c>
      <c r="V82" s="706">
        <f t="shared" si="6"/>
        <v>1290</v>
      </c>
      <c r="W82" s="708">
        <f t="shared" si="7"/>
        <v>220951.77400020801</v>
      </c>
    </row>
    <row r="83" spans="1:23">
      <c r="A83" s="700" t="s">
        <v>148</v>
      </c>
      <c r="B83" s="700">
        <v>111</v>
      </c>
      <c r="C83" s="702">
        <v>21375.235210665</v>
      </c>
      <c r="G83" s="700" t="s">
        <v>785</v>
      </c>
      <c r="H83" s="700" t="s">
        <v>785</v>
      </c>
      <c r="I83" s="700" t="s">
        <v>555</v>
      </c>
      <c r="J83" s="700">
        <v>1</v>
      </c>
      <c r="K83" s="702">
        <v>145.83457256725001</v>
      </c>
      <c r="L83" s="702">
        <v>145.83457256725001</v>
      </c>
      <c r="M83" s="700"/>
      <c r="T83" s="706">
        <f t="shared" si="4"/>
        <v>111</v>
      </c>
      <c r="U83" s="706">
        <f t="shared" si="5"/>
        <v>21375.235210665</v>
      </c>
      <c r="V83" s="706">
        <f t="shared" si="6"/>
        <v>111</v>
      </c>
      <c r="W83" s="708">
        <f t="shared" si="7"/>
        <v>21375.235210665</v>
      </c>
    </row>
    <row r="84" spans="1:23">
      <c r="A84" s="700" t="s">
        <v>149</v>
      </c>
      <c r="B84" s="700">
        <v>152</v>
      </c>
      <c r="C84" s="702">
        <v>46414.943346136599</v>
      </c>
      <c r="G84" s="700" t="s">
        <v>785</v>
      </c>
      <c r="H84" s="700" t="s">
        <v>785</v>
      </c>
      <c r="I84" s="700" t="s">
        <v>324</v>
      </c>
      <c r="J84" s="700">
        <v>2117</v>
      </c>
      <c r="K84" s="702">
        <v>368689.76555649802</v>
      </c>
      <c r="L84" s="702">
        <v>174.15671495347101</v>
      </c>
      <c r="M84" s="700"/>
      <c r="T84" s="706">
        <f t="shared" si="4"/>
        <v>152</v>
      </c>
      <c r="U84" s="706">
        <f t="shared" si="5"/>
        <v>46414.943346136599</v>
      </c>
      <c r="V84" s="706">
        <f t="shared" si="6"/>
        <v>152</v>
      </c>
      <c r="W84" s="708">
        <f t="shared" si="7"/>
        <v>46414.943346136599</v>
      </c>
    </row>
    <row r="85" spans="1:23">
      <c r="A85" s="700" t="s">
        <v>150</v>
      </c>
      <c r="B85" s="700">
        <v>644</v>
      </c>
      <c r="C85" s="702">
        <v>85496.496800465102</v>
      </c>
      <c r="G85" s="700" t="s">
        <v>785</v>
      </c>
      <c r="H85" s="700" t="s">
        <v>785</v>
      </c>
      <c r="I85" s="700" t="s">
        <v>556</v>
      </c>
      <c r="J85" s="700">
        <v>60</v>
      </c>
      <c r="K85" s="702">
        <v>8429.24741545697</v>
      </c>
      <c r="L85" s="702">
        <v>140.48745692428301</v>
      </c>
      <c r="M85" s="700"/>
      <c r="T85" s="706">
        <f t="shared" si="4"/>
        <v>644</v>
      </c>
      <c r="U85" s="706">
        <f t="shared" si="5"/>
        <v>85496.496800465102</v>
      </c>
      <c r="V85" s="706">
        <f t="shared" si="6"/>
        <v>644</v>
      </c>
      <c r="W85" s="708">
        <f t="shared" si="7"/>
        <v>85496.496800465102</v>
      </c>
    </row>
    <row r="86" spans="1:23">
      <c r="A86" s="700" t="s">
        <v>151</v>
      </c>
      <c r="B86" s="700">
        <v>5</v>
      </c>
      <c r="C86" s="702">
        <v>588.51032939368201</v>
      </c>
      <c r="G86" s="700" t="s">
        <v>785</v>
      </c>
      <c r="H86" s="700" t="s">
        <v>785</v>
      </c>
      <c r="I86" s="700" t="s">
        <v>557</v>
      </c>
      <c r="J86" s="700">
        <v>3</v>
      </c>
      <c r="K86" s="702">
        <v>444.59292072922602</v>
      </c>
      <c r="L86" s="702">
        <v>148.197640243075</v>
      </c>
      <c r="M86" s="700"/>
      <c r="T86" s="706">
        <f t="shared" si="4"/>
        <v>5</v>
      </c>
      <c r="U86" s="706">
        <f t="shared" si="5"/>
        <v>588.51032939368201</v>
      </c>
      <c r="V86" s="706">
        <f t="shared" si="6"/>
        <v>0</v>
      </c>
      <c r="W86" s="708">
        <f t="shared" si="7"/>
        <v>0</v>
      </c>
    </row>
    <row r="87" spans="1:23">
      <c r="A87" s="700" t="s">
        <v>152</v>
      </c>
      <c r="B87" s="700">
        <v>17</v>
      </c>
      <c r="C87" s="702">
        <v>2245.5074144600399</v>
      </c>
      <c r="G87" s="700" t="s">
        <v>785</v>
      </c>
      <c r="H87" s="700" t="s">
        <v>785</v>
      </c>
      <c r="I87" s="700" t="s">
        <v>796</v>
      </c>
      <c r="J87" s="700">
        <v>20454</v>
      </c>
      <c r="K87" s="702">
        <v>2799545.0088055902</v>
      </c>
      <c r="L87" s="702">
        <v>136.87029474946701</v>
      </c>
      <c r="M87" s="700"/>
      <c r="T87" s="706">
        <f t="shared" si="4"/>
        <v>17</v>
      </c>
      <c r="U87" s="706">
        <f t="shared" si="5"/>
        <v>2245.5074144600399</v>
      </c>
      <c r="V87" s="706">
        <f t="shared" si="6"/>
        <v>17</v>
      </c>
      <c r="W87" s="708">
        <f t="shared" si="7"/>
        <v>2245.5074144600399</v>
      </c>
    </row>
    <row r="88" spans="1:23">
      <c r="A88" s="700" t="s">
        <v>153</v>
      </c>
      <c r="B88" s="700">
        <v>306</v>
      </c>
      <c r="C88" s="702">
        <v>35751.790092056603</v>
      </c>
      <c r="G88" s="700" t="s">
        <v>785</v>
      </c>
      <c r="H88" s="700" t="s">
        <v>785</v>
      </c>
      <c r="I88" s="700" t="s">
        <v>797</v>
      </c>
      <c r="J88" s="700">
        <v>135733</v>
      </c>
      <c r="K88" s="702">
        <v>18563384.3332594</v>
      </c>
      <c r="L88" s="702">
        <v>136.763972897228</v>
      </c>
      <c r="M88" s="700"/>
      <c r="T88" s="706">
        <f t="shared" si="4"/>
        <v>306</v>
      </c>
      <c r="U88" s="706">
        <f t="shared" si="5"/>
        <v>35751.790092056603</v>
      </c>
      <c r="V88" s="706">
        <f t="shared" si="6"/>
        <v>306</v>
      </c>
      <c r="W88" s="708">
        <f t="shared" si="7"/>
        <v>35751.790092056603</v>
      </c>
    </row>
    <row r="89" spans="1:23">
      <c r="A89" s="700" t="s">
        <v>154</v>
      </c>
      <c r="B89" s="700">
        <v>31</v>
      </c>
      <c r="C89" s="702">
        <v>5933.2730118175596</v>
      </c>
      <c r="G89" s="700" t="s">
        <v>785</v>
      </c>
      <c r="H89" s="700" t="s">
        <v>785</v>
      </c>
      <c r="I89" s="700" t="s">
        <v>82</v>
      </c>
      <c r="J89" s="700">
        <v>867</v>
      </c>
      <c r="K89" s="702">
        <v>185654.84607443001</v>
      </c>
      <c r="L89" s="702">
        <v>214.13477055874199</v>
      </c>
      <c r="M89" s="700"/>
      <c r="T89" s="706">
        <f t="shared" si="4"/>
        <v>31</v>
      </c>
      <c r="U89" s="706">
        <f t="shared" si="5"/>
        <v>5933.2730118175596</v>
      </c>
      <c r="V89" s="706">
        <f t="shared" si="6"/>
        <v>31</v>
      </c>
      <c r="W89" s="708">
        <f t="shared" si="7"/>
        <v>5933.2730118175596</v>
      </c>
    </row>
    <row r="90" spans="1:23">
      <c r="A90" s="700" t="s">
        <v>155</v>
      </c>
      <c r="B90" s="700">
        <v>2250</v>
      </c>
      <c r="C90" s="702">
        <v>894356.22400650801</v>
      </c>
      <c r="G90" s="700" t="s">
        <v>785</v>
      </c>
      <c r="H90" s="700" t="s">
        <v>785</v>
      </c>
      <c r="I90" s="700" t="s">
        <v>83</v>
      </c>
      <c r="J90" s="700">
        <v>3611</v>
      </c>
      <c r="K90" s="702">
        <v>555144.77897717897</v>
      </c>
      <c r="L90" s="702">
        <v>153.73713070539401</v>
      </c>
      <c r="M90" s="700"/>
      <c r="T90" s="706">
        <f t="shared" si="4"/>
        <v>2250</v>
      </c>
      <c r="U90" s="706">
        <f t="shared" si="5"/>
        <v>290950.16016928898</v>
      </c>
      <c r="V90" s="706">
        <f t="shared" si="6"/>
        <v>2250</v>
      </c>
      <c r="W90" s="708">
        <f t="shared" si="7"/>
        <v>290950.16016928898</v>
      </c>
    </row>
    <row r="91" spans="1:23">
      <c r="A91" s="700" t="s">
        <v>156</v>
      </c>
      <c r="B91" s="700">
        <v>774</v>
      </c>
      <c r="C91" s="702">
        <v>212432.67192009499</v>
      </c>
      <c r="G91" s="700" t="s">
        <v>785</v>
      </c>
      <c r="H91" s="700" t="s">
        <v>785</v>
      </c>
      <c r="I91" s="700" t="s">
        <v>152</v>
      </c>
      <c r="J91" s="700">
        <v>17</v>
      </c>
      <c r="K91" s="702">
        <v>2245.5074144600399</v>
      </c>
      <c r="L91" s="702">
        <v>132.088671438826</v>
      </c>
      <c r="M91" s="700"/>
      <c r="T91" s="706">
        <f t="shared" si="4"/>
        <v>774</v>
      </c>
      <c r="U91" s="706">
        <f t="shared" si="5"/>
        <v>212432.67192009499</v>
      </c>
      <c r="V91" s="706">
        <f t="shared" si="6"/>
        <v>774</v>
      </c>
      <c r="W91" s="708">
        <f t="shared" si="7"/>
        <v>212432.67192009499</v>
      </c>
    </row>
    <row r="92" spans="1:23">
      <c r="A92" s="700" t="s">
        <v>157</v>
      </c>
      <c r="B92" s="700">
        <v>5</v>
      </c>
      <c r="C92" s="702">
        <v>518.89244195354604</v>
      </c>
      <c r="G92" s="700" t="s">
        <v>785</v>
      </c>
      <c r="H92" s="700" t="s">
        <v>785</v>
      </c>
      <c r="I92" s="700" t="s">
        <v>558</v>
      </c>
      <c r="J92" s="700">
        <v>12</v>
      </c>
      <c r="K92" s="702">
        <v>6322.5317687861198</v>
      </c>
      <c r="L92" s="702">
        <v>526.87764739884301</v>
      </c>
      <c r="M92" s="700"/>
      <c r="T92" s="706">
        <f t="shared" si="4"/>
        <v>5</v>
      </c>
      <c r="U92" s="706">
        <f t="shared" si="5"/>
        <v>518.89244195354604</v>
      </c>
      <c r="V92" s="706">
        <f t="shared" si="6"/>
        <v>5</v>
      </c>
      <c r="W92" s="708">
        <f t="shared" si="7"/>
        <v>518.89244195354604</v>
      </c>
    </row>
    <row r="93" spans="1:23">
      <c r="A93" s="700" t="s">
        <v>158</v>
      </c>
      <c r="B93" s="700">
        <v>8</v>
      </c>
      <c r="C93" s="702">
        <v>1484.0522367736801</v>
      </c>
      <c r="G93" s="700" t="s">
        <v>785</v>
      </c>
      <c r="H93" s="700" t="s">
        <v>785</v>
      </c>
      <c r="I93" s="700" t="s">
        <v>798</v>
      </c>
      <c r="J93" s="700">
        <v>622</v>
      </c>
      <c r="K93" s="702">
        <v>123491.143918872</v>
      </c>
      <c r="L93" s="702">
        <v>198.53881658982601</v>
      </c>
      <c r="M93" s="700"/>
      <c r="T93" s="706">
        <f t="shared" si="4"/>
        <v>8</v>
      </c>
      <c r="U93" s="706">
        <f t="shared" si="5"/>
        <v>1484.0522367736801</v>
      </c>
      <c r="V93" s="706">
        <f t="shared" si="6"/>
        <v>8</v>
      </c>
      <c r="W93" s="708">
        <f t="shared" si="7"/>
        <v>1484.0522367736801</v>
      </c>
    </row>
    <row r="94" spans="1:23">
      <c r="A94" s="700" t="s">
        <v>159</v>
      </c>
      <c r="B94" s="700">
        <v>1689</v>
      </c>
      <c r="C94" s="702">
        <v>181975.38626070201</v>
      </c>
      <c r="G94" s="700" t="s">
        <v>785</v>
      </c>
      <c r="H94" s="700" t="s">
        <v>785</v>
      </c>
      <c r="I94" s="700" t="s">
        <v>799</v>
      </c>
      <c r="J94" s="700">
        <v>4980</v>
      </c>
      <c r="K94" s="702">
        <v>1085035.21096034</v>
      </c>
      <c r="L94" s="702">
        <v>217.87855641773899</v>
      </c>
      <c r="M94" s="700"/>
      <c r="T94" s="706">
        <f t="shared" si="4"/>
        <v>1689</v>
      </c>
      <c r="U94" s="706">
        <f t="shared" si="5"/>
        <v>181975.38626070201</v>
      </c>
      <c r="V94" s="706">
        <f t="shared" si="6"/>
        <v>1689</v>
      </c>
      <c r="W94" s="708">
        <f t="shared" si="7"/>
        <v>181975.38626070201</v>
      </c>
    </row>
    <row r="95" spans="1:23">
      <c r="A95" s="700" t="s">
        <v>160</v>
      </c>
      <c r="B95" s="700">
        <v>16</v>
      </c>
      <c r="C95" s="702">
        <v>2128.2830121645102</v>
      </c>
      <c r="G95" s="700" t="s">
        <v>785</v>
      </c>
      <c r="H95" s="700" t="s">
        <v>785</v>
      </c>
      <c r="I95" s="700" t="s">
        <v>235</v>
      </c>
      <c r="J95" s="700">
        <v>4</v>
      </c>
      <c r="K95" s="702">
        <v>392.47007346869702</v>
      </c>
      <c r="L95" s="702">
        <v>98.1175183671741</v>
      </c>
      <c r="M95" s="700"/>
      <c r="T95" s="706">
        <f t="shared" si="4"/>
        <v>16</v>
      </c>
      <c r="U95" s="706">
        <f t="shared" si="5"/>
        <v>2128.2830121645102</v>
      </c>
      <c r="V95" s="706">
        <f t="shared" si="6"/>
        <v>0</v>
      </c>
      <c r="W95" s="708">
        <f t="shared" si="7"/>
        <v>0</v>
      </c>
    </row>
    <row r="96" spans="1:23">
      <c r="A96" s="700" t="s">
        <v>161</v>
      </c>
      <c r="B96" s="700">
        <v>84</v>
      </c>
      <c r="C96" s="702">
        <v>15407.576414834</v>
      </c>
      <c r="G96" s="700" t="s">
        <v>785</v>
      </c>
      <c r="H96" s="700" t="s">
        <v>785</v>
      </c>
      <c r="I96" s="700" t="s">
        <v>336</v>
      </c>
      <c r="J96" s="700">
        <v>82</v>
      </c>
      <c r="K96" s="702">
        <v>31004.863306188301</v>
      </c>
      <c r="L96" s="702">
        <v>378.10808909985798</v>
      </c>
      <c r="M96" s="700"/>
      <c r="T96" s="706">
        <f t="shared" si="4"/>
        <v>84</v>
      </c>
      <c r="U96" s="706">
        <f t="shared" si="5"/>
        <v>14289.661578048899</v>
      </c>
      <c r="V96" s="706">
        <f t="shared" si="6"/>
        <v>0</v>
      </c>
      <c r="W96" s="708">
        <f t="shared" si="7"/>
        <v>0</v>
      </c>
    </row>
    <row r="97" spans="1:23">
      <c r="A97" s="700" t="s">
        <v>162</v>
      </c>
      <c r="B97" s="700">
        <v>1986</v>
      </c>
      <c r="C97" s="702">
        <v>189239.280038247</v>
      </c>
      <c r="G97" s="700" t="s">
        <v>785</v>
      </c>
      <c r="H97" s="700" t="s">
        <v>785</v>
      </c>
      <c r="I97" s="700" t="s">
        <v>559</v>
      </c>
      <c r="J97" s="700">
        <v>2345</v>
      </c>
      <c r="K97" s="702">
        <v>418147.31642777403</v>
      </c>
      <c r="L97" s="702">
        <v>178.31442065150301</v>
      </c>
      <c r="M97" s="700"/>
      <c r="T97" s="706">
        <f t="shared" si="4"/>
        <v>1986</v>
      </c>
      <c r="U97" s="706">
        <f t="shared" si="5"/>
        <v>189239.280038247</v>
      </c>
      <c r="V97" s="706">
        <f t="shared" si="6"/>
        <v>0</v>
      </c>
      <c r="W97" s="708">
        <f t="shared" si="7"/>
        <v>0</v>
      </c>
    </row>
    <row r="98" spans="1:23">
      <c r="A98" s="700" t="s">
        <v>163</v>
      </c>
      <c r="B98" s="700">
        <v>210</v>
      </c>
      <c r="C98" s="702">
        <v>41569.4149042184</v>
      </c>
      <c r="G98" s="700" t="s">
        <v>785</v>
      </c>
      <c r="H98" s="700" t="s">
        <v>785</v>
      </c>
      <c r="I98" s="700" t="s">
        <v>310</v>
      </c>
      <c r="J98" s="700">
        <v>6</v>
      </c>
      <c r="K98" s="702">
        <v>752.20478143181595</v>
      </c>
      <c r="L98" s="702">
        <v>125.367463571969</v>
      </c>
      <c r="M98" s="700"/>
      <c r="T98" s="706">
        <f t="shared" si="4"/>
        <v>210</v>
      </c>
      <c r="U98" s="706">
        <f t="shared" si="5"/>
        <v>29139.3522955853</v>
      </c>
      <c r="V98" s="706">
        <f t="shared" si="6"/>
        <v>0</v>
      </c>
      <c r="W98" s="708">
        <f t="shared" si="7"/>
        <v>0</v>
      </c>
    </row>
    <row r="99" spans="1:23">
      <c r="A99" s="700" t="s">
        <v>164</v>
      </c>
      <c r="B99" s="700">
        <v>236</v>
      </c>
      <c r="C99" s="702">
        <v>37871.890975414397</v>
      </c>
      <c r="G99" s="700" t="s">
        <v>785</v>
      </c>
      <c r="H99" s="700" t="s">
        <v>785</v>
      </c>
      <c r="I99" s="700" t="s">
        <v>560</v>
      </c>
      <c r="J99" s="700">
        <v>7738</v>
      </c>
      <c r="K99" s="702">
        <v>385581.97309828101</v>
      </c>
      <c r="L99" s="702">
        <v>49.829668273233501</v>
      </c>
      <c r="M99" s="700"/>
      <c r="T99" s="706">
        <f t="shared" si="4"/>
        <v>236</v>
      </c>
      <c r="U99" s="706">
        <f t="shared" si="5"/>
        <v>37871.890975414397</v>
      </c>
      <c r="V99" s="706">
        <f t="shared" si="6"/>
        <v>236</v>
      </c>
      <c r="W99" s="708">
        <f t="shared" si="7"/>
        <v>37871.890975414397</v>
      </c>
    </row>
    <row r="100" spans="1:23">
      <c r="A100" s="700" t="s">
        <v>165</v>
      </c>
      <c r="B100" s="700">
        <v>3474</v>
      </c>
      <c r="C100" s="702">
        <v>558192.08591259003</v>
      </c>
      <c r="G100" s="700" t="s">
        <v>785</v>
      </c>
      <c r="H100" s="700" t="s">
        <v>785</v>
      </c>
      <c r="I100" s="700" t="s">
        <v>561</v>
      </c>
      <c r="J100" s="700">
        <v>2736</v>
      </c>
      <c r="K100" s="702">
        <v>448609.00065279298</v>
      </c>
      <c r="L100" s="702">
        <v>163.965278016372</v>
      </c>
      <c r="M100" s="700"/>
      <c r="T100" s="706">
        <f t="shared" si="4"/>
        <v>3474</v>
      </c>
      <c r="U100" s="706">
        <f t="shared" si="5"/>
        <v>558192.08591259003</v>
      </c>
      <c r="V100" s="706">
        <f t="shared" si="6"/>
        <v>3474</v>
      </c>
      <c r="W100" s="708">
        <f t="shared" si="7"/>
        <v>558192.08591259003</v>
      </c>
    </row>
    <row r="101" spans="1:23">
      <c r="A101" s="700" t="s">
        <v>166</v>
      </c>
      <c r="B101" s="700">
        <v>10181</v>
      </c>
      <c r="C101" s="702">
        <v>1582657.8623434401</v>
      </c>
      <c r="G101" s="700" t="s">
        <v>785</v>
      </c>
      <c r="H101" s="700" t="s">
        <v>785</v>
      </c>
      <c r="I101" s="700" t="s">
        <v>77</v>
      </c>
      <c r="J101" s="700">
        <v>43</v>
      </c>
      <c r="K101" s="702">
        <v>6182.3933848911201</v>
      </c>
      <c r="L101" s="702">
        <v>143.776590346305</v>
      </c>
      <c r="M101" s="700"/>
      <c r="T101" s="706">
        <f t="shared" si="4"/>
        <v>10181</v>
      </c>
      <c r="U101" s="706">
        <f t="shared" si="5"/>
        <v>1582604.6827121601</v>
      </c>
      <c r="V101" s="706">
        <f t="shared" si="6"/>
        <v>10181</v>
      </c>
      <c r="W101" s="708">
        <f t="shared" si="7"/>
        <v>1582604.6827121601</v>
      </c>
    </row>
    <row r="102" spans="1:23">
      <c r="A102" s="700" t="s">
        <v>167</v>
      </c>
      <c r="B102" s="700">
        <v>22343</v>
      </c>
      <c r="C102" s="702">
        <v>2999806.7139213998</v>
      </c>
      <c r="G102" s="700" t="s">
        <v>785</v>
      </c>
      <c r="H102" s="700" t="s">
        <v>785</v>
      </c>
      <c r="I102" s="700" t="s">
        <v>358</v>
      </c>
      <c r="J102" s="700">
        <v>1</v>
      </c>
      <c r="K102" s="702">
        <v>341.54788431081403</v>
      </c>
      <c r="L102" s="702">
        <v>341.54788431081403</v>
      </c>
      <c r="M102" s="700"/>
      <c r="T102" s="706">
        <f t="shared" si="4"/>
        <v>22343</v>
      </c>
      <c r="U102" s="706">
        <f t="shared" si="5"/>
        <v>2999806.7139213998</v>
      </c>
      <c r="V102" s="706">
        <f t="shared" si="6"/>
        <v>22343</v>
      </c>
      <c r="W102" s="708">
        <f t="shared" si="7"/>
        <v>2999806.7139213998</v>
      </c>
    </row>
    <row r="103" spans="1:23">
      <c r="A103" s="700" t="s">
        <v>168</v>
      </c>
      <c r="B103" s="700">
        <v>43</v>
      </c>
      <c r="C103" s="702">
        <v>5158.3723447534403</v>
      </c>
      <c r="G103" s="700" t="s">
        <v>785</v>
      </c>
      <c r="H103" s="700" t="s">
        <v>785</v>
      </c>
      <c r="I103" s="700" t="s">
        <v>562</v>
      </c>
      <c r="J103" s="700">
        <v>310</v>
      </c>
      <c r="K103" s="702">
        <v>17149.841288982101</v>
      </c>
      <c r="L103" s="702">
        <v>55.322068674135899</v>
      </c>
      <c r="M103" s="700"/>
      <c r="T103" s="706">
        <f t="shared" si="4"/>
        <v>43</v>
      </c>
      <c r="U103" s="706">
        <f t="shared" si="5"/>
        <v>5158.3723447534403</v>
      </c>
      <c r="V103" s="706">
        <f t="shared" si="6"/>
        <v>0</v>
      </c>
      <c r="W103" s="708">
        <f t="shared" si="7"/>
        <v>0</v>
      </c>
    </row>
    <row r="104" spans="1:23">
      <c r="A104" s="700" t="s">
        <v>169</v>
      </c>
      <c r="B104" s="700">
        <v>2548</v>
      </c>
      <c r="C104" s="702">
        <v>303431.49214736797</v>
      </c>
      <c r="G104" s="700" t="s">
        <v>785</v>
      </c>
      <c r="H104" s="700" t="s">
        <v>785</v>
      </c>
      <c r="I104" s="700" t="s">
        <v>563</v>
      </c>
      <c r="J104" s="700">
        <v>1</v>
      </c>
      <c r="K104" s="702">
        <v>242.45363739939299</v>
      </c>
      <c r="L104" s="702">
        <v>242.45363739939299</v>
      </c>
      <c r="M104" s="700"/>
      <c r="T104" s="706">
        <f t="shared" si="4"/>
        <v>2548</v>
      </c>
      <c r="U104" s="706">
        <f t="shared" si="5"/>
        <v>303431.49214736797</v>
      </c>
      <c r="V104" s="706">
        <f t="shared" si="6"/>
        <v>0</v>
      </c>
      <c r="W104" s="708">
        <f t="shared" si="7"/>
        <v>0</v>
      </c>
    </row>
    <row r="105" spans="1:23">
      <c r="A105" s="700" t="s">
        <v>170</v>
      </c>
      <c r="B105" s="700">
        <v>109944</v>
      </c>
      <c r="C105" s="702">
        <v>17327902.084164999</v>
      </c>
      <c r="G105" s="700" t="s">
        <v>785</v>
      </c>
      <c r="H105" s="700" t="s">
        <v>785</v>
      </c>
      <c r="I105" s="700" t="s">
        <v>117</v>
      </c>
      <c r="J105" s="700">
        <v>266</v>
      </c>
      <c r="K105" s="702">
        <v>29887.032111936001</v>
      </c>
      <c r="L105" s="702">
        <v>112.35726357870701</v>
      </c>
      <c r="M105" s="700"/>
      <c r="T105" s="706">
        <f t="shared" si="4"/>
        <v>109944</v>
      </c>
      <c r="U105" s="706">
        <f t="shared" si="5"/>
        <v>17230576.643615201</v>
      </c>
      <c r="V105" s="706">
        <f t="shared" si="6"/>
        <v>109944</v>
      </c>
      <c r="W105" s="708">
        <f t="shared" si="7"/>
        <v>17230576.643615201</v>
      </c>
    </row>
    <row r="106" spans="1:23">
      <c r="A106" s="700" t="s">
        <v>171</v>
      </c>
      <c r="B106" s="700">
        <v>9786</v>
      </c>
      <c r="C106" s="702">
        <v>771522.62506368698</v>
      </c>
      <c r="G106" s="700" t="s">
        <v>785</v>
      </c>
      <c r="H106" s="700" t="s">
        <v>785</v>
      </c>
      <c r="I106" s="700" t="s">
        <v>201</v>
      </c>
      <c r="J106" s="700">
        <v>1389</v>
      </c>
      <c r="K106" s="702">
        <v>354441.76790011802</v>
      </c>
      <c r="L106" s="702">
        <v>255.177658675391</v>
      </c>
      <c r="M106" s="700"/>
      <c r="T106" s="706">
        <f t="shared" si="4"/>
        <v>9786</v>
      </c>
      <c r="U106" s="706">
        <f t="shared" si="5"/>
        <v>771522.62506368698</v>
      </c>
      <c r="V106" s="706">
        <f t="shared" si="6"/>
        <v>0</v>
      </c>
      <c r="W106" s="708">
        <f t="shared" si="7"/>
        <v>0</v>
      </c>
    </row>
    <row r="107" spans="1:23">
      <c r="A107" s="700" t="s">
        <v>172</v>
      </c>
      <c r="B107" s="700">
        <v>57</v>
      </c>
      <c r="C107" s="702">
        <v>9213.4807632005704</v>
      </c>
      <c r="G107" s="700" t="s">
        <v>785</v>
      </c>
      <c r="H107" s="700" t="s">
        <v>785</v>
      </c>
      <c r="I107" s="700" t="s">
        <v>110</v>
      </c>
      <c r="J107" s="700">
        <v>4860</v>
      </c>
      <c r="K107" s="702">
        <v>572893.654278929</v>
      </c>
      <c r="L107" s="702">
        <v>117.87935273229</v>
      </c>
      <c r="M107" s="700"/>
      <c r="T107" s="706">
        <f t="shared" si="4"/>
        <v>57</v>
      </c>
      <c r="U107" s="706">
        <f t="shared" si="5"/>
        <v>9213.4807632005704</v>
      </c>
      <c r="V107" s="706">
        <f t="shared" si="6"/>
        <v>0</v>
      </c>
      <c r="W107" s="708">
        <f t="shared" si="7"/>
        <v>0</v>
      </c>
    </row>
    <row r="108" spans="1:23">
      <c r="A108" s="700" t="s">
        <v>173</v>
      </c>
      <c r="B108" s="700">
        <v>29</v>
      </c>
      <c r="C108" s="702">
        <v>3058.6193533107698</v>
      </c>
      <c r="G108" s="700" t="s">
        <v>785</v>
      </c>
      <c r="H108" s="700" t="s">
        <v>785</v>
      </c>
      <c r="I108" s="700" t="s">
        <v>187</v>
      </c>
      <c r="J108" s="700">
        <v>2437</v>
      </c>
      <c r="K108" s="702">
        <v>368076.49179054901</v>
      </c>
      <c r="L108" s="702">
        <v>151.03672211347899</v>
      </c>
      <c r="M108" s="700"/>
      <c r="T108" s="706">
        <f t="shared" si="4"/>
        <v>29</v>
      </c>
      <c r="U108" s="706">
        <f t="shared" si="5"/>
        <v>3058.6193533107698</v>
      </c>
      <c r="V108" s="706">
        <f t="shared" si="6"/>
        <v>0</v>
      </c>
      <c r="W108" s="708">
        <f t="shared" si="7"/>
        <v>0</v>
      </c>
    </row>
    <row r="109" spans="1:23">
      <c r="A109" s="700" t="s">
        <v>174</v>
      </c>
      <c r="B109" s="700">
        <v>10886</v>
      </c>
      <c r="C109" s="702">
        <v>1605967.5320768901</v>
      </c>
      <c r="G109" s="700" t="s">
        <v>785</v>
      </c>
      <c r="H109" s="700" t="s">
        <v>785</v>
      </c>
      <c r="I109" s="700" t="s">
        <v>245</v>
      </c>
      <c r="J109" s="700">
        <v>434</v>
      </c>
      <c r="K109" s="702">
        <v>66070.892194826098</v>
      </c>
      <c r="L109" s="702">
        <v>152.23707878992201</v>
      </c>
      <c r="M109" s="700"/>
      <c r="T109" s="706">
        <f t="shared" si="4"/>
        <v>10886</v>
      </c>
      <c r="U109" s="706">
        <f t="shared" si="5"/>
        <v>1605221.8748874899</v>
      </c>
      <c r="V109" s="706">
        <f t="shared" si="6"/>
        <v>0</v>
      </c>
      <c r="W109" s="708">
        <f t="shared" si="7"/>
        <v>0</v>
      </c>
    </row>
    <row r="110" spans="1:23">
      <c r="A110" s="700" t="s">
        <v>657</v>
      </c>
      <c r="B110" s="700">
        <v>1</v>
      </c>
      <c r="C110" s="702">
        <v>99.224687525701896</v>
      </c>
      <c r="G110" s="700" t="s">
        <v>785</v>
      </c>
      <c r="H110" s="700" t="s">
        <v>785</v>
      </c>
      <c r="I110" s="700" t="s">
        <v>282</v>
      </c>
      <c r="J110" s="700">
        <v>9</v>
      </c>
      <c r="K110" s="702">
        <v>2416.1352583634098</v>
      </c>
      <c r="L110" s="702">
        <v>268.45947315148999</v>
      </c>
      <c r="M110" s="700"/>
      <c r="T110" s="706">
        <f t="shared" si="4"/>
        <v>1</v>
      </c>
      <c r="U110" s="706">
        <f t="shared" si="5"/>
        <v>99.224687525701896</v>
      </c>
      <c r="V110" s="706">
        <f t="shared" si="6"/>
        <v>0</v>
      </c>
      <c r="W110" s="708">
        <f t="shared" si="7"/>
        <v>0</v>
      </c>
    </row>
    <row r="111" spans="1:23">
      <c r="A111" s="700" t="s">
        <v>175</v>
      </c>
      <c r="B111" s="700">
        <v>10</v>
      </c>
      <c r="C111" s="702">
        <v>1077.96945982492</v>
      </c>
      <c r="G111" s="700" t="s">
        <v>785</v>
      </c>
      <c r="H111" s="700" t="s">
        <v>785</v>
      </c>
      <c r="I111" s="700" t="s">
        <v>180</v>
      </c>
      <c r="J111" s="700">
        <v>21</v>
      </c>
      <c r="K111" s="702">
        <v>2975.4452235467002</v>
      </c>
      <c r="L111" s="702">
        <v>141.68786778793799</v>
      </c>
      <c r="M111" s="700"/>
      <c r="T111" s="706">
        <f t="shared" si="4"/>
        <v>10</v>
      </c>
      <c r="U111" s="706">
        <f t="shared" si="5"/>
        <v>1077.96945982492</v>
      </c>
      <c r="V111" s="706">
        <f t="shared" si="6"/>
        <v>0</v>
      </c>
      <c r="W111" s="708">
        <f t="shared" si="7"/>
        <v>0</v>
      </c>
    </row>
    <row r="112" spans="1:23">
      <c r="A112" s="700" t="s">
        <v>176</v>
      </c>
      <c r="B112" s="700">
        <v>2898</v>
      </c>
      <c r="C112" s="702">
        <v>451774.19705785601</v>
      </c>
      <c r="G112" s="700" t="s">
        <v>785</v>
      </c>
      <c r="H112" s="700" t="s">
        <v>785</v>
      </c>
      <c r="I112" s="700" t="s">
        <v>197</v>
      </c>
      <c r="J112" s="700">
        <v>7</v>
      </c>
      <c r="K112" s="702">
        <v>1200.69099368042</v>
      </c>
      <c r="L112" s="702">
        <v>171.52728481148799</v>
      </c>
      <c r="M112" s="700"/>
      <c r="T112" s="706">
        <f t="shared" si="4"/>
        <v>2898</v>
      </c>
      <c r="U112" s="706">
        <f t="shared" si="5"/>
        <v>445441.24947377999</v>
      </c>
      <c r="V112" s="706">
        <f t="shared" si="6"/>
        <v>2898</v>
      </c>
      <c r="W112" s="708">
        <f t="shared" si="7"/>
        <v>445441.24947377999</v>
      </c>
    </row>
    <row r="113" spans="1:23">
      <c r="A113" s="700" t="s">
        <v>177</v>
      </c>
      <c r="B113" s="700">
        <v>8</v>
      </c>
      <c r="C113" s="702">
        <v>1474.9750520024199</v>
      </c>
      <c r="G113" s="700" t="s">
        <v>785</v>
      </c>
      <c r="H113" s="700" t="s">
        <v>785</v>
      </c>
      <c r="I113" s="700" t="s">
        <v>564</v>
      </c>
      <c r="J113" s="700">
        <v>5</v>
      </c>
      <c r="K113" s="702">
        <v>865.42845969670304</v>
      </c>
      <c r="L113" s="702">
        <v>173.08569193934099</v>
      </c>
      <c r="M113" s="700"/>
      <c r="T113" s="706">
        <f t="shared" si="4"/>
        <v>8</v>
      </c>
      <c r="U113" s="706">
        <f t="shared" si="5"/>
        <v>1474.9750520024199</v>
      </c>
      <c r="V113" s="706">
        <f t="shared" si="6"/>
        <v>8</v>
      </c>
      <c r="W113" s="708">
        <f t="shared" si="7"/>
        <v>1474.9750520024199</v>
      </c>
    </row>
    <row r="114" spans="1:23">
      <c r="A114" s="700" t="s">
        <v>383</v>
      </c>
      <c r="B114" s="700">
        <v>2</v>
      </c>
      <c r="C114" s="702">
        <v>322.13114040728601</v>
      </c>
      <c r="G114" s="700" t="s">
        <v>785</v>
      </c>
      <c r="H114" s="700" t="s">
        <v>785</v>
      </c>
      <c r="I114" s="700" t="s">
        <v>126</v>
      </c>
      <c r="J114" s="700">
        <v>47</v>
      </c>
      <c r="K114" s="702">
        <v>12654.7917808483</v>
      </c>
      <c r="L114" s="702">
        <v>269.250888954218</v>
      </c>
      <c r="M114" s="700"/>
      <c r="T114" s="706">
        <f t="shared" si="4"/>
        <v>2</v>
      </c>
      <c r="U114" s="706">
        <f t="shared" si="5"/>
        <v>322.13114040728601</v>
      </c>
      <c r="V114" s="706">
        <f t="shared" si="6"/>
        <v>2</v>
      </c>
      <c r="W114" s="708">
        <f t="shared" si="7"/>
        <v>322.13114040728601</v>
      </c>
    </row>
    <row r="115" spans="1:23">
      <c r="A115" s="700" t="s">
        <v>178</v>
      </c>
      <c r="B115" s="700">
        <v>7</v>
      </c>
      <c r="C115" s="702">
        <v>6961.61870717087</v>
      </c>
      <c r="G115" s="700" t="s">
        <v>785</v>
      </c>
      <c r="H115" s="700" t="s">
        <v>785</v>
      </c>
      <c r="I115" s="700" t="s">
        <v>364</v>
      </c>
      <c r="J115" s="700">
        <v>3318</v>
      </c>
      <c r="K115" s="702">
        <v>787223.31985666498</v>
      </c>
      <c r="L115" s="702">
        <v>237.258384525818</v>
      </c>
      <c r="M115" s="700"/>
      <c r="T115" s="706">
        <f t="shared" si="4"/>
        <v>7</v>
      </c>
      <c r="U115" s="706">
        <f t="shared" si="5"/>
        <v>6961.61870717087</v>
      </c>
      <c r="V115" s="706">
        <f t="shared" si="6"/>
        <v>7</v>
      </c>
      <c r="W115" s="708">
        <f t="shared" si="7"/>
        <v>6961.61870717087</v>
      </c>
    </row>
    <row r="116" spans="1:23">
      <c r="A116" s="700" t="s">
        <v>597</v>
      </c>
      <c r="B116" s="700">
        <v>40</v>
      </c>
      <c r="C116" s="702">
        <v>9286.3429979114408</v>
      </c>
      <c r="G116" s="700" t="s">
        <v>785</v>
      </c>
      <c r="H116" s="700" t="s">
        <v>785</v>
      </c>
      <c r="I116" s="700" t="s">
        <v>565</v>
      </c>
      <c r="J116" s="700">
        <v>17</v>
      </c>
      <c r="K116" s="702">
        <v>2479.1877336432599</v>
      </c>
      <c r="L116" s="702">
        <v>145.83457256725001</v>
      </c>
      <c r="M116" s="700"/>
      <c r="T116" s="706">
        <f t="shared" si="4"/>
        <v>40</v>
      </c>
      <c r="U116" s="706">
        <f t="shared" si="5"/>
        <v>9286.3429979114408</v>
      </c>
      <c r="V116" s="706">
        <f t="shared" si="6"/>
        <v>40</v>
      </c>
      <c r="W116" s="708">
        <f t="shared" si="7"/>
        <v>9286.3429979114408</v>
      </c>
    </row>
    <row r="117" spans="1:23">
      <c r="A117" s="700" t="s">
        <v>179</v>
      </c>
      <c r="B117" s="700">
        <v>13</v>
      </c>
      <c r="C117" s="702">
        <v>1880.24388777482</v>
      </c>
      <c r="G117" s="700" t="s">
        <v>785</v>
      </c>
      <c r="H117" s="700" t="s">
        <v>785</v>
      </c>
      <c r="I117" s="700" t="s">
        <v>296</v>
      </c>
      <c r="J117" s="700">
        <v>77</v>
      </c>
      <c r="K117" s="702">
        <v>10109.6962392439</v>
      </c>
      <c r="L117" s="702">
        <v>131.29475635381701</v>
      </c>
      <c r="M117" s="700"/>
      <c r="T117" s="706">
        <f t="shared" si="4"/>
        <v>13</v>
      </c>
      <c r="U117" s="706">
        <f t="shared" si="5"/>
        <v>1880.24388777482</v>
      </c>
      <c r="V117" s="706">
        <f t="shared" si="6"/>
        <v>13</v>
      </c>
      <c r="W117" s="708">
        <f t="shared" si="7"/>
        <v>1880.24388777482</v>
      </c>
    </row>
    <row r="118" spans="1:23">
      <c r="A118" s="700" t="s">
        <v>180</v>
      </c>
      <c r="B118" s="700">
        <v>21</v>
      </c>
      <c r="C118" s="702">
        <v>2975.4452235467002</v>
      </c>
      <c r="G118" s="700" t="s">
        <v>785</v>
      </c>
      <c r="H118" s="700" t="s">
        <v>785</v>
      </c>
      <c r="I118" s="700" t="s">
        <v>259</v>
      </c>
      <c r="J118" s="700">
        <v>2</v>
      </c>
      <c r="K118" s="702">
        <v>627.30166056095595</v>
      </c>
      <c r="L118" s="702">
        <v>313.65083028047798</v>
      </c>
      <c r="M118" s="700"/>
      <c r="T118" s="706">
        <f t="shared" si="4"/>
        <v>21</v>
      </c>
      <c r="U118" s="706">
        <f t="shared" si="5"/>
        <v>2975.4452235467002</v>
      </c>
      <c r="V118" s="706">
        <f t="shared" si="6"/>
        <v>21</v>
      </c>
      <c r="W118" s="708">
        <f t="shared" si="7"/>
        <v>2975.4452235467002</v>
      </c>
    </row>
    <row r="119" spans="1:23">
      <c r="A119" s="700" t="s">
        <v>181</v>
      </c>
      <c r="B119" s="700">
        <v>1</v>
      </c>
      <c r="C119" s="702">
        <v>99.224687525701896</v>
      </c>
      <c r="G119" s="700" t="s">
        <v>785</v>
      </c>
      <c r="H119" s="700" t="s">
        <v>785</v>
      </c>
      <c r="I119" s="700" t="s">
        <v>566</v>
      </c>
      <c r="J119" s="700">
        <v>1</v>
      </c>
      <c r="K119" s="702">
        <v>204.68756362936301</v>
      </c>
      <c r="L119" s="702">
        <v>204.68756362936301</v>
      </c>
      <c r="M119" s="700"/>
      <c r="T119" s="706">
        <f t="shared" si="4"/>
        <v>1</v>
      </c>
      <c r="U119" s="706">
        <f t="shared" si="5"/>
        <v>99.224687525701896</v>
      </c>
      <c r="V119" s="706">
        <f t="shared" si="6"/>
        <v>1</v>
      </c>
      <c r="W119" s="708">
        <f t="shared" si="7"/>
        <v>99.224687525701896</v>
      </c>
    </row>
    <row r="120" spans="1:23">
      <c r="A120" s="700" t="s">
        <v>182</v>
      </c>
      <c r="B120" s="700">
        <v>1</v>
      </c>
      <c r="C120" s="702">
        <v>216.91502045228901</v>
      </c>
      <c r="G120" s="700" t="s">
        <v>785</v>
      </c>
      <c r="H120" s="700" t="s">
        <v>785</v>
      </c>
      <c r="I120" s="700" t="s">
        <v>567</v>
      </c>
      <c r="J120" s="700">
        <v>252</v>
      </c>
      <c r="K120" s="702">
        <v>73332.601663585898</v>
      </c>
      <c r="L120" s="702">
        <v>291.002387553912</v>
      </c>
      <c r="M120" s="700"/>
      <c r="T120" s="706">
        <f t="shared" si="4"/>
        <v>1</v>
      </c>
      <c r="U120" s="706">
        <f t="shared" si="5"/>
        <v>216.91502045228901</v>
      </c>
      <c r="V120" s="706">
        <f t="shared" si="6"/>
        <v>1</v>
      </c>
      <c r="W120" s="708">
        <f t="shared" si="7"/>
        <v>216.91502045228901</v>
      </c>
    </row>
    <row r="121" spans="1:23">
      <c r="A121" s="700" t="s">
        <v>183</v>
      </c>
      <c r="B121" s="700">
        <v>425</v>
      </c>
      <c r="C121" s="702">
        <v>44358.7897531208</v>
      </c>
      <c r="G121" s="700" t="s">
        <v>785</v>
      </c>
      <c r="H121" s="700" t="s">
        <v>785</v>
      </c>
      <c r="I121" s="700" t="s">
        <v>86</v>
      </c>
      <c r="J121" s="700">
        <v>18</v>
      </c>
      <c r="K121" s="702">
        <v>2891.1722987365501</v>
      </c>
      <c r="L121" s="702">
        <v>160.62068326314201</v>
      </c>
      <c r="M121" s="700"/>
      <c r="T121" s="706">
        <f t="shared" si="4"/>
        <v>425</v>
      </c>
      <c r="U121" s="706">
        <f t="shared" si="5"/>
        <v>44358.7897531208</v>
      </c>
      <c r="V121" s="706">
        <f t="shared" si="6"/>
        <v>425</v>
      </c>
      <c r="W121" s="708">
        <f t="shared" si="7"/>
        <v>44358.7897531208</v>
      </c>
    </row>
    <row r="122" spans="1:23">
      <c r="A122" s="700" t="s">
        <v>184</v>
      </c>
      <c r="B122" s="700">
        <v>5</v>
      </c>
      <c r="C122" s="702">
        <v>3903.5582035914199</v>
      </c>
      <c r="G122" s="700" t="s">
        <v>785</v>
      </c>
      <c r="H122" s="700" t="s">
        <v>785</v>
      </c>
      <c r="I122" s="700" t="s">
        <v>800</v>
      </c>
      <c r="J122" s="700">
        <v>3331</v>
      </c>
      <c r="K122" s="702">
        <v>1408385.80169008</v>
      </c>
      <c r="L122" s="702">
        <v>422.81170870311701</v>
      </c>
      <c r="M122" s="700"/>
      <c r="T122" s="706">
        <f t="shared" si="4"/>
        <v>5</v>
      </c>
      <c r="U122" s="706">
        <f t="shared" si="5"/>
        <v>3903.5582035914199</v>
      </c>
      <c r="V122" s="706">
        <f t="shared" si="6"/>
        <v>5</v>
      </c>
      <c r="W122" s="708">
        <f t="shared" si="7"/>
        <v>3903.5582035914199</v>
      </c>
    </row>
    <row r="123" spans="1:23">
      <c r="A123" s="700" t="s">
        <v>185</v>
      </c>
      <c r="B123" s="700">
        <v>45</v>
      </c>
      <c r="C123" s="702">
        <v>5049.6530306263403</v>
      </c>
      <c r="G123" s="700" t="s">
        <v>785</v>
      </c>
      <c r="H123" s="700" t="s">
        <v>785</v>
      </c>
      <c r="I123" s="700" t="s">
        <v>92</v>
      </c>
      <c r="J123" s="700">
        <v>2</v>
      </c>
      <c r="K123" s="702">
        <v>235.40908853873901</v>
      </c>
      <c r="L123" s="702">
        <v>117.70454426937</v>
      </c>
      <c r="M123" s="700"/>
      <c r="T123" s="706">
        <f t="shared" si="4"/>
        <v>45</v>
      </c>
      <c r="U123" s="706">
        <f t="shared" si="5"/>
        <v>5049.6530306263403</v>
      </c>
      <c r="V123" s="706">
        <f t="shared" si="6"/>
        <v>45</v>
      </c>
      <c r="W123" s="708">
        <f t="shared" si="7"/>
        <v>5049.6530306263403</v>
      </c>
    </row>
    <row r="124" spans="1:23">
      <c r="A124" s="700" t="s">
        <v>186</v>
      </c>
      <c r="B124" s="700">
        <v>5</v>
      </c>
      <c r="C124" s="702">
        <v>1404.37389894737</v>
      </c>
      <c r="G124" s="700" t="s">
        <v>785</v>
      </c>
      <c r="H124" s="700" t="s">
        <v>785</v>
      </c>
      <c r="I124" s="700" t="s">
        <v>170</v>
      </c>
      <c r="J124" s="700">
        <v>109944</v>
      </c>
      <c r="K124" s="702">
        <v>17230576.643615201</v>
      </c>
      <c r="L124" s="702">
        <v>156.721391286612</v>
      </c>
      <c r="M124" s="700"/>
      <c r="T124" s="706">
        <f t="shared" si="4"/>
        <v>5</v>
      </c>
      <c r="U124" s="706">
        <f t="shared" si="5"/>
        <v>1404.37389894737</v>
      </c>
      <c r="V124" s="706">
        <f t="shared" si="6"/>
        <v>5</v>
      </c>
      <c r="W124" s="708">
        <f t="shared" si="7"/>
        <v>1404.37389894737</v>
      </c>
    </row>
    <row r="125" spans="1:23">
      <c r="A125" s="700" t="s">
        <v>187</v>
      </c>
      <c r="B125" s="700">
        <v>2437</v>
      </c>
      <c r="C125" s="702">
        <v>370312.32146412</v>
      </c>
      <c r="G125" s="700" t="s">
        <v>785</v>
      </c>
      <c r="H125" s="700" t="s">
        <v>785</v>
      </c>
      <c r="I125" s="700" t="s">
        <v>568</v>
      </c>
      <c r="J125" s="700">
        <v>2</v>
      </c>
      <c r="K125" s="702">
        <v>288.80199359771501</v>
      </c>
      <c r="L125" s="702">
        <v>144.40099679885699</v>
      </c>
      <c r="M125" s="700"/>
      <c r="T125" s="706">
        <f t="shared" si="4"/>
        <v>2437</v>
      </c>
      <c r="U125" s="706">
        <f t="shared" si="5"/>
        <v>368076.49179054901</v>
      </c>
      <c r="V125" s="706">
        <f t="shared" si="6"/>
        <v>2437</v>
      </c>
      <c r="W125" s="708">
        <f t="shared" si="7"/>
        <v>368076.49179054901</v>
      </c>
    </row>
    <row r="126" spans="1:23">
      <c r="A126" s="700" t="s">
        <v>188</v>
      </c>
      <c r="B126" s="700">
        <v>124</v>
      </c>
      <c r="C126" s="702">
        <v>25836.542637837701</v>
      </c>
      <c r="G126" s="700" t="s">
        <v>785</v>
      </c>
      <c r="H126" s="700" t="s">
        <v>785</v>
      </c>
      <c r="I126" s="700" t="s">
        <v>247</v>
      </c>
      <c r="J126" s="700">
        <v>106</v>
      </c>
      <c r="K126" s="702">
        <v>14203.011663399</v>
      </c>
      <c r="L126" s="702">
        <v>133.99067606980199</v>
      </c>
      <c r="M126" s="700"/>
      <c r="T126" s="706">
        <f t="shared" si="4"/>
        <v>124</v>
      </c>
      <c r="U126" s="706">
        <f t="shared" si="5"/>
        <v>25836.542637837701</v>
      </c>
      <c r="V126" s="706">
        <f t="shared" si="6"/>
        <v>124</v>
      </c>
      <c r="W126" s="708">
        <f t="shared" si="7"/>
        <v>25836.542637837701</v>
      </c>
    </row>
    <row r="127" spans="1:23">
      <c r="A127" s="700" t="s">
        <v>189</v>
      </c>
      <c r="B127" s="700">
        <v>38</v>
      </c>
      <c r="C127" s="702">
        <v>15986.169827113899</v>
      </c>
      <c r="G127" s="700" t="s">
        <v>785</v>
      </c>
      <c r="H127" s="700" t="s">
        <v>785</v>
      </c>
      <c r="I127" s="700" t="s">
        <v>203</v>
      </c>
      <c r="J127" s="700">
        <v>534</v>
      </c>
      <c r="K127" s="702">
        <v>179941.531184072</v>
      </c>
      <c r="L127" s="702">
        <v>336.96915952073499</v>
      </c>
      <c r="M127" s="700"/>
      <c r="T127" s="706">
        <f t="shared" si="4"/>
        <v>38</v>
      </c>
      <c r="U127" s="706">
        <f t="shared" si="5"/>
        <v>15986.169827113899</v>
      </c>
      <c r="V127" s="706">
        <f t="shared" si="6"/>
        <v>38</v>
      </c>
      <c r="W127" s="708">
        <f t="shared" si="7"/>
        <v>15986.169827113899</v>
      </c>
    </row>
    <row r="128" spans="1:23">
      <c r="A128" s="700" t="s">
        <v>190</v>
      </c>
      <c r="B128" s="700">
        <v>60</v>
      </c>
      <c r="C128" s="702">
        <v>7278.9303995381397</v>
      </c>
      <c r="G128" s="700" t="s">
        <v>785</v>
      </c>
      <c r="H128" s="700" t="s">
        <v>785</v>
      </c>
      <c r="I128" s="700" t="s">
        <v>369</v>
      </c>
      <c r="J128" s="700">
        <v>341</v>
      </c>
      <c r="K128" s="702">
        <v>60319.496684093501</v>
      </c>
      <c r="L128" s="702">
        <v>176.89001960144699</v>
      </c>
      <c r="M128" s="700"/>
      <c r="T128" s="706">
        <f t="shared" si="4"/>
        <v>60</v>
      </c>
      <c r="U128" s="706">
        <f t="shared" si="5"/>
        <v>7278.9303995381397</v>
      </c>
      <c r="V128" s="706">
        <f t="shared" si="6"/>
        <v>60</v>
      </c>
      <c r="W128" s="708">
        <f t="shared" si="7"/>
        <v>7278.9303995381397</v>
      </c>
    </row>
    <row r="129" spans="1:23">
      <c r="A129" s="700" t="s">
        <v>191</v>
      </c>
      <c r="B129" s="700">
        <v>8</v>
      </c>
      <c r="C129" s="702">
        <v>942.56269721896194</v>
      </c>
      <c r="G129" s="700" t="s">
        <v>785</v>
      </c>
      <c r="H129" s="700" t="s">
        <v>785</v>
      </c>
      <c r="I129" s="700" t="s">
        <v>303</v>
      </c>
      <c r="J129" s="700">
        <v>252</v>
      </c>
      <c r="K129" s="702">
        <v>30399.220388209</v>
      </c>
      <c r="L129" s="702">
        <v>120.631826937337</v>
      </c>
      <c r="M129" s="700"/>
      <c r="T129" s="706">
        <f t="shared" si="4"/>
        <v>8</v>
      </c>
      <c r="U129" s="706">
        <f t="shared" si="5"/>
        <v>942.56269721896194</v>
      </c>
      <c r="V129" s="706">
        <f t="shared" si="6"/>
        <v>8</v>
      </c>
      <c r="W129" s="708">
        <f t="shared" si="7"/>
        <v>942.56269721896194</v>
      </c>
    </row>
    <row r="130" spans="1:23">
      <c r="A130" s="700" t="s">
        <v>192</v>
      </c>
      <c r="B130" s="700">
        <v>5</v>
      </c>
      <c r="C130" s="702">
        <v>505.305250721378</v>
      </c>
      <c r="G130" s="700" t="s">
        <v>785</v>
      </c>
      <c r="H130" s="700" t="s">
        <v>785</v>
      </c>
      <c r="I130" s="700" t="s">
        <v>356</v>
      </c>
      <c r="J130" s="700">
        <v>10</v>
      </c>
      <c r="K130" s="702">
        <v>10781.001258960499</v>
      </c>
      <c r="L130" s="702">
        <v>1078.10012589605</v>
      </c>
      <c r="M130" s="700"/>
      <c r="T130" s="706">
        <f t="shared" si="4"/>
        <v>5</v>
      </c>
      <c r="U130" s="706">
        <f t="shared" si="5"/>
        <v>505.305250721378</v>
      </c>
      <c r="V130" s="706">
        <f t="shared" si="6"/>
        <v>5</v>
      </c>
      <c r="W130" s="708">
        <f t="shared" si="7"/>
        <v>505.305250721378</v>
      </c>
    </row>
    <row r="131" spans="1:23">
      <c r="A131" s="700" t="s">
        <v>193</v>
      </c>
      <c r="B131" s="700">
        <v>74</v>
      </c>
      <c r="C131" s="702">
        <v>15923.3097424512</v>
      </c>
      <c r="G131" s="700" t="s">
        <v>785</v>
      </c>
      <c r="H131" s="700" t="s">
        <v>785</v>
      </c>
      <c r="I131" s="700" t="s">
        <v>801</v>
      </c>
      <c r="J131" s="700">
        <v>11496</v>
      </c>
      <c r="K131" s="702">
        <v>1965966.97622194</v>
      </c>
      <c r="L131" s="702">
        <v>171.01313293510199</v>
      </c>
      <c r="M131" s="700"/>
      <c r="T131" s="706">
        <f t="shared" si="4"/>
        <v>74</v>
      </c>
      <c r="U131" s="706">
        <f t="shared" si="5"/>
        <v>15923.3097424512</v>
      </c>
      <c r="V131" s="706">
        <f t="shared" si="6"/>
        <v>74</v>
      </c>
      <c r="W131" s="708">
        <f t="shared" si="7"/>
        <v>15923.3097424512</v>
      </c>
    </row>
    <row r="132" spans="1:23">
      <c r="A132" s="700" t="s">
        <v>600</v>
      </c>
      <c r="B132" s="700">
        <v>4</v>
      </c>
      <c r="C132" s="702">
        <v>1081.0271855994699</v>
      </c>
      <c r="G132" s="700" t="s">
        <v>785</v>
      </c>
      <c r="H132" s="700" t="s">
        <v>785</v>
      </c>
      <c r="I132" s="700" t="s">
        <v>136</v>
      </c>
      <c r="J132" s="700">
        <v>4</v>
      </c>
      <c r="K132" s="702">
        <v>522.54027684288405</v>
      </c>
      <c r="L132" s="702">
        <v>130.63506921072101</v>
      </c>
      <c r="M132" s="700"/>
      <c r="T132" s="706">
        <f t="shared" ref="T132:T195" si="8">VLOOKUP(A132,$I:$L,2,FALSE)</f>
        <v>4</v>
      </c>
      <c r="U132" s="706">
        <f t="shared" ref="U132:U195" si="9">VLOOKUP(A132,$I:$L,3,FALSE)</f>
        <v>1081.0271855994699</v>
      </c>
      <c r="V132" s="706">
        <f t="shared" ref="V132:V195" si="10">IF(COUNTIF($P:$P,A132)=1,0,T132)</f>
        <v>4</v>
      </c>
      <c r="W132" s="708">
        <f t="shared" ref="W132:W195" si="11">IF(COUNTIF($P:$P,A132)=1,0,U132)</f>
        <v>1081.0271855994699</v>
      </c>
    </row>
    <row r="133" spans="1:23">
      <c r="A133" s="700" t="s">
        <v>578</v>
      </c>
      <c r="B133" s="700">
        <v>791</v>
      </c>
      <c r="C133" s="702">
        <v>110293.73806508401</v>
      </c>
      <c r="G133" s="700" t="s">
        <v>785</v>
      </c>
      <c r="H133" s="700" t="s">
        <v>785</v>
      </c>
      <c r="I133" s="700" t="s">
        <v>326</v>
      </c>
      <c r="J133" s="700">
        <v>2685</v>
      </c>
      <c r="K133" s="702">
        <v>383431.04757478001</v>
      </c>
      <c r="L133" s="702">
        <v>142.80485943194799</v>
      </c>
      <c r="M133" s="700"/>
      <c r="T133" s="706">
        <f t="shared" si="8"/>
        <v>791</v>
      </c>
      <c r="U133" s="706">
        <f t="shared" si="9"/>
        <v>110293.73806508401</v>
      </c>
      <c r="V133" s="706">
        <f t="shared" si="10"/>
        <v>791</v>
      </c>
      <c r="W133" s="708">
        <f t="shared" si="11"/>
        <v>110293.73806508401</v>
      </c>
    </row>
    <row r="134" spans="1:23">
      <c r="A134" s="700" t="s">
        <v>628</v>
      </c>
      <c r="B134" s="700">
        <v>7</v>
      </c>
      <c r="C134" s="702">
        <v>1923.80117284622</v>
      </c>
      <c r="G134" s="700" t="s">
        <v>785</v>
      </c>
      <c r="H134" s="700" t="s">
        <v>785</v>
      </c>
      <c r="I134" s="700" t="s">
        <v>345</v>
      </c>
      <c r="J134" s="700">
        <v>4</v>
      </c>
      <c r="K134" s="702">
        <v>1254.6033211219101</v>
      </c>
      <c r="L134" s="702">
        <v>313.65083028047798</v>
      </c>
      <c r="M134" s="700"/>
      <c r="T134" s="706">
        <f t="shared" si="8"/>
        <v>7</v>
      </c>
      <c r="U134" s="706">
        <f t="shared" si="9"/>
        <v>1923.80117284622</v>
      </c>
      <c r="V134" s="706">
        <f t="shared" si="10"/>
        <v>7</v>
      </c>
      <c r="W134" s="708">
        <f t="shared" si="11"/>
        <v>1923.80117284622</v>
      </c>
    </row>
    <row r="135" spans="1:23">
      <c r="A135" s="700" t="s">
        <v>194</v>
      </c>
      <c r="B135" s="700">
        <v>25</v>
      </c>
      <c r="C135" s="702">
        <v>3100.5102413089999</v>
      </c>
      <c r="G135" s="700" t="s">
        <v>785</v>
      </c>
      <c r="H135" s="700" t="s">
        <v>785</v>
      </c>
      <c r="I135" s="700" t="s">
        <v>255</v>
      </c>
      <c r="J135" s="700">
        <v>6</v>
      </c>
      <c r="K135" s="702">
        <v>621.58447974030798</v>
      </c>
      <c r="L135" s="702">
        <v>103.59741329005099</v>
      </c>
      <c r="M135" s="700"/>
      <c r="T135" s="706">
        <f t="shared" si="8"/>
        <v>25</v>
      </c>
      <c r="U135" s="706">
        <f t="shared" si="9"/>
        <v>3100.5102413089999</v>
      </c>
      <c r="V135" s="706">
        <f t="shared" si="10"/>
        <v>25</v>
      </c>
      <c r="W135" s="708">
        <f t="shared" si="11"/>
        <v>3100.5102413089999</v>
      </c>
    </row>
    <row r="136" spans="1:23">
      <c r="A136" s="700" t="s">
        <v>527</v>
      </c>
      <c r="B136" s="700">
        <v>1</v>
      </c>
      <c r="C136" s="702">
        <v>209.04789653717299</v>
      </c>
      <c r="G136" s="700" t="s">
        <v>785</v>
      </c>
      <c r="H136" s="700" t="s">
        <v>785</v>
      </c>
      <c r="I136" s="700" t="s">
        <v>802</v>
      </c>
      <c r="J136" s="700">
        <v>516</v>
      </c>
      <c r="K136" s="702">
        <v>118075.949623241</v>
      </c>
      <c r="L136" s="702">
        <v>228.82935973496399</v>
      </c>
      <c r="M136" s="700"/>
      <c r="T136" s="706">
        <f t="shared" si="8"/>
        <v>1</v>
      </c>
      <c r="U136" s="706">
        <f t="shared" si="9"/>
        <v>209.04789653717299</v>
      </c>
      <c r="V136" s="706">
        <f t="shared" si="10"/>
        <v>1</v>
      </c>
      <c r="W136" s="708">
        <f t="shared" si="11"/>
        <v>209.04789653717299</v>
      </c>
    </row>
    <row r="137" spans="1:23">
      <c r="A137" s="700" t="s">
        <v>567</v>
      </c>
      <c r="B137" s="700">
        <v>252</v>
      </c>
      <c r="C137" s="702">
        <v>73332.601663585898</v>
      </c>
      <c r="G137" s="700" t="s">
        <v>785</v>
      </c>
      <c r="H137" s="700" t="s">
        <v>785</v>
      </c>
      <c r="I137" s="700" t="s">
        <v>569</v>
      </c>
      <c r="J137" s="700">
        <v>1</v>
      </c>
      <c r="K137" s="702">
        <v>105.058675782628</v>
      </c>
      <c r="L137" s="702">
        <v>105.058675782628</v>
      </c>
      <c r="M137" s="700"/>
      <c r="T137" s="706">
        <f t="shared" si="8"/>
        <v>252</v>
      </c>
      <c r="U137" s="706">
        <f t="shared" si="9"/>
        <v>73332.601663585898</v>
      </c>
      <c r="V137" s="706">
        <f t="shared" si="10"/>
        <v>252</v>
      </c>
      <c r="W137" s="708">
        <f t="shared" si="11"/>
        <v>73332.601663585898</v>
      </c>
    </row>
    <row r="138" spans="1:23">
      <c r="A138" s="700" t="s">
        <v>195</v>
      </c>
      <c r="B138" s="700">
        <v>49</v>
      </c>
      <c r="C138" s="702">
        <v>5951.7656392176104</v>
      </c>
      <c r="G138" s="700" t="s">
        <v>785</v>
      </c>
      <c r="H138" s="700" t="s">
        <v>785</v>
      </c>
      <c r="I138" s="700" t="s">
        <v>166</v>
      </c>
      <c r="J138" s="700">
        <v>10181</v>
      </c>
      <c r="K138" s="702">
        <v>1582604.6827121601</v>
      </c>
      <c r="L138" s="702">
        <v>155.446879747781</v>
      </c>
      <c r="M138" s="700"/>
      <c r="T138" s="706">
        <f t="shared" si="8"/>
        <v>49</v>
      </c>
      <c r="U138" s="706">
        <f t="shared" si="9"/>
        <v>5951.7656392176104</v>
      </c>
      <c r="V138" s="706">
        <f t="shared" si="10"/>
        <v>49</v>
      </c>
      <c r="W138" s="708">
        <f t="shared" si="11"/>
        <v>5951.7656392176104</v>
      </c>
    </row>
    <row r="139" spans="1:23">
      <c r="A139" s="700" t="s">
        <v>612</v>
      </c>
      <c r="B139" s="700">
        <v>6</v>
      </c>
      <c r="C139" s="702">
        <v>1137.7634403561301</v>
      </c>
      <c r="G139" s="700" t="s">
        <v>785</v>
      </c>
      <c r="H139" s="700" t="s">
        <v>785</v>
      </c>
      <c r="I139" s="700" t="s">
        <v>258</v>
      </c>
      <c r="J139" s="700">
        <v>219</v>
      </c>
      <c r="K139" s="702">
        <v>39545.000369995498</v>
      </c>
      <c r="L139" s="702">
        <v>180.570777945185</v>
      </c>
      <c r="M139" s="700"/>
      <c r="T139" s="706">
        <f t="shared" si="8"/>
        <v>6</v>
      </c>
      <c r="U139" s="706">
        <f t="shared" si="9"/>
        <v>1137.7634403561301</v>
      </c>
      <c r="V139" s="706">
        <f t="shared" si="10"/>
        <v>6</v>
      </c>
      <c r="W139" s="708">
        <f t="shared" si="11"/>
        <v>1137.7634403561301</v>
      </c>
    </row>
    <row r="140" spans="1:23">
      <c r="A140" s="700" t="s">
        <v>550</v>
      </c>
      <c r="B140" s="700">
        <v>5</v>
      </c>
      <c r="C140" s="702">
        <v>813.77501909835905</v>
      </c>
      <c r="G140" s="700" t="s">
        <v>785</v>
      </c>
      <c r="H140" s="700" t="s">
        <v>785</v>
      </c>
      <c r="I140" s="700" t="s">
        <v>99</v>
      </c>
      <c r="J140" s="700">
        <v>1636</v>
      </c>
      <c r="K140" s="702">
        <v>200476.363855228</v>
      </c>
      <c r="L140" s="702">
        <v>122.54056470368501</v>
      </c>
      <c r="M140" s="700"/>
      <c r="T140" s="706">
        <f t="shared" si="8"/>
        <v>5</v>
      </c>
      <c r="U140" s="706">
        <f t="shared" si="9"/>
        <v>813.77501909835905</v>
      </c>
      <c r="V140" s="706">
        <f t="shared" si="10"/>
        <v>5</v>
      </c>
      <c r="W140" s="708">
        <f t="shared" si="11"/>
        <v>813.77501909835905</v>
      </c>
    </row>
    <row r="141" spans="1:23">
      <c r="A141" s="700" t="s">
        <v>660</v>
      </c>
      <c r="B141" s="700">
        <v>4</v>
      </c>
      <c r="C141" s="702">
        <v>682.26327252042995</v>
      </c>
      <c r="G141" s="700" t="s">
        <v>785</v>
      </c>
      <c r="H141" s="700" t="s">
        <v>785</v>
      </c>
      <c r="I141" s="700" t="s">
        <v>246</v>
      </c>
      <c r="J141" s="700">
        <v>23</v>
      </c>
      <c r="K141" s="702">
        <v>2300.08006737404</v>
      </c>
      <c r="L141" s="702">
        <v>100.003481190176</v>
      </c>
      <c r="M141" s="700"/>
      <c r="T141" s="706">
        <f t="shared" si="8"/>
        <v>4</v>
      </c>
      <c r="U141" s="706">
        <f t="shared" si="9"/>
        <v>682.26327252042995</v>
      </c>
      <c r="V141" s="706">
        <f t="shared" si="10"/>
        <v>4</v>
      </c>
      <c r="W141" s="708">
        <f t="shared" si="11"/>
        <v>682.26327252042995</v>
      </c>
    </row>
    <row r="142" spans="1:23">
      <c r="A142" s="700" t="s">
        <v>598</v>
      </c>
      <c r="B142" s="700">
        <v>5</v>
      </c>
      <c r="C142" s="702">
        <v>323.01219400980301</v>
      </c>
      <c r="G142" s="700" t="s">
        <v>785</v>
      </c>
      <c r="H142" s="700" t="s">
        <v>785</v>
      </c>
      <c r="I142" s="700" t="s">
        <v>570</v>
      </c>
      <c r="J142" s="700">
        <v>4</v>
      </c>
      <c r="K142" s="702">
        <v>928.18698484715503</v>
      </c>
      <c r="L142" s="702">
        <v>232.04674621178901</v>
      </c>
      <c r="M142" s="700"/>
      <c r="T142" s="706">
        <f t="shared" si="8"/>
        <v>5</v>
      </c>
      <c r="U142" s="706">
        <f t="shared" si="9"/>
        <v>323.01219400980301</v>
      </c>
      <c r="V142" s="706">
        <f t="shared" si="10"/>
        <v>5</v>
      </c>
      <c r="W142" s="708">
        <f t="shared" si="11"/>
        <v>323.01219400980301</v>
      </c>
    </row>
    <row r="143" spans="1:23">
      <c r="A143" s="700" t="s">
        <v>196</v>
      </c>
      <c r="B143" s="700">
        <v>6</v>
      </c>
      <c r="C143" s="702">
        <v>585.05767570872604</v>
      </c>
      <c r="G143" s="700" t="s">
        <v>785</v>
      </c>
      <c r="H143" s="700" t="s">
        <v>785</v>
      </c>
      <c r="I143" s="700" t="s">
        <v>803</v>
      </c>
      <c r="J143" s="700">
        <v>44387</v>
      </c>
      <c r="K143" s="702">
        <v>5298503.4695705296</v>
      </c>
      <c r="L143" s="702">
        <v>119.370614584688</v>
      </c>
      <c r="M143" s="700"/>
      <c r="T143" s="706">
        <f t="shared" si="8"/>
        <v>6</v>
      </c>
      <c r="U143" s="706">
        <f t="shared" si="9"/>
        <v>585.05767570872604</v>
      </c>
      <c r="V143" s="706">
        <f t="shared" si="10"/>
        <v>6</v>
      </c>
      <c r="W143" s="708">
        <f t="shared" si="11"/>
        <v>585.05767570872604</v>
      </c>
    </row>
    <row r="144" spans="1:23">
      <c r="A144" s="700" t="s">
        <v>539</v>
      </c>
      <c r="B144" s="700">
        <v>5</v>
      </c>
      <c r="C144" s="702">
        <v>684.89233542408601</v>
      </c>
      <c r="G144" s="700" t="s">
        <v>785</v>
      </c>
      <c r="H144" s="700" t="s">
        <v>785</v>
      </c>
      <c r="I144" s="700" t="s">
        <v>202</v>
      </c>
      <c r="J144" s="700">
        <v>471</v>
      </c>
      <c r="K144" s="702">
        <v>103546.220756261</v>
      </c>
      <c r="L144" s="702">
        <v>219.843356170405</v>
      </c>
      <c r="M144" s="700"/>
      <c r="T144" s="706">
        <f t="shared" si="8"/>
        <v>5</v>
      </c>
      <c r="U144" s="706">
        <f t="shared" si="9"/>
        <v>684.89233542408601</v>
      </c>
      <c r="V144" s="706">
        <f t="shared" si="10"/>
        <v>5</v>
      </c>
      <c r="W144" s="708">
        <f t="shared" si="11"/>
        <v>684.89233542408601</v>
      </c>
    </row>
    <row r="145" spans="1:23">
      <c r="A145" s="700" t="s">
        <v>613</v>
      </c>
      <c r="B145" s="700">
        <v>50</v>
      </c>
      <c r="C145" s="702">
        <v>9313.4937261587402</v>
      </c>
      <c r="G145" s="700" t="s">
        <v>785</v>
      </c>
      <c r="H145" s="700" t="s">
        <v>785</v>
      </c>
      <c r="I145" s="700" t="s">
        <v>105</v>
      </c>
      <c r="J145" s="700">
        <v>13</v>
      </c>
      <c r="K145" s="702">
        <v>1084.62733213314</v>
      </c>
      <c r="L145" s="702">
        <v>83.432871702549505</v>
      </c>
      <c r="M145" s="700"/>
      <c r="T145" s="706">
        <f t="shared" si="8"/>
        <v>50</v>
      </c>
      <c r="U145" s="706">
        <f t="shared" si="9"/>
        <v>9313.4937261587402</v>
      </c>
      <c r="V145" s="706">
        <f t="shared" si="10"/>
        <v>50</v>
      </c>
      <c r="W145" s="708">
        <f t="shared" si="11"/>
        <v>9313.4937261587402</v>
      </c>
    </row>
    <row r="146" spans="1:23">
      <c r="A146" s="700" t="s">
        <v>197</v>
      </c>
      <c r="B146" s="700">
        <v>7</v>
      </c>
      <c r="C146" s="702">
        <v>1200.69099368042</v>
      </c>
      <c r="G146" s="700" t="s">
        <v>785</v>
      </c>
      <c r="H146" s="700" t="s">
        <v>785</v>
      </c>
      <c r="I146" s="700" t="s">
        <v>804</v>
      </c>
      <c r="J146" s="700">
        <v>19556</v>
      </c>
      <c r="K146" s="702">
        <v>2582635.6643910999</v>
      </c>
      <c r="L146" s="702">
        <v>132.06359502920401</v>
      </c>
      <c r="M146" s="700"/>
      <c r="T146" s="706">
        <f t="shared" si="8"/>
        <v>7</v>
      </c>
      <c r="U146" s="706">
        <f t="shared" si="9"/>
        <v>1200.69099368042</v>
      </c>
      <c r="V146" s="706">
        <f t="shared" si="10"/>
        <v>7</v>
      </c>
      <c r="W146" s="708">
        <f t="shared" si="11"/>
        <v>1200.69099368042</v>
      </c>
    </row>
    <row r="147" spans="1:23">
      <c r="A147" s="700" t="s">
        <v>634</v>
      </c>
      <c r="B147" s="700">
        <v>17214</v>
      </c>
      <c r="C147" s="702">
        <v>2669124.1586571801</v>
      </c>
      <c r="G147" s="700" t="s">
        <v>785</v>
      </c>
      <c r="H147" s="700" t="s">
        <v>785</v>
      </c>
      <c r="I147" s="700" t="s">
        <v>128</v>
      </c>
      <c r="J147" s="700">
        <v>27</v>
      </c>
      <c r="K147" s="702">
        <v>3403.7288339698598</v>
      </c>
      <c r="L147" s="702">
        <v>126.06403088777201</v>
      </c>
      <c r="M147" s="700"/>
      <c r="T147" s="706">
        <f t="shared" si="8"/>
        <v>17214</v>
      </c>
      <c r="U147" s="706">
        <f t="shared" si="9"/>
        <v>2667400.34615247</v>
      </c>
      <c r="V147" s="706">
        <f t="shared" si="10"/>
        <v>17214</v>
      </c>
      <c r="W147" s="708">
        <f t="shared" si="11"/>
        <v>2667400.34615247</v>
      </c>
    </row>
    <row r="148" spans="1:23">
      <c r="A148" s="700" t="s">
        <v>556</v>
      </c>
      <c r="B148" s="700">
        <v>60</v>
      </c>
      <c r="C148" s="702">
        <v>10153.0599201595</v>
      </c>
      <c r="G148" s="700" t="s">
        <v>785</v>
      </c>
      <c r="H148" s="700" t="s">
        <v>785</v>
      </c>
      <c r="I148" s="700" t="s">
        <v>571</v>
      </c>
      <c r="J148" s="700">
        <v>12</v>
      </c>
      <c r="K148" s="702">
        <v>3164.5730614660201</v>
      </c>
      <c r="L148" s="702">
        <v>263.71442178883501</v>
      </c>
      <c r="M148" s="700"/>
      <c r="T148" s="706">
        <f t="shared" si="8"/>
        <v>60</v>
      </c>
      <c r="U148" s="706">
        <f t="shared" si="9"/>
        <v>8429.24741545697</v>
      </c>
      <c r="V148" s="706">
        <f t="shared" si="10"/>
        <v>60</v>
      </c>
      <c r="W148" s="708">
        <f t="shared" si="11"/>
        <v>8429.24741545697</v>
      </c>
    </row>
    <row r="149" spans="1:23">
      <c r="A149" s="700" t="s">
        <v>198</v>
      </c>
      <c r="B149" s="700">
        <v>47</v>
      </c>
      <c r="C149" s="702">
        <v>11289.8639823248</v>
      </c>
      <c r="G149" s="700" t="s">
        <v>785</v>
      </c>
      <c r="H149" s="700" t="s">
        <v>785</v>
      </c>
      <c r="I149" s="700" t="s">
        <v>572</v>
      </c>
      <c r="J149" s="700">
        <v>6</v>
      </c>
      <c r="K149" s="702">
        <v>389.78653246719699</v>
      </c>
      <c r="L149" s="702">
        <v>64.964422077866104</v>
      </c>
      <c r="M149" s="700"/>
      <c r="T149" s="706">
        <f t="shared" si="8"/>
        <v>47</v>
      </c>
      <c r="U149" s="706">
        <f t="shared" si="9"/>
        <v>11289.8639823248</v>
      </c>
      <c r="V149" s="706">
        <f t="shared" si="10"/>
        <v>47</v>
      </c>
      <c r="W149" s="708">
        <f t="shared" si="11"/>
        <v>11289.8639823248</v>
      </c>
    </row>
    <row r="150" spans="1:23">
      <c r="A150" s="700" t="s">
        <v>574</v>
      </c>
      <c r="B150" s="700">
        <v>9</v>
      </c>
      <c r="C150" s="702">
        <v>1766.14136095545</v>
      </c>
      <c r="G150" s="700" t="s">
        <v>785</v>
      </c>
      <c r="H150" s="700" t="s">
        <v>785</v>
      </c>
      <c r="I150" s="700" t="s">
        <v>155</v>
      </c>
      <c r="J150" s="700">
        <v>2250</v>
      </c>
      <c r="K150" s="702">
        <v>290950.16016928898</v>
      </c>
      <c r="L150" s="702">
        <v>129.31118229746201</v>
      </c>
      <c r="M150" s="700"/>
      <c r="T150" s="706">
        <f t="shared" si="8"/>
        <v>9</v>
      </c>
      <c r="U150" s="706">
        <f t="shared" si="9"/>
        <v>1766.14136095545</v>
      </c>
      <c r="V150" s="706">
        <f t="shared" si="10"/>
        <v>9</v>
      </c>
      <c r="W150" s="708">
        <f t="shared" si="11"/>
        <v>1766.14136095545</v>
      </c>
    </row>
    <row r="151" spans="1:23">
      <c r="A151" s="700" t="s">
        <v>529</v>
      </c>
      <c r="B151" s="700">
        <v>3630</v>
      </c>
      <c r="C151" s="702">
        <v>1431645.7029264099</v>
      </c>
      <c r="G151" s="700" t="s">
        <v>785</v>
      </c>
      <c r="H151" s="700" t="s">
        <v>785</v>
      </c>
      <c r="I151" s="700" t="s">
        <v>348</v>
      </c>
      <c r="J151" s="700">
        <v>8</v>
      </c>
      <c r="K151" s="702">
        <v>1811.7835995965499</v>
      </c>
      <c r="L151" s="702">
        <v>226.472949949569</v>
      </c>
      <c r="M151" s="700"/>
      <c r="T151" s="706">
        <f t="shared" si="8"/>
        <v>3630</v>
      </c>
      <c r="U151" s="706">
        <f t="shared" si="9"/>
        <v>1431645.7029264099</v>
      </c>
      <c r="V151" s="706">
        <f t="shared" si="10"/>
        <v>3630</v>
      </c>
      <c r="W151" s="708">
        <f t="shared" si="11"/>
        <v>1431645.7029264099</v>
      </c>
    </row>
    <row r="152" spans="1:23">
      <c r="A152" s="700" t="s">
        <v>199</v>
      </c>
      <c r="B152" s="700">
        <v>110</v>
      </c>
      <c r="C152" s="702">
        <v>62487.350018319601</v>
      </c>
      <c r="G152" s="700" t="s">
        <v>785</v>
      </c>
      <c r="H152" s="700" t="s">
        <v>785</v>
      </c>
      <c r="I152" s="700" t="s">
        <v>332</v>
      </c>
      <c r="J152" s="700">
        <v>4477</v>
      </c>
      <c r="K152" s="702">
        <v>324285.89316981903</v>
      </c>
      <c r="L152" s="702">
        <v>72.4337487535892</v>
      </c>
      <c r="M152" s="700"/>
      <c r="T152" s="706">
        <f t="shared" si="8"/>
        <v>110</v>
      </c>
      <c r="U152" s="706">
        <f t="shared" si="9"/>
        <v>16165.745052092399</v>
      </c>
      <c r="V152" s="706">
        <f t="shared" si="10"/>
        <v>110</v>
      </c>
      <c r="W152" s="708">
        <f t="shared" si="11"/>
        <v>16165.745052092399</v>
      </c>
    </row>
    <row r="153" spans="1:23">
      <c r="A153" s="700" t="s">
        <v>200</v>
      </c>
      <c r="B153" s="700">
        <v>25</v>
      </c>
      <c r="C153" s="702">
        <v>5564.67723423183</v>
      </c>
      <c r="G153" s="700" t="s">
        <v>785</v>
      </c>
      <c r="H153" s="700" t="s">
        <v>785</v>
      </c>
      <c r="I153" s="700" t="s">
        <v>573</v>
      </c>
      <c r="J153" s="700">
        <v>1</v>
      </c>
      <c r="K153" s="702">
        <v>87.345911373575007</v>
      </c>
      <c r="L153" s="702">
        <v>87.345911373575007</v>
      </c>
      <c r="M153" s="700"/>
      <c r="T153" s="706">
        <f t="shared" si="8"/>
        <v>25</v>
      </c>
      <c r="U153" s="706">
        <f t="shared" si="9"/>
        <v>5564.67723423183</v>
      </c>
      <c r="V153" s="706">
        <f t="shared" si="10"/>
        <v>25</v>
      </c>
      <c r="W153" s="708">
        <f t="shared" si="11"/>
        <v>5564.67723423183</v>
      </c>
    </row>
    <row r="154" spans="1:23">
      <c r="A154" s="700" t="s">
        <v>532</v>
      </c>
      <c r="B154" s="700">
        <v>343</v>
      </c>
      <c r="C154" s="702">
        <v>244750.05778551201</v>
      </c>
      <c r="G154" s="700" t="s">
        <v>785</v>
      </c>
      <c r="H154" s="700" t="s">
        <v>785</v>
      </c>
      <c r="I154" s="700" t="s">
        <v>574</v>
      </c>
      <c r="J154" s="700">
        <v>9</v>
      </c>
      <c r="K154" s="702">
        <v>1766.14136095545</v>
      </c>
      <c r="L154" s="702">
        <v>196.23792899505</v>
      </c>
      <c r="M154" s="700"/>
      <c r="T154" s="706">
        <f t="shared" si="8"/>
        <v>343</v>
      </c>
      <c r="U154" s="706">
        <f t="shared" si="9"/>
        <v>244750.05778551201</v>
      </c>
      <c r="V154" s="706">
        <f t="shared" si="10"/>
        <v>343</v>
      </c>
      <c r="W154" s="708">
        <f t="shared" si="11"/>
        <v>244750.05778551201</v>
      </c>
    </row>
    <row r="155" spans="1:23">
      <c r="A155" s="700" t="s">
        <v>638</v>
      </c>
      <c r="B155" s="700">
        <v>22</v>
      </c>
      <c r="C155" s="702">
        <v>23611.793942380998</v>
      </c>
      <c r="G155" s="700" t="s">
        <v>785</v>
      </c>
      <c r="H155" s="700" t="s">
        <v>785</v>
      </c>
      <c r="I155" s="700" t="s">
        <v>351</v>
      </c>
      <c r="J155" s="700">
        <v>5</v>
      </c>
      <c r="K155" s="702">
        <v>816.77645085877498</v>
      </c>
      <c r="L155" s="702">
        <v>163.355290171755</v>
      </c>
      <c r="M155" s="700"/>
      <c r="T155" s="706">
        <f t="shared" si="8"/>
        <v>22</v>
      </c>
      <c r="U155" s="706">
        <f t="shared" si="9"/>
        <v>23611.793942380998</v>
      </c>
      <c r="V155" s="706">
        <f t="shared" si="10"/>
        <v>22</v>
      </c>
      <c r="W155" s="708">
        <f t="shared" si="11"/>
        <v>23611.793942380998</v>
      </c>
    </row>
    <row r="156" spans="1:23">
      <c r="A156" s="700" t="s">
        <v>201</v>
      </c>
      <c r="B156" s="700">
        <v>1389</v>
      </c>
      <c r="C156" s="702">
        <v>354441.76790011802</v>
      </c>
      <c r="G156" s="700" t="s">
        <v>785</v>
      </c>
      <c r="H156" s="700" t="s">
        <v>785</v>
      </c>
      <c r="I156" s="700" t="s">
        <v>219</v>
      </c>
      <c r="J156" s="700">
        <v>21</v>
      </c>
      <c r="K156" s="702">
        <v>1963.97173441834</v>
      </c>
      <c r="L156" s="702">
        <v>93.522463543730595</v>
      </c>
      <c r="M156" s="700"/>
      <c r="T156" s="706">
        <f t="shared" si="8"/>
        <v>1389</v>
      </c>
      <c r="U156" s="706">
        <f t="shared" si="9"/>
        <v>354441.76790011802</v>
      </c>
      <c r="V156" s="706">
        <f t="shared" si="10"/>
        <v>1389</v>
      </c>
      <c r="W156" s="708">
        <f t="shared" si="11"/>
        <v>354441.76790011802</v>
      </c>
    </row>
    <row r="157" spans="1:23">
      <c r="A157" s="700" t="s">
        <v>202</v>
      </c>
      <c r="B157" s="700">
        <v>471</v>
      </c>
      <c r="C157" s="702">
        <v>103546.220756261</v>
      </c>
      <c r="G157" s="700" t="s">
        <v>785</v>
      </c>
      <c r="H157" s="700" t="s">
        <v>785</v>
      </c>
      <c r="I157" s="700" t="s">
        <v>317</v>
      </c>
      <c r="J157" s="700">
        <v>2</v>
      </c>
      <c r="K157" s="702">
        <v>270.86667657090402</v>
      </c>
      <c r="L157" s="702">
        <v>135.43333828545201</v>
      </c>
      <c r="M157" s="700"/>
      <c r="T157" s="706">
        <f t="shared" si="8"/>
        <v>471</v>
      </c>
      <c r="U157" s="706">
        <f t="shared" si="9"/>
        <v>103546.220756261</v>
      </c>
      <c r="V157" s="706">
        <f t="shared" si="10"/>
        <v>471</v>
      </c>
      <c r="W157" s="708">
        <f t="shared" si="11"/>
        <v>103546.220756261</v>
      </c>
    </row>
    <row r="158" spans="1:23">
      <c r="A158" s="700" t="s">
        <v>616</v>
      </c>
      <c r="B158" s="700">
        <v>575</v>
      </c>
      <c r="C158" s="702">
        <v>106701.310309665</v>
      </c>
      <c r="G158" s="700" t="s">
        <v>785</v>
      </c>
      <c r="H158" s="700" t="s">
        <v>785</v>
      </c>
      <c r="I158" s="700" t="s">
        <v>575</v>
      </c>
      <c r="J158" s="700">
        <v>3</v>
      </c>
      <c r="K158" s="702">
        <v>402.20875004826797</v>
      </c>
      <c r="L158" s="702">
        <v>134.069583349423</v>
      </c>
      <c r="M158" s="700"/>
      <c r="T158" s="706">
        <f t="shared" si="8"/>
        <v>575</v>
      </c>
      <c r="U158" s="706">
        <f t="shared" si="9"/>
        <v>104977.497804962</v>
      </c>
      <c r="V158" s="706">
        <f t="shared" si="10"/>
        <v>575</v>
      </c>
      <c r="W158" s="708">
        <f t="shared" si="11"/>
        <v>104977.497804962</v>
      </c>
    </row>
    <row r="159" spans="1:23">
      <c r="A159" s="700" t="s">
        <v>620</v>
      </c>
      <c r="B159" s="700">
        <v>8</v>
      </c>
      <c r="C159" s="702">
        <v>3227.11866390457</v>
      </c>
      <c r="G159" s="700" t="s">
        <v>785</v>
      </c>
      <c r="H159" s="700" t="s">
        <v>785</v>
      </c>
      <c r="I159" s="700" t="s">
        <v>805</v>
      </c>
      <c r="J159" s="700">
        <v>11664</v>
      </c>
      <c r="K159" s="702">
        <v>1294533.5832480199</v>
      </c>
      <c r="L159" s="702">
        <v>110.98538951029001</v>
      </c>
      <c r="M159" s="700"/>
      <c r="T159" s="706">
        <f t="shared" si="8"/>
        <v>8</v>
      </c>
      <c r="U159" s="706">
        <f t="shared" si="9"/>
        <v>1503.3061592020099</v>
      </c>
      <c r="V159" s="706">
        <f t="shared" si="10"/>
        <v>8</v>
      </c>
      <c r="W159" s="708">
        <f t="shared" si="11"/>
        <v>1503.3061592020099</v>
      </c>
    </row>
    <row r="160" spans="1:23">
      <c r="A160" s="700" t="s">
        <v>651</v>
      </c>
      <c r="B160" s="700">
        <v>335</v>
      </c>
      <c r="C160" s="702">
        <v>59505.916615571899</v>
      </c>
      <c r="G160" s="700" t="s">
        <v>785</v>
      </c>
      <c r="H160" s="700" t="s">
        <v>785</v>
      </c>
      <c r="I160" s="700" t="s">
        <v>806</v>
      </c>
      <c r="J160" s="700">
        <v>8199</v>
      </c>
      <c r="K160" s="702">
        <v>1166100.8283987399</v>
      </c>
      <c r="L160" s="702">
        <v>142.22476258064901</v>
      </c>
      <c r="M160" s="700"/>
      <c r="T160" s="706">
        <f t="shared" si="8"/>
        <v>335</v>
      </c>
      <c r="U160" s="706">
        <f t="shared" si="9"/>
        <v>59505.916615571899</v>
      </c>
      <c r="V160" s="706">
        <f t="shared" si="10"/>
        <v>335</v>
      </c>
      <c r="W160" s="708">
        <f t="shared" si="11"/>
        <v>59505.916615571899</v>
      </c>
    </row>
    <row r="161" spans="1:23">
      <c r="A161" s="700" t="s">
        <v>626</v>
      </c>
      <c r="B161" s="700">
        <v>442</v>
      </c>
      <c r="C161" s="702">
        <v>61571.254135357703</v>
      </c>
      <c r="G161" s="700" t="s">
        <v>785</v>
      </c>
      <c r="H161" s="700" t="s">
        <v>785</v>
      </c>
      <c r="I161" s="700" t="s">
        <v>807</v>
      </c>
      <c r="J161" s="700">
        <v>387003</v>
      </c>
      <c r="K161" s="702">
        <v>30123921.783893298</v>
      </c>
      <c r="L161" s="702">
        <v>77.838987769844906</v>
      </c>
      <c r="M161" s="700"/>
      <c r="T161" s="706">
        <f t="shared" si="8"/>
        <v>442</v>
      </c>
      <c r="U161" s="706">
        <f t="shared" si="9"/>
        <v>61571.254135357703</v>
      </c>
      <c r="V161" s="706">
        <f t="shared" si="10"/>
        <v>442</v>
      </c>
      <c r="W161" s="708">
        <f t="shared" si="11"/>
        <v>61571.254135357703</v>
      </c>
    </row>
    <row r="162" spans="1:23">
      <c r="A162" s="700" t="s">
        <v>203</v>
      </c>
      <c r="B162" s="700">
        <v>534</v>
      </c>
      <c r="C162" s="702">
        <v>179941.531184072</v>
      </c>
      <c r="G162" s="700" t="s">
        <v>785</v>
      </c>
      <c r="H162" s="700" t="s">
        <v>785</v>
      </c>
      <c r="I162" s="700" t="s">
        <v>808</v>
      </c>
      <c r="J162" s="700">
        <v>27664</v>
      </c>
      <c r="K162" s="702">
        <v>3894205.5062682698</v>
      </c>
      <c r="L162" s="702">
        <v>140.76798388766201</v>
      </c>
      <c r="M162" s="700"/>
      <c r="T162" s="706">
        <f t="shared" si="8"/>
        <v>534</v>
      </c>
      <c r="U162" s="706">
        <f t="shared" si="9"/>
        <v>179941.531184072</v>
      </c>
      <c r="V162" s="706">
        <f t="shared" si="10"/>
        <v>534</v>
      </c>
      <c r="W162" s="708">
        <f t="shared" si="11"/>
        <v>179941.531184072</v>
      </c>
    </row>
    <row r="163" spans="1:23">
      <c r="A163" s="700" t="s">
        <v>655</v>
      </c>
      <c r="B163" s="700">
        <v>421</v>
      </c>
      <c r="C163" s="702">
        <v>123486.180698761</v>
      </c>
      <c r="G163" s="700" t="s">
        <v>785</v>
      </c>
      <c r="H163" s="700" t="s">
        <v>785</v>
      </c>
      <c r="I163" s="700" t="s">
        <v>239</v>
      </c>
      <c r="J163" s="700">
        <v>3</v>
      </c>
      <c r="K163" s="702">
        <v>397.822933672403</v>
      </c>
      <c r="L163" s="702">
        <v>132.60764455746801</v>
      </c>
      <c r="M163" s="700"/>
      <c r="T163" s="706">
        <f t="shared" si="8"/>
        <v>421</v>
      </c>
      <c r="U163" s="706">
        <f t="shared" si="9"/>
        <v>123486.180698761</v>
      </c>
      <c r="V163" s="706">
        <f t="shared" si="10"/>
        <v>421</v>
      </c>
      <c r="W163" s="708">
        <f t="shared" si="11"/>
        <v>123486.180698761</v>
      </c>
    </row>
    <row r="164" spans="1:23">
      <c r="A164" s="700" t="s">
        <v>601</v>
      </c>
      <c r="B164" s="700">
        <v>3</v>
      </c>
      <c r="C164" s="702">
        <v>867.113892184463</v>
      </c>
      <c r="G164" s="700" t="s">
        <v>785</v>
      </c>
      <c r="H164" s="700" t="s">
        <v>785</v>
      </c>
      <c r="I164" s="700" t="s">
        <v>163</v>
      </c>
      <c r="J164" s="700">
        <v>210</v>
      </c>
      <c r="K164" s="702">
        <v>29139.3522955853</v>
      </c>
      <c r="L164" s="702">
        <v>138.75882045516801</v>
      </c>
      <c r="M164" s="700"/>
      <c r="T164" s="706">
        <f t="shared" si="8"/>
        <v>3</v>
      </c>
      <c r="U164" s="706">
        <f t="shared" si="9"/>
        <v>867.113892184463</v>
      </c>
      <c r="V164" s="706">
        <f t="shared" si="10"/>
        <v>3</v>
      </c>
      <c r="W164" s="708">
        <f t="shared" si="11"/>
        <v>867.113892184463</v>
      </c>
    </row>
    <row r="165" spans="1:23">
      <c r="A165" s="700" t="s">
        <v>204</v>
      </c>
      <c r="B165" s="700">
        <v>157</v>
      </c>
      <c r="C165" s="702">
        <v>45906.266971933801</v>
      </c>
      <c r="G165" s="700" t="s">
        <v>785</v>
      </c>
      <c r="H165" s="700" t="s">
        <v>785</v>
      </c>
      <c r="I165" s="700" t="s">
        <v>150</v>
      </c>
      <c r="J165" s="700">
        <v>644</v>
      </c>
      <c r="K165" s="702">
        <v>85496.496800465102</v>
      </c>
      <c r="L165" s="702">
        <v>132.75853540444899</v>
      </c>
      <c r="M165" s="700"/>
      <c r="T165" s="706">
        <f t="shared" si="8"/>
        <v>157</v>
      </c>
      <c r="U165" s="706">
        <f t="shared" si="9"/>
        <v>45906.266971933801</v>
      </c>
      <c r="V165" s="706">
        <f t="shared" si="10"/>
        <v>157</v>
      </c>
      <c r="W165" s="708">
        <f t="shared" si="11"/>
        <v>45906.266971933801</v>
      </c>
    </row>
    <row r="166" spans="1:23">
      <c r="A166" s="700" t="s">
        <v>205</v>
      </c>
      <c r="B166" s="700">
        <v>18</v>
      </c>
      <c r="C166" s="702">
        <v>1737.20383325394</v>
      </c>
      <c r="G166" s="700" t="s">
        <v>785</v>
      </c>
      <c r="H166" s="700" t="s">
        <v>785</v>
      </c>
      <c r="I166" s="700" t="s">
        <v>215</v>
      </c>
      <c r="J166" s="700">
        <v>40</v>
      </c>
      <c r="K166" s="702">
        <v>8888.8989053080695</v>
      </c>
      <c r="L166" s="702">
        <v>222.22247263270199</v>
      </c>
      <c r="M166" s="700"/>
      <c r="T166" s="706">
        <f t="shared" si="8"/>
        <v>18</v>
      </c>
      <c r="U166" s="706">
        <f t="shared" si="9"/>
        <v>1737.20383325394</v>
      </c>
      <c r="V166" s="706">
        <f t="shared" si="10"/>
        <v>18</v>
      </c>
      <c r="W166" s="708">
        <f t="shared" si="11"/>
        <v>1737.20383325394</v>
      </c>
    </row>
    <row r="167" spans="1:23">
      <c r="A167" s="700" t="s">
        <v>641</v>
      </c>
      <c r="B167" s="700">
        <v>2</v>
      </c>
      <c r="C167" s="702">
        <v>171.18384895995001</v>
      </c>
      <c r="G167" s="700" t="s">
        <v>785</v>
      </c>
      <c r="H167" s="700" t="s">
        <v>785</v>
      </c>
      <c r="I167" s="700" t="s">
        <v>274</v>
      </c>
      <c r="J167" s="700">
        <v>639</v>
      </c>
      <c r="K167" s="702">
        <v>120860.353785384</v>
      </c>
      <c r="L167" s="702">
        <v>189.13983377994299</v>
      </c>
      <c r="M167" s="700"/>
      <c r="T167" s="706">
        <f t="shared" si="8"/>
        <v>2</v>
      </c>
      <c r="U167" s="706">
        <f t="shared" si="9"/>
        <v>171.18384895995001</v>
      </c>
      <c r="V167" s="706">
        <f t="shared" si="10"/>
        <v>2</v>
      </c>
      <c r="W167" s="708">
        <f t="shared" si="11"/>
        <v>171.18384895995001</v>
      </c>
    </row>
    <row r="168" spans="1:23">
      <c r="A168" s="700" t="s">
        <v>206</v>
      </c>
      <c r="B168" s="700">
        <v>403</v>
      </c>
      <c r="C168" s="702">
        <v>59214.479291813201</v>
      </c>
      <c r="G168" s="700" t="s">
        <v>785</v>
      </c>
      <c r="H168" s="700" t="s">
        <v>785</v>
      </c>
      <c r="I168" s="700" t="s">
        <v>576</v>
      </c>
      <c r="J168" s="700">
        <v>1</v>
      </c>
      <c r="K168" s="702">
        <v>159.70915185235901</v>
      </c>
      <c r="L168" s="702">
        <v>159.70915185235901</v>
      </c>
      <c r="M168" s="700"/>
      <c r="T168" s="706">
        <f t="shared" si="8"/>
        <v>403</v>
      </c>
      <c r="U168" s="706">
        <f t="shared" si="9"/>
        <v>59214.479291813201</v>
      </c>
      <c r="V168" s="706">
        <f t="shared" si="10"/>
        <v>403</v>
      </c>
      <c r="W168" s="708">
        <f t="shared" si="11"/>
        <v>59214.479291813201</v>
      </c>
    </row>
    <row r="169" spans="1:23">
      <c r="A169" s="700" t="s">
        <v>625</v>
      </c>
      <c r="B169" s="700">
        <v>16</v>
      </c>
      <c r="C169" s="702">
        <v>1187.13728747045</v>
      </c>
      <c r="G169" s="700" t="s">
        <v>785</v>
      </c>
      <c r="H169" s="700" t="s">
        <v>785</v>
      </c>
      <c r="I169" s="700" t="s">
        <v>140</v>
      </c>
      <c r="J169" s="700">
        <v>14</v>
      </c>
      <c r="K169" s="702">
        <v>1420.77126795859</v>
      </c>
      <c r="L169" s="702">
        <v>101.48366199704201</v>
      </c>
      <c r="M169" s="700"/>
      <c r="T169" s="706">
        <f t="shared" si="8"/>
        <v>16</v>
      </c>
      <c r="U169" s="706">
        <f t="shared" si="9"/>
        <v>1187.13728747045</v>
      </c>
      <c r="V169" s="706">
        <f t="shared" si="10"/>
        <v>16</v>
      </c>
      <c r="W169" s="708">
        <f t="shared" si="11"/>
        <v>1187.13728747045</v>
      </c>
    </row>
    <row r="170" spans="1:23">
      <c r="A170" s="700" t="s">
        <v>537</v>
      </c>
      <c r="B170" s="700">
        <v>4</v>
      </c>
      <c r="C170" s="702">
        <v>82.029086107692606</v>
      </c>
      <c r="G170" s="700" t="s">
        <v>785</v>
      </c>
      <c r="H170" s="700" t="s">
        <v>785</v>
      </c>
      <c r="I170" s="700" t="s">
        <v>809</v>
      </c>
      <c r="J170" s="700">
        <v>408246</v>
      </c>
      <c r="K170" s="702">
        <v>54742632.428695299</v>
      </c>
      <c r="L170" s="702">
        <v>134.09226894738799</v>
      </c>
      <c r="M170" s="700"/>
      <c r="T170" s="706">
        <f t="shared" si="8"/>
        <v>4</v>
      </c>
      <c r="U170" s="706">
        <f t="shared" si="9"/>
        <v>82.029086107692606</v>
      </c>
      <c r="V170" s="706">
        <f t="shared" si="10"/>
        <v>4</v>
      </c>
      <c r="W170" s="708">
        <f t="shared" si="11"/>
        <v>82.029086107692606</v>
      </c>
    </row>
    <row r="171" spans="1:23">
      <c r="A171" s="700" t="s">
        <v>546</v>
      </c>
      <c r="B171" s="700">
        <v>356</v>
      </c>
      <c r="C171" s="702">
        <v>104221.28547299901</v>
      </c>
      <c r="G171" s="700" t="s">
        <v>785</v>
      </c>
      <c r="H171" s="700" t="s">
        <v>785</v>
      </c>
      <c r="I171" s="700" t="s">
        <v>577</v>
      </c>
      <c r="J171" s="700">
        <v>3</v>
      </c>
      <c r="K171" s="702">
        <v>940.95249084143404</v>
      </c>
      <c r="L171" s="702">
        <v>313.65083028047798</v>
      </c>
      <c r="M171" s="700"/>
      <c r="T171" s="706">
        <f t="shared" si="8"/>
        <v>356</v>
      </c>
      <c r="U171" s="706">
        <f t="shared" si="9"/>
        <v>104221.28547299901</v>
      </c>
      <c r="V171" s="706">
        <f t="shared" si="10"/>
        <v>356</v>
      </c>
      <c r="W171" s="708">
        <f t="shared" si="11"/>
        <v>104221.28547299901</v>
      </c>
    </row>
    <row r="172" spans="1:23">
      <c r="A172" s="700" t="s">
        <v>541</v>
      </c>
      <c r="B172" s="700">
        <v>48</v>
      </c>
      <c r="C172" s="702">
        <v>17771.6632995334</v>
      </c>
      <c r="G172" s="700" t="s">
        <v>785</v>
      </c>
      <c r="H172" s="700" t="s">
        <v>785</v>
      </c>
      <c r="I172" s="700" t="s">
        <v>810</v>
      </c>
      <c r="J172" s="700">
        <v>10556</v>
      </c>
      <c r="K172" s="702">
        <v>1107742.14817544</v>
      </c>
      <c r="L172" s="702">
        <v>104.93957447664199</v>
      </c>
      <c r="M172" s="700"/>
      <c r="T172" s="706">
        <f t="shared" si="8"/>
        <v>48</v>
      </c>
      <c r="U172" s="706">
        <f t="shared" si="9"/>
        <v>17771.6632995334</v>
      </c>
      <c r="V172" s="706">
        <f t="shared" si="10"/>
        <v>48</v>
      </c>
      <c r="W172" s="708">
        <f t="shared" si="11"/>
        <v>17771.6632995334</v>
      </c>
    </row>
    <row r="173" spans="1:23">
      <c r="A173" s="700" t="s">
        <v>562</v>
      </c>
      <c r="B173" s="700">
        <v>310</v>
      </c>
      <c r="C173" s="702">
        <v>17149.841288982101</v>
      </c>
      <c r="G173" s="700" t="s">
        <v>785</v>
      </c>
      <c r="H173" s="700" t="s">
        <v>785</v>
      </c>
      <c r="I173" s="700" t="s">
        <v>811</v>
      </c>
      <c r="J173" s="700">
        <v>6913</v>
      </c>
      <c r="K173" s="702">
        <v>828898.676726926</v>
      </c>
      <c r="L173" s="702">
        <v>119.904336283368</v>
      </c>
      <c r="M173" s="700"/>
      <c r="T173" s="706">
        <f t="shared" si="8"/>
        <v>310</v>
      </c>
      <c r="U173" s="706">
        <f t="shared" si="9"/>
        <v>17149.841288982101</v>
      </c>
      <c r="V173" s="706">
        <f t="shared" si="10"/>
        <v>310</v>
      </c>
      <c r="W173" s="708">
        <f t="shared" si="11"/>
        <v>17149.841288982101</v>
      </c>
    </row>
    <row r="174" spans="1:23">
      <c r="A174" s="700" t="s">
        <v>594</v>
      </c>
      <c r="B174" s="700">
        <v>6</v>
      </c>
      <c r="C174" s="702">
        <v>1120.24780641189</v>
      </c>
      <c r="G174" s="700" t="s">
        <v>785</v>
      </c>
      <c r="H174" s="700" t="s">
        <v>785</v>
      </c>
      <c r="I174" s="700" t="s">
        <v>229</v>
      </c>
      <c r="J174" s="700">
        <v>550</v>
      </c>
      <c r="K174" s="702">
        <v>104899.44971369499</v>
      </c>
      <c r="L174" s="702">
        <v>190.72627220671899</v>
      </c>
      <c r="M174" s="700"/>
      <c r="T174" s="706">
        <f t="shared" si="8"/>
        <v>6</v>
      </c>
      <c r="U174" s="706">
        <f t="shared" si="9"/>
        <v>1120.24780641189</v>
      </c>
      <c r="V174" s="706">
        <f t="shared" si="10"/>
        <v>6</v>
      </c>
      <c r="W174" s="708">
        <f t="shared" si="11"/>
        <v>1120.24780641189</v>
      </c>
    </row>
    <row r="175" spans="1:23">
      <c r="A175" s="700" t="s">
        <v>618</v>
      </c>
      <c r="B175" s="700">
        <v>10</v>
      </c>
      <c r="C175" s="702">
        <v>1614.23308152544</v>
      </c>
      <c r="G175" s="700" t="s">
        <v>785</v>
      </c>
      <c r="H175" s="700" t="s">
        <v>785</v>
      </c>
      <c r="I175" s="700" t="s">
        <v>204</v>
      </c>
      <c r="J175" s="700">
        <v>157</v>
      </c>
      <c r="K175" s="702">
        <v>45906.266971933801</v>
      </c>
      <c r="L175" s="702">
        <v>292.39660491677603</v>
      </c>
      <c r="M175" s="700"/>
      <c r="T175" s="706">
        <f t="shared" si="8"/>
        <v>10</v>
      </c>
      <c r="U175" s="706">
        <f t="shared" si="9"/>
        <v>1614.23308152544</v>
      </c>
      <c r="V175" s="706">
        <f t="shared" si="10"/>
        <v>10</v>
      </c>
      <c r="W175" s="708">
        <f t="shared" si="11"/>
        <v>1614.23308152544</v>
      </c>
    </row>
    <row r="176" spans="1:23">
      <c r="A176" s="700" t="s">
        <v>637</v>
      </c>
      <c r="B176" s="700">
        <v>79</v>
      </c>
      <c r="C176" s="702">
        <v>10352.3569935335</v>
      </c>
      <c r="G176" s="700" t="s">
        <v>785</v>
      </c>
      <c r="H176" s="700" t="s">
        <v>785</v>
      </c>
      <c r="I176" s="700" t="s">
        <v>812</v>
      </c>
      <c r="J176" s="700">
        <v>17523</v>
      </c>
      <c r="K176" s="702">
        <v>3232091.0245082299</v>
      </c>
      <c r="L176" s="702">
        <v>184.44849766068799</v>
      </c>
      <c r="M176" s="700"/>
      <c r="T176" s="706">
        <f t="shared" si="8"/>
        <v>79</v>
      </c>
      <c r="U176" s="706">
        <f t="shared" si="9"/>
        <v>10352.3569935335</v>
      </c>
      <c r="V176" s="706">
        <f t="shared" si="10"/>
        <v>79</v>
      </c>
      <c r="W176" s="708">
        <f t="shared" si="11"/>
        <v>10352.3569935335</v>
      </c>
    </row>
    <row r="177" spans="1:23">
      <c r="A177" s="700" t="s">
        <v>557</v>
      </c>
      <c r="B177" s="700">
        <v>3</v>
      </c>
      <c r="C177" s="702">
        <v>444.59292072922602</v>
      </c>
      <c r="G177" s="700" t="s">
        <v>785</v>
      </c>
      <c r="H177" s="700" t="s">
        <v>785</v>
      </c>
      <c r="I177" s="700" t="s">
        <v>578</v>
      </c>
      <c r="J177" s="700">
        <v>791</v>
      </c>
      <c r="K177" s="702">
        <v>110293.73806508401</v>
      </c>
      <c r="L177" s="702">
        <v>139.43582561957501</v>
      </c>
      <c r="M177" s="700"/>
      <c r="T177" s="706">
        <f t="shared" si="8"/>
        <v>3</v>
      </c>
      <c r="U177" s="706">
        <f t="shared" si="9"/>
        <v>444.59292072922602</v>
      </c>
      <c r="V177" s="706">
        <f t="shared" si="10"/>
        <v>3</v>
      </c>
      <c r="W177" s="708">
        <f t="shared" si="11"/>
        <v>444.59292072922602</v>
      </c>
    </row>
    <row r="178" spans="1:23">
      <c r="A178" s="700" t="s">
        <v>548</v>
      </c>
      <c r="B178" s="700">
        <v>1</v>
      </c>
      <c r="C178" s="702">
        <v>209.04789653717299</v>
      </c>
      <c r="G178" s="700" t="s">
        <v>785</v>
      </c>
      <c r="H178" s="700" t="s">
        <v>785</v>
      </c>
      <c r="I178" s="700" t="s">
        <v>353</v>
      </c>
      <c r="J178" s="700">
        <v>4306</v>
      </c>
      <c r="K178" s="702">
        <v>1329091.2358230699</v>
      </c>
      <c r="L178" s="702">
        <v>308.66029628961201</v>
      </c>
      <c r="M178" s="700"/>
      <c r="T178" s="706">
        <f t="shared" si="8"/>
        <v>1</v>
      </c>
      <c r="U178" s="706">
        <f t="shared" si="9"/>
        <v>209.04789653717299</v>
      </c>
      <c r="V178" s="706">
        <f t="shared" si="10"/>
        <v>1</v>
      </c>
      <c r="W178" s="708">
        <f t="shared" si="11"/>
        <v>209.04789653717299</v>
      </c>
    </row>
    <row r="179" spans="1:23">
      <c r="A179" s="700" t="s">
        <v>617</v>
      </c>
      <c r="B179" s="700">
        <v>43</v>
      </c>
      <c r="C179" s="702">
        <v>5795.8881416632903</v>
      </c>
      <c r="G179" s="700" t="s">
        <v>785</v>
      </c>
      <c r="H179" s="700" t="s">
        <v>785</v>
      </c>
      <c r="I179" s="700" t="s">
        <v>291</v>
      </c>
      <c r="J179" s="700">
        <v>69</v>
      </c>
      <c r="K179" s="702">
        <v>13628.859444961199</v>
      </c>
      <c r="L179" s="702">
        <v>197.519702100887</v>
      </c>
      <c r="M179" s="700"/>
      <c r="T179" s="706">
        <f t="shared" si="8"/>
        <v>43</v>
      </c>
      <c r="U179" s="706">
        <f t="shared" si="9"/>
        <v>5795.8881416632903</v>
      </c>
      <c r="V179" s="706">
        <f t="shared" si="10"/>
        <v>43</v>
      </c>
      <c r="W179" s="708">
        <f t="shared" si="11"/>
        <v>5795.8881416632903</v>
      </c>
    </row>
    <row r="180" spans="1:23">
      <c r="A180" s="700" t="s">
        <v>551</v>
      </c>
      <c r="B180" s="700">
        <v>22</v>
      </c>
      <c r="C180" s="702">
        <v>3382.9965932251498</v>
      </c>
      <c r="G180" s="700" t="s">
        <v>785</v>
      </c>
      <c r="H180" s="700" t="s">
        <v>785</v>
      </c>
      <c r="I180" s="700" t="s">
        <v>813</v>
      </c>
      <c r="J180" s="700">
        <v>12794</v>
      </c>
      <c r="K180" s="702">
        <v>913035.11068196897</v>
      </c>
      <c r="L180" s="702">
        <v>71.364320047050896</v>
      </c>
      <c r="M180" s="700"/>
      <c r="T180" s="706">
        <f t="shared" si="8"/>
        <v>22</v>
      </c>
      <c r="U180" s="706">
        <f t="shared" si="9"/>
        <v>3382.9965932251498</v>
      </c>
      <c r="V180" s="706">
        <f t="shared" si="10"/>
        <v>22</v>
      </c>
      <c r="W180" s="708">
        <f t="shared" si="11"/>
        <v>3382.9965932251498</v>
      </c>
    </row>
    <row r="181" spans="1:23">
      <c r="A181" s="700" t="s">
        <v>538</v>
      </c>
      <c r="B181" s="700">
        <v>4</v>
      </c>
      <c r="C181" s="702">
        <v>493.41764599502</v>
      </c>
      <c r="G181" s="700" t="s">
        <v>785</v>
      </c>
      <c r="H181" s="700" t="s">
        <v>785</v>
      </c>
      <c r="I181" s="700" t="s">
        <v>814</v>
      </c>
      <c r="J181" s="700">
        <v>2806</v>
      </c>
      <c r="K181" s="702">
        <v>325436.65105797403</v>
      </c>
      <c r="L181" s="702">
        <v>115.97884927226499</v>
      </c>
      <c r="M181" s="700"/>
      <c r="T181" s="706">
        <f t="shared" si="8"/>
        <v>4</v>
      </c>
      <c r="U181" s="706">
        <f t="shared" si="9"/>
        <v>493.41764599502</v>
      </c>
      <c r="V181" s="706">
        <f t="shared" si="10"/>
        <v>4</v>
      </c>
      <c r="W181" s="708">
        <f t="shared" si="11"/>
        <v>493.41764599502</v>
      </c>
    </row>
    <row r="182" spans="1:23">
      <c r="A182" s="700" t="s">
        <v>659</v>
      </c>
      <c r="B182" s="700">
        <v>5</v>
      </c>
      <c r="C182" s="702">
        <v>277.25953966028698</v>
      </c>
      <c r="G182" s="700" t="s">
        <v>785</v>
      </c>
      <c r="H182" s="700" t="s">
        <v>785</v>
      </c>
      <c r="I182" s="700" t="s">
        <v>226</v>
      </c>
      <c r="J182" s="700">
        <v>59</v>
      </c>
      <c r="K182" s="702">
        <v>4122.6857232985803</v>
      </c>
      <c r="L182" s="702">
        <v>69.876029208450504</v>
      </c>
      <c r="M182" s="700"/>
      <c r="T182" s="706">
        <f t="shared" si="8"/>
        <v>5</v>
      </c>
      <c r="U182" s="706">
        <f t="shared" si="9"/>
        <v>277.25953966028698</v>
      </c>
      <c r="V182" s="706">
        <f t="shared" si="10"/>
        <v>5</v>
      </c>
      <c r="W182" s="708">
        <f t="shared" si="11"/>
        <v>277.25953966028698</v>
      </c>
    </row>
    <row r="183" spans="1:23">
      <c r="A183" s="700" t="s">
        <v>549</v>
      </c>
      <c r="B183" s="700">
        <v>8</v>
      </c>
      <c r="C183" s="702">
        <v>2002.7246518115901</v>
      </c>
      <c r="G183" s="700" t="s">
        <v>785</v>
      </c>
      <c r="H183" s="700" t="s">
        <v>785</v>
      </c>
      <c r="I183" s="700" t="s">
        <v>241</v>
      </c>
      <c r="J183" s="700">
        <v>180</v>
      </c>
      <c r="K183" s="702">
        <v>35932.545804676702</v>
      </c>
      <c r="L183" s="702">
        <v>199.625254470426</v>
      </c>
      <c r="M183" s="700"/>
      <c r="T183" s="706">
        <f t="shared" si="8"/>
        <v>8</v>
      </c>
      <c r="U183" s="706">
        <f t="shared" si="9"/>
        <v>2002.7246518115901</v>
      </c>
      <c r="V183" s="706">
        <f t="shared" si="10"/>
        <v>8</v>
      </c>
      <c r="W183" s="708">
        <f t="shared" si="11"/>
        <v>2002.7246518115901</v>
      </c>
    </row>
    <row r="184" spans="1:23">
      <c r="A184" s="700" t="s">
        <v>535</v>
      </c>
      <c r="B184" s="700">
        <v>53</v>
      </c>
      <c r="C184" s="702">
        <v>12769.824955102</v>
      </c>
      <c r="G184" s="700" t="s">
        <v>785</v>
      </c>
      <c r="H184" s="700" t="s">
        <v>785</v>
      </c>
      <c r="I184" s="700" t="s">
        <v>815</v>
      </c>
      <c r="J184" s="700">
        <v>448453</v>
      </c>
      <c r="K184" s="702">
        <v>68375801.261712804</v>
      </c>
      <c r="L184" s="702">
        <v>152.47038432503001</v>
      </c>
      <c r="M184" s="700"/>
      <c r="T184" s="706">
        <f t="shared" si="8"/>
        <v>53</v>
      </c>
      <c r="U184" s="706">
        <f t="shared" si="9"/>
        <v>12769.824955102</v>
      </c>
      <c r="V184" s="706">
        <f t="shared" si="10"/>
        <v>53</v>
      </c>
      <c r="W184" s="708">
        <f t="shared" si="11"/>
        <v>12769.824955102</v>
      </c>
    </row>
    <row r="185" spans="1:23">
      <c r="A185" s="700" t="s">
        <v>580</v>
      </c>
      <c r="B185" s="700">
        <v>13</v>
      </c>
      <c r="C185" s="702">
        <v>2303.51260532065</v>
      </c>
      <c r="G185" s="700" t="s">
        <v>785</v>
      </c>
      <c r="H185" s="700" t="s">
        <v>785</v>
      </c>
      <c r="I185" s="700" t="s">
        <v>816</v>
      </c>
      <c r="J185" s="700">
        <v>62874</v>
      </c>
      <c r="K185" s="702">
        <v>6705822.3602410899</v>
      </c>
      <c r="L185" s="702">
        <v>106.65493463500199</v>
      </c>
      <c r="M185" s="700"/>
      <c r="T185" s="706">
        <f t="shared" si="8"/>
        <v>13</v>
      </c>
      <c r="U185" s="706">
        <f t="shared" si="9"/>
        <v>2303.51260532065</v>
      </c>
      <c r="V185" s="706">
        <f t="shared" si="10"/>
        <v>13</v>
      </c>
      <c r="W185" s="708">
        <f t="shared" si="11"/>
        <v>2303.51260532065</v>
      </c>
    </row>
    <row r="186" spans="1:23">
      <c r="A186" s="700" t="s">
        <v>207</v>
      </c>
      <c r="B186" s="700">
        <v>3</v>
      </c>
      <c r="C186" s="702">
        <v>982.56637211401699</v>
      </c>
      <c r="G186" s="700" t="s">
        <v>785</v>
      </c>
      <c r="H186" s="700" t="s">
        <v>785</v>
      </c>
      <c r="I186" s="700" t="s">
        <v>318</v>
      </c>
      <c r="J186" s="700">
        <v>20</v>
      </c>
      <c r="K186" s="702">
        <v>3513.8196491850099</v>
      </c>
      <c r="L186" s="702">
        <v>175.69098245925099</v>
      </c>
      <c r="M186" s="700"/>
      <c r="T186" s="706">
        <f t="shared" si="8"/>
        <v>3</v>
      </c>
      <c r="U186" s="706">
        <f t="shared" si="9"/>
        <v>982.56637211401699</v>
      </c>
      <c r="V186" s="706">
        <f t="shared" si="10"/>
        <v>3</v>
      </c>
      <c r="W186" s="708">
        <f t="shared" si="11"/>
        <v>982.56637211401699</v>
      </c>
    </row>
    <row r="187" spans="1:23">
      <c r="A187" s="700" t="s">
        <v>208</v>
      </c>
      <c r="B187" s="700">
        <v>11</v>
      </c>
      <c r="C187" s="702">
        <v>1497.4248266693401</v>
      </c>
      <c r="G187" s="700" t="s">
        <v>785</v>
      </c>
      <c r="H187" s="700" t="s">
        <v>785</v>
      </c>
      <c r="I187" s="700" t="s">
        <v>315</v>
      </c>
      <c r="J187" s="700">
        <v>3</v>
      </c>
      <c r="K187" s="702">
        <v>727.36091219818002</v>
      </c>
      <c r="L187" s="702">
        <v>242.45363739939299</v>
      </c>
      <c r="M187" s="700"/>
      <c r="T187" s="706">
        <f t="shared" si="8"/>
        <v>11</v>
      </c>
      <c r="U187" s="706">
        <f t="shared" si="9"/>
        <v>1497.4248266693401</v>
      </c>
      <c r="V187" s="706">
        <f t="shared" si="10"/>
        <v>11</v>
      </c>
      <c r="W187" s="708">
        <f t="shared" si="11"/>
        <v>1497.4248266693401</v>
      </c>
    </row>
    <row r="188" spans="1:23">
      <c r="A188" s="700" t="s">
        <v>209</v>
      </c>
      <c r="B188" s="700">
        <v>4</v>
      </c>
      <c r="C188" s="702">
        <v>895.09467776371002</v>
      </c>
      <c r="G188" s="700" t="s">
        <v>785</v>
      </c>
      <c r="H188" s="700" t="s">
        <v>785</v>
      </c>
      <c r="I188" s="700" t="s">
        <v>162</v>
      </c>
      <c r="J188" s="700">
        <v>1986</v>
      </c>
      <c r="K188" s="702">
        <v>189239.280038247</v>
      </c>
      <c r="L188" s="702">
        <v>95.286646544938094</v>
      </c>
      <c r="M188" s="700"/>
      <c r="T188" s="706">
        <f t="shared" si="8"/>
        <v>4</v>
      </c>
      <c r="U188" s="706">
        <f t="shared" si="9"/>
        <v>895.09467776371002</v>
      </c>
      <c r="V188" s="706">
        <f t="shared" si="10"/>
        <v>4</v>
      </c>
      <c r="W188" s="708">
        <f t="shared" si="11"/>
        <v>895.09467776371002</v>
      </c>
    </row>
    <row r="189" spans="1:23">
      <c r="A189" s="700" t="s">
        <v>210</v>
      </c>
      <c r="B189" s="700">
        <v>23</v>
      </c>
      <c r="C189" s="702">
        <v>7394.7300535774002</v>
      </c>
      <c r="G189" s="700" t="s">
        <v>785</v>
      </c>
      <c r="H189" s="700" t="s">
        <v>785</v>
      </c>
      <c r="I189" s="700" t="s">
        <v>579</v>
      </c>
      <c r="J189" s="700">
        <v>5</v>
      </c>
      <c r="K189" s="702">
        <v>604.50430093721297</v>
      </c>
      <c r="L189" s="702">
        <v>120.900860187443</v>
      </c>
      <c r="M189" s="700"/>
      <c r="T189" s="706">
        <f t="shared" si="8"/>
        <v>23</v>
      </c>
      <c r="U189" s="706">
        <f t="shared" si="9"/>
        <v>7394.7300535774002</v>
      </c>
      <c r="V189" s="706">
        <f t="shared" si="10"/>
        <v>23</v>
      </c>
      <c r="W189" s="708">
        <f t="shared" si="11"/>
        <v>7394.7300535774002</v>
      </c>
    </row>
    <row r="190" spans="1:23">
      <c r="A190" s="700" t="s">
        <v>211</v>
      </c>
      <c r="B190" s="700">
        <v>38</v>
      </c>
      <c r="C190" s="702">
        <v>6721.8048516324998</v>
      </c>
      <c r="G190" s="700" t="s">
        <v>785</v>
      </c>
      <c r="H190" s="700" t="s">
        <v>785</v>
      </c>
      <c r="I190" s="700" t="s">
        <v>817</v>
      </c>
      <c r="J190" s="700">
        <v>34795</v>
      </c>
      <c r="K190" s="702">
        <v>3454683.8373571699</v>
      </c>
      <c r="L190" s="702">
        <v>99.286789405293106</v>
      </c>
      <c r="M190" s="700"/>
      <c r="T190" s="706">
        <f t="shared" si="8"/>
        <v>38</v>
      </c>
      <c r="U190" s="706">
        <f t="shared" si="9"/>
        <v>6721.8048516324998</v>
      </c>
      <c r="V190" s="706">
        <f t="shared" si="10"/>
        <v>38</v>
      </c>
      <c r="W190" s="708">
        <f t="shared" si="11"/>
        <v>6721.8048516324998</v>
      </c>
    </row>
    <row r="191" spans="1:23">
      <c r="A191" s="700" t="s">
        <v>212</v>
      </c>
      <c r="B191" s="700">
        <v>49</v>
      </c>
      <c r="C191" s="702">
        <v>9972.9635305465799</v>
      </c>
      <c r="G191" s="700" t="s">
        <v>785</v>
      </c>
      <c r="H191" s="700" t="s">
        <v>785</v>
      </c>
      <c r="I191" s="700" t="s">
        <v>818</v>
      </c>
      <c r="J191" s="700">
        <v>2994</v>
      </c>
      <c r="K191" s="702">
        <v>777541.59768155206</v>
      </c>
      <c r="L191" s="702">
        <v>259.69993242536799</v>
      </c>
      <c r="M191" s="700"/>
      <c r="T191" s="706">
        <f t="shared" si="8"/>
        <v>49</v>
      </c>
      <c r="U191" s="706">
        <f t="shared" si="9"/>
        <v>9972.9635305465799</v>
      </c>
      <c r="V191" s="706">
        <f t="shared" si="10"/>
        <v>49</v>
      </c>
      <c r="W191" s="708">
        <f t="shared" si="11"/>
        <v>9972.9635305465799</v>
      </c>
    </row>
    <row r="192" spans="1:23">
      <c r="A192" s="700" t="s">
        <v>566</v>
      </c>
      <c r="B192" s="700">
        <v>1</v>
      </c>
      <c r="C192" s="702">
        <v>204.68756362936301</v>
      </c>
      <c r="G192" s="700" t="s">
        <v>785</v>
      </c>
      <c r="H192" s="700" t="s">
        <v>785</v>
      </c>
      <c r="I192" s="700" t="s">
        <v>330</v>
      </c>
      <c r="J192" s="700">
        <v>2009</v>
      </c>
      <c r="K192" s="702">
        <v>335362.22789430799</v>
      </c>
      <c r="L192" s="702">
        <v>166.92992926546</v>
      </c>
      <c r="M192" s="700"/>
      <c r="T192" s="706">
        <f t="shared" si="8"/>
        <v>1</v>
      </c>
      <c r="U192" s="706">
        <f t="shared" si="9"/>
        <v>204.68756362936301</v>
      </c>
      <c r="V192" s="706">
        <f t="shared" si="10"/>
        <v>1</v>
      </c>
      <c r="W192" s="708">
        <f t="shared" si="11"/>
        <v>204.68756362936301</v>
      </c>
    </row>
    <row r="193" spans="1:23">
      <c r="A193" s="700" t="s">
        <v>213</v>
      </c>
      <c r="B193" s="700">
        <v>8</v>
      </c>
      <c r="C193" s="702">
        <v>1241.3667408256999</v>
      </c>
      <c r="G193" s="700" t="s">
        <v>785</v>
      </c>
      <c r="H193" s="700" t="s">
        <v>785</v>
      </c>
      <c r="I193" s="700" t="s">
        <v>132</v>
      </c>
      <c r="J193" s="700">
        <v>692</v>
      </c>
      <c r="K193" s="702">
        <v>121386.46440703</v>
      </c>
      <c r="L193" s="702">
        <v>175.413965906112</v>
      </c>
      <c r="M193" s="700"/>
      <c r="T193" s="706">
        <f t="shared" si="8"/>
        <v>8</v>
      </c>
      <c r="U193" s="706">
        <f t="shared" si="9"/>
        <v>1241.3667408256999</v>
      </c>
      <c r="V193" s="706">
        <f t="shared" si="10"/>
        <v>8</v>
      </c>
      <c r="W193" s="708">
        <f t="shared" si="11"/>
        <v>1241.3667408256999</v>
      </c>
    </row>
    <row r="194" spans="1:23">
      <c r="A194" s="700" t="s">
        <v>579</v>
      </c>
      <c r="B194" s="700">
        <v>5</v>
      </c>
      <c r="C194" s="702">
        <v>604.50430093721297</v>
      </c>
      <c r="G194" s="700" t="s">
        <v>785</v>
      </c>
      <c r="H194" s="700" t="s">
        <v>785</v>
      </c>
      <c r="I194" s="700" t="s">
        <v>367</v>
      </c>
      <c r="J194" s="700">
        <v>14952</v>
      </c>
      <c r="K194" s="702">
        <v>375721.72043241397</v>
      </c>
      <c r="L194" s="702">
        <v>25.128525978625898</v>
      </c>
      <c r="M194" s="700"/>
      <c r="T194" s="706">
        <f t="shared" si="8"/>
        <v>5</v>
      </c>
      <c r="U194" s="706">
        <f t="shared" si="9"/>
        <v>604.50430093721297</v>
      </c>
      <c r="V194" s="706">
        <f t="shared" si="10"/>
        <v>5</v>
      </c>
      <c r="W194" s="708">
        <f t="shared" si="11"/>
        <v>604.50430093721297</v>
      </c>
    </row>
    <row r="195" spans="1:23">
      <c r="A195" s="700" t="s">
        <v>214</v>
      </c>
      <c r="B195" s="700">
        <v>4</v>
      </c>
      <c r="C195" s="702">
        <v>1080.45385301939</v>
      </c>
      <c r="G195" s="700" t="s">
        <v>785</v>
      </c>
      <c r="H195" s="700" t="s">
        <v>785</v>
      </c>
      <c r="I195" s="700" t="s">
        <v>580</v>
      </c>
      <c r="J195" s="700">
        <v>13</v>
      </c>
      <c r="K195" s="702">
        <v>2303.51260532065</v>
      </c>
      <c r="L195" s="702">
        <v>177.19327733235801</v>
      </c>
      <c r="M195" s="700"/>
      <c r="T195" s="706">
        <f t="shared" si="8"/>
        <v>4</v>
      </c>
      <c r="U195" s="706">
        <f t="shared" si="9"/>
        <v>1080.45385301939</v>
      </c>
      <c r="V195" s="706">
        <f t="shared" si="10"/>
        <v>4</v>
      </c>
      <c r="W195" s="708">
        <f t="shared" si="11"/>
        <v>1080.45385301939</v>
      </c>
    </row>
    <row r="196" spans="1:23">
      <c r="A196" s="700" t="s">
        <v>215</v>
      </c>
      <c r="B196" s="700">
        <v>40</v>
      </c>
      <c r="C196" s="702">
        <v>8888.8989053080695</v>
      </c>
      <c r="G196" s="700" t="s">
        <v>785</v>
      </c>
      <c r="H196" s="700" t="s">
        <v>785</v>
      </c>
      <c r="I196" s="700" t="s">
        <v>119</v>
      </c>
      <c r="J196" s="700">
        <v>48</v>
      </c>
      <c r="K196" s="702">
        <v>15821.8478668474</v>
      </c>
      <c r="L196" s="702">
        <v>329.62183055932201</v>
      </c>
      <c r="M196" s="700"/>
      <c r="T196" s="706">
        <f t="shared" ref="T196:T259" si="12">VLOOKUP(A196,$I:$L,2,FALSE)</f>
        <v>40</v>
      </c>
      <c r="U196" s="706">
        <f t="shared" ref="U196:U259" si="13">VLOOKUP(A196,$I:$L,3,FALSE)</f>
        <v>8888.8989053080695</v>
      </c>
      <c r="V196" s="706">
        <f t="shared" ref="V196:V259" si="14">IF(COUNTIF($P:$P,A196)=1,0,T196)</f>
        <v>40</v>
      </c>
      <c r="W196" s="708">
        <f t="shared" ref="W196:W259" si="15">IF(COUNTIF($P:$P,A196)=1,0,U196)</f>
        <v>8888.8989053080695</v>
      </c>
    </row>
    <row r="197" spans="1:23">
      <c r="A197" s="700" t="s">
        <v>611</v>
      </c>
      <c r="B197" s="700">
        <v>189</v>
      </c>
      <c r="C197" s="702">
        <v>60430.693131529697</v>
      </c>
      <c r="G197" s="700" t="s">
        <v>785</v>
      </c>
      <c r="H197" s="700" t="s">
        <v>785</v>
      </c>
      <c r="I197" s="700" t="s">
        <v>581</v>
      </c>
      <c r="J197" s="700">
        <v>1</v>
      </c>
      <c r="K197" s="702">
        <v>281.76652147575498</v>
      </c>
      <c r="L197" s="702">
        <v>281.76652147575498</v>
      </c>
      <c r="M197" s="700"/>
      <c r="T197" s="706">
        <f t="shared" si="12"/>
        <v>189</v>
      </c>
      <c r="U197" s="706">
        <f t="shared" si="13"/>
        <v>28292.6217143289</v>
      </c>
      <c r="V197" s="706">
        <f t="shared" si="14"/>
        <v>189</v>
      </c>
      <c r="W197" s="708">
        <f t="shared" si="15"/>
        <v>28292.6217143289</v>
      </c>
    </row>
    <row r="198" spans="1:23">
      <c r="A198" s="700" t="s">
        <v>636</v>
      </c>
      <c r="B198" s="700">
        <v>2</v>
      </c>
      <c r="C198" s="702">
        <v>32365.170016979799</v>
      </c>
      <c r="G198" s="700" t="s">
        <v>785</v>
      </c>
      <c r="H198" s="700" t="s">
        <v>785</v>
      </c>
      <c r="I198" s="700" t="s">
        <v>819</v>
      </c>
      <c r="J198" s="700">
        <v>58419</v>
      </c>
      <c r="K198" s="702">
        <v>7102378.8107431401</v>
      </c>
      <c r="L198" s="702">
        <v>121.576521521134</v>
      </c>
      <c r="M198" s="700"/>
      <c r="T198" s="706">
        <f t="shared" si="12"/>
        <v>2</v>
      </c>
      <c r="U198" s="706">
        <f t="shared" si="13"/>
        <v>227.09859977897301</v>
      </c>
      <c r="V198" s="706">
        <f t="shared" si="14"/>
        <v>2</v>
      </c>
      <c r="W198" s="708">
        <f t="shared" si="15"/>
        <v>227.09859977897301</v>
      </c>
    </row>
    <row r="199" spans="1:23">
      <c r="A199" s="700" t="s">
        <v>629</v>
      </c>
      <c r="B199" s="700">
        <v>17</v>
      </c>
      <c r="C199" s="702">
        <v>7717.1488609578801</v>
      </c>
      <c r="G199" s="700" t="s">
        <v>785</v>
      </c>
      <c r="H199" s="700" t="s">
        <v>785</v>
      </c>
      <c r="I199" s="700" t="s">
        <v>323</v>
      </c>
      <c r="J199" s="700">
        <v>65</v>
      </c>
      <c r="K199" s="702">
        <v>12159.628058398101</v>
      </c>
      <c r="L199" s="702">
        <v>187.07120089843201</v>
      </c>
      <c r="M199" s="700"/>
      <c r="T199" s="706">
        <f t="shared" si="12"/>
        <v>17</v>
      </c>
      <c r="U199" s="706">
        <f t="shared" si="13"/>
        <v>7717.1488609578801</v>
      </c>
      <c r="V199" s="706">
        <f t="shared" si="14"/>
        <v>17</v>
      </c>
      <c r="W199" s="708">
        <f t="shared" si="15"/>
        <v>7717.1488609578801</v>
      </c>
    </row>
    <row r="200" spans="1:23">
      <c r="A200" s="700" t="s">
        <v>216</v>
      </c>
      <c r="B200" s="700">
        <v>168</v>
      </c>
      <c r="C200" s="702">
        <v>60837.225039847202</v>
      </c>
      <c r="G200" s="700" t="s">
        <v>785</v>
      </c>
      <c r="H200" s="700" t="s">
        <v>785</v>
      </c>
      <c r="I200" s="700" t="s">
        <v>582</v>
      </c>
      <c r="J200" s="700">
        <v>3</v>
      </c>
      <c r="K200" s="702">
        <v>351.74463170824203</v>
      </c>
      <c r="L200" s="702">
        <v>117.248210569414</v>
      </c>
      <c r="M200" s="700"/>
      <c r="T200" s="706">
        <f t="shared" si="12"/>
        <v>168</v>
      </c>
      <c r="U200" s="706">
        <f t="shared" si="13"/>
        <v>60837.225039847202</v>
      </c>
      <c r="V200" s="706">
        <f t="shared" si="14"/>
        <v>168</v>
      </c>
      <c r="W200" s="708">
        <f t="shared" si="15"/>
        <v>60837.225039847202</v>
      </c>
    </row>
    <row r="201" spans="1:23">
      <c r="A201" s="700" t="s">
        <v>593</v>
      </c>
      <c r="B201" s="700">
        <v>237</v>
      </c>
      <c r="C201" s="702">
        <v>50318.171378997104</v>
      </c>
      <c r="G201" s="700" t="s">
        <v>785</v>
      </c>
      <c r="H201" s="700" t="s">
        <v>785</v>
      </c>
      <c r="I201" s="700" t="s">
        <v>583</v>
      </c>
      <c r="J201" s="700">
        <v>1526</v>
      </c>
      <c r="K201" s="702">
        <v>63526.616908198499</v>
      </c>
      <c r="L201" s="702">
        <v>41.6294999398418</v>
      </c>
      <c r="M201" s="700"/>
      <c r="T201" s="706">
        <f t="shared" si="12"/>
        <v>237</v>
      </c>
      <c r="U201" s="706">
        <f t="shared" si="13"/>
        <v>50318.171378997104</v>
      </c>
      <c r="V201" s="706">
        <f t="shared" si="14"/>
        <v>237</v>
      </c>
      <c r="W201" s="708">
        <f t="shared" si="15"/>
        <v>50318.171378997104</v>
      </c>
    </row>
    <row r="202" spans="1:23">
      <c r="A202" s="700" t="s">
        <v>586</v>
      </c>
      <c r="B202" s="700">
        <v>5</v>
      </c>
      <c r="C202" s="702">
        <v>1601.38133902349</v>
      </c>
      <c r="G202" s="700" t="s">
        <v>785</v>
      </c>
      <c r="H202" s="700" t="s">
        <v>785</v>
      </c>
      <c r="I202" s="700" t="s">
        <v>584</v>
      </c>
      <c r="J202" s="700">
        <v>251</v>
      </c>
      <c r="K202" s="702">
        <v>45591.8789242411</v>
      </c>
      <c r="L202" s="702">
        <v>181.64095188940701</v>
      </c>
      <c r="M202" s="700"/>
      <c r="T202" s="706">
        <f t="shared" si="12"/>
        <v>5</v>
      </c>
      <c r="U202" s="706">
        <f t="shared" si="13"/>
        <v>1601.38133902349</v>
      </c>
      <c r="V202" s="706">
        <f t="shared" si="14"/>
        <v>5</v>
      </c>
      <c r="W202" s="708">
        <f t="shared" si="15"/>
        <v>1601.38133902349</v>
      </c>
    </row>
    <row r="203" spans="1:23">
      <c r="A203" s="700" t="s">
        <v>572</v>
      </c>
      <c r="B203" s="700">
        <v>6</v>
      </c>
      <c r="C203" s="702">
        <v>389.78653246719699</v>
      </c>
      <c r="G203" s="700" t="s">
        <v>785</v>
      </c>
      <c r="H203" s="700" t="s">
        <v>785</v>
      </c>
      <c r="I203" s="700" t="s">
        <v>283</v>
      </c>
      <c r="J203" s="700">
        <v>11</v>
      </c>
      <c r="K203" s="702">
        <v>2056.2564118975001</v>
      </c>
      <c r="L203" s="702">
        <v>186.932401081591</v>
      </c>
      <c r="M203" s="700"/>
      <c r="T203" s="706">
        <f t="shared" si="12"/>
        <v>6</v>
      </c>
      <c r="U203" s="706">
        <f t="shared" si="13"/>
        <v>389.78653246719699</v>
      </c>
      <c r="V203" s="706">
        <f t="shared" si="14"/>
        <v>6</v>
      </c>
      <c r="W203" s="708">
        <f t="shared" si="15"/>
        <v>389.78653246719699</v>
      </c>
    </row>
    <row r="204" spans="1:23">
      <c r="A204" s="700" t="s">
        <v>603</v>
      </c>
      <c r="B204" s="700">
        <v>1</v>
      </c>
      <c r="C204" s="702">
        <v>200.70398422198801</v>
      </c>
      <c r="G204" s="700" t="s">
        <v>785</v>
      </c>
      <c r="H204" s="700" t="s">
        <v>785</v>
      </c>
      <c r="I204" s="700" t="s">
        <v>106</v>
      </c>
      <c r="J204" s="700">
        <v>27</v>
      </c>
      <c r="K204" s="702">
        <v>2717.37808653497</v>
      </c>
      <c r="L204" s="702">
        <v>100.643632834629</v>
      </c>
      <c r="M204" s="700"/>
      <c r="T204" s="706">
        <f t="shared" si="12"/>
        <v>1</v>
      </c>
      <c r="U204" s="706">
        <f t="shared" si="13"/>
        <v>200.70398422198801</v>
      </c>
      <c r="V204" s="706">
        <f t="shared" si="14"/>
        <v>1</v>
      </c>
      <c r="W204" s="708">
        <f t="shared" si="15"/>
        <v>200.70398422198801</v>
      </c>
    </row>
    <row r="205" spans="1:23">
      <c r="A205" s="700" t="s">
        <v>217</v>
      </c>
      <c r="B205" s="700">
        <v>5</v>
      </c>
      <c r="C205" s="702">
        <v>430.404506294263</v>
      </c>
      <c r="G205" s="700" t="s">
        <v>785</v>
      </c>
      <c r="H205" s="700" t="s">
        <v>785</v>
      </c>
      <c r="I205" s="700" t="s">
        <v>335</v>
      </c>
      <c r="J205" s="700">
        <v>958</v>
      </c>
      <c r="K205" s="702">
        <v>255767.83633760299</v>
      </c>
      <c r="L205" s="702">
        <v>266.98104001837498</v>
      </c>
      <c r="M205" s="700"/>
      <c r="T205" s="706">
        <f t="shared" si="12"/>
        <v>5</v>
      </c>
      <c r="U205" s="706">
        <f t="shared" si="13"/>
        <v>430.404506294263</v>
      </c>
      <c r="V205" s="706">
        <f t="shared" si="14"/>
        <v>5</v>
      </c>
      <c r="W205" s="708">
        <f t="shared" si="15"/>
        <v>430.404506294263</v>
      </c>
    </row>
    <row r="206" spans="1:23">
      <c r="A206" s="700" t="s">
        <v>649</v>
      </c>
      <c r="B206" s="700">
        <v>3</v>
      </c>
      <c r="C206" s="702">
        <v>1175.7678439833501</v>
      </c>
      <c r="G206" s="700" t="s">
        <v>785</v>
      </c>
      <c r="H206" s="700" t="s">
        <v>785</v>
      </c>
      <c r="I206" s="700" t="s">
        <v>585</v>
      </c>
      <c r="J206" s="700">
        <v>3</v>
      </c>
      <c r="K206" s="702">
        <v>277.874048234567</v>
      </c>
      <c r="L206" s="702">
        <v>92.624682744855704</v>
      </c>
      <c r="M206" s="700"/>
      <c r="T206" s="706">
        <f t="shared" si="12"/>
        <v>3</v>
      </c>
      <c r="U206" s="706">
        <f t="shared" si="13"/>
        <v>1175.7678439833501</v>
      </c>
      <c r="V206" s="706">
        <f t="shared" si="14"/>
        <v>3</v>
      </c>
      <c r="W206" s="708">
        <f t="shared" si="15"/>
        <v>1175.7678439833501</v>
      </c>
    </row>
    <row r="207" spans="1:23">
      <c r="A207" s="700" t="s">
        <v>545</v>
      </c>
      <c r="B207" s="700">
        <v>1</v>
      </c>
      <c r="C207" s="702">
        <v>276.71276504526099</v>
      </c>
      <c r="G207" s="700" t="s">
        <v>785</v>
      </c>
      <c r="H207" s="700" t="s">
        <v>785</v>
      </c>
      <c r="I207" s="700" t="s">
        <v>347</v>
      </c>
      <c r="J207" s="700">
        <v>50</v>
      </c>
      <c r="K207" s="702">
        <v>4493.6593997959098</v>
      </c>
      <c r="L207" s="702">
        <v>89.8731879959183</v>
      </c>
      <c r="M207" s="700"/>
      <c r="T207" s="706">
        <f t="shared" si="12"/>
        <v>1</v>
      </c>
      <c r="U207" s="706">
        <f t="shared" si="13"/>
        <v>276.71276504526099</v>
      </c>
      <c r="V207" s="706">
        <f t="shared" si="14"/>
        <v>1</v>
      </c>
      <c r="W207" s="708">
        <f t="shared" si="15"/>
        <v>276.71276504526099</v>
      </c>
    </row>
    <row r="208" spans="1:23">
      <c r="A208" s="700" t="s">
        <v>605</v>
      </c>
      <c r="B208" s="700">
        <v>3</v>
      </c>
      <c r="C208" s="702">
        <v>352.63997636802401</v>
      </c>
      <c r="G208" s="700" t="s">
        <v>785</v>
      </c>
      <c r="H208" s="700" t="s">
        <v>785</v>
      </c>
      <c r="I208" s="700" t="s">
        <v>221</v>
      </c>
      <c r="J208" s="700">
        <v>9</v>
      </c>
      <c r="K208" s="702">
        <v>2207.1819956078002</v>
      </c>
      <c r="L208" s="702">
        <v>245.24244395642299</v>
      </c>
      <c r="M208" s="700"/>
      <c r="T208" s="706">
        <f t="shared" si="12"/>
        <v>3</v>
      </c>
      <c r="U208" s="706">
        <f t="shared" si="13"/>
        <v>352.63997636802401</v>
      </c>
      <c r="V208" s="706">
        <f t="shared" si="14"/>
        <v>3</v>
      </c>
      <c r="W208" s="708">
        <f t="shared" si="15"/>
        <v>352.63997636802401</v>
      </c>
    </row>
    <row r="209" spans="1:23">
      <c r="A209" s="700" t="s">
        <v>642</v>
      </c>
      <c r="B209" s="700">
        <v>8</v>
      </c>
      <c r="C209" s="702">
        <v>1114.5671430719699</v>
      </c>
      <c r="G209" s="700" t="s">
        <v>785</v>
      </c>
      <c r="H209" s="700" t="s">
        <v>785</v>
      </c>
      <c r="I209" s="700" t="s">
        <v>102</v>
      </c>
      <c r="J209" s="700">
        <v>24</v>
      </c>
      <c r="K209" s="702">
        <v>2313.0069585289398</v>
      </c>
      <c r="L209" s="702">
        <v>96.375289938705805</v>
      </c>
      <c r="M209" s="700"/>
      <c r="T209" s="706">
        <f t="shared" si="12"/>
        <v>8</v>
      </c>
      <c r="U209" s="706">
        <f t="shared" si="13"/>
        <v>1114.5671430719699</v>
      </c>
      <c r="V209" s="706">
        <f t="shared" si="14"/>
        <v>8</v>
      </c>
      <c r="W209" s="708">
        <f t="shared" si="15"/>
        <v>1114.5671430719699</v>
      </c>
    </row>
    <row r="210" spans="1:23">
      <c r="A210" s="700" t="s">
        <v>533</v>
      </c>
      <c r="B210" s="700">
        <v>15</v>
      </c>
      <c r="C210" s="702">
        <v>3260.2146070786398</v>
      </c>
      <c r="G210" s="700" t="s">
        <v>785</v>
      </c>
      <c r="H210" s="700" t="s">
        <v>785</v>
      </c>
      <c r="I210" s="700" t="s">
        <v>820</v>
      </c>
      <c r="J210" s="700">
        <v>30808</v>
      </c>
      <c r="K210" s="702">
        <v>3852578.6283993898</v>
      </c>
      <c r="L210" s="702">
        <v>125.051240859497</v>
      </c>
      <c r="M210" s="700"/>
      <c r="T210" s="706">
        <f t="shared" si="12"/>
        <v>15</v>
      </c>
      <c r="U210" s="706">
        <f t="shared" si="13"/>
        <v>3260.2146070786398</v>
      </c>
      <c r="V210" s="706">
        <f t="shared" si="14"/>
        <v>15</v>
      </c>
      <c r="W210" s="708">
        <f t="shared" si="15"/>
        <v>3260.2146070786398</v>
      </c>
    </row>
    <row r="211" spans="1:23">
      <c r="A211" s="700" t="s">
        <v>534</v>
      </c>
      <c r="B211" s="700">
        <v>4</v>
      </c>
      <c r="C211" s="702">
        <v>1008.97541742831</v>
      </c>
      <c r="G211" s="700" t="s">
        <v>785</v>
      </c>
      <c r="H211" s="700" t="s">
        <v>785</v>
      </c>
      <c r="I211" s="700" t="s">
        <v>821</v>
      </c>
      <c r="J211" s="700">
        <v>24942</v>
      </c>
      <c r="K211" s="702">
        <v>2453118.4722805601</v>
      </c>
      <c r="L211" s="702">
        <v>98.352917660193896</v>
      </c>
      <c r="M211" s="700"/>
      <c r="T211" s="706">
        <f t="shared" si="12"/>
        <v>4</v>
      </c>
      <c r="U211" s="706">
        <f t="shared" si="13"/>
        <v>1008.97541742831</v>
      </c>
      <c r="V211" s="706">
        <f t="shared" si="14"/>
        <v>4</v>
      </c>
      <c r="W211" s="708">
        <f t="shared" si="15"/>
        <v>1008.97541742831</v>
      </c>
    </row>
    <row r="212" spans="1:23">
      <c r="A212" s="700" t="s">
        <v>569</v>
      </c>
      <c r="B212" s="700">
        <v>1</v>
      </c>
      <c r="C212" s="702">
        <v>105.058675782628</v>
      </c>
      <c r="G212" s="700" t="s">
        <v>785</v>
      </c>
      <c r="H212" s="700" t="s">
        <v>785</v>
      </c>
      <c r="I212" s="700" t="s">
        <v>231</v>
      </c>
      <c r="J212" s="700">
        <v>274</v>
      </c>
      <c r="K212" s="702">
        <v>377749.07261597301</v>
      </c>
      <c r="L212" s="702">
        <v>1378.64625042326</v>
      </c>
      <c r="M212" s="700"/>
      <c r="T212" s="706">
        <f t="shared" si="12"/>
        <v>1</v>
      </c>
      <c r="U212" s="706">
        <f t="shared" si="13"/>
        <v>105.058675782628</v>
      </c>
      <c r="V212" s="706">
        <f t="shared" si="14"/>
        <v>1</v>
      </c>
      <c r="W212" s="708">
        <f t="shared" si="15"/>
        <v>105.058675782628</v>
      </c>
    </row>
    <row r="213" spans="1:23">
      <c r="A213" s="700" t="s">
        <v>554</v>
      </c>
      <c r="B213" s="700">
        <v>1</v>
      </c>
      <c r="C213" s="702">
        <v>674.78769790152705</v>
      </c>
      <c r="G213" s="700" t="s">
        <v>785</v>
      </c>
      <c r="H213" s="700" t="s">
        <v>785</v>
      </c>
      <c r="I213" s="700" t="s">
        <v>183</v>
      </c>
      <c r="J213" s="700">
        <v>425</v>
      </c>
      <c r="K213" s="702">
        <v>44358.7897531208</v>
      </c>
      <c r="L213" s="702">
        <v>104.37362294851999</v>
      </c>
      <c r="M213" s="700"/>
      <c r="T213" s="706">
        <f t="shared" si="12"/>
        <v>1</v>
      </c>
      <c r="U213" s="706">
        <f t="shared" si="13"/>
        <v>674.78769790152705</v>
      </c>
      <c r="V213" s="706">
        <f t="shared" si="14"/>
        <v>1</v>
      </c>
      <c r="W213" s="708">
        <f t="shared" si="15"/>
        <v>674.78769790152705</v>
      </c>
    </row>
    <row r="214" spans="1:23">
      <c r="A214" s="700" t="s">
        <v>563</v>
      </c>
      <c r="B214" s="700">
        <v>1</v>
      </c>
      <c r="C214" s="702">
        <v>242.45363739939299</v>
      </c>
      <c r="G214" s="700" t="s">
        <v>785</v>
      </c>
      <c r="H214" s="700" t="s">
        <v>785</v>
      </c>
      <c r="I214" s="700" t="s">
        <v>359</v>
      </c>
      <c r="J214" s="700">
        <v>4</v>
      </c>
      <c r="K214" s="702">
        <v>485.40110993157799</v>
      </c>
      <c r="L214" s="702">
        <v>121.350277482894</v>
      </c>
      <c r="M214" s="700"/>
      <c r="T214" s="706">
        <f t="shared" si="12"/>
        <v>1</v>
      </c>
      <c r="U214" s="706">
        <f t="shared" si="13"/>
        <v>242.45363739939299</v>
      </c>
      <c r="V214" s="706">
        <f t="shared" si="14"/>
        <v>1</v>
      </c>
      <c r="W214" s="708">
        <f t="shared" si="15"/>
        <v>242.45363739939299</v>
      </c>
    </row>
    <row r="215" spans="1:23">
      <c r="A215" s="700" t="s">
        <v>639</v>
      </c>
      <c r="B215" s="700">
        <v>1</v>
      </c>
      <c r="C215" s="702">
        <v>200.69641133109701</v>
      </c>
      <c r="G215" s="700" t="s">
        <v>785</v>
      </c>
      <c r="H215" s="700" t="s">
        <v>785</v>
      </c>
      <c r="I215" s="700" t="s">
        <v>284</v>
      </c>
      <c r="J215" s="700">
        <v>3457</v>
      </c>
      <c r="K215" s="702">
        <v>832142.08973303402</v>
      </c>
      <c r="L215" s="702">
        <v>240.71220414608999</v>
      </c>
      <c r="M215" s="700"/>
      <c r="T215" s="706">
        <f t="shared" si="12"/>
        <v>1</v>
      </c>
      <c r="U215" s="706">
        <f t="shared" si="13"/>
        <v>200.69641133109701</v>
      </c>
      <c r="V215" s="706">
        <f t="shared" si="14"/>
        <v>1</v>
      </c>
      <c r="W215" s="708">
        <f t="shared" si="15"/>
        <v>200.69641133109701</v>
      </c>
    </row>
    <row r="216" spans="1:23">
      <c r="A216" s="700" t="s">
        <v>218</v>
      </c>
      <c r="B216" s="700">
        <v>1193</v>
      </c>
      <c r="C216" s="702">
        <v>145854.26141181699</v>
      </c>
      <c r="G216" s="700" t="s">
        <v>785</v>
      </c>
      <c r="H216" s="700" t="s">
        <v>785</v>
      </c>
      <c r="I216" s="700" t="s">
        <v>161</v>
      </c>
      <c r="J216" s="700">
        <v>84</v>
      </c>
      <c r="K216" s="702">
        <v>14289.661578048899</v>
      </c>
      <c r="L216" s="702">
        <v>170.11501878629699</v>
      </c>
      <c r="M216" s="700"/>
      <c r="T216" s="706">
        <f t="shared" si="12"/>
        <v>1193</v>
      </c>
      <c r="U216" s="706">
        <f t="shared" si="13"/>
        <v>145854.26141181699</v>
      </c>
      <c r="V216" s="706">
        <f t="shared" si="14"/>
        <v>1193</v>
      </c>
      <c r="W216" s="708">
        <f t="shared" si="15"/>
        <v>145854.26141181699</v>
      </c>
    </row>
    <row r="217" spans="1:23">
      <c r="A217" s="700" t="s">
        <v>219</v>
      </c>
      <c r="B217" s="700">
        <v>21</v>
      </c>
      <c r="C217" s="702">
        <v>1963.97173441834</v>
      </c>
      <c r="G217" s="700" t="s">
        <v>785</v>
      </c>
      <c r="H217" s="700" t="s">
        <v>785</v>
      </c>
      <c r="I217" s="700" t="s">
        <v>143</v>
      </c>
      <c r="J217" s="700">
        <v>1331</v>
      </c>
      <c r="K217" s="702">
        <v>159201.2723631</v>
      </c>
      <c r="L217" s="702">
        <v>119.61027224876</v>
      </c>
      <c r="M217" s="700"/>
      <c r="T217" s="706">
        <f t="shared" si="12"/>
        <v>21</v>
      </c>
      <c r="U217" s="706">
        <f t="shared" si="13"/>
        <v>1963.97173441834</v>
      </c>
      <c r="V217" s="706">
        <f t="shared" si="14"/>
        <v>21</v>
      </c>
      <c r="W217" s="708">
        <f t="shared" si="15"/>
        <v>1963.97173441834</v>
      </c>
    </row>
    <row r="218" spans="1:23">
      <c r="A218" s="700" t="s">
        <v>220</v>
      </c>
      <c r="B218" s="700">
        <v>80</v>
      </c>
      <c r="C218" s="702">
        <v>7668.0019288506201</v>
      </c>
      <c r="G218" s="700" t="s">
        <v>785</v>
      </c>
      <c r="H218" s="700" t="s">
        <v>785</v>
      </c>
      <c r="I218" s="700" t="s">
        <v>135</v>
      </c>
      <c r="J218" s="700">
        <v>50</v>
      </c>
      <c r="K218" s="702">
        <v>7477.7720944299099</v>
      </c>
      <c r="L218" s="702">
        <v>149.55544188859801</v>
      </c>
      <c r="M218" s="700"/>
      <c r="T218" s="706">
        <f t="shared" si="12"/>
        <v>80</v>
      </c>
      <c r="U218" s="706">
        <f t="shared" si="13"/>
        <v>7668.0019288506201</v>
      </c>
      <c r="V218" s="706">
        <f t="shared" si="14"/>
        <v>80</v>
      </c>
      <c r="W218" s="708">
        <f t="shared" si="15"/>
        <v>7668.0019288506201</v>
      </c>
    </row>
    <row r="219" spans="1:23">
      <c r="A219" s="700" t="s">
        <v>221</v>
      </c>
      <c r="B219" s="700">
        <v>9</v>
      </c>
      <c r="C219" s="702">
        <v>2207.1819956078002</v>
      </c>
      <c r="G219" s="700" t="s">
        <v>785</v>
      </c>
      <c r="H219" s="700" t="s">
        <v>785</v>
      </c>
      <c r="I219" s="700" t="s">
        <v>586</v>
      </c>
      <c r="J219" s="700">
        <v>5</v>
      </c>
      <c r="K219" s="702">
        <v>1601.38133902349</v>
      </c>
      <c r="L219" s="702">
        <v>320.276267804697</v>
      </c>
      <c r="M219" s="700"/>
      <c r="T219" s="706">
        <f t="shared" si="12"/>
        <v>9</v>
      </c>
      <c r="U219" s="706">
        <f t="shared" si="13"/>
        <v>2207.1819956078002</v>
      </c>
      <c r="V219" s="706">
        <f t="shared" si="14"/>
        <v>9</v>
      </c>
      <c r="W219" s="708">
        <f t="shared" si="15"/>
        <v>2207.1819956078002</v>
      </c>
    </row>
    <row r="220" spans="1:23">
      <c r="A220" s="700" t="s">
        <v>222</v>
      </c>
      <c r="B220" s="700">
        <v>50</v>
      </c>
      <c r="C220" s="702">
        <v>6321.5428776254103</v>
      </c>
      <c r="G220" s="700" t="s">
        <v>785</v>
      </c>
      <c r="H220" s="700" t="s">
        <v>785</v>
      </c>
      <c r="I220" s="700" t="s">
        <v>122</v>
      </c>
      <c r="J220" s="700">
        <v>1481</v>
      </c>
      <c r="K220" s="702">
        <v>154050.66178436199</v>
      </c>
      <c r="L220" s="702">
        <v>104.018002555275</v>
      </c>
      <c r="M220" s="700"/>
      <c r="T220" s="706">
        <f t="shared" si="12"/>
        <v>50</v>
      </c>
      <c r="U220" s="706">
        <f t="shared" si="13"/>
        <v>6321.5428776254103</v>
      </c>
      <c r="V220" s="706">
        <f t="shared" si="14"/>
        <v>50</v>
      </c>
      <c r="W220" s="708">
        <f t="shared" si="15"/>
        <v>6321.5428776254103</v>
      </c>
    </row>
    <row r="221" spans="1:23">
      <c r="A221" s="700" t="s">
        <v>223</v>
      </c>
      <c r="B221" s="700">
        <v>361</v>
      </c>
      <c r="C221" s="702">
        <v>45975.473823788401</v>
      </c>
      <c r="G221" s="700" t="s">
        <v>785</v>
      </c>
      <c r="H221" s="700" t="s">
        <v>785</v>
      </c>
      <c r="I221" s="700" t="s">
        <v>587</v>
      </c>
      <c r="J221" s="700">
        <v>1</v>
      </c>
      <c r="K221" s="702">
        <v>48.883899110150097</v>
      </c>
      <c r="L221" s="702">
        <v>48.883899110150097</v>
      </c>
      <c r="M221" s="700"/>
      <c r="T221" s="706">
        <f t="shared" si="12"/>
        <v>361</v>
      </c>
      <c r="U221" s="706">
        <f t="shared" si="13"/>
        <v>45975.473823788401</v>
      </c>
      <c r="V221" s="706">
        <f t="shared" si="14"/>
        <v>361</v>
      </c>
      <c r="W221" s="708">
        <f t="shared" si="15"/>
        <v>45975.473823788401</v>
      </c>
    </row>
    <row r="222" spans="1:23">
      <c r="A222" s="700" t="s">
        <v>224</v>
      </c>
      <c r="B222" s="700">
        <v>15</v>
      </c>
      <c r="C222" s="702">
        <v>3083.1422438049799</v>
      </c>
      <c r="G222" s="700" t="s">
        <v>785</v>
      </c>
      <c r="H222" s="700" t="s">
        <v>785</v>
      </c>
      <c r="I222" s="700" t="s">
        <v>134</v>
      </c>
      <c r="J222" s="700">
        <v>2428</v>
      </c>
      <c r="K222" s="702">
        <v>357212.09690059797</v>
      </c>
      <c r="L222" s="702">
        <v>147.12195094752801</v>
      </c>
      <c r="M222" s="700"/>
      <c r="T222" s="706">
        <f t="shared" si="12"/>
        <v>15</v>
      </c>
      <c r="U222" s="706">
        <f t="shared" si="13"/>
        <v>3083.1422438049799</v>
      </c>
      <c r="V222" s="706">
        <f t="shared" si="14"/>
        <v>15</v>
      </c>
      <c r="W222" s="708">
        <f t="shared" si="15"/>
        <v>3083.1422438049799</v>
      </c>
    </row>
    <row r="223" spans="1:23">
      <c r="A223" s="700" t="s">
        <v>225</v>
      </c>
      <c r="B223" s="700">
        <v>353</v>
      </c>
      <c r="C223" s="702">
        <v>80237.609176581303</v>
      </c>
      <c r="G223" s="700" t="s">
        <v>785</v>
      </c>
      <c r="H223" s="700" t="s">
        <v>785</v>
      </c>
      <c r="I223" s="700" t="s">
        <v>224</v>
      </c>
      <c r="J223" s="700">
        <v>15</v>
      </c>
      <c r="K223" s="702">
        <v>3083.1422438049799</v>
      </c>
      <c r="L223" s="702">
        <v>205.54281625366499</v>
      </c>
      <c r="M223" s="700"/>
      <c r="T223" s="706">
        <f t="shared" si="12"/>
        <v>353</v>
      </c>
      <c r="U223" s="706">
        <f t="shared" si="13"/>
        <v>32590.319692511999</v>
      </c>
      <c r="V223" s="706">
        <f t="shared" si="14"/>
        <v>353</v>
      </c>
      <c r="W223" s="708">
        <f t="shared" si="15"/>
        <v>32590.319692511999</v>
      </c>
    </row>
    <row r="224" spans="1:23">
      <c r="A224" s="700" t="s">
        <v>653</v>
      </c>
      <c r="B224" s="700">
        <v>3266</v>
      </c>
      <c r="C224" s="702">
        <v>719586.68621144001</v>
      </c>
      <c r="G224" s="700" t="s">
        <v>785</v>
      </c>
      <c r="H224" s="700" t="s">
        <v>785</v>
      </c>
      <c r="I224" s="700" t="s">
        <v>588</v>
      </c>
      <c r="J224" s="700">
        <v>3</v>
      </c>
      <c r="K224" s="702">
        <v>370.271547936346</v>
      </c>
      <c r="L224" s="702">
        <v>123.423849312115</v>
      </c>
      <c r="M224" s="700"/>
      <c r="T224" s="706">
        <f t="shared" si="12"/>
        <v>3266</v>
      </c>
      <c r="U224" s="706">
        <f t="shared" si="13"/>
        <v>719586.68621144001</v>
      </c>
      <c r="V224" s="706">
        <f t="shared" si="14"/>
        <v>3266</v>
      </c>
      <c r="W224" s="708">
        <f t="shared" si="15"/>
        <v>719586.68621144001</v>
      </c>
    </row>
    <row r="225" spans="1:23">
      <c r="A225" s="700" t="s">
        <v>226</v>
      </c>
      <c r="B225" s="700">
        <v>59</v>
      </c>
      <c r="C225" s="702">
        <v>4122.6857232985803</v>
      </c>
      <c r="G225" s="700" t="s">
        <v>785</v>
      </c>
      <c r="H225" s="700" t="s">
        <v>785</v>
      </c>
      <c r="I225" s="700" t="s">
        <v>589</v>
      </c>
      <c r="J225" s="700">
        <v>1</v>
      </c>
      <c r="K225" s="702">
        <v>115.970274641508</v>
      </c>
      <c r="L225" s="702">
        <v>115.970274641508</v>
      </c>
      <c r="M225" s="700"/>
      <c r="T225" s="706">
        <f t="shared" si="12"/>
        <v>59</v>
      </c>
      <c r="U225" s="706">
        <f t="shared" si="13"/>
        <v>4122.6857232985803</v>
      </c>
      <c r="V225" s="706">
        <f t="shared" si="14"/>
        <v>59</v>
      </c>
      <c r="W225" s="708">
        <f t="shared" si="15"/>
        <v>4122.6857232985803</v>
      </c>
    </row>
    <row r="226" spans="1:23">
      <c r="A226" s="700" t="s">
        <v>227</v>
      </c>
      <c r="B226" s="700">
        <v>4</v>
      </c>
      <c r="C226" s="702">
        <v>433.36577109365101</v>
      </c>
      <c r="G226" s="700" t="s">
        <v>785</v>
      </c>
      <c r="H226" s="700" t="s">
        <v>785</v>
      </c>
      <c r="I226" s="700" t="s">
        <v>96</v>
      </c>
      <c r="J226" s="700">
        <v>1300</v>
      </c>
      <c r="K226" s="702">
        <v>182225.44679923399</v>
      </c>
      <c r="L226" s="702">
        <v>140.17342061479499</v>
      </c>
      <c r="M226" s="700"/>
      <c r="T226" s="706">
        <f t="shared" si="12"/>
        <v>4</v>
      </c>
      <c r="U226" s="706">
        <f t="shared" si="13"/>
        <v>433.36577109365101</v>
      </c>
      <c r="V226" s="706">
        <f t="shared" si="14"/>
        <v>4</v>
      </c>
      <c r="W226" s="708">
        <f t="shared" si="15"/>
        <v>433.36577109365101</v>
      </c>
    </row>
    <row r="227" spans="1:23">
      <c r="A227" s="700" t="s">
        <v>228</v>
      </c>
      <c r="B227" s="700">
        <v>295</v>
      </c>
      <c r="C227" s="702">
        <v>50086.007642126802</v>
      </c>
      <c r="G227" s="700" t="s">
        <v>785</v>
      </c>
      <c r="H227" s="700" t="s">
        <v>785</v>
      </c>
      <c r="I227" s="700" t="s">
        <v>145</v>
      </c>
      <c r="J227" s="700">
        <v>3064</v>
      </c>
      <c r="K227" s="702">
        <v>344258.4268291</v>
      </c>
      <c r="L227" s="702">
        <v>112.355883429863</v>
      </c>
      <c r="M227" s="700"/>
      <c r="T227" s="706">
        <f t="shared" si="12"/>
        <v>295</v>
      </c>
      <c r="U227" s="706">
        <f t="shared" si="13"/>
        <v>50086.007642126802</v>
      </c>
      <c r="V227" s="706">
        <f t="shared" si="14"/>
        <v>295</v>
      </c>
      <c r="W227" s="708">
        <f t="shared" si="15"/>
        <v>50086.007642126802</v>
      </c>
    </row>
    <row r="228" spans="1:23">
      <c r="A228" s="700" t="s">
        <v>229</v>
      </c>
      <c r="B228" s="700">
        <v>550</v>
      </c>
      <c r="C228" s="702">
        <v>104899.44971369499</v>
      </c>
      <c r="G228" s="700" t="s">
        <v>785</v>
      </c>
      <c r="H228" s="700" t="s">
        <v>785</v>
      </c>
      <c r="I228" s="700" t="s">
        <v>78</v>
      </c>
      <c r="J228" s="700">
        <v>15</v>
      </c>
      <c r="K228" s="702">
        <v>2402.39694105033</v>
      </c>
      <c r="L228" s="702">
        <v>160.159796070022</v>
      </c>
      <c r="M228" s="700"/>
      <c r="T228" s="706">
        <f t="shared" si="12"/>
        <v>550</v>
      </c>
      <c r="U228" s="706">
        <f t="shared" si="13"/>
        <v>104899.44971369499</v>
      </c>
      <c r="V228" s="706">
        <f t="shared" si="14"/>
        <v>550</v>
      </c>
      <c r="W228" s="708">
        <f t="shared" si="15"/>
        <v>104899.44971369499</v>
      </c>
    </row>
    <row r="229" spans="1:23">
      <c r="A229" s="700" t="s">
        <v>230</v>
      </c>
      <c r="B229" s="700">
        <v>220</v>
      </c>
      <c r="C229" s="702">
        <v>47948.960673918598</v>
      </c>
      <c r="G229" s="700" t="s">
        <v>785</v>
      </c>
      <c r="H229" s="700" t="s">
        <v>785</v>
      </c>
      <c r="I229" s="700" t="s">
        <v>344</v>
      </c>
      <c r="J229" s="700">
        <v>28</v>
      </c>
      <c r="K229" s="702">
        <v>2305.3949392986501</v>
      </c>
      <c r="L229" s="702">
        <v>82.335533546380404</v>
      </c>
      <c r="M229" s="700"/>
      <c r="T229" s="706">
        <f t="shared" si="12"/>
        <v>220</v>
      </c>
      <c r="U229" s="706">
        <f t="shared" si="13"/>
        <v>19175.494637307402</v>
      </c>
      <c r="V229" s="706">
        <f t="shared" si="14"/>
        <v>220</v>
      </c>
      <c r="W229" s="708">
        <f t="shared" si="15"/>
        <v>19175.494637307402</v>
      </c>
    </row>
    <row r="230" spans="1:23">
      <c r="A230" s="700" t="s">
        <v>231</v>
      </c>
      <c r="B230" s="700">
        <v>274</v>
      </c>
      <c r="C230" s="702">
        <v>377749.07261597301</v>
      </c>
      <c r="G230" s="700" t="s">
        <v>785</v>
      </c>
      <c r="H230" s="700" t="s">
        <v>785</v>
      </c>
      <c r="I230" s="700" t="s">
        <v>590</v>
      </c>
      <c r="J230" s="700">
        <v>4</v>
      </c>
      <c r="K230" s="702">
        <v>656.38056315952997</v>
      </c>
      <c r="L230" s="702">
        <v>164.09514078988201</v>
      </c>
      <c r="M230" s="700"/>
      <c r="T230" s="706">
        <f t="shared" si="12"/>
        <v>274</v>
      </c>
      <c r="U230" s="706">
        <f t="shared" si="13"/>
        <v>377749.07261597301</v>
      </c>
      <c r="V230" s="706">
        <f t="shared" si="14"/>
        <v>274</v>
      </c>
      <c r="W230" s="708">
        <f t="shared" si="15"/>
        <v>377749.07261597301</v>
      </c>
    </row>
    <row r="231" spans="1:23">
      <c r="A231" s="700" t="s">
        <v>232</v>
      </c>
      <c r="B231" s="700">
        <v>425</v>
      </c>
      <c r="C231" s="702">
        <v>414643.64846656</v>
      </c>
      <c r="G231" s="700" t="s">
        <v>785</v>
      </c>
      <c r="H231" s="700" t="s">
        <v>785</v>
      </c>
      <c r="I231" s="700" t="s">
        <v>822</v>
      </c>
      <c r="J231" s="700">
        <v>669</v>
      </c>
      <c r="K231" s="702">
        <v>100819.485528167</v>
      </c>
      <c r="L231" s="702">
        <v>150.70177208993599</v>
      </c>
      <c r="M231" s="700"/>
      <c r="T231" s="706">
        <f t="shared" si="12"/>
        <v>425</v>
      </c>
      <c r="U231" s="706">
        <f t="shared" si="13"/>
        <v>414643.64846656</v>
      </c>
      <c r="V231" s="706">
        <f t="shared" si="14"/>
        <v>425</v>
      </c>
      <c r="W231" s="708">
        <f t="shared" si="15"/>
        <v>414643.64846656</v>
      </c>
    </row>
    <row r="232" spans="1:23">
      <c r="A232" s="700" t="s">
        <v>233</v>
      </c>
      <c r="B232" s="700">
        <v>4</v>
      </c>
      <c r="C232" s="702">
        <v>448.35094628925901</v>
      </c>
      <c r="G232" s="700" t="s">
        <v>785</v>
      </c>
      <c r="H232" s="700" t="s">
        <v>785</v>
      </c>
      <c r="I232" s="700" t="s">
        <v>277</v>
      </c>
      <c r="J232" s="700">
        <v>860</v>
      </c>
      <c r="K232" s="702">
        <v>122841.19801428801</v>
      </c>
      <c r="L232" s="702">
        <v>142.838602342195</v>
      </c>
      <c r="M232" s="700"/>
      <c r="T232" s="706">
        <f t="shared" si="12"/>
        <v>4</v>
      </c>
      <c r="U232" s="706">
        <f t="shared" si="13"/>
        <v>448.35094628925901</v>
      </c>
      <c r="V232" s="706">
        <f t="shared" si="14"/>
        <v>4</v>
      </c>
      <c r="W232" s="708">
        <f t="shared" si="15"/>
        <v>448.35094628925901</v>
      </c>
    </row>
    <row r="233" spans="1:23">
      <c r="A233" s="700" t="s">
        <v>234</v>
      </c>
      <c r="B233" s="700">
        <v>517</v>
      </c>
      <c r="C233" s="702">
        <v>489797.26200462203</v>
      </c>
      <c r="G233" s="700" t="s">
        <v>785</v>
      </c>
      <c r="H233" s="700" t="s">
        <v>785</v>
      </c>
      <c r="I233" s="700" t="s">
        <v>254</v>
      </c>
      <c r="J233" s="700">
        <v>52</v>
      </c>
      <c r="K233" s="702">
        <v>6227.4202061859896</v>
      </c>
      <c r="L233" s="702">
        <v>119.758080888192</v>
      </c>
      <c r="M233" s="700"/>
      <c r="T233" s="706">
        <f t="shared" si="12"/>
        <v>517</v>
      </c>
      <c r="U233" s="706">
        <f t="shared" si="13"/>
        <v>489797.26200462203</v>
      </c>
      <c r="V233" s="706">
        <f t="shared" si="14"/>
        <v>517</v>
      </c>
      <c r="W233" s="708">
        <f t="shared" si="15"/>
        <v>489797.26200462203</v>
      </c>
    </row>
    <row r="234" spans="1:23">
      <c r="A234" s="700" t="s">
        <v>235</v>
      </c>
      <c r="B234" s="700">
        <v>4</v>
      </c>
      <c r="C234" s="702">
        <v>392.47007346869702</v>
      </c>
      <c r="G234" s="700" t="s">
        <v>785</v>
      </c>
      <c r="H234" s="700" t="s">
        <v>785</v>
      </c>
      <c r="I234" s="700" t="s">
        <v>352</v>
      </c>
      <c r="J234" s="700">
        <v>2538</v>
      </c>
      <c r="K234" s="702">
        <v>1076740.49997796</v>
      </c>
      <c r="L234" s="702">
        <v>424.24763592511999</v>
      </c>
      <c r="M234" s="700"/>
      <c r="T234" s="706">
        <f t="shared" si="12"/>
        <v>4</v>
      </c>
      <c r="U234" s="706">
        <f t="shared" si="13"/>
        <v>392.47007346869702</v>
      </c>
      <c r="V234" s="706">
        <f t="shared" si="14"/>
        <v>4</v>
      </c>
      <c r="W234" s="708">
        <f t="shared" si="15"/>
        <v>392.47007346869702</v>
      </c>
    </row>
    <row r="235" spans="1:23">
      <c r="A235" s="700" t="s">
        <v>236</v>
      </c>
      <c r="B235" s="700">
        <v>959</v>
      </c>
      <c r="C235" s="702">
        <v>267977.898787849</v>
      </c>
      <c r="G235" s="700" t="s">
        <v>785</v>
      </c>
      <c r="H235" s="700" t="s">
        <v>785</v>
      </c>
      <c r="I235" s="700" t="s">
        <v>218</v>
      </c>
      <c r="J235" s="700">
        <v>1193</v>
      </c>
      <c r="K235" s="702">
        <v>145854.26141181699</v>
      </c>
      <c r="L235" s="702">
        <v>122.25839179531999</v>
      </c>
      <c r="M235" s="700"/>
      <c r="T235" s="706">
        <f t="shared" si="12"/>
        <v>959</v>
      </c>
      <c r="U235" s="706">
        <f t="shared" si="13"/>
        <v>267977.898787849</v>
      </c>
      <c r="V235" s="706">
        <f t="shared" si="14"/>
        <v>959</v>
      </c>
      <c r="W235" s="708">
        <f t="shared" si="15"/>
        <v>267977.898787849</v>
      </c>
    </row>
    <row r="236" spans="1:23">
      <c r="A236" s="700" t="s">
        <v>237</v>
      </c>
      <c r="B236" s="700">
        <v>371</v>
      </c>
      <c r="C236" s="702">
        <v>31363.690358562399</v>
      </c>
      <c r="G236" s="700" t="s">
        <v>785</v>
      </c>
      <c r="H236" s="700" t="s">
        <v>785</v>
      </c>
      <c r="I236" s="700" t="s">
        <v>591</v>
      </c>
      <c r="J236" s="700">
        <v>4941</v>
      </c>
      <c r="K236" s="702">
        <v>914538.22574367397</v>
      </c>
      <c r="L236" s="702">
        <v>185.091727533632</v>
      </c>
      <c r="M236" s="700"/>
      <c r="T236" s="706">
        <f t="shared" si="12"/>
        <v>371</v>
      </c>
      <c r="U236" s="706">
        <f t="shared" si="13"/>
        <v>31363.690358562399</v>
      </c>
      <c r="V236" s="706">
        <f t="shared" si="14"/>
        <v>371</v>
      </c>
      <c r="W236" s="708">
        <f t="shared" si="15"/>
        <v>31363.690358562399</v>
      </c>
    </row>
    <row r="237" spans="1:23">
      <c r="A237" s="700" t="s">
        <v>561</v>
      </c>
      <c r="B237" s="700">
        <v>2736</v>
      </c>
      <c r="C237" s="702">
        <v>448609.00065279298</v>
      </c>
      <c r="G237" s="700" t="s">
        <v>785</v>
      </c>
      <c r="H237" s="700" t="s">
        <v>785</v>
      </c>
      <c r="I237" s="700" t="s">
        <v>165</v>
      </c>
      <c r="J237" s="700">
        <v>3474</v>
      </c>
      <c r="K237" s="702">
        <v>558192.08591259003</v>
      </c>
      <c r="L237" s="702">
        <v>160.677054091131</v>
      </c>
      <c r="M237" s="700"/>
      <c r="T237" s="706">
        <f t="shared" si="12"/>
        <v>2736</v>
      </c>
      <c r="U237" s="706">
        <f t="shared" si="13"/>
        <v>448609.00065279298</v>
      </c>
      <c r="V237" s="706">
        <f t="shared" si="14"/>
        <v>2736</v>
      </c>
      <c r="W237" s="708">
        <f t="shared" si="15"/>
        <v>448609.00065279298</v>
      </c>
    </row>
    <row r="238" spans="1:23">
      <c r="A238" s="700" t="s">
        <v>238</v>
      </c>
      <c r="B238" s="700">
        <v>8</v>
      </c>
      <c r="C238" s="702">
        <v>1375.00426937828</v>
      </c>
      <c r="G238" s="700" t="s">
        <v>785</v>
      </c>
      <c r="H238" s="700" t="s">
        <v>785</v>
      </c>
      <c r="I238" s="700" t="s">
        <v>220</v>
      </c>
      <c r="J238" s="700">
        <v>80</v>
      </c>
      <c r="K238" s="702">
        <v>7668.0019288506201</v>
      </c>
      <c r="L238" s="702">
        <v>95.850024110632802</v>
      </c>
      <c r="M238" s="700"/>
      <c r="T238" s="706">
        <f t="shared" si="12"/>
        <v>8</v>
      </c>
      <c r="U238" s="706">
        <f t="shared" si="13"/>
        <v>1375.00426937828</v>
      </c>
      <c r="V238" s="706">
        <f t="shared" si="14"/>
        <v>8</v>
      </c>
      <c r="W238" s="708">
        <f t="shared" si="15"/>
        <v>1375.00426937828</v>
      </c>
    </row>
    <row r="239" spans="1:23">
      <c r="A239" s="700" t="s">
        <v>239</v>
      </c>
      <c r="B239" s="700">
        <v>3</v>
      </c>
      <c r="C239" s="702">
        <v>397.822933672403</v>
      </c>
      <c r="G239" s="700" t="s">
        <v>785</v>
      </c>
      <c r="H239" s="700" t="s">
        <v>785</v>
      </c>
      <c r="I239" s="700" t="s">
        <v>592</v>
      </c>
      <c r="J239" s="700">
        <v>1</v>
      </c>
      <c r="K239" s="702">
        <v>145.83457256725001</v>
      </c>
      <c r="L239" s="702">
        <v>145.83457256725001</v>
      </c>
      <c r="M239" s="700"/>
      <c r="T239" s="706">
        <f t="shared" si="12"/>
        <v>3</v>
      </c>
      <c r="U239" s="706">
        <f t="shared" si="13"/>
        <v>397.822933672403</v>
      </c>
      <c r="V239" s="706">
        <f t="shared" si="14"/>
        <v>3</v>
      </c>
      <c r="W239" s="708">
        <f t="shared" si="15"/>
        <v>397.822933672403</v>
      </c>
    </row>
    <row r="240" spans="1:23">
      <c r="A240" s="700" t="s">
        <v>240</v>
      </c>
      <c r="B240" s="700">
        <v>46</v>
      </c>
      <c r="C240" s="702">
        <v>7821.5504347849501</v>
      </c>
      <c r="G240" s="700" t="s">
        <v>785</v>
      </c>
      <c r="H240" s="700" t="s">
        <v>785</v>
      </c>
      <c r="I240" s="700" t="s">
        <v>593</v>
      </c>
      <c r="J240" s="700">
        <v>237</v>
      </c>
      <c r="K240" s="702">
        <v>50318.171378997104</v>
      </c>
      <c r="L240" s="702">
        <v>212.312959405051</v>
      </c>
      <c r="M240" s="700"/>
      <c r="T240" s="706">
        <f t="shared" si="12"/>
        <v>46</v>
      </c>
      <c r="U240" s="706">
        <f t="shared" si="13"/>
        <v>7821.5504347849501</v>
      </c>
      <c r="V240" s="706">
        <f t="shared" si="14"/>
        <v>46</v>
      </c>
      <c r="W240" s="708">
        <f t="shared" si="15"/>
        <v>7821.5504347849501</v>
      </c>
    </row>
    <row r="241" spans="1:23">
      <c r="A241" s="700" t="s">
        <v>241</v>
      </c>
      <c r="B241" s="700">
        <v>180</v>
      </c>
      <c r="C241" s="702">
        <v>35932.545804676702</v>
      </c>
      <c r="G241" s="700" t="s">
        <v>785</v>
      </c>
      <c r="H241" s="700" t="s">
        <v>785</v>
      </c>
      <c r="I241" s="700" t="s">
        <v>823</v>
      </c>
      <c r="J241" s="700">
        <v>5639</v>
      </c>
      <c r="K241" s="702">
        <v>623416.54625881906</v>
      </c>
      <c r="L241" s="702">
        <v>110.554450480372</v>
      </c>
      <c r="M241" s="700"/>
      <c r="T241" s="706">
        <f t="shared" si="12"/>
        <v>180</v>
      </c>
      <c r="U241" s="706">
        <f t="shared" si="13"/>
        <v>35932.545804676702</v>
      </c>
      <c r="V241" s="706">
        <f t="shared" si="14"/>
        <v>180</v>
      </c>
      <c r="W241" s="708">
        <f t="shared" si="15"/>
        <v>35932.545804676702</v>
      </c>
    </row>
    <row r="242" spans="1:23">
      <c r="A242" s="700" t="s">
        <v>242</v>
      </c>
      <c r="B242" s="700">
        <v>587</v>
      </c>
      <c r="C242" s="702">
        <v>110468.972900226</v>
      </c>
      <c r="G242" s="700" t="s">
        <v>785</v>
      </c>
      <c r="H242" s="700" t="s">
        <v>785</v>
      </c>
      <c r="I242" s="700" t="s">
        <v>357</v>
      </c>
      <c r="J242" s="700">
        <v>52</v>
      </c>
      <c r="K242" s="702">
        <v>14559.251614832399</v>
      </c>
      <c r="L242" s="702">
        <v>279.98560797754698</v>
      </c>
      <c r="M242" s="700"/>
      <c r="T242" s="706">
        <f t="shared" si="12"/>
        <v>587</v>
      </c>
      <c r="U242" s="706">
        <f t="shared" si="13"/>
        <v>110468.972900226</v>
      </c>
      <c r="V242" s="706">
        <f t="shared" si="14"/>
        <v>587</v>
      </c>
      <c r="W242" s="708">
        <f t="shared" si="15"/>
        <v>110468.972900226</v>
      </c>
    </row>
    <row r="243" spans="1:23">
      <c r="A243" s="700" t="s">
        <v>591</v>
      </c>
      <c r="B243" s="700">
        <v>4941</v>
      </c>
      <c r="C243" s="702">
        <v>914538.22574367397</v>
      </c>
      <c r="G243" s="700" t="s">
        <v>785</v>
      </c>
      <c r="H243" s="700" t="s">
        <v>785</v>
      </c>
      <c r="I243" s="700" t="s">
        <v>293</v>
      </c>
      <c r="J243" s="700">
        <v>204</v>
      </c>
      <c r="K243" s="702">
        <v>51686.656637503103</v>
      </c>
      <c r="L243" s="702">
        <v>253.365963909329</v>
      </c>
      <c r="M243" s="700"/>
      <c r="T243" s="706">
        <f t="shared" si="12"/>
        <v>4941</v>
      </c>
      <c r="U243" s="706">
        <f t="shared" si="13"/>
        <v>914538.22574367397</v>
      </c>
      <c r="V243" s="706">
        <f t="shared" si="14"/>
        <v>4941</v>
      </c>
      <c r="W243" s="708">
        <f t="shared" si="15"/>
        <v>914538.22574367397</v>
      </c>
    </row>
    <row r="244" spans="1:23">
      <c r="A244" s="700" t="s">
        <v>243</v>
      </c>
      <c r="B244" s="700">
        <v>30</v>
      </c>
      <c r="C244" s="702">
        <v>4739.2771343504301</v>
      </c>
      <c r="G244" s="700" t="s">
        <v>785</v>
      </c>
      <c r="H244" s="700" t="s">
        <v>785</v>
      </c>
      <c r="I244" s="700" t="s">
        <v>334</v>
      </c>
      <c r="J244" s="700">
        <v>78</v>
      </c>
      <c r="K244" s="702">
        <v>37701.4427945438</v>
      </c>
      <c r="L244" s="702">
        <v>483.35183069928001</v>
      </c>
      <c r="M244" s="700"/>
      <c r="T244" s="706">
        <f t="shared" si="12"/>
        <v>30</v>
      </c>
      <c r="U244" s="706">
        <f t="shared" si="13"/>
        <v>4739.2771343504301</v>
      </c>
      <c r="V244" s="706">
        <f t="shared" si="14"/>
        <v>30</v>
      </c>
      <c r="W244" s="708">
        <f t="shared" si="15"/>
        <v>4739.2771343504301</v>
      </c>
    </row>
    <row r="245" spans="1:23">
      <c r="A245" s="700" t="s">
        <v>244</v>
      </c>
      <c r="B245" s="700">
        <v>120</v>
      </c>
      <c r="C245" s="702">
        <v>196992.73422078</v>
      </c>
      <c r="G245" s="700" t="s">
        <v>785</v>
      </c>
      <c r="H245" s="700" t="s">
        <v>785</v>
      </c>
      <c r="I245" s="700" t="s">
        <v>824</v>
      </c>
      <c r="J245" s="700">
        <v>10677</v>
      </c>
      <c r="K245" s="702">
        <v>1335621.13986322</v>
      </c>
      <c r="L245" s="702">
        <v>125.093297730001</v>
      </c>
      <c r="M245" s="700"/>
      <c r="T245" s="706">
        <f t="shared" si="12"/>
        <v>120</v>
      </c>
      <c r="U245" s="706">
        <f t="shared" si="13"/>
        <v>14687.2363110068</v>
      </c>
      <c r="V245" s="706">
        <f t="shared" si="14"/>
        <v>120</v>
      </c>
      <c r="W245" s="708">
        <f t="shared" si="15"/>
        <v>14687.2363110068</v>
      </c>
    </row>
    <row r="246" spans="1:23">
      <c r="A246" s="700" t="s">
        <v>245</v>
      </c>
      <c r="B246" s="700">
        <v>434</v>
      </c>
      <c r="C246" s="702">
        <v>281479.338058197</v>
      </c>
      <c r="G246" s="700" t="s">
        <v>785</v>
      </c>
      <c r="H246" s="700" t="s">
        <v>785</v>
      </c>
      <c r="I246" s="700" t="s">
        <v>199</v>
      </c>
      <c r="J246" s="700">
        <v>110</v>
      </c>
      <c r="K246" s="702">
        <v>16165.745052092399</v>
      </c>
      <c r="L246" s="702">
        <v>146.96131865538501</v>
      </c>
      <c r="M246" s="700"/>
      <c r="T246" s="706">
        <f t="shared" si="12"/>
        <v>434</v>
      </c>
      <c r="U246" s="706">
        <f t="shared" si="13"/>
        <v>66070.892194826098</v>
      </c>
      <c r="V246" s="706">
        <f t="shared" si="14"/>
        <v>434</v>
      </c>
      <c r="W246" s="708">
        <f t="shared" si="15"/>
        <v>66070.892194826098</v>
      </c>
    </row>
    <row r="247" spans="1:23">
      <c r="A247" s="700" t="s">
        <v>246</v>
      </c>
      <c r="B247" s="700">
        <v>23</v>
      </c>
      <c r="C247" s="702">
        <v>2300.08006737404</v>
      </c>
      <c r="G247" s="700" t="s">
        <v>785</v>
      </c>
      <c r="H247" s="700" t="s">
        <v>785</v>
      </c>
      <c r="I247" s="700" t="s">
        <v>123</v>
      </c>
      <c r="J247" s="700">
        <v>57</v>
      </c>
      <c r="K247" s="702">
        <v>7671.6520571102001</v>
      </c>
      <c r="L247" s="702">
        <v>134.59038696684601</v>
      </c>
      <c r="M247" s="700"/>
      <c r="T247" s="706">
        <f t="shared" si="12"/>
        <v>23</v>
      </c>
      <c r="U247" s="706">
        <f t="shared" si="13"/>
        <v>2300.08006737404</v>
      </c>
      <c r="V247" s="706">
        <f t="shared" si="14"/>
        <v>23</v>
      </c>
      <c r="W247" s="708">
        <f t="shared" si="15"/>
        <v>2300.08006737404</v>
      </c>
    </row>
    <row r="248" spans="1:23">
      <c r="A248" s="700" t="s">
        <v>247</v>
      </c>
      <c r="B248" s="700">
        <v>106</v>
      </c>
      <c r="C248" s="702">
        <v>14203.011663399</v>
      </c>
      <c r="G248" s="700" t="s">
        <v>785</v>
      </c>
      <c r="H248" s="700" t="s">
        <v>785</v>
      </c>
      <c r="I248" s="700" t="s">
        <v>268</v>
      </c>
      <c r="J248" s="700">
        <v>478</v>
      </c>
      <c r="K248" s="702">
        <v>101557.58583463699</v>
      </c>
      <c r="L248" s="702">
        <v>212.46356869171001</v>
      </c>
      <c r="M248" s="700"/>
      <c r="T248" s="706">
        <f t="shared" si="12"/>
        <v>106</v>
      </c>
      <c r="U248" s="706">
        <f t="shared" si="13"/>
        <v>14203.011663399</v>
      </c>
      <c r="V248" s="706">
        <f t="shared" si="14"/>
        <v>106</v>
      </c>
      <c r="W248" s="708">
        <f t="shared" si="15"/>
        <v>14203.011663399</v>
      </c>
    </row>
    <row r="249" spans="1:23">
      <c r="A249" s="700" t="s">
        <v>248</v>
      </c>
      <c r="B249" s="700">
        <v>1000</v>
      </c>
      <c r="C249" s="702">
        <v>110882.06321520499</v>
      </c>
      <c r="G249" s="700" t="s">
        <v>785</v>
      </c>
      <c r="H249" s="700" t="s">
        <v>785</v>
      </c>
      <c r="I249" s="700" t="s">
        <v>322</v>
      </c>
      <c r="J249" s="700">
        <v>9</v>
      </c>
      <c r="K249" s="702">
        <v>855.95853606944502</v>
      </c>
      <c r="L249" s="702">
        <v>95.106504007716097</v>
      </c>
      <c r="M249" s="700"/>
      <c r="T249" s="706">
        <f t="shared" si="12"/>
        <v>1000</v>
      </c>
      <c r="U249" s="706">
        <f t="shared" si="13"/>
        <v>92022.728848816405</v>
      </c>
      <c r="V249" s="706">
        <f t="shared" si="14"/>
        <v>1000</v>
      </c>
      <c r="W249" s="708">
        <f t="shared" si="15"/>
        <v>92022.728848816405</v>
      </c>
    </row>
    <row r="250" spans="1:23">
      <c r="A250" s="700" t="s">
        <v>249</v>
      </c>
      <c r="B250" s="700">
        <v>55632</v>
      </c>
      <c r="C250" s="702">
        <v>11162954.9722644</v>
      </c>
      <c r="G250" s="700" t="s">
        <v>785</v>
      </c>
      <c r="H250" s="700" t="s">
        <v>785</v>
      </c>
      <c r="I250" s="700" t="s">
        <v>222</v>
      </c>
      <c r="J250" s="700">
        <v>50</v>
      </c>
      <c r="K250" s="702">
        <v>6321.5428776254103</v>
      </c>
      <c r="L250" s="702">
        <v>126.430857552508</v>
      </c>
      <c r="M250" s="700"/>
      <c r="T250" s="706">
        <f t="shared" si="12"/>
        <v>55632</v>
      </c>
      <c r="U250" s="706">
        <f t="shared" si="13"/>
        <v>7361554.4916423103</v>
      </c>
      <c r="V250" s="706">
        <f t="shared" si="14"/>
        <v>55632</v>
      </c>
      <c r="W250" s="708">
        <f t="shared" si="15"/>
        <v>7361554.4916423103</v>
      </c>
    </row>
    <row r="251" spans="1:23">
      <c r="A251" s="700" t="s">
        <v>250</v>
      </c>
      <c r="B251" s="700">
        <v>1</v>
      </c>
      <c r="C251" s="702">
        <v>393.50500446947302</v>
      </c>
      <c r="G251" s="700" t="s">
        <v>785</v>
      </c>
      <c r="H251" s="700" t="s">
        <v>785</v>
      </c>
      <c r="I251" s="700" t="s">
        <v>825</v>
      </c>
      <c r="J251" s="700">
        <v>30120</v>
      </c>
      <c r="K251" s="702">
        <v>4320525.49139053</v>
      </c>
      <c r="L251" s="702">
        <v>143.44374141402801</v>
      </c>
      <c r="M251" s="700"/>
      <c r="T251" s="706">
        <f t="shared" si="12"/>
        <v>1</v>
      </c>
      <c r="U251" s="706">
        <f t="shared" si="13"/>
        <v>393.50500446947302</v>
      </c>
      <c r="V251" s="706">
        <f t="shared" si="14"/>
        <v>1</v>
      </c>
      <c r="W251" s="708">
        <f t="shared" si="15"/>
        <v>393.50500446947302</v>
      </c>
    </row>
    <row r="252" spans="1:23">
      <c r="A252" s="700" t="s">
        <v>251</v>
      </c>
      <c r="B252" s="700">
        <v>28</v>
      </c>
      <c r="C252" s="702">
        <v>18016.2198993356</v>
      </c>
      <c r="G252" s="700" t="s">
        <v>785</v>
      </c>
      <c r="H252" s="700" t="s">
        <v>785</v>
      </c>
      <c r="I252" s="700" t="s">
        <v>316</v>
      </c>
      <c r="J252" s="700">
        <v>21</v>
      </c>
      <c r="K252" s="702">
        <v>1149.2744739306099</v>
      </c>
      <c r="L252" s="702">
        <v>54.727355901457699</v>
      </c>
      <c r="M252" s="700"/>
      <c r="T252" s="706">
        <f t="shared" si="12"/>
        <v>28</v>
      </c>
      <c r="U252" s="706">
        <f t="shared" si="13"/>
        <v>5958.4149380894996</v>
      </c>
      <c r="V252" s="706">
        <f t="shared" si="14"/>
        <v>28</v>
      </c>
      <c r="W252" s="708">
        <f t="shared" si="15"/>
        <v>5958.4149380894996</v>
      </c>
    </row>
    <row r="253" spans="1:23">
      <c r="A253" s="700" t="s">
        <v>252</v>
      </c>
      <c r="B253" s="700">
        <v>6</v>
      </c>
      <c r="C253" s="702">
        <v>21749.535362761999</v>
      </c>
      <c r="G253" s="700" t="s">
        <v>785</v>
      </c>
      <c r="H253" s="700" t="s">
        <v>785</v>
      </c>
      <c r="I253" s="700" t="s">
        <v>302</v>
      </c>
      <c r="J253" s="700">
        <v>1039</v>
      </c>
      <c r="K253" s="702">
        <v>265466.11929515802</v>
      </c>
      <c r="L253" s="702">
        <v>255.501558513145</v>
      </c>
      <c r="M253" s="700"/>
      <c r="T253" s="706">
        <f t="shared" si="12"/>
        <v>6</v>
      </c>
      <c r="U253" s="706">
        <f t="shared" si="13"/>
        <v>1034.6277265823401</v>
      </c>
      <c r="V253" s="706">
        <f t="shared" si="14"/>
        <v>6</v>
      </c>
      <c r="W253" s="708">
        <f t="shared" si="15"/>
        <v>1034.6277265823401</v>
      </c>
    </row>
    <row r="254" spans="1:23">
      <c r="A254" s="700" t="s">
        <v>253</v>
      </c>
      <c r="B254" s="700">
        <v>32</v>
      </c>
      <c r="C254" s="702">
        <v>4004.90279204955</v>
      </c>
      <c r="G254" s="700" t="s">
        <v>785</v>
      </c>
      <c r="H254" s="700" t="s">
        <v>785</v>
      </c>
      <c r="I254" s="700" t="s">
        <v>207</v>
      </c>
      <c r="J254" s="700">
        <v>3</v>
      </c>
      <c r="K254" s="702">
        <v>982.56637211401699</v>
      </c>
      <c r="L254" s="702">
        <v>327.52212403800598</v>
      </c>
      <c r="M254" s="700"/>
      <c r="T254" s="706">
        <f t="shared" si="12"/>
        <v>32</v>
      </c>
      <c r="U254" s="706">
        <f t="shared" si="13"/>
        <v>4004.90279204955</v>
      </c>
      <c r="V254" s="706">
        <f t="shared" si="14"/>
        <v>32</v>
      </c>
      <c r="W254" s="708">
        <f t="shared" si="15"/>
        <v>4004.90279204955</v>
      </c>
    </row>
    <row r="255" spans="1:23">
      <c r="A255" s="700" t="s">
        <v>647</v>
      </c>
      <c r="B255" s="700">
        <v>78</v>
      </c>
      <c r="C255" s="702">
        <v>59605.5599290721</v>
      </c>
      <c r="G255" s="700" t="s">
        <v>785</v>
      </c>
      <c r="H255" s="700" t="s">
        <v>785</v>
      </c>
      <c r="I255" s="700" t="s">
        <v>111</v>
      </c>
      <c r="J255" s="700">
        <v>469</v>
      </c>
      <c r="K255" s="702">
        <v>64644.714954663898</v>
      </c>
      <c r="L255" s="702">
        <v>137.83521312295099</v>
      </c>
      <c r="M255" s="700"/>
      <c r="T255" s="706">
        <f t="shared" si="12"/>
        <v>78</v>
      </c>
      <c r="U255" s="706">
        <f t="shared" si="13"/>
        <v>15405.895454407801</v>
      </c>
      <c r="V255" s="706">
        <f t="shared" si="14"/>
        <v>78</v>
      </c>
      <c r="W255" s="708">
        <f t="shared" si="15"/>
        <v>15405.895454407801</v>
      </c>
    </row>
    <row r="256" spans="1:23">
      <c r="A256" s="700" t="s">
        <v>254</v>
      </c>
      <c r="B256" s="700">
        <v>52</v>
      </c>
      <c r="C256" s="702">
        <v>6227.4202061859896</v>
      </c>
      <c r="G256" s="700" t="s">
        <v>785</v>
      </c>
      <c r="H256" s="700" t="s">
        <v>785</v>
      </c>
      <c r="I256" s="700" t="s">
        <v>248</v>
      </c>
      <c r="J256" s="700">
        <v>1000</v>
      </c>
      <c r="K256" s="702">
        <v>92022.728848816405</v>
      </c>
      <c r="L256" s="702">
        <v>92.022728848816399</v>
      </c>
      <c r="M256" s="700"/>
      <c r="T256" s="706">
        <f t="shared" si="12"/>
        <v>52</v>
      </c>
      <c r="U256" s="706">
        <f t="shared" si="13"/>
        <v>6227.4202061859896</v>
      </c>
      <c r="V256" s="706">
        <f t="shared" si="14"/>
        <v>52</v>
      </c>
      <c r="W256" s="708">
        <f t="shared" si="15"/>
        <v>6227.4202061859896</v>
      </c>
    </row>
    <row r="257" spans="1:23">
      <c r="A257" s="700" t="s">
        <v>255</v>
      </c>
      <c r="B257" s="700">
        <v>6</v>
      </c>
      <c r="C257" s="702">
        <v>621.58447974030798</v>
      </c>
      <c r="G257" s="700" t="s">
        <v>785</v>
      </c>
      <c r="H257" s="700" t="s">
        <v>785</v>
      </c>
      <c r="I257" s="700" t="s">
        <v>826</v>
      </c>
      <c r="J257" s="700">
        <v>67937</v>
      </c>
      <c r="K257" s="702">
        <v>13982788.287083199</v>
      </c>
      <c r="L257" s="702">
        <v>205.819925623492</v>
      </c>
      <c r="M257" s="700"/>
      <c r="T257" s="706">
        <f t="shared" si="12"/>
        <v>6</v>
      </c>
      <c r="U257" s="706">
        <f t="shared" si="13"/>
        <v>621.58447974030798</v>
      </c>
      <c r="V257" s="706">
        <f t="shared" si="14"/>
        <v>6</v>
      </c>
      <c r="W257" s="708">
        <f t="shared" si="15"/>
        <v>621.58447974030798</v>
      </c>
    </row>
    <row r="258" spans="1:23">
      <c r="A258" s="700" t="s">
        <v>256</v>
      </c>
      <c r="B258" s="700">
        <v>4</v>
      </c>
      <c r="C258" s="702">
        <v>1526.55210922728</v>
      </c>
      <c r="G258" s="700" t="s">
        <v>785</v>
      </c>
      <c r="H258" s="700" t="s">
        <v>785</v>
      </c>
      <c r="I258" s="700" t="s">
        <v>88</v>
      </c>
      <c r="J258" s="700">
        <v>2791</v>
      </c>
      <c r="K258" s="702">
        <v>379550.93946685502</v>
      </c>
      <c r="L258" s="702">
        <v>135.99102094835399</v>
      </c>
      <c r="M258" s="700"/>
      <c r="T258" s="706">
        <f t="shared" si="12"/>
        <v>4</v>
      </c>
      <c r="U258" s="706">
        <f t="shared" si="13"/>
        <v>1526.55210922728</v>
      </c>
      <c r="V258" s="706">
        <f t="shared" si="14"/>
        <v>4</v>
      </c>
      <c r="W258" s="708">
        <f t="shared" si="15"/>
        <v>1526.55210922728</v>
      </c>
    </row>
    <row r="259" spans="1:23">
      <c r="A259" s="700" t="s">
        <v>257</v>
      </c>
      <c r="B259" s="700">
        <v>1</v>
      </c>
      <c r="C259" s="702">
        <v>471.47355693494399</v>
      </c>
      <c r="G259" s="700" t="s">
        <v>785</v>
      </c>
      <c r="H259" s="700" t="s">
        <v>785</v>
      </c>
      <c r="I259" s="700" t="s">
        <v>594</v>
      </c>
      <c r="J259" s="700">
        <v>6</v>
      </c>
      <c r="K259" s="702">
        <v>1120.24780641189</v>
      </c>
      <c r="L259" s="702">
        <v>186.70796773531501</v>
      </c>
      <c r="M259" s="700"/>
      <c r="T259" s="706">
        <f t="shared" si="12"/>
        <v>1</v>
      </c>
      <c r="U259" s="706">
        <f t="shared" si="13"/>
        <v>471.47355693494399</v>
      </c>
      <c r="V259" s="706">
        <f t="shared" si="14"/>
        <v>1</v>
      </c>
      <c r="W259" s="708">
        <f t="shared" si="15"/>
        <v>471.47355693494399</v>
      </c>
    </row>
    <row r="260" spans="1:23">
      <c r="A260" s="700" t="s">
        <v>258</v>
      </c>
      <c r="B260" s="700">
        <v>219</v>
      </c>
      <c r="C260" s="702">
        <v>39545.000369995498</v>
      </c>
      <c r="G260" s="700" t="s">
        <v>785</v>
      </c>
      <c r="H260" s="700" t="s">
        <v>785</v>
      </c>
      <c r="I260" s="700" t="s">
        <v>827</v>
      </c>
      <c r="J260" s="700">
        <v>5734</v>
      </c>
      <c r="K260" s="702">
        <v>1150084.96063629</v>
      </c>
      <c r="L260" s="702">
        <v>200.572891635209</v>
      </c>
      <c r="M260" s="700"/>
      <c r="T260" s="706">
        <f t="shared" ref="T260:T323" si="16">VLOOKUP(A260,$I:$L,2,FALSE)</f>
        <v>219</v>
      </c>
      <c r="U260" s="706">
        <f t="shared" ref="U260:U323" si="17">VLOOKUP(A260,$I:$L,3,FALSE)</f>
        <v>39545.000369995498</v>
      </c>
      <c r="V260" s="706">
        <f t="shared" ref="V260:V323" si="18">IF(COUNTIF($P:$P,A260)=1,0,T260)</f>
        <v>219</v>
      </c>
      <c r="W260" s="708">
        <f t="shared" ref="W260:W323" si="19">IF(COUNTIF($P:$P,A260)=1,0,U260)</f>
        <v>39545.000369995498</v>
      </c>
    </row>
    <row r="261" spans="1:23">
      <c r="A261" s="700" t="s">
        <v>608</v>
      </c>
      <c r="B261" s="700">
        <v>6</v>
      </c>
      <c r="C261" s="702">
        <v>1204.17846798658</v>
      </c>
      <c r="G261" s="700" t="s">
        <v>785</v>
      </c>
      <c r="H261" s="700" t="s">
        <v>785</v>
      </c>
      <c r="I261" s="700" t="s">
        <v>212</v>
      </c>
      <c r="J261" s="700">
        <v>49</v>
      </c>
      <c r="K261" s="702">
        <v>9972.9635305465799</v>
      </c>
      <c r="L261" s="702">
        <v>203.52986797033799</v>
      </c>
      <c r="M261" s="700"/>
      <c r="T261" s="706">
        <f t="shared" si="16"/>
        <v>6</v>
      </c>
      <c r="U261" s="706">
        <f t="shared" si="17"/>
        <v>1204.17846798658</v>
      </c>
      <c r="V261" s="706">
        <f t="shared" si="18"/>
        <v>6</v>
      </c>
      <c r="W261" s="708">
        <f t="shared" si="19"/>
        <v>1204.17846798658</v>
      </c>
    </row>
    <row r="262" spans="1:23">
      <c r="A262" s="700" t="s">
        <v>656</v>
      </c>
      <c r="B262" s="700">
        <v>1</v>
      </c>
      <c r="C262" s="702">
        <v>242.45363739939299</v>
      </c>
      <c r="G262" s="700" t="s">
        <v>785</v>
      </c>
      <c r="H262" s="700" t="s">
        <v>785</v>
      </c>
      <c r="I262" s="700" t="s">
        <v>299</v>
      </c>
      <c r="J262" s="700">
        <v>43</v>
      </c>
      <c r="K262" s="702">
        <v>4805.2376864538101</v>
      </c>
      <c r="L262" s="702">
        <v>111.749713638461</v>
      </c>
      <c r="M262" s="700"/>
      <c r="T262" s="706">
        <f t="shared" si="16"/>
        <v>1</v>
      </c>
      <c r="U262" s="706">
        <f t="shared" si="17"/>
        <v>242.45363739939299</v>
      </c>
      <c r="V262" s="706">
        <f t="shared" si="18"/>
        <v>1</v>
      </c>
      <c r="W262" s="708">
        <f t="shared" si="19"/>
        <v>242.45363739939299</v>
      </c>
    </row>
    <row r="263" spans="1:23">
      <c r="A263" s="700" t="s">
        <v>259</v>
      </c>
      <c r="B263" s="700">
        <v>2</v>
      </c>
      <c r="C263" s="702">
        <v>627.30166056095595</v>
      </c>
      <c r="G263" s="700" t="s">
        <v>785</v>
      </c>
      <c r="H263" s="700" t="s">
        <v>785</v>
      </c>
      <c r="I263" s="700" t="s">
        <v>828</v>
      </c>
      <c r="J263" s="700">
        <v>20275</v>
      </c>
      <c r="K263" s="702">
        <v>3254258.5301243402</v>
      </c>
      <c r="L263" s="702">
        <v>160.50596942660101</v>
      </c>
      <c r="M263" s="700"/>
      <c r="T263" s="706">
        <f t="shared" si="16"/>
        <v>2</v>
      </c>
      <c r="U263" s="706">
        <f t="shared" si="17"/>
        <v>627.30166056095595</v>
      </c>
      <c r="V263" s="706">
        <f t="shared" si="18"/>
        <v>2</v>
      </c>
      <c r="W263" s="708">
        <f t="shared" si="19"/>
        <v>627.30166056095595</v>
      </c>
    </row>
    <row r="264" spans="1:23">
      <c r="A264" s="700" t="s">
        <v>260</v>
      </c>
      <c r="B264" s="700">
        <v>49</v>
      </c>
      <c r="C264" s="702">
        <v>15368.890683743401</v>
      </c>
      <c r="G264" s="700" t="s">
        <v>785</v>
      </c>
      <c r="H264" s="700" t="s">
        <v>785</v>
      </c>
      <c r="I264" s="700" t="s">
        <v>240</v>
      </c>
      <c r="J264" s="700">
        <v>46</v>
      </c>
      <c r="K264" s="702">
        <v>7821.5504347849501</v>
      </c>
      <c r="L264" s="702">
        <v>170.03370510402101</v>
      </c>
      <c r="M264" s="700"/>
      <c r="T264" s="706">
        <f t="shared" si="16"/>
        <v>49</v>
      </c>
      <c r="U264" s="706">
        <f t="shared" si="17"/>
        <v>15368.890683743401</v>
      </c>
      <c r="V264" s="706">
        <f t="shared" si="18"/>
        <v>49</v>
      </c>
      <c r="W264" s="708">
        <f t="shared" si="19"/>
        <v>15368.890683743401</v>
      </c>
    </row>
    <row r="265" spans="1:23">
      <c r="A265" s="700" t="s">
        <v>553</v>
      </c>
      <c r="B265" s="700">
        <v>4</v>
      </c>
      <c r="C265" s="702">
        <v>1912.35746434405</v>
      </c>
      <c r="G265" s="700" t="s">
        <v>785</v>
      </c>
      <c r="H265" s="700" t="s">
        <v>785</v>
      </c>
      <c r="I265" s="700" t="s">
        <v>192</v>
      </c>
      <c r="J265" s="700">
        <v>5</v>
      </c>
      <c r="K265" s="702">
        <v>505.305250721378</v>
      </c>
      <c r="L265" s="702">
        <v>101.061050144276</v>
      </c>
      <c r="M265" s="700"/>
      <c r="T265" s="706">
        <f t="shared" si="16"/>
        <v>4</v>
      </c>
      <c r="U265" s="706">
        <f t="shared" si="17"/>
        <v>1912.35746434405</v>
      </c>
      <c r="V265" s="706">
        <f t="shared" si="18"/>
        <v>4</v>
      </c>
      <c r="W265" s="708">
        <f t="shared" si="19"/>
        <v>1912.35746434405</v>
      </c>
    </row>
    <row r="266" spans="1:23">
      <c r="A266" s="700" t="s">
        <v>261</v>
      </c>
      <c r="B266" s="700">
        <v>1</v>
      </c>
      <c r="C266" s="702">
        <v>212.66383458495201</v>
      </c>
      <c r="G266" s="700" t="s">
        <v>785</v>
      </c>
      <c r="H266" s="700" t="s">
        <v>785</v>
      </c>
      <c r="I266" s="700" t="s">
        <v>144</v>
      </c>
      <c r="J266" s="700">
        <v>444</v>
      </c>
      <c r="K266" s="702">
        <v>71761.411988057996</v>
      </c>
      <c r="L266" s="702">
        <v>161.62480177490599</v>
      </c>
      <c r="M266" s="700"/>
      <c r="T266" s="706">
        <f t="shared" si="16"/>
        <v>1</v>
      </c>
      <c r="U266" s="706">
        <f t="shared" si="17"/>
        <v>212.66383458495201</v>
      </c>
      <c r="V266" s="706">
        <f t="shared" si="18"/>
        <v>1</v>
      </c>
      <c r="W266" s="708">
        <f t="shared" si="19"/>
        <v>212.66383458495201</v>
      </c>
    </row>
    <row r="267" spans="1:23">
      <c r="A267" s="700" t="s">
        <v>262</v>
      </c>
      <c r="B267" s="700">
        <v>1</v>
      </c>
      <c r="C267" s="702">
        <v>161.51299528715299</v>
      </c>
      <c r="G267" s="700" t="s">
        <v>785</v>
      </c>
      <c r="H267" s="700" t="s">
        <v>785</v>
      </c>
      <c r="I267" s="700" t="s">
        <v>210</v>
      </c>
      <c r="J267" s="700">
        <v>23</v>
      </c>
      <c r="K267" s="702">
        <v>7394.7300535774002</v>
      </c>
      <c r="L267" s="702">
        <v>321.51000232945199</v>
      </c>
      <c r="M267" s="700"/>
      <c r="T267" s="706">
        <f t="shared" si="16"/>
        <v>1</v>
      </c>
      <c r="U267" s="706">
        <f t="shared" si="17"/>
        <v>161.51299528715299</v>
      </c>
      <c r="V267" s="706">
        <f t="shared" si="18"/>
        <v>1</v>
      </c>
      <c r="W267" s="708">
        <f t="shared" si="19"/>
        <v>161.51299528715299</v>
      </c>
    </row>
    <row r="268" spans="1:23">
      <c r="A268" s="700" t="s">
        <v>263</v>
      </c>
      <c r="B268" s="700">
        <v>2</v>
      </c>
      <c r="C268" s="702">
        <v>217.938957220243</v>
      </c>
      <c r="G268" s="700" t="s">
        <v>785</v>
      </c>
      <c r="H268" s="700" t="s">
        <v>785</v>
      </c>
      <c r="I268" s="700" t="s">
        <v>829</v>
      </c>
      <c r="J268" s="700">
        <v>10723</v>
      </c>
      <c r="K268" s="702">
        <v>1898064.6509536901</v>
      </c>
      <c r="L268" s="702">
        <v>177.008733652307</v>
      </c>
      <c r="M268" s="700"/>
      <c r="T268" s="706">
        <f t="shared" si="16"/>
        <v>2</v>
      </c>
      <c r="U268" s="706">
        <f t="shared" si="17"/>
        <v>217.938957220243</v>
      </c>
      <c r="V268" s="706">
        <f t="shared" si="18"/>
        <v>2</v>
      </c>
      <c r="W268" s="708">
        <f t="shared" si="19"/>
        <v>217.938957220243</v>
      </c>
    </row>
    <row r="269" spans="1:23">
      <c r="A269" s="700" t="s">
        <v>264</v>
      </c>
      <c r="B269" s="700">
        <v>94</v>
      </c>
      <c r="C269" s="702">
        <v>13037.686062259199</v>
      </c>
      <c r="G269" s="700" t="s">
        <v>785</v>
      </c>
      <c r="H269" s="700" t="s">
        <v>785</v>
      </c>
      <c r="I269" s="700" t="s">
        <v>195</v>
      </c>
      <c r="J269" s="700">
        <v>49</v>
      </c>
      <c r="K269" s="702">
        <v>5951.7656392176104</v>
      </c>
      <c r="L269" s="702">
        <v>121.464604881992</v>
      </c>
      <c r="M269" s="700"/>
      <c r="T269" s="706">
        <f t="shared" si="16"/>
        <v>94</v>
      </c>
      <c r="U269" s="706">
        <f t="shared" si="17"/>
        <v>13037.686062259199</v>
      </c>
      <c r="V269" s="706">
        <f t="shared" si="18"/>
        <v>94</v>
      </c>
      <c r="W269" s="708">
        <f t="shared" si="19"/>
        <v>13037.686062259199</v>
      </c>
    </row>
    <row r="270" spans="1:23">
      <c r="A270" s="700" t="s">
        <v>265</v>
      </c>
      <c r="B270" s="700">
        <v>84</v>
      </c>
      <c r="C270" s="702">
        <v>15812.1298983447</v>
      </c>
      <c r="G270" s="700" t="s">
        <v>785</v>
      </c>
      <c r="H270" s="700" t="s">
        <v>785</v>
      </c>
      <c r="I270" s="700" t="s">
        <v>115</v>
      </c>
      <c r="J270" s="700">
        <v>58</v>
      </c>
      <c r="K270" s="702">
        <v>6289.0400978940797</v>
      </c>
      <c r="L270" s="702">
        <v>108.43172582576</v>
      </c>
      <c r="M270" s="700"/>
      <c r="T270" s="706">
        <f t="shared" si="16"/>
        <v>84</v>
      </c>
      <c r="U270" s="706">
        <f t="shared" si="17"/>
        <v>15812.1298983447</v>
      </c>
      <c r="V270" s="706">
        <f t="shared" si="18"/>
        <v>84</v>
      </c>
      <c r="W270" s="708">
        <f t="shared" si="19"/>
        <v>15812.1298983447</v>
      </c>
    </row>
    <row r="271" spans="1:23">
      <c r="A271" s="700" t="s">
        <v>266</v>
      </c>
      <c r="B271" s="700">
        <v>12</v>
      </c>
      <c r="C271" s="702">
        <v>1470.7508550639</v>
      </c>
      <c r="G271" s="700" t="s">
        <v>785</v>
      </c>
      <c r="H271" s="700" t="s">
        <v>785</v>
      </c>
      <c r="I271" s="700" t="s">
        <v>100</v>
      </c>
      <c r="J271" s="700">
        <v>111</v>
      </c>
      <c r="K271" s="702">
        <v>14522.684594427399</v>
      </c>
      <c r="L271" s="702">
        <v>130.83499634619301</v>
      </c>
      <c r="M271" s="700"/>
      <c r="T271" s="706">
        <f t="shared" si="16"/>
        <v>12</v>
      </c>
      <c r="U271" s="706">
        <f t="shared" si="17"/>
        <v>1470.7508550639</v>
      </c>
      <c r="V271" s="706">
        <f t="shared" si="18"/>
        <v>12</v>
      </c>
      <c r="W271" s="708">
        <f t="shared" si="19"/>
        <v>1470.7508550639</v>
      </c>
    </row>
    <row r="272" spans="1:23">
      <c r="A272" s="700" t="s">
        <v>267</v>
      </c>
      <c r="B272" s="700">
        <v>2</v>
      </c>
      <c r="C272" s="702">
        <v>516.45470888588102</v>
      </c>
      <c r="G272" s="700" t="s">
        <v>785</v>
      </c>
      <c r="H272" s="700" t="s">
        <v>785</v>
      </c>
      <c r="I272" s="700" t="s">
        <v>179</v>
      </c>
      <c r="J272" s="700">
        <v>13</v>
      </c>
      <c r="K272" s="702">
        <v>1880.24388777482</v>
      </c>
      <c r="L272" s="702">
        <v>144.634145213447</v>
      </c>
      <c r="M272" s="700"/>
      <c r="T272" s="706">
        <f t="shared" si="16"/>
        <v>2</v>
      </c>
      <c r="U272" s="706">
        <f t="shared" si="17"/>
        <v>516.45470888588102</v>
      </c>
      <c r="V272" s="706">
        <f t="shared" si="18"/>
        <v>2</v>
      </c>
      <c r="W272" s="708">
        <f t="shared" si="19"/>
        <v>516.45470888588102</v>
      </c>
    </row>
    <row r="273" spans="1:23">
      <c r="A273" s="700" t="s">
        <v>268</v>
      </c>
      <c r="B273" s="700">
        <v>478</v>
      </c>
      <c r="C273" s="702">
        <v>105005.210844042</v>
      </c>
      <c r="G273" s="700" t="s">
        <v>785</v>
      </c>
      <c r="H273" s="700" t="s">
        <v>785</v>
      </c>
      <c r="I273" s="700" t="s">
        <v>830</v>
      </c>
      <c r="J273" s="700">
        <v>100444</v>
      </c>
      <c r="K273" s="702">
        <v>10359261.0622626</v>
      </c>
      <c r="L273" s="702">
        <v>103.134692587537</v>
      </c>
      <c r="M273" s="700"/>
      <c r="T273" s="706">
        <f t="shared" si="16"/>
        <v>478</v>
      </c>
      <c r="U273" s="706">
        <f t="shared" si="17"/>
        <v>101557.58583463699</v>
      </c>
      <c r="V273" s="706">
        <f t="shared" si="18"/>
        <v>478</v>
      </c>
      <c r="W273" s="708">
        <f t="shared" si="19"/>
        <v>101557.58583463699</v>
      </c>
    </row>
    <row r="274" spans="1:23">
      <c r="A274" s="700" t="s">
        <v>630</v>
      </c>
      <c r="B274" s="700">
        <v>359</v>
      </c>
      <c r="C274" s="702">
        <v>82968.402355221406</v>
      </c>
      <c r="G274" s="700" t="s">
        <v>785</v>
      </c>
      <c r="H274" s="700" t="s">
        <v>785</v>
      </c>
      <c r="I274" s="700" t="s">
        <v>97</v>
      </c>
      <c r="J274" s="700">
        <v>68</v>
      </c>
      <c r="K274" s="702">
        <v>10025.4328062201</v>
      </c>
      <c r="L274" s="702">
        <v>147.43283538558899</v>
      </c>
      <c r="M274" s="700"/>
      <c r="T274" s="706">
        <f t="shared" si="16"/>
        <v>359</v>
      </c>
      <c r="U274" s="706">
        <f t="shared" si="17"/>
        <v>82968.402355221406</v>
      </c>
      <c r="V274" s="706">
        <f t="shared" si="18"/>
        <v>359</v>
      </c>
      <c r="W274" s="708">
        <f t="shared" si="19"/>
        <v>82968.402355221406</v>
      </c>
    </row>
    <row r="275" spans="1:23">
      <c r="A275" s="700" t="s">
        <v>633</v>
      </c>
      <c r="B275" s="700">
        <v>1201</v>
      </c>
      <c r="C275" s="702">
        <v>130548.374373646</v>
      </c>
      <c r="G275" s="700" t="s">
        <v>785</v>
      </c>
      <c r="H275" s="700" t="s">
        <v>785</v>
      </c>
      <c r="I275" s="700" t="s">
        <v>189</v>
      </c>
      <c r="J275" s="700">
        <v>38</v>
      </c>
      <c r="K275" s="702">
        <v>15986.169827113899</v>
      </c>
      <c r="L275" s="702">
        <v>420.68867966089198</v>
      </c>
      <c r="M275" s="700"/>
      <c r="T275" s="706">
        <f t="shared" si="16"/>
        <v>1201</v>
      </c>
      <c r="U275" s="706">
        <f t="shared" si="17"/>
        <v>130548.374373646</v>
      </c>
      <c r="V275" s="706">
        <f t="shared" si="18"/>
        <v>1201</v>
      </c>
      <c r="W275" s="708">
        <f t="shared" si="19"/>
        <v>130548.374373646</v>
      </c>
    </row>
    <row r="276" spans="1:23">
      <c r="A276" s="700" t="s">
        <v>568</v>
      </c>
      <c r="B276" s="700">
        <v>2</v>
      </c>
      <c r="C276" s="702">
        <v>288.80199359771501</v>
      </c>
      <c r="G276" s="700" t="s">
        <v>785</v>
      </c>
      <c r="H276" s="700" t="s">
        <v>785</v>
      </c>
      <c r="I276" s="700" t="s">
        <v>831</v>
      </c>
      <c r="J276" s="700">
        <v>35132</v>
      </c>
      <c r="K276" s="702">
        <v>4259317.4304233203</v>
      </c>
      <c r="L276" s="702">
        <v>121.237544985293</v>
      </c>
      <c r="M276" s="700"/>
      <c r="T276" s="706">
        <f t="shared" si="16"/>
        <v>2</v>
      </c>
      <c r="U276" s="706">
        <f t="shared" si="17"/>
        <v>288.80199359771501</v>
      </c>
      <c r="V276" s="706">
        <f t="shared" si="18"/>
        <v>2</v>
      </c>
      <c r="W276" s="708">
        <f t="shared" si="19"/>
        <v>288.80199359771501</v>
      </c>
    </row>
    <row r="277" spans="1:23">
      <c r="A277" s="700" t="s">
        <v>658</v>
      </c>
      <c r="B277" s="700">
        <v>2743</v>
      </c>
      <c r="C277" s="702">
        <v>654332.18712387001</v>
      </c>
      <c r="G277" s="700" t="s">
        <v>785</v>
      </c>
      <c r="H277" s="700" t="s">
        <v>785</v>
      </c>
      <c r="I277" s="700" t="s">
        <v>595</v>
      </c>
      <c r="J277" s="700">
        <v>20</v>
      </c>
      <c r="K277" s="702">
        <v>2019.6898070054999</v>
      </c>
      <c r="L277" s="702">
        <v>100.984490350275</v>
      </c>
      <c r="M277" s="700"/>
      <c r="T277" s="706">
        <f t="shared" si="16"/>
        <v>2743</v>
      </c>
      <c r="U277" s="706">
        <f t="shared" si="17"/>
        <v>654332.18712387001</v>
      </c>
      <c r="V277" s="706">
        <f t="shared" si="18"/>
        <v>2743</v>
      </c>
      <c r="W277" s="708">
        <f t="shared" si="19"/>
        <v>654332.18712387001</v>
      </c>
    </row>
    <row r="278" spans="1:23">
      <c r="A278" s="700" t="s">
        <v>558</v>
      </c>
      <c r="B278" s="700">
        <v>12</v>
      </c>
      <c r="C278" s="702">
        <v>6322.5317687861198</v>
      </c>
      <c r="G278" s="700" t="s">
        <v>785</v>
      </c>
      <c r="H278" s="700" t="s">
        <v>785</v>
      </c>
      <c r="I278" s="700" t="s">
        <v>312</v>
      </c>
      <c r="J278" s="700">
        <v>700</v>
      </c>
      <c r="K278" s="702">
        <v>96319.045347591993</v>
      </c>
      <c r="L278" s="702">
        <v>137.598636210846</v>
      </c>
      <c r="M278" s="700"/>
      <c r="T278" s="706">
        <f t="shared" si="16"/>
        <v>12</v>
      </c>
      <c r="U278" s="706">
        <f t="shared" si="17"/>
        <v>6322.5317687861198</v>
      </c>
      <c r="V278" s="706">
        <f t="shared" si="18"/>
        <v>12</v>
      </c>
      <c r="W278" s="708">
        <f t="shared" si="19"/>
        <v>6322.5317687861198</v>
      </c>
    </row>
    <row r="279" spans="1:23">
      <c r="A279" s="700" t="s">
        <v>570</v>
      </c>
      <c r="B279" s="700">
        <v>4</v>
      </c>
      <c r="C279" s="702">
        <v>928.18698484715503</v>
      </c>
      <c r="G279" s="700" t="s">
        <v>785</v>
      </c>
      <c r="H279" s="700" t="s">
        <v>785</v>
      </c>
      <c r="I279" s="700" t="s">
        <v>285</v>
      </c>
      <c r="J279" s="700">
        <v>1</v>
      </c>
      <c r="K279" s="702">
        <v>145.83457256725001</v>
      </c>
      <c r="L279" s="702">
        <v>145.83457256725001</v>
      </c>
      <c r="M279" s="700"/>
      <c r="T279" s="706">
        <f t="shared" si="16"/>
        <v>4</v>
      </c>
      <c r="U279" s="706">
        <f t="shared" si="17"/>
        <v>928.18698484715503</v>
      </c>
      <c r="V279" s="706">
        <f t="shared" si="18"/>
        <v>4</v>
      </c>
      <c r="W279" s="708">
        <f t="shared" si="19"/>
        <v>928.18698484715503</v>
      </c>
    </row>
    <row r="280" spans="1:23">
      <c r="A280" s="700" t="s">
        <v>646</v>
      </c>
      <c r="B280" s="700">
        <v>2</v>
      </c>
      <c r="C280" s="702">
        <v>794.28564771507399</v>
      </c>
      <c r="G280" s="700" t="s">
        <v>785</v>
      </c>
      <c r="H280" s="700" t="s">
        <v>785</v>
      </c>
      <c r="I280" s="700" t="s">
        <v>596</v>
      </c>
      <c r="J280" s="700">
        <v>2544</v>
      </c>
      <c r="K280" s="702">
        <v>262967.53572293202</v>
      </c>
      <c r="L280" s="702">
        <v>103.367742029455</v>
      </c>
      <c r="M280" s="700"/>
      <c r="T280" s="706">
        <f t="shared" si="16"/>
        <v>2</v>
      </c>
      <c r="U280" s="706">
        <f t="shared" si="17"/>
        <v>794.28564771507399</v>
      </c>
      <c r="V280" s="706">
        <f t="shared" si="18"/>
        <v>2</v>
      </c>
      <c r="W280" s="708">
        <f t="shared" si="19"/>
        <v>794.28564771507399</v>
      </c>
    </row>
    <row r="281" spans="1:23">
      <c r="A281" s="700" t="s">
        <v>270</v>
      </c>
      <c r="B281" s="700">
        <v>1477</v>
      </c>
      <c r="C281" s="702">
        <v>308290.37550886598</v>
      </c>
      <c r="G281" s="700" t="s">
        <v>785</v>
      </c>
      <c r="H281" s="700" t="s">
        <v>785</v>
      </c>
      <c r="I281" s="700" t="s">
        <v>288</v>
      </c>
      <c r="J281" s="700">
        <v>107</v>
      </c>
      <c r="K281" s="702">
        <v>28472.011034279902</v>
      </c>
      <c r="L281" s="702">
        <v>266.09356106803602</v>
      </c>
      <c r="M281" s="700"/>
      <c r="T281" s="706">
        <f t="shared" si="16"/>
        <v>1477</v>
      </c>
      <c r="U281" s="706">
        <f t="shared" si="17"/>
        <v>291027.971412479</v>
      </c>
      <c r="V281" s="706">
        <f t="shared" si="18"/>
        <v>1477</v>
      </c>
      <c r="W281" s="708">
        <f t="shared" si="19"/>
        <v>291027.971412479</v>
      </c>
    </row>
    <row r="282" spans="1:23">
      <c r="A282" s="700" t="s">
        <v>271</v>
      </c>
      <c r="B282" s="700">
        <v>77</v>
      </c>
      <c r="C282" s="702">
        <v>9742.7123131041608</v>
      </c>
      <c r="G282" s="700" t="s">
        <v>785</v>
      </c>
      <c r="H282" s="700" t="s">
        <v>785</v>
      </c>
      <c r="I282" s="700" t="s">
        <v>329</v>
      </c>
      <c r="J282" s="700">
        <v>4549</v>
      </c>
      <c r="K282" s="702">
        <v>764527.23048445699</v>
      </c>
      <c r="L282" s="702">
        <v>168.06490008451499</v>
      </c>
      <c r="M282" s="700"/>
      <c r="T282" s="706">
        <f t="shared" si="16"/>
        <v>77</v>
      </c>
      <c r="U282" s="706">
        <f t="shared" si="17"/>
        <v>9742.7123131041608</v>
      </c>
      <c r="V282" s="706">
        <f t="shared" si="18"/>
        <v>77</v>
      </c>
      <c r="W282" s="708">
        <f t="shared" si="19"/>
        <v>9742.7123131041608</v>
      </c>
    </row>
    <row r="283" spans="1:23">
      <c r="A283" s="700" t="s">
        <v>645</v>
      </c>
      <c r="B283" s="700">
        <v>2</v>
      </c>
      <c r="C283" s="702">
        <v>973.10602782665501</v>
      </c>
      <c r="G283" s="700" t="s">
        <v>785</v>
      </c>
      <c r="H283" s="700" t="s">
        <v>785</v>
      </c>
      <c r="I283" s="700" t="s">
        <v>133</v>
      </c>
      <c r="J283" s="700">
        <v>79</v>
      </c>
      <c r="K283" s="702">
        <v>10705.895771920899</v>
      </c>
      <c r="L283" s="702">
        <v>135.51766799899801</v>
      </c>
      <c r="M283" s="700"/>
      <c r="T283" s="706">
        <f t="shared" si="16"/>
        <v>2</v>
      </c>
      <c r="U283" s="706">
        <f t="shared" si="17"/>
        <v>973.10602782665501</v>
      </c>
      <c r="V283" s="706">
        <f t="shared" si="18"/>
        <v>2</v>
      </c>
      <c r="W283" s="708">
        <f t="shared" si="19"/>
        <v>973.10602782665501</v>
      </c>
    </row>
    <row r="284" spans="1:23">
      <c r="A284" s="700" t="s">
        <v>272</v>
      </c>
      <c r="B284" s="700">
        <v>299</v>
      </c>
      <c r="C284" s="702">
        <v>72186.013586368994</v>
      </c>
      <c r="G284" s="700" t="s">
        <v>785</v>
      </c>
      <c r="H284" s="700" t="s">
        <v>785</v>
      </c>
      <c r="I284" s="700" t="s">
        <v>167</v>
      </c>
      <c r="J284" s="700">
        <v>22343</v>
      </c>
      <c r="K284" s="702">
        <v>2999806.7139213998</v>
      </c>
      <c r="L284" s="702">
        <v>134.261590382733</v>
      </c>
      <c r="M284" s="700"/>
      <c r="T284" s="706">
        <f t="shared" si="16"/>
        <v>299</v>
      </c>
      <c r="U284" s="706">
        <f t="shared" si="17"/>
        <v>72186.013586368994</v>
      </c>
      <c r="V284" s="706">
        <f t="shared" si="18"/>
        <v>299</v>
      </c>
      <c r="W284" s="708">
        <f t="shared" si="19"/>
        <v>72186.013586368994</v>
      </c>
    </row>
    <row r="285" spans="1:23">
      <c r="A285" s="700" t="s">
        <v>273</v>
      </c>
      <c r="B285" s="700">
        <v>3101</v>
      </c>
      <c r="C285" s="702">
        <v>311793.587985811</v>
      </c>
      <c r="G285" s="700" t="s">
        <v>785</v>
      </c>
      <c r="H285" s="700" t="s">
        <v>785</v>
      </c>
      <c r="I285" s="700" t="s">
        <v>597</v>
      </c>
      <c r="J285" s="700">
        <v>40</v>
      </c>
      <c r="K285" s="702">
        <v>9286.3429979114408</v>
      </c>
      <c r="L285" s="702">
        <v>232.15857494778601</v>
      </c>
      <c r="M285" s="700"/>
      <c r="T285" s="706">
        <f t="shared" si="16"/>
        <v>3101</v>
      </c>
      <c r="U285" s="706">
        <f t="shared" si="17"/>
        <v>311793.587985811</v>
      </c>
      <c r="V285" s="706">
        <f t="shared" si="18"/>
        <v>3101</v>
      </c>
      <c r="W285" s="708">
        <f t="shared" si="19"/>
        <v>311793.587985811</v>
      </c>
    </row>
    <row r="286" spans="1:23">
      <c r="A286" s="700" t="s">
        <v>274</v>
      </c>
      <c r="B286" s="700">
        <v>639</v>
      </c>
      <c r="C286" s="702">
        <v>120860.353785384</v>
      </c>
      <c r="G286" s="700" t="s">
        <v>785</v>
      </c>
      <c r="H286" s="700" t="s">
        <v>785</v>
      </c>
      <c r="I286" s="700" t="s">
        <v>832</v>
      </c>
      <c r="J286" s="700">
        <v>74463</v>
      </c>
      <c r="K286" s="702">
        <v>7673667.7574347202</v>
      </c>
      <c r="L286" s="702">
        <v>103.053432677098</v>
      </c>
      <c r="M286" s="700"/>
      <c r="T286" s="706">
        <f t="shared" si="16"/>
        <v>639</v>
      </c>
      <c r="U286" s="706">
        <f t="shared" si="17"/>
        <v>120860.353785384</v>
      </c>
      <c r="V286" s="706">
        <f t="shared" si="18"/>
        <v>639</v>
      </c>
      <c r="W286" s="708">
        <f t="shared" si="19"/>
        <v>120860.353785384</v>
      </c>
    </row>
    <row r="287" spans="1:23">
      <c r="A287" s="700" t="s">
        <v>275</v>
      </c>
      <c r="B287" s="700">
        <v>925</v>
      </c>
      <c r="C287" s="702">
        <v>93631.870305348901</v>
      </c>
      <c r="G287" s="700" t="s">
        <v>785</v>
      </c>
      <c r="H287" s="700" t="s">
        <v>785</v>
      </c>
      <c r="I287" s="700" t="s">
        <v>149</v>
      </c>
      <c r="J287" s="700">
        <v>152</v>
      </c>
      <c r="K287" s="702">
        <v>46414.943346136599</v>
      </c>
      <c r="L287" s="702">
        <v>305.36146938247703</v>
      </c>
      <c r="M287" s="700"/>
      <c r="T287" s="706">
        <f t="shared" si="16"/>
        <v>925</v>
      </c>
      <c r="U287" s="706">
        <f t="shared" si="17"/>
        <v>90184.245295943707</v>
      </c>
      <c r="V287" s="706">
        <f t="shared" si="18"/>
        <v>925</v>
      </c>
      <c r="W287" s="708">
        <f t="shared" si="19"/>
        <v>90184.245295943707</v>
      </c>
    </row>
    <row r="288" spans="1:23">
      <c r="A288" s="700" t="s">
        <v>276</v>
      </c>
      <c r="B288" s="700">
        <v>1970</v>
      </c>
      <c r="C288" s="702">
        <v>372618.83842017798</v>
      </c>
      <c r="G288" s="700" t="s">
        <v>785</v>
      </c>
      <c r="H288" s="700" t="s">
        <v>785</v>
      </c>
      <c r="I288" s="700" t="s">
        <v>833</v>
      </c>
      <c r="J288" s="700">
        <v>628</v>
      </c>
      <c r="K288" s="702">
        <v>131139.44292178901</v>
      </c>
      <c r="L288" s="702">
        <v>208.820768983741</v>
      </c>
      <c r="M288" s="700"/>
      <c r="T288" s="706">
        <f t="shared" si="16"/>
        <v>1970</v>
      </c>
      <c r="U288" s="706">
        <f t="shared" si="17"/>
        <v>355356.43432379002</v>
      </c>
      <c r="V288" s="706">
        <f t="shared" si="18"/>
        <v>1970</v>
      </c>
      <c r="W288" s="708">
        <f t="shared" si="19"/>
        <v>355356.43432379002</v>
      </c>
    </row>
    <row r="289" spans="1:23">
      <c r="A289" s="700" t="s">
        <v>277</v>
      </c>
      <c r="B289" s="700">
        <v>860</v>
      </c>
      <c r="C289" s="702">
        <v>122841.19801428801</v>
      </c>
      <c r="G289" s="700" t="s">
        <v>785</v>
      </c>
      <c r="H289" s="700" t="s">
        <v>785</v>
      </c>
      <c r="I289" s="700" t="s">
        <v>598</v>
      </c>
      <c r="J289" s="700">
        <v>5</v>
      </c>
      <c r="K289" s="702">
        <v>323.01219400980301</v>
      </c>
      <c r="L289" s="702">
        <v>64.602438801960602</v>
      </c>
      <c r="M289" s="700"/>
      <c r="T289" s="706">
        <f t="shared" si="16"/>
        <v>860</v>
      </c>
      <c r="U289" s="706">
        <f t="shared" si="17"/>
        <v>122841.19801428801</v>
      </c>
      <c r="V289" s="706">
        <f t="shared" si="18"/>
        <v>860</v>
      </c>
      <c r="W289" s="708">
        <f t="shared" si="19"/>
        <v>122841.19801428801</v>
      </c>
    </row>
    <row r="290" spans="1:23">
      <c r="A290" s="700" t="s">
        <v>278</v>
      </c>
      <c r="B290" s="700">
        <v>676</v>
      </c>
      <c r="C290" s="702">
        <v>65843.189058301097</v>
      </c>
      <c r="G290" s="700" t="s">
        <v>785</v>
      </c>
      <c r="H290" s="700" t="s">
        <v>785</v>
      </c>
      <c r="I290" s="700" t="s">
        <v>834</v>
      </c>
      <c r="J290" s="700">
        <v>5791</v>
      </c>
      <c r="K290" s="702">
        <v>1402271.1675446299</v>
      </c>
      <c r="L290" s="702">
        <v>242.14663573556001</v>
      </c>
      <c r="M290" s="700"/>
      <c r="T290" s="706">
        <f t="shared" si="16"/>
        <v>676</v>
      </c>
      <c r="U290" s="706">
        <f t="shared" si="17"/>
        <v>65843.189058301097</v>
      </c>
      <c r="V290" s="706">
        <f t="shared" si="18"/>
        <v>676</v>
      </c>
      <c r="W290" s="708">
        <f t="shared" si="19"/>
        <v>65843.189058301097</v>
      </c>
    </row>
    <row r="291" spans="1:23">
      <c r="A291" s="700" t="s">
        <v>279</v>
      </c>
      <c r="B291" s="700">
        <v>203548</v>
      </c>
      <c r="C291" s="702">
        <v>23704226.055840202</v>
      </c>
      <c r="G291" s="700" t="s">
        <v>785</v>
      </c>
      <c r="H291" s="700" t="s">
        <v>785</v>
      </c>
      <c r="I291" s="700" t="s">
        <v>343</v>
      </c>
      <c r="J291" s="700">
        <v>1</v>
      </c>
      <c r="K291" s="702">
        <v>231.822768994185</v>
      </c>
      <c r="L291" s="702">
        <v>231.822768994185</v>
      </c>
      <c r="M291" s="700"/>
      <c r="T291" s="706">
        <f t="shared" si="16"/>
        <v>203548</v>
      </c>
      <c r="U291" s="706">
        <f t="shared" si="17"/>
        <v>23152262.1016865</v>
      </c>
      <c r="V291" s="706">
        <f t="shared" si="18"/>
        <v>203548</v>
      </c>
      <c r="W291" s="708">
        <f t="shared" si="19"/>
        <v>23152262.1016865</v>
      </c>
    </row>
    <row r="292" spans="1:23">
      <c r="A292" s="700" t="s">
        <v>614</v>
      </c>
      <c r="B292" s="700">
        <v>3</v>
      </c>
      <c r="C292" s="702">
        <v>202.24296576010499</v>
      </c>
      <c r="G292" s="700" t="s">
        <v>785</v>
      </c>
      <c r="H292" s="700" t="s">
        <v>785</v>
      </c>
      <c r="I292" s="700" t="s">
        <v>599</v>
      </c>
      <c r="J292" s="700">
        <v>7</v>
      </c>
      <c r="K292" s="702">
        <v>1437.6781523152699</v>
      </c>
      <c r="L292" s="702">
        <v>205.38259318789599</v>
      </c>
      <c r="M292" s="700"/>
      <c r="T292" s="706">
        <f t="shared" si="16"/>
        <v>3</v>
      </c>
      <c r="U292" s="706">
        <f t="shared" si="17"/>
        <v>202.24296576010499</v>
      </c>
      <c r="V292" s="706">
        <f t="shared" si="18"/>
        <v>3</v>
      </c>
      <c r="W292" s="708">
        <f t="shared" si="19"/>
        <v>202.24296576010499</v>
      </c>
    </row>
    <row r="293" spans="1:23">
      <c r="A293" s="700" t="s">
        <v>606</v>
      </c>
      <c r="B293" s="700">
        <v>1</v>
      </c>
      <c r="C293" s="702">
        <v>313.65083028047798</v>
      </c>
      <c r="G293" s="700" t="s">
        <v>785</v>
      </c>
      <c r="H293" s="700" t="s">
        <v>785</v>
      </c>
      <c r="I293" s="700" t="s">
        <v>290</v>
      </c>
      <c r="J293" s="700">
        <v>26</v>
      </c>
      <c r="K293" s="702">
        <v>3566.0724962449099</v>
      </c>
      <c r="L293" s="702">
        <v>137.15663447095801</v>
      </c>
      <c r="M293" s="700"/>
      <c r="T293" s="706">
        <f t="shared" si="16"/>
        <v>1</v>
      </c>
      <c r="U293" s="706">
        <f t="shared" si="17"/>
        <v>313.65083028047798</v>
      </c>
      <c r="V293" s="706">
        <f t="shared" si="18"/>
        <v>1</v>
      </c>
      <c r="W293" s="708">
        <f t="shared" si="19"/>
        <v>313.65083028047798</v>
      </c>
    </row>
    <row r="294" spans="1:23">
      <c r="A294" s="700" t="s">
        <v>280</v>
      </c>
      <c r="B294" s="700">
        <v>1</v>
      </c>
      <c r="C294" s="702">
        <v>313.65083028047798</v>
      </c>
      <c r="G294" s="700" t="s">
        <v>785</v>
      </c>
      <c r="H294" s="700" t="s">
        <v>785</v>
      </c>
      <c r="I294" s="700" t="s">
        <v>153</v>
      </c>
      <c r="J294" s="700">
        <v>306</v>
      </c>
      <c r="K294" s="702">
        <v>35751.790092056603</v>
      </c>
      <c r="L294" s="702">
        <v>116.835915333518</v>
      </c>
      <c r="M294" s="700"/>
      <c r="T294" s="706">
        <f t="shared" si="16"/>
        <v>1</v>
      </c>
      <c r="U294" s="706">
        <f t="shared" si="17"/>
        <v>313.65083028047798</v>
      </c>
      <c r="V294" s="706">
        <f t="shared" si="18"/>
        <v>1</v>
      </c>
      <c r="W294" s="708">
        <f t="shared" si="19"/>
        <v>313.65083028047798</v>
      </c>
    </row>
    <row r="295" spans="1:23">
      <c r="A295" s="700" t="s">
        <v>281</v>
      </c>
      <c r="B295" s="700">
        <v>1</v>
      </c>
      <c r="C295" s="702">
        <v>197.83463620542099</v>
      </c>
      <c r="G295" s="700" t="s">
        <v>785</v>
      </c>
      <c r="H295" s="700" t="s">
        <v>785</v>
      </c>
      <c r="I295" s="700" t="s">
        <v>321</v>
      </c>
      <c r="J295" s="700">
        <v>240</v>
      </c>
      <c r="K295" s="702">
        <v>32916.740188221498</v>
      </c>
      <c r="L295" s="702">
        <v>137.15308411759</v>
      </c>
      <c r="M295" s="700"/>
      <c r="T295" s="706">
        <f t="shared" si="16"/>
        <v>1</v>
      </c>
      <c r="U295" s="706">
        <f t="shared" si="17"/>
        <v>197.83463620542099</v>
      </c>
      <c r="V295" s="706">
        <f t="shared" si="18"/>
        <v>1</v>
      </c>
      <c r="W295" s="708">
        <f t="shared" si="19"/>
        <v>197.83463620542099</v>
      </c>
    </row>
    <row r="296" spans="1:23">
      <c r="A296" s="700" t="s">
        <v>282</v>
      </c>
      <c r="B296" s="700">
        <v>9</v>
      </c>
      <c r="C296" s="702">
        <v>2416.1352583634098</v>
      </c>
      <c r="G296" s="700" t="s">
        <v>785</v>
      </c>
      <c r="H296" s="700" t="s">
        <v>785</v>
      </c>
      <c r="I296" s="700" t="s">
        <v>176</v>
      </c>
      <c r="J296" s="700">
        <v>2898</v>
      </c>
      <c r="K296" s="702">
        <v>445441.24947377999</v>
      </c>
      <c r="L296" s="702">
        <v>153.70643529116001</v>
      </c>
      <c r="M296" s="700"/>
      <c r="T296" s="706">
        <f t="shared" si="16"/>
        <v>9</v>
      </c>
      <c r="U296" s="706">
        <f t="shared" si="17"/>
        <v>2416.1352583634098</v>
      </c>
      <c r="V296" s="706">
        <f t="shared" si="18"/>
        <v>9</v>
      </c>
      <c r="W296" s="708">
        <f t="shared" si="19"/>
        <v>2416.1352583634098</v>
      </c>
    </row>
    <row r="297" spans="1:23">
      <c r="A297" s="700" t="s">
        <v>283</v>
      </c>
      <c r="B297" s="700">
        <v>11</v>
      </c>
      <c r="C297" s="702">
        <v>2056.2564118975001</v>
      </c>
      <c r="G297" s="700" t="s">
        <v>785</v>
      </c>
      <c r="H297" s="700" t="s">
        <v>785</v>
      </c>
      <c r="I297" s="700" t="s">
        <v>600</v>
      </c>
      <c r="J297" s="700">
        <v>4</v>
      </c>
      <c r="K297" s="702">
        <v>1081.0271855994699</v>
      </c>
      <c r="L297" s="702">
        <v>270.25679639986799</v>
      </c>
      <c r="M297" s="700"/>
      <c r="T297" s="706">
        <f t="shared" si="16"/>
        <v>11</v>
      </c>
      <c r="U297" s="706">
        <f t="shared" si="17"/>
        <v>2056.2564118975001</v>
      </c>
      <c r="V297" s="706">
        <f t="shared" si="18"/>
        <v>11</v>
      </c>
      <c r="W297" s="708">
        <f t="shared" si="19"/>
        <v>2056.2564118975001</v>
      </c>
    </row>
    <row r="298" spans="1:23">
      <c r="A298" s="700" t="s">
        <v>565</v>
      </c>
      <c r="B298" s="700">
        <v>17</v>
      </c>
      <c r="C298" s="702">
        <v>2479.1877336432599</v>
      </c>
      <c r="G298" s="700" t="s">
        <v>785</v>
      </c>
      <c r="H298" s="700" t="s">
        <v>785</v>
      </c>
      <c r="I298" s="700" t="s">
        <v>601</v>
      </c>
      <c r="J298" s="700">
        <v>3</v>
      </c>
      <c r="K298" s="702">
        <v>867.113892184463</v>
      </c>
      <c r="L298" s="702">
        <v>289.03796406148803</v>
      </c>
      <c r="M298" s="700"/>
      <c r="T298" s="706">
        <f t="shared" si="16"/>
        <v>17</v>
      </c>
      <c r="U298" s="706">
        <f t="shared" si="17"/>
        <v>2479.1877336432599</v>
      </c>
      <c r="V298" s="706">
        <f t="shared" si="18"/>
        <v>17</v>
      </c>
      <c r="W298" s="708">
        <f t="shared" si="19"/>
        <v>2479.1877336432599</v>
      </c>
    </row>
    <row r="299" spans="1:23">
      <c r="A299" s="700" t="s">
        <v>555</v>
      </c>
      <c r="B299" s="700">
        <v>1</v>
      </c>
      <c r="C299" s="702">
        <v>145.83457256725001</v>
      </c>
      <c r="G299" s="700" t="s">
        <v>785</v>
      </c>
      <c r="H299" s="700" t="s">
        <v>785</v>
      </c>
      <c r="I299" s="700" t="s">
        <v>602</v>
      </c>
      <c r="J299" s="700">
        <v>2350</v>
      </c>
      <c r="K299" s="702">
        <v>392701.74279503798</v>
      </c>
      <c r="L299" s="702">
        <v>167.10712459363299</v>
      </c>
      <c r="M299" s="700"/>
      <c r="T299" s="706">
        <f t="shared" si="16"/>
        <v>1</v>
      </c>
      <c r="U299" s="706">
        <f t="shared" si="17"/>
        <v>145.83457256725001</v>
      </c>
      <c r="V299" s="706">
        <f t="shared" si="18"/>
        <v>1</v>
      </c>
      <c r="W299" s="708">
        <f t="shared" si="19"/>
        <v>145.83457256725001</v>
      </c>
    </row>
    <row r="300" spans="1:23">
      <c r="A300" s="700" t="s">
        <v>284</v>
      </c>
      <c r="B300" s="700">
        <v>3457</v>
      </c>
      <c r="C300" s="702">
        <v>1300244.3124019301</v>
      </c>
      <c r="G300" s="700" t="s">
        <v>785</v>
      </c>
      <c r="H300" s="700" t="s">
        <v>785</v>
      </c>
      <c r="I300" s="700" t="s">
        <v>603</v>
      </c>
      <c r="J300" s="700">
        <v>1</v>
      </c>
      <c r="K300" s="702">
        <v>200.70398422198801</v>
      </c>
      <c r="L300" s="702">
        <v>200.70398422198801</v>
      </c>
      <c r="M300" s="700"/>
      <c r="T300" s="706">
        <f t="shared" si="16"/>
        <v>3457</v>
      </c>
      <c r="U300" s="706">
        <f t="shared" si="17"/>
        <v>832142.08973303402</v>
      </c>
      <c r="V300" s="706">
        <f t="shared" si="18"/>
        <v>3457</v>
      </c>
      <c r="W300" s="708">
        <f t="shared" si="19"/>
        <v>832142.08973303402</v>
      </c>
    </row>
    <row r="301" spans="1:23">
      <c r="A301" s="700" t="s">
        <v>285</v>
      </c>
      <c r="B301" s="700">
        <v>1</v>
      </c>
      <c r="C301" s="702">
        <v>145.83457256725001</v>
      </c>
      <c r="G301" s="700" t="s">
        <v>785</v>
      </c>
      <c r="H301" s="700" t="s">
        <v>785</v>
      </c>
      <c r="I301" s="700" t="s">
        <v>835</v>
      </c>
      <c r="J301" s="700">
        <v>13873</v>
      </c>
      <c r="K301" s="702">
        <v>1712724.8802870701</v>
      </c>
      <c r="L301" s="702">
        <v>123.457426676788</v>
      </c>
      <c r="M301" s="700"/>
      <c r="T301" s="706">
        <f t="shared" si="16"/>
        <v>1</v>
      </c>
      <c r="U301" s="706">
        <f t="shared" si="17"/>
        <v>145.83457256725001</v>
      </c>
      <c r="V301" s="706">
        <f t="shared" si="18"/>
        <v>1</v>
      </c>
      <c r="W301" s="708">
        <f t="shared" si="19"/>
        <v>145.83457256725001</v>
      </c>
    </row>
    <row r="302" spans="1:23">
      <c r="A302" s="700" t="s">
        <v>286</v>
      </c>
      <c r="B302" s="700">
        <v>173</v>
      </c>
      <c r="C302" s="702">
        <v>30155.171423037002</v>
      </c>
      <c r="G302" s="700" t="s">
        <v>785</v>
      </c>
      <c r="H302" s="700" t="s">
        <v>785</v>
      </c>
      <c r="I302" s="700" t="s">
        <v>604</v>
      </c>
      <c r="J302" s="700">
        <v>2</v>
      </c>
      <c r="K302" s="702">
        <v>261.42368078129499</v>
      </c>
      <c r="L302" s="702">
        <v>130.71184039064801</v>
      </c>
      <c r="M302" s="700"/>
      <c r="T302" s="706">
        <f t="shared" si="16"/>
        <v>173</v>
      </c>
      <c r="U302" s="706">
        <f t="shared" si="17"/>
        <v>26707.546413631899</v>
      </c>
      <c r="V302" s="706">
        <f t="shared" si="18"/>
        <v>173</v>
      </c>
      <c r="W302" s="708">
        <f t="shared" si="19"/>
        <v>26707.546413631899</v>
      </c>
    </row>
    <row r="303" spans="1:23">
      <c r="A303" s="700" t="s">
        <v>287</v>
      </c>
      <c r="B303" s="700">
        <v>5</v>
      </c>
      <c r="C303" s="702">
        <v>661.49771762283001</v>
      </c>
      <c r="G303" s="700" t="s">
        <v>785</v>
      </c>
      <c r="H303" s="700" t="s">
        <v>785</v>
      </c>
      <c r="I303" s="700" t="s">
        <v>605</v>
      </c>
      <c r="J303" s="700">
        <v>3</v>
      </c>
      <c r="K303" s="702">
        <v>352.63997636802401</v>
      </c>
      <c r="L303" s="702">
        <v>117.546658789341</v>
      </c>
      <c r="M303" s="700"/>
      <c r="T303" s="706">
        <f t="shared" si="16"/>
        <v>5</v>
      </c>
      <c r="U303" s="706">
        <f t="shared" si="17"/>
        <v>661.49771762283001</v>
      </c>
      <c r="V303" s="706">
        <f t="shared" si="18"/>
        <v>0</v>
      </c>
      <c r="W303" s="708">
        <f t="shared" si="19"/>
        <v>0</v>
      </c>
    </row>
    <row r="304" spans="1:23">
      <c r="A304" s="700" t="s">
        <v>288</v>
      </c>
      <c r="B304" s="700">
        <v>107</v>
      </c>
      <c r="C304" s="702">
        <v>28472.011034279902</v>
      </c>
      <c r="G304" s="700" t="s">
        <v>785</v>
      </c>
      <c r="H304" s="700" t="s">
        <v>785</v>
      </c>
      <c r="I304" s="700" t="s">
        <v>93</v>
      </c>
      <c r="J304" s="700">
        <v>16</v>
      </c>
      <c r="K304" s="702">
        <v>1277.60431725741</v>
      </c>
      <c r="L304" s="702">
        <v>79.850269828588395</v>
      </c>
      <c r="M304" s="700"/>
      <c r="T304" s="706">
        <f t="shared" si="16"/>
        <v>107</v>
      </c>
      <c r="U304" s="706">
        <f t="shared" si="17"/>
        <v>28472.011034279902</v>
      </c>
      <c r="V304" s="706">
        <f t="shared" si="18"/>
        <v>0</v>
      </c>
      <c r="W304" s="708">
        <f t="shared" si="19"/>
        <v>0</v>
      </c>
    </row>
    <row r="305" spans="1:23">
      <c r="A305" s="700" t="s">
        <v>289</v>
      </c>
      <c r="B305" s="700">
        <v>610</v>
      </c>
      <c r="C305" s="702">
        <v>165785.117651229</v>
      </c>
      <c r="G305" s="700" t="s">
        <v>785</v>
      </c>
      <c r="H305" s="700" t="s">
        <v>785</v>
      </c>
      <c r="I305" s="700" t="s">
        <v>267</v>
      </c>
      <c r="J305" s="700">
        <v>2</v>
      </c>
      <c r="K305" s="702">
        <v>516.45470888588102</v>
      </c>
      <c r="L305" s="702">
        <v>258.22735444294</v>
      </c>
      <c r="M305" s="700"/>
      <c r="T305" s="706">
        <f t="shared" si="16"/>
        <v>610</v>
      </c>
      <c r="U305" s="706">
        <f t="shared" si="17"/>
        <v>165785.117651229</v>
      </c>
      <c r="V305" s="706">
        <f t="shared" si="18"/>
        <v>0</v>
      </c>
      <c r="W305" s="708">
        <f t="shared" si="19"/>
        <v>0</v>
      </c>
    </row>
    <row r="306" spans="1:23">
      <c r="A306" s="700" t="s">
        <v>290</v>
      </c>
      <c r="B306" s="700">
        <v>26</v>
      </c>
      <c r="C306" s="702">
        <v>3566.0724962449099</v>
      </c>
      <c r="G306" s="700" t="s">
        <v>785</v>
      </c>
      <c r="H306" s="700" t="s">
        <v>785</v>
      </c>
      <c r="I306" s="700" t="s">
        <v>606</v>
      </c>
      <c r="J306" s="700">
        <v>1</v>
      </c>
      <c r="K306" s="702">
        <v>313.65083028047798</v>
      </c>
      <c r="L306" s="702">
        <v>313.65083028047798</v>
      </c>
      <c r="M306" s="700"/>
      <c r="T306" s="706">
        <f t="shared" si="16"/>
        <v>26</v>
      </c>
      <c r="U306" s="706">
        <f t="shared" si="17"/>
        <v>3566.0724962449099</v>
      </c>
      <c r="V306" s="706">
        <f t="shared" si="18"/>
        <v>0</v>
      </c>
      <c r="W306" s="708">
        <f t="shared" si="19"/>
        <v>0</v>
      </c>
    </row>
    <row r="307" spans="1:23">
      <c r="A307" s="700" t="s">
        <v>291</v>
      </c>
      <c r="B307" s="700">
        <v>69</v>
      </c>
      <c r="C307" s="702">
        <v>13628.859444961199</v>
      </c>
      <c r="G307" s="700" t="s">
        <v>785</v>
      </c>
      <c r="H307" s="700" t="s">
        <v>785</v>
      </c>
      <c r="I307" s="700" t="s">
        <v>836</v>
      </c>
      <c r="J307" s="700">
        <v>23169</v>
      </c>
      <c r="K307" s="702">
        <v>3540061.0217508101</v>
      </c>
      <c r="L307" s="702">
        <v>152.79300020504999</v>
      </c>
      <c r="M307" s="700"/>
      <c r="T307" s="706">
        <f t="shared" si="16"/>
        <v>69</v>
      </c>
      <c r="U307" s="706">
        <f t="shared" si="17"/>
        <v>13628.859444961199</v>
      </c>
      <c r="V307" s="706">
        <f t="shared" si="18"/>
        <v>0</v>
      </c>
      <c r="W307" s="708">
        <f t="shared" si="19"/>
        <v>0</v>
      </c>
    </row>
    <row r="308" spans="1:23">
      <c r="A308" s="700" t="s">
        <v>292</v>
      </c>
      <c r="B308" s="700">
        <v>4</v>
      </c>
      <c r="C308" s="702">
        <v>871.71176205055201</v>
      </c>
      <c r="G308" s="700" t="s">
        <v>785</v>
      </c>
      <c r="H308" s="700" t="s">
        <v>785</v>
      </c>
      <c r="I308" s="700" t="s">
        <v>607</v>
      </c>
      <c r="J308" s="700">
        <v>4</v>
      </c>
      <c r="K308" s="702">
        <v>656.38056315952997</v>
      </c>
      <c r="L308" s="702">
        <v>164.09514078988201</v>
      </c>
      <c r="M308" s="700"/>
      <c r="T308" s="706">
        <f t="shared" si="16"/>
        <v>4</v>
      </c>
      <c r="U308" s="706">
        <f t="shared" si="17"/>
        <v>871.71176205055201</v>
      </c>
      <c r="V308" s="706">
        <f t="shared" si="18"/>
        <v>4</v>
      </c>
      <c r="W308" s="708">
        <f t="shared" si="19"/>
        <v>871.71176205055201</v>
      </c>
    </row>
    <row r="309" spans="1:23">
      <c r="A309" s="700" t="s">
        <v>293</v>
      </c>
      <c r="B309" s="700">
        <v>204</v>
      </c>
      <c r="C309" s="702">
        <v>51686.656637503103</v>
      </c>
      <c r="G309" s="700" t="s">
        <v>785</v>
      </c>
      <c r="H309" s="700" t="s">
        <v>785</v>
      </c>
      <c r="I309" s="700" t="s">
        <v>87</v>
      </c>
      <c r="J309" s="700">
        <v>433</v>
      </c>
      <c r="K309" s="702">
        <v>64368.332391704098</v>
      </c>
      <c r="L309" s="702">
        <v>148.656656793774</v>
      </c>
      <c r="M309" s="700"/>
      <c r="T309" s="706">
        <f t="shared" si="16"/>
        <v>204</v>
      </c>
      <c r="U309" s="706">
        <f t="shared" si="17"/>
        <v>51686.656637503103</v>
      </c>
      <c r="V309" s="706">
        <f t="shared" si="18"/>
        <v>204</v>
      </c>
      <c r="W309" s="708">
        <f t="shared" si="19"/>
        <v>51686.656637503103</v>
      </c>
    </row>
    <row r="310" spans="1:23">
      <c r="A310" s="700" t="s">
        <v>294</v>
      </c>
      <c r="B310" s="700">
        <v>4</v>
      </c>
      <c r="C310" s="702">
        <v>1386.9703392282599</v>
      </c>
      <c r="G310" s="700" t="s">
        <v>785</v>
      </c>
      <c r="H310" s="700" t="s">
        <v>785</v>
      </c>
      <c r="I310" s="700" t="s">
        <v>84</v>
      </c>
      <c r="J310" s="700">
        <v>6263</v>
      </c>
      <c r="K310" s="702">
        <v>979349.48180722899</v>
      </c>
      <c r="L310" s="702">
        <v>156.37066610366099</v>
      </c>
      <c r="M310" s="700"/>
      <c r="T310" s="706">
        <f t="shared" si="16"/>
        <v>4</v>
      </c>
      <c r="U310" s="706">
        <f t="shared" si="17"/>
        <v>1386.9703392282599</v>
      </c>
      <c r="V310" s="706">
        <f t="shared" si="18"/>
        <v>4</v>
      </c>
      <c r="W310" s="708">
        <f t="shared" si="19"/>
        <v>1386.9703392282599</v>
      </c>
    </row>
    <row r="311" spans="1:23">
      <c r="A311" s="700" t="s">
        <v>610</v>
      </c>
      <c r="B311" s="700">
        <v>11</v>
      </c>
      <c r="C311" s="702">
        <v>1347.16064674215</v>
      </c>
      <c r="G311" s="700" t="s">
        <v>785</v>
      </c>
      <c r="H311" s="700" t="s">
        <v>785</v>
      </c>
      <c r="I311" s="700" t="s">
        <v>328</v>
      </c>
      <c r="J311" s="700">
        <v>237</v>
      </c>
      <c r="K311" s="702">
        <v>33818.440656323597</v>
      </c>
      <c r="L311" s="702">
        <v>142.693842431745</v>
      </c>
      <c r="M311" s="700"/>
      <c r="T311" s="706">
        <f t="shared" si="16"/>
        <v>11</v>
      </c>
      <c r="U311" s="706">
        <f t="shared" si="17"/>
        <v>1347.16064674215</v>
      </c>
      <c r="V311" s="706">
        <f t="shared" si="18"/>
        <v>11</v>
      </c>
      <c r="W311" s="708">
        <f t="shared" si="19"/>
        <v>1347.16064674215</v>
      </c>
    </row>
    <row r="312" spans="1:23">
      <c r="A312" s="700" t="s">
        <v>542</v>
      </c>
      <c r="B312" s="700">
        <v>644</v>
      </c>
      <c r="C312" s="702">
        <v>92918.565522665202</v>
      </c>
      <c r="G312" s="700" t="s">
        <v>785</v>
      </c>
      <c r="H312" s="700" t="s">
        <v>785</v>
      </c>
      <c r="I312" s="700" t="s">
        <v>205</v>
      </c>
      <c r="J312" s="700">
        <v>18</v>
      </c>
      <c r="K312" s="702">
        <v>1737.20383325394</v>
      </c>
      <c r="L312" s="702">
        <v>96.511324069663502</v>
      </c>
      <c r="M312" s="700"/>
      <c r="T312" s="706">
        <f t="shared" si="16"/>
        <v>644</v>
      </c>
      <c r="U312" s="706">
        <f t="shared" si="17"/>
        <v>92918.565522665202</v>
      </c>
      <c r="V312" s="706">
        <f t="shared" si="18"/>
        <v>644</v>
      </c>
      <c r="W312" s="708">
        <f t="shared" si="19"/>
        <v>92918.565522665202</v>
      </c>
    </row>
    <row r="313" spans="1:23">
      <c r="A313" s="700" t="s">
        <v>531</v>
      </c>
      <c r="B313" s="700">
        <v>14</v>
      </c>
      <c r="C313" s="702">
        <v>2875.4414872421198</v>
      </c>
      <c r="G313" s="700" t="s">
        <v>785</v>
      </c>
      <c r="H313" s="700" t="s">
        <v>785</v>
      </c>
      <c r="I313" s="700" t="s">
        <v>837</v>
      </c>
      <c r="J313" s="700">
        <v>289</v>
      </c>
      <c r="K313" s="702">
        <v>32121.210431998999</v>
      </c>
      <c r="L313" s="702">
        <v>111.14605685812801</v>
      </c>
      <c r="M313" s="700"/>
      <c r="T313" s="706">
        <f t="shared" si="16"/>
        <v>14</v>
      </c>
      <c r="U313" s="706">
        <f t="shared" si="17"/>
        <v>2875.4414872421198</v>
      </c>
      <c r="V313" s="706">
        <f t="shared" si="18"/>
        <v>14</v>
      </c>
      <c r="W313" s="708">
        <f t="shared" si="19"/>
        <v>2875.4414872421198</v>
      </c>
    </row>
    <row r="314" spans="1:23">
      <c r="A314" s="700" t="s">
        <v>576</v>
      </c>
      <c r="B314" s="700">
        <v>1</v>
      </c>
      <c r="C314" s="702">
        <v>159.70915185235901</v>
      </c>
      <c r="G314" s="700" t="s">
        <v>785</v>
      </c>
      <c r="H314" s="700" t="s">
        <v>785</v>
      </c>
      <c r="I314" s="700" t="s">
        <v>251</v>
      </c>
      <c r="J314" s="700">
        <v>28</v>
      </c>
      <c r="K314" s="702">
        <v>5958.4149380894996</v>
      </c>
      <c r="L314" s="702">
        <v>212.80053350319599</v>
      </c>
      <c r="M314" s="700"/>
      <c r="T314" s="706">
        <f t="shared" si="16"/>
        <v>1</v>
      </c>
      <c r="U314" s="706">
        <f t="shared" si="17"/>
        <v>159.70915185235901</v>
      </c>
      <c r="V314" s="706">
        <f t="shared" si="18"/>
        <v>1</v>
      </c>
      <c r="W314" s="708">
        <f t="shared" si="19"/>
        <v>159.70915185235901</v>
      </c>
    </row>
    <row r="315" spans="1:23">
      <c r="A315" s="700" t="s">
        <v>295</v>
      </c>
      <c r="B315" s="700">
        <v>9</v>
      </c>
      <c r="C315" s="702">
        <v>16468.2666526922</v>
      </c>
      <c r="G315" s="700" t="s">
        <v>785</v>
      </c>
      <c r="H315" s="700" t="s">
        <v>785</v>
      </c>
      <c r="I315" s="700" t="s">
        <v>608</v>
      </c>
      <c r="J315" s="700">
        <v>6</v>
      </c>
      <c r="K315" s="702">
        <v>1204.17846798658</v>
      </c>
      <c r="L315" s="702">
        <v>200.69641133109701</v>
      </c>
      <c r="M315" s="700"/>
      <c r="T315" s="706">
        <f t="shared" si="16"/>
        <v>9</v>
      </c>
      <c r="U315" s="706">
        <f t="shared" si="17"/>
        <v>2653.48756570968</v>
      </c>
      <c r="V315" s="706">
        <f t="shared" si="18"/>
        <v>9</v>
      </c>
      <c r="W315" s="708">
        <f t="shared" si="19"/>
        <v>2653.48756570968</v>
      </c>
    </row>
    <row r="316" spans="1:23">
      <c r="A316" s="700" t="s">
        <v>296</v>
      </c>
      <c r="B316" s="700">
        <v>77</v>
      </c>
      <c r="C316" s="702">
        <v>10109.6962392439</v>
      </c>
      <c r="G316" s="700" t="s">
        <v>785</v>
      </c>
      <c r="H316" s="700" t="s">
        <v>785</v>
      </c>
      <c r="I316" s="700" t="s">
        <v>838</v>
      </c>
      <c r="J316" s="700">
        <v>646155</v>
      </c>
      <c r="K316" s="702">
        <v>69588352.570054099</v>
      </c>
      <c r="L316" s="702">
        <v>107.69606761543901</v>
      </c>
      <c r="M316" s="700"/>
      <c r="T316" s="706">
        <f t="shared" si="16"/>
        <v>77</v>
      </c>
      <c r="U316" s="706">
        <f t="shared" si="17"/>
        <v>10109.6962392439</v>
      </c>
      <c r="V316" s="706">
        <f t="shared" si="18"/>
        <v>77</v>
      </c>
      <c r="W316" s="708">
        <f t="shared" si="19"/>
        <v>10109.6962392439</v>
      </c>
    </row>
    <row r="317" spans="1:23">
      <c r="A317" s="700" t="s">
        <v>297</v>
      </c>
      <c r="B317" s="700">
        <v>1837</v>
      </c>
      <c r="C317" s="702">
        <v>382732.89639850898</v>
      </c>
      <c r="G317" s="700" t="s">
        <v>785</v>
      </c>
      <c r="H317" s="700" t="s">
        <v>785</v>
      </c>
      <c r="I317" s="700" t="s">
        <v>279</v>
      </c>
      <c r="J317" s="700">
        <v>203548</v>
      </c>
      <c r="K317" s="702">
        <v>23152262.1016865</v>
      </c>
      <c r="L317" s="702">
        <v>113.743500804167</v>
      </c>
      <c r="M317" s="700"/>
      <c r="T317" s="706">
        <f t="shared" si="16"/>
        <v>1837</v>
      </c>
      <c r="U317" s="706">
        <f t="shared" si="17"/>
        <v>375813.367330337</v>
      </c>
      <c r="V317" s="706">
        <f t="shared" si="18"/>
        <v>1837</v>
      </c>
      <c r="W317" s="708">
        <f t="shared" si="19"/>
        <v>375813.367330337</v>
      </c>
    </row>
    <row r="318" spans="1:23">
      <c r="A318" s="700" t="s">
        <v>298</v>
      </c>
      <c r="B318" s="700">
        <v>3049</v>
      </c>
      <c r="C318" s="702">
        <v>355502.80008247698</v>
      </c>
      <c r="G318" s="700" t="s">
        <v>785</v>
      </c>
      <c r="H318" s="700" t="s">
        <v>785</v>
      </c>
      <c r="I318" s="700" t="s">
        <v>234</v>
      </c>
      <c r="J318" s="700">
        <v>517</v>
      </c>
      <c r="K318" s="702">
        <v>489797.26200462203</v>
      </c>
      <c r="L318" s="702">
        <v>947.38348550216995</v>
      </c>
      <c r="M318" s="700"/>
      <c r="T318" s="706">
        <f t="shared" si="16"/>
        <v>3049</v>
      </c>
      <c r="U318" s="706">
        <f t="shared" si="17"/>
        <v>352055.17507307202</v>
      </c>
      <c r="V318" s="706">
        <f t="shared" si="18"/>
        <v>3049</v>
      </c>
      <c r="W318" s="708">
        <f t="shared" si="19"/>
        <v>352055.17507307202</v>
      </c>
    </row>
    <row r="319" spans="1:23">
      <c r="A319" s="700" t="s">
        <v>624</v>
      </c>
      <c r="B319" s="700">
        <v>12</v>
      </c>
      <c r="C319" s="702">
        <v>1920.1512931128</v>
      </c>
      <c r="G319" s="700" t="s">
        <v>785</v>
      </c>
      <c r="H319" s="700" t="s">
        <v>785</v>
      </c>
      <c r="I319" s="700" t="s">
        <v>286</v>
      </c>
      <c r="J319" s="700">
        <v>173</v>
      </c>
      <c r="K319" s="702">
        <v>26707.546413631899</v>
      </c>
      <c r="L319" s="702">
        <v>154.37888100365299</v>
      </c>
      <c r="M319" s="700"/>
      <c r="T319" s="706">
        <f t="shared" si="16"/>
        <v>12</v>
      </c>
      <c r="U319" s="706">
        <f t="shared" si="17"/>
        <v>1920.1512931128</v>
      </c>
      <c r="V319" s="706">
        <f t="shared" si="18"/>
        <v>12</v>
      </c>
      <c r="W319" s="708">
        <f t="shared" si="19"/>
        <v>1920.1512931128</v>
      </c>
    </row>
    <row r="320" spans="1:23">
      <c r="A320" s="700" t="s">
        <v>299</v>
      </c>
      <c r="B320" s="700">
        <v>43</v>
      </c>
      <c r="C320" s="702">
        <v>4805.2376864538101</v>
      </c>
      <c r="G320" s="700" t="s">
        <v>785</v>
      </c>
      <c r="H320" s="700" t="s">
        <v>785</v>
      </c>
      <c r="I320" s="700" t="s">
        <v>839</v>
      </c>
      <c r="J320" s="700">
        <v>19017</v>
      </c>
      <c r="K320" s="702">
        <v>3087344.8322588899</v>
      </c>
      <c r="L320" s="702">
        <v>162.346575814213</v>
      </c>
      <c r="M320" s="700"/>
      <c r="T320" s="706">
        <f t="shared" si="16"/>
        <v>43</v>
      </c>
      <c r="U320" s="706">
        <f t="shared" si="17"/>
        <v>4805.2376864538101</v>
      </c>
      <c r="V320" s="706">
        <f t="shared" si="18"/>
        <v>43</v>
      </c>
      <c r="W320" s="708">
        <f t="shared" si="19"/>
        <v>4805.2376864538101</v>
      </c>
    </row>
    <row r="321" spans="1:23">
      <c r="A321" s="700" t="s">
        <v>300</v>
      </c>
      <c r="B321" s="700">
        <v>232</v>
      </c>
      <c r="C321" s="702">
        <v>39906.251911192201</v>
      </c>
      <c r="G321" s="700" t="s">
        <v>785</v>
      </c>
      <c r="H321" s="700" t="s">
        <v>785</v>
      </c>
      <c r="I321" s="700" t="s">
        <v>840</v>
      </c>
      <c r="J321" s="700">
        <v>28250</v>
      </c>
      <c r="K321" s="702">
        <v>3769501.5250843801</v>
      </c>
      <c r="L321" s="702">
        <v>133.43368230387199</v>
      </c>
      <c r="M321" s="700"/>
      <c r="T321" s="706">
        <f t="shared" si="16"/>
        <v>232</v>
      </c>
      <c r="U321" s="706">
        <f t="shared" si="17"/>
        <v>39906.251911192201</v>
      </c>
      <c r="V321" s="706">
        <f t="shared" si="18"/>
        <v>232</v>
      </c>
      <c r="W321" s="708">
        <f t="shared" si="19"/>
        <v>39906.251911192201</v>
      </c>
    </row>
    <row r="322" spans="1:23">
      <c r="A322" s="700" t="s">
        <v>301</v>
      </c>
      <c r="B322" s="700">
        <v>11</v>
      </c>
      <c r="C322" s="702">
        <v>1186.14658654811</v>
      </c>
      <c r="G322" s="700" t="s">
        <v>785</v>
      </c>
      <c r="H322" s="700" t="s">
        <v>785</v>
      </c>
      <c r="I322" s="700" t="s">
        <v>609</v>
      </c>
      <c r="J322" s="700">
        <v>4</v>
      </c>
      <c r="K322" s="702">
        <v>285.44524659863202</v>
      </c>
      <c r="L322" s="702">
        <v>71.361311649658006</v>
      </c>
      <c r="M322" s="700"/>
      <c r="T322" s="706">
        <f t="shared" si="16"/>
        <v>11</v>
      </c>
      <c r="U322" s="706">
        <f t="shared" si="17"/>
        <v>1186.14658654811</v>
      </c>
      <c r="V322" s="706">
        <f t="shared" si="18"/>
        <v>11</v>
      </c>
      <c r="W322" s="708">
        <f t="shared" si="19"/>
        <v>1186.14658654811</v>
      </c>
    </row>
    <row r="323" spans="1:23">
      <c r="A323" s="700" t="s">
        <v>635</v>
      </c>
      <c r="B323" s="700">
        <v>6</v>
      </c>
      <c r="C323" s="702">
        <v>1074.4763562338801</v>
      </c>
      <c r="G323" s="700" t="s">
        <v>785</v>
      </c>
      <c r="H323" s="700" t="s">
        <v>785</v>
      </c>
      <c r="I323" s="700" t="s">
        <v>281</v>
      </c>
      <c r="J323" s="700">
        <v>1</v>
      </c>
      <c r="K323" s="702">
        <v>197.83463620542099</v>
      </c>
      <c r="L323" s="702">
        <v>197.83463620542099</v>
      </c>
      <c r="M323" s="700"/>
      <c r="T323" s="706">
        <f t="shared" si="16"/>
        <v>6</v>
      </c>
      <c r="U323" s="706">
        <f t="shared" si="17"/>
        <v>1074.4763562338801</v>
      </c>
      <c r="V323" s="706">
        <f t="shared" si="18"/>
        <v>6</v>
      </c>
      <c r="W323" s="708">
        <f t="shared" si="19"/>
        <v>1074.4763562338801</v>
      </c>
    </row>
    <row r="324" spans="1:23">
      <c r="A324" s="700" t="s">
        <v>590</v>
      </c>
      <c r="B324" s="700">
        <v>4</v>
      </c>
      <c r="C324" s="702">
        <v>656.38056315952997</v>
      </c>
      <c r="G324" s="700" t="s">
        <v>785</v>
      </c>
      <c r="H324" s="700" t="s">
        <v>785</v>
      </c>
      <c r="I324" s="700" t="s">
        <v>841</v>
      </c>
      <c r="J324" s="700">
        <v>145662</v>
      </c>
      <c r="K324" s="702">
        <v>17634527.350957401</v>
      </c>
      <c r="L324" s="702">
        <v>121.064706999474</v>
      </c>
      <c r="M324" s="700"/>
      <c r="T324" s="706">
        <f t="shared" ref="T324:T387" si="20">VLOOKUP(A324,$I:$L,2,FALSE)</f>
        <v>4</v>
      </c>
      <c r="U324" s="706">
        <f t="shared" ref="U324:U387" si="21">VLOOKUP(A324,$I:$L,3,FALSE)</f>
        <v>656.38056315952997</v>
      </c>
      <c r="V324" s="706">
        <f t="shared" ref="V324:V387" si="22">IF(COUNTIF($P:$P,A324)=1,0,T324)</f>
        <v>4</v>
      </c>
      <c r="W324" s="708">
        <f t="shared" ref="W324:W387" si="23">IF(COUNTIF($P:$P,A324)=1,0,U324)</f>
        <v>656.38056315952997</v>
      </c>
    </row>
    <row r="325" spans="1:23">
      <c r="A325" s="700" t="s">
        <v>302</v>
      </c>
      <c r="B325" s="700">
        <v>1039</v>
      </c>
      <c r="C325" s="702">
        <v>265466.11929515802</v>
      </c>
      <c r="G325" s="700" t="s">
        <v>785</v>
      </c>
      <c r="H325" s="700" t="s">
        <v>785</v>
      </c>
      <c r="I325" s="700" t="s">
        <v>314</v>
      </c>
      <c r="J325" s="700">
        <v>400</v>
      </c>
      <c r="K325" s="702">
        <v>44773.385318529901</v>
      </c>
      <c r="L325" s="702">
        <v>111.933463296325</v>
      </c>
      <c r="M325" s="700"/>
      <c r="T325" s="706">
        <f t="shared" si="20"/>
        <v>1039</v>
      </c>
      <c r="U325" s="706">
        <f t="shared" si="21"/>
        <v>265466.11929515802</v>
      </c>
      <c r="V325" s="706">
        <f t="shared" si="22"/>
        <v>1039</v>
      </c>
      <c r="W325" s="708">
        <f t="shared" si="23"/>
        <v>265466.11929515802</v>
      </c>
    </row>
    <row r="326" spans="1:23">
      <c r="A326" s="700" t="s">
        <v>599</v>
      </c>
      <c r="B326" s="700">
        <v>7</v>
      </c>
      <c r="C326" s="702">
        <v>1437.6781523152699</v>
      </c>
      <c r="G326" s="700" t="s">
        <v>785</v>
      </c>
      <c r="H326" s="700" t="s">
        <v>785</v>
      </c>
      <c r="I326" s="700" t="s">
        <v>295</v>
      </c>
      <c r="J326" s="700">
        <v>9</v>
      </c>
      <c r="K326" s="702">
        <v>2653.48756570968</v>
      </c>
      <c r="L326" s="702">
        <v>294.83195174551997</v>
      </c>
      <c r="M326" s="700"/>
      <c r="T326" s="706">
        <f t="shared" si="20"/>
        <v>7</v>
      </c>
      <c r="U326" s="706">
        <f t="shared" si="21"/>
        <v>1437.6781523152699</v>
      </c>
      <c r="V326" s="706">
        <f t="shared" si="22"/>
        <v>7</v>
      </c>
      <c r="W326" s="708">
        <f t="shared" si="23"/>
        <v>1437.6781523152699</v>
      </c>
    </row>
    <row r="327" spans="1:23">
      <c r="A327" s="700" t="s">
        <v>303</v>
      </c>
      <c r="B327" s="700">
        <v>252</v>
      </c>
      <c r="C327" s="702">
        <v>30399.220388209</v>
      </c>
      <c r="G327" s="700" t="s">
        <v>785</v>
      </c>
      <c r="H327" s="700" t="s">
        <v>785</v>
      </c>
      <c r="I327" s="700" t="s">
        <v>610</v>
      </c>
      <c r="J327" s="700">
        <v>11</v>
      </c>
      <c r="K327" s="702">
        <v>1347.16064674215</v>
      </c>
      <c r="L327" s="702">
        <v>122.46914970383099</v>
      </c>
      <c r="M327" s="700"/>
      <c r="T327" s="706">
        <f t="shared" si="20"/>
        <v>252</v>
      </c>
      <c r="U327" s="706">
        <f t="shared" si="21"/>
        <v>30399.220388209</v>
      </c>
      <c r="V327" s="706">
        <f t="shared" si="22"/>
        <v>252</v>
      </c>
      <c r="W327" s="708">
        <f t="shared" si="23"/>
        <v>30399.220388209</v>
      </c>
    </row>
    <row r="328" spans="1:23">
      <c r="A328" s="700" t="s">
        <v>304</v>
      </c>
      <c r="B328" s="700">
        <v>6</v>
      </c>
      <c r="C328" s="702">
        <v>993.57944630541294</v>
      </c>
      <c r="G328" s="700" t="s">
        <v>785</v>
      </c>
      <c r="H328" s="700" t="s">
        <v>785</v>
      </c>
      <c r="I328" s="700" t="s">
        <v>156</v>
      </c>
      <c r="J328" s="700">
        <v>774</v>
      </c>
      <c r="K328" s="702">
        <v>212432.67192009499</v>
      </c>
      <c r="L328" s="702">
        <v>274.46081643423099</v>
      </c>
      <c r="M328" s="700"/>
      <c r="T328" s="706">
        <f t="shared" si="20"/>
        <v>6</v>
      </c>
      <c r="U328" s="706">
        <f t="shared" si="21"/>
        <v>993.57944630541294</v>
      </c>
      <c r="V328" s="706">
        <f t="shared" si="22"/>
        <v>6</v>
      </c>
      <c r="W328" s="708">
        <f t="shared" si="23"/>
        <v>993.57944630541294</v>
      </c>
    </row>
    <row r="329" spans="1:23">
      <c r="A329" s="700" t="s">
        <v>602</v>
      </c>
      <c r="B329" s="700">
        <v>2350</v>
      </c>
      <c r="C329" s="702">
        <v>3118988.2926647202</v>
      </c>
      <c r="G329" s="700" t="s">
        <v>785</v>
      </c>
      <c r="H329" s="700" t="s">
        <v>785</v>
      </c>
      <c r="I329" s="700" t="s">
        <v>842</v>
      </c>
      <c r="J329" s="700">
        <v>7429</v>
      </c>
      <c r="K329" s="702">
        <v>1272135.440862</v>
      </c>
      <c r="L329" s="702">
        <v>171.239122474357</v>
      </c>
      <c r="M329" s="700"/>
      <c r="T329" s="706">
        <f t="shared" si="20"/>
        <v>2350</v>
      </c>
      <c r="U329" s="706">
        <f t="shared" si="21"/>
        <v>392701.74279503798</v>
      </c>
      <c r="V329" s="706">
        <f t="shared" si="22"/>
        <v>2350</v>
      </c>
      <c r="W329" s="708">
        <f t="shared" si="23"/>
        <v>392701.74279503798</v>
      </c>
    </row>
    <row r="330" spans="1:23">
      <c r="A330" s="700" t="s">
        <v>540</v>
      </c>
      <c r="B330" s="700">
        <v>301</v>
      </c>
      <c r="C330" s="702">
        <v>71280.5196403999</v>
      </c>
      <c r="G330" s="700" t="s">
        <v>785</v>
      </c>
      <c r="H330" s="700" t="s">
        <v>785</v>
      </c>
      <c r="I330" s="700" t="s">
        <v>263</v>
      </c>
      <c r="J330" s="700">
        <v>2</v>
      </c>
      <c r="K330" s="702">
        <v>217.938957220243</v>
      </c>
      <c r="L330" s="702">
        <v>108.969478610121</v>
      </c>
      <c r="M330" s="700"/>
      <c r="T330" s="706">
        <f t="shared" si="20"/>
        <v>301</v>
      </c>
      <c r="U330" s="706">
        <f t="shared" si="21"/>
        <v>71280.5196403999</v>
      </c>
      <c r="V330" s="706">
        <f t="shared" si="22"/>
        <v>301</v>
      </c>
      <c r="W330" s="708">
        <f t="shared" si="23"/>
        <v>71280.5196403999</v>
      </c>
    </row>
    <row r="331" spans="1:23">
      <c r="A331" s="700" t="s">
        <v>305</v>
      </c>
      <c r="B331" s="700">
        <v>2246</v>
      </c>
      <c r="C331" s="702">
        <v>326824.39625324402</v>
      </c>
      <c r="G331" s="700" t="s">
        <v>785</v>
      </c>
      <c r="H331" s="700" t="s">
        <v>785</v>
      </c>
      <c r="I331" s="700" t="s">
        <v>138</v>
      </c>
      <c r="J331" s="700">
        <v>18</v>
      </c>
      <c r="K331" s="702">
        <v>5533.0874460326904</v>
      </c>
      <c r="L331" s="702">
        <v>307.393747001816</v>
      </c>
      <c r="M331" s="700"/>
      <c r="T331" s="706">
        <f t="shared" si="20"/>
        <v>2246</v>
      </c>
      <c r="U331" s="706">
        <f t="shared" si="21"/>
        <v>323376.771243839</v>
      </c>
      <c r="V331" s="706">
        <f t="shared" si="22"/>
        <v>2246</v>
      </c>
      <c r="W331" s="708">
        <f t="shared" si="23"/>
        <v>323376.771243839</v>
      </c>
    </row>
    <row r="332" spans="1:23">
      <c r="A332" s="700" t="s">
        <v>306</v>
      </c>
      <c r="B332" s="700">
        <v>13</v>
      </c>
      <c r="C332" s="702">
        <v>1787.1211251837501</v>
      </c>
      <c r="G332" s="700" t="s">
        <v>785</v>
      </c>
      <c r="H332" s="700" t="s">
        <v>785</v>
      </c>
      <c r="I332" s="700" t="s">
        <v>171</v>
      </c>
      <c r="J332" s="700">
        <v>9786</v>
      </c>
      <c r="K332" s="702">
        <v>771522.62506368698</v>
      </c>
      <c r="L332" s="702">
        <v>78.839426227640203</v>
      </c>
      <c r="M332" s="700"/>
      <c r="T332" s="706">
        <f t="shared" si="20"/>
        <v>13</v>
      </c>
      <c r="U332" s="706">
        <f t="shared" si="21"/>
        <v>1787.1211251837501</v>
      </c>
      <c r="V332" s="706">
        <f t="shared" si="22"/>
        <v>13</v>
      </c>
      <c r="W332" s="708">
        <f t="shared" si="23"/>
        <v>1787.1211251837501</v>
      </c>
    </row>
    <row r="333" spans="1:23">
      <c r="A333" s="700" t="s">
        <v>307</v>
      </c>
      <c r="B333" s="700">
        <v>11</v>
      </c>
      <c r="C333" s="702">
        <v>1489.1496374951701</v>
      </c>
      <c r="G333" s="700" t="s">
        <v>785</v>
      </c>
      <c r="H333" s="700" t="s">
        <v>785</v>
      </c>
      <c r="I333" s="700" t="s">
        <v>611</v>
      </c>
      <c r="J333" s="700">
        <v>189</v>
      </c>
      <c r="K333" s="702">
        <v>28292.6217143289</v>
      </c>
      <c r="L333" s="702">
        <v>149.69641118692499</v>
      </c>
      <c r="M333" s="700"/>
      <c r="T333" s="706">
        <f t="shared" si="20"/>
        <v>11</v>
      </c>
      <c r="U333" s="706">
        <f t="shared" si="21"/>
        <v>1489.1496374951701</v>
      </c>
      <c r="V333" s="706">
        <f t="shared" si="22"/>
        <v>11</v>
      </c>
      <c r="W333" s="708">
        <f t="shared" si="23"/>
        <v>1489.1496374951701</v>
      </c>
    </row>
    <row r="334" spans="1:23">
      <c r="A334" s="700" t="s">
        <v>308</v>
      </c>
      <c r="B334" s="700">
        <v>1569</v>
      </c>
      <c r="C334" s="702">
        <v>322065.634274818</v>
      </c>
      <c r="G334" s="700" t="s">
        <v>785</v>
      </c>
      <c r="H334" s="700" t="s">
        <v>785</v>
      </c>
      <c r="I334" s="700" t="s">
        <v>121</v>
      </c>
      <c r="J334" s="700">
        <v>1</v>
      </c>
      <c r="K334" s="702">
        <v>337.13137373679098</v>
      </c>
      <c r="L334" s="702">
        <v>337.13137373679098</v>
      </c>
      <c r="M334" s="700"/>
      <c r="T334" s="706">
        <f t="shared" si="20"/>
        <v>1569</v>
      </c>
      <c r="U334" s="706">
        <f t="shared" si="21"/>
        <v>322065.634274818</v>
      </c>
      <c r="V334" s="706">
        <f t="shared" si="22"/>
        <v>1569</v>
      </c>
      <c r="W334" s="708">
        <f t="shared" si="23"/>
        <v>322065.634274818</v>
      </c>
    </row>
    <row r="335" spans="1:23">
      <c r="A335" s="700" t="s">
        <v>309</v>
      </c>
      <c r="B335" s="700">
        <v>12</v>
      </c>
      <c r="C335" s="702">
        <v>1053.4469376904001</v>
      </c>
      <c r="G335" s="700" t="s">
        <v>785</v>
      </c>
      <c r="H335" s="700" t="s">
        <v>785</v>
      </c>
      <c r="I335" s="700" t="s">
        <v>114</v>
      </c>
      <c r="J335" s="700">
        <v>1815</v>
      </c>
      <c r="K335" s="702">
        <v>216719.156975889</v>
      </c>
      <c r="L335" s="702">
        <v>119.404494201592</v>
      </c>
      <c r="M335" s="700"/>
      <c r="T335" s="706">
        <f t="shared" si="20"/>
        <v>12</v>
      </c>
      <c r="U335" s="706">
        <f t="shared" si="21"/>
        <v>1053.4469376904001</v>
      </c>
      <c r="V335" s="706">
        <f t="shared" si="22"/>
        <v>12</v>
      </c>
      <c r="W335" s="708">
        <f t="shared" si="23"/>
        <v>1053.4469376904001</v>
      </c>
    </row>
    <row r="336" spans="1:23">
      <c r="A336" s="700" t="s">
        <v>310</v>
      </c>
      <c r="B336" s="700">
        <v>6</v>
      </c>
      <c r="C336" s="702">
        <v>752.20478143181595</v>
      </c>
      <c r="G336" s="700" t="s">
        <v>785</v>
      </c>
      <c r="H336" s="700" t="s">
        <v>785</v>
      </c>
      <c r="I336" s="700" t="s">
        <v>209</v>
      </c>
      <c r="J336" s="700">
        <v>4</v>
      </c>
      <c r="K336" s="702">
        <v>895.09467776371002</v>
      </c>
      <c r="L336" s="702">
        <v>223.77366944092699</v>
      </c>
      <c r="M336" s="700"/>
      <c r="T336" s="706">
        <f t="shared" si="20"/>
        <v>6</v>
      </c>
      <c r="U336" s="706">
        <f t="shared" si="21"/>
        <v>752.20478143181595</v>
      </c>
      <c r="V336" s="706">
        <f t="shared" si="22"/>
        <v>6</v>
      </c>
      <c r="W336" s="708">
        <f t="shared" si="23"/>
        <v>752.20478143181595</v>
      </c>
    </row>
    <row r="337" spans="1:23">
      <c r="A337" s="700" t="s">
        <v>652</v>
      </c>
      <c r="B337" s="700">
        <v>5</v>
      </c>
      <c r="C337" s="702">
        <v>798.12068821076298</v>
      </c>
      <c r="G337" s="700" t="s">
        <v>785</v>
      </c>
      <c r="H337" s="700" t="s">
        <v>785</v>
      </c>
      <c r="I337" s="700" t="s">
        <v>612</v>
      </c>
      <c r="J337" s="700">
        <v>6</v>
      </c>
      <c r="K337" s="702">
        <v>1137.7634403561301</v>
      </c>
      <c r="L337" s="702">
        <v>189.62724005935499</v>
      </c>
      <c r="M337" s="700"/>
      <c r="T337" s="706">
        <f t="shared" si="20"/>
        <v>5</v>
      </c>
      <c r="U337" s="706">
        <f t="shared" si="21"/>
        <v>798.12068821076298</v>
      </c>
      <c r="V337" s="706">
        <f t="shared" si="22"/>
        <v>5</v>
      </c>
      <c r="W337" s="708">
        <f t="shared" si="23"/>
        <v>798.12068821076298</v>
      </c>
    </row>
    <row r="338" spans="1:23">
      <c r="A338" s="700" t="s">
        <v>607</v>
      </c>
      <c r="B338" s="700">
        <v>4</v>
      </c>
      <c r="C338" s="702">
        <v>656.38056315952997</v>
      </c>
      <c r="G338" s="700" t="s">
        <v>785</v>
      </c>
      <c r="H338" s="700" t="s">
        <v>785</v>
      </c>
      <c r="I338" s="700" t="s">
        <v>160</v>
      </c>
      <c r="J338" s="700">
        <v>16</v>
      </c>
      <c r="K338" s="702">
        <v>2128.2830121645102</v>
      </c>
      <c r="L338" s="702">
        <v>133.017688260282</v>
      </c>
      <c r="M338" s="700"/>
      <c r="T338" s="706">
        <f t="shared" si="20"/>
        <v>4</v>
      </c>
      <c r="U338" s="706">
        <f t="shared" si="21"/>
        <v>656.38056315952997</v>
      </c>
      <c r="V338" s="706">
        <f t="shared" si="22"/>
        <v>4</v>
      </c>
      <c r="W338" s="708">
        <f t="shared" si="23"/>
        <v>656.38056315952997</v>
      </c>
    </row>
    <row r="339" spans="1:23">
      <c r="A339" s="700" t="s">
        <v>311</v>
      </c>
      <c r="B339" s="700">
        <v>669</v>
      </c>
      <c r="C339" s="702">
        <v>83820.514693406105</v>
      </c>
      <c r="G339" s="700" t="s">
        <v>785</v>
      </c>
      <c r="H339" s="700" t="s">
        <v>785</v>
      </c>
      <c r="I339" s="700" t="s">
        <v>613</v>
      </c>
      <c r="J339" s="700">
        <v>50</v>
      </c>
      <c r="K339" s="702">
        <v>9313.4937261587402</v>
      </c>
      <c r="L339" s="702">
        <v>186.26987452317499</v>
      </c>
      <c r="M339" s="700"/>
      <c r="T339" s="706">
        <f t="shared" si="20"/>
        <v>669</v>
      </c>
      <c r="U339" s="706">
        <f t="shared" si="21"/>
        <v>83820.514693406105</v>
      </c>
      <c r="V339" s="706">
        <f t="shared" si="22"/>
        <v>669</v>
      </c>
      <c r="W339" s="708">
        <f t="shared" si="23"/>
        <v>83820.514693406105</v>
      </c>
    </row>
    <row r="340" spans="1:23">
      <c r="A340" s="700" t="s">
        <v>619</v>
      </c>
      <c r="B340" s="700">
        <v>17</v>
      </c>
      <c r="C340" s="702">
        <v>2717.5230179157102</v>
      </c>
      <c r="G340" s="700" t="s">
        <v>785</v>
      </c>
      <c r="H340" s="700" t="s">
        <v>785</v>
      </c>
      <c r="I340" s="700" t="s">
        <v>614</v>
      </c>
      <c r="J340" s="700">
        <v>3</v>
      </c>
      <c r="K340" s="702">
        <v>202.24296576010499</v>
      </c>
      <c r="L340" s="702">
        <v>67.414321920035107</v>
      </c>
      <c r="M340" s="700"/>
      <c r="T340" s="706">
        <f t="shared" si="20"/>
        <v>17</v>
      </c>
      <c r="U340" s="706">
        <f t="shared" si="21"/>
        <v>2717.5230179157102</v>
      </c>
      <c r="V340" s="706">
        <f t="shared" si="22"/>
        <v>17</v>
      </c>
      <c r="W340" s="708">
        <f t="shared" si="23"/>
        <v>2717.5230179157102</v>
      </c>
    </row>
    <row r="341" spans="1:23">
      <c r="A341" s="700" t="s">
        <v>564</v>
      </c>
      <c r="B341" s="700">
        <v>5</v>
      </c>
      <c r="C341" s="702">
        <v>865.42845969670304</v>
      </c>
      <c r="G341" s="700" t="s">
        <v>785</v>
      </c>
      <c r="H341" s="700" t="s">
        <v>785</v>
      </c>
      <c r="I341" s="700" t="s">
        <v>139</v>
      </c>
      <c r="J341" s="700">
        <v>1</v>
      </c>
      <c r="K341" s="702">
        <v>313.65083028047798</v>
      </c>
      <c r="L341" s="702">
        <v>313.65083028047798</v>
      </c>
      <c r="M341" s="700"/>
      <c r="T341" s="706">
        <f t="shared" si="20"/>
        <v>5</v>
      </c>
      <c r="U341" s="706">
        <f t="shared" si="21"/>
        <v>865.42845969670304</v>
      </c>
      <c r="V341" s="706">
        <f t="shared" si="22"/>
        <v>5</v>
      </c>
      <c r="W341" s="708">
        <f t="shared" si="23"/>
        <v>865.42845969670304</v>
      </c>
    </row>
    <row r="342" spans="1:23">
      <c r="A342" s="700" t="s">
        <v>312</v>
      </c>
      <c r="B342" s="700">
        <v>700</v>
      </c>
      <c r="C342" s="702">
        <v>96319.045347591993</v>
      </c>
      <c r="G342" s="700" t="s">
        <v>785</v>
      </c>
      <c r="H342" s="700" t="s">
        <v>785</v>
      </c>
      <c r="I342" s="700" t="s">
        <v>272</v>
      </c>
      <c r="J342" s="700">
        <v>299</v>
      </c>
      <c r="K342" s="702">
        <v>72186.013586368994</v>
      </c>
      <c r="L342" s="702">
        <v>241.424794603241</v>
      </c>
      <c r="M342" s="700"/>
      <c r="T342" s="706">
        <f t="shared" si="20"/>
        <v>700</v>
      </c>
      <c r="U342" s="706">
        <f t="shared" si="21"/>
        <v>96319.045347591993</v>
      </c>
      <c r="V342" s="706">
        <f t="shared" si="22"/>
        <v>700</v>
      </c>
      <c r="W342" s="708">
        <f t="shared" si="23"/>
        <v>96319.045347591993</v>
      </c>
    </row>
    <row r="343" spans="1:23">
      <c r="A343" s="700" t="s">
        <v>313</v>
      </c>
      <c r="B343" s="700">
        <v>19</v>
      </c>
      <c r="C343" s="702">
        <v>3182.3061664588599</v>
      </c>
      <c r="G343" s="700" t="s">
        <v>785</v>
      </c>
      <c r="H343" s="700" t="s">
        <v>785</v>
      </c>
      <c r="I343" s="700" t="s">
        <v>141</v>
      </c>
      <c r="J343" s="700">
        <v>168</v>
      </c>
      <c r="K343" s="702">
        <v>17749.420020025002</v>
      </c>
      <c r="L343" s="702">
        <v>105.651309643006</v>
      </c>
      <c r="M343" s="700"/>
      <c r="T343" s="706">
        <f t="shared" si="20"/>
        <v>19</v>
      </c>
      <c r="U343" s="706">
        <f t="shared" si="21"/>
        <v>3182.3061664588599</v>
      </c>
      <c r="V343" s="706">
        <f t="shared" si="22"/>
        <v>19</v>
      </c>
      <c r="W343" s="708">
        <f t="shared" si="23"/>
        <v>3182.3061664588599</v>
      </c>
    </row>
    <row r="344" spans="1:23">
      <c r="A344" s="700" t="s">
        <v>314</v>
      </c>
      <c r="B344" s="700">
        <v>400</v>
      </c>
      <c r="C344" s="702">
        <v>44773.385318529901</v>
      </c>
      <c r="G344" s="700" t="s">
        <v>785</v>
      </c>
      <c r="H344" s="700" t="s">
        <v>785</v>
      </c>
      <c r="I344" s="700" t="s">
        <v>200</v>
      </c>
      <c r="J344" s="700">
        <v>25</v>
      </c>
      <c r="K344" s="702">
        <v>5564.67723423183</v>
      </c>
      <c r="L344" s="702">
        <v>222.587089369273</v>
      </c>
      <c r="M344" s="700"/>
      <c r="T344" s="706">
        <f t="shared" si="20"/>
        <v>400</v>
      </c>
      <c r="U344" s="706">
        <f t="shared" si="21"/>
        <v>44773.385318529901</v>
      </c>
      <c r="V344" s="706">
        <f t="shared" si="22"/>
        <v>400</v>
      </c>
      <c r="W344" s="708">
        <f t="shared" si="23"/>
        <v>44773.385318529901</v>
      </c>
    </row>
    <row r="345" spans="1:23">
      <c r="A345" s="700" t="s">
        <v>640</v>
      </c>
      <c r="B345" s="700">
        <v>38</v>
      </c>
      <c r="C345" s="702">
        <v>5161.8327151680596</v>
      </c>
      <c r="G345" s="700" t="s">
        <v>785</v>
      </c>
      <c r="H345" s="700" t="s">
        <v>785</v>
      </c>
      <c r="I345" s="700" t="s">
        <v>214</v>
      </c>
      <c r="J345" s="700">
        <v>4</v>
      </c>
      <c r="K345" s="702">
        <v>1080.45385301939</v>
      </c>
      <c r="L345" s="702">
        <v>270.113463254848</v>
      </c>
      <c r="M345" s="700"/>
      <c r="T345" s="706">
        <f t="shared" si="20"/>
        <v>38</v>
      </c>
      <c r="U345" s="706">
        <f t="shared" si="21"/>
        <v>5161.8327151680596</v>
      </c>
      <c r="V345" s="706">
        <f t="shared" si="22"/>
        <v>38</v>
      </c>
      <c r="W345" s="708">
        <f t="shared" si="23"/>
        <v>5161.8327151680596</v>
      </c>
    </row>
    <row r="346" spans="1:23">
      <c r="A346" s="700" t="s">
        <v>609</v>
      </c>
      <c r="B346" s="700">
        <v>4</v>
      </c>
      <c r="C346" s="702">
        <v>285.44524659863202</v>
      </c>
      <c r="G346" s="700" t="s">
        <v>785</v>
      </c>
      <c r="H346" s="700" t="s">
        <v>785</v>
      </c>
      <c r="I346" s="700" t="s">
        <v>615</v>
      </c>
      <c r="J346" s="700">
        <v>96</v>
      </c>
      <c r="K346" s="702">
        <v>14918.8661647484</v>
      </c>
      <c r="L346" s="702">
        <v>155.404855882796</v>
      </c>
      <c r="M346" s="700"/>
      <c r="T346" s="706">
        <f t="shared" si="20"/>
        <v>4</v>
      </c>
      <c r="U346" s="706">
        <f t="shared" si="21"/>
        <v>285.44524659863202</v>
      </c>
      <c r="V346" s="706">
        <f t="shared" si="22"/>
        <v>4</v>
      </c>
      <c r="W346" s="708">
        <f t="shared" si="23"/>
        <v>285.44524659863202</v>
      </c>
    </row>
    <row r="347" spans="1:23">
      <c r="A347" s="700" t="s">
        <v>315</v>
      </c>
      <c r="B347" s="700">
        <v>3</v>
      </c>
      <c r="C347" s="702">
        <v>727.36091219818002</v>
      </c>
      <c r="G347" s="700" t="s">
        <v>785</v>
      </c>
      <c r="H347" s="700" t="s">
        <v>785</v>
      </c>
      <c r="I347" s="700" t="s">
        <v>206</v>
      </c>
      <c r="J347" s="700">
        <v>403</v>
      </c>
      <c r="K347" s="702">
        <v>59214.479291813201</v>
      </c>
      <c r="L347" s="702">
        <v>146.93419179110001</v>
      </c>
      <c r="M347" s="700"/>
      <c r="T347" s="706">
        <f t="shared" si="20"/>
        <v>3</v>
      </c>
      <c r="U347" s="706">
        <f t="shared" si="21"/>
        <v>727.36091219818002</v>
      </c>
      <c r="V347" s="706">
        <f t="shared" si="22"/>
        <v>3</v>
      </c>
      <c r="W347" s="708">
        <f t="shared" si="23"/>
        <v>727.36091219818002</v>
      </c>
    </row>
    <row r="348" spans="1:23">
      <c r="A348" s="700" t="s">
        <v>316</v>
      </c>
      <c r="B348" s="700">
        <v>21</v>
      </c>
      <c r="C348" s="702">
        <v>1149.2744739306099</v>
      </c>
      <c r="G348" s="700" t="s">
        <v>785</v>
      </c>
      <c r="H348" s="700" t="s">
        <v>785</v>
      </c>
      <c r="I348" s="700" t="s">
        <v>237</v>
      </c>
      <c r="J348" s="700">
        <v>371</v>
      </c>
      <c r="K348" s="702">
        <v>31363.690358562399</v>
      </c>
      <c r="L348" s="702">
        <v>84.538248944912198</v>
      </c>
      <c r="M348" s="700"/>
      <c r="T348" s="706">
        <f t="shared" si="20"/>
        <v>21</v>
      </c>
      <c r="U348" s="706">
        <f t="shared" si="21"/>
        <v>1149.2744739306099</v>
      </c>
      <c r="V348" s="706">
        <f t="shared" si="22"/>
        <v>21</v>
      </c>
      <c r="W348" s="708">
        <f t="shared" si="23"/>
        <v>1149.2744739306099</v>
      </c>
    </row>
    <row r="349" spans="1:23">
      <c r="A349" s="700" t="s">
        <v>571</v>
      </c>
      <c r="B349" s="700">
        <v>12</v>
      </c>
      <c r="C349" s="702">
        <v>3164.5730614660201</v>
      </c>
      <c r="G349" s="700" t="s">
        <v>785</v>
      </c>
      <c r="H349" s="700" t="s">
        <v>785</v>
      </c>
      <c r="I349" s="700" t="s">
        <v>306</v>
      </c>
      <c r="J349" s="700">
        <v>13</v>
      </c>
      <c r="K349" s="702">
        <v>1787.1211251837501</v>
      </c>
      <c r="L349" s="702">
        <v>137.47085578336501</v>
      </c>
      <c r="M349" s="700"/>
      <c r="T349" s="706">
        <f t="shared" si="20"/>
        <v>12</v>
      </c>
      <c r="U349" s="706">
        <f t="shared" si="21"/>
        <v>3164.5730614660201</v>
      </c>
      <c r="V349" s="706">
        <f t="shared" si="22"/>
        <v>12</v>
      </c>
      <c r="W349" s="708">
        <f t="shared" si="23"/>
        <v>3164.5730614660201</v>
      </c>
    </row>
    <row r="350" spans="1:23">
      <c r="A350" s="700" t="s">
        <v>644</v>
      </c>
      <c r="B350" s="700">
        <v>270</v>
      </c>
      <c r="C350" s="702">
        <v>18758.239312645001</v>
      </c>
      <c r="G350" s="700" t="s">
        <v>785</v>
      </c>
      <c r="H350" s="700" t="s">
        <v>785</v>
      </c>
      <c r="I350" s="700" t="s">
        <v>127</v>
      </c>
      <c r="J350" s="700">
        <v>1106</v>
      </c>
      <c r="K350" s="702">
        <v>123041.59307910599</v>
      </c>
      <c r="L350" s="702">
        <v>111.24917999919199</v>
      </c>
      <c r="M350" s="700"/>
      <c r="T350" s="706">
        <f t="shared" si="20"/>
        <v>270</v>
      </c>
      <c r="U350" s="706">
        <f t="shared" si="21"/>
        <v>18758.239312645001</v>
      </c>
      <c r="V350" s="706">
        <f t="shared" si="22"/>
        <v>270</v>
      </c>
      <c r="W350" s="708">
        <f t="shared" si="23"/>
        <v>18758.239312645001</v>
      </c>
    </row>
    <row r="351" spans="1:23">
      <c r="A351" s="700" t="s">
        <v>528</v>
      </c>
      <c r="B351" s="700">
        <v>13</v>
      </c>
      <c r="C351" s="702">
        <v>1550.6875040838199</v>
      </c>
      <c r="G351" s="700" t="s">
        <v>785</v>
      </c>
      <c r="H351" s="700" t="s">
        <v>785</v>
      </c>
      <c r="I351" s="700" t="s">
        <v>90</v>
      </c>
      <c r="J351" s="700">
        <v>25</v>
      </c>
      <c r="K351" s="702">
        <v>11770.681486014701</v>
      </c>
      <c r="L351" s="702">
        <v>470.827259440587</v>
      </c>
      <c r="M351" s="700"/>
      <c r="T351" s="706">
        <f t="shared" si="20"/>
        <v>13</v>
      </c>
      <c r="U351" s="706">
        <f t="shared" si="21"/>
        <v>1550.6875040838199</v>
      </c>
      <c r="V351" s="706">
        <f t="shared" si="22"/>
        <v>13</v>
      </c>
      <c r="W351" s="708">
        <f t="shared" si="23"/>
        <v>1550.6875040838199</v>
      </c>
    </row>
    <row r="352" spans="1:23">
      <c r="A352" s="700" t="s">
        <v>544</v>
      </c>
      <c r="B352" s="700">
        <v>2</v>
      </c>
      <c r="C352" s="702">
        <v>530.96340732744795</v>
      </c>
      <c r="G352" s="700" t="s">
        <v>785</v>
      </c>
      <c r="H352" s="700" t="s">
        <v>785</v>
      </c>
      <c r="I352" s="700" t="s">
        <v>843</v>
      </c>
      <c r="J352" s="700">
        <v>14283</v>
      </c>
      <c r="K352" s="702">
        <v>1670384.4204937599</v>
      </c>
      <c r="L352" s="702">
        <v>116.949129769219</v>
      </c>
      <c r="M352" s="700"/>
      <c r="T352" s="706">
        <f t="shared" si="20"/>
        <v>2</v>
      </c>
      <c r="U352" s="706">
        <f t="shared" si="21"/>
        <v>530.96340732744795</v>
      </c>
      <c r="V352" s="706">
        <f t="shared" si="22"/>
        <v>2</v>
      </c>
      <c r="W352" s="708">
        <f t="shared" si="23"/>
        <v>530.96340732744795</v>
      </c>
    </row>
    <row r="353" spans="1:23">
      <c r="A353" s="700" t="s">
        <v>632</v>
      </c>
      <c r="B353" s="700">
        <v>38</v>
      </c>
      <c r="C353" s="702">
        <v>94346.656522927995</v>
      </c>
      <c r="G353" s="700" t="s">
        <v>785</v>
      </c>
      <c r="H353" s="700" t="s">
        <v>785</v>
      </c>
      <c r="I353" s="700" t="s">
        <v>242</v>
      </c>
      <c r="J353" s="700">
        <v>587</v>
      </c>
      <c r="K353" s="702">
        <v>110468.972900226</v>
      </c>
      <c r="L353" s="702">
        <v>188.192458092377</v>
      </c>
      <c r="M353" s="700"/>
      <c r="T353" s="706">
        <f t="shared" si="20"/>
        <v>38</v>
      </c>
      <c r="U353" s="706">
        <f t="shared" si="21"/>
        <v>5888.5805239665797</v>
      </c>
      <c r="V353" s="706">
        <f t="shared" si="22"/>
        <v>38</v>
      </c>
      <c r="W353" s="708">
        <f t="shared" si="23"/>
        <v>5888.5805239665797</v>
      </c>
    </row>
    <row r="354" spans="1:23">
      <c r="A354" s="700" t="s">
        <v>526</v>
      </c>
      <c r="B354" s="700">
        <v>5</v>
      </c>
      <c r="C354" s="702">
        <v>618.33850320607996</v>
      </c>
      <c r="G354" s="700" t="s">
        <v>785</v>
      </c>
      <c r="H354" s="700" t="s">
        <v>785</v>
      </c>
      <c r="I354" s="700" t="s">
        <v>157</v>
      </c>
      <c r="J354" s="700">
        <v>5</v>
      </c>
      <c r="K354" s="702">
        <v>518.89244195354604</v>
      </c>
      <c r="L354" s="702">
        <v>103.778488390709</v>
      </c>
      <c r="M354" s="700"/>
      <c r="T354" s="706">
        <f t="shared" si="20"/>
        <v>5</v>
      </c>
      <c r="U354" s="706">
        <f t="shared" si="21"/>
        <v>618.33850320607996</v>
      </c>
      <c r="V354" s="706">
        <f t="shared" si="22"/>
        <v>5</v>
      </c>
      <c r="W354" s="708">
        <f t="shared" si="23"/>
        <v>618.33850320607996</v>
      </c>
    </row>
    <row r="355" spans="1:23">
      <c r="A355" s="700" t="s">
        <v>573</v>
      </c>
      <c r="B355" s="700">
        <v>1</v>
      </c>
      <c r="C355" s="702">
        <v>87.345911373575007</v>
      </c>
      <c r="G355" s="700" t="s">
        <v>785</v>
      </c>
      <c r="H355" s="700" t="s">
        <v>785</v>
      </c>
      <c r="I355" s="700" t="s">
        <v>292</v>
      </c>
      <c r="J355" s="700">
        <v>4</v>
      </c>
      <c r="K355" s="702">
        <v>871.71176205055201</v>
      </c>
      <c r="L355" s="702">
        <v>217.927940512638</v>
      </c>
      <c r="M355" s="700"/>
      <c r="T355" s="706">
        <f t="shared" si="20"/>
        <v>1</v>
      </c>
      <c r="U355" s="706">
        <f t="shared" si="21"/>
        <v>87.345911373575007</v>
      </c>
      <c r="V355" s="706">
        <f t="shared" si="22"/>
        <v>1</v>
      </c>
      <c r="W355" s="708">
        <f t="shared" si="23"/>
        <v>87.345911373575007</v>
      </c>
    </row>
    <row r="356" spans="1:23">
      <c r="A356" s="700" t="s">
        <v>650</v>
      </c>
      <c r="B356" s="700">
        <v>1</v>
      </c>
      <c r="C356" s="702">
        <v>158.47114704188601</v>
      </c>
      <c r="G356" s="700" t="s">
        <v>785</v>
      </c>
      <c r="H356" s="700" t="s">
        <v>785</v>
      </c>
      <c r="I356" s="700" t="s">
        <v>355</v>
      </c>
      <c r="J356" s="700">
        <v>3</v>
      </c>
      <c r="K356" s="702">
        <v>613.46916587811302</v>
      </c>
      <c r="L356" s="702">
        <v>204.489721959371</v>
      </c>
      <c r="M356" s="700"/>
      <c r="T356" s="706">
        <f t="shared" si="20"/>
        <v>1</v>
      </c>
      <c r="U356" s="706">
        <f t="shared" si="21"/>
        <v>158.47114704188601</v>
      </c>
      <c r="V356" s="706">
        <f t="shared" si="22"/>
        <v>1</v>
      </c>
      <c r="W356" s="708">
        <f t="shared" si="23"/>
        <v>158.47114704188601</v>
      </c>
    </row>
    <row r="357" spans="1:23">
      <c r="A357" s="700" t="s">
        <v>631</v>
      </c>
      <c r="B357" s="700">
        <v>108</v>
      </c>
      <c r="C357" s="702">
        <v>16272.391413286699</v>
      </c>
      <c r="G357" s="700" t="s">
        <v>785</v>
      </c>
      <c r="H357" s="700" t="s">
        <v>785</v>
      </c>
      <c r="I357" s="700" t="s">
        <v>194</v>
      </c>
      <c r="J357" s="700">
        <v>25</v>
      </c>
      <c r="K357" s="702">
        <v>3100.5102413089999</v>
      </c>
      <c r="L357" s="702">
        <v>124.02040965236</v>
      </c>
      <c r="M357" s="700"/>
      <c r="T357" s="706">
        <f t="shared" si="20"/>
        <v>108</v>
      </c>
      <c r="U357" s="706">
        <f t="shared" si="21"/>
        <v>16272.391413286699</v>
      </c>
      <c r="V357" s="706">
        <f t="shared" si="22"/>
        <v>108</v>
      </c>
      <c r="W357" s="708">
        <f t="shared" si="23"/>
        <v>16272.391413286699</v>
      </c>
    </row>
    <row r="358" spans="1:23">
      <c r="A358" s="700" t="s">
        <v>317</v>
      </c>
      <c r="B358" s="700">
        <v>2</v>
      </c>
      <c r="C358" s="702">
        <v>270.86667657090402</v>
      </c>
      <c r="G358" s="700" t="s">
        <v>785</v>
      </c>
      <c r="H358" s="700" t="s">
        <v>785</v>
      </c>
      <c r="I358" s="700" t="s">
        <v>844</v>
      </c>
      <c r="J358" s="700">
        <v>1907</v>
      </c>
      <c r="K358" s="702">
        <v>569616.38298827305</v>
      </c>
      <c r="L358" s="702">
        <v>298.69763135200498</v>
      </c>
      <c r="M358" s="700"/>
      <c r="T358" s="706">
        <f t="shared" si="20"/>
        <v>2</v>
      </c>
      <c r="U358" s="706">
        <f t="shared" si="21"/>
        <v>270.86667657090402</v>
      </c>
      <c r="V358" s="706">
        <f t="shared" si="22"/>
        <v>2</v>
      </c>
      <c r="W358" s="708">
        <f t="shared" si="23"/>
        <v>270.86667657090402</v>
      </c>
    </row>
    <row r="359" spans="1:23">
      <c r="A359" s="700" t="s">
        <v>318</v>
      </c>
      <c r="B359" s="700">
        <v>20</v>
      </c>
      <c r="C359" s="702">
        <v>3513.8196491850099</v>
      </c>
      <c r="G359" s="700" t="s">
        <v>785</v>
      </c>
      <c r="H359" s="700" t="s">
        <v>785</v>
      </c>
      <c r="I359" s="700" t="s">
        <v>339</v>
      </c>
      <c r="J359" s="700">
        <v>14</v>
      </c>
      <c r="K359" s="702">
        <v>20403.079090783602</v>
      </c>
      <c r="L359" s="702">
        <v>1457.36279219883</v>
      </c>
      <c r="M359" s="700"/>
      <c r="T359" s="706">
        <f t="shared" si="20"/>
        <v>20</v>
      </c>
      <c r="U359" s="706">
        <f t="shared" si="21"/>
        <v>3513.8196491850099</v>
      </c>
      <c r="V359" s="706">
        <f t="shared" si="22"/>
        <v>20</v>
      </c>
      <c r="W359" s="708">
        <f t="shared" si="23"/>
        <v>3513.8196491850099</v>
      </c>
    </row>
    <row r="360" spans="1:23">
      <c r="A360" s="700" t="s">
        <v>319</v>
      </c>
      <c r="B360" s="700">
        <v>54</v>
      </c>
      <c r="C360" s="702">
        <v>6440.2503513235197</v>
      </c>
      <c r="G360" s="700" t="s">
        <v>785</v>
      </c>
      <c r="H360" s="700" t="s">
        <v>785</v>
      </c>
      <c r="I360" s="700" t="s">
        <v>301</v>
      </c>
      <c r="J360" s="700">
        <v>11</v>
      </c>
      <c r="K360" s="702">
        <v>1186.14658654811</v>
      </c>
      <c r="L360" s="702">
        <v>107.83150786800999</v>
      </c>
      <c r="M360" s="700"/>
      <c r="T360" s="706">
        <f t="shared" si="20"/>
        <v>54</v>
      </c>
      <c r="U360" s="706">
        <f t="shared" si="21"/>
        <v>6440.2503513235197</v>
      </c>
      <c r="V360" s="706">
        <f t="shared" si="22"/>
        <v>54</v>
      </c>
      <c r="W360" s="708">
        <f t="shared" si="23"/>
        <v>6440.2503513235197</v>
      </c>
    </row>
    <row r="361" spans="1:23">
      <c r="A361" s="700" t="s">
        <v>320</v>
      </c>
      <c r="B361" s="700">
        <v>96</v>
      </c>
      <c r="C361" s="702">
        <v>11662.674837043</v>
      </c>
      <c r="G361" s="700" t="s">
        <v>785</v>
      </c>
      <c r="H361" s="700" t="s">
        <v>785</v>
      </c>
      <c r="I361" s="700" t="s">
        <v>845</v>
      </c>
      <c r="J361" s="700">
        <v>132811</v>
      </c>
      <c r="K361" s="702">
        <v>14780233.1395244</v>
      </c>
      <c r="L361" s="702">
        <v>111.287718182413</v>
      </c>
      <c r="M361" s="700"/>
      <c r="T361" s="706">
        <f t="shared" si="20"/>
        <v>96</v>
      </c>
      <c r="U361" s="706">
        <f t="shared" si="21"/>
        <v>11662.674837043</v>
      </c>
      <c r="V361" s="706">
        <f t="shared" si="22"/>
        <v>96</v>
      </c>
      <c r="W361" s="708">
        <f t="shared" si="23"/>
        <v>11662.674837043</v>
      </c>
    </row>
    <row r="362" spans="1:23">
      <c r="A362" s="700" t="s">
        <v>321</v>
      </c>
      <c r="B362" s="700">
        <v>240</v>
      </c>
      <c r="C362" s="702">
        <v>32916.740188221498</v>
      </c>
      <c r="G362" s="700" t="s">
        <v>785</v>
      </c>
      <c r="H362" s="700" t="s">
        <v>785</v>
      </c>
      <c r="I362" s="700" t="s">
        <v>616</v>
      </c>
      <c r="J362" s="700">
        <v>575</v>
      </c>
      <c r="K362" s="702">
        <v>104977.497804962</v>
      </c>
      <c r="L362" s="702">
        <v>182.569561399934</v>
      </c>
      <c r="M362" s="700"/>
      <c r="T362" s="706">
        <f t="shared" si="20"/>
        <v>240</v>
      </c>
      <c r="U362" s="706">
        <f t="shared" si="21"/>
        <v>32916.740188221498</v>
      </c>
      <c r="V362" s="706">
        <f t="shared" si="22"/>
        <v>240</v>
      </c>
      <c r="W362" s="708">
        <f t="shared" si="23"/>
        <v>32916.740188221498</v>
      </c>
    </row>
    <row r="363" spans="1:23">
      <c r="A363" s="700" t="s">
        <v>552</v>
      </c>
      <c r="B363" s="700">
        <v>1</v>
      </c>
      <c r="C363" s="702">
        <v>143.42832428276199</v>
      </c>
      <c r="G363" s="700" t="s">
        <v>785</v>
      </c>
      <c r="H363" s="700" t="s">
        <v>785</v>
      </c>
      <c r="I363" s="700" t="s">
        <v>617</v>
      </c>
      <c r="J363" s="700">
        <v>43</v>
      </c>
      <c r="K363" s="702">
        <v>5795.8881416632903</v>
      </c>
      <c r="L363" s="702">
        <v>134.78809631775101</v>
      </c>
      <c r="M363" s="700"/>
      <c r="T363" s="706">
        <f t="shared" si="20"/>
        <v>1</v>
      </c>
      <c r="U363" s="706">
        <f t="shared" si="21"/>
        <v>143.42832428276199</v>
      </c>
      <c r="V363" s="706">
        <f t="shared" si="22"/>
        <v>1</v>
      </c>
      <c r="W363" s="708">
        <f t="shared" si="23"/>
        <v>143.42832428276199</v>
      </c>
    </row>
    <row r="364" spans="1:23">
      <c r="A364" s="700" t="s">
        <v>322</v>
      </c>
      <c r="B364" s="700">
        <v>9</v>
      </c>
      <c r="C364" s="702">
        <v>855.95853606944502</v>
      </c>
      <c r="G364" s="700" t="s">
        <v>785</v>
      </c>
      <c r="H364" s="700" t="s">
        <v>785</v>
      </c>
      <c r="I364" s="700" t="s">
        <v>338</v>
      </c>
      <c r="J364" s="700">
        <v>812</v>
      </c>
      <c r="K364" s="702">
        <v>1008036.54353874</v>
      </c>
      <c r="L364" s="702">
        <v>1241.4243147028801</v>
      </c>
      <c r="M364" s="700"/>
      <c r="T364" s="706">
        <f t="shared" si="20"/>
        <v>9</v>
      </c>
      <c r="U364" s="706">
        <f t="shared" si="21"/>
        <v>855.95853606944502</v>
      </c>
      <c r="V364" s="706">
        <f t="shared" si="22"/>
        <v>9</v>
      </c>
      <c r="W364" s="708">
        <f t="shared" si="23"/>
        <v>855.95853606944502</v>
      </c>
    </row>
    <row r="365" spans="1:23">
      <c r="A365" s="700" t="s">
        <v>323</v>
      </c>
      <c r="B365" s="700">
        <v>65</v>
      </c>
      <c r="C365" s="702">
        <v>12159.628058398101</v>
      </c>
      <c r="G365" s="700" t="s">
        <v>785</v>
      </c>
      <c r="H365" s="700" t="s">
        <v>785</v>
      </c>
      <c r="I365" s="700" t="s">
        <v>238</v>
      </c>
      <c r="J365" s="700">
        <v>8</v>
      </c>
      <c r="K365" s="702">
        <v>1375.00426937828</v>
      </c>
      <c r="L365" s="702">
        <v>171.875533672285</v>
      </c>
      <c r="M365" s="700"/>
      <c r="T365" s="706">
        <f t="shared" si="20"/>
        <v>65</v>
      </c>
      <c r="U365" s="706">
        <f t="shared" si="21"/>
        <v>12159.628058398101</v>
      </c>
      <c r="V365" s="706">
        <f t="shared" si="22"/>
        <v>65</v>
      </c>
      <c r="W365" s="708">
        <f t="shared" si="23"/>
        <v>12159.628058398101</v>
      </c>
    </row>
    <row r="366" spans="1:23">
      <c r="A366" s="700" t="s">
        <v>324</v>
      </c>
      <c r="B366" s="700">
        <v>2117</v>
      </c>
      <c r="C366" s="702">
        <v>375609.29462467</v>
      </c>
      <c r="G366" s="700" t="s">
        <v>785</v>
      </c>
      <c r="H366" s="700" t="s">
        <v>785</v>
      </c>
      <c r="I366" s="700" t="s">
        <v>327</v>
      </c>
      <c r="J366" s="700">
        <v>33</v>
      </c>
      <c r="K366" s="702">
        <v>4101.1565684361603</v>
      </c>
      <c r="L366" s="702">
        <v>124.277471770793</v>
      </c>
      <c r="M366" s="700"/>
      <c r="T366" s="706">
        <f t="shared" si="20"/>
        <v>2117</v>
      </c>
      <c r="U366" s="706">
        <f t="shared" si="21"/>
        <v>368689.76555649802</v>
      </c>
      <c r="V366" s="706">
        <f t="shared" si="22"/>
        <v>2117</v>
      </c>
      <c r="W366" s="708">
        <f t="shared" si="23"/>
        <v>368689.76555649802</v>
      </c>
    </row>
    <row r="367" spans="1:23">
      <c r="A367" s="700" t="s">
        <v>325</v>
      </c>
      <c r="B367" s="700">
        <v>64</v>
      </c>
      <c r="C367" s="702">
        <v>8956.8615658305498</v>
      </c>
      <c r="G367" s="700" t="s">
        <v>785</v>
      </c>
      <c r="H367" s="700" t="s">
        <v>785</v>
      </c>
      <c r="I367" s="700" t="s">
        <v>169</v>
      </c>
      <c r="J367" s="700">
        <v>2548</v>
      </c>
      <c r="K367" s="702">
        <v>303431.49214736797</v>
      </c>
      <c r="L367" s="702">
        <v>119.08614291498</v>
      </c>
      <c r="M367" s="700"/>
      <c r="T367" s="706">
        <f t="shared" si="20"/>
        <v>64</v>
      </c>
      <c r="U367" s="706">
        <f t="shared" si="21"/>
        <v>8956.8615658305498</v>
      </c>
      <c r="V367" s="706">
        <f t="shared" si="22"/>
        <v>64</v>
      </c>
      <c r="W367" s="708">
        <f t="shared" si="23"/>
        <v>8956.8615658305498</v>
      </c>
    </row>
    <row r="368" spans="1:23">
      <c r="A368" s="700" t="s">
        <v>326</v>
      </c>
      <c r="B368" s="700">
        <v>2685</v>
      </c>
      <c r="C368" s="702">
        <v>383431.04757478001</v>
      </c>
      <c r="G368" s="700" t="s">
        <v>785</v>
      </c>
      <c r="H368" s="700" t="s">
        <v>785</v>
      </c>
      <c r="I368" s="700" t="s">
        <v>164</v>
      </c>
      <c r="J368" s="700">
        <v>236</v>
      </c>
      <c r="K368" s="702">
        <v>37871.890975414397</v>
      </c>
      <c r="L368" s="702">
        <v>160.474114302603</v>
      </c>
      <c r="M368" s="700"/>
      <c r="T368" s="706">
        <f t="shared" si="20"/>
        <v>2685</v>
      </c>
      <c r="U368" s="706">
        <f t="shared" si="21"/>
        <v>383431.04757478001</v>
      </c>
      <c r="V368" s="706">
        <f t="shared" si="22"/>
        <v>2685</v>
      </c>
      <c r="W368" s="708">
        <f t="shared" si="23"/>
        <v>383431.04757478001</v>
      </c>
    </row>
    <row r="369" spans="1:23">
      <c r="A369" s="700" t="s">
        <v>327</v>
      </c>
      <c r="B369" s="700">
        <v>33</v>
      </c>
      <c r="C369" s="702">
        <v>4101.1565684361603</v>
      </c>
      <c r="G369" s="700" t="s">
        <v>785</v>
      </c>
      <c r="H369" s="700" t="s">
        <v>785</v>
      </c>
      <c r="I369" s="700" t="s">
        <v>846</v>
      </c>
      <c r="J369" s="700">
        <v>28890</v>
      </c>
      <c r="K369" s="702">
        <v>3079235.6509155999</v>
      </c>
      <c r="L369" s="702">
        <v>106.584826961426</v>
      </c>
      <c r="M369" s="700"/>
      <c r="T369" s="706">
        <f t="shared" si="20"/>
        <v>33</v>
      </c>
      <c r="U369" s="706">
        <f t="shared" si="21"/>
        <v>4101.1565684361603</v>
      </c>
      <c r="V369" s="706">
        <f t="shared" si="22"/>
        <v>33</v>
      </c>
      <c r="W369" s="708">
        <f t="shared" si="23"/>
        <v>4101.1565684361603</v>
      </c>
    </row>
    <row r="370" spans="1:23">
      <c r="A370" s="700" t="s">
        <v>328</v>
      </c>
      <c r="B370" s="700">
        <v>237</v>
      </c>
      <c r="C370" s="702">
        <v>33818.440656323597</v>
      </c>
      <c r="G370" s="700" t="s">
        <v>785</v>
      </c>
      <c r="H370" s="700" t="s">
        <v>785</v>
      </c>
      <c r="I370" s="700" t="s">
        <v>346</v>
      </c>
      <c r="J370" s="700">
        <v>1</v>
      </c>
      <c r="K370" s="702">
        <v>313.67967615696</v>
      </c>
      <c r="L370" s="702">
        <v>313.67967615696</v>
      </c>
      <c r="M370" s="700"/>
      <c r="T370" s="706">
        <f t="shared" si="20"/>
        <v>237</v>
      </c>
      <c r="U370" s="706">
        <f t="shared" si="21"/>
        <v>33818.440656323597</v>
      </c>
      <c r="V370" s="706">
        <f t="shared" si="22"/>
        <v>237</v>
      </c>
      <c r="W370" s="708">
        <f t="shared" si="23"/>
        <v>33818.440656323597</v>
      </c>
    </row>
    <row r="371" spans="1:23">
      <c r="A371" s="700" t="s">
        <v>575</v>
      </c>
      <c r="B371" s="700">
        <v>3</v>
      </c>
      <c r="C371" s="702">
        <v>402.20875004826797</v>
      </c>
      <c r="G371" s="700" t="s">
        <v>785</v>
      </c>
      <c r="H371" s="700" t="s">
        <v>785</v>
      </c>
      <c r="I371" s="700" t="s">
        <v>618</v>
      </c>
      <c r="J371" s="700">
        <v>10</v>
      </c>
      <c r="K371" s="702">
        <v>1614.23308152544</v>
      </c>
      <c r="L371" s="702">
        <v>161.423308152544</v>
      </c>
      <c r="M371" s="700"/>
      <c r="T371" s="706">
        <f t="shared" si="20"/>
        <v>3</v>
      </c>
      <c r="U371" s="706">
        <f t="shared" si="21"/>
        <v>402.20875004826797</v>
      </c>
      <c r="V371" s="706">
        <f t="shared" si="22"/>
        <v>3</v>
      </c>
      <c r="W371" s="708">
        <f t="shared" si="23"/>
        <v>402.20875004826797</v>
      </c>
    </row>
    <row r="372" spans="1:23">
      <c r="A372" s="700" t="s">
        <v>329</v>
      </c>
      <c r="B372" s="700">
        <v>4549</v>
      </c>
      <c r="C372" s="702">
        <v>764527.23048445699</v>
      </c>
      <c r="G372" s="700" t="s">
        <v>785</v>
      </c>
      <c r="H372" s="700" t="s">
        <v>785</v>
      </c>
      <c r="I372" s="700" t="s">
        <v>112</v>
      </c>
      <c r="J372" s="700">
        <v>1</v>
      </c>
      <c r="K372" s="702">
        <v>281.76652147575498</v>
      </c>
      <c r="L372" s="702">
        <v>281.76652147575498</v>
      </c>
      <c r="M372" s="700"/>
      <c r="T372" s="706">
        <f t="shared" si="20"/>
        <v>4549</v>
      </c>
      <c r="U372" s="706">
        <f t="shared" si="21"/>
        <v>764527.23048445699</v>
      </c>
      <c r="V372" s="706">
        <f t="shared" si="22"/>
        <v>4549</v>
      </c>
      <c r="W372" s="708">
        <f t="shared" si="23"/>
        <v>764527.23048445699</v>
      </c>
    </row>
    <row r="373" spans="1:23">
      <c r="A373" s="700" t="s">
        <v>330</v>
      </c>
      <c r="B373" s="700">
        <v>2009</v>
      </c>
      <c r="C373" s="702">
        <v>335362.22789430799</v>
      </c>
      <c r="G373" s="700" t="s">
        <v>785</v>
      </c>
      <c r="H373" s="700" t="s">
        <v>785</v>
      </c>
      <c r="I373" s="700" t="s">
        <v>223</v>
      </c>
      <c r="J373" s="700">
        <v>361</v>
      </c>
      <c r="K373" s="702">
        <v>45975.473823788401</v>
      </c>
      <c r="L373" s="702">
        <v>127.355883168389</v>
      </c>
      <c r="M373" s="700"/>
      <c r="T373" s="706">
        <f t="shared" si="20"/>
        <v>2009</v>
      </c>
      <c r="U373" s="706">
        <f t="shared" si="21"/>
        <v>335362.22789430799</v>
      </c>
      <c r="V373" s="706">
        <f t="shared" si="22"/>
        <v>2009</v>
      </c>
      <c r="W373" s="708">
        <f t="shared" si="23"/>
        <v>335362.22789430799</v>
      </c>
    </row>
    <row r="374" spans="1:23">
      <c r="A374" s="700" t="s">
        <v>547</v>
      </c>
      <c r="B374" s="700">
        <v>40</v>
      </c>
      <c r="C374" s="702">
        <v>6979.0997412877796</v>
      </c>
      <c r="G374" s="700" t="s">
        <v>785</v>
      </c>
      <c r="H374" s="700" t="s">
        <v>785</v>
      </c>
      <c r="I374" s="700" t="s">
        <v>188</v>
      </c>
      <c r="J374" s="700">
        <v>124</v>
      </c>
      <c r="K374" s="702">
        <v>25836.542637837701</v>
      </c>
      <c r="L374" s="702">
        <v>208.359214821271</v>
      </c>
      <c r="M374" s="700"/>
      <c r="T374" s="706">
        <f t="shared" si="20"/>
        <v>40</v>
      </c>
      <c r="U374" s="706">
        <f t="shared" si="21"/>
        <v>6979.0997412877796</v>
      </c>
      <c r="V374" s="706">
        <f t="shared" si="22"/>
        <v>40</v>
      </c>
      <c r="W374" s="708">
        <f t="shared" si="23"/>
        <v>6979.0997412877796</v>
      </c>
    </row>
    <row r="375" spans="1:23">
      <c r="A375" s="700" t="s">
        <v>331</v>
      </c>
      <c r="B375" s="700">
        <v>2467</v>
      </c>
      <c r="C375" s="702">
        <v>235948.553460745</v>
      </c>
      <c r="G375" s="700" t="s">
        <v>785</v>
      </c>
      <c r="H375" s="700" t="s">
        <v>785</v>
      </c>
      <c r="I375" s="700" t="s">
        <v>619</v>
      </c>
      <c r="J375" s="700">
        <v>17</v>
      </c>
      <c r="K375" s="702">
        <v>2717.5230179157102</v>
      </c>
      <c r="L375" s="702">
        <v>159.85429517151201</v>
      </c>
      <c r="M375" s="700"/>
      <c r="T375" s="706">
        <f t="shared" si="20"/>
        <v>2467</v>
      </c>
      <c r="U375" s="706">
        <f t="shared" si="21"/>
        <v>235948.553460745</v>
      </c>
      <c r="V375" s="706">
        <f t="shared" si="22"/>
        <v>2467</v>
      </c>
      <c r="W375" s="708">
        <f t="shared" si="23"/>
        <v>235948.553460745</v>
      </c>
    </row>
    <row r="376" spans="1:23">
      <c r="A376" s="700" t="s">
        <v>341</v>
      </c>
      <c r="B376" s="700">
        <v>27191</v>
      </c>
      <c r="C376" s="702">
        <v>1827830.44325162</v>
      </c>
      <c r="G376" s="700" t="s">
        <v>785</v>
      </c>
      <c r="H376" s="700" t="s">
        <v>785</v>
      </c>
      <c r="I376" s="700" t="s">
        <v>341</v>
      </c>
      <c r="J376" s="700">
        <v>27191</v>
      </c>
      <c r="K376" s="702">
        <v>1827830.44325162</v>
      </c>
      <c r="L376" s="702">
        <v>67.221891186481699</v>
      </c>
      <c r="M376" s="700"/>
      <c r="T376" s="706">
        <f t="shared" si="20"/>
        <v>27191</v>
      </c>
      <c r="U376" s="706">
        <f t="shared" si="21"/>
        <v>1827830.44325162</v>
      </c>
      <c r="V376" s="706">
        <f t="shared" si="22"/>
        <v>27191</v>
      </c>
      <c r="W376" s="708">
        <f t="shared" si="23"/>
        <v>1827830.44325162</v>
      </c>
    </row>
    <row r="377" spans="1:23">
      <c r="A377" s="700" t="s">
        <v>342</v>
      </c>
      <c r="B377" s="700">
        <v>31</v>
      </c>
      <c r="C377" s="702">
        <v>2089.4921424791401</v>
      </c>
      <c r="G377" s="700" t="s">
        <v>785</v>
      </c>
      <c r="H377" s="700" t="s">
        <v>785</v>
      </c>
      <c r="I377" s="700" t="s">
        <v>252</v>
      </c>
      <c r="J377" s="700">
        <v>6</v>
      </c>
      <c r="K377" s="702">
        <v>1034.6277265823401</v>
      </c>
      <c r="L377" s="702">
        <v>172.437954430389</v>
      </c>
      <c r="M377" s="700"/>
      <c r="T377" s="706">
        <f t="shared" si="20"/>
        <v>31</v>
      </c>
      <c r="U377" s="706">
        <f t="shared" si="21"/>
        <v>2089.4921424791401</v>
      </c>
      <c r="V377" s="706">
        <f t="shared" si="22"/>
        <v>0</v>
      </c>
      <c r="W377" s="708">
        <f t="shared" si="23"/>
        <v>0</v>
      </c>
    </row>
    <row r="378" spans="1:23">
      <c r="A378" s="700" t="s">
        <v>343</v>
      </c>
      <c r="B378" s="700">
        <v>1</v>
      </c>
      <c r="C378" s="702">
        <v>231.822768994185</v>
      </c>
      <c r="G378" s="700" t="s">
        <v>785</v>
      </c>
      <c r="H378" s="700" t="s">
        <v>785</v>
      </c>
      <c r="I378" s="700" t="s">
        <v>620</v>
      </c>
      <c r="J378" s="700">
        <v>8</v>
      </c>
      <c r="K378" s="702">
        <v>1503.3061592020099</v>
      </c>
      <c r="L378" s="702">
        <v>187.91326990025101</v>
      </c>
      <c r="M378" s="700"/>
      <c r="T378" s="706">
        <f t="shared" si="20"/>
        <v>1</v>
      </c>
      <c r="U378" s="706">
        <f t="shared" si="21"/>
        <v>231.822768994185</v>
      </c>
      <c r="V378" s="706">
        <f t="shared" si="22"/>
        <v>0</v>
      </c>
      <c r="W378" s="708">
        <f t="shared" si="23"/>
        <v>0</v>
      </c>
    </row>
    <row r="379" spans="1:23">
      <c r="A379" s="700" t="s">
        <v>344</v>
      </c>
      <c r="B379" s="700">
        <v>28</v>
      </c>
      <c r="C379" s="702">
        <v>2305.3949392986501</v>
      </c>
      <c r="G379" s="700" t="s">
        <v>785</v>
      </c>
      <c r="H379" s="700" t="s">
        <v>785</v>
      </c>
      <c r="I379" s="700" t="s">
        <v>131</v>
      </c>
      <c r="J379" s="700">
        <v>1</v>
      </c>
      <c r="K379" s="702">
        <v>323.85265526293</v>
      </c>
      <c r="L379" s="702">
        <v>323.85265526293</v>
      </c>
      <c r="M379" s="700"/>
      <c r="T379" s="706">
        <f t="shared" si="20"/>
        <v>28</v>
      </c>
      <c r="U379" s="706">
        <f t="shared" si="21"/>
        <v>2305.3949392986501</v>
      </c>
      <c r="V379" s="706">
        <f t="shared" si="22"/>
        <v>0</v>
      </c>
      <c r="W379" s="708">
        <f t="shared" si="23"/>
        <v>0</v>
      </c>
    </row>
    <row r="380" spans="1:23">
      <c r="A380" s="700" t="s">
        <v>587</v>
      </c>
      <c r="B380" s="700">
        <v>1</v>
      </c>
      <c r="C380" s="702">
        <v>48.883899110150097</v>
      </c>
      <c r="G380" s="700" t="s">
        <v>785</v>
      </c>
      <c r="H380" s="700" t="s">
        <v>785</v>
      </c>
      <c r="I380" s="700" t="s">
        <v>847</v>
      </c>
      <c r="J380" s="700">
        <v>41509</v>
      </c>
      <c r="K380" s="702">
        <v>4983474.42031484</v>
      </c>
      <c r="L380" s="702">
        <v>120.05768436519401</v>
      </c>
      <c r="M380" s="700"/>
      <c r="T380" s="706">
        <f t="shared" si="20"/>
        <v>1</v>
      </c>
      <c r="U380" s="706">
        <f t="shared" si="21"/>
        <v>48.883899110150097</v>
      </c>
      <c r="V380" s="706">
        <f t="shared" si="22"/>
        <v>0</v>
      </c>
      <c r="W380" s="708">
        <f t="shared" si="23"/>
        <v>0</v>
      </c>
    </row>
    <row r="381" spans="1:23">
      <c r="A381" s="700" t="s">
        <v>595</v>
      </c>
      <c r="B381" s="700">
        <v>20</v>
      </c>
      <c r="C381" s="702">
        <v>2019.6898070054999</v>
      </c>
      <c r="G381" s="700" t="s">
        <v>785</v>
      </c>
      <c r="H381" s="700" t="s">
        <v>785</v>
      </c>
      <c r="I381" s="700" t="s">
        <v>621</v>
      </c>
      <c r="J381" s="700">
        <v>138685</v>
      </c>
      <c r="K381" s="702">
        <v>13466209.9025837</v>
      </c>
      <c r="L381" s="702">
        <v>97.099253002009604</v>
      </c>
      <c r="M381" s="700"/>
      <c r="T381" s="706">
        <f t="shared" si="20"/>
        <v>20</v>
      </c>
      <c r="U381" s="706">
        <f t="shared" si="21"/>
        <v>2019.6898070054999</v>
      </c>
      <c r="V381" s="706">
        <f t="shared" si="22"/>
        <v>0</v>
      </c>
      <c r="W381" s="708">
        <f t="shared" si="23"/>
        <v>0</v>
      </c>
    </row>
    <row r="382" spans="1:23">
      <c r="A382" s="700" t="s">
        <v>623</v>
      </c>
      <c r="B382" s="700">
        <v>20</v>
      </c>
      <c r="C382" s="702">
        <v>1053.13651636389</v>
      </c>
      <c r="G382" s="700" t="s">
        <v>785</v>
      </c>
      <c r="H382" s="700" t="s">
        <v>785</v>
      </c>
      <c r="I382" s="700" t="s">
        <v>186</v>
      </c>
      <c r="J382" s="700">
        <v>5</v>
      </c>
      <c r="K382" s="702">
        <v>1404.37389894737</v>
      </c>
      <c r="L382" s="702">
        <v>280.87477978947499</v>
      </c>
      <c r="M382" s="700"/>
      <c r="T382" s="706">
        <f t="shared" si="20"/>
        <v>20</v>
      </c>
      <c r="U382" s="706">
        <f t="shared" si="21"/>
        <v>1053.13651636389</v>
      </c>
      <c r="V382" s="706">
        <f t="shared" si="22"/>
        <v>0</v>
      </c>
      <c r="W382" s="708">
        <f t="shared" si="23"/>
        <v>0</v>
      </c>
    </row>
    <row r="383" spans="1:23">
      <c r="A383" s="700" t="s">
        <v>560</v>
      </c>
      <c r="B383" s="700">
        <v>7738</v>
      </c>
      <c r="C383" s="702">
        <v>385581.97309828101</v>
      </c>
      <c r="G383" s="700" t="s">
        <v>785</v>
      </c>
      <c r="H383" s="700" t="s">
        <v>785</v>
      </c>
      <c r="I383" s="700" t="s">
        <v>244</v>
      </c>
      <c r="J383" s="700">
        <v>120</v>
      </c>
      <c r="K383" s="702">
        <v>14687.2363110068</v>
      </c>
      <c r="L383" s="702">
        <v>122.393635925057</v>
      </c>
      <c r="M383" s="700"/>
      <c r="T383" s="706">
        <f t="shared" si="20"/>
        <v>7738</v>
      </c>
      <c r="U383" s="706">
        <f t="shared" si="21"/>
        <v>385581.97309828101</v>
      </c>
      <c r="V383" s="706">
        <f t="shared" si="22"/>
        <v>7738</v>
      </c>
      <c r="W383" s="708">
        <f t="shared" si="23"/>
        <v>385581.97309828101</v>
      </c>
    </row>
    <row r="384" spans="1:23">
      <c r="A384" s="700" t="s">
        <v>627</v>
      </c>
      <c r="B384" s="700">
        <v>761927</v>
      </c>
      <c r="C384" s="702">
        <v>73620090.615685597</v>
      </c>
      <c r="G384" s="700" t="s">
        <v>785</v>
      </c>
      <c r="H384" s="700" t="s">
        <v>785</v>
      </c>
      <c r="I384" s="700" t="s">
        <v>360</v>
      </c>
      <c r="J384" s="700">
        <v>3</v>
      </c>
      <c r="K384" s="702">
        <v>288.08759188672298</v>
      </c>
      <c r="L384" s="702">
        <v>96.029197295574207</v>
      </c>
      <c r="M384" s="700"/>
      <c r="T384" s="706">
        <f t="shared" si="20"/>
        <v>761927</v>
      </c>
      <c r="U384" s="706">
        <f t="shared" si="21"/>
        <v>73606275.836598694</v>
      </c>
      <c r="V384" s="706">
        <f t="shared" si="22"/>
        <v>761927</v>
      </c>
      <c r="W384" s="708">
        <f t="shared" si="23"/>
        <v>73606275.836598694</v>
      </c>
    </row>
    <row r="385" spans="1:23">
      <c r="A385" s="700" t="s">
        <v>621</v>
      </c>
      <c r="B385" s="700">
        <v>138685</v>
      </c>
      <c r="C385" s="702">
        <v>13682534.7082003</v>
      </c>
      <c r="G385" s="700" t="s">
        <v>785</v>
      </c>
      <c r="H385" s="700" t="s">
        <v>785</v>
      </c>
      <c r="I385" s="700" t="s">
        <v>98</v>
      </c>
      <c r="J385" s="700">
        <v>49</v>
      </c>
      <c r="K385" s="702">
        <v>9370.7232394272996</v>
      </c>
      <c r="L385" s="702">
        <v>191.23924978423099</v>
      </c>
      <c r="M385" s="700"/>
      <c r="T385" s="706">
        <f t="shared" si="20"/>
        <v>138685</v>
      </c>
      <c r="U385" s="706">
        <f t="shared" si="21"/>
        <v>13466209.9025837</v>
      </c>
      <c r="V385" s="706">
        <f t="shared" si="22"/>
        <v>138685</v>
      </c>
      <c r="W385" s="708">
        <f t="shared" si="23"/>
        <v>13466209.9025837</v>
      </c>
    </row>
    <row r="386" spans="1:23">
      <c r="A386" s="700" t="s">
        <v>648</v>
      </c>
      <c r="B386" s="700">
        <v>38420</v>
      </c>
      <c r="C386" s="702">
        <v>2279887.5988687598</v>
      </c>
      <c r="G386" s="700" t="s">
        <v>785</v>
      </c>
      <c r="H386" s="700" t="s">
        <v>785</v>
      </c>
      <c r="I386" s="700" t="s">
        <v>622</v>
      </c>
      <c r="J386" s="700">
        <v>1</v>
      </c>
      <c r="K386" s="702">
        <v>145.34420655386</v>
      </c>
      <c r="L386" s="702">
        <v>145.34420655386</v>
      </c>
      <c r="M386" s="700"/>
      <c r="T386" s="706">
        <f t="shared" si="20"/>
        <v>38420</v>
      </c>
      <c r="U386" s="706">
        <f t="shared" si="21"/>
        <v>2279887.5988687598</v>
      </c>
      <c r="V386" s="706">
        <f t="shared" si="22"/>
        <v>38420</v>
      </c>
      <c r="W386" s="708">
        <f t="shared" si="23"/>
        <v>2279887.5988687598</v>
      </c>
    </row>
    <row r="387" spans="1:23">
      <c r="A387" s="700" t="s">
        <v>596</v>
      </c>
      <c r="B387" s="700">
        <v>2544</v>
      </c>
      <c r="C387" s="702">
        <v>262967.53572293202</v>
      </c>
      <c r="G387" s="700" t="s">
        <v>785</v>
      </c>
      <c r="H387" s="700" t="s">
        <v>785</v>
      </c>
      <c r="I387" s="700" t="s">
        <v>349</v>
      </c>
      <c r="J387" s="700">
        <v>3</v>
      </c>
      <c r="K387" s="702">
        <v>415.56034082157498</v>
      </c>
      <c r="L387" s="702">
        <v>138.520113607192</v>
      </c>
      <c r="M387" s="700"/>
      <c r="T387" s="706">
        <f t="shared" si="20"/>
        <v>2544</v>
      </c>
      <c r="U387" s="706">
        <f t="shared" si="21"/>
        <v>262967.53572293202</v>
      </c>
      <c r="V387" s="706">
        <f t="shared" si="22"/>
        <v>2544</v>
      </c>
      <c r="W387" s="708">
        <f t="shared" si="23"/>
        <v>262967.53572293202</v>
      </c>
    </row>
    <row r="388" spans="1:23">
      <c r="A388" s="700" t="s">
        <v>661</v>
      </c>
      <c r="B388" s="700">
        <v>1230</v>
      </c>
      <c r="C388" s="702">
        <v>125708.912382144</v>
      </c>
      <c r="G388" s="700" t="s">
        <v>785</v>
      </c>
      <c r="H388" s="700" t="s">
        <v>785</v>
      </c>
      <c r="I388" s="700" t="s">
        <v>848</v>
      </c>
      <c r="J388" s="700">
        <v>10052</v>
      </c>
      <c r="K388" s="702">
        <v>1643361.3142089001</v>
      </c>
      <c r="L388" s="702">
        <v>163.486004199055</v>
      </c>
      <c r="M388" s="700"/>
      <c r="T388" s="706">
        <f t="shared" ref="T388:T422" si="24">VLOOKUP(A388,$I:$L,2,FALSE)</f>
        <v>1230</v>
      </c>
      <c r="U388" s="706">
        <f t="shared" ref="U388:U422" si="25">VLOOKUP(A388,$I:$L,3,FALSE)</f>
        <v>125708.912382144</v>
      </c>
      <c r="V388" s="706">
        <f t="shared" ref="V388:V422" si="26">IF(COUNTIF($P:$P,A388)=1,0,T388)</f>
        <v>1230</v>
      </c>
      <c r="W388" s="708">
        <f t="shared" ref="W388:W422" si="27">IF(COUNTIF($P:$P,A388)=1,0,U388)</f>
        <v>125708.912382144</v>
      </c>
    </row>
    <row r="389" spans="1:23">
      <c r="A389" s="700" t="s">
        <v>345</v>
      </c>
      <c r="B389" s="700">
        <v>4</v>
      </c>
      <c r="C389" s="702">
        <v>1254.6033211219101</v>
      </c>
      <c r="G389" s="700" t="s">
        <v>785</v>
      </c>
      <c r="H389" s="700" t="s">
        <v>785</v>
      </c>
      <c r="I389" s="700" t="s">
        <v>849</v>
      </c>
      <c r="J389" s="700">
        <v>124194</v>
      </c>
      <c r="K389" s="702">
        <v>14167533.5096354</v>
      </c>
      <c r="L389" s="702">
        <v>114.07582902262099</v>
      </c>
      <c r="M389" s="700"/>
      <c r="T389" s="706">
        <f t="shared" si="24"/>
        <v>4</v>
      </c>
      <c r="U389" s="706">
        <f t="shared" si="25"/>
        <v>1254.6033211219101</v>
      </c>
      <c r="V389" s="706">
        <f t="shared" si="26"/>
        <v>4</v>
      </c>
      <c r="W389" s="708">
        <f t="shared" si="27"/>
        <v>1254.6033211219101</v>
      </c>
    </row>
    <row r="390" spans="1:23">
      <c r="A390" s="700" t="s">
        <v>346</v>
      </c>
      <c r="B390" s="700">
        <v>1</v>
      </c>
      <c r="C390" s="702">
        <v>313.67967615696</v>
      </c>
      <c r="G390" s="700" t="s">
        <v>785</v>
      </c>
      <c r="H390" s="700" t="s">
        <v>785</v>
      </c>
      <c r="I390" s="700" t="s">
        <v>623</v>
      </c>
      <c r="J390" s="700">
        <v>20</v>
      </c>
      <c r="K390" s="702">
        <v>1053.13651636389</v>
      </c>
      <c r="L390" s="702">
        <v>52.656825818194498</v>
      </c>
      <c r="M390" s="700"/>
      <c r="T390" s="706">
        <f t="shared" si="24"/>
        <v>1</v>
      </c>
      <c r="U390" s="706">
        <f t="shared" si="25"/>
        <v>313.67967615696</v>
      </c>
      <c r="V390" s="706">
        <f t="shared" si="26"/>
        <v>1</v>
      </c>
      <c r="W390" s="708">
        <f t="shared" si="27"/>
        <v>313.67967615696</v>
      </c>
    </row>
    <row r="391" spans="1:23">
      <c r="A391" s="700" t="s">
        <v>347</v>
      </c>
      <c r="B391" s="700">
        <v>50</v>
      </c>
      <c r="C391" s="702">
        <v>4493.6593997959098</v>
      </c>
      <c r="G391" s="700" t="s">
        <v>785</v>
      </c>
      <c r="H391" s="700" t="s">
        <v>785</v>
      </c>
      <c r="I391" s="700" t="s">
        <v>850</v>
      </c>
      <c r="J391" s="700">
        <v>859</v>
      </c>
      <c r="K391" s="702">
        <v>89094.276649254505</v>
      </c>
      <c r="L391" s="702">
        <v>103.718599126024</v>
      </c>
      <c r="M391" s="700"/>
      <c r="T391" s="706">
        <f t="shared" si="24"/>
        <v>50</v>
      </c>
      <c r="U391" s="706">
        <f t="shared" si="25"/>
        <v>4493.6593997959098</v>
      </c>
      <c r="V391" s="706">
        <f t="shared" si="26"/>
        <v>50</v>
      </c>
      <c r="W391" s="708">
        <f t="shared" si="27"/>
        <v>4493.6593997959098</v>
      </c>
    </row>
    <row r="392" spans="1:23">
      <c r="A392" s="700" t="s">
        <v>348</v>
      </c>
      <c r="B392" s="700">
        <v>8</v>
      </c>
      <c r="C392" s="702">
        <v>1811.7835995965499</v>
      </c>
      <c r="G392" s="700" t="s">
        <v>785</v>
      </c>
      <c r="H392" s="700" t="s">
        <v>785</v>
      </c>
      <c r="I392" s="700" t="s">
        <v>116</v>
      </c>
      <c r="J392" s="700">
        <v>44</v>
      </c>
      <c r="K392" s="702">
        <v>4860.3557708052303</v>
      </c>
      <c r="L392" s="702">
        <v>110.462631154664</v>
      </c>
      <c r="M392" s="700"/>
      <c r="T392" s="706">
        <f t="shared" si="24"/>
        <v>8</v>
      </c>
      <c r="U392" s="706">
        <f t="shared" si="25"/>
        <v>1811.7835995965499</v>
      </c>
      <c r="V392" s="706">
        <f t="shared" si="26"/>
        <v>8</v>
      </c>
      <c r="W392" s="708">
        <f t="shared" si="27"/>
        <v>1811.7835995965499</v>
      </c>
    </row>
    <row r="393" spans="1:23">
      <c r="A393" s="700" t="s">
        <v>349</v>
      </c>
      <c r="B393" s="700">
        <v>3</v>
      </c>
      <c r="C393" s="702">
        <v>415.56034082157498</v>
      </c>
      <c r="G393" s="700" t="s">
        <v>785</v>
      </c>
      <c r="H393" s="700" t="s">
        <v>785</v>
      </c>
      <c r="I393" s="700" t="s">
        <v>624</v>
      </c>
      <c r="J393" s="700">
        <v>12</v>
      </c>
      <c r="K393" s="702">
        <v>1920.1512931128</v>
      </c>
      <c r="L393" s="702">
        <v>160.0126077594</v>
      </c>
      <c r="M393" s="700"/>
      <c r="T393" s="706">
        <f t="shared" si="24"/>
        <v>3</v>
      </c>
      <c r="U393" s="706">
        <f t="shared" si="25"/>
        <v>415.56034082157498</v>
      </c>
      <c r="V393" s="706">
        <f t="shared" si="26"/>
        <v>3</v>
      </c>
      <c r="W393" s="708">
        <f t="shared" si="27"/>
        <v>415.56034082157498</v>
      </c>
    </row>
    <row r="394" spans="1:23">
      <c r="A394" s="700" t="s">
        <v>350</v>
      </c>
      <c r="B394" s="700">
        <v>3</v>
      </c>
      <c r="C394" s="702">
        <v>669.32427194530999</v>
      </c>
      <c r="G394" s="700" t="s">
        <v>785</v>
      </c>
      <c r="H394" s="700" t="s">
        <v>785</v>
      </c>
      <c r="I394" s="700" t="s">
        <v>851</v>
      </c>
      <c r="J394" s="700">
        <v>7384</v>
      </c>
      <c r="K394" s="702">
        <v>1082937.2422654601</v>
      </c>
      <c r="L394" s="702">
        <v>146.65997322121601</v>
      </c>
      <c r="M394" s="700"/>
      <c r="T394" s="706">
        <f t="shared" si="24"/>
        <v>3</v>
      </c>
      <c r="U394" s="706">
        <f t="shared" si="25"/>
        <v>669.32427194530999</v>
      </c>
      <c r="V394" s="706">
        <f t="shared" si="26"/>
        <v>3</v>
      </c>
      <c r="W394" s="708">
        <f t="shared" si="27"/>
        <v>669.32427194530999</v>
      </c>
    </row>
    <row r="395" spans="1:23">
      <c r="A395" s="700" t="s">
        <v>351</v>
      </c>
      <c r="B395" s="700">
        <v>5</v>
      </c>
      <c r="C395" s="702">
        <v>816.77645085877498</v>
      </c>
      <c r="G395" s="700" t="s">
        <v>785</v>
      </c>
      <c r="H395" s="700" t="s">
        <v>785</v>
      </c>
      <c r="I395" s="700" t="s">
        <v>320</v>
      </c>
      <c r="J395" s="700">
        <v>96</v>
      </c>
      <c r="K395" s="702">
        <v>11662.674837043</v>
      </c>
      <c r="L395" s="702">
        <v>121.48619621919801</v>
      </c>
      <c r="M395" s="700"/>
      <c r="T395" s="706">
        <f t="shared" si="24"/>
        <v>5</v>
      </c>
      <c r="U395" s="706">
        <f t="shared" si="25"/>
        <v>816.77645085877498</v>
      </c>
      <c r="V395" s="706">
        <f t="shared" si="26"/>
        <v>5</v>
      </c>
      <c r="W395" s="708">
        <f t="shared" si="27"/>
        <v>816.77645085877498</v>
      </c>
    </row>
    <row r="396" spans="1:23">
      <c r="A396" s="700" t="s">
        <v>352</v>
      </c>
      <c r="B396" s="700">
        <v>2538</v>
      </c>
      <c r="C396" s="702">
        <v>1087107.65405553</v>
      </c>
      <c r="G396" s="700" t="s">
        <v>785</v>
      </c>
      <c r="H396" s="700" t="s">
        <v>785</v>
      </c>
      <c r="I396" s="700" t="s">
        <v>280</v>
      </c>
      <c r="J396" s="700">
        <v>1</v>
      </c>
      <c r="K396" s="702">
        <v>313.65083028047798</v>
      </c>
      <c r="L396" s="702">
        <v>313.65083028047798</v>
      </c>
      <c r="M396" s="700"/>
      <c r="T396" s="706">
        <f t="shared" si="24"/>
        <v>2538</v>
      </c>
      <c r="U396" s="706">
        <f t="shared" si="25"/>
        <v>1076740.49997796</v>
      </c>
      <c r="V396" s="706">
        <f t="shared" si="26"/>
        <v>2538</v>
      </c>
      <c r="W396" s="708">
        <f t="shared" si="27"/>
        <v>1076740.49997796</v>
      </c>
    </row>
    <row r="397" spans="1:23">
      <c r="A397" s="700" t="s">
        <v>353</v>
      </c>
      <c r="B397" s="700">
        <v>4306</v>
      </c>
      <c r="C397" s="702">
        <v>2454618.2381283999</v>
      </c>
      <c r="G397" s="700" t="s">
        <v>785</v>
      </c>
      <c r="H397" s="700" t="s">
        <v>785</v>
      </c>
      <c r="I397" s="700" t="s">
        <v>257</v>
      </c>
      <c r="J397" s="700">
        <v>1</v>
      </c>
      <c r="K397" s="702">
        <v>471.47355693494399</v>
      </c>
      <c r="L397" s="702">
        <v>471.47355693494399</v>
      </c>
      <c r="M397" s="700"/>
      <c r="T397" s="706">
        <f t="shared" si="24"/>
        <v>4306</v>
      </c>
      <c r="U397" s="706">
        <f t="shared" si="25"/>
        <v>1329091.2358230699</v>
      </c>
      <c r="V397" s="706">
        <f t="shared" si="26"/>
        <v>4306</v>
      </c>
      <c r="W397" s="708">
        <f t="shared" si="27"/>
        <v>1329091.2358230699</v>
      </c>
    </row>
    <row r="398" spans="1:23">
      <c r="A398" s="700" t="s">
        <v>592</v>
      </c>
      <c r="B398" s="700">
        <v>1</v>
      </c>
      <c r="C398" s="702">
        <v>145.83457256725001</v>
      </c>
      <c r="G398" s="700" t="s">
        <v>785</v>
      </c>
      <c r="H398" s="700" t="s">
        <v>785</v>
      </c>
      <c r="I398" s="700" t="s">
        <v>852</v>
      </c>
      <c r="J398" s="700">
        <v>99851</v>
      </c>
      <c r="K398" s="702">
        <v>16647760.035387199</v>
      </c>
      <c r="L398" s="702">
        <v>166.726022126841</v>
      </c>
      <c r="M398" s="700"/>
      <c r="T398" s="706">
        <f t="shared" si="24"/>
        <v>1</v>
      </c>
      <c r="U398" s="706">
        <f t="shared" si="25"/>
        <v>145.83457256725001</v>
      </c>
      <c r="V398" s="706">
        <f t="shared" si="26"/>
        <v>1</v>
      </c>
      <c r="W398" s="708">
        <f t="shared" si="27"/>
        <v>145.83457256725001</v>
      </c>
    </row>
    <row r="399" spans="1:23">
      <c r="A399" s="700" t="s">
        <v>604</v>
      </c>
      <c r="B399" s="700">
        <v>2</v>
      </c>
      <c r="C399" s="702">
        <v>14076.2027677638</v>
      </c>
      <c r="G399" s="700" t="s">
        <v>785</v>
      </c>
      <c r="H399" s="700" t="s">
        <v>785</v>
      </c>
      <c r="I399" s="700" t="s">
        <v>216</v>
      </c>
      <c r="J399" s="700">
        <v>168</v>
      </c>
      <c r="K399" s="702">
        <v>60837.225039847202</v>
      </c>
      <c r="L399" s="702">
        <v>362.12633952290003</v>
      </c>
      <c r="M399" s="700"/>
      <c r="T399" s="706">
        <f t="shared" si="24"/>
        <v>2</v>
      </c>
      <c r="U399" s="706">
        <f t="shared" si="25"/>
        <v>261.42368078129499</v>
      </c>
      <c r="V399" s="706">
        <f t="shared" si="26"/>
        <v>2</v>
      </c>
      <c r="W399" s="708">
        <f t="shared" si="27"/>
        <v>261.42368078129499</v>
      </c>
    </row>
    <row r="400" spans="1:23">
      <c r="A400" s="700" t="s">
        <v>559</v>
      </c>
      <c r="B400" s="700">
        <v>2345</v>
      </c>
      <c r="C400" s="702">
        <v>431962.09551475599</v>
      </c>
      <c r="G400" s="700" t="s">
        <v>785</v>
      </c>
      <c r="H400" s="700" t="s">
        <v>785</v>
      </c>
      <c r="I400" s="700" t="s">
        <v>354</v>
      </c>
      <c r="J400" s="700">
        <v>1</v>
      </c>
      <c r="K400" s="702">
        <v>35.8562027852822</v>
      </c>
      <c r="L400" s="702">
        <v>35.8562027852822</v>
      </c>
      <c r="M400" s="700"/>
      <c r="T400" s="706">
        <f t="shared" si="24"/>
        <v>2345</v>
      </c>
      <c r="U400" s="706">
        <f t="shared" si="25"/>
        <v>418147.31642777403</v>
      </c>
      <c r="V400" s="706">
        <f t="shared" si="26"/>
        <v>2345</v>
      </c>
      <c r="W400" s="708">
        <f t="shared" si="27"/>
        <v>418147.31642777403</v>
      </c>
    </row>
    <row r="401" spans="1:23">
      <c r="A401" s="700" t="s">
        <v>585</v>
      </c>
      <c r="B401" s="700">
        <v>3</v>
      </c>
      <c r="C401" s="702">
        <v>277.874048234567</v>
      </c>
      <c r="G401" s="700" t="s">
        <v>785</v>
      </c>
      <c r="H401" s="700" t="s">
        <v>785</v>
      </c>
      <c r="I401" s="700" t="s">
        <v>217</v>
      </c>
      <c r="J401" s="700">
        <v>5</v>
      </c>
      <c r="K401" s="702">
        <v>430.404506294263</v>
      </c>
      <c r="L401" s="702">
        <v>86.080901258852606</v>
      </c>
      <c r="M401" s="700"/>
      <c r="T401" s="706">
        <f t="shared" si="24"/>
        <v>3</v>
      </c>
      <c r="U401" s="706">
        <f t="shared" si="25"/>
        <v>277.874048234567</v>
      </c>
      <c r="V401" s="706">
        <f t="shared" si="26"/>
        <v>3</v>
      </c>
      <c r="W401" s="708">
        <f t="shared" si="27"/>
        <v>277.874048234567</v>
      </c>
    </row>
    <row r="402" spans="1:23">
      <c r="A402" s="700" t="s">
        <v>354</v>
      </c>
      <c r="B402" s="700">
        <v>1</v>
      </c>
      <c r="C402" s="702">
        <v>35.8562027852822</v>
      </c>
      <c r="G402" s="700" t="s">
        <v>785</v>
      </c>
      <c r="H402" s="700" t="s">
        <v>785</v>
      </c>
      <c r="I402" s="700" t="s">
        <v>182</v>
      </c>
      <c r="J402" s="700">
        <v>1</v>
      </c>
      <c r="K402" s="702">
        <v>216.91502045228901</v>
      </c>
      <c r="L402" s="702">
        <v>216.91502045228901</v>
      </c>
      <c r="M402" s="700"/>
      <c r="T402" s="706">
        <f t="shared" si="24"/>
        <v>1</v>
      </c>
      <c r="U402" s="706">
        <f t="shared" si="25"/>
        <v>35.8562027852822</v>
      </c>
      <c r="V402" s="706">
        <f t="shared" si="26"/>
        <v>1</v>
      </c>
      <c r="W402" s="708">
        <f t="shared" si="27"/>
        <v>35.8562027852822</v>
      </c>
    </row>
    <row r="403" spans="1:23">
      <c r="A403" s="700" t="s">
        <v>355</v>
      </c>
      <c r="B403" s="700">
        <v>3</v>
      </c>
      <c r="C403" s="702">
        <v>613.46916587811302</v>
      </c>
      <c r="G403" s="700" t="s">
        <v>785</v>
      </c>
      <c r="H403" s="700" t="s">
        <v>785</v>
      </c>
      <c r="I403" s="700" t="s">
        <v>120</v>
      </c>
      <c r="J403" s="700">
        <v>1088</v>
      </c>
      <c r="K403" s="702">
        <v>106344.087706266</v>
      </c>
      <c r="L403" s="702">
        <v>97.742727671200001</v>
      </c>
      <c r="M403" s="700"/>
      <c r="T403" s="706">
        <f t="shared" si="24"/>
        <v>3</v>
      </c>
      <c r="U403" s="706">
        <f t="shared" si="25"/>
        <v>613.46916587811302</v>
      </c>
      <c r="V403" s="706">
        <f t="shared" si="26"/>
        <v>3</v>
      </c>
      <c r="W403" s="708">
        <f t="shared" si="27"/>
        <v>613.46916587811302</v>
      </c>
    </row>
    <row r="404" spans="1:23">
      <c r="A404" s="700" t="s">
        <v>356</v>
      </c>
      <c r="B404" s="700">
        <v>10</v>
      </c>
      <c r="C404" s="702">
        <v>10781.001258960499</v>
      </c>
      <c r="G404" s="700" t="s">
        <v>785</v>
      </c>
      <c r="H404" s="700" t="s">
        <v>785</v>
      </c>
      <c r="I404" s="700" t="s">
        <v>289</v>
      </c>
      <c r="J404" s="700">
        <v>610</v>
      </c>
      <c r="K404" s="702">
        <v>165785.117651229</v>
      </c>
      <c r="L404" s="702">
        <v>271.77888139545701</v>
      </c>
      <c r="M404" s="700"/>
      <c r="T404" s="706">
        <f t="shared" si="24"/>
        <v>10</v>
      </c>
      <c r="U404" s="706">
        <f t="shared" si="25"/>
        <v>10781.001258960499</v>
      </c>
      <c r="V404" s="706">
        <f t="shared" si="26"/>
        <v>10</v>
      </c>
      <c r="W404" s="708">
        <f t="shared" si="27"/>
        <v>10781.001258960499</v>
      </c>
    </row>
    <row r="405" spans="1:23">
      <c r="A405" s="700" t="s">
        <v>357</v>
      </c>
      <c r="B405" s="700">
        <v>52</v>
      </c>
      <c r="C405" s="702">
        <v>14559.251614832399</v>
      </c>
      <c r="G405" s="700" t="s">
        <v>785</v>
      </c>
      <c r="H405" s="700" t="s">
        <v>785</v>
      </c>
      <c r="I405" s="700" t="s">
        <v>625</v>
      </c>
      <c r="J405" s="700">
        <v>16</v>
      </c>
      <c r="K405" s="702">
        <v>1187.13728747045</v>
      </c>
      <c r="L405" s="702">
        <v>74.196080466903098</v>
      </c>
      <c r="M405" s="700"/>
      <c r="T405" s="706">
        <f t="shared" si="24"/>
        <v>52</v>
      </c>
      <c r="U405" s="706">
        <f t="shared" si="25"/>
        <v>14559.251614832399</v>
      </c>
      <c r="V405" s="706">
        <f t="shared" si="26"/>
        <v>52</v>
      </c>
      <c r="W405" s="708">
        <f t="shared" si="27"/>
        <v>14559.251614832399</v>
      </c>
    </row>
    <row r="406" spans="1:23">
      <c r="A406" s="700" t="s">
        <v>358</v>
      </c>
      <c r="B406" s="700">
        <v>1</v>
      </c>
      <c r="C406" s="702">
        <v>341.54788431081403</v>
      </c>
      <c r="G406" s="700" t="s">
        <v>785</v>
      </c>
      <c r="H406" s="700" t="s">
        <v>785</v>
      </c>
      <c r="I406" s="700" t="s">
        <v>626</v>
      </c>
      <c r="J406" s="700">
        <v>442</v>
      </c>
      <c r="K406" s="702">
        <v>61571.254135357703</v>
      </c>
      <c r="L406" s="702">
        <v>139.301479944248</v>
      </c>
      <c r="M406" s="700"/>
      <c r="T406" s="706">
        <f t="shared" si="24"/>
        <v>1</v>
      </c>
      <c r="U406" s="706">
        <f t="shared" si="25"/>
        <v>341.54788431081403</v>
      </c>
      <c r="V406" s="706">
        <f t="shared" si="26"/>
        <v>1</v>
      </c>
      <c r="W406" s="708">
        <f t="shared" si="27"/>
        <v>341.54788431081403</v>
      </c>
    </row>
    <row r="407" spans="1:23">
      <c r="A407" s="700" t="s">
        <v>359</v>
      </c>
      <c r="B407" s="700">
        <v>4</v>
      </c>
      <c r="C407" s="702">
        <v>485.40110993157799</v>
      </c>
      <c r="G407" s="700" t="s">
        <v>785</v>
      </c>
      <c r="H407" s="700" t="s">
        <v>785</v>
      </c>
      <c r="I407" s="700" t="s">
        <v>853</v>
      </c>
      <c r="J407" s="700">
        <v>9182</v>
      </c>
      <c r="K407" s="702">
        <v>1442203.4166498701</v>
      </c>
      <c r="L407" s="702">
        <v>157.06854897079899</v>
      </c>
      <c r="M407" s="700"/>
      <c r="T407" s="706">
        <f t="shared" si="24"/>
        <v>4</v>
      </c>
      <c r="U407" s="706">
        <f t="shared" si="25"/>
        <v>485.40110993157799</v>
      </c>
      <c r="V407" s="706">
        <f t="shared" si="26"/>
        <v>4</v>
      </c>
      <c r="W407" s="708">
        <f t="shared" si="27"/>
        <v>485.40110993157799</v>
      </c>
    </row>
    <row r="408" spans="1:23">
      <c r="A408" s="700" t="s">
        <v>360</v>
      </c>
      <c r="B408" s="700">
        <v>3</v>
      </c>
      <c r="C408" s="702">
        <v>288.08759188672298</v>
      </c>
      <c r="G408" s="700" t="s">
        <v>785</v>
      </c>
      <c r="H408" s="700" t="s">
        <v>785</v>
      </c>
      <c r="I408" s="700" t="s">
        <v>627</v>
      </c>
      <c r="J408" s="700">
        <v>761927</v>
      </c>
      <c r="K408" s="702">
        <v>73606275.836598694</v>
      </c>
      <c r="L408" s="702">
        <v>96.605417364916406</v>
      </c>
      <c r="M408" s="700"/>
      <c r="T408" s="706">
        <f t="shared" si="24"/>
        <v>3</v>
      </c>
      <c r="U408" s="706">
        <f t="shared" si="25"/>
        <v>288.08759188672298</v>
      </c>
      <c r="V408" s="706">
        <f t="shared" si="26"/>
        <v>3</v>
      </c>
      <c r="W408" s="708">
        <f t="shared" si="27"/>
        <v>288.08759188672298</v>
      </c>
    </row>
    <row r="409" spans="1:23">
      <c r="A409" s="700" t="s">
        <v>361</v>
      </c>
      <c r="B409" s="700">
        <v>90</v>
      </c>
      <c r="C409" s="702">
        <v>21373.133796379701</v>
      </c>
      <c r="G409" s="700" t="s">
        <v>785</v>
      </c>
      <c r="H409" s="700" t="s">
        <v>785</v>
      </c>
      <c r="I409" s="700" t="s">
        <v>361</v>
      </c>
      <c r="J409" s="700">
        <v>90</v>
      </c>
      <c r="K409" s="702">
        <v>21373.133796379701</v>
      </c>
      <c r="L409" s="702">
        <v>237.47926440421901</v>
      </c>
      <c r="M409" s="700"/>
      <c r="T409" s="706">
        <f t="shared" si="24"/>
        <v>90</v>
      </c>
      <c r="U409" s="706">
        <f t="shared" si="25"/>
        <v>21373.133796379701</v>
      </c>
      <c r="V409" s="706">
        <f t="shared" si="26"/>
        <v>90</v>
      </c>
      <c r="W409" s="708">
        <f t="shared" si="27"/>
        <v>21373.133796379701</v>
      </c>
    </row>
    <row r="410" spans="1:23">
      <c r="A410" s="700" t="s">
        <v>588</v>
      </c>
      <c r="B410" s="700">
        <v>3</v>
      </c>
      <c r="C410" s="702">
        <v>370.271547936346</v>
      </c>
      <c r="G410" s="700" t="s">
        <v>785</v>
      </c>
      <c r="H410" s="700" t="s">
        <v>785</v>
      </c>
      <c r="I410" s="700" t="s">
        <v>184</v>
      </c>
      <c r="J410" s="700">
        <v>5</v>
      </c>
      <c r="K410" s="702">
        <v>3903.5582035914199</v>
      </c>
      <c r="L410" s="702">
        <v>780.71164071828503</v>
      </c>
      <c r="M410" s="700"/>
      <c r="T410" s="706">
        <f t="shared" si="24"/>
        <v>3</v>
      </c>
      <c r="U410" s="706">
        <f t="shared" si="25"/>
        <v>370.271547936346</v>
      </c>
      <c r="V410" s="706">
        <f t="shared" si="26"/>
        <v>0</v>
      </c>
      <c r="W410" s="708">
        <f t="shared" si="27"/>
        <v>0</v>
      </c>
    </row>
    <row r="411" spans="1:23">
      <c r="A411" s="700" t="s">
        <v>589</v>
      </c>
      <c r="B411" s="700">
        <v>1</v>
      </c>
      <c r="C411" s="702">
        <v>115.970274641508</v>
      </c>
      <c r="G411" s="700" t="s">
        <v>785</v>
      </c>
      <c r="H411" s="700" t="s">
        <v>785</v>
      </c>
      <c r="I411" s="700" t="s">
        <v>628</v>
      </c>
      <c r="J411" s="700">
        <v>7</v>
      </c>
      <c r="K411" s="702">
        <v>1923.80117284622</v>
      </c>
      <c r="L411" s="702">
        <v>274.82873897803199</v>
      </c>
      <c r="M411" s="700"/>
      <c r="T411" s="706">
        <f t="shared" si="24"/>
        <v>1</v>
      </c>
      <c r="U411" s="706">
        <f t="shared" si="25"/>
        <v>115.970274641508</v>
      </c>
      <c r="V411" s="706">
        <f t="shared" si="26"/>
        <v>0</v>
      </c>
      <c r="W411" s="708">
        <f t="shared" si="27"/>
        <v>0</v>
      </c>
    </row>
    <row r="412" spans="1:23">
      <c r="A412" s="700" t="s">
        <v>362</v>
      </c>
      <c r="B412" s="700">
        <v>3</v>
      </c>
      <c r="C412" s="702">
        <v>823.03280032289297</v>
      </c>
      <c r="G412" s="700" t="s">
        <v>785</v>
      </c>
      <c r="H412" s="700" t="s">
        <v>785</v>
      </c>
      <c r="I412" s="700" t="s">
        <v>383</v>
      </c>
      <c r="J412" s="700">
        <v>2</v>
      </c>
      <c r="K412" s="702">
        <v>322.13114040728601</v>
      </c>
      <c r="L412" s="702">
        <v>161.06557020364301</v>
      </c>
      <c r="M412" s="700"/>
      <c r="T412" s="706">
        <f t="shared" si="24"/>
        <v>3</v>
      </c>
      <c r="U412" s="706">
        <f t="shared" si="25"/>
        <v>823.03280032289297</v>
      </c>
      <c r="V412" s="706">
        <f t="shared" si="26"/>
        <v>0</v>
      </c>
      <c r="W412" s="708">
        <f t="shared" si="27"/>
        <v>0</v>
      </c>
    </row>
    <row r="413" spans="1:23">
      <c r="A413" s="700" t="s">
        <v>363</v>
      </c>
      <c r="B413" s="700">
        <v>3</v>
      </c>
      <c r="C413" s="702">
        <v>743.33529229609906</v>
      </c>
      <c r="G413" s="700" t="s">
        <v>785</v>
      </c>
      <c r="H413" s="700" t="s">
        <v>785</v>
      </c>
      <c r="I413" s="700" t="s">
        <v>854</v>
      </c>
      <c r="J413" s="700">
        <v>6669</v>
      </c>
      <c r="K413" s="702">
        <v>1649840.61901631</v>
      </c>
      <c r="L413" s="702">
        <v>247.38950652516201</v>
      </c>
      <c r="M413" s="700"/>
      <c r="T413" s="706">
        <f t="shared" si="24"/>
        <v>3</v>
      </c>
      <c r="U413" s="706">
        <f t="shared" si="25"/>
        <v>743.33529229609906</v>
      </c>
      <c r="V413" s="706">
        <f t="shared" si="26"/>
        <v>0</v>
      </c>
      <c r="W413" s="708">
        <f t="shared" si="27"/>
        <v>0</v>
      </c>
    </row>
    <row r="414" spans="1:23">
      <c r="A414" s="700" t="s">
        <v>364</v>
      </c>
      <c r="B414" s="700">
        <v>3318</v>
      </c>
      <c r="C414" s="702">
        <v>787223.31985666498</v>
      </c>
      <c r="G414" s="700" t="s">
        <v>785</v>
      </c>
      <c r="H414" s="700" t="s">
        <v>785</v>
      </c>
      <c r="I414" s="700" t="s">
        <v>253</v>
      </c>
      <c r="J414" s="700">
        <v>32</v>
      </c>
      <c r="K414" s="702">
        <v>4004.90279204955</v>
      </c>
      <c r="L414" s="702">
        <v>125.153212251548</v>
      </c>
      <c r="M414" s="700"/>
      <c r="T414" s="706">
        <f t="shared" si="24"/>
        <v>3318</v>
      </c>
      <c r="U414" s="706">
        <f t="shared" si="25"/>
        <v>787223.31985666498</v>
      </c>
      <c r="V414" s="706">
        <f t="shared" si="26"/>
        <v>3318</v>
      </c>
      <c r="W414" s="708">
        <f t="shared" si="27"/>
        <v>787223.31985666498</v>
      </c>
    </row>
    <row r="415" spans="1:23">
      <c r="A415" s="700" t="s">
        <v>365</v>
      </c>
      <c r="B415" s="700">
        <v>6</v>
      </c>
      <c r="C415" s="702">
        <v>287.09679279778101</v>
      </c>
      <c r="G415" s="700" t="s">
        <v>785</v>
      </c>
      <c r="H415" s="700" t="s">
        <v>785</v>
      </c>
      <c r="I415" s="700" t="s">
        <v>340</v>
      </c>
      <c r="J415" s="700">
        <v>366</v>
      </c>
      <c r="K415" s="702">
        <v>736833.16567001003</v>
      </c>
      <c r="L415" s="702">
        <v>2013.20537068309</v>
      </c>
      <c r="M415" s="700"/>
      <c r="T415" s="706">
        <f t="shared" si="24"/>
        <v>6</v>
      </c>
      <c r="U415" s="706">
        <f t="shared" si="25"/>
        <v>287.09679279778101</v>
      </c>
      <c r="V415" s="706">
        <f t="shared" si="26"/>
        <v>0</v>
      </c>
      <c r="W415" s="708">
        <f t="shared" si="27"/>
        <v>0</v>
      </c>
    </row>
    <row r="416" spans="1:23">
      <c r="A416" s="700" t="s">
        <v>583</v>
      </c>
      <c r="B416" s="700">
        <v>1526</v>
      </c>
      <c r="C416" s="702">
        <v>63526.616908198499</v>
      </c>
      <c r="G416" s="700" t="s">
        <v>785</v>
      </c>
      <c r="H416" s="700" t="s">
        <v>785</v>
      </c>
      <c r="I416" s="700" t="s">
        <v>855</v>
      </c>
      <c r="J416" s="700">
        <v>32716</v>
      </c>
      <c r="K416" s="702">
        <v>3489759.5215581399</v>
      </c>
      <c r="L416" s="702">
        <v>106.668282233713</v>
      </c>
      <c r="M416" s="700"/>
      <c r="T416" s="706">
        <f t="shared" si="24"/>
        <v>1526</v>
      </c>
      <c r="U416" s="706">
        <f t="shared" si="25"/>
        <v>63526.616908198499</v>
      </c>
      <c r="V416" s="706">
        <f t="shared" si="26"/>
        <v>1526</v>
      </c>
      <c r="W416" s="708">
        <f t="shared" si="27"/>
        <v>63526.616908198499</v>
      </c>
    </row>
    <row r="417" spans="1:23">
      <c r="A417" s="700" t="s">
        <v>615</v>
      </c>
      <c r="B417" s="700">
        <v>96</v>
      </c>
      <c r="C417" s="702">
        <v>14918.8661647484</v>
      </c>
      <c r="G417" s="700" t="s">
        <v>785</v>
      </c>
      <c r="H417" s="700" t="s">
        <v>785</v>
      </c>
      <c r="I417" s="700" t="s">
        <v>629</v>
      </c>
      <c r="J417" s="700">
        <v>17</v>
      </c>
      <c r="K417" s="702">
        <v>7717.1488609578801</v>
      </c>
      <c r="L417" s="702">
        <v>453.94993299752201</v>
      </c>
      <c r="M417" s="700"/>
      <c r="T417" s="706">
        <f t="shared" si="24"/>
        <v>96</v>
      </c>
      <c r="U417" s="706">
        <f t="shared" si="25"/>
        <v>14918.8661647484</v>
      </c>
      <c r="V417" s="706">
        <f t="shared" si="26"/>
        <v>96</v>
      </c>
      <c r="W417" s="708">
        <f t="shared" si="27"/>
        <v>14918.8661647484</v>
      </c>
    </row>
    <row r="418" spans="1:23">
      <c r="A418" s="700" t="s">
        <v>584</v>
      </c>
      <c r="B418" s="700">
        <v>251</v>
      </c>
      <c r="C418" s="702">
        <v>45591.8789242411</v>
      </c>
      <c r="G418" s="700" t="s">
        <v>785</v>
      </c>
      <c r="H418" s="700" t="s">
        <v>785</v>
      </c>
      <c r="I418" s="700" t="s">
        <v>630</v>
      </c>
      <c r="J418" s="700">
        <v>359</v>
      </c>
      <c r="K418" s="702">
        <v>82968.402355221406</v>
      </c>
      <c r="L418" s="702">
        <v>231.10975586412599</v>
      </c>
      <c r="M418" s="700"/>
      <c r="T418" s="706">
        <f t="shared" si="24"/>
        <v>251</v>
      </c>
      <c r="U418" s="706">
        <f t="shared" si="25"/>
        <v>45591.8789242411</v>
      </c>
      <c r="V418" s="706">
        <f t="shared" si="26"/>
        <v>251</v>
      </c>
      <c r="W418" s="708">
        <f t="shared" si="27"/>
        <v>45591.8789242411</v>
      </c>
    </row>
    <row r="419" spans="1:23">
      <c r="A419" s="700" t="s">
        <v>366</v>
      </c>
      <c r="B419" s="700">
        <v>9544</v>
      </c>
      <c r="C419" s="702">
        <v>452037.99512848299</v>
      </c>
      <c r="G419" s="700" t="s">
        <v>785</v>
      </c>
      <c r="H419" s="700" t="s">
        <v>785</v>
      </c>
      <c r="I419" s="700" t="s">
        <v>137</v>
      </c>
      <c r="J419" s="700">
        <v>2</v>
      </c>
      <c r="K419" s="702">
        <v>627.30166056095595</v>
      </c>
      <c r="L419" s="702">
        <v>313.65083028047798</v>
      </c>
      <c r="M419" s="700"/>
      <c r="T419" s="706">
        <f t="shared" si="24"/>
        <v>9544</v>
      </c>
      <c r="U419" s="706">
        <f t="shared" si="25"/>
        <v>452037.99512848299</v>
      </c>
      <c r="V419" s="706">
        <f t="shared" si="26"/>
        <v>9544</v>
      </c>
      <c r="W419" s="708">
        <f t="shared" si="27"/>
        <v>452037.99512848299</v>
      </c>
    </row>
    <row r="420" spans="1:23">
      <c r="A420" s="700" t="s">
        <v>367</v>
      </c>
      <c r="B420" s="700">
        <v>14952</v>
      </c>
      <c r="C420" s="702">
        <v>375721.72043241397</v>
      </c>
      <c r="G420" s="700" t="s">
        <v>785</v>
      </c>
      <c r="H420" s="700" t="s">
        <v>785</v>
      </c>
      <c r="I420" s="700" t="s">
        <v>856</v>
      </c>
      <c r="J420" s="700">
        <v>13467</v>
      </c>
      <c r="K420" s="702">
        <v>2219215.6938848002</v>
      </c>
      <c r="L420" s="702">
        <v>164.789165655662</v>
      </c>
      <c r="M420" s="700"/>
      <c r="T420" s="706">
        <f t="shared" si="24"/>
        <v>14952</v>
      </c>
      <c r="U420" s="706">
        <f t="shared" si="25"/>
        <v>375721.72043241397</v>
      </c>
      <c r="V420" s="706">
        <f t="shared" si="26"/>
        <v>14952</v>
      </c>
      <c r="W420" s="708">
        <f t="shared" si="27"/>
        <v>375721.72043241397</v>
      </c>
    </row>
    <row r="421" spans="1:23">
      <c r="A421" s="700" t="s">
        <v>368</v>
      </c>
      <c r="B421" s="700">
        <v>44</v>
      </c>
      <c r="C421" s="702">
        <v>5128.6668275817701</v>
      </c>
      <c r="G421" s="700" t="s">
        <v>785</v>
      </c>
      <c r="H421" s="700" t="s">
        <v>785</v>
      </c>
      <c r="I421" s="700" t="s">
        <v>857</v>
      </c>
      <c r="J421" s="700">
        <v>88706</v>
      </c>
      <c r="K421" s="702">
        <v>12100071.2332351</v>
      </c>
      <c r="L421" s="702">
        <v>136.406457660532</v>
      </c>
      <c r="M421" s="700"/>
      <c r="T421" s="706">
        <f t="shared" si="24"/>
        <v>44</v>
      </c>
      <c r="U421" s="706">
        <f t="shared" si="25"/>
        <v>5128.6668275817701</v>
      </c>
      <c r="V421" s="706">
        <f t="shared" si="26"/>
        <v>44</v>
      </c>
      <c r="W421" s="708">
        <f t="shared" si="27"/>
        <v>5128.6668275817701</v>
      </c>
    </row>
    <row r="422" spans="1:23">
      <c r="A422" s="700" t="s">
        <v>369</v>
      </c>
      <c r="B422" s="700">
        <v>341</v>
      </c>
      <c r="C422" s="702">
        <v>60319.496684093501</v>
      </c>
      <c r="G422" s="700" t="s">
        <v>785</v>
      </c>
      <c r="H422" s="700" t="s">
        <v>785</v>
      </c>
      <c r="I422" s="700" t="s">
        <v>858</v>
      </c>
      <c r="J422" s="700">
        <v>28975</v>
      </c>
      <c r="K422" s="702">
        <v>2956139.5276863901</v>
      </c>
      <c r="L422" s="702">
        <v>102.023797331713</v>
      </c>
      <c r="M422" s="700"/>
      <c r="T422" s="706">
        <f t="shared" si="24"/>
        <v>341</v>
      </c>
      <c r="U422" s="706">
        <f t="shared" si="25"/>
        <v>60319.496684093501</v>
      </c>
      <c r="V422" s="706">
        <f t="shared" si="26"/>
        <v>341</v>
      </c>
      <c r="W422" s="708">
        <f t="shared" si="27"/>
        <v>60319.496684093501</v>
      </c>
    </row>
    <row r="423" spans="1:23">
      <c r="G423" s="700" t="s">
        <v>785</v>
      </c>
      <c r="H423" s="700" t="s">
        <v>785</v>
      </c>
      <c r="I423" s="700" t="s">
        <v>243</v>
      </c>
      <c r="J423" s="700">
        <v>30</v>
      </c>
      <c r="K423" s="702">
        <v>4739.2771343504301</v>
      </c>
      <c r="L423" s="702">
        <v>157.97590447834801</v>
      </c>
      <c r="M423" s="700"/>
    </row>
    <row r="424" spans="1:23">
      <c r="G424" s="700" t="s">
        <v>785</v>
      </c>
      <c r="H424" s="700" t="s">
        <v>785</v>
      </c>
      <c r="I424" s="700" t="s">
        <v>631</v>
      </c>
      <c r="J424" s="700">
        <v>108</v>
      </c>
      <c r="K424" s="702">
        <v>16272.391413286699</v>
      </c>
      <c r="L424" s="702">
        <v>150.67029086376601</v>
      </c>
      <c r="M424" s="700"/>
    </row>
    <row r="425" spans="1:23">
      <c r="G425" s="700" t="s">
        <v>785</v>
      </c>
      <c r="H425" s="700" t="s">
        <v>785</v>
      </c>
      <c r="I425" s="700" t="s">
        <v>859</v>
      </c>
      <c r="J425" s="700">
        <v>3874</v>
      </c>
      <c r="K425" s="702">
        <v>618163.69907520502</v>
      </c>
      <c r="L425" s="702">
        <v>159.56729454703299</v>
      </c>
      <c r="M425" s="700"/>
    </row>
    <row r="426" spans="1:23">
      <c r="G426" s="700" t="s">
        <v>785</v>
      </c>
      <c r="H426" s="700" t="s">
        <v>785</v>
      </c>
      <c r="I426" s="700" t="s">
        <v>632</v>
      </c>
      <c r="J426" s="700">
        <v>38</v>
      </c>
      <c r="K426" s="702">
        <v>5888.5805239665797</v>
      </c>
      <c r="L426" s="702">
        <v>154.962645367541</v>
      </c>
      <c r="M426" s="700"/>
    </row>
    <row r="427" spans="1:23">
      <c r="G427" s="700" t="s">
        <v>785</v>
      </c>
      <c r="H427" s="700" t="s">
        <v>785</v>
      </c>
      <c r="I427" s="700" t="s">
        <v>262</v>
      </c>
      <c r="J427" s="700">
        <v>1</v>
      </c>
      <c r="K427" s="702">
        <v>161.51299528715299</v>
      </c>
      <c r="L427" s="702">
        <v>161.51299528715299</v>
      </c>
      <c r="M427" s="700"/>
    </row>
    <row r="428" spans="1:23">
      <c r="G428" s="700" t="s">
        <v>785</v>
      </c>
      <c r="H428" s="700" t="s">
        <v>785</v>
      </c>
      <c r="I428" s="700" t="s">
        <v>79</v>
      </c>
      <c r="J428" s="700">
        <v>2661</v>
      </c>
      <c r="K428" s="702">
        <v>384053.05060012097</v>
      </c>
      <c r="L428" s="702">
        <v>144.32658797449099</v>
      </c>
      <c r="M428" s="700"/>
    </row>
    <row r="429" spans="1:23">
      <c r="G429" s="700" t="s">
        <v>785</v>
      </c>
      <c r="H429" s="700" t="s">
        <v>785</v>
      </c>
      <c r="I429" s="700" t="s">
        <v>633</v>
      </c>
      <c r="J429" s="700">
        <v>1201</v>
      </c>
      <c r="K429" s="702">
        <v>130548.374373646</v>
      </c>
      <c r="L429" s="702">
        <v>108.699728870646</v>
      </c>
      <c r="M429" s="700"/>
    </row>
    <row r="430" spans="1:23">
      <c r="G430" s="700" t="s">
        <v>785</v>
      </c>
      <c r="H430" s="700" t="s">
        <v>785</v>
      </c>
      <c r="I430" s="700" t="s">
        <v>211</v>
      </c>
      <c r="J430" s="700">
        <v>38</v>
      </c>
      <c r="K430" s="702">
        <v>6721.8048516324998</v>
      </c>
      <c r="L430" s="702">
        <v>176.88960135875001</v>
      </c>
      <c r="M430" s="700"/>
    </row>
    <row r="431" spans="1:23">
      <c r="G431" s="700" t="s">
        <v>785</v>
      </c>
      <c r="H431" s="700" t="s">
        <v>785</v>
      </c>
      <c r="I431" s="700" t="s">
        <v>860</v>
      </c>
      <c r="J431" s="700">
        <v>4258</v>
      </c>
      <c r="K431" s="702">
        <v>511884.30409060098</v>
      </c>
      <c r="L431" s="702">
        <v>120.217074704227</v>
      </c>
      <c r="M431" s="700"/>
    </row>
    <row r="432" spans="1:23">
      <c r="G432" s="700" t="s">
        <v>785</v>
      </c>
      <c r="H432" s="700" t="s">
        <v>785</v>
      </c>
      <c r="I432" s="700" t="s">
        <v>861</v>
      </c>
      <c r="J432" s="700">
        <v>37280</v>
      </c>
      <c r="K432" s="702">
        <v>4116228.0785483401</v>
      </c>
      <c r="L432" s="702">
        <v>110.4138433087</v>
      </c>
      <c r="M432" s="700"/>
    </row>
    <row r="433" spans="7:13">
      <c r="G433" s="700" t="s">
        <v>785</v>
      </c>
      <c r="H433" s="700" t="s">
        <v>785</v>
      </c>
      <c r="I433" s="700" t="s">
        <v>634</v>
      </c>
      <c r="J433" s="700">
        <v>17214</v>
      </c>
      <c r="K433" s="702">
        <v>2667400.34615247</v>
      </c>
      <c r="L433" s="702">
        <v>154.95528907589599</v>
      </c>
      <c r="M433" s="700"/>
    </row>
    <row r="434" spans="7:13">
      <c r="G434" s="700" t="s">
        <v>785</v>
      </c>
      <c r="H434" s="700" t="s">
        <v>785</v>
      </c>
      <c r="I434" s="700" t="s">
        <v>124</v>
      </c>
      <c r="J434" s="700">
        <v>556</v>
      </c>
      <c r="K434" s="702">
        <v>62942.839664371801</v>
      </c>
      <c r="L434" s="702">
        <v>113.206546158942</v>
      </c>
      <c r="M434" s="700"/>
    </row>
    <row r="435" spans="7:13">
      <c r="G435" s="700" t="s">
        <v>785</v>
      </c>
      <c r="H435" s="700" t="s">
        <v>785</v>
      </c>
      <c r="I435" s="700" t="s">
        <v>298</v>
      </c>
      <c r="J435" s="700">
        <v>3049</v>
      </c>
      <c r="K435" s="702">
        <v>352055.17507307202</v>
      </c>
      <c r="L435" s="702">
        <v>115.465783887528</v>
      </c>
      <c r="M435" s="700"/>
    </row>
    <row r="436" spans="7:13">
      <c r="G436" s="700" t="s">
        <v>785</v>
      </c>
      <c r="H436" s="700" t="s">
        <v>785</v>
      </c>
      <c r="I436" s="700" t="s">
        <v>319</v>
      </c>
      <c r="J436" s="700">
        <v>54</v>
      </c>
      <c r="K436" s="702">
        <v>6440.2503513235197</v>
      </c>
      <c r="L436" s="702">
        <v>119.26389539488</v>
      </c>
      <c r="M436" s="700"/>
    </row>
    <row r="437" spans="7:13">
      <c r="G437" s="700" t="s">
        <v>785</v>
      </c>
      <c r="H437" s="700" t="s">
        <v>785</v>
      </c>
      <c r="I437" s="700" t="s">
        <v>196</v>
      </c>
      <c r="J437" s="700">
        <v>6</v>
      </c>
      <c r="K437" s="702">
        <v>585.05767570872604</v>
      </c>
      <c r="L437" s="702">
        <v>97.509612618121096</v>
      </c>
      <c r="M437" s="700"/>
    </row>
    <row r="438" spans="7:13">
      <c r="G438" s="700" t="s">
        <v>785</v>
      </c>
      <c r="H438" s="700" t="s">
        <v>785</v>
      </c>
      <c r="I438" s="700" t="s">
        <v>635</v>
      </c>
      <c r="J438" s="700">
        <v>6</v>
      </c>
      <c r="K438" s="702">
        <v>1074.4763562338801</v>
      </c>
      <c r="L438" s="702">
        <v>179.079392705646</v>
      </c>
      <c r="M438" s="700"/>
    </row>
    <row r="439" spans="7:13">
      <c r="G439" s="700" t="s">
        <v>785</v>
      </c>
      <c r="H439" s="700" t="s">
        <v>785</v>
      </c>
      <c r="I439" s="700" t="s">
        <v>225</v>
      </c>
      <c r="J439" s="700">
        <v>353</v>
      </c>
      <c r="K439" s="702">
        <v>32590.319692511999</v>
      </c>
      <c r="L439" s="702">
        <v>92.323851820147198</v>
      </c>
      <c r="M439" s="700"/>
    </row>
    <row r="440" spans="7:13">
      <c r="G440" s="700" t="s">
        <v>785</v>
      </c>
      <c r="H440" s="700" t="s">
        <v>785</v>
      </c>
      <c r="I440" s="700" t="s">
        <v>81</v>
      </c>
      <c r="J440" s="700">
        <v>15</v>
      </c>
      <c r="K440" s="702">
        <v>4704.7624542071699</v>
      </c>
      <c r="L440" s="702">
        <v>313.65083028047798</v>
      </c>
      <c r="M440" s="700"/>
    </row>
    <row r="441" spans="7:13">
      <c r="G441" s="700" t="s">
        <v>785</v>
      </c>
      <c r="H441" s="700" t="s">
        <v>785</v>
      </c>
      <c r="I441" s="700" t="s">
        <v>862</v>
      </c>
      <c r="J441" s="700">
        <v>17766</v>
      </c>
      <c r="K441" s="702">
        <v>3621712.7153882398</v>
      </c>
      <c r="L441" s="702">
        <v>203.85639510234401</v>
      </c>
      <c r="M441" s="700"/>
    </row>
    <row r="442" spans="7:13">
      <c r="G442" s="700" t="s">
        <v>785</v>
      </c>
      <c r="H442" s="700" t="s">
        <v>785</v>
      </c>
      <c r="I442" s="700" t="s">
        <v>863</v>
      </c>
      <c r="J442" s="700">
        <v>2113</v>
      </c>
      <c r="K442" s="702">
        <v>173347.438033718</v>
      </c>
      <c r="L442" s="702">
        <v>82.038541426274406</v>
      </c>
      <c r="M442" s="700"/>
    </row>
    <row r="443" spans="7:13">
      <c r="G443" s="700" t="s">
        <v>785</v>
      </c>
      <c r="H443" s="700" t="s">
        <v>785</v>
      </c>
      <c r="I443" s="700" t="s">
        <v>159</v>
      </c>
      <c r="J443" s="700">
        <v>1689</v>
      </c>
      <c r="K443" s="702">
        <v>181975.38626070201</v>
      </c>
      <c r="L443" s="702">
        <v>107.741495713856</v>
      </c>
      <c r="M443" s="700"/>
    </row>
    <row r="444" spans="7:13">
      <c r="G444" s="700" t="s">
        <v>785</v>
      </c>
      <c r="H444" s="700" t="s">
        <v>785</v>
      </c>
      <c r="I444" s="700" t="s">
        <v>636</v>
      </c>
      <c r="J444" s="700">
        <v>2</v>
      </c>
      <c r="K444" s="702">
        <v>227.09859977897301</v>
      </c>
      <c r="L444" s="702">
        <v>113.54929988948599</v>
      </c>
      <c r="M444" s="700"/>
    </row>
    <row r="445" spans="7:13">
      <c r="G445" s="700" t="s">
        <v>785</v>
      </c>
      <c r="H445" s="700" t="s">
        <v>785</v>
      </c>
      <c r="I445" s="700" t="s">
        <v>236</v>
      </c>
      <c r="J445" s="700">
        <v>959</v>
      </c>
      <c r="K445" s="702">
        <v>267977.898787849</v>
      </c>
      <c r="L445" s="702">
        <v>279.43472240651698</v>
      </c>
      <c r="M445" s="700"/>
    </row>
    <row r="446" spans="7:13">
      <c r="G446" s="700" t="s">
        <v>785</v>
      </c>
      <c r="H446" s="700" t="s">
        <v>785</v>
      </c>
      <c r="I446" s="700" t="s">
        <v>363</v>
      </c>
      <c r="J446" s="700">
        <v>3</v>
      </c>
      <c r="K446" s="702">
        <v>743.33529229609906</v>
      </c>
      <c r="L446" s="702">
        <v>247.77843076536601</v>
      </c>
      <c r="M446" s="700"/>
    </row>
    <row r="447" spans="7:13">
      <c r="G447" s="700" t="s">
        <v>785</v>
      </c>
      <c r="H447" s="700" t="s">
        <v>785</v>
      </c>
      <c r="I447" s="700" t="s">
        <v>350</v>
      </c>
      <c r="J447" s="700">
        <v>3</v>
      </c>
      <c r="K447" s="702">
        <v>669.32427194530999</v>
      </c>
      <c r="L447" s="702">
        <v>223.10809064843701</v>
      </c>
      <c r="M447" s="700"/>
    </row>
    <row r="448" spans="7:13">
      <c r="G448" s="700" t="s">
        <v>785</v>
      </c>
      <c r="H448" s="700" t="s">
        <v>785</v>
      </c>
      <c r="I448" s="700" t="s">
        <v>637</v>
      </c>
      <c r="J448" s="700">
        <v>79</v>
      </c>
      <c r="K448" s="702">
        <v>10352.3569935335</v>
      </c>
      <c r="L448" s="702">
        <v>131.04249358903201</v>
      </c>
      <c r="M448" s="700"/>
    </row>
    <row r="449" spans="7:13">
      <c r="G449" s="700" t="s">
        <v>785</v>
      </c>
      <c r="H449" s="700" t="s">
        <v>785</v>
      </c>
      <c r="I449" s="700" t="s">
        <v>864</v>
      </c>
      <c r="J449" s="700">
        <v>19759</v>
      </c>
      <c r="K449" s="702">
        <v>2415047.5837507602</v>
      </c>
      <c r="L449" s="702">
        <v>122.2251927603</v>
      </c>
      <c r="M449" s="700"/>
    </row>
    <row r="450" spans="7:13">
      <c r="G450" s="700" t="s">
        <v>785</v>
      </c>
      <c r="H450" s="700" t="s">
        <v>785</v>
      </c>
      <c r="I450" s="700" t="s">
        <v>260</v>
      </c>
      <c r="J450" s="700">
        <v>49</v>
      </c>
      <c r="K450" s="702">
        <v>15368.890683743401</v>
      </c>
      <c r="L450" s="702">
        <v>313.65083028047798</v>
      </c>
      <c r="M450" s="700"/>
    </row>
    <row r="451" spans="7:13">
      <c r="G451" s="700" t="s">
        <v>785</v>
      </c>
      <c r="H451" s="700" t="s">
        <v>785</v>
      </c>
      <c r="I451" s="700" t="s">
        <v>638</v>
      </c>
      <c r="J451" s="700">
        <v>22</v>
      </c>
      <c r="K451" s="702">
        <v>23611.793942380998</v>
      </c>
      <c r="L451" s="702">
        <v>1073.26336101732</v>
      </c>
      <c r="M451" s="700"/>
    </row>
    <row r="452" spans="7:13">
      <c r="G452" s="700" t="s">
        <v>785</v>
      </c>
      <c r="H452" s="700" t="s">
        <v>785</v>
      </c>
      <c r="I452" s="700" t="s">
        <v>865</v>
      </c>
      <c r="J452" s="700">
        <v>19686</v>
      </c>
      <c r="K452" s="702">
        <v>2634916.2983877799</v>
      </c>
      <c r="L452" s="702">
        <v>133.847216213948</v>
      </c>
      <c r="M452" s="700"/>
    </row>
    <row r="453" spans="7:13">
      <c r="G453" s="700" t="s">
        <v>785</v>
      </c>
      <c r="H453" s="700" t="s">
        <v>785</v>
      </c>
      <c r="I453" s="700" t="s">
        <v>191</v>
      </c>
      <c r="J453" s="700">
        <v>8</v>
      </c>
      <c r="K453" s="702">
        <v>942.56269721896194</v>
      </c>
      <c r="L453" s="702">
        <v>117.82033715237</v>
      </c>
      <c r="M453" s="700"/>
    </row>
    <row r="454" spans="7:13">
      <c r="G454" s="700" t="s">
        <v>785</v>
      </c>
      <c r="H454" s="700" t="s">
        <v>785</v>
      </c>
      <c r="I454" s="700" t="s">
        <v>639</v>
      </c>
      <c r="J454" s="700">
        <v>1</v>
      </c>
      <c r="K454" s="702">
        <v>200.69641133109701</v>
      </c>
      <c r="L454" s="702">
        <v>200.69641133109701</v>
      </c>
      <c r="M454" s="700"/>
    </row>
    <row r="455" spans="7:13">
      <c r="G455" s="700" t="s">
        <v>785</v>
      </c>
      <c r="H455" s="700" t="s">
        <v>785</v>
      </c>
      <c r="I455" s="700" t="s">
        <v>142</v>
      </c>
      <c r="J455" s="700">
        <v>191</v>
      </c>
      <c r="K455" s="702">
        <v>532441.95136361802</v>
      </c>
      <c r="L455" s="702">
        <v>2787.6541956210299</v>
      </c>
      <c r="M455" s="700"/>
    </row>
    <row r="456" spans="7:13">
      <c r="G456" s="700" t="s">
        <v>785</v>
      </c>
      <c r="H456" s="700" t="s">
        <v>785</v>
      </c>
      <c r="I456" s="700" t="s">
        <v>640</v>
      </c>
      <c r="J456" s="700">
        <v>38</v>
      </c>
      <c r="K456" s="702">
        <v>5161.8327151680596</v>
      </c>
      <c r="L456" s="702">
        <v>135.837703030738</v>
      </c>
      <c r="M456" s="700"/>
    </row>
    <row r="457" spans="7:13">
      <c r="G457" s="700" t="s">
        <v>785</v>
      </c>
      <c r="H457" s="700" t="s">
        <v>785</v>
      </c>
      <c r="I457" s="700" t="s">
        <v>641</v>
      </c>
      <c r="J457" s="700">
        <v>2</v>
      </c>
      <c r="K457" s="702">
        <v>171.18384895995001</v>
      </c>
      <c r="L457" s="702">
        <v>85.591924479974793</v>
      </c>
      <c r="M457" s="700"/>
    </row>
    <row r="458" spans="7:13">
      <c r="G458" s="700" t="s">
        <v>785</v>
      </c>
      <c r="H458" s="700" t="s">
        <v>785</v>
      </c>
      <c r="I458" s="700" t="s">
        <v>866</v>
      </c>
      <c r="J458" s="700">
        <v>12145</v>
      </c>
      <c r="K458" s="702">
        <v>1932179.6204116901</v>
      </c>
      <c r="L458" s="702">
        <v>159.09259945752899</v>
      </c>
      <c r="M458" s="700"/>
    </row>
    <row r="459" spans="7:13">
      <c r="G459" s="700" t="s">
        <v>785</v>
      </c>
      <c r="H459" s="700" t="s">
        <v>785</v>
      </c>
      <c r="I459" s="700" t="s">
        <v>147</v>
      </c>
      <c r="J459" s="700">
        <v>1290</v>
      </c>
      <c r="K459" s="702">
        <v>220951.77400020801</v>
      </c>
      <c r="L459" s="702">
        <v>171.280444961402</v>
      </c>
      <c r="M459" s="700"/>
    </row>
    <row r="460" spans="7:13">
      <c r="G460" s="700" t="s">
        <v>785</v>
      </c>
      <c r="H460" s="700" t="s">
        <v>785</v>
      </c>
      <c r="I460" s="700" t="s">
        <v>101</v>
      </c>
      <c r="J460" s="700">
        <v>51</v>
      </c>
      <c r="K460" s="702">
        <v>5376.5228159743101</v>
      </c>
      <c r="L460" s="702">
        <v>105.422015999496</v>
      </c>
      <c r="M460" s="700"/>
    </row>
    <row r="461" spans="7:13">
      <c r="G461" s="700" t="s">
        <v>785</v>
      </c>
      <c r="H461" s="700" t="s">
        <v>785</v>
      </c>
      <c r="I461" s="700" t="s">
        <v>642</v>
      </c>
      <c r="J461" s="700">
        <v>8</v>
      </c>
      <c r="K461" s="702">
        <v>1114.5671430719699</v>
      </c>
      <c r="L461" s="702">
        <v>139.32089288399601</v>
      </c>
      <c r="M461" s="700"/>
    </row>
    <row r="462" spans="7:13">
      <c r="G462" s="700" t="s">
        <v>785</v>
      </c>
      <c r="H462" s="700" t="s">
        <v>785</v>
      </c>
      <c r="I462" s="700" t="s">
        <v>91</v>
      </c>
      <c r="J462" s="700">
        <v>140</v>
      </c>
      <c r="K462" s="702">
        <v>14364.080726178699</v>
      </c>
      <c r="L462" s="702">
        <v>102.60057661556201</v>
      </c>
      <c r="M462" s="700"/>
    </row>
    <row r="463" spans="7:13">
      <c r="G463" s="700" t="s">
        <v>785</v>
      </c>
      <c r="H463" s="700" t="s">
        <v>785</v>
      </c>
      <c r="I463" s="700" t="s">
        <v>643</v>
      </c>
      <c r="J463" s="700">
        <v>15</v>
      </c>
      <c r="K463" s="702">
        <v>3079.51077332772</v>
      </c>
      <c r="L463" s="702">
        <v>205.300718221848</v>
      </c>
      <c r="M463" s="700"/>
    </row>
    <row r="464" spans="7:13">
      <c r="G464" s="700" t="s">
        <v>785</v>
      </c>
      <c r="H464" s="700" t="s">
        <v>785</v>
      </c>
      <c r="I464" s="700" t="s">
        <v>867</v>
      </c>
      <c r="J464" s="700">
        <v>6415</v>
      </c>
      <c r="K464" s="702">
        <v>907966.495707075</v>
      </c>
      <c r="L464" s="702">
        <v>141.53803518426699</v>
      </c>
      <c r="M464" s="700"/>
    </row>
    <row r="465" spans="7:13">
      <c r="G465" s="700" t="s">
        <v>785</v>
      </c>
      <c r="H465" s="700" t="s">
        <v>785</v>
      </c>
      <c r="I465" s="700" t="s">
        <v>311</v>
      </c>
      <c r="J465" s="700">
        <v>669</v>
      </c>
      <c r="K465" s="702">
        <v>83820.514693406105</v>
      </c>
      <c r="L465" s="702">
        <v>125.292249168021</v>
      </c>
      <c r="M465" s="700"/>
    </row>
    <row r="466" spans="7:13">
      <c r="G466" s="700" t="s">
        <v>785</v>
      </c>
      <c r="H466" s="700" t="s">
        <v>785</v>
      </c>
      <c r="I466" s="700" t="s">
        <v>129</v>
      </c>
      <c r="J466" s="700">
        <v>302</v>
      </c>
      <c r="K466" s="702">
        <v>36640.080821165298</v>
      </c>
      <c r="L466" s="702">
        <v>121.324770931011</v>
      </c>
      <c r="M466" s="700"/>
    </row>
    <row r="467" spans="7:13">
      <c r="G467" s="700" t="s">
        <v>785</v>
      </c>
      <c r="H467" s="700" t="s">
        <v>785</v>
      </c>
      <c r="I467" s="700" t="s">
        <v>644</v>
      </c>
      <c r="J467" s="700">
        <v>270</v>
      </c>
      <c r="K467" s="702">
        <v>18758.239312645001</v>
      </c>
      <c r="L467" s="702">
        <v>69.474960417203505</v>
      </c>
      <c r="M467" s="700"/>
    </row>
    <row r="468" spans="7:13">
      <c r="G468" s="700" t="s">
        <v>785</v>
      </c>
      <c r="H468" s="700" t="s">
        <v>785</v>
      </c>
      <c r="I468" s="700" t="s">
        <v>265</v>
      </c>
      <c r="J468" s="700">
        <v>84</v>
      </c>
      <c r="K468" s="702">
        <v>15812.1298983447</v>
      </c>
      <c r="L468" s="702">
        <v>188.23964164696099</v>
      </c>
      <c r="M468" s="700"/>
    </row>
    <row r="469" spans="7:13">
      <c r="G469" s="700" t="s">
        <v>785</v>
      </c>
      <c r="H469" s="700" t="s">
        <v>785</v>
      </c>
      <c r="I469" s="700" t="s">
        <v>645</v>
      </c>
      <c r="J469" s="700">
        <v>2</v>
      </c>
      <c r="K469" s="702">
        <v>973.10602782665501</v>
      </c>
      <c r="L469" s="702">
        <v>486.55301391332802</v>
      </c>
      <c r="M469" s="700"/>
    </row>
    <row r="470" spans="7:13">
      <c r="G470" s="700" t="s">
        <v>785</v>
      </c>
      <c r="H470" s="700" t="s">
        <v>785</v>
      </c>
      <c r="I470" s="700" t="s">
        <v>868</v>
      </c>
      <c r="J470" s="700">
        <v>142945</v>
      </c>
      <c r="K470" s="702">
        <v>17016008.381581798</v>
      </c>
      <c r="L470" s="702">
        <v>119.038849778459</v>
      </c>
      <c r="M470" s="700"/>
    </row>
    <row r="471" spans="7:13">
      <c r="G471" s="700" t="s">
        <v>785</v>
      </c>
      <c r="H471" s="700" t="s">
        <v>785</v>
      </c>
      <c r="I471" s="700" t="s">
        <v>869</v>
      </c>
      <c r="J471" s="700">
        <v>223953</v>
      </c>
      <c r="K471" s="702">
        <v>30642713.1566872</v>
      </c>
      <c r="L471" s="702">
        <v>136.82653573154701</v>
      </c>
      <c r="M471" s="700"/>
    </row>
    <row r="472" spans="7:13">
      <c r="G472" s="700" t="s">
        <v>785</v>
      </c>
      <c r="H472" s="700" t="s">
        <v>785</v>
      </c>
      <c r="I472" s="700" t="s">
        <v>368</v>
      </c>
      <c r="J472" s="700">
        <v>44</v>
      </c>
      <c r="K472" s="702">
        <v>5128.6668275817701</v>
      </c>
      <c r="L472" s="702">
        <v>116.56060971776699</v>
      </c>
      <c r="M472" s="700"/>
    </row>
    <row r="473" spans="7:13">
      <c r="G473" s="700" t="s">
        <v>785</v>
      </c>
      <c r="H473" s="700" t="s">
        <v>785</v>
      </c>
      <c r="I473" s="700" t="s">
        <v>208</v>
      </c>
      <c r="J473" s="700">
        <v>11</v>
      </c>
      <c r="K473" s="702">
        <v>1497.4248266693401</v>
      </c>
      <c r="L473" s="702">
        <v>136.129529697213</v>
      </c>
      <c r="M473" s="700"/>
    </row>
    <row r="474" spans="7:13">
      <c r="G474" s="700" t="s">
        <v>785</v>
      </c>
      <c r="H474" s="700" t="s">
        <v>785</v>
      </c>
      <c r="I474" s="700" t="s">
        <v>870</v>
      </c>
      <c r="J474" s="700">
        <v>7757</v>
      </c>
      <c r="K474" s="702">
        <v>1017354.76083446</v>
      </c>
      <c r="L474" s="702">
        <v>131.15312115952801</v>
      </c>
      <c r="M474" s="700"/>
    </row>
    <row r="475" spans="7:13">
      <c r="G475" s="700" t="s">
        <v>785</v>
      </c>
      <c r="H475" s="700" t="s">
        <v>785</v>
      </c>
      <c r="I475" s="700" t="s">
        <v>95</v>
      </c>
      <c r="J475" s="700">
        <v>23</v>
      </c>
      <c r="K475" s="702">
        <v>3209.3305907294498</v>
      </c>
      <c r="L475" s="702">
        <v>139.53611264041101</v>
      </c>
      <c r="M475" s="700"/>
    </row>
    <row r="476" spans="7:13">
      <c r="G476" s="700" t="s">
        <v>785</v>
      </c>
      <c r="H476" s="700" t="s">
        <v>785</v>
      </c>
      <c r="I476" s="700" t="s">
        <v>646</v>
      </c>
      <c r="J476" s="700">
        <v>2</v>
      </c>
      <c r="K476" s="702">
        <v>794.28564771507399</v>
      </c>
      <c r="L476" s="702">
        <v>397.142823857537</v>
      </c>
      <c r="M476" s="700"/>
    </row>
    <row r="477" spans="7:13">
      <c r="G477" s="700" t="s">
        <v>785</v>
      </c>
      <c r="H477" s="700" t="s">
        <v>785</v>
      </c>
      <c r="I477" s="700" t="s">
        <v>146</v>
      </c>
      <c r="J477" s="700">
        <v>550</v>
      </c>
      <c r="K477" s="702">
        <v>86071.700348586193</v>
      </c>
      <c r="L477" s="702">
        <v>156.49400063379301</v>
      </c>
      <c r="M477" s="700"/>
    </row>
    <row r="478" spans="7:13">
      <c r="G478" s="700" t="s">
        <v>785</v>
      </c>
      <c r="H478" s="700" t="s">
        <v>785</v>
      </c>
      <c r="I478" s="700" t="s">
        <v>871</v>
      </c>
      <c r="J478" s="700">
        <v>31685</v>
      </c>
      <c r="K478" s="702">
        <v>5774043.5284592099</v>
      </c>
      <c r="L478" s="702">
        <v>182.232713538242</v>
      </c>
      <c r="M478" s="700"/>
    </row>
    <row r="479" spans="7:13">
      <c r="G479" s="700" t="s">
        <v>785</v>
      </c>
      <c r="H479" s="700" t="s">
        <v>785</v>
      </c>
      <c r="I479" s="700" t="s">
        <v>342</v>
      </c>
      <c r="J479" s="700">
        <v>31</v>
      </c>
      <c r="K479" s="702">
        <v>2089.4921424791401</v>
      </c>
      <c r="L479" s="702">
        <v>67.402972338036705</v>
      </c>
      <c r="M479" s="700"/>
    </row>
    <row r="480" spans="7:13">
      <c r="G480" s="700" t="s">
        <v>785</v>
      </c>
      <c r="H480" s="700" t="s">
        <v>785</v>
      </c>
      <c r="I480" s="700" t="s">
        <v>872</v>
      </c>
      <c r="J480" s="700">
        <v>429120</v>
      </c>
      <c r="K480" s="702">
        <v>44395263.601769999</v>
      </c>
      <c r="L480" s="702">
        <v>103.45652405334199</v>
      </c>
      <c r="M480" s="700"/>
    </row>
    <row r="481" spans="7:13">
      <c r="G481" s="700" t="s">
        <v>785</v>
      </c>
      <c r="H481" s="700" t="s">
        <v>785</v>
      </c>
      <c r="I481" s="700" t="s">
        <v>256</v>
      </c>
      <c r="J481" s="700">
        <v>4</v>
      </c>
      <c r="K481" s="702">
        <v>1526.55210922728</v>
      </c>
      <c r="L481" s="702">
        <v>381.63802730682102</v>
      </c>
      <c r="M481" s="700"/>
    </row>
    <row r="482" spans="7:13">
      <c r="G482" s="700" t="s">
        <v>785</v>
      </c>
      <c r="H482" s="700" t="s">
        <v>785</v>
      </c>
      <c r="I482" s="700" t="s">
        <v>873</v>
      </c>
      <c r="J482" s="700">
        <v>9552</v>
      </c>
      <c r="K482" s="702">
        <v>1281476.7121653401</v>
      </c>
      <c r="L482" s="702">
        <v>134.15794725349099</v>
      </c>
      <c r="M482" s="700"/>
    </row>
    <row r="483" spans="7:13">
      <c r="G483" s="700" t="s">
        <v>785</v>
      </c>
      <c r="H483" s="700" t="s">
        <v>785</v>
      </c>
      <c r="I483" s="700" t="s">
        <v>270</v>
      </c>
      <c r="J483" s="700">
        <v>1477</v>
      </c>
      <c r="K483" s="702">
        <v>291027.971412479</v>
      </c>
      <c r="L483" s="702">
        <v>197.039926481028</v>
      </c>
      <c r="M483" s="700"/>
    </row>
    <row r="484" spans="7:13">
      <c r="G484" s="700" t="s">
        <v>785</v>
      </c>
      <c r="H484" s="700" t="s">
        <v>785</v>
      </c>
      <c r="I484" s="700" t="s">
        <v>276</v>
      </c>
      <c r="J484" s="700">
        <v>1970</v>
      </c>
      <c r="K484" s="702">
        <v>355356.43432379002</v>
      </c>
      <c r="L484" s="702">
        <v>180.383976814107</v>
      </c>
      <c r="M484" s="700"/>
    </row>
    <row r="485" spans="7:13">
      <c r="G485" s="700" t="s">
        <v>785</v>
      </c>
      <c r="H485" s="700" t="s">
        <v>785</v>
      </c>
      <c r="I485" s="700" t="s">
        <v>103</v>
      </c>
      <c r="J485" s="700">
        <v>34</v>
      </c>
      <c r="K485" s="702">
        <v>1935.64086554151</v>
      </c>
      <c r="L485" s="702">
        <v>56.930613692397401</v>
      </c>
      <c r="M485" s="700"/>
    </row>
    <row r="486" spans="7:13">
      <c r="G486" s="700" t="s">
        <v>785</v>
      </c>
      <c r="H486" s="700" t="s">
        <v>785</v>
      </c>
      <c r="I486" s="700" t="s">
        <v>647</v>
      </c>
      <c r="J486" s="700">
        <v>78</v>
      </c>
      <c r="K486" s="702">
        <v>15405.895454407801</v>
      </c>
      <c r="L486" s="702">
        <v>197.51148018471599</v>
      </c>
      <c r="M486" s="700"/>
    </row>
    <row r="487" spans="7:13">
      <c r="G487" s="700" t="s">
        <v>785</v>
      </c>
      <c r="H487" s="700" t="s">
        <v>785</v>
      </c>
      <c r="I487" s="700" t="s">
        <v>648</v>
      </c>
      <c r="J487" s="700">
        <v>38420</v>
      </c>
      <c r="K487" s="702">
        <v>2279887.5988687598</v>
      </c>
      <c r="L487" s="702">
        <v>59.341166029900002</v>
      </c>
      <c r="M487" s="700"/>
    </row>
    <row r="488" spans="7:13">
      <c r="G488" s="700" t="s">
        <v>785</v>
      </c>
      <c r="H488" s="700" t="s">
        <v>785</v>
      </c>
      <c r="I488" s="700" t="s">
        <v>297</v>
      </c>
      <c r="J488" s="700">
        <v>1837</v>
      </c>
      <c r="K488" s="702">
        <v>375813.367330337</v>
      </c>
      <c r="L488" s="702">
        <v>204.579949553803</v>
      </c>
      <c r="M488" s="700"/>
    </row>
    <row r="489" spans="7:13">
      <c r="G489" s="700" t="s">
        <v>785</v>
      </c>
      <c r="H489" s="700" t="s">
        <v>785</v>
      </c>
      <c r="I489" s="700" t="s">
        <v>233</v>
      </c>
      <c r="J489" s="700">
        <v>4</v>
      </c>
      <c r="K489" s="702">
        <v>448.35094628925901</v>
      </c>
      <c r="L489" s="702">
        <v>112.08773657231499</v>
      </c>
      <c r="M489" s="700"/>
    </row>
    <row r="490" spans="7:13">
      <c r="G490" s="700" t="s">
        <v>785</v>
      </c>
      <c r="H490" s="700" t="s">
        <v>785</v>
      </c>
      <c r="I490" s="700" t="s">
        <v>649</v>
      </c>
      <c r="J490" s="700">
        <v>3</v>
      </c>
      <c r="K490" s="702">
        <v>1175.7678439833501</v>
      </c>
      <c r="L490" s="702">
        <v>391.92261466111597</v>
      </c>
      <c r="M490" s="700"/>
    </row>
    <row r="491" spans="7:13">
      <c r="G491" s="700" t="s">
        <v>785</v>
      </c>
      <c r="H491" s="700" t="s">
        <v>785</v>
      </c>
      <c r="I491" s="700" t="s">
        <v>130</v>
      </c>
      <c r="J491" s="700">
        <v>27</v>
      </c>
      <c r="K491" s="702">
        <v>3709.0750200627899</v>
      </c>
      <c r="L491" s="702">
        <v>137.37314889121399</v>
      </c>
      <c r="M491" s="700"/>
    </row>
    <row r="492" spans="7:13">
      <c r="G492" s="700" t="s">
        <v>785</v>
      </c>
      <c r="H492" s="700" t="s">
        <v>785</v>
      </c>
      <c r="I492" s="700" t="s">
        <v>107</v>
      </c>
      <c r="J492" s="700">
        <v>3</v>
      </c>
      <c r="K492" s="702">
        <v>217.871639377722</v>
      </c>
      <c r="L492" s="702">
        <v>72.623879792574101</v>
      </c>
      <c r="M492" s="700"/>
    </row>
    <row r="493" spans="7:13">
      <c r="G493" s="700" t="s">
        <v>785</v>
      </c>
      <c r="H493" s="700" t="s">
        <v>785</v>
      </c>
      <c r="I493" s="700" t="s">
        <v>874</v>
      </c>
      <c r="J493" s="700">
        <v>21908</v>
      </c>
      <c r="K493" s="702">
        <v>3513028.2961422899</v>
      </c>
      <c r="L493" s="702">
        <v>160.35367428073201</v>
      </c>
      <c r="M493" s="700"/>
    </row>
    <row r="494" spans="7:13">
      <c r="G494" s="700" t="s">
        <v>785</v>
      </c>
      <c r="H494" s="700" t="s">
        <v>785</v>
      </c>
      <c r="I494" s="700" t="s">
        <v>305</v>
      </c>
      <c r="J494" s="700">
        <v>2246</v>
      </c>
      <c r="K494" s="702">
        <v>323376.771243839</v>
      </c>
      <c r="L494" s="702">
        <v>143.97897205869899</v>
      </c>
      <c r="M494" s="700"/>
    </row>
    <row r="495" spans="7:13">
      <c r="G495" s="700" t="s">
        <v>785</v>
      </c>
      <c r="H495" s="700" t="s">
        <v>785</v>
      </c>
      <c r="I495" s="700" t="s">
        <v>271</v>
      </c>
      <c r="J495" s="700">
        <v>77</v>
      </c>
      <c r="K495" s="702">
        <v>9742.7123131041608</v>
      </c>
      <c r="L495" s="702">
        <v>126.528731339015</v>
      </c>
      <c r="M495" s="700"/>
    </row>
    <row r="496" spans="7:13">
      <c r="G496" s="700" t="s">
        <v>785</v>
      </c>
      <c r="H496" s="700" t="s">
        <v>785</v>
      </c>
      <c r="I496" s="700" t="s">
        <v>650</v>
      </c>
      <c r="J496" s="700">
        <v>1</v>
      </c>
      <c r="K496" s="702">
        <v>158.47114704188601</v>
      </c>
      <c r="L496" s="702">
        <v>158.47114704188601</v>
      </c>
      <c r="M496" s="700"/>
    </row>
    <row r="497" spans="7:13">
      <c r="G497" s="700" t="s">
        <v>785</v>
      </c>
      <c r="H497" s="700" t="s">
        <v>785</v>
      </c>
      <c r="I497" s="700" t="s">
        <v>651</v>
      </c>
      <c r="J497" s="700">
        <v>335</v>
      </c>
      <c r="K497" s="702">
        <v>59505.916615571899</v>
      </c>
      <c r="L497" s="702">
        <v>177.62960183752801</v>
      </c>
      <c r="M497" s="700"/>
    </row>
    <row r="498" spans="7:13">
      <c r="G498" s="700" t="s">
        <v>785</v>
      </c>
      <c r="H498" s="700" t="s">
        <v>785</v>
      </c>
      <c r="I498" s="700" t="s">
        <v>313</v>
      </c>
      <c r="J498" s="700">
        <v>19</v>
      </c>
      <c r="K498" s="702">
        <v>3182.3061664588599</v>
      </c>
      <c r="L498" s="702">
        <v>167.48979823467701</v>
      </c>
      <c r="M498" s="700"/>
    </row>
    <row r="499" spans="7:13">
      <c r="G499" s="700" t="s">
        <v>785</v>
      </c>
      <c r="H499" s="700" t="s">
        <v>785</v>
      </c>
      <c r="I499" s="700" t="s">
        <v>875</v>
      </c>
      <c r="J499" s="700">
        <v>197280</v>
      </c>
      <c r="K499" s="702">
        <v>23623891.865982201</v>
      </c>
      <c r="L499" s="702">
        <v>119.74803257290201</v>
      </c>
      <c r="M499" s="700"/>
    </row>
    <row r="500" spans="7:13">
      <c r="G500" s="700" t="s">
        <v>785</v>
      </c>
      <c r="H500" s="700" t="s">
        <v>785</v>
      </c>
      <c r="I500" s="700" t="s">
        <v>273</v>
      </c>
      <c r="J500" s="700">
        <v>3101</v>
      </c>
      <c r="K500" s="702">
        <v>311793.587985811</v>
      </c>
      <c r="L500" s="702">
        <v>100.546142530091</v>
      </c>
      <c r="M500" s="700"/>
    </row>
    <row r="501" spans="7:13">
      <c r="G501" s="700" t="s">
        <v>785</v>
      </c>
      <c r="H501" s="700" t="s">
        <v>785</v>
      </c>
      <c r="I501" s="700" t="s">
        <v>181</v>
      </c>
      <c r="J501" s="700">
        <v>1</v>
      </c>
      <c r="K501" s="702">
        <v>99.224687525701896</v>
      </c>
      <c r="L501" s="702">
        <v>99.224687525701896</v>
      </c>
      <c r="M501" s="700"/>
    </row>
    <row r="502" spans="7:13">
      <c r="G502" s="700" t="s">
        <v>785</v>
      </c>
      <c r="H502" s="700" t="s">
        <v>785</v>
      </c>
      <c r="I502" s="700" t="s">
        <v>325</v>
      </c>
      <c r="J502" s="700">
        <v>64</v>
      </c>
      <c r="K502" s="702">
        <v>8956.8615658305498</v>
      </c>
      <c r="L502" s="702">
        <v>139.950961966102</v>
      </c>
      <c r="M502" s="700"/>
    </row>
    <row r="503" spans="7:13">
      <c r="G503" s="700" t="s">
        <v>785</v>
      </c>
      <c r="H503" s="700" t="s">
        <v>785</v>
      </c>
      <c r="I503" s="700" t="s">
        <v>876</v>
      </c>
      <c r="J503" s="700">
        <v>126</v>
      </c>
      <c r="K503" s="702">
        <v>16130.445703990899</v>
      </c>
      <c r="L503" s="702">
        <v>128.01941034913401</v>
      </c>
      <c r="M503" s="700"/>
    </row>
    <row r="504" spans="7:13">
      <c r="G504" s="700" t="s">
        <v>785</v>
      </c>
      <c r="H504" s="700" t="s">
        <v>785</v>
      </c>
      <c r="I504" s="700" t="s">
        <v>652</v>
      </c>
      <c r="J504" s="700">
        <v>5</v>
      </c>
      <c r="K504" s="702">
        <v>798.12068821076298</v>
      </c>
      <c r="L504" s="702">
        <v>159.62413764215299</v>
      </c>
      <c r="M504" s="700"/>
    </row>
    <row r="505" spans="7:13">
      <c r="G505" s="700" t="s">
        <v>785</v>
      </c>
      <c r="H505" s="700" t="s">
        <v>785</v>
      </c>
      <c r="I505" s="700" t="s">
        <v>877</v>
      </c>
      <c r="J505" s="700">
        <v>113875</v>
      </c>
      <c r="K505" s="702">
        <v>13461299.7536288</v>
      </c>
      <c r="L505" s="702">
        <v>118.211194323854</v>
      </c>
      <c r="M505" s="700"/>
    </row>
    <row r="506" spans="7:13">
      <c r="G506" s="700" t="s">
        <v>785</v>
      </c>
      <c r="H506" s="700" t="s">
        <v>785</v>
      </c>
      <c r="I506" s="700" t="s">
        <v>108</v>
      </c>
      <c r="J506" s="700">
        <v>294</v>
      </c>
      <c r="K506" s="702">
        <v>38109.856438433999</v>
      </c>
      <c r="L506" s="702">
        <v>129.62536203549001</v>
      </c>
      <c r="M506" s="700"/>
    </row>
    <row r="507" spans="7:13">
      <c r="G507" s="700" t="s">
        <v>785</v>
      </c>
      <c r="H507" s="700" t="s">
        <v>785</v>
      </c>
      <c r="I507" s="700" t="s">
        <v>232</v>
      </c>
      <c r="J507" s="700">
        <v>425</v>
      </c>
      <c r="K507" s="702">
        <v>414643.64846656</v>
      </c>
      <c r="L507" s="702">
        <v>975.63211403896605</v>
      </c>
      <c r="M507" s="700"/>
    </row>
    <row r="508" spans="7:13">
      <c r="G508" s="700" t="s">
        <v>785</v>
      </c>
      <c r="H508" s="700" t="s">
        <v>785</v>
      </c>
      <c r="I508" s="700" t="s">
        <v>266</v>
      </c>
      <c r="J508" s="700">
        <v>12</v>
      </c>
      <c r="K508" s="702">
        <v>1470.7508550639</v>
      </c>
      <c r="L508" s="702">
        <v>122.562571255325</v>
      </c>
      <c r="M508" s="700"/>
    </row>
    <row r="509" spans="7:13">
      <c r="G509" s="700" t="s">
        <v>785</v>
      </c>
      <c r="H509" s="700" t="s">
        <v>785</v>
      </c>
      <c r="I509" s="700" t="s">
        <v>287</v>
      </c>
      <c r="J509" s="700">
        <v>5</v>
      </c>
      <c r="K509" s="702">
        <v>661.49771762283001</v>
      </c>
      <c r="L509" s="702">
        <v>132.29954352456599</v>
      </c>
      <c r="M509" s="700"/>
    </row>
    <row r="510" spans="7:13">
      <c r="G510" s="700" t="s">
        <v>785</v>
      </c>
      <c r="H510" s="700" t="s">
        <v>785</v>
      </c>
      <c r="I510" s="700" t="s">
        <v>653</v>
      </c>
      <c r="J510" s="700">
        <v>3266</v>
      </c>
      <c r="K510" s="702">
        <v>719586.68621144001</v>
      </c>
      <c r="L510" s="702">
        <v>220.326603249063</v>
      </c>
      <c r="M510" s="700"/>
    </row>
    <row r="511" spans="7:13">
      <c r="G511" s="700" t="s">
        <v>785</v>
      </c>
      <c r="H511" s="700" t="s">
        <v>785</v>
      </c>
      <c r="I511" s="700" t="s">
        <v>249</v>
      </c>
      <c r="J511" s="700">
        <v>55632</v>
      </c>
      <c r="K511" s="702">
        <v>7361554.4916423103</v>
      </c>
      <c r="L511" s="702">
        <v>132.325900410597</v>
      </c>
      <c r="M511" s="700"/>
    </row>
    <row r="512" spans="7:13">
      <c r="G512" s="700" t="s">
        <v>785</v>
      </c>
      <c r="H512" s="700" t="s">
        <v>785</v>
      </c>
      <c r="I512" s="700" t="s">
        <v>148</v>
      </c>
      <c r="J512" s="700">
        <v>111</v>
      </c>
      <c r="K512" s="702">
        <v>21375.235210665</v>
      </c>
      <c r="L512" s="702">
        <v>192.56968658256801</v>
      </c>
      <c r="M512" s="700"/>
    </row>
    <row r="513" spans="7:13">
      <c r="G513" s="700" t="s">
        <v>785</v>
      </c>
      <c r="H513" s="700" t="s">
        <v>785</v>
      </c>
      <c r="I513" s="700" t="s">
        <v>654</v>
      </c>
      <c r="J513" s="700">
        <v>2</v>
      </c>
      <c r="K513" s="702">
        <v>135.46152483262401</v>
      </c>
      <c r="L513" s="702">
        <v>67.730762416311904</v>
      </c>
      <c r="M513" s="700"/>
    </row>
    <row r="514" spans="7:13">
      <c r="G514" s="700" t="s">
        <v>785</v>
      </c>
      <c r="H514" s="700" t="s">
        <v>785</v>
      </c>
      <c r="I514" s="700" t="s">
        <v>878</v>
      </c>
      <c r="J514" s="700">
        <v>6418</v>
      </c>
      <c r="K514" s="702">
        <v>927958.80326504505</v>
      </c>
      <c r="L514" s="702">
        <v>144.586912319265</v>
      </c>
      <c r="M514" s="700"/>
    </row>
    <row r="515" spans="7:13">
      <c r="G515" s="700" t="s">
        <v>785</v>
      </c>
      <c r="H515" s="700" t="s">
        <v>785</v>
      </c>
      <c r="I515" s="700" t="s">
        <v>655</v>
      </c>
      <c r="J515" s="700">
        <v>421</v>
      </c>
      <c r="K515" s="702">
        <v>123486.180698761</v>
      </c>
      <c r="L515" s="702">
        <v>293.31634370251999</v>
      </c>
      <c r="M515" s="700"/>
    </row>
    <row r="516" spans="7:13">
      <c r="G516" s="700" t="s">
        <v>785</v>
      </c>
      <c r="H516" s="700" t="s">
        <v>785</v>
      </c>
      <c r="I516" s="700" t="s">
        <v>309</v>
      </c>
      <c r="J516" s="700">
        <v>12</v>
      </c>
      <c r="K516" s="702">
        <v>1053.4469376904001</v>
      </c>
      <c r="L516" s="702">
        <v>87.787244807533696</v>
      </c>
      <c r="M516" s="700"/>
    </row>
    <row r="517" spans="7:13">
      <c r="G517" s="700" t="s">
        <v>785</v>
      </c>
      <c r="H517" s="700" t="s">
        <v>785</v>
      </c>
      <c r="I517" s="700" t="s">
        <v>656</v>
      </c>
      <c r="J517" s="700">
        <v>1</v>
      </c>
      <c r="K517" s="702">
        <v>242.45363739939299</v>
      </c>
      <c r="L517" s="702">
        <v>242.45363739939299</v>
      </c>
      <c r="M517" s="700"/>
    </row>
    <row r="518" spans="7:13">
      <c r="G518" s="700" t="s">
        <v>785</v>
      </c>
      <c r="H518" s="700" t="s">
        <v>785</v>
      </c>
      <c r="I518" s="700" t="s">
        <v>118</v>
      </c>
      <c r="J518" s="700">
        <v>241</v>
      </c>
      <c r="K518" s="702">
        <v>43101.712026789501</v>
      </c>
      <c r="L518" s="702">
        <v>178.84527811945799</v>
      </c>
      <c r="M518" s="700"/>
    </row>
    <row r="519" spans="7:13">
      <c r="G519" s="700" t="s">
        <v>785</v>
      </c>
      <c r="H519" s="700" t="s">
        <v>785</v>
      </c>
      <c r="I519" s="700" t="s">
        <v>172</v>
      </c>
      <c r="J519" s="700">
        <v>57</v>
      </c>
      <c r="K519" s="702">
        <v>9213.4807632005704</v>
      </c>
      <c r="L519" s="702">
        <v>161.64001338948401</v>
      </c>
      <c r="M519" s="700"/>
    </row>
    <row r="520" spans="7:13">
      <c r="G520" s="700" t="s">
        <v>785</v>
      </c>
      <c r="H520" s="700" t="s">
        <v>785</v>
      </c>
      <c r="I520" s="700" t="s">
        <v>657</v>
      </c>
      <c r="J520" s="700">
        <v>1</v>
      </c>
      <c r="K520" s="702">
        <v>99.224687525701896</v>
      </c>
      <c r="L520" s="702">
        <v>99.224687525701896</v>
      </c>
      <c r="M520" s="700"/>
    </row>
    <row r="521" spans="7:13">
      <c r="G521" s="700" t="s">
        <v>785</v>
      </c>
      <c r="H521" s="700" t="s">
        <v>785</v>
      </c>
      <c r="I521" s="700" t="s">
        <v>80</v>
      </c>
      <c r="J521" s="700">
        <v>6</v>
      </c>
      <c r="K521" s="702">
        <v>1317.13288693596</v>
      </c>
      <c r="L521" s="702">
        <v>219.522147822661</v>
      </c>
      <c r="M521" s="700"/>
    </row>
    <row r="522" spans="7:13">
      <c r="G522" s="700" t="s">
        <v>785</v>
      </c>
      <c r="H522" s="700" t="s">
        <v>785</v>
      </c>
      <c r="I522" s="700" t="s">
        <v>879</v>
      </c>
      <c r="J522" s="700">
        <v>17665</v>
      </c>
      <c r="K522" s="702">
        <v>2077496.19288739</v>
      </c>
      <c r="L522" s="702">
        <v>117.60521895767801</v>
      </c>
      <c r="M522" s="700"/>
    </row>
    <row r="523" spans="7:13">
      <c r="G523" s="700" t="s">
        <v>785</v>
      </c>
      <c r="H523" s="700" t="s">
        <v>785</v>
      </c>
      <c r="I523" s="700" t="s">
        <v>178</v>
      </c>
      <c r="J523" s="700">
        <v>7</v>
      </c>
      <c r="K523" s="702">
        <v>6961.61870717087</v>
      </c>
      <c r="L523" s="702">
        <v>994.51695816726703</v>
      </c>
      <c r="M523" s="700"/>
    </row>
    <row r="524" spans="7:13">
      <c r="G524" s="700" t="s">
        <v>785</v>
      </c>
      <c r="H524" s="700" t="s">
        <v>785</v>
      </c>
      <c r="I524" s="700" t="s">
        <v>880</v>
      </c>
      <c r="J524" s="700">
        <v>164689</v>
      </c>
      <c r="K524" s="702">
        <v>19276051.043346699</v>
      </c>
      <c r="L524" s="702">
        <v>117.045164178219</v>
      </c>
      <c r="M524" s="700"/>
    </row>
    <row r="525" spans="7:13">
      <c r="G525" s="700" t="s">
        <v>785</v>
      </c>
      <c r="H525" s="700" t="s">
        <v>785</v>
      </c>
      <c r="I525" s="700" t="s">
        <v>658</v>
      </c>
      <c r="J525" s="700">
        <v>2743</v>
      </c>
      <c r="K525" s="702">
        <v>654332.18712387001</v>
      </c>
      <c r="L525" s="702">
        <v>238.54618560841001</v>
      </c>
      <c r="M525" s="700"/>
    </row>
    <row r="526" spans="7:13">
      <c r="G526" s="700" t="s">
        <v>785</v>
      </c>
      <c r="H526" s="700" t="s">
        <v>785</v>
      </c>
      <c r="I526" s="700" t="s">
        <v>659</v>
      </c>
      <c r="J526" s="700">
        <v>5</v>
      </c>
      <c r="K526" s="702">
        <v>277.25953966028698</v>
      </c>
      <c r="L526" s="702">
        <v>55.451907932057303</v>
      </c>
      <c r="M526" s="700"/>
    </row>
    <row r="527" spans="7:13">
      <c r="G527" s="700" t="s">
        <v>785</v>
      </c>
      <c r="H527" s="700" t="s">
        <v>785</v>
      </c>
      <c r="I527" s="700" t="s">
        <v>104</v>
      </c>
      <c r="J527" s="700">
        <v>285</v>
      </c>
      <c r="K527" s="702">
        <v>36926.731166223399</v>
      </c>
      <c r="L527" s="702">
        <v>129.56747777622201</v>
      </c>
      <c r="M527" s="700"/>
    </row>
    <row r="528" spans="7:13">
      <c r="G528" s="700" t="s">
        <v>785</v>
      </c>
      <c r="H528" s="700" t="s">
        <v>785</v>
      </c>
      <c r="I528" s="700" t="s">
        <v>660</v>
      </c>
      <c r="J528" s="700">
        <v>4</v>
      </c>
      <c r="K528" s="702">
        <v>682.26327252042995</v>
      </c>
      <c r="L528" s="702">
        <v>170.565818130108</v>
      </c>
      <c r="M528" s="700"/>
    </row>
    <row r="529" spans="7:13">
      <c r="G529" s="700" t="s">
        <v>785</v>
      </c>
      <c r="H529" s="700" t="s">
        <v>785</v>
      </c>
      <c r="I529" s="700" t="s">
        <v>881</v>
      </c>
      <c r="J529" s="700">
        <v>22848</v>
      </c>
      <c r="K529" s="702">
        <v>2838012.1367938002</v>
      </c>
      <c r="L529" s="702">
        <v>124.212716071157</v>
      </c>
      <c r="M529" s="700"/>
    </row>
    <row r="530" spans="7:13">
      <c r="G530" s="700" t="s">
        <v>785</v>
      </c>
      <c r="H530" s="700" t="s">
        <v>785</v>
      </c>
      <c r="I530" s="700" t="s">
        <v>661</v>
      </c>
      <c r="J530" s="700">
        <v>1230</v>
      </c>
      <c r="K530" s="702">
        <v>125708.912382144</v>
      </c>
      <c r="L530" s="702">
        <v>102.202367790361</v>
      </c>
      <c r="M530" s="700"/>
    </row>
  </sheetData>
  <autoFilter ref="A3:W422"/>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V114"/>
  <sheetViews>
    <sheetView showGridLines="0" workbookViewId="0"/>
  </sheetViews>
  <sheetFormatPr defaultRowHeight="15"/>
  <cols>
    <col min="1" max="1" width="9.140625" style="507"/>
    <col min="2" max="2" width="43.7109375" style="507" bestFit="1" customWidth="1"/>
    <col min="3" max="3" width="16.140625" style="507" bestFit="1" customWidth="1"/>
    <col min="4" max="4" width="12.42578125" style="507" customWidth="1"/>
    <col min="5" max="5" width="10.140625" style="507" customWidth="1"/>
    <col min="6" max="6" width="9.140625" style="507"/>
    <col min="7" max="7" width="10.140625" style="507" customWidth="1"/>
    <col min="8" max="8" width="20.5703125" style="507" customWidth="1"/>
    <col min="9" max="9" width="18" style="507" customWidth="1"/>
    <col min="10" max="10" width="21.140625" style="62" bestFit="1" customWidth="1"/>
    <col min="11" max="11" width="9.140625" style="507"/>
    <col min="12" max="12" width="43.7109375" style="507" bestFit="1" customWidth="1"/>
    <col min="13" max="15" width="10.140625" style="507" customWidth="1"/>
    <col min="16" max="16" width="9.140625" style="507"/>
    <col min="17" max="17" width="10.140625" style="507" customWidth="1"/>
    <col min="18" max="18" width="21.140625" style="507" bestFit="1" customWidth="1"/>
    <col min="19" max="16384" width="9.140625" style="507"/>
  </cols>
  <sheetData>
    <row r="1" spans="1:22" ht="16.5" customHeight="1" thickBot="1">
      <c r="A1" s="699" t="s">
        <v>974</v>
      </c>
      <c r="K1" s="509"/>
      <c r="L1" s="509"/>
      <c r="M1" s="509"/>
      <c r="N1" s="509"/>
      <c r="O1" s="509"/>
      <c r="P1" s="509"/>
      <c r="Q1" s="509"/>
      <c r="R1" s="509"/>
      <c r="S1" s="509"/>
      <c r="T1" s="509"/>
      <c r="U1" s="509"/>
    </row>
    <row r="2" spans="1:22" ht="28.5" customHeight="1">
      <c r="B2" s="510" t="s">
        <v>891</v>
      </c>
      <c r="C2" s="511"/>
      <c r="D2" s="511"/>
      <c r="E2" s="511"/>
      <c r="F2" s="511"/>
      <c r="G2" s="511"/>
      <c r="H2" s="511"/>
      <c r="I2" s="511"/>
      <c r="J2" s="512"/>
      <c r="K2" s="62"/>
      <c r="L2" s="509"/>
      <c r="M2" s="765"/>
      <c r="N2" s="765"/>
      <c r="O2" s="765"/>
      <c r="P2" s="765"/>
      <c r="Q2" s="765"/>
      <c r="R2" s="765"/>
      <c r="S2" s="765"/>
      <c r="T2" s="509"/>
      <c r="U2" s="509"/>
      <c r="V2" s="509"/>
    </row>
    <row r="3" spans="1:22" ht="8.25" customHeight="1" thickBot="1">
      <c r="B3" s="513"/>
      <c r="C3" s="514"/>
      <c r="D3" s="514"/>
      <c r="E3" s="514"/>
      <c r="F3" s="514"/>
      <c r="G3" s="514"/>
      <c r="H3" s="514"/>
      <c r="I3" s="514"/>
      <c r="J3" s="515"/>
      <c r="K3" s="62"/>
      <c r="L3" s="509"/>
      <c r="M3" s="765"/>
      <c r="N3" s="765"/>
      <c r="O3" s="765"/>
      <c r="P3" s="765"/>
      <c r="Q3" s="765"/>
      <c r="R3" s="765"/>
      <c r="S3" s="765"/>
      <c r="T3" s="509"/>
      <c r="U3" s="509"/>
      <c r="V3" s="509"/>
    </row>
    <row r="4" spans="1:22" ht="15.75" customHeight="1" thickBot="1">
      <c r="B4" s="516" t="s">
        <v>752</v>
      </c>
      <c r="C4" s="517" t="s">
        <v>892</v>
      </c>
      <c r="D4" s="517" t="s">
        <v>676</v>
      </c>
      <c r="E4" s="516" t="s">
        <v>677</v>
      </c>
      <c r="F4" s="517" t="s">
        <v>678</v>
      </c>
      <c r="G4" s="516" t="s">
        <v>679</v>
      </c>
      <c r="H4" s="517" t="s">
        <v>404</v>
      </c>
      <c r="I4" s="517" t="s">
        <v>893</v>
      </c>
      <c r="J4" s="518" t="s">
        <v>753</v>
      </c>
      <c r="L4" s="519"/>
      <c r="M4" s="509"/>
      <c r="N4" s="520"/>
      <c r="O4" s="520"/>
      <c r="P4" s="520"/>
      <c r="Q4" s="520"/>
      <c r="R4" s="520"/>
      <c r="S4" s="520"/>
      <c r="T4" s="521"/>
      <c r="U4" s="509"/>
      <c r="V4" s="509"/>
    </row>
    <row r="5" spans="1:22" ht="15.75" customHeight="1">
      <c r="B5" s="522" t="s">
        <v>680</v>
      </c>
      <c r="C5" s="523">
        <v>2.1999999999999999E-2</v>
      </c>
      <c r="D5" s="524">
        <v>2.1999999999999999E-2</v>
      </c>
      <c r="E5" s="525">
        <v>2.7E-2</v>
      </c>
      <c r="F5" s="525">
        <v>2.5000000000000001E-2</v>
      </c>
      <c r="G5" s="526">
        <v>0</v>
      </c>
      <c r="H5" s="527">
        <v>7.5833849999999758E-2</v>
      </c>
      <c r="I5" s="523">
        <v>7.5833849999999758E-2</v>
      </c>
      <c r="J5" s="528"/>
      <c r="L5" s="519"/>
      <c r="M5" s="509"/>
      <c r="N5" s="529"/>
      <c r="O5" s="530"/>
      <c r="P5" s="530"/>
      <c r="Q5" s="530"/>
      <c r="R5" s="531"/>
      <c r="S5" s="532"/>
      <c r="T5" s="533"/>
      <c r="U5" s="509"/>
      <c r="V5" s="509"/>
    </row>
    <row r="6" spans="1:22" ht="15.75" customHeight="1">
      <c r="B6" s="534" t="s">
        <v>754</v>
      </c>
      <c r="C6" s="535">
        <v>-0.04</v>
      </c>
      <c r="D6" s="485">
        <v>-3.6999999999999998E-2</v>
      </c>
      <c r="E6" s="484">
        <v>-0.04</v>
      </c>
      <c r="F6" s="484">
        <v>-0.04</v>
      </c>
      <c r="G6" s="483">
        <v>0</v>
      </c>
      <c r="H6" s="536">
        <v>-0.11249920000000002</v>
      </c>
      <c r="I6" s="535">
        <v>-0.11526400000000003</v>
      </c>
      <c r="J6" s="537"/>
      <c r="L6" s="519"/>
      <c r="M6" s="509"/>
      <c r="N6" s="529"/>
      <c r="O6" s="530"/>
      <c r="P6" s="530"/>
      <c r="Q6" s="530"/>
      <c r="R6" s="531"/>
      <c r="S6" s="532"/>
      <c r="T6" s="533"/>
      <c r="U6" s="509"/>
      <c r="V6" s="509"/>
    </row>
    <row r="7" spans="1:22" ht="15.75" customHeight="1">
      <c r="B7" s="538" t="s">
        <v>755</v>
      </c>
      <c r="C7" s="535">
        <v>-1.8000000000000002E-2</v>
      </c>
      <c r="D7" s="485">
        <v>-1.4999999999999999E-2</v>
      </c>
      <c r="E7" s="484">
        <v>-1.3000000000000001E-2</v>
      </c>
      <c r="F7" s="484">
        <v>-1.4999999999999999E-2</v>
      </c>
      <c r="G7" s="484">
        <v>0</v>
      </c>
      <c r="H7" s="539">
        <v>-4.2387925000000104E-2</v>
      </c>
      <c r="I7" s="535">
        <v>-4.5304510000000131E-2</v>
      </c>
      <c r="J7" s="540"/>
      <c r="L7" s="519"/>
      <c r="M7" s="509"/>
      <c r="N7" s="541"/>
      <c r="O7" s="530"/>
      <c r="P7" s="530"/>
      <c r="Q7" s="530"/>
      <c r="R7" s="542"/>
      <c r="S7" s="532"/>
      <c r="T7" s="533"/>
      <c r="U7" s="509"/>
      <c r="V7" s="509"/>
    </row>
    <row r="8" spans="1:22" ht="9" customHeight="1">
      <c r="B8" s="543"/>
      <c r="C8" s="535"/>
      <c r="D8" s="544"/>
      <c r="E8" s="545"/>
      <c r="F8" s="545"/>
      <c r="G8" s="545"/>
      <c r="H8" s="545"/>
      <c r="I8" s="766"/>
      <c r="J8" s="546"/>
      <c r="L8" s="519"/>
      <c r="M8" s="509"/>
      <c r="N8" s="541"/>
      <c r="O8" s="530"/>
      <c r="P8" s="530"/>
      <c r="Q8" s="530"/>
      <c r="R8" s="542"/>
      <c r="S8" s="532"/>
      <c r="T8" s="533"/>
      <c r="U8" s="509"/>
      <c r="V8" s="509"/>
    </row>
    <row r="9" spans="1:22" ht="9" customHeight="1">
      <c r="B9" s="543"/>
      <c r="C9" s="535"/>
      <c r="D9" s="547"/>
      <c r="E9" s="545"/>
      <c r="F9" s="545"/>
      <c r="G9" s="545"/>
      <c r="H9" s="548"/>
      <c r="I9" s="766"/>
      <c r="J9" s="546"/>
      <c r="L9" s="519"/>
      <c r="M9" s="509"/>
      <c r="N9" s="541"/>
      <c r="O9" s="530"/>
      <c r="P9" s="530"/>
      <c r="Q9" s="530"/>
      <c r="R9" s="542"/>
      <c r="S9" s="532"/>
      <c r="T9" s="533"/>
      <c r="U9" s="509"/>
      <c r="V9" s="509"/>
    </row>
    <row r="10" spans="1:22" ht="2.25" customHeight="1" thickBot="1">
      <c r="B10" s="549"/>
      <c r="C10" s="550"/>
      <c r="D10" s="551"/>
      <c r="E10" s="552"/>
      <c r="F10" s="553"/>
      <c r="G10" s="554"/>
      <c r="H10" s="555"/>
      <c r="I10" s="767"/>
      <c r="J10" s="556"/>
      <c r="L10" s="519"/>
      <c r="M10" s="509"/>
      <c r="N10" s="541"/>
      <c r="O10" s="530"/>
      <c r="P10" s="530"/>
      <c r="Q10" s="530"/>
      <c r="R10" s="542"/>
      <c r="S10" s="532"/>
      <c r="T10" s="533"/>
      <c r="U10" s="509"/>
      <c r="V10" s="509"/>
    </row>
    <row r="11" spans="1:22" ht="7.5" customHeight="1">
      <c r="B11" s="541"/>
      <c r="C11" s="541"/>
      <c r="D11" s="557"/>
      <c r="E11" s="558"/>
      <c r="F11" s="558"/>
      <c r="G11" s="559"/>
      <c r="H11" s="557"/>
      <c r="I11" s="557"/>
      <c r="J11" s="533"/>
      <c r="L11" s="519"/>
      <c r="M11" s="509"/>
      <c r="N11" s="541"/>
      <c r="O11" s="558"/>
      <c r="P11" s="509"/>
      <c r="Q11" s="558"/>
      <c r="R11" s="559"/>
      <c r="S11" s="557"/>
      <c r="T11" s="533"/>
      <c r="U11" s="509"/>
      <c r="V11" s="509"/>
    </row>
    <row r="12" spans="1:22">
      <c r="B12" s="477" t="s">
        <v>894</v>
      </c>
      <c r="K12" s="509"/>
      <c r="L12" s="509"/>
      <c r="M12" s="509"/>
      <c r="N12" s="509"/>
      <c r="O12" s="509"/>
      <c r="P12" s="509"/>
      <c r="Q12" s="509"/>
      <c r="R12" s="509"/>
      <c r="S12" s="509"/>
      <c r="T12" s="509"/>
      <c r="U12" s="509"/>
    </row>
    <row r="13" spans="1:22">
      <c r="B13" s="477" t="s">
        <v>895</v>
      </c>
      <c r="K13" s="509"/>
      <c r="L13" s="509"/>
      <c r="M13" s="509"/>
      <c r="N13" s="509"/>
      <c r="O13" s="509"/>
      <c r="P13" s="509"/>
      <c r="Q13" s="509"/>
      <c r="R13" s="509"/>
      <c r="S13" s="509"/>
      <c r="T13" s="509"/>
      <c r="U13" s="509"/>
    </row>
    <row r="14" spans="1:22" ht="15.75" thickBot="1">
      <c r="K14" s="509"/>
      <c r="L14" s="509"/>
      <c r="M14" s="509"/>
      <c r="N14" s="509"/>
      <c r="O14" s="509"/>
      <c r="P14" s="509"/>
      <c r="Q14" s="509"/>
      <c r="R14" s="509"/>
      <c r="S14" s="509"/>
      <c r="T14" s="509"/>
      <c r="U14" s="509"/>
    </row>
    <row r="15" spans="1:22" ht="15" customHeight="1">
      <c r="B15" s="768" t="s">
        <v>756</v>
      </c>
      <c r="C15" s="769"/>
      <c r="D15" s="769"/>
      <c r="E15" s="769"/>
      <c r="F15" s="769"/>
      <c r="G15" s="769"/>
      <c r="H15" s="770"/>
      <c r="K15" s="509"/>
      <c r="L15" s="509"/>
      <c r="M15" s="509"/>
      <c r="N15" s="509"/>
      <c r="O15" s="509"/>
      <c r="P15" s="509"/>
      <c r="Q15" s="509"/>
      <c r="R15" s="509"/>
      <c r="S15" s="509"/>
      <c r="T15" s="509"/>
      <c r="U15" s="509"/>
    </row>
    <row r="16" spans="1:22" s="62" customFormat="1" ht="26.25" customHeight="1" thickBot="1">
      <c r="B16" s="771"/>
      <c r="C16" s="772"/>
      <c r="D16" s="772"/>
      <c r="E16" s="772"/>
      <c r="F16" s="772"/>
      <c r="G16" s="772"/>
      <c r="H16" s="773"/>
    </row>
    <row r="17" spans="2:11" ht="31.5" customHeight="1" thickBot="1">
      <c r="B17" s="489" t="s">
        <v>683</v>
      </c>
      <c r="C17" s="476" t="s">
        <v>676</v>
      </c>
      <c r="D17" s="476" t="s">
        <v>677</v>
      </c>
      <c r="E17" s="476" t="s">
        <v>678</v>
      </c>
      <c r="F17" s="476" t="s">
        <v>679</v>
      </c>
      <c r="G17" s="476" t="s">
        <v>404</v>
      </c>
      <c r="H17" s="476" t="s">
        <v>753</v>
      </c>
      <c r="J17" s="560"/>
      <c r="K17" s="520"/>
    </row>
    <row r="18" spans="2:11">
      <c r="B18" s="561" t="s">
        <v>684</v>
      </c>
      <c r="C18" s="562">
        <v>4.4999999999999997E-3</v>
      </c>
      <c r="D18" s="563">
        <v>2.7120631448189769E-3</v>
      </c>
      <c r="E18" s="564">
        <v>4.0331192887210765E-3</v>
      </c>
      <c r="F18" s="475">
        <v>0</v>
      </c>
      <c r="G18" s="474">
        <v>1.1286523050006325E-2</v>
      </c>
      <c r="H18" s="482"/>
      <c r="J18" s="565"/>
      <c r="K18" s="508"/>
    </row>
    <row r="19" spans="2:11">
      <c r="B19" s="566" t="s">
        <v>685</v>
      </c>
      <c r="C19" s="562">
        <v>3.0000000000000001E-3</v>
      </c>
      <c r="D19" s="563">
        <v>4.6639054280992465E-3</v>
      </c>
      <c r="E19" s="564">
        <v>2.5168995621460688E-3</v>
      </c>
      <c r="F19" s="475">
        <v>0</v>
      </c>
      <c r="G19" s="474">
        <v>1.0214121202490434E-2</v>
      </c>
      <c r="H19" s="482"/>
      <c r="J19" s="565"/>
      <c r="K19" s="508"/>
    </row>
    <row r="20" spans="2:11">
      <c r="B20" s="567" t="s">
        <v>686</v>
      </c>
      <c r="C20" s="562">
        <v>2.5999999999999999E-3</v>
      </c>
      <c r="D20" s="563">
        <v>1.7135629937548025E-3</v>
      </c>
      <c r="E20" s="564">
        <v>2.2965609688603283E-3</v>
      </c>
      <c r="F20" s="475">
        <v>0</v>
      </c>
      <c r="G20" s="474">
        <v>6.6244958185919245E-3</v>
      </c>
      <c r="H20" s="482"/>
      <c r="J20" s="565"/>
      <c r="K20" s="508"/>
    </row>
    <row r="21" spans="2:11">
      <c r="B21" s="566" t="s">
        <v>687</v>
      </c>
      <c r="C21" s="562">
        <v>1.1999999999999999E-3</v>
      </c>
      <c r="D21" s="563">
        <v>7.9831600546853565E-4</v>
      </c>
      <c r="E21" s="564">
        <v>8.2227697699654989E-4</v>
      </c>
      <c r="F21" s="475">
        <v>0</v>
      </c>
      <c r="G21" s="474">
        <v>2.8231949186401373E-3</v>
      </c>
      <c r="H21" s="482"/>
      <c r="J21" s="565"/>
      <c r="K21" s="508"/>
    </row>
    <row r="22" spans="2:11">
      <c r="B22" s="567" t="s">
        <v>688</v>
      </c>
      <c r="C22" s="562">
        <v>4.0000000000000002E-4</v>
      </c>
      <c r="D22" s="563">
        <v>2.0988348940491619E-3</v>
      </c>
      <c r="E22" s="564">
        <v>1.1281882920322062E-5</v>
      </c>
      <c r="F22" s="475">
        <v>0</v>
      </c>
      <c r="G22" s="474">
        <v>2.5109845119613006E-3</v>
      </c>
      <c r="H22" s="482"/>
      <c r="J22" s="565"/>
      <c r="K22" s="508"/>
    </row>
    <row r="23" spans="2:11">
      <c r="B23" s="566" t="s">
        <v>689</v>
      </c>
      <c r="C23" s="562">
        <v>1.4E-3</v>
      </c>
      <c r="D23" s="563">
        <v>6.8376141339254737E-4</v>
      </c>
      <c r="E23" s="564">
        <v>8.7019419478395754E-4</v>
      </c>
      <c r="F23" s="475">
        <v>0</v>
      </c>
      <c r="G23" s="474">
        <v>2.9567269842478705E-3</v>
      </c>
      <c r="H23" s="482"/>
      <c r="J23" s="565"/>
      <c r="K23" s="508"/>
    </row>
    <row r="24" spans="2:11">
      <c r="B24" s="567" t="s">
        <v>690</v>
      </c>
      <c r="C24" s="562">
        <v>6.9999999999999999E-4</v>
      </c>
      <c r="D24" s="563">
        <v>9.0147384402938791E-4</v>
      </c>
      <c r="E24" s="564">
        <v>7.2782220278599929E-4</v>
      </c>
      <c r="F24" s="475">
        <v>0</v>
      </c>
      <c r="G24" s="474">
        <v>2.3310931260058787E-3</v>
      </c>
      <c r="H24" s="482"/>
      <c r="J24" s="565"/>
      <c r="K24" s="508"/>
    </row>
    <row r="25" spans="2:11">
      <c r="B25" s="566" t="s">
        <v>691</v>
      </c>
      <c r="C25" s="562">
        <v>1.6000000000000001E-3</v>
      </c>
      <c r="D25" s="563">
        <v>6.9434276756650259E-3</v>
      </c>
      <c r="E25" s="564">
        <v>2.0934300240254E-3</v>
      </c>
      <c r="F25" s="475">
        <v>0</v>
      </c>
      <c r="G25" s="474">
        <v>1.0665875508903744E-2</v>
      </c>
      <c r="H25" s="482"/>
      <c r="J25" s="565"/>
      <c r="K25" s="508"/>
    </row>
    <row r="26" spans="2:11">
      <c r="B26" s="567" t="s">
        <v>692</v>
      </c>
      <c r="C26" s="562">
        <v>1.6999999999999999E-3</v>
      </c>
      <c r="D26" s="563">
        <v>8.3929962527324875E-3</v>
      </c>
      <c r="E26" s="564">
        <v>3.2548782592356496E-3</v>
      </c>
      <c r="F26" s="475">
        <v>0</v>
      </c>
      <c r="G26" s="474">
        <v>1.339504052057916E-2</v>
      </c>
      <c r="H26" s="482"/>
      <c r="J26" s="565"/>
      <c r="K26" s="508"/>
    </row>
    <row r="27" spans="2:11">
      <c r="B27" s="566" t="s">
        <v>693</v>
      </c>
      <c r="C27" s="562">
        <v>1.1000000000000001E-3</v>
      </c>
      <c r="D27" s="563">
        <v>3.9857657915021161E-3</v>
      </c>
      <c r="E27" s="564">
        <v>1.4670447677391785E-3</v>
      </c>
      <c r="F27" s="475">
        <v>0</v>
      </c>
      <c r="G27" s="474">
        <v>6.5646623797330772E-3</v>
      </c>
      <c r="H27" s="482"/>
      <c r="J27" s="565"/>
      <c r="K27" s="508"/>
    </row>
    <row r="28" spans="2:11">
      <c r="B28" s="567" t="s">
        <v>694</v>
      </c>
      <c r="C28" s="562">
        <v>1.6000000000000001E-3</v>
      </c>
      <c r="D28" s="563">
        <v>6.1396776298163758E-3</v>
      </c>
      <c r="E28" s="564">
        <v>1.7811411022434775E-3</v>
      </c>
      <c r="F28" s="475">
        <v>0</v>
      </c>
      <c r="G28" s="474">
        <v>9.5444451712236589E-3</v>
      </c>
      <c r="H28" s="482"/>
      <c r="J28" s="565"/>
      <c r="K28" s="508"/>
    </row>
    <row r="29" spans="2:11">
      <c r="B29" s="566" t="s">
        <v>695</v>
      </c>
      <c r="C29" s="562">
        <v>5.5999999999999999E-3</v>
      </c>
      <c r="D29" s="563">
        <v>1.1458715826883292E-2</v>
      </c>
      <c r="E29" s="564">
        <v>3.9247569065956611E-3</v>
      </c>
      <c r="F29" s="475">
        <v>0</v>
      </c>
      <c r="G29" s="474">
        <v>2.1114844701843438E-2</v>
      </c>
      <c r="H29" s="482"/>
      <c r="J29" s="565"/>
      <c r="K29" s="508"/>
    </row>
    <row r="30" spans="2:11">
      <c r="B30" s="567" t="s">
        <v>696</v>
      </c>
      <c r="C30" s="562">
        <v>5.0000000000000001E-3</v>
      </c>
      <c r="D30" s="563">
        <v>1.0604363193151389E-2</v>
      </c>
      <c r="E30" s="564">
        <v>3.6557798734122571E-3</v>
      </c>
      <c r="F30" s="475">
        <v>0</v>
      </c>
      <c r="G30" s="474">
        <v>1.9370404835515886E-2</v>
      </c>
      <c r="H30" s="482"/>
      <c r="J30" s="565"/>
      <c r="K30" s="508"/>
    </row>
    <row r="31" spans="2:11">
      <c r="B31" s="566" t="s">
        <v>697</v>
      </c>
      <c r="C31" s="562">
        <v>8.6999999999999994E-3</v>
      </c>
      <c r="D31" s="563">
        <v>6.3163971875872527E-3</v>
      </c>
      <c r="E31" s="564">
        <v>5.2421680236163226E-3</v>
      </c>
      <c r="F31" s="475">
        <v>0</v>
      </c>
      <c r="G31" s="474">
        <v>2.039252441495587E-2</v>
      </c>
      <c r="H31" s="482"/>
      <c r="J31" s="565"/>
      <c r="K31" s="508"/>
    </row>
    <row r="32" spans="2:11">
      <c r="B32" s="567" t="s">
        <v>698</v>
      </c>
      <c r="C32" s="562">
        <v>1.4E-3</v>
      </c>
      <c r="D32" s="563">
        <v>4.2221839108231851E-3</v>
      </c>
      <c r="E32" s="564">
        <v>1.2461541146224775E-4</v>
      </c>
      <c r="F32" s="475">
        <v>0</v>
      </c>
      <c r="G32" s="474">
        <v>5.7534117271307306E-3</v>
      </c>
      <c r="H32" s="482"/>
      <c r="J32" s="565"/>
      <c r="K32" s="508"/>
    </row>
    <row r="33" spans="2:11">
      <c r="B33" s="566" t="s">
        <v>699</v>
      </c>
      <c r="C33" s="562">
        <v>4.4999999999999997E-3</v>
      </c>
      <c r="D33" s="563">
        <v>6.112531021233325E-3</v>
      </c>
      <c r="E33" s="564">
        <v>2.0507319365403731E-3</v>
      </c>
      <c r="F33" s="475">
        <v>0</v>
      </c>
      <c r="G33" s="474">
        <v>1.2712589211893555E-2</v>
      </c>
      <c r="H33" s="482"/>
      <c r="J33" s="565"/>
      <c r="K33" s="508"/>
    </row>
    <row r="34" spans="2:11">
      <c r="B34" s="567" t="s">
        <v>700</v>
      </c>
      <c r="C34" s="562">
        <v>1.1999999999999999E-3</v>
      </c>
      <c r="D34" s="563">
        <v>6.4304063507034659E-3</v>
      </c>
      <c r="E34" s="564">
        <v>1.2794280689145676E-3</v>
      </c>
      <c r="F34" s="475">
        <v>0</v>
      </c>
      <c r="G34" s="474">
        <v>8.92732333599211E-3</v>
      </c>
      <c r="H34" s="482"/>
      <c r="J34" s="565"/>
      <c r="K34" s="508"/>
    </row>
    <row r="35" spans="2:11">
      <c r="B35" s="566" t="s">
        <v>701</v>
      </c>
      <c r="C35" s="562">
        <v>1.9E-3</v>
      </c>
      <c r="D35" s="563">
        <v>3.6510830811316008E-3</v>
      </c>
      <c r="E35" s="564">
        <v>1.7803936364513273E-3</v>
      </c>
      <c r="F35" s="475">
        <v>0</v>
      </c>
      <c r="G35" s="474">
        <v>7.3483092391237737E-3</v>
      </c>
      <c r="H35" s="482"/>
      <c r="J35" s="565"/>
      <c r="K35" s="508"/>
    </row>
    <row r="36" spans="2:11">
      <c r="B36" s="567" t="s">
        <v>702</v>
      </c>
      <c r="C36" s="562">
        <v>8.9999999999999998E-4</v>
      </c>
      <c r="D36" s="563">
        <v>2.6729961073768127E-3</v>
      </c>
      <c r="E36" s="564">
        <v>1.0486026327254372E-3</v>
      </c>
      <c r="F36" s="475">
        <v>0</v>
      </c>
      <c r="G36" s="474">
        <v>4.6277536123433549E-3</v>
      </c>
      <c r="H36" s="482"/>
      <c r="J36" s="565"/>
      <c r="K36" s="508"/>
    </row>
    <row r="37" spans="2:11">
      <c r="B37" s="566" t="s">
        <v>703</v>
      </c>
      <c r="C37" s="562">
        <v>1.4E-3</v>
      </c>
      <c r="D37" s="563">
        <v>3.8450441685828896E-3</v>
      </c>
      <c r="E37" s="564">
        <v>9.4410677570055945E-4</v>
      </c>
      <c r="F37" s="475">
        <v>0</v>
      </c>
      <c r="G37" s="474">
        <v>6.1994909700431311E-3</v>
      </c>
      <c r="H37" s="482"/>
      <c r="J37" s="565"/>
      <c r="K37" s="508"/>
    </row>
    <row r="38" spans="2:11">
      <c r="B38" s="567" t="s">
        <v>704</v>
      </c>
      <c r="C38" s="562">
        <v>2.9999999999999997E-4</v>
      </c>
      <c r="D38" s="563">
        <v>3.5166956544530059E-4</v>
      </c>
      <c r="E38" s="564">
        <v>6.6025179707085435E-4</v>
      </c>
      <c r="F38" s="475">
        <v>0</v>
      </c>
      <c r="G38" s="474">
        <v>1.3124571990446032E-3</v>
      </c>
      <c r="H38" s="482"/>
      <c r="J38" s="565"/>
      <c r="K38" s="508"/>
    </row>
    <row r="39" spans="2:11">
      <c r="B39" s="566" t="s">
        <v>705</v>
      </c>
      <c r="C39" s="562">
        <v>4.0000000000000002E-4</v>
      </c>
      <c r="D39" s="563">
        <v>1.0156478917267009E-3</v>
      </c>
      <c r="E39" s="564">
        <v>1.2352320038200304E-4</v>
      </c>
      <c r="F39" s="475">
        <v>0</v>
      </c>
      <c r="G39" s="474">
        <v>1.5397522668061381E-3</v>
      </c>
      <c r="H39" s="482"/>
      <c r="J39" s="565"/>
      <c r="K39" s="508"/>
    </row>
    <row r="40" spans="2:11">
      <c r="B40" s="567" t="s">
        <v>706</v>
      </c>
      <c r="C40" s="562">
        <v>8.0000000000000004E-4</v>
      </c>
      <c r="D40" s="563">
        <v>8.7420520085790265E-4</v>
      </c>
      <c r="E40" s="564">
        <v>5.1491581673213105E-4</v>
      </c>
      <c r="F40" s="475">
        <v>0</v>
      </c>
      <c r="G40" s="474">
        <v>2.1906828166025072E-3</v>
      </c>
      <c r="H40" s="482"/>
      <c r="J40" s="565"/>
      <c r="K40" s="508"/>
    </row>
    <row r="41" spans="2:11">
      <c r="B41" s="566" t="s">
        <v>707</v>
      </c>
      <c r="C41" s="562">
        <v>1E-3</v>
      </c>
      <c r="D41" s="563">
        <v>4.58633918397644E-3</v>
      </c>
      <c r="E41" s="564">
        <v>1.1234991714843545E-3</v>
      </c>
      <c r="F41" s="475">
        <v>0</v>
      </c>
      <c r="G41" s="474">
        <v>6.7207060948377695E-3</v>
      </c>
      <c r="H41" s="482"/>
      <c r="J41" s="565"/>
      <c r="K41" s="508"/>
    </row>
    <row r="42" spans="2:11">
      <c r="B42" s="567" t="s">
        <v>708</v>
      </c>
      <c r="C42" s="562"/>
      <c r="D42" s="563">
        <v>0</v>
      </c>
      <c r="E42" s="731">
        <v>0</v>
      </c>
      <c r="F42" s="475">
        <v>0</v>
      </c>
      <c r="G42" s="474">
        <v>0</v>
      </c>
      <c r="H42" s="482"/>
      <c r="J42" s="565"/>
      <c r="K42" s="508"/>
    </row>
    <row r="43" spans="2:11">
      <c r="B43" s="566" t="s">
        <v>709</v>
      </c>
      <c r="C43" s="562">
        <v>0</v>
      </c>
      <c r="D43" s="563">
        <v>5.1603725608684536E-2</v>
      </c>
      <c r="E43" s="564">
        <v>4.0632237452609132E-3</v>
      </c>
      <c r="F43" s="475">
        <v>0</v>
      </c>
      <c r="G43" s="474">
        <v>5.5876626837182641E-2</v>
      </c>
      <c r="H43" s="482"/>
      <c r="J43" s="565"/>
      <c r="K43" s="508"/>
    </row>
    <row r="44" spans="2:11">
      <c r="B44" s="567" t="s">
        <v>710</v>
      </c>
      <c r="C44" s="562">
        <v>2.9999999999999997E-4</v>
      </c>
      <c r="D44" s="563">
        <v>4.6619290226565857E-2</v>
      </c>
      <c r="E44" s="564">
        <v>1.5009122892200022E-3</v>
      </c>
      <c r="F44" s="475">
        <v>0</v>
      </c>
      <c r="G44" s="474">
        <v>4.8504631033596146E-2</v>
      </c>
      <c r="H44" s="482"/>
      <c r="J44" s="565"/>
      <c r="K44" s="508"/>
    </row>
    <row r="45" spans="2:11">
      <c r="B45" s="566" t="s">
        <v>711</v>
      </c>
      <c r="C45" s="562">
        <v>2E-3</v>
      </c>
      <c r="D45" s="563">
        <v>-8.928019846899482E-2</v>
      </c>
      <c r="E45" s="564">
        <v>2.8267565859709798E-2</v>
      </c>
      <c r="F45" s="475">
        <v>0</v>
      </c>
      <c r="G45" s="474">
        <v>-6.1663439232474193E-2</v>
      </c>
      <c r="H45" s="482"/>
      <c r="J45" s="565"/>
      <c r="K45" s="508"/>
    </row>
    <row r="46" spans="2:11">
      <c r="B46" s="567" t="s">
        <v>712</v>
      </c>
      <c r="C46" s="562">
        <v>3.8999999999999998E-3</v>
      </c>
      <c r="D46" s="563">
        <v>4.4827502314648271E-4</v>
      </c>
      <c r="E46" s="564">
        <v>4.3834448710582397E-3</v>
      </c>
      <c r="F46" s="475">
        <v>0</v>
      </c>
      <c r="G46" s="474">
        <v>8.7525362540996632E-3</v>
      </c>
      <c r="H46" s="482"/>
      <c r="J46" s="565"/>
      <c r="K46" s="508"/>
    </row>
    <row r="47" spans="2:11">
      <c r="B47" s="566" t="s">
        <v>713</v>
      </c>
      <c r="C47" s="562">
        <v>0</v>
      </c>
      <c r="D47" s="563">
        <v>0</v>
      </c>
      <c r="E47" s="732">
        <v>0</v>
      </c>
      <c r="F47" s="475">
        <v>0</v>
      </c>
      <c r="G47" s="474">
        <v>0</v>
      </c>
      <c r="H47" s="482"/>
      <c r="J47" s="565"/>
      <c r="K47" s="508"/>
    </row>
    <row r="48" spans="2:11">
      <c r="B48" s="567" t="s">
        <v>714</v>
      </c>
      <c r="C48" s="562">
        <v>2.0999999999999999E-3</v>
      </c>
      <c r="D48" s="563">
        <v>1.7265642874806364E-3</v>
      </c>
      <c r="E48" s="564">
        <v>3.1319345733256121E-3</v>
      </c>
      <c r="F48" s="475">
        <v>0</v>
      </c>
      <c r="G48" s="474">
        <v>6.9741205505204906E-3</v>
      </c>
      <c r="H48" s="482"/>
      <c r="J48" s="565"/>
      <c r="K48" s="508"/>
    </row>
    <row r="49" spans="2:11">
      <c r="B49" s="566" t="s">
        <v>715</v>
      </c>
      <c r="C49" s="562">
        <v>0</v>
      </c>
      <c r="D49" s="563">
        <v>0</v>
      </c>
      <c r="E49" s="731">
        <v>0</v>
      </c>
      <c r="F49" s="475">
        <v>0</v>
      </c>
      <c r="G49" s="474">
        <v>0</v>
      </c>
      <c r="H49" s="482"/>
      <c r="J49" s="565"/>
      <c r="K49" s="508"/>
    </row>
    <row r="50" spans="2:11">
      <c r="B50" s="567" t="s">
        <v>716</v>
      </c>
      <c r="C50" s="562">
        <v>0</v>
      </c>
      <c r="D50" s="563">
        <v>0</v>
      </c>
      <c r="E50" s="731">
        <v>0</v>
      </c>
      <c r="F50" s="475">
        <v>0</v>
      </c>
      <c r="G50" s="474">
        <v>0</v>
      </c>
      <c r="H50" s="482"/>
      <c r="J50" s="565"/>
      <c r="K50" s="508"/>
    </row>
    <row r="51" spans="2:11">
      <c r="B51" s="566" t="s">
        <v>717</v>
      </c>
      <c r="C51" s="562">
        <v>4.0000000000000002E-4</v>
      </c>
      <c r="D51" s="563">
        <v>6.3410046328193914E-4</v>
      </c>
      <c r="E51" s="564">
        <v>-5.5466412123872377E-4</v>
      </c>
      <c r="F51" s="475">
        <v>0</v>
      </c>
      <c r="G51" s="474">
        <v>4.7911626311858413E-4</v>
      </c>
      <c r="H51" s="482"/>
      <c r="J51" s="565"/>
      <c r="K51" s="508"/>
    </row>
    <row r="52" spans="2:11">
      <c r="B52" s="567" t="s">
        <v>718</v>
      </c>
      <c r="C52" s="562"/>
      <c r="D52" s="563">
        <v>0</v>
      </c>
      <c r="E52" s="731">
        <v>0</v>
      </c>
      <c r="F52" s="475">
        <v>0</v>
      </c>
      <c r="G52" s="474">
        <v>0</v>
      </c>
      <c r="H52" s="482"/>
      <c r="J52" s="565"/>
      <c r="K52" s="508"/>
    </row>
    <row r="53" spans="2:11">
      <c r="B53" s="566" t="s">
        <v>719</v>
      </c>
      <c r="C53" s="562"/>
      <c r="D53" s="563">
        <v>0</v>
      </c>
      <c r="E53" s="731">
        <v>0</v>
      </c>
      <c r="F53" s="475">
        <v>0</v>
      </c>
      <c r="G53" s="474">
        <v>0</v>
      </c>
      <c r="H53" s="482"/>
      <c r="J53" s="565"/>
      <c r="K53" s="508"/>
    </row>
    <row r="54" spans="2:11">
      <c r="B54" s="567" t="s">
        <v>720</v>
      </c>
      <c r="C54" s="562"/>
      <c r="D54" s="563">
        <v>0</v>
      </c>
      <c r="E54" s="731">
        <v>0</v>
      </c>
      <c r="F54" s="475">
        <v>0</v>
      </c>
      <c r="G54" s="474">
        <v>0</v>
      </c>
      <c r="H54" s="482"/>
      <c r="J54" s="565"/>
      <c r="K54" s="508"/>
    </row>
    <row r="55" spans="2:11">
      <c r="B55" s="566" t="s">
        <v>721</v>
      </c>
      <c r="C55" s="562">
        <v>4.7000000000000002E-3</v>
      </c>
      <c r="D55" s="563">
        <v>1.3678608794291724E-2</v>
      </c>
      <c r="E55" s="564">
        <v>3.1799566526078404E-3</v>
      </c>
      <c r="F55" s="475">
        <v>0</v>
      </c>
      <c r="G55" s="474">
        <v>2.1681502525233931E-2</v>
      </c>
      <c r="H55" s="540"/>
      <c r="J55" s="565"/>
      <c r="K55" s="508"/>
    </row>
    <row r="56" spans="2:11">
      <c r="B56" s="566" t="s">
        <v>722</v>
      </c>
      <c r="C56" s="568">
        <v>1.1999999999999999E-3</v>
      </c>
      <c r="D56" s="569">
        <v>1.3776568699075398E-4</v>
      </c>
      <c r="E56" s="564">
        <v>1.0210188461163838E-3</v>
      </c>
      <c r="F56" s="570">
        <v>0</v>
      </c>
      <c r="G56" s="571">
        <v>2.360315904703425E-3</v>
      </c>
      <c r="H56" s="540"/>
      <c r="J56" s="565"/>
      <c r="K56" s="508"/>
    </row>
    <row r="57" spans="2:11">
      <c r="B57" s="566" t="s">
        <v>757</v>
      </c>
      <c r="C57" s="562">
        <v>1.61E-2</v>
      </c>
      <c r="D57" s="572">
        <v>1.1539171571975482E-2</v>
      </c>
      <c r="E57" s="542">
        <v>7.33525858395212E-3</v>
      </c>
      <c r="F57" s="542">
        <v>0</v>
      </c>
      <c r="G57" s="573">
        <v>3.5364314037961142E-2</v>
      </c>
      <c r="H57" s="540"/>
      <c r="J57" s="565"/>
      <c r="K57" s="508"/>
    </row>
    <row r="58" spans="2:11" ht="15.75" thickBot="1">
      <c r="B58" s="574" t="s">
        <v>896</v>
      </c>
      <c r="C58" s="575"/>
      <c r="D58" s="473"/>
      <c r="E58" s="576">
        <v>2.8299999999999999E-2</v>
      </c>
      <c r="F58" s="473"/>
      <c r="G58" s="472"/>
      <c r="H58" s="478"/>
      <c r="J58" s="565"/>
      <c r="K58" s="508"/>
    </row>
    <row r="59" spans="2:11">
      <c r="B59" s="542" t="s">
        <v>897</v>
      </c>
      <c r="C59" s="572"/>
      <c r="D59" s="542"/>
      <c r="E59" s="572"/>
      <c r="F59" s="542"/>
      <c r="G59" s="542"/>
      <c r="H59" s="533"/>
      <c r="J59" s="565"/>
      <c r="K59" s="508"/>
    </row>
    <row r="61" spans="2:11" ht="15.75" thickBot="1">
      <c r="K61" s="508"/>
    </row>
    <row r="62" spans="2:11" ht="21">
      <c r="B62" s="774" t="s">
        <v>758</v>
      </c>
      <c r="C62" s="775"/>
      <c r="D62" s="471"/>
      <c r="E62" s="471"/>
      <c r="F62" s="471"/>
      <c r="G62" s="471"/>
      <c r="H62" s="471"/>
    </row>
    <row r="63" spans="2:11" ht="15.75" thickBot="1">
      <c r="B63" s="776"/>
      <c r="C63" s="777"/>
    </row>
    <row r="64" spans="2:11" ht="34.5" thickBot="1">
      <c r="B64" s="470" t="s">
        <v>759</v>
      </c>
      <c r="C64" s="469" t="s">
        <v>760</v>
      </c>
      <c r="D64" s="611" t="s">
        <v>935</v>
      </c>
    </row>
    <row r="65" spans="2:10">
      <c r="B65" s="577" t="s">
        <v>761</v>
      </c>
      <c r="C65" s="578">
        <v>0</v>
      </c>
      <c r="D65" s="578">
        <v>0</v>
      </c>
    </row>
    <row r="66" spans="2:10">
      <c r="B66" s="579" t="s">
        <v>762</v>
      </c>
      <c r="C66" s="578">
        <v>-1.22128076562165E-2</v>
      </c>
      <c r="D66" s="578">
        <f>'Post manual recon'!$O$63</f>
        <v>0</v>
      </c>
      <c r="H66" s="62"/>
      <c r="J66" s="507"/>
    </row>
    <row r="67" spans="2:10">
      <c r="B67" s="579" t="s">
        <v>763</v>
      </c>
      <c r="C67" s="578">
        <v>0</v>
      </c>
      <c r="D67" s="578">
        <v>0</v>
      </c>
    </row>
    <row r="68" spans="2:10">
      <c r="B68" s="579" t="s">
        <v>764</v>
      </c>
      <c r="C68" s="578">
        <v>0</v>
      </c>
      <c r="D68" s="578">
        <v>0</v>
      </c>
    </row>
    <row r="69" spans="2:10">
      <c r="B69" s="579" t="s">
        <v>765</v>
      </c>
      <c r="C69" s="578">
        <v>0</v>
      </c>
      <c r="D69" s="578">
        <v>0</v>
      </c>
    </row>
    <row r="70" spans="2:10">
      <c r="B70" s="579" t="s">
        <v>766</v>
      </c>
      <c r="C70" s="578">
        <v>0</v>
      </c>
      <c r="D70" s="578">
        <v>0</v>
      </c>
    </row>
    <row r="71" spans="2:10" ht="15.75" thickBot="1">
      <c r="B71" s="580" t="s">
        <v>767</v>
      </c>
      <c r="C71" s="581">
        <v>0</v>
      </c>
      <c r="D71" s="581">
        <v>0</v>
      </c>
    </row>
    <row r="73" spans="2:10" ht="15.75" thickBot="1"/>
    <row r="74" spans="2:10">
      <c r="B74" s="768" t="s">
        <v>768</v>
      </c>
      <c r="C74" s="769"/>
      <c r="D74" s="769"/>
      <c r="E74" s="769"/>
      <c r="F74" s="769"/>
      <c r="G74" s="769"/>
      <c r="H74" s="770"/>
    </row>
    <row r="75" spans="2:10" ht="15.75" thickBot="1">
      <c r="B75" s="771"/>
      <c r="C75" s="772"/>
      <c r="D75" s="772"/>
      <c r="E75" s="772"/>
      <c r="F75" s="772"/>
      <c r="G75" s="772"/>
      <c r="H75" s="773"/>
    </row>
    <row r="76" spans="2:10" ht="15.75" thickBot="1">
      <c r="B76" s="489" t="s">
        <v>752</v>
      </c>
      <c r="C76" s="488" t="s">
        <v>676</v>
      </c>
      <c r="D76" s="489" t="s">
        <v>677</v>
      </c>
      <c r="E76" s="488" t="s">
        <v>678</v>
      </c>
      <c r="F76" s="489" t="s">
        <v>679</v>
      </c>
      <c r="G76" s="488" t="s">
        <v>404</v>
      </c>
      <c r="H76" s="487" t="s">
        <v>753</v>
      </c>
    </row>
    <row r="77" spans="2:10">
      <c r="B77" s="582" t="s">
        <v>769</v>
      </c>
      <c r="C77" s="583"/>
      <c r="D77" s="584"/>
      <c r="E77" s="584"/>
      <c r="F77" s="585"/>
      <c r="G77" s="586"/>
      <c r="H77" s="593"/>
      <c r="J77" s="507"/>
    </row>
    <row r="78" spans="2:10">
      <c r="B78" s="587" t="s">
        <v>770</v>
      </c>
      <c r="C78" s="588"/>
      <c r="D78" s="589"/>
      <c r="E78" s="590"/>
      <c r="F78" s="591"/>
      <c r="G78" s="592"/>
      <c r="H78" s="593"/>
      <c r="J78" s="507"/>
    </row>
    <row r="79" spans="2:10">
      <c r="B79" s="587" t="s">
        <v>898</v>
      </c>
      <c r="C79" s="588"/>
      <c r="D79" s="594"/>
      <c r="E79" s="590"/>
      <c r="F79" s="591"/>
      <c r="G79" s="592"/>
      <c r="H79" s="593"/>
      <c r="J79" s="507"/>
    </row>
    <row r="80" spans="2:10">
      <c r="B80" s="587" t="s">
        <v>899</v>
      </c>
      <c r="C80" s="595"/>
      <c r="D80" s="594"/>
      <c r="E80" s="590"/>
      <c r="F80" s="591"/>
      <c r="G80" s="592"/>
      <c r="H80" s="593"/>
      <c r="J80" s="507"/>
    </row>
    <row r="81" spans="2:10">
      <c r="B81" s="587" t="s">
        <v>900</v>
      </c>
      <c r="C81" s="595"/>
      <c r="D81" s="589"/>
      <c r="E81" s="590"/>
      <c r="F81" s="591"/>
      <c r="G81" s="592"/>
      <c r="H81" s="593"/>
      <c r="J81" s="507"/>
    </row>
    <row r="82" spans="2:10">
      <c r="B82" s="587" t="s">
        <v>901</v>
      </c>
      <c r="C82" s="595"/>
      <c r="D82" s="589"/>
      <c r="E82" s="590"/>
      <c r="F82" s="591"/>
      <c r="G82" s="592"/>
      <c r="H82" s="593"/>
      <c r="J82" s="507"/>
    </row>
    <row r="83" spans="2:10">
      <c r="B83" s="486" t="s">
        <v>404</v>
      </c>
      <c r="C83" s="588"/>
      <c r="D83" s="589"/>
      <c r="E83" s="590"/>
      <c r="F83" s="591"/>
      <c r="G83" s="596"/>
      <c r="H83" s="597"/>
      <c r="J83" s="507"/>
    </row>
    <row r="84" spans="2:10">
      <c r="B84" s="486"/>
      <c r="C84" s="595"/>
      <c r="D84" s="590"/>
      <c r="E84" s="590"/>
      <c r="F84" s="591"/>
      <c r="G84" s="592"/>
      <c r="H84" s="597"/>
      <c r="J84" s="507"/>
    </row>
    <row r="85" spans="2:10">
      <c r="B85" s="468" t="s">
        <v>771</v>
      </c>
      <c r="C85" s="595"/>
      <c r="D85" s="590"/>
      <c r="E85" s="590"/>
      <c r="F85" s="591"/>
      <c r="G85" s="592"/>
      <c r="H85" s="597"/>
      <c r="J85" s="507"/>
    </row>
    <row r="86" spans="2:10">
      <c r="B86" s="486" t="s">
        <v>772</v>
      </c>
      <c r="C86" s="588"/>
      <c r="D86" s="589"/>
      <c r="E86" s="590"/>
      <c r="F86" s="591"/>
      <c r="G86" s="592"/>
      <c r="H86" s="593"/>
      <c r="J86" s="507"/>
    </row>
    <row r="87" spans="2:10">
      <c r="B87" s="486" t="s">
        <v>902</v>
      </c>
      <c r="C87" s="588"/>
      <c r="D87" s="589"/>
      <c r="E87" s="590"/>
      <c r="F87" s="591"/>
      <c r="G87" s="592"/>
      <c r="H87" s="593"/>
      <c r="J87" s="507"/>
    </row>
    <row r="88" spans="2:10">
      <c r="B88" s="486" t="s">
        <v>903</v>
      </c>
      <c r="C88" s="588"/>
      <c r="D88" s="589"/>
      <c r="E88" s="590"/>
      <c r="F88" s="591"/>
      <c r="G88" s="592"/>
      <c r="H88" s="593"/>
      <c r="J88" s="507"/>
    </row>
    <row r="89" spans="2:10">
      <c r="B89" s="486" t="s">
        <v>904</v>
      </c>
      <c r="C89" s="595"/>
      <c r="D89" s="589"/>
      <c r="E89" s="590"/>
      <c r="F89" s="591"/>
      <c r="G89" s="592"/>
      <c r="H89" s="593"/>
      <c r="J89" s="507"/>
    </row>
    <row r="90" spans="2:10">
      <c r="B90" s="486" t="s">
        <v>901</v>
      </c>
      <c r="C90" s="595"/>
      <c r="D90" s="589"/>
      <c r="E90" s="590"/>
      <c r="F90" s="591"/>
      <c r="G90" s="592"/>
      <c r="H90" s="593"/>
      <c r="J90" s="507"/>
    </row>
    <row r="91" spans="2:10">
      <c r="B91" s="486" t="s">
        <v>404</v>
      </c>
      <c r="C91" s="598"/>
      <c r="D91" s="589"/>
      <c r="E91" s="590"/>
      <c r="F91" s="591"/>
      <c r="G91" s="596"/>
      <c r="H91" s="597"/>
      <c r="J91" s="507"/>
    </row>
    <row r="92" spans="2:10">
      <c r="B92" s="486"/>
      <c r="C92" s="595"/>
      <c r="D92" s="590"/>
      <c r="E92" s="590"/>
      <c r="F92" s="591"/>
      <c r="G92" s="592"/>
      <c r="H92" s="597"/>
      <c r="J92" s="507"/>
    </row>
    <row r="93" spans="2:10">
      <c r="B93" s="468" t="s">
        <v>763</v>
      </c>
      <c r="C93" s="595"/>
      <c r="D93" s="590"/>
      <c r="E93" s="590"/>
      <c r="F93" s="591"/>
      <c r="G93" s="592"/>
      <c r="H93" s="597"/>
      <c r="J93" s="507"/>
    </row>
    <row r="94" spans="2:10">
      <c r="B94" s="486" t="s">
        <v>773</v>
      </c>
      <c r="C94" s="595"/>
      <c r="D94" s="589"/>
      <c r="E94" s="590"/>
      <c r="F94" s="591"/>
      <c r="G94" s="592"/>
      <c r="H94" s="593"/>
      <c r="J94" s="507"/>
    </row>
    <row r="95" spans="2:10">
      <c r="B95" s="486" t="s">
        <v>774</v>
      </c>
      <c r="C95" s="595"/>
      <c r="D95" s="589"/>
      <c r="E95" s="590"/>
      <c r="F95" s="591"/>
      <c r="G95" s="592"/>
      <c r="H95" s="593"/>
      <c r="J95" s="507"/>
    </row>
    <row r="96" spans="2:10">
      <c r="B96" s="486" t="s">
        <v>404</v>
      </c>
      <c r="C96" s="595"/>
      <c r="D96" s="589"/>
      <c r="E96" s="590"/>
      <c r="F96" s="591"/>
      <c r="G96" s="596"/>
      <c r="H96" s="597"/>
      <c r="J96" s="507"/>
    </row>
    <row r="97" spans="2:10">
      <c r="B97" s="486"/>
      <c r="C97" s="595"/>
      <c r="D97" s="590"/>
      <c r="E97" s="590"/>
      <c r="F97" s="591"/>
      <c r="G97" s="592"/>
      <c r="H97" s="597"/>
      <c r="J97" s="507"/>
    </row>
    <row r="98" spans="2:10">
      <c r="B98" s="468" t="s">
        <v>775</v>
      </c>
      <c r="C98" s="595"/>
      <c r="D98" s="590"/>
      <c r="E98" s="590"/>
      <c r="F98" s="591"/>
      <c r="G98" s="592"/>
      <c r="H98" s="597"/>
      <c r="J98" s="507"/>
    </row>
    <row r="99" spans="2:10">
      <c r="B99" s="486" t="s">
        <v>776</v>
      </c>
      <c r="C99" s="595"/>
      <c r="D99" s="599"/>
      <c r="E99" s="590"/>
      <c r="F99" s="591"/>
      <c r="G99" s="592"/>
      <c r="H99" s="593"/>
      <c r="J99" s="507"/>
    </row>
    <row r="100" spans="2:10">
      <c r="B100" s="486" t="s">
        <v>404</v>
      </c>
      <c r="C100" s="595"/>
      <c r="D100" s="589"/>
      <c r="E100" s="590"/>
      <c r="F100" s="591"/>
      <c r="G100" s="596"/>
      <c r="H100" s="88"/>
      <c r="J100" s="507"/>
    </row>
    <row r="101" spans="2:10">
      <c r="B101" s="486"/>
      <c r="C101" s="595"/>
      <c r="D101" s="590"/>
      <c r="E101" s="590"/>
      <c r="F101" s="591"/>
      <c r="G101" s="592"/>
      <c r="H101" s="597"/>
      <c r="J101" s="507"/>
    </row>
    <row r="102" spans="2:10">
      <c r="B102" s="468" t="s">
        <v>777</v>
      </c>
      <c r="C102" s="595"/>
      <c r="D102" s="590"/>
      <c r="E102" s="590"/>
      <c r="F102" s="591"/>
      <c r="G102" s="592"/>
      <c r="H102" s="597"/>
      <c r="J102" s="507"/>
    </row>
    <row r="103" spans="2:10">
      <c r="B103" s="486" t="s">
        <v>776</v>
      </c>
      <c r="C103" s="595"/>
      <c r="D103" s="599"/>
      <c r="E103" s="590"/>
      <c r="F103" s="591"/>
      <c r="G103" s="592"/>
      <c r="H103" s="593"/>
      <c r="J103" s="507"/>
    </row>
    <row r="104" spans="2:10">
      <c r="B104" s="486" t="s">
        <v>404</v>
      </c>
      <c r="C104" s="595"/>
      <c r="D104" s="589"/>
      <c r="E104" s="590"/>
      <c r="F104" s="591"/>
      <c r="G104" s="596"/>
      <c r="H104" s="88"/>
      <c r="J104" s="507"/>
    </row>
    <row r="105" spans="2:10">
      <c r="B105" s="486"/>
      <c r="C105" s="595"/>
      <c r="D105" s="590"/>
      <c r="E105" s="590"/>
      <c r="F105" s="591"/>
      <c r="G105" s="592"/>
      <c r="H105" s="597"/>
      <c r="J105" s="507"/>
    </row>
    <row r="106" spans="2:10">
      <c r="B106" s="468" t="s">
        <v>778</v>
      </c>
      <c r="C106" s="595"/>
      <c r="D106" s="590"/>
      <c r="E106" s="590"/>
      <c r="F106" s="591"/>
      <c r="G106" s="592"/>
      <c r="H106" s="597"/>
      <c r="J106" s="507"/>
    </row>
    <row r="107" spans="2:10">
      <c r="B107" s="486" t="s">
        <v>776</v>
      </c>
      <c r="C107" s="595"/>
      <c r="D107" s="599"/>
      <c r="E107" s="590"/>
      <c r="F107" s="591"/>
      <c r="G107" s="592"/>
      <c r="H107" s="593"/>
      <c r="J107" s="507"/>
    </row>
    <row r="108" spans="2:10">
      <c r="B108" s="486" t="s">
        <v>404</v>
      </c>
      <c r="C108" s="595"/>
      <c r="D108" s="589"/>
      <c r="E108" s="590"/>
      <c r="F108" s="591"/>
      <c r="G108" s="596"/>
      <c r="H108" s="88"/>
      <c r="J108" s="507"/>
    </row>
    <row r="109" spans="2:10">
      <c r="B109" s="486"/>
      <c r="C109" s="595"/>
      <c r="D109" s="590"/>
      <c r="E109" s="590"/>
      <c r="F109" s="591"/>
      <c r="G109" s="592"/>
      <c r="H109" s="597"/>
      <c r="J109" s="507"/>
    </row>
    <row r="110" spans="2:10">
      <c r="B110" s="468" t="s">
        <v>779</v>
      </c>
      <c r="C110" s="595"/>
      <c r="D110" s="590"/>
      <c r="E110" s="590"/>
      <c r="F110" s="591"/>
      <c r="G110" s="592"/>
      <c r="H110" s="597"/>
      <c r="J110" s="507"/>
    </row>
    <row r="111" spans="2:10">
      <c r="B111" s="486" t="s">
        <v>776</v>
      </c>
      <c r="C111" s="595"/>
      <c r="D111" s="599"/>
      <c r="E111" s="590"/>
      <c r="F111" s="591"/>
      <c r="G111" s="592"/>
      <c r="H111" s="593"/>
      <c r="J111" s="507"/>
    </row>
    <row r="112" spans="2:10">
      <c r="B112" s="486" t="s">
        <v>404</v>
      </c>
      <c r="C112" s="595"/>
      <c r="D112" s="589"/>
      <c r="E112" s="590"/>
      <c r="F112" s="591"/>
      <c r="G112" s="596"/>
      <c r="H112" s="88"/>
      <c r="J112" s="507"/>
    </row>
    <row r="113" spans="2:10">
      <c r="B113" s="486"/>
      <c r="C113" s="595"/>
      <c r="D113" s="590"/>
      <c r="E113" s="590"/>
      <c r="F113" s="591"/>
      <c r="G113" s="600"/>
      <c r="H113" s="597"/>
      <c r="J113" s="507"/>
    </row>
    <row r="114" spans="2:10" ht="15.75" thickBot="1">
      <c r="B114" s="481"/>
      <c r="C114" s="601"/>
      <c r="D114" s="480"/>
      <c r="E114" s="480"/>
      <c r="F114" s="479"/>
      <c r="G114" s="602"/>
      <c r="H114" s="603"/>
    </row>
  </sheetData>
  <mergeCells count="5">
    <mergeCell ref="M2:S3"/>
    <mergeCell ref="I8:I10"/>
    <mergeCell ref="B15:H16"/>
    <mergeCell ref="B62:C63"/>
    <mergeCell ref="B74:H75"/>
  </mergeCells>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I59"/>
  <sheetViews>
    <sheetView showGridLines="0" workbookViewId="0"/>
  </sheetViews>
  <sheetFormatPr defaultRowHeight="12.75"/>
  <cols>
    <col min="1" max="1" width="14.85546875" style="1" bestFit="1" customWidth="1"/>
    <col min="2" max="16384" width="9.140625" style="1"/>
  </cols>
  <sheetData>
    <row r="1" spans="1:9" s="647" customFormat="1">
      <c r="A1" s="699" t="s">
        <v>974</v>
      </c>
    </row>
    <row r="2" spans="1:9">
      <c r="A2" s="709" t="s">
        <v>920</v>
      </c>
    </row>
    <row r="3" spans="1:9" ht="15">
      <c r="A3" s="710">
        <v>100</v>
      </c>
      <c r="E3" s="143"/>
      <c r="F3" s="143"/>
      <c r="G3" s="143"/>
      <c r="H3" s="143"/>
      <c r="I3" s="143"/>
    </row>
    <row r="4" spans="1:9">
      <c r="A4" s="710">
        <v>101</v>
      </c>
    </row>
    <row r="5" spans="1:9">
      <c r="A5" s="710">
        <v>103</v>
      </c>
    </row>
    <row r="6" spans="1:9">
      <c r="A6" s="710">
        <v>104</v>
      </c>
    </row>
    <row r="7" spans="1:9">
      <c r="A7" s="710">
        <v>105</v>
      </c>
    </row>
    <row r="8" spans="1:9">
      <c r="A8" s="710">
        <v>106</v>
      </c>
    </row>
    <row r="9" spans="1:9">
      <c r="A9" s="710">
        <v>107</v>
      </c>
    </row>
    <row r="10" spans="1:9">
      <c r="A10" s="710">
        <v>110</v>
      </c>
    </row>
    <row r="11" spans="1:9">
      <c r="A11" s="710">
        <v>120</v>
      </c>
    </row>
    <row r="12" spans="1:9">
      <c r="A12" s="710">
        <v>130</v>
      </c>
    </row>
    <row r="13" spans="1:9">
      <c r="A13" s="710">
        <v>140</v>
      </c>
    </row>
    <row r="14" spans="1:9">
      <c r="A14" s="710">
        <v>143</v>
      </c>
    </row>
    <row r="15" spans="1:9">
      <c r="A15" s="710">
        <v>144</v>
      </c>
    </row>
    <row r="16" spans="1:9">
      <c r="A16" s="710">
        <v>160</v>
      </c>
    </row>
    <row r="17" spans="1:1">
      <c r="A17" s="710">
        <v>170</v>
      </c>
    </row>
    <row r="18" spans="1:1">
      <c r="A18" s="710">
        <v>171</v>
      </c>
    </row>
    <row r="19" spans="1:1">
      <c r="A19" s="710">
        <v>172</v>
      </c>
    </row>
    <row r="20" spans="1:1">
      <c r="A20" s="710">
        <v>173</v>
      </c>
    </row>
    <row r="21" spans="1:1">
      <c r="A21" s="710">
        <v>190</v>
      </c>
    </row>
    <row r="22" spans="1:1">
      <c r="A22" s="710">
        <v>191</v>
      </c>
    </row>
    <row r="23" spans="1:1">
      <c r="A23" s="710">
        <v>211</v>
      </c>
    </row>
    <row r="24" spans="1:1">
      <c r="A24" s="710">
        <v>214</v>
      </c>
    </row>
    <row r="25" spans="1:1">
      <c r="A25" s="710">
        <v>215</v>
      </c>
    </row>
    <row r="26" spans="1:1">
      <c r="A26" s="710">
        <v>216</v>
      </c>
    </row>
    <row r="27" spans="1:1">
      <c r="A27" s="710">
        <v>217</v>
      </c>
    </row>
    <row r="28" spans="1:1">
      <c r="A28" s="710">
        <v>219</v>
      </c>
    </row>
    <row r="29" spans="1:1">
      <c r="A29" s="710">
        <v>251</v>
      </c>
    </row>
    <row r="30" spans="1:1">
      <c r="A30" s="710">
        <v>252</v>
      </c>
    </row>
    <row r="31" spans="1:1">
      <c r="A31" s="710">
        <v>253</v>
      </c>
    </row>
    <row r="32" spans="1:1">
      <c r="A32" s="710">
        <v>257</v>
      </c>
    </row>
    <row r="33" spans="1:1">
      <c r="A33" s="710">
        <v>258</v>
      </c>
    </row>
    <row r="34" spans="1:1">
      <c r="A34" s="710">
        <v>263</v>
      </c>
    </row>
    <row r="35" spans="1:1">
      <c r="A35" s="710">
        <v>300</v>
      </c>
    </row>
    <row r="36" spans="1:1">
      <c r="A36" s="710">
        <v>301</v>
      </c>
    </row>
    <row r="37" spans="1:1">
      <c r="A37" s="710">
        <v>302</v>
      </c>
    </row>
    <row r="38" spans="1:1">
      <c r="A38" s="710">
        <v>303</v>
      </c>
    </row>
    <row r="39" spans="1:1">
      <c r="A39" s="710">
        <v>306</v>
      </c>
    </row>
    <row r="40" spans="1:1">
      <c r="A40" s="710">
        <v>307</v>
      </c>
    </row>
    <row r="41" spans="1:1">
      <c r="A41" s="710">
        <v>320</v>
      </c>
    </row>
    <row r="42" spans="1:1">
      <c r="A42" s="710">
        <v>321</v>
      </c>
    </row>
    <row r="43" spans="1:1">
      <c r="A43" s="710">
        <v>329</v>
      </c>
    </row>
    <row r="44" spans="1:1">
      <c r="A44" s="710">
        <v>330</v>
      </c>
    </row>
    <row r="45" spans="1:1">
      <c r="A45" s="710">
        <v>340</v>
      </c>
    </row>
    <row r="46" spans="1:1">
      <c r="A46" s="710">
        <v>341</v>
      </c>
    </row>
    <row r="47" spans="1:1">
      <c r="A47" s="710">
        <v>350</v>
      </c>
    </row>
    <row r="48" spans="1:1">
      <c r="A48" s="710">
        <v>360</v>
      </c>
    </row>
    <row r="49" spans="1:2">
      <c r="A49" s="710">
        <v>361</v>
      </c>
    </row>
    <row r="50" spans="1:2">
      <c r="A50" s="710">
        <v>370</v>
      </c>
    </row>
    <row r="51" spans="1:2">
      <c r="A51" s="710">
        <v>410</v>
      </c>
    </row>
    <row r="52" spans="1:2">
      <c r="A52" s="710">
        <v>420</v>
      </c>
    </row>
    <row r="53" spans="1:2">
      <c r="A53" s="710">
        <v>430</v>
      </c>
    </row>
    <row r="54" spans="1:2">
      <c r="A54" s="710">
        <v>501</v>
      </c>
    </row>
    <row r="55" spans="1:2">
      <c r="A55" s="710">
        <v>502</v>
      </c>
    </row>
    <row r="56" spans="1:2">
      <c r="A56" s="710">
        <v>503</v>
      </c>
    </row>
    <row r="57" spans="1:2">
      <c r="A57" s="710">
        <v>560</v>
      </c>
    </row>
    <row r="58" spans="1:2">
      <c r="A58" s="710">
        <v>800</v>
      </c>
    </row>
    <row r="59" spans="1:2">
      <c r="A59" s="711"/>
      <c r="B59" s="1" t="s">
        <v>405</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sheetPr>
  <dimension ref="A1:L3235"/>
  <sheetViews>
    <sheetView showGridLines="0" zoomScaleNormal="100" workbookViewId="0"/>
  </sheetViews>
  <sheetFormatPr defaultRowHeight="11.25"/>
  <cols>
    <col min="1" max="1" width="12" style="32" customWidth="1"/>
    <col min="2" max="2" width="5" style="32" customWidth="1"/>
    <col min="3" max="3" width="13.5703125" style="33" bestFit="1" customWidth="1"/>
    <col min="4" max="4" width="13.42578125" style="33" bestFit="1" customWidth="1"/>
    <col min="5" max="5" width="13.5703125" style="33" bestFit="1" customWidth="1"/>
    <col min="6" max="6" width="13.42578125" style="33" bestFit="1" customWidth="1"/>
    <col min="7" max="7" width="11.5703125" style="33" bestFit="1" customWidth="1"/>
    <col min="8" max="8" width="18.140625" style="34" bestFit="1" customWidth="1"/>
    <col min="9" max="9" width="16.85546875" style="34" bestFit="1" customWidth="1"/>
    <col min="10" max="10" width="12.28515625" style="34" bestFit="1" customWidth="1"/>
    <col min="11" max="11" width="12.140625" style="34" bestFit="1" customWidth="1"/>
    <col min="12" max="12" width="18.140625" style="34" bestFit="1" customWidth="1"/>
    <col min="13" max="236" width="9.140625" style="32"/>
    <col min="237" max="237" width="8.5703125" style="32" bestFit="1" customWidth="1"/>
    <col min="238" max="238" width="3.7109375" style="32" bestFit="1" customWidth="1"/>
    <col min="239" max="239" width="13.42578125" style="32" bestFit="1" customWidth="1"/>
    <col min="240" max="240" width="13.28515625" style="32" bestFit="1" customWidth="1"/>
    <col min="241" max="241" width="13.42578125" style="32" bestFit="1" customWidth="1"/>
    <col min="242" max="242" width="13.28515625" style="32" bestFit="1" customWidth="1"/>
    <col min="243" max="243" width="11.42578125" style="32" bestFit="1" customWidth="1"/>
    <col min="244" max="244" width="12.140625" style="32" bestFit="1" customWidth="1"/>
    <col min="245" max="245" width="12" style="32" bestFit="1" customWidth="1"/>
    <col min="246" max="246" width="12.140625" style="32" bestFit="1" customWidth="1"/>
    <col min="247" max="247" width="12" style="32" bestFit="1" customWidth="1"/>
    <col min="248" max="248" width="11.5703125" style="32" bestFit="1" customWidth="1"/>
    <col min="249" max="492" width="9.140625" style="32"/>
    <col min="493" max="493" width="8.5703125" style="32" bestFit="1" customWidth="1"/>
    <col min="494" max="494" width="3.7109375" style="32" bestFit="1" customWidth="1"/>
    <col min="495" max="495" width="13.42578125" style="32" bestFit="1" customWidth="1"/>
    <col min="496" max="496" width="13.28515625" style="32" bestFit="1" customWidth="1"/>
    <col min="497" max="497" width="13.42578125" style="32" bestFit="1" customWidth="1"/>
    <col min="498" max="498" width="13.28515625" style="32" bestFit="1" customWidth="1"/>
    <col min="499" max="499" width="11.42578125" style="32" bestFit="1" customWidth="1"/>
    <col min="500" max="500" width="12.140625" style="32" bestFit="1" customWidth="1"/>
    <col min="501" max="501" width="12" style="32" bestFit="1" customWidth="1"/>
    <col min="502" max="502" width="12.140625" style="32" bestFit="1" customWidth="1"/>
    <col min="503" max="503" width="12" style="32" bestFit="1" customWidth="1"/>
    <col min="504" max="504" width="11.5703125" style="32" bestFit="1" customWidth="1"/>
    <col min="505" max="748" width="9.140625" style="32"/>
    <col min="749" max="749" width="8.5703125" style="32" bestFit="1" customWidth="1"/>
    <col min="750" max="750" width="3.7109375" style="32" bestFit="1" customWidth="1"/>
    <col min="751" max="751" width="13.42578125" style="32" bestFit="1" customWidth="1"/>
    <col min="752" max="752" width="13.28515625" style="32" bestFit="1" customWidth="1"/>
    <col min="753" max="753" width="13.42578125" style="32" bestFit="1" customWidth="1"/>
    <col min="754" max="754" width="13.28515625" style="32" bestFit="1" customWidth="1"/>
    <col min="755" max="755" width="11.42578125" style="32" bestFit="1" customWidth="1"/>
    <col min="756" max="756" width="12.140625" style="32" bestFit="1" customWidth="1"/>
    <col min="757" max="757" width="12" style="32" bestFit="1" customWidth="1"/>
    <col min="758" max="758" width="12.140625" style="32" bestFit="1" customWidth="1"/>
    <col min="759" max="759" width="12" style="32" bestFit="1" customWidth="1"/>
    <col min="760" max="760" width="11.5703125" style="32" bestFit="1" customWidth="1"/>
    <col min="761" max="1004" width="9.140625" style="32"/>
    <col min="1005" max="1005" width="8.5703125" style="32" bestFit="1" customWidth="1"/>
    <col min="1006" max="1006" width="3.7109375" style="32" bestFit="1" customWidth="1"/>
    <col min="1007" max="1007" width="13.42578125" style="32" bestFit="1" customWidth="1"/>
    <col min="1008" max="1008" width="13.28515625" style="32" bestFit="1" customWidth="1"/>
    <col min="1009" max="1009" width="13.42578125" style="32" bestFit="1" customWidth="1"/>
    <col min="1010" max="1010" width="13.28515625" style="32" bestFit="1" customWidth="1"/>
    <col min="1011" max="1011" width="11.42578125" style="32" bestFit="1" customWidth="1"/>
    <col min="1012" max="1012" width="12.140625" style="32" bestFit="1" customWidth="1"/>
    <col min="1013" max="1013" width="12" style="32" bestFit="1" customWidth="1"/>
    <col min="1014" max="1014" width="12.140625" style="32" bestFit="1" customWidth="1"/>
    <col min="1015" max="1015" width="12" style="32" bestFit="1" customWidth="1"/>
    <col min="1016" max="1016" width="11.5703125" style="32" bestFit="1" customWidth="1"/>
    <col min="1017" max="1260" width="9.140625" style="32"/>
    <col min="1261" max="1261" width="8.5703125" style="32" bestFit="1" customWidth="1"/>
    <col min="1262" max="1262" width="3.7109375" style="32" bestFit="1" customWidth="1"/>
    <col min="1263" max="1263" width="13.42578125" style="32" bestFit="1" customWidth="1"/>
    <col min="1264" max="1264" width="13.28515625" style="32" bestFit="1" customWidth="1"/>
    <col min="1265" max="1265" width="13.42578125" style="32" bestFit="1" customWidth="1"/>
    <col min="1266" max="1266" width="13.28515625" style="32" bestFit="1" customWidth="1"/>
    <col min="1267" max="1267" width="11.42578125" style="32" bestFit="1" customWidth="1"/>
    <col min="1268" max="1268" width="12.140625" style="32" bestFit="1" customWidth="1"/>
    <col min="1269" max="1269" width="12" style="32" bestFit="1" customWidth="1"/>
    <col min="1270" max="1270" width="12.140625" style="32" bestFit="1" customWidth="1"/>
    <col min="1271" max="1271" width="12" style="32" bestFit="1" customWidth="1"/>
    <col min="1272" max="1272" width="11.5703125" style="32" bestFit="1" customWidth="1"/>
    <col min="1273" max="1516" width="9.140625" style="32"/>
    <col min="1517" max="1517" width="8.5703125" style="32" bestFit="1" customWidth="1"/>
    <col min="1518" max="1518" width="3.7109375" style="32" bestFit="1" customWidth="1"/>
    <col min="1519" max="1519" width="13.42578125" style="32" bestFit="1" customWidth="1"/>
    <col min="1520" max="1520" width="13.28515625" style="32" bestFit="1" customWidth="1"/>
    <col min="1521" max="1521" width="13.42578125" style="32" bestFit="1" customWidth="1"/>
    <col min="1522" max="1522" width="13.28515625" style="32" bestFit="1" customWidth="1"/>
    <col min="1523" max="1523" width="11.42578125" style="32" bestFit="1" customWidth="1"/>
    <col min="1524" max="1524" width="12.140625" style="32" bestFit="1" customWidth="1"/>
    <col min="1525" max="1525" width="12" style="32" bestFit="1" customWidth="1"/>
    <col min="1526" max="1526" width="12.140625" style="32" bestFit="1" customWidth="1"/>
    <col min="1527" max="1527" width="12" style="32" bestFit="1" customWidth="1"/>
    <col min="1528" max="1528" width="11.5703125" style="32" bestFit="1" customWidth="1"/>
    <col min="1529" max="1772" width="9.140625" style="32"/>
    <col min="1773" max="1773" width="8.5703125" style="32" bestFit="1" customWidth="1"/>
    <col min="1774" max="1774" width="3.7109375" style="32" bestFit="1" customWidth="1"/>
    <col min="1775" max="1775" width="13.42578125" style="32" bestFit="1" customWidth="1"/>
    <col min="1776" max="1776" width="13.28515625" style="32" bestFit="1" customWidth="1"/>
    <col min="1777" max="1777" width="13.42578125" style="32" bestFit="1" customWidth="1"/>
    <col min="1778" max="1778" width="13.28515625" style="32" bestFit="1" customWidth="1"/>
    <col min="1779" max="1779" width="11.42578125" style="32" bestFit="1" customWidth="1"/>
    <col min="1780" max="1780" width="12.140625" style="32" bestFit="1" customWidth="1"/>
    <col min="1781" max="1781" width="12" style="32" bestFit="1" customWidth="1"/>
    <col min="1782" max="1782" width="12.140625" style="32" bestFit="1" customWidth="1"/>
    <col min="1783" max="1783" width="12" style="32" bestFit="1" customWidth="1"/>
    <col min="1784" max="1784" width="11.5703125" style="32" bestFit="1" customWidth="1"/>
    <col min="1785" max="2028" width="9.140625" style="32"/>
    <col min="2029" max="2029" width="8.5703125" style="32" bestFit="1" customWidth="1"/>
    <col min="2030" max="2030" width="3.7109375" style="32" bestFit="1" customWidth="1"/>
    <col min="2031" max="2031" width="13.42578125" style="32" bestFit="1" customWidth="1"/>
    <col min="2032" max="2032" width="13.28515625" style="32" bestFit="1" customWidth="1"/>
    <col min="2033" max="2033" width="13.42578125" style="32" bestFit="1" customWidth="1"/>
    <col min="2034" max="2034" width="13.28515625" style="32" bestFit="1" customWidth="1"/>
    <col min="2035" max="2035" width="11.42578125" style="32" bestFit="1" customWidth="1"/>
    <col min="2036" max="2036" width="12.140625" style="32" bestFit="1" customWidth="1"/>
    <col min="2037" max="2037" width="12" style="32" bestFit="1" customWidth="1"/>
    <col min="2038" max="2038" width="12.140625" style="32" bestFit="1" customWidth="1"/>
    <col min="2039" max="2039" width="12" style="32" bestFit="1" customWidth="1"/>
    <col min="2040" max="2040" width="11.5703125" style="32" bestFit="1" customWidth="1"/>
    <col min="2041" max="2284" width="9.140625" style="32"/>
    <col min="2285" max="2285" width="8.5703125" style="32" bestFit="1" customWidth="1"/>
    <col min="2286" max="2286" width="3.7109375" style="32" bestFit="1" customWidth="1"/>
    <col min="2287" max="2287" width="13.42578125" style="32" bestFit="1" customWidth="1"/>
    <col min="2288" max="2288" width="13.28515625" style="32" bestFit="1" customWidth="1"/>
    <col min="2289" max="2289" width="13.42578125" style="32" bestFit="1" customWidth="1"/>
    <col min="2290" max="2290" width="13.28515625" style="32" bestFit="1" customWidth="1"/>
    <col min="2291" max="2291" width="11.42578125" style="32" bestFit="1" customWidth="1"/>
    <col min="2292" max="2292" width="12.140625" style="32" bestFit="1" customWidth="1"/>
    <col min="2293" max="2293" width="12" style="32" bestFit="1" customWidth="1"/>
    <col min="2294" max="2294" width="12.140625" style="32" bestFit="1" customWidth="1"/>
    <col min="2295" max="2295" width="12" style="32" bestFit="1" customWidth="1"/>
    <col min="2296" max="2296" width="11.5703125" style="32" bestFit="1" customWidth="1"/>
    <col min="2297" max="2540" width="9.140625" style="32"/>
    <col min="2541" max="2541" width="8.5703125" style="32" bestFit="1" customWidth="1"/>
    <col min="2542" max="2542" width="3.7109375" style="32" bestFit="1" customWidth="1"/>
    <col min="2543" max="2543" width="13.42578125" style="32" bestFit="1" customWidth="1"/>
    <col min="2544" max="2544" width="13.28515625" style="32" bestFit="1" customWidth="1"/>
    <col min="2545" max="2545" width="13.42578125" style="32" bestFit="1" customWidth="1"/>
    <col min="2546" max="2546" width="13.28515625" style="32" bestFit="1" customWidth="1"/>
    <col min="2547" max="2547" width="11.42578125" style="32" bestFit="1" customWidth="1"/>
    <col min="2548" max="2548" width="12.140625" style="32" bestFit="1" customWidth="1"/>
    <col min="2549" max="2549" width="12" style="32" bestFit="1" customWidth="1"/>
    <col min="2550" max="2550" width="12.140625" style="32" bestFit="1" customWidth="1"/>
    <col min="2551" max="2551" width="12" style="32" bestFit="1" customWidth="1"/>
    <col min="2552" max="2552" width="11.5703125" style="32" bestFit="1" customWidth="1"/>
    <col min="2553" max="2796" width="9.140625" style="32"/>
    <col min="2797" max="2797" width="8.5703125" style="32" bestFit="1" customWidth="1"/>
    <col min="2798" max="2798" width="3.7109375" style="32" bestFit="1" customWidth="1"/>
    <col min="2799" max="2799" width="13.42578125" style="32" bestFit="1" customWidth="1"/>
    <col min="2800" max="2800" width="13.28515625" style="32" bestFit="1" customWidth="1"/>
    <col min="2801" max="2801" width="13.42578125" style="32" bestFit="1" customWidth="1"/>
    <col min="2802" max="2802" width="13.28515625" style="32" bestFit="1" customWidth="1"/>
    <col min="2803" max="2803" width="11.42578125" style="32" bestFit="1" customWidth="1"/>
    <col min="2804" max="2804" width="12.140625" style="32" bestFit="1" customWidth="1"/>
    <col min="2805" max="2805" width="12" style="32" bestFit="1" customWidth="1"/>
    <col min="2806" max="2806" width="12.140625" style="32" bestFit="1" customWidth="1"/>
    <col min="2807" max="2807" width="12" style="32" bestFit="1" customWidth="1"/>
    <col min="2808" max="2808" width="11.5703125" style="32" bestFit="1" customWidth="1"/>
    <col min="2809" max="3052" width="9.140625" style="32"/>
    <col min="3053" max="3053" width="8.5703125" style="32" bestFit="1" customWidth="1"/>
    <col min="3054" max="3054" width="3.7109375" style="32" bestFit="1" customWidth="1"/>
    <col min="3055" max="3055" width="13.42578125" style="32" bestFit="1" customWidth="1"/>
    <col min="3056" max="3056" width="13.28515625" style="32" bestFit="1" customWidth="1"/>
    <col min="3057" max="3057" width="13.42578125" style="32" bestFit="1" customWidth="1"/>
    <col min="3058" max="3058" width="13.28515625" style="32" bestFit="1" customWidth="1"/>
    <col min="3059" max="3059" width="11.42578125" style="32" bestFit="1" customWidth="1"/>
    <col min="3060" max="3060" width="12.140625" style="32" bestFit="1" customWidth="1"/>
    <col min="3061" max="3061" width="12" style="32" bestFit="1" customWidth="1"/>
    <col min="3062" max="3062" width="12.140625" style="32" bestFit="1" customWidth="1"/>
    <col min="3063" max="3063" width="12" style="32" bestFit="1" customWidth="1"/>
    <col min="3064" max="3064" width="11.5703125" style="32" bestFit="1" customWidth="1"/>
    <col min="3065" max="3308" width="9.140625" style="32"/>
    <col min="3309" max="3309" width="8.5703125" style="32" bestFit="1" customWidth="1"/>
    <col min="3310" max="3310" width="3.7109375" style="32" bestFit="1" customWidth="1"/>
    <col min="3311" max="3311" width="13.42578125" style="32" bestFit="1" customWidth="1"/>
    <col min="3312" max="3312" width="13.28515625" style="32" bestFit="1" customWidth="1"/>
    <col min="3313" max="3313" width="13.42578125" style="32" bestFit="1" customWidth="1"/>
    <col min="3314" max="3314" width="13.28515625" style="32" bestFit="1" customWidth="1"/>
    <col min="3315" max="3315" width="11.42578125" style="32" bestFit="1" customWidth="1"/>
    <col min="3316" max="3316" width="12.140625" style="32" bestFit="1" customWidth="1"/>
    <col min="3317" max="3317" width="12" style="32" bestFit="1" customWidth="1"/>
    <col min="3318" max="3318" width="12.140625" style="32" bestFit="1" customWidth="1"/>
    <col min="3319" max="3319" width="12" style="32" bestFit="1" customWidth="1"/>
    <col min="3320" max="3320" width="11.5703125" style="32" bestFit="1" customWidth="1"/>
    <col min="3321" max="3564" width="9.140625" style="32"/>
    <col min="3565" max="3565" width="8.5703125" style="32" bestFit="1" customWidth="1"/>
    <col min="3566" max="3566" width="3.7109375" style="32" bestFit="1" customWidth="1"/>
    <col min="3567" max="3567" width="13.42578125" style="32" bestFit="1" customWidth="1"/>
    <col min="3568" max="3568" width="13.28515625" style="32" bestFit="1" customWidth="1"/>
    <col min="3569" max="3569" width="13.42578125" style="32" bestFit="1" customWidth="1"/>
    <col min="3570" max="3570" width="13.28515625" style="32" bestFit="1" customWidth="1"/>
    <col min="3571" max="3571" width="11.42578125" style="32" bestFit="1" customWidth="1"/>
    <col min="3572" max="3572" width="12.140625" style="32" bestFit="1" customWidth="1"/>
    <col min="3573" max="3573" width="12" style="32" bestFit="1" customWidth="1"/>
    <col min="3574" max="3574" width="12.140625" style="32" bestFit="1" customWidth="1"/>
    <col min="3575" max="3575" width="12" style="32" bestFit="1" customWidth="1"/>
    <col min="3576" max="3576" width="11.5703125" style="32" bestFit="1" customWidth="1"/>
    <col min="3577" max="3820" width="9.140625" style="32"/>
    <col min="3821" max="3821" width="8.5703125" style="32" bestFit="1" customWidth="1"/>
    <col min="3822" max="3822" width="3.7109375" style="32" bestFit="1" customWidth="1"/>
    <col min="3823" max="3823" width="13.42578125" style="32" bestFit="1" customWidth="1"/>
    <col min="3824" max="3824" width="13.28515625" style="32" bestFit="1" customWidth="1"/>
    <col min="3825" max="3825" width="13.42578125" style="32" bestFit="1" customWidth="1"/>
    <col min="3826" max="3826" width="13.28515625" style="32" bestFit="1" customWidth="1"/>
    <col min="3827" max="3827" width="11.42578125" style="32" bestFit="1" customWidth="1"/>
    <col min="3828" max="3828" width="12.140625" style="32" bestFit="1" customWidth="1"/>
    <col min="3829" max="3829" width="12" style="32" bestFit="1" customWidth="1"/>
    <col min="3830" max="3830" width="12.140625" style="32" bestFit="1" customWidth="1"/>
    <col min="3831" max="3831" width="12" style="32" bestFit="1" customWidth="1"/>
    <col min="3832" max="3832" width="11.5703125" style="32" bestFit="1" customWidth="1"/>
    <col min="3833" max="4076" width="9.140625" style="32"/>
    <col min="4077" max="4077" width="8.5703125" style="32" bestFit="1" customWidth="1"/>
    <col min="4078" max="4078" width="3.7109375" style="32" bestFit="1" customWidth="1"/>
    <col min="4079" max="4079" width="13.42578125" style="32" bestFit="1" customWidth="1"/>
    <col min="4080" max="4080" width="13.28515625" style="32" bestFit="1" customWidth="1"/>
    <col min="4081" max="4081" width="13.42578125" style="32" bestFit="1" customWidth="1"/>
    <col min="4082" max="4082" width="13.28515625" style="32" bestFit="1" customWidth="1"/>
    <col min="4083" max="4083" width="11.42578125" style="32" bestFit="1" customWidth="1"/>
    <col min="4084" max="4084" width="12.140625" style="32" bestFit="1" customWidth="1"/>
    <col min="4085" max="4085" width="12" style="32" bestFit="1" customWidth="1"/>
    <col min="4086" max="4086" width="12.140625" style="32" bestFit="1" customWidth="1"/>
    <col min="4087" max="4087" width="12" style="32" bestFit="1" customWidth="1"/>
    <col min="4088" max="4088" width="11.5703125" style="32" bestFit="1" customWidth="1"/>
    <col min="4089" max="4332" width="9.140625" style="32"/>
    <col min="4333" max="4333" width="8.5703125" style="32" bestFit="1" customWidth="1"/>
    <col min="4334" max="4334" width="3.7109375" style="32" bestFit="1" customWidth="1"/>
    <col min="4335" max="4335" width="13.42578125" style="32" bestFit="1" customWidth="1"/>
    <col min="4336" max="4336" width="13.28515625" style="32" bestFit="1" customWidth="1"/>
    <col min="4337" max="4337" width="13.42578125" style="32" bestFit="1" customWidth="1"/>
    <col min="4338" max="4338" width="13.28515625" style="32" bestFit="1" customWidth="1"/>
    <col min="4339" max="4339" width="11.42578125" style="32" bestFit="1" customWidth="1"/>
    <col min="4340" max="4340" width="12.140625" style="32" bestFit="1" customWidth="1"/>
    <col min="4341" max="4341" width="12" style="32" bestFit="1" customWidth="1"/>
    <col min="4342" max="4342" width="12.140625" style="32" bestFit="1" customWidth="1"/>
    <col min="4343" max="4343" width="12" style="32" bestFit="1" customWidth="1"/>
    <col min="4344" max="4344" width="11.5703125" style="32" bestFit="1" customWidth="1"/>
    <col min="4345" max="4588" width="9.140625" style="32"/>
    <col min="4589" max="4589" width="8.5703125" style="32" bestFit="1" customWidth="1"/>
    <col min="4590" max="4590" width="3.7109375" style="32" bestFit="1" customWidth="1"/>
    <col min="4591" max="4591" width="13.42578125" style="32" bestFit="1" customWidth="1"/>
    <col min="4592" max="4592" width="13.28515625" style="32" bestFit="1" customWidth="1"/>
    <col min="4593" max="4593" width="13.42578125" style="32" bestFit="1" customWidth="1"/>
    <col min="4594" max="4594" width="13.28515625" style="32" bestFit="1" customWidth="1"/>
    <col min="4595" max="4595" width="11.42578125" style="32" bestFit="1" customWidth="1"/>
    <col min="4596" max="4596" width="12.140625" style="32" bestFit="1" customWidth="1"/>
    <col min="4597" max="4597" width="12" style="32" bestFit="1" customWidth="1"/>
    <col min="4598" max="4598" width="12.140625" style="32" bestFit="1" customWidth="1"/>
    <col min="4599" max="4599" width="12" style="32" bestFit="1" customWidth="1"/>
    <col min="4600" max="4600" width="11.5703125" style="32" bestFit="1" customWidth="1"/>
    <col min="4601" max="4844" width="9.140625" style="32"/>
    <col min="4845" max="4845" width="8.5703125" style="32" bestFit="1" customWidth="1"/>
    <col min="4846" max="4846" width="3.7109375" style="32" bestFit="1" customWidth="1"/>
    <col min="4847" max="4847" width="13.42578125" style="32" bestFit="1" customWidth="1"/>
    <col min="4848" max="4848" width="13.28515625" style="32" bestFit="1" customWidth="1"/>
    <col min="4849" max="4849" width="13.42578125" style="32" bestFit="1" customWidth="1"/>
    <col min="4850" max="4850" width="13.28515625" style="32" bestFit="1" customWidth="1"/>
    <col min="4851" max="4851" width="11.42578125" style="32" bestFit="1" customWidth="1"/>
    <col min="4852" max="4852" width="12.140625" style="32" bestFit="1" customWidth="1"/>
    <col min="4853" max="4853" width="12" style="32" bestFit="1" customWidth="1"/>
    <col min="4854" max="4854" width="12.140625" style="32" bestFit="1" customWidth="1"/>
    <col min="4855" max="4855" width="12" style="32" bestFit="1" customWidth="1"/>
    <col min="4856" max="4856" width="11.5703125" style="32" bestFit="1" customWidth="1"/>
    <col min="4857" max="5100" width="9.140625" style="32"/>
    <col min="5101" max="5101" width="8.5703125" style="32" bestFit="1" customWidth="1"/>
    <col min="5102" max="5102" width="3.7109375" style="32" bestFit="1" customWidth="1"/>
    <col min="5103" max="5103" width="13.42578125" style="32" bestFit="1" customWidth="1"/>
    <col min="5104" max="5104" width="13.28515625" style="32" bestFit="1" customWidth="1"/>
    <col min="5105" max="5105" width="13.42578125" style="32" bestFit="1" customWidth="1"/>
    <col min="5106" max="5106" width="13.28515625" style="32" bestFit="1" customWidth="1"/>
    <col min="5107" max="5107" width="11.42578125" style="32" bestFit="1" customWidth="1"/>
    <col min="5108" max="5108" width="12.140625" style="32" bestFit="1" customWidth="1"/>
    <col min="5109" max="5109" width="12" style="32" bestFit="1" customWidth="1"/>
    <col min="5110" max="5110" width="12.140625" style="32" bestFit="1" customWidth="1"/>
    <col min="5111" max="5111" width="12" style="32" bestFit="1" customWidth="1"/>
    <col min="5112" max="5112" width="11.5703125" style="32" bestFit="1" customWidth="1"/>
    <col min="5113" max="5356" width="9.140625" style="32"/>
    <col min="5357" max="5357" width="8.5703125" style="32" bestFit="1" customWidth="1"/>
    <col min="5358" max="5358" width="3.7109375" style="32" bestFit="1" customWidth="1"/>
    <col min="5359" max="5359" width="13.42578125" style="32" bestFit="1" customWidth="1"/>
    <col min="5360" max="5360" width="13.28515625" style="32" bestFit="1" customWidth="1"/>
    <col min="5361" max="5361" width="13.42578125" style="32" bestFit="1" customWidth="1"/>
    <col min="5362" max="5362" width="13.28515625" style="32" bestFit="1" customWidth="1"/>
    <col min="5363" max="5363" width="11.42578125" style="32" bestFit="1" customWidth="1"/>
    <col min="5364" max="5364" width="12.140625" style="32" bestFit="1" customWidth="1"/>
    <col min="5365" max="5365" width="12" style="32" bestFit="1" customWidth="1"/>
    <col min="5366" max="5366" width="12.140625" style="32" bestFit="1" customWidth="1"/>
    <col min="5367" max="5367" width="12" style="32" bestFit="1" customWidth="1"/>
    <col min="5368" max="5368" width="11.5703125" style="32" bestFit="1" customWidth="1"/>
    <col min="5369" max="5612" width="9.140625" style="32"/>
    <col min="5613" max="5613" width="8.5703125" style="32" bestFit="1" customWidth="1"/>
    <col min="5614" max="5614" width="3.7109375" style="32" bestFit="1" customWidth="1"/>
    <col min="5615" max="5615" width="13.42578125" style="32" bestFit="1" customWidth="1"/>
    <col min="5616" max="5616" width="13.28515625" style="32" bestFit="1" customWidth="1"/>
    <col min="5617" max="5617" width="13.42578125" style="32" bestFit="1" customWidth="1"/>
    <col min="5618" max="5618" width="13.28515625" style="32" bestFit="1" customWidth="1"/>
    <col min="5619" max="5619" width="11.42578125" style="32" bestFit="1" customWidth="1"/>
    <col min="5620" max="5620" width="12.140625" style="32" bestFit="1" customWidth="1"/>
    <col min="5621" max="5621" width="12" style="32" bestFit="1" customWidth="1"/>
    <col min="5622" max="5622" width="12.140625" style="32" bestFit="1" customWidth="1"/>
    <col min="5623" max="5623" width="12" style="32" bestFit="1" customWidth="1"/>
    <col min="5624" max="5624" width="11.5703125" style="32" bestFit="1" customWidth="1"/>
    <col min="5625" max="5868" width="9.140625" style="32"/>
    <col min="5869" max="5869" width="8.5703125" style="32" bestFit="1" customWidth="1"/>
    <col min="5870" max="5870" width="3.7109375" style="32" bestFit="1" customWidth="1"/>
    <col min="5871" max="5871" width="13.42578125" style="32" bestFit="1" customWidth="1"/>
    <col min="5872" max="5872" width="13.28515625" style="32" bestFit="1" customWidth="1"/>
    <col min="5873" max="5873" width="13.42578125" style="32" bestFit="1" customWidth="1"/>
    <col min="5874" max="5874" width="13.28515625" style="32" bestFit="1" customWidth="1"/>
    <col min="5875" max="5875" width="11.42578125" style="32" bestFit="1" customWidth="1"/>
    <col min="5876" max="5876" width="12.140625" style="32" bestFit="1" customWidth="1"/>
    <col min="5877" max="5877" width="12" style="32" bestFit="1" customWidth="1"/>
    <col min="5878" max="5878" width="12.140625" style="32" bestFit="1" customWidth="1"/>
    <col min="5879" max="5879" width="12" style="32" bestFit="1" customWidth="1"/>
    <col min="5880" max="5880" width="11.5703125" style="32" bestFit="1" customWidth="1"/>
    <col min="5881" max="6124" width="9.140625" style="32"/>
    <col min="6125" max="6125" width="8.5703125" style="32" bestFit="1" customWidth="1"/>
    <col min="6126" max="6126" width="3.7109375" style="32" bestFit="1" customWidth="1"/>
    <col min="6127" max="6127" width="13.42578125" style="32" bestFit="1" customWidth="1"/>
    <col min="6128" max="6128" width="13.28515625" style="32" bestFit="1" customWidth="1"/>
    <col min="6129" max="6129" width="13.42578125" style="32" bestFit="1" customWidth="1"/>
    <col min="6130" max="6130" width="13.28515625" style="32" bestFit="1" customWidth="1"/>
    <col min="6131" max="6131" width="11.42578125" style="32" bestFit="1" customWidth="1"/>
    <col min="6132" max="6132" width="12.140625" style="32" bestFit="1" customWidth="1"/>
    <col min="6133" max="6133" width="12" style="32" bestFit="1" customWidth="1"/>
    <col min="6134" max="6134" width="12.140625" style="32" bestFit="1" customWidth="1"/>
    <col min="6135" max="6135" width="12" style="32" bestFit="1" customWidth="1"/>
    <col min="6136" max="6136" width="11.5703125" style="32" bestFit="1" customWidth="1"/>
    <col min="6137" max="6380" width="9.140625" style="32"/>
    <col min="6381" max="6381" width="8.5703125" style="32" bestFit="1" customWidth="1"/>
    <col min="6382" max="6382" width="3.7109375" style="32" bestFit="1" customWidth="1"/>
    <col min="6383" max="6383" width="13.42578125" style="32" bestFit="1" customWidth="1"/>
    <col min="6384" max="6384" width="13.28515625" style="32" bestFit="1" customWidth="1"/>
    <col min="6385" max="6385" width="13.42578125" style="32" bestFit="1" customWidth="1"/>
    <col min="6386" max="6386" width="13.28515625" style="32" bestFit="1" customWidth="1"/>
    <col min="6387" max="6387" width="11.42578125" style="32" bestFit="1" customWidth="1"/>
    <col min="6388" max="6388" width="12.140625" style="32" bestFit="1" customWidth="1"/>
    <col min="6389" max="6389" width="12" style="32" bestFit="1" customWidth="1"/>
    <col min="6390" max="6390" width="12.140625" style="32" bestFit="1" customWidth="1"/>
    <col min="6391" max="6391" width="12" style="32" bestFit="1" customWidth="1"/>
    <col min="6392" max="6392" width="11.5703125" style="32" bestFit="1" customWidth="1"/>
    <col min="6393" max="6636" width="9.140625" style="32"/>
    <col min="6637" max="6637" width="8.5703125" style="32" bestFit="1" customWidth="1"/>
    <col min="6638" max="6638" width="3.7109375" style="32" bestFit="1" customWidth="1"/>
    <col min="6639" max="6639" width="13.42578125" style="32" bestFit="1" customWidth="1"/>
    <col min="6640" max="6640" width="13.28515625" style="32" bestFit="1" customWidth="1"/>
    <col min="6641" max="6641" width="13.42578125" style="32" bestFit="1" customWidth="1"/>
    <col min="6642" max="6642" width="13.28515625" style="32" bestFit="1" customWidth="1"/>
    <col min="6643" max="6643" width="11.42578125" style="32" bestFit="1" customWidth="1"/>
    <col min="6644" max="6644" width="12.140625" style="32" bestFit="1" customWidth="1"/>
    <col min="6645" max="6645" width="12" style="32" bestFit="1" customWidth="1"/>
    <col min="6646" max="6646" width="12.140625" style="32" bestFit="1" customWidth="1"/>
    <col min="6647" max="6647" width="12" style="32" bestFit="1" customWidth="1"/>
    <col min="6648" max="6648" width="11.5703125" style="32" bestFit="1" customWidth="1"/>
    <col min="6649" max="6892" width="9.140625" style="32"/>
    <col min="6893" max="6893" width="8.5703125" style="32" bestFit="1" customWidth="1"/>
    <col min="6894" max="6894" width="3.7109375" style="32" bestFit="1" customWidth="1"/>
    <col min="6895" max="6895" width="13.42578125" style="32" bestFit="1" customWidth="1"/>
    <col min="6896" max="6896" width="13.28515625" style="32" bestFit="1" customWidth="1"/>
    <col min="6897" max="6897" width="13.42578125" style="32" bestFit="1" customWidth="1"/>
    <col min="6898" max="6898" width="13.28515625" style="32" bestFit="1" customWidth="1"/>
    <col min="6899" max="6899" width="11.42578125" style="32" bestFit="1" customWidth="1"/>
    <col min="6900" max="6900" width="12.140625" style="32" bestFit="1" customWidth="1"/>
    <col min="6901" max="6901" width="12" style="32" bestFit="1" customWidth="1"/>
    <col min="6902" max="6902" width="12.140625" style="32" bestFit="1" customWidth="1"/>
    <col min="6903" max="6903" width="12" style="32" bestFit="1" customWidth="1"/>
    <col min="6904" max="6904" width="11.5703125" style="32" bestFit="1" customWidth="1"/>
    <col min="6905" max="7148" width="9.140625" style="32"/>
    <col min="7149" max="7149" width="8.5703125" style="32" bestFit="1" customWidth="1"/>
    <col min="7150" max="7150" width="3.7109375" style="32" bestFit="1" customWidth="1"/>
    <col min="7151" max="7151" width="13.42578125" style="32" bestFit="1" customWidth="1"/>
    <col min="7152" max="7152" width="13.28515625" style="32" bestFit="1" customWidth="1"/>
    <col min="7153" max="7153" width="13.42578125" style="32" bestFit="1" customWidth="1"/>
    <col min="7154" max="7154" width="13.28515625" style="32" bestFit="1" customWidth="1"/>
    <col min="7155" max="7155" width="11.42578125" style="32" bestFit="1" customWidth="1"/>
    <col min="7156" max="7156" width="12.140625" style="32" bestFit="1" customWidth="1"/>
    <col min="7157" max="7157" width="12" style="32" bestFit="1" customWidth="1"/>
    <col min="7158" max="7158" width="12.140625" style="32" bestFit="1" customWidth="1"/>
    <col min="7159" max="7159" width="12" style="32" bestFit="1" customWidth="1"/>
    <col min="7160" max="7160" width="11.5703125" style="32" bestFit="1" customWidth="1"/>
    <col min="7161" max="7404" width="9.140625" style="32"/>
    <col min="7405" max="7405" width="8.5703125" style="32" bestFit="1" customWidth="1"/>
    <col min="7406" max="7406" width="3.7109375" style="32" bestFit="1" customWidth="1"/>
    <col min="7407" max="7407" width="13.42578125" style="32" bestFit="1" customWidth="1"/>
    <col min="7408" max="7408" width="13.28515625" style="32" bestFit="1" customWidth="1"/>
    <col min="7409" max="7409" width="13.42578125" style="32" bestFit="1" customWidth="1"/>
    <col min="7410" max="7410" width="13.28515625" style="32" bestFit="1" customWidth="1"/>
    <col min="7411" max="7411" width="11.42578125" style="32" bestFit="1" customWidth="1"/>
    <col min="7412" max="7412" width="12.140625" style="32" bestFit="1" customWidth="1"/>
    <col min="7413" max="7413" width="12" style="32" bestFit="1" customWidth="1"/>
    <col min="7414" max="7414" width="12.140625" style="32" bestFit="1" customWidth="1"/>
    <col min="7415" max="7415" width="12" style="32" bestFit="1" customWidth="1"/>
    <col min="7416" max="7416" width="11.5703125" style="32" bestFit="1" customWidth="1"/>
    <col min="7417" max="7660" width="9.140625" style="32"/>
    <col min="7661" max="7661" width="8.5703125" style="32" bestFit="1" customWidth="1"/>
    <col min="7662" max="7662" width="3.7109375" style="32" bestFit="1" customWidth="1"/>
    <col min="7663" max="7663" width="13.42578125" style="32" bestFit="1" customWidth="1"/>
    <col min="7664" max="7664" width="13.28515625" style="32" bestFit="1" customWidth="1"/>
    <col min="7665" max="7665" width="13.42578125" style="32" bestFit="1" customWidth="1"/>
    <col min="7666" max="7666" width="13.28515625" style="32" bestFit="1" customWidth="1"/>
    <col min="7667" max="7667" width="11.42578125" style="32" bestFit="1" customWidth="1"/>
    <col min="7668" max="7668" width="12.140625" style="32" bestFit="1" customWidth="1"/>
    <col min="7669" max="7669" width="12" style="32" bestFit="1" customWidth="1"/>
    <col min="7670" max="7670" width="12.140625" style="32" bestFit="1" customWidth="1"/>
    <col min="7671" max="7671" width="12" style="32" bestFit="1" customWidth="1"/>
    <col min="7672" max="7672" width="11.5703125" style="32" bestFit="1" customWidth="1"/>
    <col min="7673" max="7916" width="9.140625" style="32"/>
    <col min="7917" max="7917" width="8.5703125" style="32" bestFit="1" customWidth="1"/>
    <col min="7918" max="7918" width="3.7109375" style="32" bestFit="1" customWidth="1"/>
    <col min="7919" max="7919" width="13.42578125" style="32" bestFit="1" customWidth="1"/>
    <col min="7920" max="7920" width="13.28515625" style="32" bestFit="1" customWidth="1"/>
    <col min="7921" max="7921" width="13.42578125" style="32" bestFit="1" customWidth="1"/>
    <col min="7922" max="7922" width="13.28515625" style="32" bestFit="1" customWidth="1"/>
    <col min="7923" max="7923" width="11.42578125" style="32" bestFit="1" customWidth="1"/>
    <col min="7924" max="7924" width="12.140625" style="32" bestFit="1" customWidth="1"/>
    <col min="7925" max="7925" width="12" style="32" bestFit="1" customWidth="1"/>
    <col min="7926" max="7926" width="12.140625" style="32" bestFit="1" customWidth="1"/>
    <col min="7927" max="7927" width="12" style="32" bestFit="1" customWidth="1"/>
    <col min="7928" max="7928" width="11.5703125" style="32" bestFit="1" customWidth="1"/>
    <col min="7929" max="8172" width="9.140625" style="32"/>
    <col min="8173" max="8173" width="8.5703125" style="32" bestFit="1" customWidth="1"/>
    <col min="8174" max="8174" width="3.7109375" style="32" bestFit="1" customWidth="1"/>
    <col min="8175" max="8175" width="13.42578125" style="32" bestFit="1" customWidth="1"/>
    <col min="8176" max="8176" width="13.28515625" style="32" bestFit="1" customWidth="1"/>
    <col min="8177" max="8177" width="13.42578125" style="32" bestFit="1" customWidth="1"/>
    <col min="8178" max="8178" width="13.28515625" style="32" bestFit="1" customWidth="1"/>
    <col min="8179" max="8179" width="11.42578125" style="32" bestFit="1" customWidth="1"/>
    <col min="8180" max="8180" width="12.140625" style="32" bestFit="1" customWidth="1"/>
    <col min="8181" max="8181" width="12" style="32" bestFit="1" customWidth="1"/>
    <col min="8182" max="8182" width="12.140625" style="32" bestFit="1" customWidth="1"/>
    <col min="8183" max="8183" width="12" style="32" bestFit="1" customWidth="1"/>
    <col min="8184" max="8184" width="11.5703125" style="32" bestFit="1" customWidth="1"/>
    <col min="8185" max="8428" width="9.140625" style="32"/>
    <col min="8429" max="8429" width="8.5703125" style="32" bestFit="1" customWidth="1"/>
    <col min="8430" max="8430" width="3.7109375" style="32" bestFit="1" customWidth="1"/>
    <col min="8431" max="8431" width="13.42578125" style="32" bestFit="1" customWidth="1"/>
    <col min="8432" max="8432" width="13.28515625" style="32" bestFit="1" customWidth="1"/>
    <col min="8433" max="8433" width="13.42578125" style="32" bestFit="1" customWidth="1"/>
    <col min="8434" max="8434" width="13.28515625" style="32" bestFit="1" customWidth="1"/>
    <col min="8435" max="8435" width="11.42578125" style="32" bestFit="1" customWidth="1"/>
    <col min="8436" max="8436" width="12.140625" style="32" bestFit="1" customWidth="1"/>
    <col min="8437" max="8437" width="12" style="32" bestFit="1" customWidth="1"/>
    <col min="8438" max="8438" width="12.140625" style="32" bestFit="1" customWidth="1"/>
    <col min="8439" max="8439" width="12" style="32" bestFit="1" customWidth="1"/>
    <col min="8440" max="8440" width="11.5703125" style="32" bestFit="1" customWidth="1"/>
    <col min="8441" max="8684" width="9.140625" style="32"/>
    <col min="8685" max="8685" width="8.5703125" style="32" bestFit="1" customWidth="1"/>
    <col min="8686" max="8686" width="3.7109375" style="32" bestFit="1" customWidth="1"/>
    <col min="8687" max="8687" width="13.42578125" style="32" bestFit="1" customWidth="1"/>
    <col min="8688" max="8688" width="13.28515625" style="32" bestFit="1" customWidth="1"/>
    <col min="8689" max="8689" width="13.42578125" style="32" bestFit="1" customWidth="1"/>
    <col min="8690" max="8690" width="13.28515625" style="32" bestFit="1" customWidth="1"/>
    <col min="8691" max="8691" width="11.42578125" style="32" bestFit="1" customWidth="1"/>
    <col min="8692" max="8692" width="12.140625" style="32" bestFit="1" customWidth="1"/>
    <col min="8693" max="8693" width="12" style="32" bestFit="1" customWidth="1"/>
    <col min="8694" max="8694" width="12.140625" style="32" bestFit="1" customWidth="1"/>
    <col min="8695" max="8695" width="12" style="32" bestFit="1" customWidth="1"/>
    <col min="8696" max="8696" width="11.5703125" style="32" bestFit="1" customWidth="1"/>
    <col min="8697" max="8940" width="9.140625" style="32"/>
    <col min="8941" max="8941" width="8.5703125" style="32" bestFit="1" customWidth="1"/>
    <col min="8942" max="8942" width="3.7109375" style="32" bestFit="1" customWidth="1"/>
    <col min="8943" max="8943" width="13.42578125" style="32" bestFit="1" customWidth="1"/>
    <col min="8944" max="8944" width="13.28515625" style="32" bestFit="1" customWidth="1"/>
    <col min="8945" max="8945" width="13.42578125" style="32" bestFit="1" customWidth="1"/>
    <col min="8946" max="8946" width="13.28515625" style="32" bestFit="1" customWidth="1"/>
    <col min="8947" max="8947" width="11.42578125" style="32" bestFit="1" customWidth="1"/>
    <col min="8948" max="8948" width="12.140625" style="32" bestFit="1" customWidth="1"/>
    <col min="8949" max="8949" width="12" style="32" bestFit="1" customWidth="1"/>
    <col min="8950" max="8950" width="12.140625" style="32" bestFit="1" customWidth="1"/>
    <col min="8951" max="8951" width="12" style="32" bestFit="1" customWidth="1"/>
    <col min="8952" max="8952" width="11.5703125" style="32" bestFit="1" customWidth="1"/>
    <col min="8953" max="9196" width="9.140625" style="32"/>
    <col min="9197" max="9197" width="8.5703125" style="32" bestFit="1" customWidth="1"/>
    <col min="9198" max="9198" width="3.7109375" style="32" bestFit="1" customWidth="1"/>
    <col min="9199" max="9199" width="13.42578125" style="32" bestFit="1" customWidth="1"/>
    <col min="9200" max="9200" width="13.28515625" style="32" bestFit="1" customWidth="1"/>
    <col min="9201" max="9201" width="13.42578125" style="32" bestFit="1" customWidth="1"/>
    <col min="9202" max="9202" width="13.28515625" style="32" bestFit="1" customWidth="1"/>
    <col min="9203" max="9203" width="11.42578125" style="32" bestFit="1" customWidth="1"/>
    <col min="9204" max="9204" width="12.140625" style="32" bestFit="1" customWidth="1"/>
    <col min="9205" max="9205" width="12" style="32" bestFit="1" customWidth="1"/>
    <col min="9206" max="9206" width="12.140625" style="32" bestFit="1" customWidth="1"/>
    <col min="9207" max="9207" width="12" style="32" bestFit="1" customWidth="1"/>
    <col min="9208" max="9208" width="11.5703125" style="32" bestFit="1" customWidth="1"/>
    <col min="9209" max="9452" width="9.140625" style="32"/>
    <col min="9453" max="9453" width="8.5703125" style="32" bestFit="1" customWidth="1"/>
    <col min="9454" max="9454" width="3.7109375" style="32" bestFit="1" customWidth="1"/>
    <col min="9455" max="9455" width="13.42578125" style="32" bestFit="1" customWidth="1"/>
    <col min="9456" max="9456" width="13.28515625" style="32" bestFit="1" customWidth="1"/>
    <col min="9457" max="9457" width="13.42578125" style="32" bestFit="1" customWidth="1"/>
    <col min="9458" max="9458" width="13.28515625" style="32" bestFit="1" customWidth="1"/>
    <col min="9459" max="9459" width="11.42578125" style="32" bestFit="1" customWidth="1"/>
    <col min="9460" max="9460" width="12.140625" style="32" bestFit="1" customWidth="1"/>
    <col min="9461" max="9461" width="12" style="32" bestFit="1" customWidth="1"/>
    <col min="9462" max="9462" width="12.140625" style="32" bestFit="1" customWidth="1"/>
    <col min="9463" max="9463" width="12" style="32" bestFit="1" customWidth="1"/>
    <col min="9464" max="9464" width="11.5703125" style="32" bestFit="1" customWidth="1"/>
    <col min="9465" max="9708" width="9.140625" style="32"/>
    <col min="9709" max="9709" width="8.5703125" style="32" bestFit="1" customWidth="1"/>
    <col min="9710" max="9710" width="3.7109375" style="32" bestFit="1" customWidth="1"/>
    <col min="9711" max="9711" width="13.42578125" style="32" bestFit="1" customWidth="1"/>
    <col min="9712" max="9712" width="13.28515625" style="32" bestFit="1" customWidth="1"/>
    <col min="9713" max="9713" width="13.42578125" style="32" bestFit="1" customWidth="1"/>
    <col min="9714" max="9714" width="13.28515625" style="32" bestFit="1" customWidth="1"/>
    <col min="9715" max="9715" width="11.42578125" style="32" bestFit="1" customWidth="1"/>
    <col min="9716" max="9716" width="12.140625" style="32" bestFit="1" customWidth="1"/>
    <col min="9717" max="9717" width="12" style="32" bestFit="1" customWidth="1"/>
    <col min="9718" max="9718" width="12.140625" style="32" bestFit="1" customWidth="1"/>
    <col min="9719" max="9719" width="12" style="32" bestFit="1" customWidth="1"/>
    <col min="9720" max="9720" width="11.5703125" style="32" bestFit="1" customWidth="1"/>
    <col min="9721" max="9964" width="9.140625" style="32"/>
    <col min="9965" max="9965" width="8.5703125" style="32" bestFit="1" customWidth="1"/>
    <col min="9966" max="9966" width="3.7109375" style="32" bestFit="1" customWidth="1"/>
    <col min="9967" max="9967" width="13.42578125" style="32" bestFit="1" customWidth="1"/>
    <col min="9968" max="9968" width="13.28515625" style="32" bestFit="1" customWidth="1"/>
    <col min="9969" max="9969" width="13.42578125" style="32" bestFit="1" customWidth="1"/>
    <col min="9970" max="9970" width="13.28515625" style="32" bestFit="1" customWidth="1"/>
    <col min="9971" max="9971" width="11.42578125" style="32" bestFit="1" customWidth="1"/>
    <col min="9972" max="9972" width="12.140625" style="32" bestFit="1" customWidth="1"/>
    <col min="9973" max="9973" width="12" style="32" bestFit="1" customWidth="1"/>
    <col min="9974" max="9974" width="12.140625" style="32" bestFit="1" customWidth="1"/>
    <col min="9975" max="9975" width="12" style="32" bestFit="1" customWidth="1"/>
    <col min="9976" max="9976" width="11.5703125" style="32" bestFit="1" customWidth="1"/>
    <col min="9977" max="10220" width="9.140625" style="32"/>
    <col min="10221" max="10221" width="8.5703125" style="32" bestFit="1" customWidth="1"/>
    <col min="10222" max="10222" width="3.7109375" style="32" bestFit="1" customWidth="1"/>
    <col min="10223" max="10223" width="13.42578125" style="32" bestFit="1" customWidth="1"/>
    <col min="10224" max="10224" width="13.28515625" style="32" bestFit="1" customWidth="1"/>
    <col min="10225" max="10225" width="13.42578125" style="32" bestFit="1" customWidth="1"/>
    <col min="10226" max="10226" width="13.28515625" style="32" bestFit="1" customWidth="1"/>
    <col min="10227" max="10227" width="11.42578125" style="32" bestFit="1" customWidth="1"/>
    <col min="10228" max="10228" width="12.140625" style="32" bestFit="1" customWidth="1"/>
    <col min="10229" max="10229" width="12" style="32" bestFit="1" customWidth="1"/>
    <col min="10230" max="10230" width="12.140625" style="32" bestFit="1" customWidth="1"/>
    <col min="10231" max="10231" width="12" style="32" bestFit="1" customWidth="1"/>
    <col min="10232" max="10232" width="11.5703125" style="32" bestFit="1" customWidth="1"/>
    <col min="10233" max="10476" width="9.140625" style="32"/>
    <col min="10477" max="10477" width="8.5703125" style="32" bestFit="1" customWidth="1"/>
    <col min="10478" max="10478" width="3.7109375" style="32" bestFit="1" customWidth="1"/>
    <col min="10479" max="10479" width="13.42578125" style="32" bestFit="1" customWidth="1"/>
    <col min="10480" max="10480" width="13.28515625" style="32" bestFit="1" customWidth="1"/>
    <col min="10481" max="10481" width="13.42578125" style="32" bestFit="1" customWidth="1"/>
    <col min="10482" max="10482" width="13.28515625" style="32" bestFit="1" customWidth="1"/>
    <col min="10483" max="10483" width="11.42578125" style="32" bestFit="1" customWidth="1"/>
    <col min="10484" max="10484" width="12.140625" style="32" bestFit="1" customWidth="1"/>
    <col min="10485" max="10485" width="12" style="32" bestFit="1" customWidth="1"/>
    <col min="10486" max="10486" width="12.140625" style="32" bestFit="1" customWidth="1"/>
    <col min="10487" max="10487" width="12" style="32" bestFit="1" customWidth="1"/>
    <col min="10488" max="10488" width="11.5703125" style="32" bestFit="1" customWidth="1"/>
    <col min="10489" max="10732" width="9.140625" style="32"/>
    <col min="10733" max="10733" width="8.5703125" style="32" bestFit="1" customWidth="1"/>
    <col min="10734" max="10734" width="3.7109375" style="32" bestFit="1" customWidth="1"/>
    <col min="10735" max="10735" width="13.42578125" style="32" bestFit="1" customWidth="1"/>
    <col min="10736" max="10736" width="13.28515625" style="32" bestFit="1" customWidth="1"/>
    <col min="10737" max="10737" width="13.42578125" style="32" bestFit="1" customWidth="1"/>
    <col min="10738" max="10738" width="13.28515625" style="32" bestFit="1" customWidth="1"/>
    <col min="10739" max="10739" width="11.42578125" style="32" bestFit="1" customWidth="1"/>
    <col min="10740" max="10740" width="12.140625" style="32" bestFit="1" customWidth="1"/>
    <col min="10741" max="10741" width="12" style="32" bestFit="1" customWidth="1"/>
    <col min="10742" max="10742" width="12.140625" style="32" bestFit="1" customWidth="1"/>
    <col min="10743" max="10743" width="12" style="32" bestFit="1" customWidth="1"/>
    <col min="10744" max="10744" width="11.5703125" style="32" bestFit="1" customWidth="1"/>
    <col min="10745" max="10988" width="9.140625" style="32"/>
    <col min="10989" max="10989" width="8.5703125" style="32" bestFit="1" customWidth="1"/>
    <col min="10990" max="10990" width="3.7109375" style="32" bestFit="1" customWidth="1"/>
    <col min="10991" max="10991" width="13.42578125" style="32" bestFit="1" customWidth="1"/>
    <col min="10992" max="10992" width="13.28515625" style="32" bestFit="1" customWidth="1"/>
    <col min="10993" max="10993" width="13.42578125" style="32" bestFit="1" customWidth="1"/>
    <col min="10994" max="10994" width="13.28515625" style="32" bestFit="1" customWidth="1"/>
    <col min="10995" max="10995" width="11.42578125" style="32" bestFit="1" customWidth="1"/>
    <col min="10996" max="10996" width="12.140625" style="32" bestFit="1" customWidth="1"/>
    <col min="10997" max="10997" width="12" style="32" bestFit="1" customWidth="1"/>
    <col min="10998" max="10998" width="12.140625" style="32" bestFit="1" customWidth="1"/>
    <col min="10999" max="10999" width="12" style="32" bestFit="1" customWidth="1"/>
    <col min="11000" max="11000" width="11.5703125" style="32" bestFit="1" customWidth="1"/>
    <col min="11001" max="11244" width="9.140625" style="32"/>
    <col min="11245" max="11245" width="8.5703125" style="32" bestFit="1" customWidth="1"/>
    <col min="11246" max="11246" width="3.7109375" style="32" bestFit="1" customWidth="1"/>
    <col min="11247" max="11247" width="13.42578125" style="32" bestFit="1" customWidth="1"/>
    <col min="11248" max="11248" width="13.28515625" style="32" bestFit="1" customWidth="1"/>
    <col min="11249" max="11249" width="13.42578125" style="32" bestFit="1" customWidth="1"/>
    <col min="11250" max="11250" width="13.28515625" style="32" bestFit="1" customWidth="1"/>
    <col min="11251" max="11251" width="11.42578125" style="32" bestFit="1" customWidth="1"/>
    <col min="11252" max="11252" width="12.140625" style="32" bestFit="1" customWidth="1"/>
    <col min="11253" max="11253" width="12" style="32" bestFit="1" customWidth="1"/>
    <col min="11254" max="11254" width="12.140625" style="32" bestFit="1" customWidth="1"/>
    <col min="11255" max="11255" width="12" style="32" bestFit="1" customWidth="1"/>
    <col min="11256" max="11256" width="11.5703125" style="32" bestFit="1" customWidth="1"/>
    <col min="11257" max="11500" width="9.140625" style="32"/>
    <col min="11501" max="11501" width="8.5703125" style="32" bestFit="1" customWidth="1"/>
    <col min="11502" max="11502" width="3.7109375" style="32" bestFit="1" customWidth="1"/>
    <col min="11503" max="11503" width="13.42578125" style="32" bestFit="1" customWidth="1"/>
    <col min="11504" max="11504" width="13.28515625" style="32" bestFit="1" customWidth="1"/>
    <col min="11505" max="11505" width="13.42578125" style="32" bestFit="1" customWidth="1"/>
    <col min="11506" max="11506" width="13.28515625" style="32" bestFit="1" customWidth="1"/>
    <col min="11507" max="11507" width="11.42578125" style="32" bestFit="1" customWidth="1"/>
    <col min="11508" max="11508" width="12.140625" style="32" bestFit="1" customWidth="1"/>
    <col min="11509" max="11509" width="12" style="32" bestFit="1" customWidth="1"/>
    <col min="11510" max="11510" width="12.140625" style="32" bestFit="1" customWidth="1"/>
    <col min="11511" max="11511" width="12" style="32" bestFit="1" customWidth="1"/>
    <col min="11512" max="11512" width="11.5703125" style="32" bestFit="1" customWidth="1"/>
    <col min="11513" max="11756" width="9.140625" style="32"/>
    <col min="11757" max="11757" width="8.5703125" style="32" bestFit="1" customWidth="1"/>
    <col min="11758" max="11758" width="3.7109375" style="32" bestFit="1" customWidth="1"/>
    <col min="11759" max="11759" width="13.42578125" style="32" bestFit="1" customWidth="1"/>
    <col min="11760" max="11760" width="13.28515625" style="32" bestFit="1" customWidth="1"/>
    <col min="11761" max="11761" width="13.42578125" style="32" bestFit="1" customWidth="1"/>
    <col min="11762" max="11762" width="13.28515625" style="32" bestFit="1" customWidth="1"/>
    <col min="11763" max="11763" width="11.42578125" style="32" bestFit="1" customWidth="1"/>
    <col min="11764" max="11764" width="12.140625" style="32" bestFit="1" customWidth="1"/>
    <col min="11765" max="11765" width="12" style="32" bestFit="1" customWidth="1"/>
    <col min="11766" max="11766" width="12.140625" style="32" bestFit="1" customWidth="1"/>
    <col min="11767" max="11767" width="12" style="32" bestFit="1" customWidth="1"/>
    <col min="11768" max="11768" width="11.5703125" style="32" bestFit="1" customWidth="1"/>
    <col min="11769" max="12012" width="9.140625" style="32"/>
    <col min="12013" max="12013" width="8.5703125" style="32" bestFit="1" customWidth="1"/>
    <col min="12014" max="12014" width="3.7109375" style="32" bestFit="1" customWidth="1"/>
    <col min="12015" max="12015" width="13.42578125" style="32" bestFit="1" customWidth="1"/>
    <col min="12016" max="12016" width="13.28515625" style="32" bestFit="1" customWidth="1"/>
    <col min="12017" max="12017" width="13.42578125" style="32" bestFit="1" customWidth="1"/>
    <col min="12018" max="12018" width="13.28515625" style="32" bestFit="1" customWidth="1"/>
    <col min="12019" max="12019" width="11.42578125" style="32" bestFit="1" customWidth="1"/>
    <col min="12020" max="12020" width="12.140625" style="32" bestFit="1" customWidth="1"/>
    <col min="12021" max="12021" width="12" style="32" bestFit="1" customWidth="1"/>
    <col min="12022" max="12022" width="12.140625" style="32" bestFit="1" customWidth="1"/>
    <col min="12023" max="12023" width="12" style="32" bestFit="1" customWidth="1"/>
    <col min="12024" max="12024" width="11.5703125" style="32" bestFit="1" customWidth="1"/>
    <col min="12025" max="12268" width="9.140625" style="32"/>
    <col min="12269" max="12269" width="8.5703125" style="32" bestFit="1" customWidth="1"/>
    <col min="12270" max="12270" width="3.7109375" style="32" bestFit="1" customWidth="1"/>
    <col min="12271" max="12271" width="13.42578125" style="32" bestFit="1" customWidth="1"/>
    <col min="12272" max="12272" width="13.28515625" style="32" bestFit="1" customWidth="1"/>
    <col min="12273" max="12273" width="13.42578125" style="32" bestFit="1" customWidth="1"/>
    <col min="12274" max="12274" width="13.28515625" style="32" bestFit="1" customWidth="1"/>
    <col min="12275" max="12275" width="11.42578125" style="32" bestFit="1" customWidth="1"/>
    <col min="12276" max="12276" width="12.140625" style="32" bestFit="1" customWidth="1"/>
    <col min="12277" max="12277" width="12" style="32" bestFit="1" customWidth="1"/>
    <col min="12278" max="12278" width="12.140625" style="32" bestFit="1" customWidth="1"/>
    <col min="12279" max="12279" width="12" style="32" bestFit="1" customWidth="1"/>
    <col min="12280" max="12280" width="11.5703125" style="32" bestFit="1" customWidth="1"/>
    <col min="12281" max="12524" width="9.140625" style="32"/>
    <col min="12525" max="12525" width="8.5703125" style="32" bestFit="1" customWidth="1"/>
    <col min="12526" max="12526" width="3.7109375" style="32" bestFit="1" customWidth="1"/>
    <col min="12527" max="12527" width="13.42578125" style="32" bestFit="1" customWidth="1"/>
    <col min="12528" max="12528" width="13.28515625" style="32" bestFit="1" customWidth="1"/>
    <col min="12529" max="12529" width="13.42578125" style="32" bestFit="1" customWidth="1"/>
    <col min="12530" max="12530" width="13.28515625" style="32" bestFit="1" customWidth="1"/>
    <col min="12531" max="12531" width="11.42578125" style="32" bestFit="1" customWidth="1"/>
    <col min="12532" max="12532" width="12.140625" style="32" bestFit="1" customWidth="1"/>
    <col min="12533" max="12533" width="12" style="32" bestFit="1" customWidth="1"/>
    <col min="12534" max="12534" width="12.140625" style="32" bestFit="1" customWidth="1"/>
    <col min="12535" max="12535" width="12" style="32" bestFit="1" customWidth="1"/>
    <col min="12536" max="12536" width="11.5703125" style="32" bestFit="1" customWidth="1"/>
    <col min="12537" max="12780" width="9.140625" style="32"/>
    <col min="12781" max="12781" width="8.5703125" style="32" bestFit="1" customWidth="1"/>
    <col min="12782" max="12782" width="3.7109375" style="32" bestFit="1" customWidth="1"/>
    <col min="12783" max="12783" width="13.42578125" style="32" bestFit="1" customWidth="1"/>
    <col min="12784" max="12784" width="13.28515625" style="32" bestFit="1" customWidth="1"/>
    <col min="12785" max="12785" width="13.42578125" style="32" bestFit="1" customWidth="1"/>
    <col min="12786" max="12786" width="13.28515625" style="32" bestFit="1" customWidth="1"/>
    <col min="12787" max="12787" width="11.42578125" style="32" bestFit="1" customWidth="1"/>
    <col min="12788" max="12788" width="12.140625" style="32" bestFit="1" customWidth="1"/>
    <col min="12789" max="12789" width="12" style="32" bestFit="1" customWidth="1"/>
    <col min="12790" max="12790" width="12.140625" style="32" bestFit="1" customWidth="1"/>
    <col min="12791" max="12791" width="12" style="32" bestFit="1" customWidth="1"/>
    <col min="12792" max="12792" width="11.5703125" style="32" bestFit="1" customWidth="1"/>
    <col min="12793" max="13036" width="9.140625" style="32"/>
    <col min="13037" max="13037" width="8.5703125" style="32" bestFit="1" customWidth="1"/>
    <col min="13038" max="13038" width="3.7109375" style="32" bestFit="1" customWidth="1"/>
    <col min="13039" max="13039" width="13.42578125" style="32" bestFit="1" customWidth="1"/>
    <col min="13040" max="13040" width="13.28515625" style="32" bestFit="1" customWidth="1"/>
    <col min="13041" max="13041" width="13.42578125" style="32" bestFit="1" customWidth="1"/>
    <col min="13042" max="13042" width="13.28515625" style="32" bestFit="1" customWidth="1"/>
    <col min="13043" max="13043" width="11.42578125" style="32" bestFit="1" customWidth="1"/>
    <col min="13044" max="13044" width="12.140625" style="32" bestFit="1" customWidth="1"/>
    <col min="13045" max="13045" width="12" style="32" bestFit="1" customWidth="1"/>
    <col min="13046" max="13046" width="12.140625" style="32" bestFit="1" customWidth="1"/>
    <col min="13047" max="13047" width="12" style="32" bestFit="1" customWidth="1"/>
    <col min="13048" max="13048" width="11.5703125" style="32" bestFit="1" customWidth="1"/>
    <col min="13049" max="13292" width="9.140625" style="32"/>
    <col min="13293" max="13293" width="8.5703125" style="32" bestFit="1" customWidth="1"/>
    <col min="13294" max="13294" width="3.7109375" style="32" bestFit="1" customWidth="1"/>
    <col min="13295" max="13295" width="13.42578125" style="32" bestFit="1" customWidth="1"/>
    <col min="13296" max="13296" width="13.28515625" style="32" bestFit="1" customWidth="1"/>
    <col min="13297" max="13297" width="13.42578125" style="32" bestFit="1" customWidth="1"/>
    <col min="13298" max="13298" width="13.28515625" style="32" bestFit="1" customWidth="1"/>
    <col min="13299" max="13299" width="11.42578125" style="32" bestFit="1" customWidth="1"/>
    <col min="13300" max="13300" width="12.140625" style="32" bestFit="1" customWidth="1"/>
    <col min="13301" max="13301" width="12" style="32" bestFit="1" customWidth="1"/>
    <col min="13302" max="13302" width="12.140625" style="32" bestFit="1" customWidth="1"/>
    <col min="13303" max="13303" width="12" style="32" bestFit="1" customWidth="1"/>
    <col min="13304" max="13304" width="11.5703125" style="32" bestFit="1" customWidth="1"/>
    <col min="13305" max="13548" width="9.140625" style="32"/>
    <col min="13549" max="13549" width="8.5703125" style="32" bestFit="1" customWidth="1"/>
    <col min="13550" max="13550" width="3.7109375" style="32" bestFit="1" customWidth="1"/>
    <col min="13551" max="13551" width="13.42578125" style="32" bestFit="1" customWidth="1"/>
    <col min="13552" max="13552" width="13.28515625" style="32" bestFit="1" customWidth="1"/>
    <col min="13553" max="13553" width="13.42578125" style="32" bestFit="1" customWidth="1"/>
    <col min="13554" max="13554" width="13.28515625" style="32" bestFit="1" customWidth="1"/>
    <col min="13555" max="13555" width="11.42578125" style="32" bestFit="1" customWidth="1"/>
    <col min="13556" max="13556" width="12.140625" style="32" bestFit="1" customWidth="1"/>
    <col min="13557" max="13557" width="12" style="32" bestFit="1" customWidth="1"/>
    <col min="13558" max="13558" width="12.140625" style="32" bestFit="1" customWidth="1"/>
    <col min="13559" max="13559" width="12" style="32" bestFit="1" customWidth="1"/>
    <col min="13560" max="13560" width="11.5703125" style="32" bestFit="1" customWidth="1"/>
    <col min="13561" max="13804" width="9.140625" style="32"/>
    <col min="13805" max="13805" width="8.5703125" style="32" bestFit="1" customWidth="1"/>
    <col min="13806" max="13806" width="3.7109375" style="32" bestFit="1" customWidth="1"/>
    <col min="13807" max="13807" width="13.42578125" style="32" bestFit="1" customWidth="1"/>
    <col min="13808" max="13808" width="13.28515625" style="32" bestFit="1" customWidth="1"/>
    <col min="13809" max="13809" width="13.42578125" style="32" bestFit="1" customWidth="1"/>
    <col min="13810" max="13810" width="13.28515625" style="32" bestFit="1" customWidth="1"/>
    <col min="13811" max="13811" width="11.42578125" style="32" bestFit="1" customWidth="1"/>
    <col min="13812" max="13812" width="12.140625" style="32" bestFit="1" customWidth="1"/>
    <col min="13813" max="13813" width="12" style="32" bestFit="1" customWidth="1"/>
    <col min="13814" max="13814" width="12.140625" style="32" bestFit="1" customWidth="1"/>
    <col min="13815" max="13815" width="12" style="32" bestFit="1" customWidth="1"/>
    <col min="13816" max="13816" width="11.5703125" style="32" bestFit="1" customWidth="1"/>
    <col min="13817" max="14060" width="9.140625" style="32"/>
    <col min="14061" max="14061" width="8.5703125" style="32" bestFit="1" customWidth="1"/>
    <col min="14062" max="14062" width="3.7109375" style="32" bestFit="1" customWidth="1"/>
    <col min="14063" max="14063" width="13.42578125" style="32" bestFit="1" customWidth="1"/>
    <col min="14064" max="14064" width="13.28515625" style="32" bestFit="1" customWidth="1"/>
    <col min="14065" max="14065" width="13.42578125" style="32" bestFit="1" customWidth="1"/>
    <col min="14066" max="14066" width="13.28515625" style="32" bestFit="1" customWidth="1"/>
    <col min="14067" max="14067" width="11.42578125" style="32" bestFit="1" customWidth="1"/>
    <col min="14068" max="14068" width="12.140625" style="32" bestFit="1" customWidth="1"/>
    <col min="14069" max="14069" width="12" style="32" bestFit="1" customWidth="1"/>
    <col min="14070" max="14070" width="12.140625" style="32" bestFit="1" customWidth="1"/>
    <col min="14071" max="14071" width="12" style="32" bestFit="1" customWidth="1"/>
    <col min="14072" max="14072" width="11.5703125" style="32" bestFit="1" customWidth="1"/>
    <col min="14073" max="14316" width="9.140625" style="32"/>
    <col min="14317" max="14317" width="8.5703125" style="32" bestFit="1" customWidth="1"/>
    <col min="14318" max="14318" width="3.7109375" style="32" bestFit="1" customWidth="1"/>
    <col min="14319" max="14319" width="13.42578125" style="32" bestFit="1" customWidth="1"/>
    <col min="14320" max="14320" width="13.28515625" style="32" bestFit="1" customWidth="1"/>
    <col min="14321" max="14321" width="13.42578125" style="32" bestFit="1" customWidth="1"/>
    <col min="14322" max="14322" width="13.28515625" style="32" bestFit="1" customWidth="1"/>
    <col min="14323" max="14323" width="11.42578125" style="32" bestFit="1" customWidth="1"/>
    <col min="14324" max="14324" width="12.140625" style="32" bestFit="1" customWidth="1"/>
    <col min="14325" max="14325" width="12" style="32" bestFit="1" customWidth="1"/>
    <col min="14326" max="14326" width="12.140625" style="32" bestFit="1" customWidth="1"/>
    <col min="14327" max="14327" width="12" style="32" bestFit="1" customWidth="1"/>
    <col min="14328" max="14328" width="11.5703125" style="32" bestFit="1" customWidth="1"/>
    <col min="14329" max="14572" width="9.140625" style="32"/>
    <col min="14573" max="14573" width="8.5703125" style="32" bestFit="1" customWidth="1"/>
    <col min="14574" max="14574" width="3.7109375" style="32" bestFit="1" customWidth="1"/>
    <col min="14575" max="14575" width="13.42578125" style="32" bestFit="1" customWidth="1"/>
    <col min="14576" max="14576" width="13.28515625" style="32" bestFit="1" customWidth="1"/>
    <col min="14577" max="14577" width="13.42578125" style="32" bestFit="1" customWidth="1"/>
    <col min="14578" max="14578" width="13.28515625" style="32" bestFit="1" customWidth="1"/>
    <col min="14579" max="14579" width="11.42578125" style="32" bestFit="1" customWidth="1"/>
    <col min="14580" max="14580" width="12.140625" style="32" bestFit="1" customWidth="1"/>
    <col min="14581" max="14581" width="12" style="32" bestFit="1" customWidth="1"/>
    <col min="14582" max="14582" width="12.140625" style="32" bestFit="1" customWidth="1"/>
    <col min="14583" max="14583" width="12" style="32" bestFit="1" customWidth="1"/>
    <col min="14584" max="14584" width="11.5703125" style="32" bestFit="1" customWidth="1"/>
    <col min="14585" max="14828" width="9.140625" style="32"/>
    <col min="14829" max="14829" width="8.5703125" style="32" bestFit="1" customWidth="1"/>
    <col min="14830" max="14830" width="3.7109375" style="32" bestFit="1" customWidth="1"/>
    <col min="14831" max="14831" width="13.42578125" style="32" bestFit="1" customWidth="1"/>
    <col min="14832" max="14832" width="13.28515625" style="32" bestFit="1" customWidth="1"/>
    <col min="14833" max="14833" width="13.42578125" style="32" bestFit="1" customWidth="1"/>
    <col min="14834" max="14834" width="13.28515625" style="32" bestFit="1" customWidth="1"/>
    <col min="14835" max="14835" width="11.42578125" style="32" bestFit="1" customWidth="1"/>
    <col min="14836" max="14836" width="12.140625" style="32" bestFit="1" customWidth="1"/>
    <col min="14837" max="14837" width="12" style="32" bestFit="1" customWidth="1"/>
    <col min="14838" max="14838" width="12.140625" style="32" bestFit="1" customWidth="1"/>
    <col min="14839" max="14839" width="12" style="32" bestFit="1" customWidth="1"/>
    <col min="14840" max="14840" width="11.5703125" style="32" bestFit="1" customWidth="1"/>
    <col min="14841" max="15084" width="9.140625" style="32"/>
    <col min="15085" max="15085" width="8.5703125" style="32" bestFit="1" customWidth="1"/>
    <col min="15086" max="15086" width="3.7109375" style="32" bestFit="1" customWidth="1"/>
    <col min="15087" max="15087" width="13.42578125" style="32" bestFit="1" customWidth="1"/>
    <col min="15088" max="15088" width="13.28515625" style="32" bestFit="1" customWidth="1"/>
    <col min="15089" max="15089" width="13.42578125" style="32" bestFit="1" customWidth="1"/>
    <col min="15090" max="15090" width="13.28515625" style="32" bestFit="1" customWidth="1"/>
    <col min="15091" max="15091" width="11.42578125" style="32" bestFit="1" customWidth="1"/>
    <col min="15092" max="15092" width="12.140625" style="32" bestFit="1" customWidth="1"/>
    <col min="15093" max="15093" width="12" style="32" bestFit="1" customWidth="1"/>
    <col min="15094" max="15094" width="12.140625" style="32" bestFit="1" customWidth="1"/>
    <col min="15095" max="15095" width="12" style="32" bestFit="1" customWidth="1"/>
    <col min="15096" max="15096" width="11.5703125" style="32" bestFit="1" customWidth="1"/>
    <col min="15097" max="15340" width="9.140625" style="32"/>
    <col min="15341" max="15341" width="8.5703125" style="32" bestFit="1" customWidth="1"/>
    <col min="15342" max="15342" width="3.7109375" style="32" bestFit="1" customWidth="1"/>
    <col min="15343" max="15343" width="13.42578125" style="32" bestFit="1" customWidth="1"/>
    <col min="15344" max="15344" width="13.28515625" style="32" bestFit="1" customWidth="1"/>
    <col min="15345" max="15345" width="13.42578125" style="32" bestFit="1" customWidth="1"/>
    <col min="15346" max="15346" width="13.28515625" style="32" bestFit="1" customWidth="1"/>
    <col min="15347" max="15347" width="11.42578125" style="32" bestFit="1" customWidth="1"/>
    <col min="15348" max="15348" width="12.140625" style="32" bestFit="1" customWidth="1"/>
    <col min="15349" max="15349" width="12" style="32" bestFit="1" customWidth="1"/>
    <col min="15350" max="15350" width="12.140625" style="32" bestFit="1" customWidth="1"/>
    <col min="15351" max="15351" width="12" style="32" bestFit="1" customWidth="1"/>
    <col min="15352" max="15352" width="11.5703125" style="32" bestFit="1" customWidth="1"/>
    <col min="15353" max="15596" width="9.140625" style="32"/>
    <col min="15597" max="15597" width="8.5703125" style="32" bestFit="1" customWidth="1"/>
    <col min="15598" max="15598" width="3.7109375" style="32" bestFit="1" customWidth="1"/>
    <col min="15599" max="15599" width="13.42578125" style="32" bestFit="1" customWidth="1"/>
    <col min="15600" max="15600" width="13.28515625" style="32" bestFit="1" customWidth="1"/>
    <col min="15601" max="15601" width="13.42578125" style="32" bestFit="1" customWidth="1"/>
    <col min="15602" max="15602" width="13.28515625" style="32" bestFit="1" customWidth="1"/>
    <col min="15603" max="15603" width="11.42578125" style="32" bestFit="1" customWidth="1"/>
    <col min="15604" max="15604" width="12.140625" style="32" bestFit="1" customWidth="1"/>
    <col min="15605" max="15605" width="12" style="32" bestFit="1" customWidth="1"/>
    <col min="15606" max="15606" width="12.140625" style="32" bestFit="1" customWidth="1"/>
    <col min="15607" max="15607" width="12" style="32" bestFit="1" customWidth="1"/>
    <col min="15608" max="15608" width="11.5703125" style="32" bestFit="1" customWidth="1"/>
    <col min="15609" max="15852" width="9.140625" style="32"/>
    <col min="15853" max="15853" width="8.5703125" style="32" bestFit="1" customWidth="1"/>
    <col min="15854" max="15854" width="3.7109375" style="32" bestFit="1" customWidth="1"/>
    <col min="15855" max="15855" width="13.42578125" style="32" bestFit="1" customWidth="1"/>
    <col min="15856" max="15856" width="13.28515625" style="32" bestFit="1" customWidth="1"/>
    <col min="15857" max="15857" width="13.42578125" style="32" bestFit="1" customWidth="1"/>
    <col min="15858" max="15858" width="13.28515625" style="32" bestFit="1" customWidth="1"/>
    <col min="15859" max="15859" width="11.42578125" style="32" bestFit="1" customWidth="1"/>
    <col min="15860" max="15860" width="12.140625" style="32" bestFit="1" customWidth="1"/>
    <col min="15861" max="15861" width="12" style="32" bestFit="1" customWidth="1"/>
    <col min="15862" max="15862" width="12.140625" style="32" bestFit="1" customWidth="1"/>
    <col min="15863" max="15863" width="12" style="32" bestFit="1" customWidth="1"/>
    <col min="15864" max="15864" width="11.5703125" style="32" bestFit="1" customWidth="1"/>
    <col min="15865" max="16108" width="9.140625" style="32"/>
    <col min="16109" max="16109" width="8.5703125" style="32" bestFit="1" customWidth="1"/>
    <col min="16110" max="16110" width="3.7109375" style="32" bestFit="1" customWidth="1"/>
    <col min="16111" max="16111" width="13.42578125" style="32" bestFit="1" customWidth="1"/>
    <col min="16112" max="16112" width="13.28515625" style="32" bestFit="1" customWidth="1"/>
    <col min="16113" max="16113" width="13.42578125" style="32" bestFit="1" customWidth="1"/>
    <col min="16114" max="16114" width="13.28515625" style="32" bestFit="1" customWidth="1"/>
    <col min="16115" max="16115" width="11.42578125" style="32" bestFit="1" customWidth="1"/>
    <col min="16116" max="16116" width="12.140625" style="32" bestFit="1" customWidth="1"/>
    <col min="16117" max="16117" width="12" style="32" bestFit="1" customWidth="1"/>
    <col min="16118" max="16118" width="12.140625" style="32" bestFit="1" customWidth="1"/>
    <col min="16119" max="16119" width="12" style="32" bestFit="1" customWidth="1"/>
    <col min="16120" max="16120" width="11.5703125" style="32" bestFit="1" customWidth="1"/>
    <col min="16121" max="16384" width="9.140625" style="32"/>
  </cols>
  <sheetData>
    <row r="1" spans="1:12">
      <c r="A1" s="699" t="s">
        <v>974</v>
      </c>
    </row>
    <row r="2" spans="1:12">
      <c r="A2" s="718" t="s">
        <v>751</v>
      </c>
      <c r="B2" s="718" t="s">
        <v>372</v>
      </c>
      <c r="C2" s="719" t="s">
        <v>886</v>
      </c>
      <c r="D2" s="719" t="s">
        <v>887</v>
      </c>
      <c r="E2" s="719" t="s">
        <v>888</v>
      </c>
      <c r="F2" s="719" t="s">
        <v>889</v>
      </c>
      <c r="G2" s="720" t="s">
        <v>378</v>
      </c>
      <c r="H2" s="721" t="s">
        <v>379</v>
      </c>
      <c r="I2" s="721" t="s">
        <v>380</v>
      </c>
      <c r="J2" s="721" t="s">
        <v>381</v>
      </c>
      <c r="K2" s="721" t="s">
        <v>382</v>
      </c>
      <c r="L2" s="720" t="s">
        <v>74</v>
      </c>
    </row>
    <row r="3" spans="1:12">
      <c r="A3" s="722" t="s">
        <v>622</v>
      </c>
      <c r="B3" s="722">
        <v>101</v>
      </c>
      <c r="C3" s="723">
        <v>0</v>
      </c>
      <c r="D3" s="723">
        <v>1</v>
      </c>
      <c r="E3" s="723">
        <v>0</v>
      </c>
      <c r="F3" s="723">
        <v>0</v>
      </c>
      <c r="G3" s="723">
        <v>1</v>
      </c>
      <c r="H3" s="724">
        <v>0</v>
      </c>
      <c r="I3" s="724">
        <v>72.672103276930002</v>
      </c>
      <c r="J3" s="724">
        <v>0</v>
      </c>
      <c r="K3" s="724">
        <v>0</v>
      </c>
      <c r="L3" s="724">
        <v>72.672103276930002</v>
      </c>
    </row>
    <row r="4" spans="1:12">
      <c r="A4" s="722" t="s">
        <v>622</v>
      </c>
      <c r="B4" s="722">
        <v>330</v>
      </c>
      <c r="C4" s="723">
        <v>0</v>
      </c>
      <c r="D4" s="723">
        <v>1</v>
      </c>
      <c r="E4" s="723">
        <v>0</v>
      </c>
      <c r="F4" s="723">
        <v>0</v>
      </c>
      <c r="G4" s="723">
        <v>1</v>
      </c>
      <c r="H4" s="724">
        <v>0</v>
      </c>
      <c r="I4" s="724">
        <v>72.672103276930002</v>
      </c>
      <c r="J4" s="724">
        <v>0</v>
      </c>
      <c r="K4" s="724">
        <v>0</v>
      </c>
      <c r="L4" s="724">
        <v>72.672103276930002</v>
      </c>
    </row>
    <row r="5" spans="1:12">
      <c r="A5" s="722" t="s">
        <v>77</v>
      </c>
      <c r="B5" s="722">
        <v>100</v>
      </c>
      <c r="C5" s="723">
        <v>1</v>
      </c>
      <c r="D5" s="723">
        <v>0</v>
      </c>
      <c r="E5" s="723">
        <v>0</v>
      </c>
      <c r="F5" s="723">
        <v>0</v>
      </c>
      <c r="G5" s="723">
        <v>1</v>
      </c>
      <c r="H5" s="724">
        <v>12.773540051427934</v>
      </c>
      <c r="I5" s="724">
        <v>0</v>
      </c>
      <c r="J5" s="724">
        <v>0</v>
      </c>
      <c r="K5" s="724">
        <v>0</v>
      </c>
      <c r="L5" s="724">
        <v>12.773540051427934</v>
      </c>
    </row>
    <row r="6" spans="1:12">
      <c r="A6" s="722" t="s">
        <v>77</v>
      </c>
      <c r="B6" s="722">
        <v>103</v>
      </c>
      <c r="C6" s="723">
        <v>0</v>
      </c>
      <c r="D6" s="723">
        <v>2</v>
      </c>
      <c r="E6" s="723">
        <v>0</v>
      </c>
      <c r="F6" s="723">
        <v>0</v>
      </c>
      <c r="G6" s="723">
        <v>2</v>
      </c>
      <c r="H6" s="724">
        <v>0</v>
      </c>
      <c r="I6" s="724">
        <v>25.547080102855869</v>
      </c>
      <c r="J6" s="724">
        <v>0</v>
      </c>
      <c r="K6" s="724">
        <v>0</v>
      </c>
      <c r="L6" s="724">
        <v>25.547080102855869</v>
      </c>
    </row>
    <row r="7" spans="1:12">
      <c r="A7" s="722" t="s">
        <v>77</v>
      </c>
      <c r="B7" s="722">
        <v>104</v>
      </c>
      <c r="C7" s="723">
        <v>1</v>
      </c>
      <c r="D7" s="723">
        <v>0</v>
      </c>
      <c r="E7" s="723">
        <v>0</v>
      </c>
      <c r="F7" s="723">
        <v>0</v>
      </c>
      <c r="G7" s="723">
        <v>1</v>
      </c>
      <c r="H7" s="724">
        <v>12.773540051427934</v>
      </c>
      <c r="I7" s="724">
        <v>0</v>
      </c>
      <c r="J7" s="724">
        <v>0</v>
      </c>
      <c r="K7" s="724">
        <v>0</v>
      </c>
      <c r="L7" s="724">
        <v>12.773540051427934</v>
      </c>
    </row>
    <row r="8" spans="1:12">
      <c r="A8" s="722" t="s">
        <v>77</v>
      </c>
      <c r="B8" s="722">
        <v>110</v>
      </c>
      <c r="C8" s="723">
        <v>1</v>
      </c>
      <c r="D8" s="723">
        <v>0</v>
      </c>
      <c r="E8" s="723">
        <v>0</v>
      </c>
      <c r="F8" s="723">
        <v>0</v>
      </c>
      <c r="G8" s="723">
        <v>1</v>
      </c>
      <c r="H8" s="724">
        <v>12.773540051427934</v>
      </c>
      <c r="I8" s="724">
        <v>0</v>
      </c>
      <c r="J8" s="724">
        <v>0</v>
      </c>
      <c r="K8" s="724">
        <v>0</v>
      </c>
      <c r="L8" s="724">
        <v>12.773540051427934</v>
      </c>
    </row>
    <row r="9" spans="1:12">
      <c r="A9" s="722" t="s">
        <v>77</v>
      </c>
      <c r="B9" s="722">
        <v>120</v>
      </c>
      <c r="C9" s="723">
        <v>1</v>
      </c>
      <c r="D9" s="723">
        <v>1</v>
      </c>
      <c r="E9" s="723">
        <v>0</v>
      </c>
      <c r="F9" s="723">
        <v>0</v>
      </c>
      <c r="G9" s="723">
        <v>2</v>
      </c>
      <c r="H9" s="724">
        <v>12.773540051427934</v>
      </c>
      <c r="I9" s="724">
        <v>12.773540051427934</v>
      </c>
      <c r="J9" s="724">
        <v>0</v>
      </c>
      <c r="K9" s="724">
        <v>0</v>
      </c>
      <c r="L9" s="724">
        <v>25.547080102855869</v>
      </c>
    </row>
    <row r="10" spans="1:12">
      <c r="A10" s="722" t="s">
        <v>77</v>
      </c>
      <c r="B10" s="722">
        <v>140</v>
      </c>
      <c r="C10" s="723">
        <v>5</v>
      </c>
      <c r="D10" s="723">
        <v>1</v>
      </c>
      <c r="E10" s="723">
        <v>0</v>
      </c>
      <c r="F10" s="723">
        <v>0</v>
      </c>
      <c r="G10" s="723">
        <v>6</v>
      </c>
      <c r="H10" s="724">
        <v>63.867700257139681</v>
      </c>
      <c r="I10" s="724">
        <v>12.773540051427936</v>
      </c>
      <c r="J10" s="724">
        <v>0</v>
      </c>
      <c r="K10" s="724">
        <v>0</v>
      </c>
      <c r="L10" s="724">
        <v>76.641240308567617</v>
      </c>
    </row>
    <row r="11" spans="1:12">
      <c r="A11" s="722" t="s">
        <v>77</v>
      </c>
      <c r="B11" s="722">
        <v>143</v>
      </c>
      <c r="C11" s="723">
        <v>2</v>
      </c>
      <c r="D11" s="723">
        <v>0</v>
      </c>
      <c r="E11" s="723">
        <v>0</v>
      </c>
      <c r="F11" s="723">
        <v>0</v>
      </c>
      <c r="G11" s="723">
        <v>2</v>
      </c>
      <c r="H11" s="724">
        <v>25.547080102855869</v>
      </c>
      <c r="I11" s="724">
        <v>0</v>
      </c>
      <c r="J11" s="724">
        <v>0</v>
      </c>
      <c r="K11" s="724">
        <v>0</v>
      </c>
      <c r="L11" s="724">
        <v>25.547080102855869</v>
      </c>
    </row>
    <row r="12" spans="1:12">
      <c r="A12" s="722" t="s">
        <v>77</v>
      </c>
      <c r="B12" s="722">
        <v>150</v>
      </c>
      <c r="C12" s="723">
        <v>0</v>
      </c>
      <c r="D12" s="723">
        <v>1</v>
      </c>
      <c r="E12" s="723">
        <v>0</v>
      </c>
      <c r="F12" s="723">
        <v>0</v>
      </c>
      <c r="G12" s="723">
        <v>1</v>
      </c>
      <c r="H12" s="724">
        <v>0</v>
      </c>
      <c r="I12" s="724">
        <v>12.773540051427934</v>
      </c>
      <c r="J12" s="724">
        <v>0</v>
      </c>
      <c r="K12" s="724">
        <v>0</v>
      </c>
      <c r="L12" s="724">
        <v>12.773540051427934</v>
      </c>
    </row>
    <row r="13" spans="1:12">
      <c r="A13" s="722" t="s">
        <v>77</v>
      </c>
      <c r="B13" s="722">
        <v>160</v>
      </c>
      <c r="C13" s="723">
        <v>3</v>
      </c>
      <c r="D13" s="723">
        <v>0</v>
      </c>
      <c r="E13" s="723">
        <v>0</v>
      </c>
      <c r="F13" s="723">
        <v>0</v>
      </c>
      <c r="G13" s="723">
        <v>3</v>
      </c>
      <c r="H13" s="724">
        <v>38.320620154283809</v>
      </c>
      <c r="I13" s="724">
        <v>0</v>
      </c>
      <c r="J13" s="724">
        <v>0</v>
      </c>
      <c r="K13" s="724">
        <v>0</v>
      </c>
      <c r="L13" s="724">
        <v>38.320620154283809</v>
      </c>
    </row>
    <row r="14" spans="1:12">
      <c r="A14" s="722" t="s">
        <v>77</v>
      </c>
      <c r="B14" s="722">
        <v>191</v>
      </c>
      <c r="C14" s="723">
        <v>6</v>
      </c>
      <c r="D14" s="723">
        <v>4</v>
      </c>
      <c r="E14" s="723">
        <v>0</v>
      </c>
      <c r="F14" s="723">
        <v>0</v>
      </c>
      <c r="G14" s="723">
        <v>10</v>
      </c>
      <c r="H14" s="724">
        <v>76.641240308567603</v>
      </c>
      <c r="I14" s="724">
        <v>51.094160205711731</v>
      </c>
      <c r="J14" s="724">
        <v>0</v>
      </c>
      <c r="K14" s="724">
        <v>0</v>
      </c>
      <c r="L14" s="724">
        <v>127.73540051427933</v>
      </c>
    </row>
    <row r="15" spans="1:12">
      <c r="A15" s="722" t="s">
        <v>77</v>
      </c>
      <c r="B15" s="722">
        <v>314</v>
      </c>
      <c r="C15" s="723">
        <v>1</v>
      </c>
      <c r="D15" s="723">
        <v>0</v>
      </c>
      <c r="E15" s="723">
        <v>0</v>
      </c>
      <c r="F15" s="723">
        <v>0</v>
      </c>
      <c r="G15" s="723">
        <v>1</v>
      </c>
      <c r="H15" s="724">
        <v>12.773540051427934</v>
      </c>
      <c r="I15" s="724">
        <v>0</v>
      </c>
      <c r="J15" s="724">
        <v>0</v>
      </c>
      <c r="K15" s="724">
        <v>0</v>
      </c>
      <c r="L15" s="724">
        <v>12.773540051427934</v>
      </c>
    </row>
    <row r="16" spans="1:12">
      <c r="A16" s="722" t="s">
        <v>77</v>
      </c>
      <c r="B16" s="722">
        <v>320</v>
      </c>
      <c r="C16" s="723">
        <v>0</v>
      </c>
      <c r="D16" s="723">
        <v>1</v>
      </c>
      <c r="E16" s="723">
        <v>0</v>
      </c>
      <c r="F16" s="723">
        <v>0</v>
      </c>
      <c r="G16" s="723">
        <v>1</v>
      </c>
      <c r="H16" s="724">
        <v>0</v>
      </c>
      <c r="I16" s="724">
        <v>12.773540051427934</v>
      </c>
      <c r="J16" s="724">
        <v>0</v>
      </c>
      <c r="K16" s="724">
        <v>0</v>
      </c>
      <c r="L16" s="724">
        <v>12.773540051427934</v>
      </c>
    </row>
    <row r="17" spans="1:12">
      <c r="A17" s="722" t="s">
        <v>77</v>
      </c>
      <c r="B17" s="722">
        <v>330</v>
      </c>
      <c r="C17" s="723">
        <v>8</v>
      </c>
      <c r="D17" s="723">
        <v>2</v>
      </c>
      <c r="E17" s="723">
        <v>0</v>
      </c>
      <c r="F17" s="723">
        <v>0</v>
      </c>
      <c r="G17" s="723">
        <v>10</v>
      </c>
      <c r="H17" s="724">
        <v>102.18832041142346</v>
      </c>
      <c r="I17" s="724">
        <v>25.547080102855865</v>
      </c>
      <c r="J17" s="724">
        <v>0</v>
      </c>
      <c r="K17" s="724">
        <v>0</v>
      </c>
      <c r="L17" s="724">
        <v>127.73540051427933</v>
      </c>
    </row>
    <row r="18" spans="1:12">
      <c r="A18" s="722" t="s">
        <v>77</v>
      </c>
      <c r="B18" s="722">
        <v>400</v>
      </c>
      <c r="C18" s="723">
        <v>4</v>
      </c>
      <c r="D18" s="723">
        <v>1</v>
      </c>
      <c r="E18" s="723">
        <v>0</v>
      </c>
      <c r="F18" s="723">
        <v>0</v>
      </c>
      <c r="G18" s="723">
        <v>5</v>
      </c>
      <c r="H18" s="724">
        <v>51.094160205711731</v>
      </c>
      <c r="I18" s="724">
        <v>12.773540051427933</v>
      </c>
      <c r="J18" s="724">
        <v>0</v>
      </c>
      <c r="K18" s="724">
        <v>0</v>
      </c>
      <c r="L18" s="724">
        <v>63.867700257139667</v>
      </c>
    </row>
    <row r="19" spans="1:12">
      <c r="A19" s="722" t="s">
        <v>77</v>
      </c>
      <c r="B19" s="722">
        <v>410</v>
      </c>
      <c r="C19" s="723">
        <v>0</v>
      </c>
      <c r="D19" s="723">
        <v>1</v>
      </c>
      <c r="E19" s="723">
        <v>0</v>
      </c>
      <c r="F19" s="723">
        <v>0</v>
      </c>
      <c r="G19" s="723">
        <v>1</v>
      </c>
      <c r="H19" s="724">
        <v>0</v>
      </c>
      <c r="I19" s="724">
        <v>12.773540051427934</v>
      </c>
      <c r="J19" s="724">
        <v>0</v>
      </c>
      <c r="K19" s="724">
        <v>0</v>
      </c>
      <c r="L19" s="724">
        <v>12.773540051427934</v>
      </c>
    </row>
    <row r="20" spans="1:12">
      <c r="A20" s="722" t="s">
        <v>77</v>
      </c>
      <c r="B20" s="722">
        <v>502</v>
      </c>
      <c r="C20" s="723">
        <v>6</v>
      </c>
      <c r="D20" s="723">
        <v>5</v>
      </c>
      <c r="E20" s="723">
        <v>0</v>
      </c>
      <c r="F20" s="723">
        <v>0</v>
      </c>
      <c r="G20" s="723">
        <v>11</v>
      </c>
      <c r="H20" s="724">
        <v>76.641240308567617</v>
      </c>
      <c r="I20" s="724">
        <v>63.867700257139674</v>
      </c>
      <c r="J20" s="724">
        <v>0</v>
      </c>
      <c r="K20" s="724">
        <v>0</v>
      </c>
      <c r="L20" s="724">
        <v>140.50894056570729</v>
      </c>
    </row>
    <row r="21" spans="1:12">
      <c r="A21" s="722" t="s">
        <v>77</v>
      </c>
      <c r="B21" s="722">
        <v>503</v>
      </c>
      <c r="C21" s="723">
        <v>1</v>
      </c>
      <c r="D21" s="723">
        <v>1</v>
      </c>
      <c r="E21" s="723">
        <v>0</v>
      </c>
      <c r="F21" s="723">
        <v>0</v>
      </c>
      <c r="G21" s="723">
        <v>2</v>
      </c>
      <c r="H21" s="724">
        <v>12.773540051427934</v>
      </c>
      <c r="I21" s="724">
        <v>12.773540051427934</v>
      </c>
      <c r="J21" s="724">
        <v>0</v>
      </c>
      <c r="K21" s="724">
        <v>0</v>
      </c>
      <c r="L21" s="724">
        <v>25.547080102855869</v>
      </c>
    </row>
    <row r="22" spans="1:12">
      <c r="A22" s="722" t="s">
        <v>77</v>
      </c>
      <c r="B22" s="722">
        <v>800</v>
      </c>
      <c r="C22" s="723">
        <v>45</v>
      </c>
      <c r="D22" s="723">
        <v>0</v>
      </c>
      <c r="E22" s="723">
        <v>0</v>
      </c>
      <c r="F22" s="723">
        <v>0</v>
      </c>
      <c r="G22" s="723">
        <v>45</v>
      </c>
      <c r="H22" s="724">
        <v>574.80930231425702</v>
      </c>
      <c r="I22" s="724">
        <v>0</v>
      </c>
      <c r="J22" s="724">
        <v>0</v>
      </c>
      <c r="K22" s="724">
        <v>0</v>
      </c>
      <c r="L22" s="724">
        <v>574.80930231425702</v>
      </c>
    </row>
    <row r="23" spans="1:12">
      <c r="A23" s="722" t="s">
        <v>77</v>
      </c>
      <c r="B23" s="722">
        <v>811</v>
      </c>
      <c r="C23" s="723">
        <v>0</v>
      </c>
      <c r="D23" s="723">
        <v>379</v>
      </c>
      <c r="E23" s="723">
        <v>0</v>
      </c>
      <c r="F23" s="723">
        <v>0</v>
      </c>
      <c r="G23" s="723">
        <v>379</v>
      </c>
      <c r="H23" s="724">
        <v>0</v>
      </c>
      <c r="I23" s="724">
        <v>4841.1716794911872</v>
      </c>
      <c r="J23" s="724">
        <v>0</v>
      </c>
      <c r="K23" s="724">
        <v>0</v>
      </c>
      <c r="L23" s="724">
        <v>4841.1716794911872</v>
      </c>
    </row>
    <row r="24" spans="1:12">
      <c r="A24" s="722" t="s">
        <v>78</v>
      </c>
      <c r="B24" s="722">
        <v>107</v>
      </c>
      <c r="C24" s="723">
        <v>0</v>
      </c>
      <c r="D24" s="723">
        <v>1</v>
      </c>
      <c r="E24" s="723">
        <v>0</v>
      </c>
      <c r="F24" s="723">
        <v>0</v>
      </c>
      <c r="G24" s="723">
        <v>1</v>
      </c>
      <c r="H24" s="724">
        <v>0</v>
      </c>
      <c r="I24" s="724">
        <v>80.079898035010999</v>
      </c>
      <c r="J24" s="724">
        <v>0</v>
      </c>
      <c r="K24" s="724">
        <v>0</v>
      </c>
      <c r="L24" s="724">
        <v>80.079898035010999</v>
      </c>
    </row>
    <row r="25" spans="1:12">
      <c r="A25" s="722" t="s">
        <v>78</v>
      </c>
      <c r="B25" s="722">
        <v>120</v>
      </c>
      <c r="C25" s="723">
        <v>3</v>
      </c>
      <c r="D25" s="723">
        <v>2</v>
      </c>
      <c r="E25" s="723">
        <v>0</v>
      </c>
      <c r="F25" s="723">
        <v>0</v>
      </c>
      <c r="G25" s="723">
        <v>5</v>
      </c>
      <c r="H25" s="724">
        <v>240.23969410503301</v>
      </c>
      <c r="I25" s="724">
        <v>160.159796070022</v>
      </c>
      <c r="J25" s="724">
        <v>0</v>
      </c>
      <c r="K25" s="724">
        <v>0</v>
      </c>
      <c r="L25" s="724">
        <v>400.39949017505501</v>
      </c>
    </row>
    <row r="26" spans="1:12">
      <c r="A26" s="722" t="s">
        <v>78</v>
      </c>
      <c r="B26" s="722">
        <v>130</v>
      </c>
      <c r="C26" s="723">
        <v>2</v>
      </c>
      <c r="D26" s="723">
        <v>1</v>
      </c>
      <c r="E26" s="723">
        <v>0</v>
      </c>
      <c r="F26" s="723">
        <v>0</v>
      </c>
      <c r="G26" s="723">
        <v>3</v>
      </c>
      <c r="H26" s="724">
        <v>160.159796070022</v>
      </c>
      <c r="I26" s="724">
        <v>80.079898035010999</v>
      </c>
      <c r="J26" s="724">
        <v>0</v>
      </c>
      <c r="K26" s="724">
        <v>0</v>
      </c>
      <c r="L26" s="724">
        <v>240.23969410503298</v>
      </c>
    </row>
    <row r="27" spans="1:12">
      <c r="A27" s="722" t="s">
        <v>78</v>
      </c>
      <c r="B27" s="722">
        <v>160</v>
      </c>
      <c r="C27" s="723">
        <v>2</v>
      </c>
      <c r="D27" s="723">
        <v>1</v>
      </c>
      <c r="E27" s="723">
        <v>0</v>
      </c>
      <c r="F27" s="723">
        <v>0</v>
      </c>
      <c r="G27" s="723">
        <v>3</v>
      </c>
      <c r="H27" s="724">
        <v>160.159796070022</v>
      </c>
      <c r="I27" s="724">
        <v>80.079898035010999</v>
      </c>
      <c r="J27" s="724">
        <v>0</v>
      </c>
      <c r="K27" s="724">
        <v>0</v>
      </c>
      <c r="L27" s="724">
        <v>240.23969410503298</v>
      </c>
    </row>
    <row r="28" spans="1:12">
      <c r="A28" s="722" t="s">
        <v>78</v>
      </c>
      <c r="B28" s="722">
        <v>303</v>
      </c>
      <c r="C28" s="723">
        <v>1</v>
      </c>
      <c r="D28" s="723">
        <v>0</v>
      </c>
      <c r="E28" s="723">
        <v>0</v>
      </c>
      <c r="F28" s="723">
        <v>0</v>
      </c>
      <c r="G28" s="723">
        <v>1</v>
      </c>
      <c r="H28" s="724">
        <v>80.079898035010999</v>
      </c>
      <c r="I28" s="724">
        <v>0</v>
      </c>
      <c r="J28" s="724">
        <v>0</v>
      </c>
      <c r="K28" s="724">
        <v>0</v>
      </c>
      <c r="L28" s="724">
        <v>80.079898035010999</v>
      </c>
    </row>
    <row r="29" spans="1:12">
      <c r="A29" s="722" t="s">
        <v>78</v>
      </c>
      <c r="B29" s="722">
        <v>314</v>
      </c>
      <c r="C29" s="723">
        <v>0</v>
      </c>
      <c r="D29" s="723">
        <v>1</v>
      </c>
      <c r="E29" s="723">
        <v>0</v>
      </c>
      <c r="F29" s="723">
        <v>0</v>
      </c>
      <c r="G29" s="723">
        <v>1</v>
      </c>
      <c r="H29" s="724">
        <v>0</v>
      </c>
      <c r="I29" s="724">
        <v>80.079898035010999</v>
      </c>
      <c r="J29" s="724">
        <v>0</v>
      </c>
      <c r="K29" s="724">
        <v>0</v>
      </c>
      <c r="L29" s="724">
        <v>80.079898035010999</v>
      </c>
    </row>
    <row r="30" spans="1:12">
      <c r="A30" s="722" t="s">
        <v>78</v>
      </c>
      <c r="B30" s="722">
        <v>330</v>
      </c>
      <c r="C30" s="723">
        <v>6</v>
      </c>
      <c r="D30" s="723">
        <v>1</v>
      </c>
      <c r="E30" s="723">
        <v>0</v>
      </c>
      <c r="F30" s="723">
        <v>0</v>
      </c>
      <c r="G30" s="723">
        <v>7</v>
      </c>
      <c r="H30" s="724">
        <v>480.47938821006602</v>
      </c>
      <c r="I30" s="724">
        <v>80.079898035010999</v>
      </c>
      <c r="J30" s="724">
        <v>0</v>
      </c>
      <c r="K30" s="724">
        <v>0</v>
      </c>
      <c r="L30" s="724">
        <v>560.55928624507703</v>
      </c>
    </row>
    <row r="31" spans="1:12">
      <c r="A31" s="722" t="s">
        <v>78</v>
      </c>
      <c r="B31" s="722">
        <v>501</v>
      </c>
      <c r="C31" s="723">
        <v>1</v>
      </c>
      <c r="D31" s="723">
        <v>1</v>
      </c>
      <c r="E31" s="723">
        <v>0</v>
      </c>
      <c r="F31" s="723">
        <v>0</v>
      </c>
      <c r="G31" s="723">
        <v>2</v>
      </c>
      <c r="H31" s="724">
        <v>80.079898035010999</v>
      </c>
      <c r="I31" s="724">
        <v>80.079898035010999</v>
      </c>
      <c r="J31" s="724">
        <v>0</v>
      </c>
      <c r="K31" s="724">
        <v>0</v>
      </c>
      <c r="L31" s="724">
        <v>160.159796070022</v>
      </c>
    </row>
    <row r="32" spans="1:12">
      <c r="A32" s="722" t="s">
        <v>78</v>
      </c>
      <c r="B32" s="722">
        <v>502</v>
      </c>
      <c r="C32" s="723">
        <v>3</v>
      </c>
      <c r="D32" s="723">
        <v>4</v>
      </c>
      <c r="E32" s="723">
        <v>0</v>
      </c>
      <c r="F32" s="723">
        <v>0</v>
      </c>
      <c r="G32" s="723">
        <v>7</v>
      </c>
      <c r="H32" s="724">
        <v>240.23969410503301</v>
      </c>
      <c r="I32" s="724">
        <v>320.31959214004399</v>
      </c>
      <c r="J32" s="724">
        <v>0</v>
      </c>
      <c r="K32" s="724">
        <v>0</v>
      </c>
      <c r="L32" s="724">
        <v>560.55928624507703</v>
      </c>
    </row>
    <row r="33" spans="1:12">
      <c r="A33" s="722" t="s">
        <v>79</v>
      </c>
      <c r="B33" s="722">
        <v>100</v>
      </c>
      <c r="C33" s="723">
        <v>0</v>
      </c>
      <c r="D33" s="723">
        <v>2</v>
      </c>
      <c r="E33" s="723">
        <v>0</v>
      </c>
      <c r="F33" s="723">
        <v>0</v>
      </c>
      <c r="G33" s="723">
        <v>2</v>
      </c>
      <c r="H33" s="724">
        <v>0</v>
      </c>
      <c r="I33" s="724">
        <v>356.9757188732226</v>
      </c>
      <c r="J33" s="724">
        <v>0</v>
      </c>
      <c r="K33" s="724">
        <v>0</v>
      </c>
      <c r="L33" s="724">
        <v>356.9757188732226</v>
      </c>
    </row>
    <row r="34" spans="1:12">
      <c r="A34" s="722" t="s">
        <v>79</v>
      </c>
      <c r="B34" s="722">
        <v>101</v>
      </c>
      <c r="C34" s="723">
        <v>2</v>
      </c>
      <c r="D34" s="723">
        <v>1</v>
      </c>
      <c r="E34" s="723">
        <v>0</v>
      </c>
      <c r="F34" s="723">
        <v>0</v>
      </c>
      <c r="G34" s="723">
        <v>3</v>
      </c>
      <c r="H34" s="724">
        <v>356.9757188732226</v>
      </c>
      <c r="I34" s="724">
        <v>178.4878594366113</v>
      </c>
      <c r="J34" s="724">
        <v>0</v>
      </c>
      <c r="K34" s="724">
        <v>0</v>
      </c>
      <c r="L34" s="724">
        <v>535.46357830983391</v>
      </c>
    </row>
    <row r="35" spans="1:12">
      <c r="A35" s="722" t="s">
        <v>79</v>
      </c>
      <c r="B35" s="722">
        <v>104</v>
      </c>
      <c r="C35" s="723">
        <v>24</v>
      </c>
      <c r="D35" s="723">
        <v>1</v>
      </c>
      <c r="E35" s="723">
        <v>0</v>
      </c>
      <c r="F35" s="723">
        <v>0</v>
      </c>
      <c r="G35" s="723">
        <v>25</v>
      </c>
      <c r="H35" s="724">
        <v>4283.7086264786703</v>
      </c>
      <c r="I35" s="724">
        <v>178.4878594366113</v>
      </c>
      <c r="J35" s="724">
        <v>0</v>
      </c>
      <c r="K35" s="724">
        <v>0</v>
      </c>
      <c r="L35" s="724">
        <v>4462.1964859152822</v>
      </c>
    </row>
    <row r="36" spans="1:12">
      <c r="A36" s="722" t="s">
        <v>79</v>
      </c>
      <c r="B36" s="722">
        <v>110</v>
      </c>
      <c r="C36" s="723">
        <v>1</v>
      </c>
      <c r="D36" s="723">
        <v>0</v>
      </c>
      <c r="E36" s="723">
        <v>0</v>
      </c>
      <c r="F36" s="723">
        <v>0</v>
      </c>
      <c r="G36" s="723">
        <v>1</v>
      </c>
      <c r="H36" s="724">
        <v>178.4878594366113</v>
      </c>
      <c r="I36" s="724">
        <v>0</v>
      </c>
      <c r="J36" s="724">
        <v>0</v>
      </c>
      <c r="K36" s="724">
        <v>0</v>
      </c>
      <c r="L36" s="724">
        <v>178.4878594366113</v>
      </c>
    </row>
    <row r="37" spans="1:12">
      <c r="A37" s="722" t="s">
        <v>79</v>
      </c>
      <c r="B37" s="722">
        <v>120</v>
      </c>
      <c r="C37" s="723">
        <v>1</v>
      </c>
      <c r="D37" s="723">
        <v>5</v>
      </c>
      <c r="E37" s="723">
        <v>0</v>
      </c>
      <c r="F37" s="723">
        <v>0</v>
      </c>
      <c r="G37" s="723">
        <v>6</v>
      </c>
      <c r="H37" s="724">
        <v>178.4878594366113</v>
      </c>
      <c r="I37" s="724">
        <v>892.43929718305651</v>
      </c>
      <c r="J37" s="724">
        <v>0</v>
      </c>
      <c r="K37" s="724">
        <v>0</v>
      </c>
      <c r="L37" s="724">
        <v>1070.9271566196678</v>
      </c>
    </row>
    <row r="38" spans="1:12">
      <c r="A38" s="722" t="s">
        <v>79</v>
      </c>
      <c r="B38" s="722">
        <v>130</v>
      </c>
      <c r="C38" s="723">
        <v>24</v>
      </c>
      <c r="D38" s="723">
        <v>2</v>
      </c>
      <c r="E38" s="723">
        <v>0</v>
      </c>
      <c r="F38" s="723">
        <v>0</v>
      </c>
      <c r="G38" s="723">
        <v>26</v>
      </c>
      <c r="H38" s="724">
        <v>4283.7086264786712</v>
      </c>
      <c r="I38" s="724">
        <v>356.9757188732226</v>
      </c>
      <c r="J38" s="724">
        <v>0</v>
      </c>
      <c r="K38" s="724">
        <v>0</v>
      </c>
      <c r="L38" s="724">
        <v>4640.6843453518941</v>
      </c>
    </row>
    <row r="39" spans="1:12">
      <c r="A39" s="722" t="s">
        <v>79</v>
      </c>
      <c r="B39" s="722">
        <v>140</v>
      </c>
      <c r="C39" s="723">
        <v>55</v>
      </c>
      <c r="D39" s="723">
        <v>65</v>
      </c>
      <c r="E39" s="723">
        <v>0</v>
      </c>
      <c r="F39" s="723">
        <v>0</v>
      </c>
      <c r="G39" s="723">
        <v>120</v>
      </c>
      <c r="H39" s="724">
        <v>9816.832269013621</v>
      </c>
      <c r="I39" s="724">
        <v>11601.710863379734</v>
      </c>
      <c r="J39" s="724">
        <v>0</v>
      </c>
      <c r="K39" s="724">
        <v>0</v>
      </c>
      <c r="L39" s="724">
        <v>21418.543132393355</v>
      </c>
    </row>
    <row r="40" spans="1:12">
      <c r="A40" s="722" t="s">
        <v>79</v>
      </c>
      <c r="B40" s="722">
        <v>144</v>
      </c>
      <c r="C40" s="723">
        <v>3</v>
      </c>
      <c r="D40" s="723">
        <v>1</v>
      </c>
      <c r="E40" s="723">
        <v>0</v>
      </c>
      <c r="F40" s="723">
        <v>0</v>
      </c>
      <c r="G40" s="723">
        <v>4</v>
      </c>
      <c r="H40" s="724">
        <v>535.46357830983391</v>
      </c>
      <c r="I40" s="724">
        <v>178.4878594366113</v>
      </c>
      <c r="J40" s="724">
        <v>0</v>
      </c>
      <c r="K40" s="724">
        <v>0</v>
      </c>
      <c r="L40" s="724">
        <v>713.95143774644521</v>
      </c>
    </row>
    <row r="41" spans="1:12">
      <c r="A41" s="722" t="s">
        <v>79</v>
      </c>
      <c r="B41" s="722">
        <v>150</v>
      </c>
      <c r="C41" s="723">
        <v>157</v>
      </c>
      <c r="D41" s="723">
        <v>0</v>
      </c>
      <c r="E41" s="723">
        <v>0</v>
      </c>
      <c r="F41" s="723">
        <v>0</v>
      </c>
      <c r="G41" s="723">
        <v>157</v>
      </c>
      <c r="H41" s="724">
        <v>28022.59393154797</v>
      </c>
      <c r="I41" s="724">
        <v>0</v>
      </c>
      <c r="J41" s="724">
        <v>0</v>
      </c>
      <c r="K41" s="724">
        <v>0</v>
      </c>
      <c r="L41" s="724">
        <v>28022.59393154797</v>
      </c>
    </row>
    <row r="42" spans="1:12">
      <c r="A42" s="722" t="s">
        <v>79</v>
      </c>
      <c r="B42" s="722">
        <v>190</v>
      </c>
      <c r="C42" s="723">
        <v>4</v>
      </c>
      <c r="D42" s="723">
        <v>0</v>
      </c>
      <c r="E42" s="723">
        <v>0</v>
      </c>
      <c r="F42" s="723">
        <v>0</v>
      </c>
      <c r="G42" s="723">
        <v>4</v>
      </c>
      <c r="H42" s="724">
        <v>713.95143774644521</v>
      </c>
      <c r="I42" s="724">
        <v>0</v>
      </c>
      <c r="J42" s="724">
        <v>0</v>
      </c>
      <c r="K42" s="724">
        <v>0</v>
      </c>
      <c r="L42" s="724">
        <v>713.95143774644521</v>
      </c>
    </row>
    <row r="43" spans="1:12">
      <c r="A43" s="722" t="s">
        <v>79</v>
      </c>
      <c r="B43" s="722">
        <v>191</v>
      </c>
      <c r="C43" s="723">
        <v>1110</v>
      </c>
      <c r="D43" s="723">
        <v>33</v>
      </c>
      <c r="E43" s="723">
        <v>0</v>
      </c>
      <c r="F43" s="723">
        <v>0</v>
      </c>
      <c r="G43" s="723">
        <v>1143</v>
      </c>
      <c r="H43" s="724">
        <v>198121.52397463852</v>
      </c>
      <c r="I43" s="724">
        <v>5890.0993614081726</v>
      </c>
      <c r="J43" s="724">
        <v>0</v>
      </c>
      <c r="K43" s="724">
        <v>0</v>
      </c>
      <c r="L43" s="724">
        <v>204011.6233360467</v>
      </c>
    </row>
    <row r="44" spans="1:12">
      <c r="A44" s="722" t="s">
        <v>79</v>
      </c>
      <c r="B44" s="722">
        <v>218</v>
      </c>
      <c r="C44" s="723">
        <v>0</v>
      </c>
      <c r="D44" s="723">
        <v>1</v>
      </c>
      <c r="E44" s="723">
        <v>0</v>
      </c>
      <c r="F44" s="723">
        <v>0</v>
      </c>
      <c r="G44" s="723">
        <v>1</v>
      </c>
      <c r="H44" s="724">
        <v>0</v>
      </c>
      <c r="I44" s="724">
        <v>178.4878594366113</v>
      </c>
      <c r="J44" s="724">
        <v>0</v>
      </c>
      <c r="K44" s="724">
        <v>0</v>
      </c>
      <c r="L44" s="724">
        <v>178.4878594366113</v>
      </c>
    </row>
    <row r="45" spans="1:12">
      <c r="A45" s="722" t="s">
        <v>79</v>
      </c>
      <c r="B45" s="722">
        <v>300</v>
      </c>
      <c r="C45" s="723">
        <v>12</v>
      </c>
      <c r="D45" s="723">
        <v>1</v>
      </c>
      <c r="E45" s="723">
        <v>0</v>
      </c>
      <c r="F45" s="723">
        <v>0</v>
      </c>
      <c r="G45" s="723">
        <v>13</v>
      </c>
      <c r="H45" s="724">
        <v>2141.8543132393356</v>
      </c>
      <c r="I45" s="724">
        <v>178.4878594366113</v>
      </c>
      <c r="J45" s="724">
        <v>0</v>
      </c>
      <c r="K45" s="724">
        <v>0</v>
      </c>
      <c r="L45" s="724">
        <v>2320.342172675947</v>
      </c>
    </row>
    <row r="46" spans="1:12">
      <c r="A46" s="722" t="s">
        <v>79</v>
      </c>
      <c r="B46" s="722">
        <v>301</v>
      </c>
      <c r="C46" s="723">
        <v>0</v>
      </c>
      <c r="D46" s="723">
        <v>50</v>
      </c>
      <c r="E46" s="723">
        <v>0</v>
      </c>
      <c r="F46" s="723">
        <v>0</v>
      </c>
      <c r="G46" s="723">
        <v>50</v>
      </c>
      <c r="H46" s="724">
        <v>0</v>
      </c>
      <c r="I46" s="724">
        <v>8924.3929718305644</v>
      </c>
      <c r="J46" s="724">
        <v>0</v>
      </c>
      <c r="K46" s="724">
        <v>0</v>
      </c>
      <c r="L46" s="724">
        <v>8924.3929718305644</v>
      </c>
    </row>
    <row r="47" spans="1:12">
      <c r="A47" s="722" t="s">
        <v>79</v>
      </c>
      <c r="B47" s="722">
        <v>303</v>
      </c>
      <c r="C47" s="723">
        <v>67</v>
      </c>
      <c r="D47" s="723">
        <v>9</v>
      </c>
      <c r="E47" s="723">
        <v>0</v>
      </c>
      <c r="F47" s="723">
        <v>0</v>
      </c>
      <c r="G47" s="723">
        <v>76</v>
      </c>
      <c r="H47" s="724">
        <v>11958.686582252956</v>
      </c>
      <c r="I47" s="724">
        <v>1606.3907349295016</v>
      </c>
      <c r="J47" s="724">
        <v>0</v>
      </c>
      <c r="K47" s="724">
        <v>0</v>
      </c>
      <c r="L47" s="724">
        <v>13565.077317182459</v>
      </c>
    </row>
    <row r="48" spans="1:12">
      <c r="A48" s="722" t="s">
        <v>79</v>
      </c>
      <c r="B48" s="722">
        <v>307</v>
      </c>
      <c r="C48" s="723">
        <v>1</v>
      </c>
      <c r="D48" s="723">
        <v>0</v>
      </c>
      <c r="E48" s="723">
        <v>0</v>
      </c>
      <c r="F48" s="723">
        <v>0</v>
      </c>
      <c r="G48" s="723">
        <v>1</v>
      </c>
      <c r="H48" s="724">
        <v>178.4878594366113</v>
      </c>
      <c r="I48" s="724">
        <v>0</v>
      </c>
      <c r="J48" s="724">
        <v>0</v>
      </c>
      <c r="K48" s="724">
        <v>0</v>
      </c>
      <c r="L48" s="724">
        <v>178.4878594366113</v>
      </c>
    </row>
    <row r="49" spans="1:12">
      <c r="A49" s="722" t="s">
        <v>79</v>
      </c>
      <c r="B49" s="722">
        <v>314</v>
      </c>
      <c r="C49" s="723">
        <v>262</v>
      </c>
      <c r="D49" s="723">
        <v>5</v>
      </c>
      <c r="E49" s="723">
        <v>0</v>
      </c>
      <c r="F49" s="723">
        <v>0</v>
      </c>
      <c r="G49" s="723">
        <v>267</v>
      </c>
      <c r="H49" s="724">
        <v>46763.819172392148</v>
      </c>
      <c r="I49" s="724">
        <v>892.43929718305628</v>
      </c>
      <c r="J49" s="724">
        <v>0</v>
      </c>
      <c r="K49" s="724">
        <v>0</v>
      </c>
      <c r="L49" s="724">
        <v>47656.258469575208</v>
      </c>
    </row>
    <row r="50" spans="1:12">
      <c r="A50" s="722" t="s">
        <v>79</v>
      </c>
      <c r="B50" s="722">
        <v>323</v>
      </c>
      <c r="C50" s="723">
        <v>269</v>
      </c>
      <c r="D50" s="723">
        <v>2</v>
      </c>
      <c r="E50" s="723">
        <v>0</v>
      </c>
      <c r="F50" s="723">
        <v>0</v>
      </c>
      <c r="G50" s="723">
        <v>271</v>
      </c>
      <c r="H50" s="724">
        <v>48013.234188448441</v>
      </c>
      <c r="I50" s="724">
        <v>356.9757188732226</v>
      </c>
      <c r="J50" s="724">
        <v>0</v>
      </c>
      <c r="K50" s="724">
        <v>0</v>
      </c>
      <c r="L50" s="724">
        <v>48370.20990732166</v>
      </c>
    </row>
    <row r="51" spans="1:12">
      <c r="A51" s="722" t="s">
        <v>79</v>
      </c>
      <c r="B51" s="722">
        <v>330</v>
      </c>
      <c r="C51" s="723">
        <v>4</v>
      </c>
      <c r="D51" s="723">
        <v>2</v>
      </c>
      <c r="E51" s="723">
        <v>0</v>
      </c>
      <c r="F51" s="723">
        <v>0</v>
      </c>
      <c r="G51" s="723">
        <v>6</v>
      </c>
      <c r="H51" s="724">
        <v>713.95143774644521</v>
      </c>
      <c r="I51" s="724">
        <v>356.9757188732226</v>
      </c>
      <c r="J51" s="724">
        <v>0</v>
      </c>
      <c r="K51" s="724">
        <v>0</v>
      </c>
      <c r="L51" s="724">
        <v>1070.9271566196678</v>
      </c>
    </row>
    <row r="52" spans="1:12">
      <c r="A52" s="722" t="s">
        <v>79</v>
      </c>
      <c r="B52" s="722">
        <v>341</v>
      </c>
      <c r="C52" s="723">
        <v>1</v>
      </c>
      <c r="D52" s="723">
        <v>0</v>
      </c>
      <c r="E52" s="723">
        <v>0</v>
      </c>
      <c r="F52" s="723">
        <v>0</v>
      </c>
      <c r="G52" s="723">
        <v>1</v>
      </c>
      <c r="H52" s="724">
        <v>178.4878594366113</v>
      </c>
      <c r="I52" s="724">
        <v>0</v>
      </c>
      <c r="J52" s="724">
        <v>0</v>
      </c>
      <c r="K52" s="724">
        <v>0</v>
      </c>
      <c r="L52" s="724">
        <v>178.4878594366113</v>
      </c>
    </row>
    <row r="53" spans="1:12">
      <c r="A53" s="722" t="s">
        <v>79</v>
      </c>
      <c r="B53" s="722">
        <v>370</v>
      </c>
      <c r="C53" s="723">
        <v>89</v>
      </c>
      <c r="D53" s="723">
        <v>0</v>
      </c>
      <c r="E53" s="723">
        <v>0</v>
      </c>
      <c r="F53" s="723">
        <v>0</v>
      </c>
      <c r="G53" s="723">
        <v>89</v>
      </c>
      <c r="H53" s="724">
        <v>15885.419489858405</v>
      </c>
      <c r="I53" s="724">
        <v>0</v>
      </c>
      <c r="J53" s="724">
        <v>0</v>
      </c>
      <c r="K53" s="724">
        <v>0</v>
      </c>
      <c r="L53" s="724">
        <v>15885.419489858405</v>
      </c>
    </row>
    <row r="54" spans="1:12">
      <c r="A54" s="722" t="s">
        <v>79</v>
      </c>
      <c r="B54" s="722">
        <v>400</v>
      </c>
      <c r="C54" s="723">
        <v>240</v>
      </c>
      <c r="D54" s="723">
        <v>1</v>
      </c>
      <c r="E54" s="723">
        <v>0</v>
      </c>
      <c r="F54" s="723">
        <v>0</v>
      </c>
      <c r="G54" s="723">
        <v>241</v>
      </c>
      <c r="H54" s="724">
        <v>42837.086264786711</v>
      </c>
      <c r="I54" s="724">
        <v>178.48785943661127</v>
      </c>
      <c r="J54" s="724">
        <v>0</v>
      </c>
      <c r="K54" s="724">
        <v>0</v>
      </c>
      <c r="L54" s="724">
        <v>43015.57412422332</v>
      </c>
    </row>
    <row r="55" spans="1:12">
      <c r="A55" s="722" t="s">
        <v>79</v>
      </c>
      <c r="B55" s="722">
        <v>410</v>
      </c>
      <c r="C55" s="723">
        <v>3</v>
      </c>
      <c r="D55" s="723">
        <v>1</v>
      </c>
      <c r="E55" s="723">
        <v>0</v>
      </c>
      <c r="F55" s="723">
        <v>0</v>
      </c>
      <c r="G55" s="723">
        <v>4</v>
      </c>
      <c r="H55" s="724">
        <v>535.46357830983391</v>
      </c>
      <c r="I55" s="724">
        <v>178.4878594366113</v>
      </c>
      <c r="J55" s="724">
        <v>0</v>
      </c>
      <c r="K55" s="724">
        <v>0</v>
      </c>
      <c r="L55" s="724">
        <v>713.95143774644521</v>
      </c>
    </row>
    <row r="56" spans="1:12">
      <c r="A56" s="722" t="s">
        <v>79</v>
      </c>
      <c r="B56" s="722">
        <v>420</v>
      </c>
      <c r="C56" s="723">
        <v>1</v>
      </c>
      <c r="D56" s="723">
        <v>0</v>
      </c>
      <c r="E56" s="723">
        <v>0</v>
      </c>
      <c r="F56" s="723">
        <v>0</v>
      </c>
      <c r="G56" s="723">
        <v>1</v>
      </c>
      <c r="H56" s="724">
        <v>178.4878594366113</v>
      </c>
      <c r="I56" s="724">
        <v>0</v>
      </c>
      <c r="J56" s="724">
        <v>0</v>
      </c>
      <c r="K56" s="724">
        <v>0</v>
      </c>
      <c r="L56" s="724">
        <v>178.4878594366113</v>
      </c>
    </row>
    <row r="57" spans="1:12">
      <c r="A57" s="722" t="s">
        <v>79</v>
      </c>
      <c r="B57" s="722">
        <v>421</v>
      </c>
      <c r="C57" s="723">
        <v>4</v>
      </c>
      <c r="D57" s="723">
        <v>0</v>
      </c>
      <c r="E57" s="723">
        <v>0</v>
      </c>
      <c r="F57" s="723">
        <v>0</v>
      </c>
      <c r="G57" s="723">
        <v>4</v>
      </c>
      <c r="H57" s="724">
        <v>713.95143774644521</v>
      </c>
      <c r="I57" s="724">
        <v>0</v>
      </c>
      <c r="J57" s="724">
        <v>0</v>
      </c>
      <c r="K57" s="724">
        <v>0</v>
      </c>
      <c r="L57" s="724">
        <v>713.95143774644521</v>
      </c>
    </row>
    <row r="58" spans="1:12">
      <c r="A58" s="722" t="s">
        <v>79</v>
      </c>
      <c r="B58" s="722">
        <v>422</v>
      </c>
      <c r="C58" s="723">
        <v>31</v>
      </c>
      <c r="D58" s="723">
        <v>0</v>
      </c>
      <c r="E58" s="723">
        <v>0</v>
      </c>
      <c r="F58" s="723">
        <v>0</v>
      </c>
      <c r="G58" s="723">
        <v>31</v>
      </c>
      <c r="H58" s="724">
        <v>5533.1236425349498</v>
      </c>
      <c r="I58" s="724">
        <v>0</v>
      </c>
      <c r="J58" s="724">
        <v>0</v>
      </c>
      <c r="K58" s="724">
        <v>0</v>
      </c>
      <c r="L58" s="724">
        <v>5533.1236425349498</v>
      </c>
    </row>
    <row r="59" spans="1:12">
      <c r="A59" s="722" t="s">
        <v>79</v>
      </c>
      <c r="B59" s="722">
        <v>502</v>
      </c>
      <c r="C59" s="723">
        <v>531</v>
      </c>
      <c r="D59" s="723">
        <v>10</v>
      </c>
      <c r="E59" s="723">
        <v>0</v>
      </c>
      <c r="F59" s="723">
        <v>0</v>
      </c>
      <c r="G59" s="723">
        <v>541</v>
      </c>
      <c r="H59" s="724">
        <v>94777.053360840582</v>
      </c>
      <c r="I59" s="724">
        <v>1784.8785943661128</v>
      </c>
      <c r="J59" s="724">
        <v>0</v>
      </c>
      <c r="K59" s="724">
        <v>0</v>
      </c>
      <c r="L59" s="724">
        <v>96561.931955206703</v>
      </c>
    </row>
    <row r="60" spans="1:12">
      <c r="A60" s="722" t="s">
        <v>79</v>
      </c>
      <c r="B60" s="722">
        <v>650</v>
      </c>
      <c r="C60" s="723">
        <v>1</v>
      </c>
      <c r="D60" s="723">
        <v>0</v>
      </c>
      <c r="E60" s="723">
        <v>0</v>
      </c>
      <c r="F60" s="723">
        <v>0</v>
      </c>
      <c r="G60" s="723">
        <v>1</v>
      </c>
      <c r="H60" s="724">
        <v>178.4878594366113</v>
      </c>
      <c r="I60" s="724">
        <v>0</v>
      </c>
      <c r="J60" s="724">
        <v>0</v>
      </c>
      <c r="K60" s="724">
        <v>0</v>
      </c>
      <c r="L60" s="724">
        <v>178.4878594366113</v>
      </c>
    </row>
    <row r="61" spans="1:12">
      <c r="A61" s="722" t="s">
        <v>79</v>
      </c>
      <c r="B61" s="722">
        <v>655</v>
      </c>
      <c r="C61" s="723">
        <v>1</v>
      </c>
      <c r="D61" s="723">
        <v>0</v>
      </c>
      <c r="E61" s="723">
        <v>0</v>
      </c>
      <c r="F61" s="723">
        <v>0</v>
      </c>
      <c r="G61" s="723">
        <v>1</v>
      </c>
      <c r="H61" s="724">
        <v>178.4878594366113</v>
      </c>
      <c r="I61" s="724">
        <v>0</v>
      </c>
      <c r="J61" s="724">
        <v>0</v>
      </c>
      <c r="K61" s="724">
        <v>0</v>
      </c>
      <c r="L61" s="724">
        <v>178.4878594366113</v>
      </c>
    </row>
    <row r="62" spans="1:12">
      <c r="A62" s="722" t="s">
        <v>79</v>
      </c>
      <c r="B62" s="722">
        <v>811</v>
      </c>
      <c r="C62" s="723">
        <v>1</v>
      </c>
      <c r="D62" s="723">
        <v>9</v>
      </c>
      <c r="E62" s="723">
        <v>0</v>
      </c>
      <c r="F62" s="723">
        <v>0</v>
      </c>
      <c r="G62" s="723">
        <v>10</v>
      </c>
      <c r="H62" s="724">
        <v>178.48785943661127</v>
      </c>
      <c r="I62" s="724">
        <v>1606.3907349295016</v>
      </c>
      <c r="J62" s="724">
        <v>0</v>
      </c>
      <c r="K62" s="724">
        <v>0</v>
      </c>
      <c r="L62" s="724">
        <v>1784.8785943661128</v>
      </c>
    </row>
    <row r="63" spans="1:12">
      <c r="A63" s="722" t="s">
        <v>82</v>
      </c>
      <c r="B63" s="722">
        <v>100</v>
      </c>
      <c r="C63" s="723">
        <v>3</v>
      </c>
      <c r="D63" s="723">
        <v>1</v>
      </c>
      <c r="E63" s="723">
        <v>0</v>
      </c>
      <c r="F63" s="723">
        <v>0</v>
      </c>
      <c r="G63" s="723">
        <v>4</v>
      </c>
      <c r="H63" s="724">
        <v>939.23193629559864</v>
      </c>
      <c r="I63" s="724">
        <v>313.0773120985329</v>
      </c>
      <c r="J63" s="724">
        <v>0</v>
      </c>
      <c r="K63" s="724">
        <v>0</v>
      </c>
      <c r="L63" s="724">
        <v>1252.3092483941316</v>
      </c>
    </row>
    <row r="64" spans="1:12">
      <c r="A64" s="722" t="s">
        <v>82</v>
      </c>
      <c r="B64" s="722">
        <v>101</v>
      </c>
      <c r="C64" s="723">
        <v>1</v>
      </c>
      <c r="D64" s="723">
        <v>1</v>
      </c>
      <c r="E64" s="723">
        <v>0</v>
      </c>
      <c r="F64" s="723">
        <v>0</v>
      </c>
      <c r="G64" s="723">
        <v>2</v>
      </c>
      <c r="H64" s="724">
        <v>313.0773120985329</v>
      </c>
      <c r="I64" s="724">
        <v>313.0773120985329</v>
      </c>
      <c r="J64" s="724">
        <v>0</v>
      </c>
      <c r="K64" s="724">
        <v>0</v>
      </c>
      <c r="L64" s="724">
        <v>626.1546241970658</v>
      </c>
    </row>
    <row r="65" spans="1:12">
      <c r="A65" s="722" t="s">
        <v>82</v>
      </c>
      <c r="B65" s="722">
        <v>110</v>
      </c>
      <c r="C65" s="723">
        <v>3</v>
      </c>
      <c r="D65" s="723">
        <v>0</v>
      </c>
      <c r="E65" s="723">
        <v>0</v>
      </c>
      <c r="F65" s="723">
        <v>0</v>
      </c>
      <c r="G65" s="723">
        <v>3</v>
      </c>
      <c r="H65" s="724">
        <v>939.23193629559864</v>
      </c>
      <c r="I65" s="724">
        <v>0</v>
      </c>
      <c r="J65" s="724">
        <v>0</v>
      </c>
      <c r="K65" s="724">
        <v>0</v>
      </c>
      <c r="L65" s="724">
        <v>939.23193629559864</v>
      </c>
    </row>
    <row r="66" spans="1:12">
      <c r="A66" s="722" t="s">
        <v>82</v>
      </c>
      <c r="B66" s="722">
        <v>120</v>
      </c>
      <c r="C66" s="723">
        <v>2</v>
      </c>
      <c r="D66" s="723">
        <v>1</v>
      </c>
      <c r="E66" s="723">
        <v>0</v>
      </c>
      <c r="F66" s="723">
        <v>0</v>
      </c>
      <c r="G66" s="723">
        <v>3</v>
      </c>
      <c r="H66" s="724">
        <v>626.1546241970658</v>
      </c>
      <c r="I66" s="724">
        <v>313.0773120985329</v>
      </c>
      <c r="J66" s="724">
        <v>0</v>
      </c>
      <c r="K66" s="724">
        <v>0</v>
      </c>
      <c r="L66" s="724">
        <v>939.23193629559864</v>
      </c>
    </row>
    <row r="67" spans="1:12">
      <c r="A67" s="722" t="s">
        <v>82</v>
      </c>
      <c r="B67" s="722">
        <v>143</v>
      </c>
      <c r="C67" s="723">
        <v>2</v>
      </c>
      <c r="D67" s="723">
        <v>0</v>
      </c>
      <c r="E67" s="723">
        <v>0</v>
      </c>
      <c r="F67" s="723">
        <v>0</v>
      </c>
      <c r="G67" s="723">
        <v>2</v>
      </c>
      <c r="H67" s="724">
        <v>626.1546241970658</v>
      </c>
      <c r="I67" s="724">
        <v>0</v>
      </c>
      <c r="J67" s="724">
        <v>0</v>
      </c>
      <c r="K67" s="724">
        <v>0</v>
      </c>
      <c r="L67" s="724">
        <v>626.1546241970658</v>
      </c>
    </row>
    <row r="68" spans="1:12">
      <c r="A68" s="722" t="s">
        <v>82</v>
      </c>
      <c r="B68" s="722">
        <v>160</v>
      </c>
      <c r="C68" s="723">
        <v>1</v>
      </c>
      <c r="D68" s="723">
        <v>0</v>
      </c>
      <c r="E68" s="723">
        <v>0</v>
      </c>
      <c r="F68" s="723">
        <v>0</v>
      </c>
      <c r="G68" s="723">
        <v>1</v>
      </c>
      <c r="H68" s="724">
        <v>313.0773120985329</v>
      </c>
      <c r="I68" s="724">
        <v>0</v>
      </c>
      <c r="J68" s="724">
        <v>0</v>
      </c>
      <c r="K68" s="724">
        <v>0</v>
      </c>
      <c r="L68" s="724">
        <v>313.0773120985329</v>
      </c>
    </row>
    <row r="69" spans="1:12">
      <c r="A69" s="722" t="s">
        <v>82</v>
      </c>
      <c r="B69" s="722">
        <v>191</v>
      </c>
      <c r="C69" s="723">
        <v>188</v>
      </c>
      <c r="D69" s="723">
        <v>65</v>
      </c>
      <c r="E69" s="723">
        <v>0</v>
      </c>
      <c r="F69" s="723">
        <v>0</v>
      </c>
      <c r="G69" s="723">
        <v>253</v>
      </c>
      <c r="H69" s="724">
        <v>58858.534674524191</v>
      </c>
      <c r="I69" s="724">
        <v>20350.025286404642</v>
      </c>
      <c r="J69" s="724">
        <v>0</v>
      </c>
      <c r="K69" s="724">
        <v>0</v>
      </c>
      <c r="L69" s="724">
        <v>79208.559960928833</v>
      </c>
    </row>
    <row r="70" spans="1:12">
      <c r="A70" s="722" t="s">
        <v>82</v>
      </c>
      <c r="B70" s="722">
        <v>300</v>
      </c>
      <c r="C70" s="723">
        <v>11</v>
      </c>
      <c r="D70" s="723">
        <v>12</v>
      </c>
      <c r="E70" s="723">
        <v>0</v>
      </c>
      <c r="F70" s="723">
        <v>0</v>
      </c>
      <c r="G70" s="723">
        <v>23</v>
      </c>
      <c r="H70" s="724">
        <v>3443.8504330838623</v>
      </c>
      <c r="I70" s="724">
        <v>3756.9277451823955</v>
      </c>
      <c r="J70" s="724">
        <v>0</v>
      </c>
      <c r="K70" s="724">
        <v>0</v>
      </c>
      <c r="L70" s="724">
        <v>7200.7781782662578</v>
      </c>
    </row>
    <row r="71" spans="1:12">
      <c r="A71" s="722" t="s">
        <v>82</v>
      </c>
      <c r="B71" s="722">
        <v>307</v>
      </c>
      <c r="C71" s="723">
        <v>1</v>
      </c>
      <c r="D71" s="723">
        <v>0</v>
      </c>
      <c r="E71" s="723">
        <v>0</v>
      </c>
      <c r="F71" s="723">
        <v>0</v>
      </c>
      <c r="G71" s="723">
        <v>1</v>
      </c>
      <c r="H71" s="724">
        <v>313.0773120985329</v>
      </c>
      <c r="I71" s="724">
        <v>0</v>
      </c>
      <c r="J71" s="724">
        <v>0</v>
      </c>
      <c r="K71" s="724">
        <v>0</v>
      </c>
      <c r="L71" s="724">
        <v>313.0773120985329</v>
      </c>
    </row>
    <row r="72" spans="1:12">
      <c r="A72" s="722" t="s">
        <v>82</v>
      </c>
      <c r="B72" s="722">
        <v>314</v>
      </c>
      <c r="C72" s="723">
        <v>2</v>
      </c>
      <c r="D72" s="723">
        <v>2</v>
      </c>
      <c r="E72" s="723">
        <v>0</v>
      </c>
      <c r="F72" s="723">
        <v>0</v>
      </c>
      <c r="G72" s="723">
        <v>4</v>
      </c>
      <c r="H72" s="724">
        <v>626.1546241970658</v>
      </c>
      <c r="I72" s="724">
        <v>626.1546241970658</v>
      </c>
      <c r="J72" s="724">
        <v>0</v>
      </c>
      <c r="K72" s="724">
        <v>0</v>
      </c>
      <c r="L72" s="724">
        <v>1252.3092483941316</v>
      </c>
    </row>
    <row r="73" spans="1:12">
      <c r="A73" s="722" t="s">
        <v>82</v>
      </c>
      <c r="B73" s="722">
        <v>317</v>
      </c>
      <c r="C73" s="723">
        <v>0</v>
      </c>
      <c r="D73" s="723">
        <v>3</v>
      </c>
      <c r="E73" s="723">
        <v>0</v>
      </c>
      <c r="F73" s="723">
        <v>0</v>
      </c>
      <c r="G73" s="723">
        <v>3</v>
      </c>
      <c r="H73" s="724">
        <v>0</v>
      </c>
      <c r="I73" s="724">
        <v>939.23193629559864</v>
      </c>
      <c r="J73" s="724">
        <v>0</v>
      </c>
      <c r="K73" s="724">
        <v>0</v>
      </c>
      <c r="L73" s="724">
        <v>939.23193629559864</v>
      </c>
    </row>
    <row r="74" spans="1:12">
      <c r="A74" s="722" t="s">
        <v>82</v>
      </c>
      <c r="B74" s="722">
        <v>320</v>
      </c>
      <c r="C74" s="723">
        <v>0</v>
      </c>
      <c r="D74" s="723">
        <v>1</v>
      </c>
      <c r="E74" s="723">
        <v>0</v>
      </c>
      <c r="F74" s="723">
        <v>0</v>
      </c>
      <c r="G74" s="723">
        <v>1</v>
      </c>
      <c r="H74" s="724">
        <v>0</v>
      </c>
      <c r="I74" s="724">
        <v>313.0773120985329</v>
      </c>
      <c r="J74" s="724">
        <v>0</v>
      </c>
      <c r="K74" s="724">
        <v>0</v>
      </c>
      <c r="L74" s="724">
        <v>313.0773120985329</v>
      </c>
    </row>
    <row r="75" spans="1:12">
      <c r="A75" s="722" t="s">
        <v>82</v>
      </c>
      <c r="B75" s="722">
        <v>328</v>
      </c>
      <c r="C75" s="723">
        <v>1</v>
      </c>
      <c r="D75" s="723">
        <v>0</v>
      </c>
      <c r="E75" s="723">
        <v>0</v>
      </c>
      <c r="F75" s="723">
        <v>0</v>
      </c>
      <c r="G75" s="723">
        <v>1</v>
      </c>
      <c r="H75" s="724">
        <v>313.0773120985329</v>
      </c>
      <c r="I75" s="724">
        <v>0</v>
      </c>
      <c r="J75" s="724">
        <v>0</v>
      </c>
      <c r="K75" s="724">
        <v>0</v>
      </c>
      <c r="L75" s="724">
        <v>313.0773120985329</v>
      </c>
    </row>
    <row r="76" spans="1:12">
      <c r="A76" s="722" t="s">
        <v>82</v>
      </c>
      <c r="B76" s="722">
        <v>329</v>
      </c>
      <c r="C76" s="723">
        <v>0</v>
      </c>
      <c r="D76" s="723">
        <v>3</v>
      </c>
      <c r="E76" s="723">
        <v>0</v>
      </c>
      <c r="F76" s="723">
        <v>0</v>
      </c>
      <c r="G76" s="723">
        <v>3</v>
      </c>
      <c r="H76" s="724">
        <v>0</v>
      </c>
      <c r="I76" s="724">
        <v>939.23193629559864</v>
      </c>
      <c r="J76" s="724">
        <v>0</v>
      </c>
      <c r="K76" s="724">
        <v>0</v>
      </c>
      <c r="L76" s="724">
        <v>939.23193629559864</v>
      </c>
    </row>
    <row r="77" spans="1:12">
      <c r="A77" s="722" t="s">
        <v>82</v>
      </c>
      <c r="B77" s="722">
        <v>330</v>
      </c>
      <c r="C77" s="723">
        <v>0</v>
      </c>
      <c r="D77" s="723">
        <v>1</v>
      </c>
      <c r="E77" s="723">
        <v>0</v>
      </c>
      <c r="F77" s="723">
        <v>0</v>
      </c>
      <c r="G77" s="723">
        <v>1</v>
      </c>
      <c r="H77" s="724">
        <v>0</v>
      </c>
      <c r="I77" s="724">
        <v>313.0773120985329</v>
      </c>
      <c r="J77" s="724">
        <v>0</v>
      </c>
      <c r="K77" s="724">
        <v>0</v>
      </c>
      <c r="L77" s="724">
        <v>313.0773120985329</v>
      </c>
    </row>
    <row r="78" spans="1:12">
      <c r="A78" s="722" t="s">
        <v>82</v>
      </c>
      <c r="B78" s="722">
        <v>361</v>
      </c>
      <c r="C78" s="723">
        <v>1</v>
      </c>
      <c r="D78" s="723">
        <v>2</v>
      </c>
      <c r="E78" s="723">
        <v>0</v>
      </c>
      <c r="F78" s="723">
        <v>0</v>
      </c>
      <c r="G78" s="723">
        <v>3</v>
      </c>
      <c r="H78" s="724">
        <v>313.0773120985329</v>
      </c>
      <c r="I78" s="724">
        <v>626.1546241970658</v>
      </c>
      <c r="J78" s="724">
        <v>0</v>
      </c>
      <c r="K78" s="724">
        <v>0</v>
      </c>
      <c r="L78" s="724">
        <v>939.23193629559864</v>
      </c>
    </row>
    <row r="79" spans="1:12">
      <c r="A79" s="722" t="s">
        <v>82</v>
      </c>
      <c r="B79" s="722">
        <v>400</v>
      </c>
      <c r="C79" s="723">
        <v>20</v>
      </c>
      <c r="D79" s="723">
        <v>24</v>
      </c>
      <c r="E79" s="723">
        <v>0</v>
      </c>
      <c r="F79" s="723">
        <v>0</v>
      </c>
      <c r="G79" s="723">
        <v>44</v>
      </c>
      <c r="H79" s="724">
        <v>6261.5462419706573</v>
      </c>
      <c r="I79" s="724">
        <v>7513.8554903647891</v>
      </c>
      <c r="J79" s="724">
        <v>0</v>
      </c>
      <c r="K79" s="724">
        <v>0</v>
      </c>
      <c r="L79" s="724">
        <v>13775.401732335447</v>
      </c>
    </row>
    <row r="80" spans="1:12">
      <c r="A80" s="722" t="s">
        <v>82</v>
      </c>
      <c r="B80" s="722">
        <v>420</v>
      </c>
      <c r="C80" s="723">
        <v>1</v>
      </c>
      <c r="D80" s="723">
        <v>0</v>
      </c>
      <c r="E80" s="723">
        <v>0</v>
      </c>
      <c r="F80" s="723">
        <v>0</v>
      </c>
      <c r="G80" s="723">
        <v>1</v>
      </c>
      <c r="H80" s="724">
        <v>313.0773120985329</v>
      </c>
      <c r="I80" s="724">
        <v>0</v>
      </c>
      <c r="J80" s="724">
        <v>0</v>
      </c>
      <c r="K80" s="724">
        <v>0</v>
      </c>
      <c r="L80" s="724">
        <v>313.0773120985329</v>
      </c>
    </row>
    <row r="81" spans="1:12">
      <c r="A81" s="722" t="s">
        <v>82</v>
      </c>
      <c r="B81" s="722">
        <v>430</v>
      </c>
      <c r="C81" s="723">
        <v>127</v>
      </c>
      <c r="D81" s="723">
        <v>80</v>
      </c>
      <c r="E81" s="723">
        <v>0</v>
      </c>
      <c r="F81" s="723">
        <v>0</v>
      </c>
      <c r="G81" s="723">
        <v>207</v>
      </c>
      <c r="H81" s="724">
        <v>39760.818636513679</v>
      </c>
      <c r="I81" s="724">
        <v>25046.184967882633</v>
      </c>
      <c r="J81" s="724">
        <v>0</v>
      </c>
      <c r="K81" s="724">
        <v>0</v>
      </c>
      <c r="L81" s="724">
        <v>64807.003604396312</v>
      </c>
    </row>
    <row r="82" spans="1:12">
      <c r="A82" s="722" t="s">
        <v>82</v>
      </c>
      <c r="B82" s="722">
        <v>501</v>
      </c>
      <c r="C82" s="723">
        <v>1</v>
      </c>
      <c r="D82" s="723">
        <v>0</v>
      </c>
      <c r="E82" s="723">
        <v>0</v>
      </c>
      <c r="F82" s="723">
        <v>0</v>
      </c>
      <c r="G82" s="723">
        <v>1</v>
      </c>
      <c r="H82" s="724">
        <v>313.0773120985329</v>
      </c>
      <c r="I82" s="724">
        <v>0</v>
      </c>
      <c r="J82" s="724">
        <v>0</v>
      </c>
      <c r="K82" s="724">
        <v>0</v>
      </c>
      <c r="L82" s="724">
        <v>313.0773120985329</v>
      </c>
    </row>
    <row r="83" spans="1:12">
      <c r="A83" s="722" t="s">
        <v>82</v>
      </c>
      <c r="B83" s="722">
        <v>560</v>
      </c>
      <c r="C83" s="723">
        <v>2</v>
      </c>
      <c r="D83" s="723">
        <v>0</v>
      </c>
      <c r="E83" s="723">
        <v>0</v>
      </c>
      <c r="F83" s="723">
        <v>0</v>
      </c>
      <c r="G83" s="723">
        <v>2</v>
      </c>
      <c r="H83" s="724">
        <v>626.1546241970658</v>
      </c>
      <c r="I83" s="724">
        <v>0</v>
      </c>
      <c r="J83" s="724">
        <v>0</v>
      </c>
      <c r="K83" s="724">
        <v>0</v>
      </c>
      <c r="L83" s="724">
        <v>626.1546241970658</v>
      </c>
    </row>
    <row r="84" spans="1:12">
      <c r="A84" s="722" t="s">
        <v>82</v>
      </c>
      <c r="B84" s="722">
        <v>656</v>
      </c>
      <c r="C84" s="723">
        <v>26</v>
      </c>
      <c r="D84" s="723">
        <v>1</v>
      </c>
      <c r="E84" s="723">
        <v>0</v>
      </c>
      <c r="F84" s="723">
        <v>0</v>
      </c>
      <c r="G84" s="723">
        <v>27</v>
      </c>
      <c r="H84" s="724">
        <v>8140.0101145618546</v>
      </c>
      <c r="I84" s="724">
        <v>313.0773120985329</v>
      </c>
      <c r="J84" s="724">
        <v>0</v>
      </c>
      <c r="K84" s="724">
        <v>0</v>
      </c>
      <c r="L84" s="724">
        <v>8453.0874266603878</v>
      </c>
    </row>
    <row r="85" spans="1:12">
      <c r="A85" s="722" t="s">
        <v>82</v>
      </c>
      <c r="B85" s="722">
        <v>711</v>
      </c>
      <c r="C85" s="723">
        <v>3</v>
      </c>
      <c r="D85" s="723">
        <v>0</v>
      </c>
      <c r="E85" s="723">
        <v>0</v>
      </c>
      <c r="F85" s="723">
        <v>0</v>
      </c>
      <c r="G85" s="723">
        <v>3</v>
      </c>
      <c r="H85" s="724">
        <v>939.23193629559864</v>
      </c>
      <c r="I85" s="724">
        <v>0</v>
      </c>
      <c r="J85" s="724">
        <v>0</v>
      </c>
      <c r="K85" s="724">
        <v>0</v>
      </c>
      <c r="L85" s="724">
        <v>939.23193629559864</v>
      </c>
    </row>
    <row r="86" spans="1:12">
      <c r="A86" s="722" t="s">
        <v>83</v>
      </c>
      <c r="B86" s="722">
        <v>101</v>
      </c>
      <c r="C86" s="723">
        <v>0</v>
      </c>
      <c r="D86" s="723">
        <v>1</v>
      </c>
      <c r="E86" s="723">
        <v>0</v>
      </c>
      <c r="F86" s="723">
        <v>0</v>
      </c>
      <c r="G86" s="723">
        <v>1</v>
      </c>
      <c r="H86" s="724">
        <v>0</v>
      </c>
      <c r="I86" s="724">
        <v>124.89196377439347</v>
      </c>
      <c r="J86" s="724">
        <v>0</v>
      </c>
      <c r="K86" s="724">
        <v>0</v>
      </c>
      <c r="L86" s="724">
        <v>124.89196377439347</v>
      </c>
    </row>
    <row r="87" spans="1:12">
      <c r="A87" s="722" t="s">
        <v>83</v>
      </c>
      <c r="B87" s="722">
        <v>110</v>
      </c>
      <c r="C87" s="723">
        <v>6</v>
      </c>
      <c r="D87" s="723">
        <v>19</v>
      </c>
      <c r="E87" s="723">
        <v>0</v>
      </c>
      <c r="F87" s="723">
        <v>0</v>
      </c>
      <c r="G87" s="723">
        <v>25</v>
      </c>
      <c r="H87" s="724">
        <v>749.35178264636079</v>
      </c>
      <c r="I87" s="724">
        <v>2372.9473117134758</v>
      </c>
      <c r="J87" s="724">
        <v>0</v>
      </c>
      <c r="K87" s="724">
        <v>0</v>
      </c>
      <c r="L87" s="724">
        <v>3122.2990943598365</v>
      </c>
    </row>
    <row r="88" spans="1:12">
      <c r="A88" s="722" t="s">
        <v>83</v>
      </c>
      <c r="B88" s="722">
        <v>160</v>
      </c>
      <c r="C88" s="723">
        <v>0</v>
      </c>
      <c r="D88" s="723">
        <v>1</v>
      </c>
      <c r="E88" s="723">
        <v>0</v>
      </c>
      <c r="F88" s="723">
        <v>0</v>
      </c>
      <c r="G88" s="723">
        <v>1</v>
      </c>
      <c r="H88" s="724">
        <v>0</v>
      </c>
      <c r="I88" s="724">
        <v>124.89196377439347</v>
      </c>
      <c r="J88" s="724">
        <v>0</v>
      </c>
      <c r="K88" s="724">
        <v>0</v>
      </c>
      <c r="L88" s="724">
        <v>124.89196377439347</v>
      </c>
    </row>
    <row r="89" spans="1:12">
      <c r="A89" s="722" t="s">
        <v>83</v>
      </c>
      <c r="B89" s="722">
        <v>191</v>
      </c>
      <c r="C89" s="723">
        <v>0</v>
      </c>
      <c r="D89" s="723">
        <v>11</v>
      </c>
      <c r="E89" s="723">
        <v>0</v>
      </c>
      <c r="F89" s="723">
        <v>0</v>
      </c>
      <c r="G89" s="723">
        <v>11</v>
      </c>
      <c r="H89" s="724">
        <v>0</v>
      </c>
      <c r="I89" s="724">
        <v>1373.8116015183282</v>
      </c>
      <c r="J89" s="724">
        <v>0</v>
      </c>
      <c r="K89" s="724">
        <v>0</v>
      </c>
      <c r="L89" s="724">
        <v>1373.8116015183282</v>
      </c>
    </row>
    <row r="90" spans="1:12">
      <c r="A90" s="722" t="s">
        <v>83</v>
      </c>
      <c r="B90" s="722">
        <v>314</v>
      </c>
      <c r="C90" s="723">
        <v>3</v>
      </c>
      <c r="D90" s="723">
        <v>2</v>
      </c>
      <c r="E90" s="723">
        <v>0</v>
      </c>
      <c r="F90" s="723">
        <v>0</v>
      </c>
      <c r="G90" s="723">
        <v>5</v>
      </c>
      <c r="H90" s="724">
        <v>374.67589132318045</v>
      </c>
      <c r="I90" s="724">
        <v>249.78392754878695</v>
      </c>
      <c r="J90" s="724">
        <v>0</v>
      </c>
      <c r="K90" s="724">
        <v>0</v>
      </c>
      <c r="L90" s="724">
        <v>624.4598188719674</v>
      </c>
    </row>
    <row r="91" spans="1:12">
      <c r="A91" s="722" t="s">
        <v>83</v>
      </c>
      <c r="B91" s="722">
        <v>400</v>
      </c>
      <c r="C91" s="723">
        <v>672</v>
      </c>
      <c r="D91" s="723">
        <v>1810</v>
      </c>
      <c r="E91" s="723">
        <v>0</v>
      </c>
      <c r="F91" s="723">
        <v>0</v>
      </c>
      <c r="G91" s="723">
        <v>2482</v>
      </c>
      <c r="H91" s="724">
        <v>83927.399656392401</v>
      </c>
      <c r="I91" s="724">
        <v>226054.45443165215</v>
      </c>
      <c r="J91" s="724">
        <v>0</v>
      </c>
      <c r="K91" s="724">
        <v>0</v>
      </c>
      <c r="L91" s="724">
        <v>309981.85408804455</v>
      </c>
    </row>
    <row r="92" spans="1:12">
      <c r="A92" s="722" t="s">
        <v>83</v>
      </c>
      <c r="B92" s="722">
        <v>401</v>
      </c>
      <c r="C92" s="723">
        <v>61</v>
      </c>
      <c r="D92" s="723">
        <v>1331</v>
      </c>
      <c r="E92" s="723">
        <v>0</v>
      </c>
      <c r="F92" s="723">
        <v>0</v>
      </c>
      <c r="G92" s="723">
        <v>1392</v>
      </c>
      <c r="H92" s="724">
        <v>7618.4097902380017</v>
      </c>
      <c r="I92" s="724">
        <v>166231.2037837177</v>
      </c>
      <c r="J92" s="724">
        <v>0</v>
      </c>
      <c r="K92" s="724">
        <v>0</v>
      </c>
      <c r="L92" s="724">
        <v>173849.61357395572</v>
      </c>
    </row>
    <row r="93" spans="1:12">
      <c r="A93" s="722" t="s">
        <v>83</v>
      </c>
      <c r="B93" s="722">
        <v>410</v>
      </c>
      <c r="C93" s="723">
        <v>3</v>
      </c>
      <c r="D93" s="723">
        <v>20</v>
      </c>
      <c r="E93" s="723">
        <v>0</v>
      </c>
      <c r="F93" s="723">
        <v>0</v>
      </c>
      <c r="G93" s="723">
        <v>23</v>
      </c>
      <c r="H93" s="724">
        <v>374.67589132318039</v>
      </c>
      <c r="I93" s="724">
        <v>2497.8392754878696</v>
      </c>
      <c r="J93" s="724">
        <v>0</v>
      </c>
      <c r="K93" s="724">
        <v>0</v>
      </c>
      <c r="L93" s="724">
        <v>2872.5151668110498</v>
      </c>
    </row>
    <row r="94" spans="1:12">
      <c r="A94" s="722" t="s">
        <v>83</v>
      </c>
      <c r="B94" s="722">
        <v>420</v>
      </c>
      <c r="C94" s="723">
        <v>387</v>
      </c>
      <c r="D94" s="723">
        <v>45</v>
      </c>
      <c r="E94" s="723">
        <v>0</v>
      </c>
      <c r="F94" s="723">
        <v>0</v>
      </c>
      <c r="G94" s="723">
        <v>432</v>
      </c>
      <c r="H94" s="724">
        <v>48333.189980690273</v>
      </c>
      <c r="I94" s="724">
        <v>5620.1383698477066</v>
      </c>
      <c r="J94" s="724">
        <v>0</v>
      </c>
      <c r="K94" s="724">
        <v>0</v>
      </c>
      <c r="L94" s="724">
        <v>53953.32835053798</v>
      </c>
    </row>
    <row r="95" spans="1:12">
      <c r="A95" s="722" t="s">
        <v>83</v>
      </c>
      <c r="B95" s="722">
        <v>421</v>
      </c>
      <c r="C95" s="723">
        <v>22</v>
      </c>
      <c r="D95" s="723">
        <v>46</v>
      </c>
      <c r="E95" s="723">
        <v>0</v>
      </c>
      <c r="F95" s="723">
        <v>0</v>
      </c>
      <c r="G95" s="723">
        <v>68</v>
      </c>
      <c r="H95" s="724">
        <v>2747.6232030366559</v>
      </c>
      <c r="I95" s="724">
        <v>5745.0303336220995</v>
      </c>
      <c r="J95" s="724">
        <v>0</v>
      </c>
      <c r="K95" s="724">
        <v>0</v>
      </c>
      <c r="L95" s="724">
        <v>8492.6535366587559</v>
      </c>
    </row>
    <row r="96" spans="1:12">
      <c r="A96" s="722" t="s">
        <v>83</v>
      </c>
      <c r="B96" s="722">
        <v>812</v>
      </c>
      <c r="C96" s="723">
        <v>0</v>
      </c>
      <c r="D96" s="723">
        <v>5</v>
      </c>
      <c r="E96" s="723">
        <v>0</v>
      </c>
      <c r="F96" s="723">
        <v>0</v>
      </c>
      <c r="G96" s="723">
        <v>5</v>
      </c>
      <c r="H96" s="724">
        <v>0</v>
      </c>
      <c r="I96" s="724">
        <v>624.4598188719674</v>
      </c>
      <c r="J96" s="724">
        <v>0</v>
      </c>
      <c r="K96" s="724">
        <v>0</v>
      </c>
      <c r="L96" s="724">
        <v>624.4598188719674</v>
      </c>
    </row>
    <row r="97" spans="1:12">
      <c r="A97" s="722" t="s">
        <v>84</v>
      </c>
      <c r="B97" s="722">
        <v>100</v>
      </c>
      <c r="C97" s="723">
        <v>0</v>
      </c>
      <c r="D97" s="723">
        <v>1</v>
      </c>
      <c r="E97" s="723">
        <v>0</v>
      </c>
      <c r="F97" s="723">
        <v>0</v>
      </c>
      <c r="G97" s="723">
        <v>1</v>
      </c>
      <c r="H97" s="724">
        <v>0</v>
      </c>
      <c r="I97" s="724">
        <v>132.38030302882251</v>
      </c>
      <c r="J97" s="724">
        <v>0</v>
      </c>
      <c r="K97" s="724">
        <v>0</v>
      </c>
      <c r="L97" s="724">
        <v>132.38030302882251</v>
      </c>
    </row>
    <row r="98" spans="1:12">
      <c r="A98" s="722" t="s">
        <v>84</v>
      </c>
      <c r="B98" s="722">
        <v>110</v>
      </c>
      <c r="C98" s="723">
        <v>16</v>
      </c>
      <c r="D98" s="723">
        <v>206</v>
      </c>
      <c r="E98" s="723">
        <v>0</v>
      </c>
      <c r="F98" s="723">
        <v>0</v>
      </c>
      <c r="G98" s="723">
        <v>222</v>
      </c>
      <c r="H98" s="724">
        <v>2118.0848484611602</v>
      </c>
      <c r="I98" s="724">
        <v>27270.34242393744</v>
      </c>
      <c r="J98" s="724">
        <v>0</v>
      </c>
      <c r="K98" s="724">
        <v>0</v>
      </c>
      <c r="L98" s="724">
        <v>29388.4272723986</v>
      </c>
    </row>
    <row r="99" spans="1:12">
      <c r="A99" s="722" t="s">
        <v>84</v>
      </c>
      <c r="B99" s="722">
        <v>120</v>
      </c>
      <c r="C99" s="723">
        <v>67</v>
      </c>
      <c r="D99" s="723">
        <v>35</v>
      </c>
      <c r="E99" s="723">
        <v>0</v>
      </c>
      <c r="F99" s="723">
        <v>0</v>
      </c>
      <c r="G99" s="723">
        <v>102</v>
      </c>
      <c r="H99" s="724">
        <v>8869.4803029311079</v>
      </c>
      <c r="I99" s="724">
        <v>4633.3106060087885</v>
      </c>
      <c r="J99" s="724">
        <v>0</v>
      </c>
      <c r="K99" s="724">
        <v>0</v>
      </c>
      <c r="L99" s="724">
        <v>13502.790908939896</v>
      </c>
    </row>
    <row r="100" spans="1:12">
      <c r="A100" s="722" t="s">
        <v>84</v>
      </c>
      <c r="B100" s="722">
        <v>300</v>
      </c>
      <c r="C100" s="723">
        <v>799</v>
      </c>
      <c r="D100" s="723">
        <v>532</v>
      </c>
      <c r="E100" s="723">
        <v>0</v>
      </c>
      <c r="F100" s="723">
        <v>0</v>
      </c>
      <c r="G100" s="723">
        <v>1331</v>
      </c>
      <c r="H100" s="724">
        <v>105771.8621200292</v>
      </c>
      <c r="I100" s="724">
        <v>70426.32121133359</v>
      </c>
      <c r="J100" s="724">
        <v>0</v>
      </c>
      <c r="K100" s="724">
        <v>0</v>
      </c>
      <c r="L100" s="724">
        <v>176198.18333136279</v>
      </c>
    </row>
    <row r="101" spans="1:12">
      <c r="A101" s="722" t="s">
        <v>84</v>
      </c>
      <c r="B101" s="722">
        <v>301</v>
      </c>
      <c r="C101" s="723">
        <v>3</v>
      </c>
      <c r="D101" s="723">
        <v>0</v>
      </c>
      <c r="E101" s="723">
        <v>0</v>
      </c>
      <c r="F101" s="723">
        <v>0</v>
      </c>
      <c r="G101" s="723">
        <v>3</v>
      </c>
      <c r="H101" s="724">
        <v>397.1409090864675</v>
      </c>
      <c r="I101" s="724">
        <v>0</v>
      </c>
      <c r="J101" s="724">
        <v>0</v>
      </c>
      <c r="K101" s="724">
        <v>0</v>
      </c>
      <c r="L101" s="724">
        <v>397.14090908646756</v>
      </c>
    </row>
    <row r="102" spans="1:12">
      <c r="A102" s="722" t="s">
        <v>84</v>
      </c>
      <c r="B102" s="722">
        <v>302</v>
      </c>
      <c r="C102" s="723">
        <v>1</v>
      </c>
      <c r="D102" s="723">
        <v>0</v>
      </c>
      <c r="E102" s="723">
        <v>0</v>
      </c>
      <c r="F102" s="723">
        <v>0</v>
      </c>
      <c r="G102" s="723">
        <v>1</v>
      </c>
      <c r="H102" s="724">
        <v>132.38030302882251</v>
      </c>
      <c r="I102" s="724">
        <v>0</v>
      </c>
      <c r="J102" s="724">
        <v>0</v>
      </c>
      <c r="K102" s="724">
        <v>0</v>
      </c>
      <c r="L102" s="724">
        <v>132.38030302882251</v>
      </c>
    </row>
    <row r="103" spans="1:12">
      <c r="A103" s="722" t="s">
        <v>84</v>
      </c>
      <c r="B103" s="722">
        <v>303</v>
      </c>
      <c r="C103" s="723">
        <v>5</v>
      </c>
      <c r="D103" s="723">
        <v>1</v>
      </c>
      <c r="E103" s="723">
        <v>0</v>
      </c>
      <c r="F103" s="723">
        <v>0</v>
      </c>
      <c r="G103" s="723">
        <v>6</v>
      </c>
      <c r="H103" s="724">
        <v>661.90151514411264</v>
      </c>
      <c r="I103" s="724">
        <v>132.38030302882251</v>
      </c>
      <c r="J103" s="724">
        <v>0</v>
      </c>
      <c r="K103" s="724">
        <v>0</v>
      </c>
      <c r="L103" s="724">
        <v>794.28181817293512</v>
      </c>
    </row>
    <row r="104" spans="1:12">
      <c r="A104" s="722" t="s">
        <v>84</v>
      </c>
      <c r="B104" s="722">
        <v>310</v>
      </c>
      <c r="C104" s="723">
        <v>1</v>
      </c>
      <c r="D104" s="723">
        <v>1</v>
      </c>
      <c r="E104" s="723">
        <v>0</v>
      </c>
      <c r="F104" s="723">
        <v>0</v>
      </c>
      <c r="G104" s="723">
        <v>2</v>
      </c>
      <c r="H104" s="724">
        <v>132.38030302882251</v>
      </c>
      <c r="I104" s="724">
        <v>132.38030302882251</v>
      </c>
      <c r="J104" s="724">
        <v>0</v>
      </c>
      <c r="K104" s="724">
        <v>0</v>
      </c>
      <c r="L104" s="724">
        <v>264.76060605764502</v>
      </c>
    </row>
    <row r="105" spans="1:12">
      <c r="A105" s="722" t="s">
        <v>84</v>
      </c>
      <c r="B105" s="722">
        <v>320</v>
      </c>
      <c r="C105" s="723">
        <v>1314</v>
      </c>
      <c r="D105" s="723">
        <v>660</v>
      </c>
      <c r="E105" s="723">
        <v>0</v>
      </c>
      <c r="F105" s="723">
        <v>0</v>
      </c>
      <c r="G105" s="723">
        <v>1974</v>
      </c>
      <c r="H105" s="724">
        <v>173947.71817987278</v>
      </c>
      <c r="I105" s="724">
        <v>87370.999999022868</v>
      </c>
      <c r="J105" s="724">
        <v>0</v>
      </c>
      <c r="K105" s="724">
        <v>0</v>
      </c>
      <c r="L105" s="724">
        <v>261318.71817889565</v>
      </c>
    </row>
    <row r="106" spans="1:12">
      <c r="A106" s="722" t="s">
        <v>84</v>
      </c>
      <c r="B106" s="722">
        <v>340</v>
      </c>
      <c r="C106" s="723">
        <v>136</v>
      </c>
      <c r="D106" s="723">
        <v>694</v>
      </c>
      <c r="E106" s="723">
        <v>0</v>
      </c>
      <c r="F106" s="723">
        <v>0</v>
      </c>
      <c r="G106" s="723">
        <v>830</v>
      </c>
      <c r="H106" s="724">
        <v>18003.721211919863</v>
      </c>
      <c r="I106" s="724">
        <v>91871.930302002831</v>
      </c>
      <c r="J106" s="724">
        <v>0</v>
      </c>
      <c r="K106" s="724">
        <v>0</v>
      </c>
      <c r="L106" s="724">
        <v>109875.6515139227</v>
      </c>
    </row>
    <row r="107" spans="1:12">
      <c r="A107" s="722" t="s">
        <v>84</v>
      </c>
      <c r="B107" s="722">
        <v>341</v>
      </c>
      <c r="C107" s="723">
        <v>2475</v>
      </c>
      <c r="D107" s="723">
        <v>415</v>
      </c>
      <c r="E107" s="723">
        <v>0</v>
      </c>
      <c r="F107" s="723">
        <v>0</v>
      </c>
      <c r="G107" s="723">
        <v>2890</v>
      </c>
      <c r="H107" s="724">
        <v>327641.24999633571</v>
      </c>
      <c r="I107" s="724">
        <v>54937.825756961342</v>
      </c>
      <c r="J107" s="724">
        <v>0</v>
      </c>
      <c r="K107" s="724">
        <v>0</v>
      </c>
      <c r="L107" s="724">
        <v>382579.07575329707</v>
      </c>
    </row>
    <row r="108" spans="1:12">
      <c r="A108" s="722" t="s">
        <v>84</v>
      </c>
      <c r="B108" s="722">
        <v>400</v>
      </c>
      <c r="C108" s="723">
        <v>6</v>
      </c>
      <c r="D108" s="723">
        <v>14</v>
      </c>
      <c r="E108" s="723">
        <v>0</v>
      </c>
      <c r="F108" s="723">
        <v>0</v>
      </c>
      <c r="G108" s="723">
        <v>20</v>
      </c>
      <c r="H108" s="724">
        <v>794.281818172935</v>
      </c>
      <c r="I108" s="724">
        <v>1853.324242403515</v>
      </c>
      <c r="J108" s="724">
        <v>0</v>
      </c>
      <c r="K108" s="724">
        <v>0</v>
      </c>
      <c r="L108" s="724">
        <v>2647.6060605764501</v>
      </c>
    </row>
    <row r="109" spans="1:12">
      <c r="A109" s="722" t="s">
        <v>84</v>
      </c>
      <c r="B109" s="722">
        <v>401</v>
      </c>
      <c r="C109" s="723">
        <v>0</v>
      </c>
      <c r="D109" s="723">
        <v>2</v>
      </c>
      <c r="E109" s="723">
        <v>0</v>
      </c>
      <c r="F109" s="723">
        <v>0</v>
      </c>
      <c r="G109" s="723">
        <v>2</v>
      </c>
      <c r="H109" s="724">
        <v>0</v>
      </c>
      <c r="I109" s="724">
        <v>264.76060605764502</v>
      </c>
      <c r="J109" s="724">
        <v>0</v>
      </c>
      <c r="K109" s="724">
        <v>0</v>
      </c>
      <c r="L109" s="724">
        <v>264.76060605764502</v>
      </c>
    </row>
    <row r="110" spans="1:12">
      <c r="A110" s="722" t="s">
        <v>84</v>
      </c>
      <c r="B110" s="722">
        <v>410</v>
      </c>
      <c r="C110" s="723">
        <v>1</v>
      </c>
      <c r="D110" s="723">
        <v>1</v>
      </c>
      <c r="E110" s="723">
        <v>0</v>
      </c>
      <c r="F110" s="723">
        <v>0</v>
      </c>
      <c r="G110" s="723">
        <v>2</v>
      </c>
      <c r="H110" s="724">
        <v>132.38030302882251</v>
      </c>
      <c r="I110" s="724">
        <v>132.38030302882251</v>
      </c>
      <c r="J110" s="724">
        <v>0</v>
      </c>
      <c r="K110" s="724">
        <v>0</v>
      </c>
      <c r="L110" s="724">
        <v>264.76060605764502</v>
      </c>
    </row>
    <row r="111" spans="1:12">
      <c r="A111" s="722" t="s">
        <v>84</v>
      </c>
      <c r="B111" s="722">
        <v>430</v>
      </c>
      <c r="C111" s="723">
        <v>1</v>
      </c>
      <c r="D111" s="723">
        <v>1</v>
      </c>
      <c r="E111" s="723">
        <v>0</v>
      </c>
      <c r="F111" s="723">
        <v>0</v>
      </c>
      <c r="G111" s="723">
        <v>2</v>
      </c>
      <c r="H111" s="724">
        <v>132.38030302882251</v>
      </c>
      <c r="I111" s="724">
        <v>132.38030302882251</v>
      </c>
      <c r="J111" s="724">
        <v>0</v>
      </c>
      <c r="K111" s="724">
        <v>0</v>
      </c>
      <c r="L111" s="724">
        <v>264.76060605764502</v>
      </c>
    </row>
    <row r="112" spans="1:12">
      <c r="A112" s="722" t="s">
        <v>84</v>
      </c>
      <c r="B112" s="722">
        <v>840</v>
      </c>
      <c r="C112" s="723">
        <v>4</v>
      </c>
      <c r="D112" s="723">
        <v>6</v>
      </c>
      <c r="E112" s="723">
        <v>0</v>
      </c>
      <c r="F112" s="723">
        <v>0</v>
      </c>
      <c r="G112" s="723">
        <v>10</v>
      </c>
      <c r="H112" s="724">
        <v>529.52121211529004</v>
      </c>
      <c r="I112" s="724">
        <v>794.281818172935</v>
      </c>
      <c r="J112" s="724">
        <v>0</v>
      </c>
      <c r="K112" s="724">
        <v>0</v>
      </c>
      <c r="L112" s="724">
        <v>1323.803030288225</v>
      </c>
    </row>
    <row r="113" spans="1:12">
      <c r="A113" s="722" t="s">
        <v>85</v>
      </c>
      <c r="B113" s="722">
        <v>110</v>
      </c>
      <c r="C113" s="723">
        <v>2</v>
      </c>
      <c r="D113" s="723">
        <v>0</v>
      </c>
      <c r="E113" s="723">
        <v>0</v>
      </c>
      <c r="F113" s="723">
        <v>0</v>
      </c>
      <c r="G113" s="723">
        <v>2</v>
      </c>
      <c r="H113" s="724">
        <v>670.21251373221241</v>
      </c>
      <c r="I113" s="724">
        <v>0</v>
      </c>
      <c r="J113" s="724">
        <v>0</v>
      </c>
      <c r="K113" s="724">
        <v>0</v>
      </c>
      <c r="L113" s="724">
        <v>670.21251373221241</v>
      </c>
    </row>
    <row r="114" spans="1:12">
      <c r="A114" s="722" t="s">
        <v>85</v>
      </c>
      <c r="B114" s="722">
        <v>120</v>
      </c>
      <c r="C114" s="723">
        <v>0</v>
      </c>
      <c r="D114" s="723">
        <v>1</v>
      </c>
      <c r="E114" s="723">
        <v>0</v>
      </c>
      <c r="F114" s="723">
        <v>0</v>
      </c>
      <c r="G114" s="723">
        <v>1</v>
      </c>
      <c r="H114" s="724">
        <v>0</v>
      </c>
      <c r="I114" s="724">
        <v>335.10625686610621</v>
      </c>
      <c r="J114" s="724">
        <v>0</v>
      </c>
      <c r="K114" s="724">
        <v>0</v>
      </c>
      <c r="L114" s="724">
        <v>335.10625686610621</v>
      </c>
    </row>
    <row r="115" spans="1:12">
      <c r="A115" s="722" t="s">
        <v>85</v>
      </c>
      <c r="B115" s="722">
        <v>300</v>
      </c>
      <c r="C115" s="723">
        <v>0</v>
      </c>
      <c r="D115" s="723">
        <v>3</v>
      </c>
      <c r="E115" s="723">
        <v>0</v>
      </c>
      <c r="F115" s="723">
        <v>0</v>
      </c>
      <c r="G115" s="723">
        <v>3</v>
      </c>
      <c r="H115" s="724">
        <v>0</v>
      </c>
      <c r="I115" s="724">
        <v>1005.3187705983187</v>
      </c>
      <c r="J115" s="724">
        <v>0</v>
      </c>
      <c r="K115" s="724">
        <v>0</v>
      </c>
      <c r="L115" s="724">
        <v>1005.3187705983187</v>
      </c>
    </row>
    <row r="116" spans="1:12">
      <c r="A116" s="722" t="s">
        <v>85</v>
      </c>
      <c r="B116" s="722">
        <v>320</v>
      </c>
      <c r="C116" s="723">
        <v>9</v>
      </c>
      <c r="D116" s="723">
        <v>5</v>
      </c>
      <c r="E116" s="723">
        <v>0</v>
      </c>
      <c r="F116" s="723">
        <v>0</v>
      </c>
      <c r="G116" s="723">
        <v>14</v>
      </c>
      <c r="H116" s="724">
        <v>3015.956311794956</v>
      </c>
      <c r="I116" s="724">
        <v>1675.5312843305312</v>
      </c>
      <c r="J116" s="724">
        <v>0</v>
      </c>
      <c r="K116" s="724">
        <v>0</v>
      </c>
      <c r="L116" s="724">
        <v>4691.4875961254875</v>
      </c>
    </row>
    <row r="117" spans="1:12">
      <c r="A117" s="722" t="s">
        <v>85</v>
      </c>
      <c r="B117" s="722">
        <v>321</v>
      </c>
      <c r="C117" s="723">
        <v>2</v>
      </c>
      <c r="D117" s="723">
        <v>1</v>
      </c>
      <c r="E117" s="723">
        <v>0</v>
      </c>
      <c r="F117" s="723">
        <v>0</v>
      </c>
      <c r="G117" s="723">
        <v>3</v>
      </c>
      <c r="H117" s="724">
        <v>670.21251373221241</v>
      </c>
      <c r="I117" s="724">
        <v>335.10625686610621</v>
      </c>
      <c r="J117" s="724">
        <v>0</v>
      </c>
      <c r="K117" s="724">
        <v>0</v>
      </c>
      <c r="L117" s="724">
        <v>1005.3187705983187</v>
      </c>
    </row>
    <row r="118" spans="1:12">
      <c r="A118" s="722" t="s">
        <v>85</v>
      </c>
      <c r="B118" s="722">
        <v>340</v>
      </c>
      <c r="C118" s="723">
        <v>4</v>
      </c>
      <c r="D118" s="723">
        <v>7</v>
      </c>
      <c r="E118" s="723">
        <v>0</v>
      </c>
      <c r="F118" s="723">
        <v>0</v>
      </c>
      <c r="G118" s="723">
        <v>11</v>
      </c>
      <c r="H118" s="724">
        <v>1340.4250274644251</v>
      </c>
      <c r="I118" s="724">
        <v>2345.7437980627437</v>
      </c>
      <c r="J118" s="724">
        <v>0</v>
      </c>
      <c r="K118" s="724">
        <v>0</v>
      </c>
      <c r="L118" s="724">
        <v>3686.1688255271688</v>
      </c>
    </row>
    <row r="119" spans="1:12">
      <c r="A119" s="722" t="s">
        <v>85</v>
      </c>
      <c r="B119" s="722">
        <v>341</v>
      </c>
      <c r="C119" s="723">
        <v>5</v>
      </c>
      <c r="D119" s="723">
        <v>2</v>
      </c>
      <c r="E119" s="723">
        <v>0</v>
      </c>
      <c r="F119" s="723">
        <v>0</v>
      </c>
      <c r="G119" s="723">
        <v>7</v>
      </c>
      <c r="H119" s="724">
        <v>1675.5312843305312</v>
      </c>
      <c r="I119" s="724">
        <v>670.21251373221253</v>
      </c>
      <c r="J119" s="724">
        <v>0</v>
      </c>
      <c r="K119" s="724">
        <v>0</v>
      </c>
      <c r="L119" s="724">
        <v>2345.7437980627437</v>
      </c>
    </row>
    <row r="120" spans="1:12">
      <c r="A120" s="722" t="s">
        <v>85</v>
      </c>
      <c r="B120" s="722">
        <v>401</v>
      </c>
      <c r="C120" s="723">
        <v>0</v>
      </c>
      <c r="D120" s="723">
        <v>1</v>
      </c>
      <c r="E120" s="723">
        <v>0</v>
      </c>
      <c r="F120" s="723">
        <v>0</v>
      </c>
      <c r="G120" s="723">
        <v>1</v>
      </c>
      <c r="H120" s="724">
        <v>0</v>
      </c>
      <c r="I120" s="724">
        <v>335.10625686610621</v>
      </c>
      <c r="J120" s="724">
        <v>0</v>
      </c>
      <c r="K120" s="724">
        <v>0</v>
      </c>
      <c r="L120" s="724">
        <v>335.10625686610621</v>
      </c>
    </row>
    <row r="121" spans="1:12">
      <c r="A121" s="722" t="s">
        <v>85</v>
      </c>
      <c r="B121" s="722">
        <v>420</v>
      </c>
      <c r="C121" s="723">
        <v>48</v>
      </c>
      <c r="D121" s="723">
        <v>50</v>
      </c>
      <c r="E121" s="723">
        <v>0</v>
      </c>
      <c r="F121" s="723">
        <v>0</v>
      </c>
      <c r="G121" s="723">
        <v>98</v>
      </c>
      <c r="H121" s="724">
        <v>16085.100329573101</v>
      </c>
      <c r="I121" s="724">
        <v>16755.312843305313</v>
      </c>
      <c r="J121" s="724">
        <v>0</v>
      </c>
      <c r="K121" s="724">
        <v>0</v>
      </c>
      <c r="L121" s="724">
        <v>32840.413172878412</v>
      </c>
    </row>
    <row r="122" spans="1:12">
      <c r="A122" s="722" t="s">
        <v>85</v>
      </c>
      <c r="B122" s="722">
        <v>421</v>
      </c>
      <c r="C122" s="723">
        <v>3</v>
      </c>
      <c r="D122" s="723">
        <v>1</v>
      </c>
      <c r="E122" s="723">
        <v>0</v>
      </c>
      <c r="F122" s="723">
        <v>0</v>
      </c>
      <c r="G122" s="723">
        <v>4</v>
      </c>
      <c r="H122" s="724">
        <v>1005.3187705983187</v>
      </c>
      <c r="I122" s="724">
        <v>335.10625686610621</v>
      </c>
      <c r="J122" s="724">
        <v>0</v>
      </c>
      <c r="K122" s="724">
        <v>0</v>
      </c>
      <c r="L122" s="724">
        <v>1340.4250274644248</v>
      </c>
    </row>
    <row r="123" spans="1:12">
      <c r="A123" s="722" t="s">
        <v>86</v>
      </c>
      <c r="B123" s="722">
        <v>191</v>
      </c>
      <c r="C123" s="723">
        <v>12</v>
      </c>
      <c r="D123" s="723">
        <v>5</v>
      </c>
      <c r="E123" s="723">
        <v>0</v>
      </c>
      <c r="F123" s="723">
        <v>0</v>
      </c>
      <c r="G123" s="723">
        <v>17</v>
      </c>
      <c r="H123" s="724">
        <v>2040.827504990506</v>
      </c>
      <c r="I123" s="724">
        <v>850.34479374604416</v>
      </c>
      <c r="J123" s="724">
        <v>0</v>
      </c>
      <c r="K123" s="724">
        <v>0</v>
      </c>
      <c r="L123" s="724">
        <v>2891.1722987365501</v>
      </c>
    </row>
    <row r="124" spans="1:12">
      <c r="A124" s="722" t="s">
        <v>87</v>
      </c>
      <c r="B124" s="722">
        <v>110</v>
      </c>
      <c r="C124" s="723">
        <v>8</v>
      </c>
      <c r="D124" s="723">
        <v>2</v>
      </c>
      <c r="E124" s="723">
        <v>0</v>
      </c>
      <c r="F124" s="723">
        <v>0</v>
      </c>
      <c r="G124" s="723">
        <v>10</v>
      </c>
      <c r="H124" s="724">
        <v>787.38021274255766</v>
      </c>
      <c r="I124" s="724">
        <v>196.84505318563942</v>
      </c>
      <c r="J124" s="724">
        <v>0</v>
      </c>
      <c r="K124" s="724">
        <v>0</v>
      </c>
      <c r="L124" s="724">
        <v>984.22526592819713</v>
      </c>
    </row>
    <row r="125" spans="1:12">
      <c r="A125" s="722" t="s">
        <v>87</v>
      </c>
      <c r="B125" s="722">
        <v>130</v>
      </c>
      <c r="C125" s="723">
        <v>1</v>
      </c>
      <c r="D125" s="723">
        <v>0</v>
      </c>
      <c r="E125" s="723">
        <v>0</v>
      </c>
      <c r="F125" s="723">
        <v>0</v>
      </c>
      <c r="G125" s="723">
        <v>1</v>
      </c>
      <c r="H125" s="724">
        <v>98.422526592819722</v>
      </c>
      <c r="I125" s="724">
        <v>0</v>
      </c>
      <c r="J125" s="724">
        <v>0</v>
      </c>
      <c r="K125" s="724">
        <v>0</v>
      </c>
      <c r="L125" s="724">
        <v>98.422526592819722</v>
      </c>
    </row>
    <row r="126" spans="1:12">
      <c r="A126" s="722" t="s">
        <v>87</v>
      </c>
      <c r="B126" s="722">
        <v>160</v>
      </c>
      <c r="C126" s="723">
        <v>1</v>
      </c>
      <c r="D126" s="723">
        <v>0</v>
      </c>
      <c r="E126" s="723">
        <v>0</v>
      </c>
      <c r="F126" s="723">
        <v>0</v>
      </c>
      <c r="G126" s="723">
        <v>1</v>
      </c>
      <c r="H126" s="724">
        <v>98.422526592819722</v>
      </c>
      <c r="I126" s="724">
        <v>0</v>
      </c>
      <c r="J126" s="724">
        <v>0</v>
      </c>
      <c r="K126" s="724">
        <v>0</v>
      </c>
      <c r="L126" s="724">
        <v>98.422526592819722</v>
      </c>
    </row>
    <row r="127" spans="1:12">
      <c r="A127" s="722" t="s">
        <v>87</v>
      </c>
      <c r="B127" s="722">
        <v>191</v>
      </c>
      <c r="C127" s="723">
        <v>414</v>
      </c>
      <c r="D127" s="723">
        <v>36</v>
      </c>
      <c r="E127" s="723">
        <v>0</v>
      </c>
      <c r="F127" s="723">
        <v>0</v>
      </c>
      <c r="G127" s="723">
        <v>450</v>
      </c>
      <c r="H127" s="724">
        <v>40746.92600942737</v>
      </c>
      <c r="I127" s="724">
        <v>3543.2109573415105</v>
      </c>
      <c r="J127" s="724">
        <v>0</v>
      </c>
      <c r="K127" s="724">
        <v>0</v>
      </c>
      <c r="L127" s="724">
        <v>44290.136966768878</v>
      </c>
    </row>
    <row r="128" spans="1:12">
      <c r="A128" s="722" t="s">
        <v>87</v>
      </c>
      <c r="B128" s="722">
        <v>301</v>
      </c>
      <c r="C128" s="723">
        <v>3</v>
      </c>
      <c r="D128" s="723">
        <v>0</v>
      </c>
      <c r="E128" s="723">
        <v>0</v>
      </c>
      <c r="F128" s="723">
        <v>0</v>
      </c>
      <c r="G128" s="723">
        <v>3</v>
      </c>
      <c r="H128" s="724">
        <v>295.26757977845921</v>
      </c>
      <c r="I128" s="724">
        <v>0</v>
      </c>
      <c r="J128" s="724">
        <v>0</v>
      </c>
      <c r="K128" s="724">
        <v>0</v>
      </c>
      <c r="L128" s="724">
        <v>295.26757977845921</v>
      </c>
    </row>
    <row r="129" spans="1:12">
      <c r="A129" s="722" t="s">
        <v>87</v>
      </c>
      <c r="B129" s="722">
        <v>330</v>
      </c>
      <c r="C129" s="723">
        <v>1</v>
      </c>
      <c r="D129" s="723">
        <v>0</v>
      </c>
      <c r="E129" s="723">
        <v>0</v>
      </c>
      <c r="F129" s="723">
        <v>0</v>
      </c>
      <c r="G129" s="723">
        <v>1</v>
      </c>
      <c r="H129" s="724">
        <v>98.422526592819722</v>
      </c>
      <c r="I129" s="724">
        <v>0</v>
      </c>
      <c r="J129" s="724">
        <v>0</v>
      </c>
      <c r="K129" s="724">
        <v>0</v>
      </c>
      <c r="L129" s="724">
        <v>98.422526592819722</v>
      </c>
    </row>
    <row r="130" spans="1:12">
      <c r="A130" s="722" t="s">
        <v>87</v>
      </c>
      <c r="B130" s="722">
        <v>400</v>
      </c>
      <c r="C130" s="723">
        <v>6</v>
      </c>
      <c r="D130" s="723">
        <v>6</v>
      </c>
      <c r="E130" s="723">
        <v>0</v>
      </c>
      <c r="F130" s="723">
        <v>0</v>
      </c>
      <c r="G130" s="723">
        <v>12</v>
      </c>
      <c r="H130" s="724">
        <v>590.53515955691842</v>
      </c>
      <c r="I130" s="724">
        <v>590.53515955691842</v>
      </c>
      <c r="J130" s="724">
        <v>0</v>
      </c>
      <c r="K130" s="724">
        <v>0</v>
      </c>
      <c r="L130" s="724">
        <v>1181.0703191138368</v>
      </c>
    </row>
    <row r="131" spans="1:12">
      <c r="A131" s="722" t="s">
        <v>87</v>
      </c>
      <c r="B131" s="722">
        <v>410</v>
      </c>
      <c r="C131" s="723">
        <v>1</v>
      </c>
      <c r="D131" s="723">
        <v>2</v>
      </c>
      <c r="E131" s="723">
        <v>0</v>
      </c>
      <c r="F131" s="723">
        <v>0</v>
      </c>
      <c r="G131" s="723">
        <v>3</v>
      </c>
      <c r="H131" s="724">
        <v>98.422526592819736</v>
      </c>
      <c r="I131" s="724">
        <v>196.84505318563947</v>
      </c>
      <c r="J131" s="724">
        <v>0</v>
      </c>
      <c r="K131" s="724">
        <v>0</v>
      </c>
      <c r="L131" s="724">
        <v>295.26757977845921</v>
      </c>
    </row>
    <row r="132" spans="1:12">
      <c r="A132" s="722" t="s">
        <v>87</v>
      </c>
      <c r="B132" s="722">
        <v>502</v>
      </c>
      <c r="C132" s="723">
        <v>42</v>
      </c>
      <c r="D132" s="723">
        <v>124</v>
      </c>
      <c r="E132" s="723">
        <v>0</v>
      </c>
      <c r="F132" s="723">
        <v>0</v>
      </c>
      <c r="G132" s="723">
        <v>166</v>
      </c>
      <c r="H132" s="724">
        <v>4133.7461168984282</v>
      </c>
      <c r="I132" s="724">
        <v>12204.393297509645</v>
      </c>
      <c r="J132" s="724">
        <v>0</v>
      </c>
      <c r="K132" s="724">
        <v>0</v>
      </c>
      <c r="L132" s="724">
        <v>16338.139414408073</v>
      </c>
    </row>
    <row r="133" spans="1:12">
      <c r="A133" s="722" t="s">
        <v>87</v>
      </c>
      <c r="B133" s="722">
        <v>811</v>
      </c>
      <c r="C133" s="723">
        <v>0</v>
      </c>
      <c r="D133" s="723">
        <v>7</v>
      </c>
      <c r="E133" s="723">
        <v>0</v>
      </c>
      <c r="F133" s="723">
        <v>0</v>
      </c>
      <c r="G133" s="723">
        <v>7</v>
      </c>
      <c r="H133" s="724">
        <v>0</v>
      </c>
      <c r="I133" s="724">
        <v>688.95768614973804</v>
      </c>
      <c r="J133" s="724">
        <v>0</v>
      </c>
      <c r="K133" s="724">
        <v>0</v>
      </c>
      <c r="L133" s="724">
        <v>688.95768614973804</v>
      </c>
    </row>
    <row r="134" spans="1:12">
      <c r="A134" s="722" t="s">
        <v>88</v>
      </c>
      <c r="B134" s="722">
        <v>100</v>
      </c>
      <c r="C134" s="723">
        <v>6</v>
      </c>
      <c r="D134" s="723">
        <v>0</v>
      </c>
      <c r="E134" s="723">
        <v>0</v>
      </c>
      <c r="F134" s="723">
        <v>0</v>
      </c>
      <c r="G134" s="723">
        <v>6</v>
      </c>
      <c r="H134" s="724">
        <v>771.18375780600411</v>
      </c>
      <c r="I134" s="724">
        <v>0</v>
      </c>
      <c r="J134" s="724">
        <v>0</v>
      </c>
      <c r="K134" s="724">
        <v>0</v>
      </c>
      <c r="L134" s="724">
        <v>771.18375780600411</v>
      </c>
    </row>
    <row r="135" spans="1:12">
      <c r="A135" s="722" t="s">
        <v>88</v>
      </c>
      <c r="B135" s="722">
        <v>101</v>
      </c>
      <c r="C135" s="723">
        <v>27</v>
      </c>
      <c r="D135" s="723">
        <v>0</v>
      </c>
      <c r="E135" s="723">
        <v>0</v>
      </c>
      <c r="F135" s="723">
        <v>0</v>
      </c>
      <c r="G135" s="723">
        <v>27</v>
      </c>
      <c r="H135" s="724">
        <v>3470.3269101270184</v>
      </c>
      <c r="I135" s="724">
        <v>0</v>
      </c>
      <c r="J135" s="724">
        <v>0</v>
      </c>
      <c r="K135" s="724">
        <v>0</v>
      </c>
      <c r="L135" s="724">
        <v>3470.3269101270184</v>
      </c>
    </row>
    <row r="136" spans="1:12">
      <c r="A136" s="722" t="s">
        <v>88</v>
      </c>
      <c r="B136" s="722">
        <v>104</v>
      </c>
      <c r="C136" s="723">
        <v>19</v>
      </c>
      <c r="D136" s="723">
        <v>0</v>
      </c>
      <c r="E136" s="723">
        <v>0</v>
      </c>
      <c r="F136" s="723">
        <v>0</v>
      </c>
      <c r="G136" s="723">
        <v>19</v>
      </c>
      <c r="H136" s="724">
        <v>2442.0818997190131</v>
      </c>
      <c r="I136" s="724">
        <v>0</v>
      </c>
      <c r="J136" s="724">
        <v>0</v>
      </c>
      <c r="K136" s="724">
        <v>0</v>
      </c>
      <c r="L136" s="724">
        <v>2442.0818997190131</v>
      </c>
    </row>
    <row r="137" spans="1:12">
      <c r="A137" s="722" t="s">
        <v>88</v>
      </c>
      <c r="B137" s="722">
        <v>110</v>
      </c>
      <c r="C137" s="723">
        <v>106</v>
      </c>
      <c r="D137" s="723">
        <v>118</v>
      </c>
      <c r="E137" s="723">
        <v>0</v>
      </c>
      <c r="F137" s="723">
        <v>0</v>
      </c>
      <c r="G137" s="723">
        <v>224</v>
      </c>
      <c r="H137" s="724">
        <v>13624.246387906072</v>
      </c>
      <c r="I137" s="724">
        <v>15166.61390351808</v>
      </c>
      <c r="J137" s="724">
        <v>0</v>
      </c>
      <c r="K137" s="724">
        <v>0</v>
      </c>
      <c r="L137" s="724">
        <v>28790.860291424153</v>
      </c>
    </row>
    <row r="138" spans="1:12">
      <c r="A138" s="722" t="s">
        <v>88</v>
      </c>
      <c r="B138" s="722">
        <v>130</v>
      </c>
      <c r="C138" s="723">
        <v>0</v>
      </c>
      <c r="D138" s="723">
        <v>1</v>
      </c>
      <c r="E138" s="723">
        <v>0</v>
      </c>
      <c r="F138" s="723">
        <v>0</v>
      </c>
      <c r="G138" s="723">
        <v>1</v>
      </c>
      <c r="H138" s="724">
        <v>0</v>
      </c>
      <c r="I138" s="724">
        <v>128.53062630100069</v>
      </c>
      <c r="J138" s="724">
        <v>0</v>
      </c>
      <c r="K138" s="724">
        <v>0</v>
      </c>
      <c r="L138" s="724">
        <v>128.53062630100069</v>
      </c>
    </row>
    <row r="139" spans="1:12">
      <c r="A139" s="722" t="s">
        <v>88</v>
      </c>
      <c r="B139" s="722">
        <v>160</v>
      </c>
      <c r="C139" s="723">
        <v>1</v>
      </c>
      <c r="D139" s="723">
        <v>0</v>
      </c>
      <c r="E139" s="723">
        <v>0</v>
      </c>
      <c r="F139" s="723">
        <v>0</v>
      </c>
      <c r="G139" s="723">
        <v>1</v>
      </c>
      <c r="H139" s="724">
        <v>128.53062630100069</v>
      </c>
      <c r="I139" s="724">
        <v>0</v>
      </c>
      <c r="J139" s="724">
        <v>0</v>
      </c>
      <c r="K139" s="724">
        <v>0</v>
      </c>
      <c r="L139" s="724">
        <v>128.53062630100069</v>
      </c>
    </row>
    <row r="140" spans="1:12">
      <c r="A140" s="722" t="s">
        <v>88</v>
      </c>
      <c r="B140" s="722">
        <v>190</v>
      </c>
      <c r="C140" s="723">
        <v>29</v>
      </c>
      <c r="D140" s="723">
        <v>90</v>
      </c>
      <c r="E140" s="723">
        <v>0</v>
      </c>
      <c r="F140" s="723">
        <v>0</v>
      </c>
      <c r="G140" s="723">
        <v>119</v>
      </c>
      <c r="H140" s="724">
        <v>3727.3881627290202</v>
      </c>
      <c r="I140" s="724">
        <v>11567.756367090062</v>
      </c>
      <c r="J140" s="724">
        <v>0</v>
      </c>
      <c r="K140" s="724">
        <v>0</v>
      </c>
      <c r="L140" s="724">
        <v>15295.144529819083</v>
      </c>
    </row>
    <row r="141" spans="1:12">
      <c r="A141" s="722" t="s">
        <v>88</v>
      </c>
      <c r="B141" s="722">
        <v>191</v>
      </c>
      <c r="C141" s="723">
        <v>1096</v>
      </c>
      <c r="D141" s="723">
        <v>380</v>
      </c>
      <c r="E141" s="723">
        <v>0</v>
      </c>
      <c r="F141" s="723">
        <v>0</v>
      </c>
      <c r="G141" s="723">
        <v>1476</v>
      </c>
      <c r="H141" s="724">
        <v>140869.56642589674</v>
      </c>
      <c r="I141" s="724">
        <v>48841.63799438026</v>
      </c>
      <c r="J141" s="724">
        <v>0</v>
      </c>
      <c r="K141" s="724">
        <v>0</v>
      </c>
      <c r="L141" s="724">
        <v>189711.204420277</v>
      </c>
    </row>
    <row r="142" spans="1:12">
      <c r="A142" s="722" t="s">
        <v>88</v>
      </c>
      <c r="B142" s="722">
        <v>301</v>
      </c>
      <c r="C142" s="723">
        <v>56</v>
      </c>
      <c r="D142" s="723">
        <v>41</v>
      </c>
      <c r="E142" s="723">
        <v>0</v>
      </c>
      <c r="F142" s="723">
        <v>0</v>
      </c>
      <c r="G142" s="723">
        <v>97</v>
      </c>
      <c r="H142" s="724">
        <v>7197.7150728560382</v>
      </c>
      <c r="I142" s="724">
        <v>5269.7556783410282</v>
      </c>
      <c r="J142" s="724">
        <v>0</v>
      </c>
      <c r="K142" s="724">
        <v>0</v>
      </c>
      <c r="L142" s="724">
        <v>12467.470751197066</v>
      </c>
    </row>
    <row r="143" spans="1:12">
      <c r="A143" s="722" t="s">
        <v>88</v>
      </c>
      <c r="B143" s="722">
        <v>314</v>
      </c>
      <c r="C143" s="723">
        <v>2</v>
      </c>
      <c r="D143" s="723">
        <v>0</v>
      </c>
      <c r="E143" s="723">
        <v>0</v>
      </c>
      <c r="F143" s="723">
        <v>0</v>
      </c>
      <c r="G143" s="723">
        <v>2</v>
      </c>
      <c r="H143" s="724">
        <v>257.06125260200139</v>
      </c>
      <c r="I143" s="724">
        <v>0</v>
      </c>
      <c r="J143" s="724">
        <v>0</v>
      </c>
      <c r="K143" s="724">
        <v>0</v>
      </c>
      <c r="L143" s="724">
        <v>257.06125260200139</v>
      </c>
    </row>
    <row r="144" spans="1:12">
      <c r="A144" s="722" t="s">
        <v>88</v>
      </c>
      <c r="B144" s="722">
        <v>410</v>
      </c>
      <c r="C144" s="723">
        <v>19</v>
      </c>
      <c r="D144" s="723">
        <v>5</v>
      </c>
      <c r="E144" s="723">
        <v>0</v>
      </c>
      <c r="F144" s="723">
        <v>0</v>
      </c>
      <c r="G144" s="723">
        <v>24</v>
      </c>
      <c r="H144" s="724">
        <v>2442.0818997190131</v>
      </c>
      <c r="I144" s="724">
        <v>642.65313150500344</v>
      </c>
      <c r="J144" s="724">
        <v>0</v>
      </c>
      <c r="K144" s="724">
        <v>0</v>
      </c>
      <c r="L144" s="724">
        <v>3084.7350312240164</v>
      </c>
    </row>
    <row r="145" spans="1:12">
      <c r="A145" s="722" t="s">
        <v>88</v>
      </c>
      <c r="B145" s="722">
        <v>502</v>
      </c>
      <c r="C145" s="723">
        <v>2</v>
      </c>
      <c r="D145" s="723">
        <v>0</v>
      </c>
      <c r="E145" s="723">
        <v>0</v>
      </c>
      <c r="F145" s="723">
        <v>0</v>
      </c>
      <c r="G145" s="723">
        <v>2</v>
      </c>
      <c r="H145" s="724">
        <v>257.06125260200139</v>
      </c>
      <c r="I145" s="724">
        <v>0</v>
      </c>
      <c r="J145" s="724">
        <v>0</v>
      </c>
      <c r="K145" s="724">
        <v>0</v>
      </c>
      <c r="L145" s="724">
        <v>257.06125260200139</v>
      </c>
    </row>
    <row r="146" spans="1:12">
      <c r="A146" s="722" t="s">
        <v>88</v>
      </c>
      <c r="B146" s="722">
        <v>650</v>
      </c>
      <c r="C146" s="723">
        <v>0</v>
      </c>
      <c r="D146" s="723">
        <v>1</v>
      </c>
      <c r="E146" s="723">
        <v>0</v>
      </c>
      <c r="F146" s="723">
        <v>0</v>
      </c>
      <c r="G146" s="723">
        <v>1</v>
      </c>
      <c r="H146" s="724">
        <v>0</v>
      </c>
      <c r="I146" s="724">
        <v>128.53062630100069</v>
      </c>
      <c r="J146" s="724">
        <v>0</v>
      </c>
      <c r="K146" s="724">
        <v>0</v>
      </c>
      <c r="L146" s="724">
        <v>128.53062630100069</v>
      </c>
    </row>
    <row r="147" spans="1:12">
      <c r="A147" s="722" t="s">
        <v>88</v>
      </c>
      <c r="B147" s="722">
        <v>800</v>
      </c>
      <c r="C147" s="723">
        <v>0</v>
      </c>
      <c r="D147" s="723">
        <v>1</v>
      </c>
      <c r="E147" s="723">
        <v>0</v>
      </c>
      <c r="F147" s="723">
        <v>0</v>
      </c>
      <c r="G147" s="723">
        <v>1</v>
      </c>
      <c r="H147" s="724">
        <v>0</v>
      </c>
      <c r="I147" s="724">
        <v>128.53062630100069</v>
      </c>
      <c r="J147" s="724">
        <v>0</v>
      </c>
      <c r="K147" s="724">
        <v>0</v>
      </c>
      <c r="L147" s="724">
        <v>128.53062630100069</v>
      </c>
    </row>
    <row r="148" spans="1:12">
      <c r="A148" s="722" t="s">
        <v>88</v>
      </c>
      <c r="B148" s="722">
        <v>811</v>
      </c>
      <c r="C148" s="723">
        <v>14</v>
      </c>
      <c r="D148" s="723">
        <v>671</v>
      </c>
      <c r="E148" s="723">
        <v>0</v>
      </c>
      <c r="F148" s="723">
        <v>0</v>
      </c>
      <c r="G148" s="723">
        <v>685</v>
      </c>
      <c r="H148" s="724">
        <v>1799.4287682140096</v>
      </c>
      <c r="I148" s="724">
        <v>86244.050247971463</v>
      </c>
      <c r="J148" s="724">
        <v>0</v>
      </c>
      <c r="K148" s="724">
        <v>0</v>
      </c>
      <c r="L148" s="724">
        <v>88043.479016185476</v>
      </c>
    </row>
    <row r="149" spans="1:12">
      <c r="A149" s="722" t="s">
        <v>88</v>
      </c>
      <c r="B149" s="722">
        <v>812</v>
      </c>
      <c r="C149" s="723">
        <v>187</v>
      </c>
      <c r="D149" s="723">
        <v>81</v>
      </c>
      <c r="E149" s="723">
        <v>0</v>
      </c>
      <c r="F149" s="723">
        <v>0</v>
      </c>
      <c r="G149" s="723">
        <v>268</v>
      </c>
      <c r="H149" s="724">
        <v>24035.22711828713</v>
      </c>
      <c r="I149" s="724">
        <v>10410.980730381056</v>
      </c>
      <c r="J149" s="724">
        <v>0</v>
      </c>
      <c r="K149" s="724">
        <v>0</v>
      </c>
      <c r="L149" s="724">
        <v>34446.207848668186</v>
      </c>
    </row>
    <row r="150" spans="1:12">
      <c r="A150" s="722" t="s">
        <v>89</v>
      </c>
      <c r="B150" s="722">
        <v>100</v>
      </c>
      <c r="C150" s="723">
        <v>2</v>
      </c>
      <c r="D150" s="723">
        <v>0</v>
      </c>
      <c r="E150" s="723">
        <v>0</v>
      </c>
      <c r="F150" s="723">
        <v>0</v>
      </c>
      <c r="G150" s="723">
        <v>2</v>
      </c>
      <c r="H150" s="724">
        <v>23.155462825461537</v>
      </c>
      <c r="I150" s="724">
        <v>0</v>
      </c>
      <c r="J150" s="724">
        <v>0</v>
      </c>
      <c r="K150" s="724">
        <v>0</v>
      </c>
      <c r="L150" s="724">
        <v>23.155462825461537</v>
      </c>
    </row>
    <row r="151" spans="1:12">
      <c r="A151" s="722" t="s">
        <v>89</v>
      </c>
      <c r="B151" s="722">
        <v>110</v>
      </c>
      <c r="C151" s="723">
        <v>7</v>
      </c>
      <c r="D151" s="723">
        <v>0</v>
      </c>
      <c r="E151" s="723">
        <v>0</v>
      </c>
      <c r="F151" s="723">
        <v>0</v>
      </c>
      <c r="G151" s="723">
        <v>7</v>
      </c>
      <c r="H151" s="724">
        <v>81.044119889115379</v>
      </c>
      <c r="I151" s="724">
        <v>0</v>
      </c>
      <c r="J151" s="724">
        <v>0</v>
      </c>
      <c r="K151" s="724">
        <v>0</v>
      </c>
      <c r="L151" s="724">
        <v>81.044119889115379</v>
      </c>
    </row>
    <row r="152" spans="1:12">
      <c r="A152" s="722" t="s">
        <v>89</v>
      </c>
      <c r="B152" s="722">
        <v>191</v>
      </c>
      <c r="C152" s="723">
        <v>77</v>
      </c>
      <c r="D152" s="723">
        <v>8</v>
      </c>
      <c r="E152" s="723">
        <v>0</v>
      </c>
      <c r="F152" s="723">
        <v>0</v>
      </c>
      <c r="G152" s="723">
        <v>85</v>
      </c>
      <c r="H152" s="724">
        <v>891.48531878026915</v>
      </c>
      <c r="I152" s="724">
        <v>92.621851301846149</v>
      </c>
      <c r="J152" s="724">
        <v>0</v>
      </c>
      <c r="K152" s="724">
        <v>0</v>
      </c>
      <c r="L152" s="724">
        <v>984.10717008211532</v>
      </c>
    </row>
    <row r="153" spans="1:12">
      <c r="A153" s="722" t="s">
        <v>89</v>
      </c>
      <c r="B153" s="722">
        <v>303</v>
      </c>
      <c r="C153" s="723">
        <v>2</v>
      </c>
      <c r="D153" s="723">
        <v>0</v>
      </c>
      <c r="E153" s="723">
        <v>0</v>
      </c>
      <c r="F153" s="723">
        <v>0</v>
      </c>
      <c r="G153" s="723">
        <v>2</v>
      </c>
      <c r="H153" s="724">
        <v>23.155462825461537</v>
      </c>
      <c r="I153" s="724">
        <v>0</v>
      </c>
      <c r="J153" s="724">
        <v>0</v>
      </c>
      <c r="K153" s="724">
        <v>0</v>
      </c>
      <c r="L153" s="724">
        <v>23.155462825461537</v>
      </c>
    </row>
    <row r="154" spans="1:12">
      <c r="A154" s="722" t="s">
        <v>89</v>
      </c>
      <c r="B154" s="722">
        <v>400</v>
      </c>
      <c r="C154" s="723">
        <v>0</v>
      </c>
      <c r="D154" s="723">
        <v>1</v>
      </c>
      <c r="E154" s="723">
        <v>0</v>
      </c>
      <c r="F154" s="723">
        <v>0</v>
      </c>
      <c r="G154" s="723">
        <v>1</v>
      </c>
      <c r="H154" s="724">
        <v>0</v>
      </c>
      <c r="I154" s="724">
        <v>11.577731412730769</v>
      </c>
      <c r="J154" s="724">
        <v>0</v>
      </c>
      <c r="K154" s="724">
        <v>0</v>
      </c>
      <c r="L154" s="724">
        <v>11.577731412730769</v>
      </c>
    </row>
    <row r="155" spans="1:12">
      <c r="A155" s="722" t="s">
        <v>89</v>
      </c>
      <c r="B155" s="722">
        <v>502</v>
      </c>
      <c r="C155" s="723">
        <v>397</v>
      </c>
      <c r="D155" s="723">
        <v>0</v>
      </c>
      <c r="E155" s="723">
        <v>0</v>
      </c>
      <c r="F155" s="723">
        <v>0</v>
      </c>
      <c r="G155" s="723">
        <v>397</v>
      </c>
      <c r="H155" s="724">
        <v>4596.3593708541148</v>
      </c>
      <c r="I155" s="724">
        <v>0</v>
      </c>
      <c r="J155" s="724">
        <v>0</v>
      </c>
      <c r="K155" s="724">
        <v>0</v>
      </c>
      <c r="L155" s="724">
        <v>4596.3593708541148</v>
      </c>
    </row>
    <row r="156" spans="1:12">
      <c r="A156" s="722" t="s">
        <v>90</v>
      </c>
      <c r="B156" s="722">
        <v>191</v>
      </c>
      <c r="C156" s="723">
        <v>3</v>
      </c>
      <c r="D156" s="723">
        <v>0</v>
      </c>
      <c r="E156" s="723">
        <v>0</v>
      </c>
      <c r="F156" s="723">
        <v>0</v>
      </c>
      <c r="G156" s="723">
        <v>3</v>
      </c>
      <c r="H156" s="724">
        <v>11770.681486014701</v>
      </c>
      <c r="I156" s="724">
        <v>0</v>
      </c>
      <c r="J156" s="724">
        <v>0</v>
      </c>
      <c r="K156" s="724">
        <v>0</v>
      </c>
      <c r="L156" s="724">
        <v>11770.681486014701</v>
      </c>
    </row>
    <row r="157" spans="1:12">
      <c r="A157" s="722" t="s">
        <v>91</v>
      </c>
      <c r="B157" s="722">
        <v>140</v>
      </c>
      <c r="C157" s="723">
        <v>1</v>
      </c>
      <c r="D157" s="723">
        <v>0</v>
      </c>
      <c r="E157" s="723">
        <v>0</v>
      </c>
      <c r="F157" s="723">
        <v>0</v>
      </c>
      <c r="G157" s="723">
        <v>1</v>
      </c>
      <c r="H157" s="724">
        <v>101.15549807168098</v>
      </c>
      <c r="I157" s="724">
        <v>0</v>
      </c>
      <c r="J157" s="724">
        <v>0</v>
      </c>
      <c r="K157" s="724">
        <v>0</v>
      </c>
      <c r="L157" s="724">
        <v>101.15549807168098</v>
      </c>
    </row>
    <row r="158" spans="1:12">
      <c r="A158" s="722" t="s">
        <v>91</v>
      </c>
      <c r="B158" s="722">
        <v>191</v>
      </c>
      <c r="C158" s="723">
        <v>139</v>
      </c>
      <c r="D158" s="723">
        <v>2</v>
      </c>
      <c r="E158" s="723">
        <v>0</v>
      </c>
      <c r="F158" s="723">
        <v>0</v>
      </c>
      <c r="G158" s="723">
        <v>141</v>
      </c>
      <c r="H158" s="724">
        <v>14060.614231963656</v>
      </c>
      <c r="I158" s="724">
        <v>202.31099614336196</v>
      </c>
      <c r="J158" s="724">
        <v>0</v>
      </c>
      <c r="K158" s="724">
        <v>0</v>
      </c>
      <c r="L158" s="724">
        <v>14262.925228107018</v>
      </c>
    </row>
    <row r="159" spans="1:12">
      <c r="A159" s="722" t="s">
        <v>92</v>
      </c>
      <c r="B159" s="722">
        <v>130</v>
      </c>
      <c r="C159" s="723">
        <v>2</v>
      </c>
      <c r="D159" s="723">
        <v>0</v>
      </c>
      <c r="E159" s="723">
        <v>0</v>
      </c>
      <c r="F159" s="723">
        <v>0</v>
      </c>
      <c r="G159" s="723">
        <v>2</v>
      </c>
      <c r="H159" s="724">
        <v>235.40908853873901</v>
      </c>
      <c r="I159" s="724">
        <v>0</v>
      </c>
      <c r="J159" s="724">
        <v>0</v>
      </c>
      <c r="K159" s="724">
        <v>0</v>
      </c>
      <c r="L159" s="724">
        <v>235.40908853873901</v>
      </c>
    </row>
    <row r="160" spans="1:12">
      <c r="A160" s="722" t="s">
        <v>93</v>
      </c>
      <c r="B160" s="722">
        <v>130</v>
      </c>
      <c r="C160" s="723">
        <v>169</v>
      </c>
      <c r="D160" s="723">
        <v>4</v>
      </c>
      <c r="E160" s="723">
        <v>0</v>
      </c>
      <c r="F160" s="723">
        <v>0</v>
      </c>
      <c r="G160" s="723">
        <v>173</v>
      </c>
      <c r="H160" s="724">
        <v>1240.8915495201281</v>
      </c>
      <c r="I160" s="724">
        <v>29.370214189825518</v>
      </c>
      <c r="J160" s="724">
        <v>0</v>
      </c>
      <c r="K160" s="724">
        <v>0</v>
      </c>
      <c r="L160" s="724">
        <v>1270.2617637099536</v>
      </c>
    </row>
    <row r="161" spans="1:12">
      <c r="A161" s="722" t="s">
        <v>93</v>
      </c>
      <c r="B161" s="722">
        <v>304</v>
      </c>
      <c r="C161" s="723">
        <v>1</v>
      </c>
      <c r="D161" s="723">
        <v>0</v>
      </c>
      <c r="E161" s="723">
        <v>0</v>
      </c>
      <c r="F161" s="723">
        <v>0</v>
      </c>
      <c r="G161" s="723">
        <v>1</v>
      </c>
      <c r="H161" s="724">
        <v>7.3425535474563794</v>
      </c>
      <c r="I161" s="724">
        <v>0</v>
      </c>
      <c r="J161" s="724">
        <v>0</v>
      </c>
      <c r="K161" s="724">
        <v>0</v>
      </c>
      <c r="L161" s="724">
        <v>7.3425535474563794</v>
      </c>
    </row>
    <row r="162" spans="1:12">
      <c r="A162" s="722" t="s">
        <v>94</v>
      </c>
      <c r="B162" s="722">
        <v>130</v>
      </c>
      <c r="C162" s="723">
        <v>421</v>
      </c>
      <c r="D162" s="723">
        <v>176</v>
      </c>
      <c r="E162" s="723">
        <v>0</v>
      </c>
      <c r="F162" s="723">
        <v>0</v>
      </c>
      <c r="G162" s="723">
        <v>597</v>
      </c>
      <c r="H162" s="724">
        <v>59491.551524217452</v>
      </c>
      <c r="I162" s="724">
        <v>24870.577359292805</v>
      </c>
      <c r="J162" s="724">
        <v>0</v>
      </c>
      <c r="K162" s="724">
        <v>0</v>
      </c>
      <c r="L162" s="724">
        <v>84362.12888351026</v>
      </c>
    </row>
    <row r="163" spans="1:12">
      <c r="A163" s="722" t="s">
        <v>94</v>
      </c>
      <c r="B163" s="722">
        <v>216</v>
      </c>
      <c r="C163" s="723">
        <v>11</v>
      </c>
      <c r="D163" s="723">
        <v>0</v>
      </c>
      <c r="E163" s="723">
        <v>0</v>
      </c>
      <c r="F163" s="723">
        <v>0</v>
      </c>
      <c r="G163" s="723">
        <v>11</v>
      </c>
      <c r="H163" s="724">
        <v>1554.4110849558003</v>
      </c>
      <c r="I163" s="724">
        <v>0</v>
      </c>
      <c r="J163" s="724">
        <v>0</v>
      </c>
      <c r="K163" s="724">
        <v>0</v>
      </c>
      <c r="L163" s="724">
        <v>1554.4110849558003</v>
      </c>
    </row>
    <row r="164" spans="1:12">
      <c r="A164" s="722" t="s">
        <v>94</v>
      </c>
      <c r="B164" s="722">
        <v>303</v>
      </c>
      <c r="C164" s="723">
        <v>1</v>
      </c>
      <c r="D164" s="723">
        <v>0</v>
      </c>
      <c r="E164" s="723">
        <v>0</v>
      </c>
      <c r="F164" s="723">
        <v>0</v>
      </c>
      <c r="G164" s="723">
        <v>1</v>
      </c>
      <c r="H164" s="724">
        <v>141.3100986323455</v>
      </c>
      <c r="I164" s="724">
        <v>0</v>
      </c>
      <c r="J164" s="724">
        <v>0</v>
      </c>
      <c r="K164" s="724">
        <v>0</v>
      </c>
      <c r="L164" s="724">
        <v>141.3100986323455</v>
      </c>
    </row>
    <row r="165" spans="1:12">
      <c r="A165" s="722" t="s">
        <v>95</v>
      </c>
      <c r="B165" s="722">
        <v>130</v>
      </c>
      <c r="C165" s="723">
        <v>14</v>
      </c>
      <c r="D165" s="723">
        <v>0</v>
      </c>
      <c r="E165" s="723">
        <v>0</v>
      </c>
      <c r="F165" s="723">
        <v>0</v>
      </c>
      <c r="G165" s="723">
        <v>14</v>
      </c>
      <c r="H165" s="724">
        <v>1664.0973433411962</v>
      </c>
      <c r="I165" s="724">
        <v>0</v>
      </c>
      <c r="J165" s="724">
        <v>0</v>
      </c>
      <c r="K165" s="724">
        <v>0</v>
      </c>
      <c r="L165" s="724">
        <v>1664.0973433411962</v>
      </c>
    </row>
    <row r="166" spans="1:12">
      <c r="A166" s="722" t="s">
        <v>95</v>
      </c>
      <c r="B166" s="722">
        <v>140</v>
      </c>
      <c r="C166" s="723">
        <v>1</v>
      </c>
      <c r="D166" s="723">
        <v>0</v>
      </c>
      <c r="E166" s="723">
        <v>0</v>
      </c>
      <c r="F166" s="723">
        <v>0</v>
      </c>
      <c r="G166" s="723">
        <v>1</v>
      </c>
      <c r="H166" s="724">
        <v>118.86409595294259</v>
      </c>
      <c r="I166" s="724">
        <v>0</v>
      </c>
      <c r="J166" s="724">
        <v>0</v>
      </c>
      <c r="K166" s="724">
        <v>0</v>
      </c>
      <c r="L166" s="724">
        <v>118.86409595294259</v>
      </c>
    </row>
    <row r="167" spans="1:12">
      <c r="A167" s="722" t="s">
        <v>95</v>
      </c>
      <c r="B167" s="722">
        <v>143</v>
      </c>
      <c r="C167" s="723">
        <v>2</v>
      </c>
      <c r="D167" s="723">
        <v>0</v>
      </c>
      <c r="E167" s="723">
        <v>0</v>
      </c>
      <c r="F167" s="723">
        <v>0</v>
      </c>
      <c r="G167" s="723">
        <v>2</v>
      </c>
      <c r="H167" s="724">
        <v>237.72819190588518</v>
      </c>
      <c r="I167" s="724">
        <v>0</v>
      </c>
      <c r="J167" s="724">
        <v>0</v>
      </c>
      <c r="K167" s="724">
        <v>0</v>
      </c>
      <c r="L167" s="724">
        <v>237.72819190588518</v>
      </c>
    </row>
    <row r="168" spans="1:12">
      <c r="A168" s="722" t="s">
        <v>95</v>
      </c>
      <c r="B168" s="722">
        <v>160</v>
      </c>
      <c r="C168" s="723">
        <v>7</v>
      </c>
      <c r="D168" s="723">
        <v>0</v>
      </c>
      <c r="E168" s="723">
        <v>0</v>
      </c>
      <c r="F168" s="723">
        <v>0</v>
      </c>
      <c r="G168" s="723">
        <v>7</v>
      </c>
      <c r="H168" s="724">
        <v>832.04867167059808</v>
      </c>
      <c r="I168" s="724">
        <v>0</v>
      </c>
      <c r="J168" s="724">
        <v>0</v>
      </c>
      <c r="K168" s="724">
        <v>0</v>
      </c>
      <c r="L168" s="724">
        <v>832.04867167059808</v>
      </c>
    </row>
    <row r="169" spans="1:12">
      <c r="A169" s="722" t="s">
        <v>95</v>
      </c>
      <c r="B169" s="722">
        <v>330</v>
      </c>
      <c r="C169" s="723">
        <v>3</v>
      </c>
      <c r="D169" s="723">
        <v>0</v>
      </c>
      <c r="E169" s="723">
        <v>0</v>
      </c>
      <c r="F169" s="723">
        <v>0</v>
      </c>
      <c r="G169" s="723">
        <v>3</v>
      </c>
      <c r="H169" s="724">
        <v>356.59228785882777</v>
      </c>
      <c r="I169" s="724">
        <v>0</v>
      </c>
      <c r="J169" s="724">
        <v>0</v>
      </c>
      <c r="K169" s="724">
        <v>0</v>
      </c>
      <c r="L169" s="724">
        <v>356.59228785882777</v>
      </c>
    </row>
    <row r="170" spans="1:12">
      <c r="A170" s="722" t="s">
        <v>96</v>
      </c>
      <c r="B170" s="722">
        <v>100</v>
      </c>
      <c r="C170" s="723">
        <v>9</v>
      </c>
      <c r="D170" s="723">
        <v>2</v>
      </c>
      <c r="E170" s="723">
        <v>0</v>
      </c>
      <c r="F170" s="723">
        <v>0</v>
      </c>
      <c r="G170" s="723">
        <v>11</v>
      </c>
      <c r="H170" s="724">
        <v>1236.603378414839</v>
      </c>
      <c r="I170" s="724">
        <v>274.8007507588531</v>
      </c>
      <c r="J170" s="724">
        <v>0</v>
      </c>
      <c r="K170" s="724">
        <v>0</v>
      </c>
      <c r="L170" s="724">
        <v>1511.4041291736921</v>
      </c>
    </row>
    <row r="171" spans="1:12">
      <c r="A171" s="722" t="s">
        <v>96</v>
      </c>
      <c r="B171" s="722">
        <v>101</v>
      </c>
      <c r="C171" s="723">
        <v>1</v>
      </c>
      <c r="D171" s="723">
        <v>0</v>
      </c>
      <c r="E171" s="723">
        <v>0</v>
      </c>
      <c r="F171" s="723">
        <v>0</v>
      </c>
      <c r="G171" s="723">
        <v>1</v>
      </c>
      <c r="H171" s="724">
        <v>137.40037537942655</v>
      </c>
      <c r="I171" s="724">
        <v>0</v>
      </c>
      <c r="J171" s="724">
        <v>0</v>
      </c>
      <c r="K171" s="724">
        <v>0</v>
      </c>
      <c r="L171" s="724">
        <v>137.40037537942655</v>
      </c>
    </row>
    <row r="172" spans="1:12">
      <c r="A172" s="722" t="s">
        <v>96</v>
      </c>
      <c r="B172" s="722">
        <v>104</v>
      </c>
      <c r="C172" s="723">
        <v>3</v>
      </c>
      <c r="D172" s="723">
        <v>0</v>
      </c>
      <c r="E172" s="723">
        <v>0</v>
      </c>
      <c r="F172" s="723">
        <v>0</v>
      </c>
      <c r="G172" s="723">
        <v>3</v>
      </c>
      <c r="H172" s="724">
        <v>412.20112613827968</v>
      </c>
      <c r="I172" s="724">
        <v>0</v>
      </c>
      <c r="J172" s="724">
        <v>0</v>
      </c>
      <c r="K172" s="724">
        <v>0</v>
      </c>
      <c r="L172" s="724">
        <v>412.20112613827962</v>
      </c>
    </row>
    <row r="173" spans="1:12">
      <c r="A173" s="722" t="s">
        <v>96</v>
      </c>
      <c r="B173" s="722">
        <v>110</v>
      </c>
      <c r="C173" s="723">
        <v>1</v>
      </c>
      <c r="D173" s="723">
        <v>0</v>
      </c>
      <c r="E173" s="723">
        <v>0</v>
      </c>
      <c r="F173" s="723">
        <v>0</v>
      </c>
      <c r="G173" s="723">
        <v>1</v>
      </c>
      <c r="H173" s="724">
        <v>137.40037537942655</v>
      </c>
      <c r="I173" s="724">
        <v>0</v>
      </c>
      <c r="J173" s="724">
        <v>0</v>
      </c>
      <c r="K173" s="724">
        <v>0</v>
      </c>
      <c r="L173" s="724">
        <v>137.40037537942655</v>
      </c>
    </row>
    <row r="174" spans="1:12">
      <c r="A174" s="722" t="s">
        <v>96</v>
      </c>
      <c r="B174" s="722">
        <v>130</v>
      </c>
      <c r="C174" s="723">
        <v>714</v>
      </c>
      <c r="D174" s="723">
        <v>608</v>
      </c>
      <c r="E174" s="723">
        <v>0</v>
      </c>
      <c r="F174" s="723">
        <v>0</v>
      </c>
      <c r="G174" s="723">
        <v>1322</v>
      </c>
      <c r="H174" s="724">
        <v>98103.868020910551</v>
      </c>
      <c r="I174" s="724">
        <v>83539.428230691337</v>
      </c>
      <c r="J174" s="724">
        <v>0</v>
      </c>
      <c r="K174" s="724">
        <v>0</v>
      </c>
      <c r="L174" s="724">
        <v>181643.29625160189</v>
      </c>
    </row>
    <row r="175" spans="1:12">
      <c r="A175" s="722" t="s">
        <v>96</v>
      </c>
      <c r="B175" s="722">
        <v>140</v>
      </c>
      <c r="C175" s="723">
        <v>12</v>
      </c>
      <c r="D175" s="723">
        <v>8</v>
      </c>
      <c r="E175" s="723">
        <v>0</v>
      </c>
      <c r="F175" s="723">
        <v>0</v>
      </c>
      <c r="G175" s="723">
        <v>20</v>
      </c>
      <c r="H175" s="724">
        <v>1648.8045045531187</v>
      </c>
      <c r="I175" s="724">
        <v>1099.2030030354124</v>
      </c>
      <c r="J175" s="724">
        <v>0</v>
      </c>
      <c r="K175" s="724">
        <v>0</v>
      </c>
      <c r="L175" s="724">
        <v>2748.0075075885311</v>
      </c>
    </row>
    <row r="176" spans="1:12">
      <c r="A176" s="722" t="s">
        <v>96</v>
      </c>
      <c r="B176" s="722">
        <v>143</v>
      </c>
      <c r="C176" s="723">
        <v>1</v>
      </c>
      <c r="D176" s="723">
        <v>0</v>
      </c>
      <c r="E176" s="723">
        <v>0</v>
      </c>
      <c r="F176" s="723">
        <v>0</v>
      </c>
      <c r="G176" s="723">
        <v>1</v>
      </c>
      <c r="H176" s="724">
        <v>137.40037537942655</v>
      </c>
      <c r="I176" s="724">
        <v>0</v>
      </c>
      <c r="J176" s="724">
        <v>0</v>
      </c>
      <c r="K176" s="724">
        <v>0</v>
      </c>
      <c r="L176" s="724">
        <v>137.40037537942655</v>
      </c>
    </row>
    <row r="177" spans="1:12">
      <c r="A177" s="722" t="s">
        <v>96</v>
      </c>
      <c r="B177" s="722">
        <v>144</v>
      </c>
      <c r="C177" s="723">
        <v>8</v>
      </c>
      <c r="D177" s="723">
        <v>0</v>
      </c>
      <c r="E177" s="723">
        <v>0</v>
      </c>
      <c r="F177" s="723">
        <v>0</v>
      </c>
      <c r="G177" s="723">
        <v>8</v>
      </c>
      <c r="H177" s="724">
        <v>1099.2030030354124</v>
      </c>
      <c r="I177" s="724">
        <v>0</v>
      </c>
      <c r="J177" s="724">
        <v>0</v>
      </c>
      <c r="K177" s="724">
        <v>0</v>
      </c>
      <c r="L177" s="724">
        <v>1099.2030030354124</v>
      </c>
    </row>
    <row r="178" spans="1:12">
      <c r="A178" s="722" t="s">
        <v>96</v>
      </c>
      <c r="B178" s="722">
        <v>160</v>
      </c>
      <c r="C178" s="723">
        <v>61</v>
      </c>
      <c r="D178" s="723">
        <v>2</v>
      </c>
      <c r="E178" s="723">
        <v>0</v>
      </c>
      <c r="F178" s="723">
        <v>0</v>
      </c>
      <c r="G178" s="723">
        <v>63</v>
      </c>
      <c r="H178" s="724">
        <v>8381.4228981450196</v>
      </c>
      <c r="I178" s="724">
        <v>274.8007507588531</v>
      </c>
      <c r="J178" s="724">
        <v>0</v>
      </c>
      <c r="K178" s="724">
        <v>0</v>
      </c>
      <c r="L178" s="724">
        <v>8656.2236489038733</v>
      </c>
    </row>
    <row r="179" spans="1:12">
      <c r="A179" s="722" t="s">
        <v>96</v>
      </c>
      <c r="B179" s="722">
        <v>300</v>
      </c>
      <c r="C179" s="723">
        <v>0</v>
      </c>
      <c r="D179" s="723">
        <v>1</v>
      </c>
      <c r="E179" s="723">
        <v>0</v>
      </c>
      <c r="F179" s="723">
        <v>0</v>
      </c>
      <c r="G179" s="723">
        <v>1</v>
      </c>
      <c r="H179" s="724">
        <v>0</v>
      </c>
      <c r="I179" s="724">
        <v>137.40037537942655</v>
      </c>
      <c r="J179" s="724">
        <v>0</v>
      </c>
      <c r="K179" s="724">
        <v>0</v>
      </c>
      <c r="L179" s="724">
        <v>137.40037537942655</v>
      </c>
    </row>
    <row r="180" spans="1:12">
      <c r="A180" s="722" t="s">
        <v>96</v>
      </c>
      <c r="B180" s="722">
        <v>330</v>
      </c>
      <c r="C180" s="723">
        <v>36</v>
      </c>
      <c r="D180" s="723">
        <v>4</v>
      </c>
      <c r="E180" s="723">
        <v>0</v>
      </c>
      <c r="F180" s="723">
        <v>0</v>
      </c>
      <c r="G180" s="723">
        <v>40</v>
      </c>
      <c r="H180" s="724">
        <v>4946.4135136593559</v>
      </c>
      <c r="I180" s="724">
        <v>549.6015015177062</v>
      </c>
      <c r="J180" s="724">
        <v>0</v>
      </c>
      <c r="K180" s="724">
        <v>0</v>
      </c>
      <c r="L180" s="724">
        <v>5496.0150151770622</v>
      </c>
    </row>
    <row r="181" spans="1:12">
      <c r="A181" s="722" t="s">
        <v>96</v>
      </c>
      <c r="B181" s="722">
        <v>400</v>
      </c>
      <c r="C181" s="723">
        <v>0</v>
      </c>
      <c r="D181" s="723">
        <v>1</v>
      </c>
      <c r="E181" s="723">
        <v>0</v>
      </c>
      <c r="F181" s="723">
        <v>0</v>
      </c>
      <c r="G181" s="723">
        <v>1</v>
      </c>
      <c r="H181" s="724">
        <v>0</v>
      </c>
      <c r="I181" s="724">
        <v>137.40037537942655</v>
      </c>
      <c r="J181" s="724">
        <v>0</v>
      </c>
      <c r="K181" s="724">
        <v>0</v>
      </c>
      <c r="L181" s="724">
        <v>137.40037537942655</v>
      </c>
    </row>
    <row r="182" spans="1:12">
      <c r="A182" s="722" t="s">
        <v>96</v>
      </c>
      <c r="B182" s="722">
        <v>410</v>
      </c>
      <c r="C182" s="723">
        <v>1</v>
      </c>
      <c r="D182" s="723">
        <v>3</v>
      </c>
      <c r="E182" s="723">
        <v>0</v>
      </c>
      <c r="F182" s="723">
        <v>0</v>
      </c>
      <c r="G182" s="723">
        <v>4</v>
      </c>
      <c r="H182" s="724">
        <v>137.40037537942655</v>
      </c>
      <c r="I182" s="724">
        <v>412.20112613827962</v>
      </c>
      <c r="J182" s="724">
        <v>0</v>
      </c>
      <c r="K182" s="724">
        <v>0</v>
      </c>
      <c r="L182" s="724">
        <v>549.6015015177062</v>
      </c>
    </row>
    <row r="183" spans="1:12">
      <c r="A183" s="722" t="s">
        <v>96</v>
      </c>
      <c r="B183" s="722">
        <v>501</v>
      </c>
      <c r="C183" s="723">
        <v>1</v>
      </c>
      <c r="D183" s="723">
        <v>0</v>
      </c>
      <c r="E183" s="723">
        <v>0</v>
      </c>
      <c r="F183" s="723">
        <v>0</v>
      </c>
      <c r="G183" s="723">
        <v>1</v>
      </c>
      <c r="H183" s="724">
        <v>137.40037537942655</v>
      </c>
      <c r="I183" s="724">
        <v>0</v>
      </c>
      <c r="J183" s="724">
        <v>0</v>
      </c>
      <c r="K183" s="724">
        <v>0</v>
      </c>
      <c r="L183" s="724">
        <v>137.40037537942655</v>
      </c>
    </row>
    <row r="184" spans="1:12">
      <c r="A184" s="722" t="s">
        <v>97</v>
      </c>
      <c r="B184" s="722">
        <v>130</v>
      </c>
      <c r="C184" s="723">
        <v>22</v>
      </c>
      <c r="D184" s="723">
        <v>43</v>
      </c>
      <c r="E184" s="723">
        <v>0</v>
      </c>
      <c r="F184" s="723">
        <v>0</v>
      </c>
      <c r="G184" s="723">
        <v>65</v>
      </c>
      <c r="H184" s="724">
        <v>2625.7085921052644</v>
      </c>
      <c r="I184" s="724">
        <v>5132.0667936602895</v>
      </c>
      <c r="J184" s="724">
        <v>0</v>
      </c>
      <c r="K184" s="724">
        <v>0</v>
      </c>
      <c r="L184" s="724">
        <v>7757.7753857655543</v>
      </c>
    </row>
    <row r="185" spans="1:12">
      <c r="A185" s="722" t="s">
        <v>97</v>
      </c>
      <c r="B185" s="722">
        <v>143</v>
      </c>
      <c r="C185" s="723">
        <v>3</v>
      </c>
      <c r="D185" s="723">
        <v>0</v>
      </c>
      <c r="E185" s="723">
        <v>0</v>
      </c>
      <c r="F185" s="723">
        <v>0</v>
      </c>
      <c r="G185" s="723">
        <v>3</v>
      </c>
      <c r="H185" s="724">
        <v>358.05117165071783</v>
      </c>
      <c r="I185" s="724">
        <v>0</v>
      </c>
      <c r="J185" s="724">
        <v>0</v>
      </c>
      <c r="K185" s="724">
        <v>0</v>
      </c>
      <c r="L185" s="724">
        <v>358.05117165071783</v>
      </c>
    </row>
    <row r="186" spans="1:12">
      <c r="A186" s="722" t="s">
        <v>97</v>
      </c>
      <c r="B186" s="722">
        <v>160</v>
      </c>
      <c r="C186" s="723">
        <v>3</v>
      </c>
      <c r="D186" s="723">
        <v>0</v>
      </c>
      <c r="E186" s="723">
        <v>0</v>
      </c>
      <c r="F186" s="723">
        <v>0</v>
      </c>
      <c r="G186" s="723">
        <v>3</v>
      </c>
      <c r="H186" s="724">
        <v>358.05117165071783</v>
      </c>
      <c r="I186" s="724">
        <v>0</v>
      </c>
      <c r="J186" s="724">
        <v>0</v>
      </c>
      <c r="K186" s="724">
        <v>0</v>
      </c>
      <c r="L186" s="724">
        <v>358.05117165071783</v>
      </c>
    </row>
    <row r="187" spans="1:12">
      <c r="A187" s="722" t="s">
        <v>97</v>
      </c>
      <c r="B187" s="722">
        <v>216</v>
      </c>
      <c r="C187" s="723">
        <v>6</v>
      </c>
      <c r="D187" s="723">
        <v>6</v>
      </c>
      <c r="E187" s="723">
        <v>0</v>
      </c>
      <c r="F187" s="723">
        <v>0</v>
      </c>
      <c r="G187" s="723">
        <v>12</v>
      </c>
      <c r="H187" s="724">
        <v>716.10234330143567</v>
      </c>
      <c r="I187" s="724">
        <v>716.10234330143567</v>
      </c>
      <c r="J187" s="724">
        <v>0</v>
      </c>
      <c r="K187" s="724">
        <v>0</v>
      </c>
      <c r="L187" s="724">
        <v>1432.2046866028713</v>
      </c>
    </row>
    <row r="188" spans="1:12">
      <c r="A188" s="722" t="s">
        <v>97</v>
      </c>
      <c r="B188" s="722">
        <v>420</v>
      </c>
      <c r="C188" s="723">
        <v>1</v>
      </c>
      <c r="D188" s="723">
        <v>0</v>
      </c>
      <c r="E188" s="723">
        <v>0</v>
      </c>
      <c r="F188" s="723">
        <v>0</v>
      </c>
      <c r="G188" s="723">
        <v>1</v>
      </c>
      <c r="H188" s="724">
        <v>119.35039055023928</v>
      </c>
      <c r="I188" s="724">
        <v>0</v>
      </c>
      <c r="J188" s="724">
        <v>0</v>
      </c>
      <c r="K188" s="724">
        <v>0</v>
      </c>
      <c r="L188" s="724">
        <v>119.35039055023928</v>
      </c>
    </row>
    <row r="189" spans="1:12">
      <c r="A189" s="722" t="s">
        <v>98</v>
      </c>
      <c r="B189" s="722">
        <v>110</v>
      </c>
      <c r="C189" s="723">
        <v>5</v>
      </c>
      <c r="D189" s="723">
        <v>0</v>
      </c>
      <c r="E189" s="723">
        <v>0</v>
      </c>
      <c r="F189" s="723">
        <v>0</v>
      </c>
      <c r="G189" s="723">
        <v>5</v>
      </c>
      <c r="H189" s="724">
        <v>901.03108071416341</v>
      </c>
      <c r="I189" s="724">
        <v>0</v>
      </c>
      <c r="J189" s="724">
        <v>0</v>
      </c>
      <c r="K189" s="724">
        <v>0</v>
      </c>
      <c r="L189" s="724">
        <v>901.03108071416341</v>
      </c>
    </row>
    <row r="190" spans="1:12">
      <c r="A190" s="722" t="s">
        <v>98</v>
      </c>
      <c r="B190" s="722">
        <v>120</v>
      </c>
      <c r="C190" s="723">
        <v>1</v>
      </c>
      <c r="D190" s="723">
        <v>1</v>
      </c>
      <c r="E190" s="723">
        <v>0</v>
      </c>
      <c r="F190" s="723">
        <v>0</v>
      </c>
      <c r="G190" s="723">
        <v>2</v>
      </c>
      <c r="H190" s="724">
        <v>180.20621614283269</v>
      </c>
      <c r="I190" s="724">
        <v>180.20621614283269</v>
      </c>
      <c r="J190" s="724">
        <v>0</v>
      </c>
      <c r="K190" s="724">
        <v>0</v>
      </c>
      <c r="L190" s="724">
        <v>360.41243228566537</v>
      </c>
    </row>
    <row r="191" spans="1:12">
      <c r="A191" s="722" t="s">
        <v>98</v>
      </c>
      <c r="B191" s="722">
        <v>130</v>
      </c>
      <c r="C191" s="723">
        <v>15</v>
      </c>
      <c r="D191" s="723">
        <v>5</v>
      </c>
      <c r="E191" s="723">
        <v>0</v>
      </c>
      <c r="F191" s="723">
        <v>0</v>
      </c>
      <c r="G191" s="723">
        <v>20</v>
      </c>
      <c r="H191" s="724">
        <v>2703.0932421424905</v>
      </c>
      <c r="I191" s="724">
        <v>901.03108071416341</v>
      </c>
      <c r="J191" s="724">
        <v>0</v>
      </c>
      <c r="K191" s="724">
        <v>0</v>
      </c>
      <c r="L191" s="724">
        <v>3604.1243228566536</v>
      </c>
    </row>
    <row r="192" spans="1:12">
      <c r="A192" s="722" t="s">
        <v>98</v>
      </c>
      <c r="B192" s="722">
        <v>140</v>
      </c>
      <c r="C192" s="723">
        <v>13</v>
      </c>
      <c r="D192" s="723">
        <v>0</v>
      </c>
      <c r="E192" s="723">
        <v>0</v>
      </c>
      <c r="F192" s="723">
        <v>0</v>
      </c>
      <c r="G192" s="723">
        <v>13</v>
      </c>
      <c r="H192" s="724">
        <v>2342.6808098568249</v>
      </c>
      <c r="I192" s="724">
        <v>0</v>
      </c>
      <c r="J192" s="724">
        <v>0</v>
      </c>
      <c r="K192" s="724">
        <v>0</v>
      </c>
      <c r="L192" s="724">
        <v>2342.6808098568249</v>
      </c>
    </row>
    <row r="193" spans="1:12">
      <c r="A193" s="722" t="s">
        <v>98</v>
      </c>
      <c r="B193" s="722">
        <v>144</v>
      </c>
      <c r="C193" s="723">
        <v>3</v>
      </c>
      <c r="D193" s="723">
        <v>0</v>
      </c>
      <c r="E193" s="723">
        <v>0</v>
      </c>
      <c r="F193" s="723">
        <v>0</v>
      </c>
      <c r="G193" s="723">
        <v>3</v>
      </c>
      <c r="H193" s="724">
        <v>540.61864842849798</v>
      </c>
      <c r="I193" s="724">
        <v>0</v>
      </c>
      <c r="J193" s="724">
        <v>0</v>
      </c>
      <c r="K193" s="724">
        <v>0</v>
      </c>
      <c r="L193" s="724">
        <v>540.61864842849798</v>
      </c>
    </row>
    <row r="194" spans="1:12">
      <c r="A194" s="722" t="s">
        <v>98</v>
      </c>
      <c r="B194" s="722">
        <v>160</v>
      </c>
      <c r="C194" s="723">
        <v>3</v>
      </c>
      <c r="D194" s="723">
        <v>0</v>
      </c>
      <c r="E194" s="723">
        <v>0</v>
      </c>
      <c r="F194" s="723">
        <v>0</v>
      </c>
      <c r="G194" s="723">
        <v>3</v>
      </c>
      <c r="H194" s="724">
        <v>540.61864842849798</v>
      </c>
      <c r="I194" s="724">
        <v>0</v>
      </c>
      <c r="J194" s="724">
        <v>0</v>
      </c>
      <c r="K194" s="724">
        <v>0</v>
      </c>
      <c r="L194" s="724">
        <v>540.61864842849798</v>
      </c>
    </row>
    <row r="195" spans="1:12">
      <c r="A195" s="722" t="s">
        <v>98</v>
      </c>
      <c r="B195" s="722">
        <v>330</v>
      </c>
      <c r="C195" s="723">
        <v>5</v>
      </c>
      <c r="D195" s="723">
        <v>0</v>
      </c>
      <c r="E195" s="723">
        <v>0</v>
      </c>
      <c r="F195" s="723">
        <v>0</v>
      </c>
      <c r="G195" s="723">
        <v>5</v>
      </c>
      <c r="H195" s="724">
        <v>901.03108071416341</v>
      </c>
      <c r="I195" s="724">
        <v>0</v>
      </c>
      <c r="J195" s="724">
        <v>0</v>
      </c>
      <c r="K195" s="724">
        <v>0</v>
      </c>
      <c r="L195" s="724">
        <v>901.03108071416341</v>
      </c>
    </row>
    <row r="196" spans="1:12">
      <c r="A196" s="722" t="s">
        <v>98</v>
      </c>
      <c r="B196" s="722">
        <v>420</v>
      </c>
      <c r="C196" s="723">
        <v>1</v>
      </c>
      <c r="D196" s="723">
        <v>0</v>
      </c>
      <c r="E196" s="723">
        <v>0</v>
      </c>
      <c r="F196" s="723">
        <v>0</v>
      </c>
      <c r="G196" s="723">
        <v>1</v>
      </c>
      <c r="H196" s="724">
        <v>180.20621614283269</v>
      </c>
      <c r="I196" s="724">
        <v>0</v>
      </c>
      <c r="J196" s="724">
        <v>0</v>
      </c>
      <c r="K196" s="724">
        <v>0</v>
      </c>
      <c r="L196" s="724">
        <v>180.20621614283269</v>
      </c>
    </row>
    <row r="197" spans="1:12">
      <c r="A197" s="722" t="s">
        <v>99</v>
      </c>
      <c r="B197" s="722">
        <v>100</v>
      </c>
      <c r="C197" s="723">
        <v>0</v>
      </c>
      <c r="D197" s="723">
        <v>1</v>
      </c>
      <c r="E197" s="723">
        <v>0</v>
      </c>
      <c r="F197" s="723">
        <v>0</v>
      </c>
      <c r="G197" s="723">
        <v>1</v>
      </c>
      <c r="H197" s="724">
        <v>0</v>
      </c>
      <c r="I197" s="724">
        <v>105.96002317929599</v>
      </c>
      <c r="J197" s="724">
        <v>0</v>
      </c>
      <c r="K197" s="724">
        <v>0</v>
      </c>
      <c r="L197" s="724">
        <v>105.96002317929599</v>
      </c>
    </row>
    <row r="198" spans="1:12">
      <c r="A198" s="722" t="s">
        <v>99</v>
      </c>
      <c r="B198" s="722">
        <v>101</v>
      </c>
      <c r="C198" s="723">
        <v>0</v>
      </c>
      <c r="D198" s="723">
        <v>1</v>
      </c>
      <c r="E198" s="723">
        <v>0</v>
      </c>
      <c r="F198" s="723">
        <v>0</v>
      </c>
      <c r="G198" s="723">
        <v>1</v>
      </c>
      <c r="H198" s="724">
        <v>0</v>
      </c>
      <c r="I198" s="724">
        <v>105.96002317929599</v>
      </c>
      <c r="J198" s="724">
        <v>0</v>
      </c>
      <c r="K198" s="724">
        <v>0</v>
      </c>
      <c r="L198" s="724">
        <v>105.96002317929599</v>
      </c>
    </row>
    <row r="199" spans="1:12">
      <c r="A199" s="722" t="s">
        <v>99</v>
      </c>
      <c r="B199" s="722">
        <v>104</v>
      </c>
      <c r="C199" s="723">
        <v>0</v>
      </c>
      <c r="D199" s="723">
        <v>5</v>
      </c>
      <c r="E199" s="723">
        <v>0</v>
      </c>
      <c r="F199" s="723">
        <v>0</v>
      </c>
      <c r="G199" s="723">
        <v>5</v>
      </c>
      <c r="H199" s="724">
        <v>0</v>
      </c>
      <c r="I199" s="724">
        <v>529.80011589647995</v>
      </c>
      <c r="J199" s="724">
        <v>0</v>
      </c>
      <c r="K199" s="724">
        <v>0</v>
      </c>
      <c r="L199" s="724">
        <v>529.80011589647995</v>
      </c>
    </row>
    <row r="200" spans="1:12">
      <c r="A200" s="722" t="s">
        <v>99</v>
      </c>
      <c r="B200" s="722">
        <v>120</v>
      </c>
      <c r="C200" s="723">
        <v>3</v>
      </c>
      <c r="D200" s="723">
        <v>2</v>
      </c>
      <c r="E200" s="723">
        <v>0</v>
      </c>
      <c r="F200" s="723">
        <v>0</v>
      </c>
      <c r="G200" s="723">
        <v>5</v>
      </c>
      <c r="H200" s="724">
        <v>317.88006953788801</v>
      </c>
      <c r="I200" s="724">
        <v>211.92004635859197</v>
      </c>
      <c r="J200" s="724">
        <v>0</v>
      </c>
      <c r="K200" s="724">
        <v>0</v>
      </c>
      <c r="L200" s="724">
        <v>529.80011589647995</v>
      </c>
    </row>
    <row r="201" spans="1:12">
      <c r="A201" s="722" t="s">
        <v>99</v>
      </c>
      <c r="B201" s="722">
        <v>130</v>
      </c>
      <c r="C201" s="723">
        <v>1324</v>
      </c>
      <c r="D201" s="723">
        <v>211</v>
      </c>
      <c r="E201" s="723">
        <v>0</v>
      </c>
      <c r="F201" s="723">
        <v>0</v>
      </c>
      <c r="G201" s="723">
        <v>1535</v>
      </c>
      <c r="H201" s="724">
        <v>140291.07068938791</v>
      </c>
      <c r="I201" s="724">
        <v>22357.564890831458</v>
      </c>
      <c r="J201" s="724">
        <v>0</v>
      </c>
      <c r="K201" s="724">
        <v>0</v>
      </c>
      <c r="L201" s="724">
        <v>162648.63558021936</v>
      </c>
    </row>
    <row r="202" spans="1:12">
      <c r="A202" s="722" t="s">
        <v>99</v>
      </c>
      <c r="B202" s="722">
        <v>140</v>
      </c>
      <c r="C202" s="723">
        <v>97</v>
      </c>
      <c r="D202" s="723">
        <v>7</v>
      </c>
      <c r="E202" s="723">
        <v>0</v>
      </c>
      <c r="F202" s="723">
        <v>0</v>
      </c>
      <c r="G202" s="723">
        <v>104</v>
      </c>
      <c r="H202" s="724">
        <v>10278.12224839171</v>
      </c>
      <c r="I202" s="724">
        <v>741.72016225507184</v>
      </c>
      <c r="J202" s="724">
        <v>0</v>
      </c>
      <c r="K202" s="724">
        <v>0</v>
      </c>
      <c r="L202" s="724">
        <v>11019.842410646783</v>
      </c>
    </row>
    <row r="203" spans="1:12">
      <c r="A203" s="722" t="s">
        <v>99</v>
      </c>
      <c r="B203" s="722">
        <v>144</v>
      </c>
      <c r="C203" s="723">
        <v>204</v>
      </c>
      <c r="D203" s="723">
        <v>12</v>
      </c>
      <c r="E203" s="723">
        <v>0</v>
      </c>
      <c r="F203" s="723">
        <v>0</v>
      </c>
      <c r="G203" s="723">
        <v>216</v>
      </c>
      <c r="H203" s="724">
        <v>21615.844728576383</v>
      </c>
      <c r="I203" s="724">
        <v>1271.5202781515518</v>
      </c>
      <c r="J203" s="724">
        <v>0</v>
      </c>
      <c r="K203" s="724">
        <v>0</v>
      </c>
      <c r="L203" s="724">
        <v>22887.365006727934</v>
      </c>
    </row>
    <row r="204" spans="1:12">
      <c r="A204" s="722" t="s">
        <v>99</v>
      </c>
      <c r="B204" s="722">
        <v>160</v>
      </c>
      <c r="C204" s="723">
        <v>1</v>
      </c>
      <c r="D204" s="723">
        <v>0</v>
      </c>
      <c r="E204" s="723">
        <v>0</v>
      </c>
      <c r="F204" s="723">
        <v>0</v>
      </c>
      <c r="G204" s="723">
        <v>1</v>
      </c>
      <c r="H204" s="724">
        <v>105.96002317929599</v>
      </c>
      <c r="I204" s="724">
        <v>0</v>
      </c>
      <c r="J204" s="724">
        <v>0</v>
      </c>
      <c r="K204" s="724">
        <v>0</v>
      </c>
      <c r="L204" s="724">
        <v>105.96002317929599</v>
      </c>
    </row>
    <row r="205" spans="1:12">
      <c r="A205" s="722" t="s">
        <v>99</v>
      </c>
      <c r="B205" s="722">
        <v>330</v>
      </c>
      <c r="C205" s="723">
        <v>4</v>
      </c>
      <c r="D205" s="723">
        <v>0</v>
      </c>
      <c r="E205" s="723">
        <v>0</v>
      </c>
      <c r="F205" s="723">
        <v>0</v>
      </c>
      <c r="G205" s="723">
        <v>4</v>
      </c>
      <c r="H205" s="724">
        <v>423.84009271718395</v>
      </c>
      <c r="I205" s="724">
        <v>0</v>
      </c>
      <c r="J205" s="724">
        <v>0</v>
      </c>
      <c r="K205" s="724">
        <v>0</v>
      </c>
      <c r="L205" s="724">
        <v>423.84009271718395</v>
      </c>
    </row>
    <row r="206" spans="1:12">
      <c r="A206" s="722" t="s">
        <v>99</v>
      </c>
      <c r="B206" s="722">
        <v>410</v>
      </c>
      <c r="C206" s="723">
        <v>1</v>
      </c>
      <c r="D206" s="723">
        <v>8</v>
      </c>
      <c r="E206" s="723">
        <v>0</v>
      </c>
      <c r="F206" s="723">
        <v>0</v>
      </c>
      <c r="G206" s="723">
        <v>9</v>
      </c>
      <c r="H206" s="724">
        <v>105.96002317929599</v>
      </c>
      <c r="I206" s="724">
        <v>847.6801854343679</v>
      </c>
      <c r="J206" s="724">
        <v>0</v>
      </c>
      <c r="K206" s="724">
        <v>0</v>
      </c>
      <c r="L206" s="724">
        <v>953.64020861366384</v>
      </c>
    </row>
    <row r="207" spans="1:12">
      <c r="A207" s="722" t="s">
        <v>99</v>
      </c>
      <c r="B207" s="722">
        <v>460</v>
      </c>
      <c r="C207" s="723">
        <v>7</v>
      </c>
      <c r="D207" s="723">
        <v>0</v>
      </c>
      <c r="E207" s="723">
        <v>0</v>
      </c>
      <c r="F207" s="723">
        <v>0</v>
      </c>
      <c r="G207" s="723">
        <v>7</v>
      </c>
      <c r="H207" s="724">
        <v>741.72016225507184</v>
      </c>
      <c r="I207" s="724">
        <v>0</v>
      </c>
      <c r="J207" s="724">
        <v>0</v>
      </c>
      <c r="K207" s="724">
        <v>0</v>
      </c>
      <c r="L207" s="724">
        <v>741.72016225507184</v>
      </c>
    </row>
    <row r="208" spans="1:12">
      <c r="A208" s="722" t="s">
        <v>99</v>
      </c>
      <c r="B208" s="722">
        <v>501</v>
      </c>
      <c r="C208" s="723">
        <v>2</v>
      </c>
      <c r="D208" s="723">
        <v>2</v>
      </c>
      <c r="E208" s="723">
        <v>0</v>
      </c>
      <c r="F208" s="723">
        <v>0</v>
      </c>
      <c r="G208" s="723">
        <v>4</v>
      </c>
      <c r="H208" s="724">
        <v>211.92004635859197</v>
      </c>
      <c r="I208" s="724">
        <v>211.92004635859197</v>
      </c>
      <c r="J208" s="724">
        <v>0</v>
      </c>
      <c r="K208" s="724">
        <v>0</v>
      </c>
      <c r="L208" s="724">
        <v>423.84009271718395</v>
      </c>
    </row>
    <row r="209" spans="1:12">
      <c r="A209" s="722" t="s">
        <v>100</v>
      </c>
      <c r="B209" s="722">
        <v>120</v>
      </c>
      <c r="C209" s="723">
        <v>0</v>
      </c>
      <c r="D209" s="723">
        <v>1</v>
      </c>
      <c r="E209" s="723">
        <v>0</v>
      </c>
      <c r="F209" s="723">
        <v>0</v>
      </c>
      <c r="G209" s="723">
        <v>1</v>
      </c>
      <c r="H209" s="724">
        <v>0</v>
      </c>
      <c r="I209" s="724">
        <v>104.47974528365036</v>
      </c>
      <c r="J209" s="724">
        <v>0</v>
      </c>
      <c r="K209" s="724">
        <v>0</v>
      </c>
      <c r="L209" s="724">
        <v>104.47974528365036</v>
      </c>
    </row>
    <row r="210" spans="1:12">
      <c r="A210" s="722" t="s">
        <v>100</v>
      </c>
      <c r="B210" s="722">
        <v>130</v>
      </c>
      <c r="C210" s="723">
        <v>119</v>
      </c>
      <c r="D210" s="723">
        <v>11</v>
      </c>
      <c r="E210" s="723">
        <v>0</v>
      </c>
      <c r="F210" s="723">
        <v>0</v>
      </c>
      <c r="G210" s="723">
        <v>130</v>
      </c>
      <c r="H210" s="724">
        <v>12433.089688754389</v>
      </c>
      <c r="I210" s="724">
        <v>1149.2771981201538</v>
      </c>
      <c r="J210" s="724">
        <v>0</v>
      </c>
      <c r="K210" s="724">
        <v>0</v>
      </c>
      <c r="L210" s="724">
        <v>13582.366886874544</v>
      </c>
    </row>
    <row r="211" spans="1:12">
      <c r="A211" s="722" t="s">
        <v>100</v>
      </c>
      <c r="B211" s="722">
        <v>143</v>
      </c>
      <c r="C211" s="723">
        <v>0</v>
      </c>
      <c r="D211" s="723">
        <v>1</v>
      </c>
      <c r="E211" s="723">
        <v>0</v>
      </c>
      <c r="F211" s="723">
        <v>0</v>
      </c>
      <c r="G211" s="723">
        <v>1</v>
      </c>
      <c r="H211" s="724">
        <v>0</v>
      </c>
      <c r="I211" s="724">
        <v>104.47974528365036</v>
      </c>
      <c r="J211" s="724">
        <v>0</v>
      </c>
      <c r="K211" s="724">
        <v>0</v>
      </c>
      <c r="L211" s="724">
        <v>104.47974528365036</v>
      </c>
    </row>
    <row r="212" spans="1:12">
      <c r="A212" s="722" t="s">
        <v>100</v>
      </c>
      <c r="B212" s="722">
        <v>216</v>
      </c>
      <c r="C212" s="723">
        <v>3</v>
      </c>
      <c r="D212" s="723">
        <v>0</v>
      </c>
      <c r="E212" s="723">
        <v>0</v>
      </c>
      <c r="F212" s="723">
        <v>0</v>
      </c>
      <c r="G212" s="723">
        <v>3</v>
      </c>
      <c r="H212" s="724">
        <v>313.43923585095109</v>
      </c>
      <c r="I212" s="724">
        <v>0</v>
      </c>
      <c r="J212" s="724">
        <v>0</v>
      </c>
      <c r="K212" s="724">
        <v>0</v>
      </c>
      <c r="L212" s="724">
        <v>313.43923585095109</v>
      </c>
    </row>
    <row r="213" spans="1:12">
      <c r="A213" s="722" t="s">
        <v>100</v>
      </c>
      <c r="B213" s="722">
        <v>217</v>
      </c>
      <c r="C213" s="723">
        <v>2</v>
      </c>
      <c r="D213" s="723">
        <v>0</v>
      </c>
      <c r="E213" s="723">
        <v>0</v>
      </c>
      <c r="F213" s="723">
        <v>0</v>
      </c>
      <c r="G213" s="723">
        <v>2</v>
      </c>
      <c r="H213" s="724">
        <v>208.95949056730072</v>
      </c>
      <c r="I213" s="724">
        <v>0</v>
      </c>
      <c r="J213" s="724">
        <v>0</v>
      </c>
      <c r="K213" s="724">
        <v>0</v>
      </c>
      <c r="L213" s="724">
        <v>208.95949056730072</v>
      </c>
    </row>
    <row r="214" spans="1:12">
      <c r="A214" s="722" t="s">
        <v>100</v>
      </c>
      <c r="B214" s="722">
        <v>420</v>
      </c>
      <c r="C214" s="723">
        <v>0</v>
      </c>
      <c r="D214" s="723">
        <v>1</v>
      </c>
      <c r="E214" s="723">
        <v>0</v>
      </c>
      <c r="F214" s="723">
        <v>0</v>
      </c>
      <c r="G214" s="723">
        <v>1</v>
      </c>
      <c r="H214" s="724">
        <v>0</v>
      </c>
      <c r="I214" s="724">
        <v>104.47974528365036</v>
      </c>
      <c r="J214" s="724">
        <v>0</v>
      </c>
      <c r="K214" s="724">
        <v>0</v>
      </c>
      <c r="L214" s="724">
        <v>104.47974528365036</v>
      </c>
    </row>
    <row r="215" spans="1:12">
      <c r="A215" s="722" t="s">
        <v>100</v>
      </c>
      <c r="B215" s="722">
        <v>460</v>
      </c>
      <c r="C215" s="723">
        <v>1</v>
      </c>
      <c r="D215" s="723">
        <v>0</v>
      </c>
      <c r="E215" s="723">
        <v>0</v>
      </c>
      <c r="F215" s="723">
        <v>0</v>
      </c>
      <c r="G215" s="723">
        <v>1</v>
      </c>
      <c r="H215" s="724">
        <v>104.47974528365036</v>
      </c>
      <c r="I215" s="724">
        <v>0</v>
      </c>
      <c r="J215" s="724">
        <v>0</v>
      </c>
      <c r="K215" s="724">
        <v>0</v>
      </c>
      <c r="L215" s="724">
        <v>104.47974528365036</v>
      </c>
    </row>
    <row r="216" spans="1:12">
      <c r="A216" s="722" t="s">
        <v>101</v>
      </c>
      <c r="B216" s="722">
        <v>100</v>
      </c>
      <c r="C216" s="723">
        <v>1</v>
      </c>
      <c r="D216" s="723">
        <v>0</v>
      </c>
      <c r="E216" s="723">
        <v>0</v>
      </c>
      <c r="F216" s="723">
        <v>0</v>
      </c>
      <c r="G216" s="723">
        <v>1</v>
      </c>
      <c r="H216" s="724">
        <v>72.655713729382569</v>
      </c>
      <c r="I216" s="724">
        <v>0</v>
      </c>
      <c r="J216" s="724">
        <v>0</v>
      </c>
      <c r="K216" s="724">
        <v>0</v>
      </c>
      <c r="L216" s="724">
        <v>72.655713729382569</v>
      </c>
    </row>
    <row r="217" spans="1:12">
      <c r="A217" s="722" t="s">
        <v>101</v>
      </c>
      <c r="B217" s="722">
        <v>130</v>
      </c>
      <c r="C217" s="723">
        <v>42</v>
      </c>
      <c r="D217" s="723">
        <v>19</v>
      </c>
      <c r="E217" s="723">
        <v>0</v>
      </c>
      <c r="F217" s="723">
        <v>0</v>
      </c>
      <c r="G217" s="723">
        <v>61</v>
      </c>
      <c r="H217" s="724">
        <v>3051.5399766340674</v>
      </c>
      <c r="I217" s="724">
        <v>1380.4585608582688</v>
      </c>
      <c r="J217" s="724">
        <v>0</v>
      </c>
      <c r="K217" s="724">
        <v>0</v>
      </c>
      <c r="L217" s="724">
        <v>4431.9985374923363</v>
      </c>
    </row>
    <row r="218" spans="1:12">
      <c r="A218" s="722" t="s">
        <v>101</v>
      </c>
      <c r="B218" s="722">
        <v>307</v>
      </c>
      <c r="C218" s="723">
        <v>1</v>
      </c>
      <c r="D218" s="723">
        <v>0</v>
      </c>
      <c r="E218" s="723">
        <v>0</v>
      </c>
      <c r="F218" s="723">
        <v>0</v>
      </c>
      <c r="G218" s="723">
        <v>1</v>
      </c>
      <c r="H218" s="724">
        <v>72.655713729382569</v>
      </c>
      <c r="I218" s="724">
        <v>0</v>
      </c>
      <c r="J218" s="724">
        <v>0</v>
      </c>
      <c r="K218" s="724">
        <v>0</v>
      </c>
      <c r="L218" s="724">
        <v>72.655713729382569</v>
      </c>
    </row>
    <row r="219" spans="1:12">
      <c r="A219" s="722" t="s">
        <v>101</v>
      </c>
      <c r="B219" s="722">
        <v>330</v>
      </c>
      <c r="C219" s="723">
        <v>5</v>
      </c>
      <c r="D219" s="723">
        <v>2</v>
      </c>
      <c r="E219" s="723">
        <v>0</v>
      </c>
      <c r="F219" s="723">
        <v>0</v>
      </c>
      <c r="G219" s="723">
        <v>7</v>
      </c>
      <c r="H219" s="724">
        <v>363.27856864691279</v>
      </c>
      <c r="I219" s="724">
        <v>145.31142745876511</v>
      </c>
      <c r="J219" s="724">
        <v>0</v>
      </c>
      <c r="K219" s="724">
        <v>0</v>
      </c>
      <c r="L219" s="724">
        <v>508.58999610567793</v>
      </c>
    </row>
    <row r="220" spans="1:12">
      <c r="A220" s="722" t="s">
        <v>101</v>
      </c>
      <c r="B220" s="722">
        <v>502</v>
      </c>
      <c r="C220" s="723">
        <v>0</v>
      </c>
      <c r="D220" s="723">
        <v>2</v>
      </c>
      <c r="E220" s="723">
        <v>0</v>
      </c>
      <c r="F220" s="723">
        <v>0</v>
      </c>
      <c r="G220" s="723">
        <v>2</v>
      </c>
      <c r="H220" s="724">
        <v>0</v>
      </c>
      <c r="I220" s="724">
        <v>145.31142745876514</v>
      </c>
      <c r="J220" s="724">
        <v>0</v>
      </c>
      <c r="K220" s="724">
        <v>0</v>
      </c>
      <c r="L220" s="724">
        <v>145.31142745876514</v>
      </c>
    </row>
    <row r="221" spans="1:12">
      <c r="A221" s="722" t="s">
        <v>101</v>
      </c>
      <c r="B221" s="722">
        <v>650</v>
      </c>
      <c r="C221" s="723">
        <v>1</v>
      </c>
      <c r="D221" s="723">
        <v>1</v>
      </c>
      <c r="E221" s="723">
        <v>0</v>
      </c>
      <c r="F221" s="723">
        <v>0</v>
      </c>
      <c r="G221" s="723">
        <v>2</v>
      </c>
      <c r="H221" s="724">
        <v>72.655713729382569</v>
      </c>
      <c r="I221" s="724">
        <v>72.655713729382569</v>
      </c>
      <c r="J221" s="724">
        <v>0</v>
      </c>
      <c r="K221" s="724">
        <v>0</v>
      </c>
      <c r="L221" s="724">
        <v>145.31142745876514</v>
      </c>
    </row>
    <row r="222" spans="1:12">
      <c r="A222" s="722" t="s">
        <v>102</v>
      </c>
      <c r="B222" s="722">
        <v>130</v>
      </c>
      <c r="C222" s="723">
        <v>30</v>
      </c>
      <c r="D222" s="723">
        <v>0</v>
      </c>
      <c r="E222" s="723">
        <v>0</v>
      </c>
      <c r="F222" s="723">
        <v>0</v>
      </c>
      <c r="G222" s="723">
        <v>30</v>
      </c>
      <c r="H222" s="724">
        <v>2313.0069585289398</v>
      </c>
      <c r="I222" s="724">
        <v>0</v>
      </c>
      <c r="J222" s="724">
        <v>0</v>
      </c>
      <c r="K222" s="724">
        <v>0</v>
      </c>
      <c r="L222" s="724">
        <v>2313.0069585289398</v>
      </c>
    </row>
    <row r="223" spans="1:12">
      <c r="A223" s="722" t="s">
        <v>103</v>
      </c>
      <c r="B223" s="722">
        <v>130</v>
      </c>
      <c r="C223" s="723">
        <v>22</v>
      </c>
      <c r="D223" s="723">
        <v>12</v>
      </c>
      <c r="E223" s="723">
        <v>0</v>
      </c>
      <c r="F223" s="723">
        <v>0</v>
      </c>
      <c r="G223" s="723">
        <v>34</v>
      </c>
      <c r="H223" s="724">
        <v>1252.4735012327419</v>
      </c>
      <c r="I223" s="724">
        <v>683.16736430876824</v>
      </c>
      <c r="J223" s="724">
        <v>0</v>
      </c>
      <c r="K223" s="724">
        <v>0</v>
      </c>
      <c r="L223" s="724">
        <v>1935.64086554151</v>
      </c>
    </row>
    <row r="224" spans="1:12">
      <c r="A224" s="722" t="s">
        <v>104</v>
      </c>
      <c r="B224" s="722">
        <v>103</v>
      </c>
      <c r="C224" s="723">
        <v>0</v>
      </c>
      <c r="D224" s="723">
        <v>1</v>
      </c>
      <c r="E224" s="723">
        <v>0</v>
      </c>
      <c r="F224" s="723">
        <v>0</v>
      </c>
      <c r="G224" s="723">
        <v>1</v>
      </c>
      <c r="H224" s="724">
        <v>0</v>
      </c>
      <c r="I224" s="724">
        <v>117.60105466950127</v>
      </c>
      <c r="J224" s="724">
        <v>0</v>
      </c>
      <c r="K224" s="724">
        <v>0</v>
      </c>
      <c r="L224" s="724">
        <v>117.60105466950127</v>
      </c>
    </row>
    <row r="225" spans="1:12">
      <c r="A225" s="722" t="s">
        <v>104</v>
      </c>
      <c r="B225" s="722">
        <v>130</v>
      </c>
      <c r="C225" s="723">
        <v>263</v>
      </c>
      <c r="D225" s="723">
        <v>36</v>
      </c>
      <c r="E225" s="723">
        <v>0</v>
      </c>
      <c r="F225" s="723">
        <v>0</v>
      </c>
      <c r="G225" s="723">
        <v>299</v>
      </c>
      <c r="H225" s="724">
        <v>30929.07737807884</v>
      </c>
      <c r="I225" s="724">
        <v>4233.6379681020462</v>
      </c>
      <c r="J225" s="724">
        <v>0</v>
      </c>
      <c r="K225" s="724">
        <v>0</v>
      </c>
      <c r="L225" s="724">
        <v>35162.715346180885</v>
      </c>
    </row>
    <row r="226" spans="1:12">
      <c r="A226" s="722" t="s">
        <v>104</v>
      </c>
      <c r="B226" s="722">
        <v>320</v>
      </c>
      <c r="C226" s="723">
        <v>4</v>
      </c>
      <c r="D226" s="723">
        <v>0</v>
      </c>
      <c r="E226" s="723">
        <v>0</v>
      </c>
      <c r="F226" s="723">
        <v>0</v>
      </c>
      <c r="G226" s="723">
        <v>4</v>
      </c>
      <c r="H226" s="724">
        <v>470.40421867800507</v>
      </c>
      <c r="I226" s="724">
        <v>0</v>
      </c>
      <c r="J226" s="724">
        <v>0</v>
      </c>
      <c r="K226" s="724">
        <v>0</v>
      </c>
      <c r="L226" s="724">
        <v>470.40421867800507</v>
      </c>
    </row>
    <row r="227" spans="1:12">
      <c r="A227" s="722" t="s">
        <v>104</v>
      </c>
      <c r="B227" s="722">
        <v>370</v>
      </c>
      <c r="C227" s="723">
        <v>1</v>
      </c>
      <c r="D227" s="723">
        <v>0</v>
      </c>
      <c r="E227" s="723">
        <v>0</v>
      </c>
      <c r="F227" s="723">
        <v>0</v>
      </c>
      <c r="G227" s="723">
        <v>1</v>
      </c>
      <c r="H227" s="724">
        <v>117.60105466950127</v>
      </c>
      <c r="I227" s="724">
        <v>0</v>
      </c>
      <c r="J227" s="724">
        <v>0</v>
      </c>
      <c r="K227" s="724">
        <v>0</v>
      </c>
      <c r="L227" s="724">
        <v>117.60105466950127</v>
      </c>
    </row>
    <row r="228" spans="1:12">
      <c r="A228" s="722" t="s">
        <v>104</v>
      </c>
      <c r="B228" s="722">
        <v>400</v>
      </c>
      <c r="C228" s="723">
        <v>3</v>
      </c>
      <c r="D228" s="723">
        <v>0</v>
      </c>
      <c r="E228" s="723">
        <v>0</v>
      </c>
      <c r="F228" s="723">
        <v>0</v>
      </c>
      <c r="G228" s="723">
        <v>3</v>
      </c>
      <c r="H228" s="724">
        <v>352.80316400850387</v>
      </c>
      <c r="I228" s="724">
        <v>0</v>
      </c>
      <c r="J228" s="724">
        <v>0</v>
      </c>
      <c r="K228" s="724">
        <v>0</v>
      </c>
      <c r="L228" s="724">
        <v>352.80316400850381</v>
      </c>
    </row>
    <row r="229" spans="1:12">
      <c r="A229" s="722" t="s">
        <v>104</v>
      </c>
      <c r="B229" s="722">
        <v>410</v>
      </c>
      <c r="C229" s="723">
        <v>3</v>
      </c>
      <c r="D229" s="723">
        <v>0</v>
      </c>
      <c r="E229" s="723">
        <v>0</v>
      </c>
      <c r="F229" s="723">
        <v>0</v>
      </c>
      <c r="G229" s="723">
        <v>3</v>
      </c>
      <c r="H229" s="724">
        <v>352.80316400850387</v>
      </c>
      <c r="I229" s="724">
        <v>0</v>
      </c>
      <c r="J229" s="724">
        <v>0</v>
      </c>
      <c r="K229" s="724">
        <v>0</v>
      </c>
      <c r="L229" s="724">
        <v>352.80316400850381</v>
      </c>
    </row>
    <row r="230" spans="1:12">
      <c r="A230" s="722" t="s">
        <v>104</v>
      </c>
      <c r="B230" s="722">
        <v>502</v>
      </c>
      <c r="C230" s="723">
        <v>1</v>
      </c>
      <c r="D230" s="723">
        <v>2</v>
      </c>
      <c r="E230" s="723">
        <v>0</v>
      </c>
      <c r="F230" s="723">
        <v>0</v>
      </c>
      <c r="G230" s="723">
        <v>3</v>
      </c>
      <c r="H230" s="724">
        <v>117.60105466950127</v>
      </c>
      <c r="I230" s="724">
        <v>235.20210933900253</v>
      </c>
      <c r="J230" s="724">
        <v>0</v>
      </c>
      <c r="K230" s="724">
        <v>0</v>
      </c>
      <c r="L230" s="724">
        <v>352.80316400850381</v>
      </c>
    </row>
    <row r="231" spans="1:12">
      <c r="A231" s="722" t="s">
        <v>105</v>
      </c>
      <c r="B231" s="722">
        <v>130</v>
      </c>
      <c r="C231" s="723">
        <v>14</v>
      </c>
      <c r="D231" s="723">
        <v>3</v>
      </c>
      <c r="E231" s="723">
        <v>0</v>
      </c>
      <c r="F231" s="723">
        <v>0</v>
      </c>
      <c r="G231" s="723">
        <v>17</v>
      </c>
      <c r="H231" s="724">
        <v>584.0301019178446</v>
      </c>
      <c r="I231" s="724">
        <v>125.14930755382386</v>
      </c>
      <c r="J231" s="724">
        <v>0</v>
      </c>
      <c r="K231" s="724">
        <v>0</v>
      </c>
      <c r="L231" s="724">
        <v>709.17940947166846</v>
      </c>
    </row>
    <row r="232" spans="1:12">
      <c r="A232" s="722" t="s">
        <v>105</v>
      </c>
      <c r="B232" s="722">
        <v>216</v>
      </c>
      <c r="C232" s="723">
        <v>9</v>
      </c>
      <c r="D232" s="723">
        <v>0</v>
      </c>
      <c r="E232" s="723">
        <v>0</v>
      </c>
      <c r="F232" s="723">
        <v>0</v>
      </c>
      <c r="G232" s="723">
        <v>9</v>
      </c>
      <c r="H232" s="724">
        <v>375.44792266147152</v>
      </c>
      <c r="I232" s="724">
        <v>0</v>
      </c>
      <c r="J232" s="724">
        <v>0</v>
      </c>
      <c r="K232" s="724">
        <v>0</v>
      </c>
      <c r="L232" s="724">
        <v>375.44792266147152</v>
      </c>
    </row>
    <row r="233" spans="1:12">
      <c r="A233" s="722" t="s">
        <v>106</v>
      </c>
      <c r="B233" s="722">
        <v>100</v>
      </c>
      <c r="C233" s="723">
        <v>0</v>
      </c>
      <c r="D233" s="723">
        <v>1</v>
      </c>
      <c r="E233" s="723">
        <v>0</v>
      </c>
      <c r="F233" s="723">
        <v>0</v>
      </c>
      <c r="G233" s="723">
        <v>1</v>
      </c>
      <c r="H233" s="724">
        <v>0</v>
      </c>
      <c r="I233" s="724">
        <v>77.639373900999146</v>
      </c>
      <c r="J233" s="724">
        <v>0</v>
      </c>
      <c r="K233" s="724">
        <v>0</v>
      </c>
      <c r="L233" s="724">
        <v>77.639373900999146</v>
      </c>
    </row>
    <row r="234" spans="1:12">
      <c r="A234" s="722" t="s">
        <v>106</v>
      </c>
      <c r="B234" s="722">
        <v>130</v>
      </c>
      <c r="C234" s="723">
        <v>23</v>
      </c>
      <c r="D234" s="723">
        <v>7</v>
      </c>
      <c r="E234" s="723">
        <v>0</v>
      </c>
      <c r="F234" s="723">
        <v>0</v>
      </c>
      <c r="G234" s="723">
        <v>30</v>
      </c>
      <c r="H234" s="724">
        <v>1785.7055997229804</v>
      </c>
      <c r="I234" s="724">
        <v>543.47561730699408</v>
      </c>
      <c r="J234" s="724">
        <v>0</v>
      </c>
      <c r="K234" s="724">
        <v>0</v>
      </c>
      <c r="L234" s="724">
        <v>2329.1812170299745</v>
      </c>
    </row>
    <row r="235" spans="1:12">
      <c r="A235" s="722" t="s">
        <v>106</v>
      </c>
      <c r="B235" s="722">
        <v>170</v>
      </c>
      <c r="C235" s="723">
        <v>1</v>
      </c>
      <c r="D235" s="723">
        <v>0</v>
      </c>
      <c r="E235" s="723">
        <v>0</v>
      </c>
      <c r="F235" s="723">
        <v>0</v>
      </c>
      <c r="G235" s="723">
        <v>1</v>
      </c>
      <c r="H235" s="724">
        <v>77.639373900999146</v>
      </c>
      <c r="I235" s="724">
        <v>0</v>
      </c>
      <c r="J235" s="724">
        <v>0</v>
      </c>
      <c r="K235" s="724">
        <v>0</v>
      </c>
      <c r="L235" s="724">
        <v>77.639373900999146</v>
      </c>
    </row>
    <row r="236" spans="1:12">
      <c r="A236" s="722" t="s">
        <v>106</v>
      </c>
      <c r="B236" s="722">
        <v>300</v>
      </c>
      <c r="C236" s="723">
        <v>1</v>
      </c>
      <c r="D236" s="723">
        <v>0</v>
      </c>
      <c r="E236" s="723">
        <v>0</v>
      </c>
      <c r="F236" s="723">
        <v>0</v>
      </c>
      <c r="G236" s="723">
        <v>1</v>
      </c>
      <c r="H236" s="724">
        <v>77.639373900999146</v>
      </c>
      <c r="I236" s="724">
        <v>0</v>
      </c>
      <c r="J236" s="724">
        <v>0</v>
      </c>
      <c r="K236" s="724">
        <v>0</v>
      </c>
      <c r="L236" s="724">
        <v>77.639373900999146</v>
      </c>
    </row>
    <row r="237" spans="1:12">
      <c r="A237" s="722" t="s">
        <v>106</v>
      </c>
      <c r="B237" s="722">
        <v>340</v>
      </c>
      <c r="C237" s="723">
        <v>0</v>
      </c>
      <c r="D237" s="723">
        <v>2</v>
      </c>
      <c r="E237" s="723">
        <v>0</v>
      </c>
      <c r="F237" s="723">
        <v>0</v>
      </c>
      <c r="G237" s="723">
        <v>2</v>
      </c>
      <c r="H237" s="724">
        <v>0</v>
      </c>
      <c r="I237" s="724">
        <v>155.27874780199829</v>
      </c>
      <c r="J237" s="724">
        <v>0</v>
      </c>
      <c r="K237" s="724">
        <v>0</v>
      </c>
      <c r="L237" s="724">
        <v>155.27874780199829</v>
      </c>
    </row>
    <row r="238" spans="1:12">
      <c r="A238" s="722" t="s">
        <v>107</v>
      </c>
      <c r="B238" s="722">
        <v>130</v>
      </c>
      <c r="C238" s="723">
        <v>0</v>
      </c>
      <c r="D238" s="723">
        <v>1</v>
      </c>
      <c r="E238" s="723">
        <v>0</v>
      </c>
      <c r="F238" s="723">
        <v>0</v>
      </c>
      <c r="G238" s="723">
        <v>1</v>
      </c>
      <c r="H238" s="724">
        <v>0</v>
      </c>
      <c r="I238" s="724">
        <v>54.467909844430501</v>
      </c>
      <c r="J238" s="724">
        <v>0</v>
      </c>
      <c r="K238" s="724">
        <v>0</v>
      </c>
      <c r="L238" s="724">
        <v>54.467909844430501</v>
      </c>
    </row>
    <row r="239" spans="1:12">
      <c r="A239" s="722" t="s">
        <v>107</v>
      </c>
      <c r="B239" s="722">
        <v>216</v>
      </c>
      <c r="C239" s="723">
        <v>3</v>
      </c>
      <c r="D239" s="723">
        <v>0</v>
      </c>
      <c r="E239" s="723">
        <v>0</v>
      </c>
      <c r="F239" s="723">
        <v>0</v>
      </c>
      <c r="G239" s="723">
        <v>3</v>
      </c>
      <c r="H239" s="724">
        <v>163.40372953329151</v>
      </c>
      <c r="I239" s="724">
        <v>0</v>
      </c>
      <c r="J239" s="724">
        <v>0</v>
      </c>
      <c r="K239" s="724">
        <v>0</v>
      </c>
      <c r="L239" s="724">
        <v>163.40372953329151</v>
      </c>
    </row>
    <row r="240" spans="1:12">
      <c r="A240" s="722" t="s">
        <v>108</v>
      </c>
      <c r="B240" s="722">
        <v>100</v>
      </c>
      <c r="C240" s="723">
        <v>2</v>
      </c>
      <c r="D240" s="723">
        <v>3</v>
      </c>
      <c r="E240" s="723">
        <v>0</v>
      </c>
      <c r="F240" s="723">
        <v>0</v>
      </c>
      <c r="G240" s="723">
        <v>5</v>
      </c>
      <c r="H240" s="724">
        <v>84.313841677951316</v>
      </c>
      <c r="I240" s="724">
        <v>126.47076251692697</v>
      </c>
      <c r="J240" s="724">
        <v>0</v>
      </c>
      <c r="K240" s="724">
        <v>0</v>
      </c>
      <c r="L240" s="724">
        <v>210.78460419487828</v>
      </c>
    </row>
    <row r="241" spans="1:12">
      <c r="A241" s="722" t="s">
        <v>108</v>
      </c>
      <c r="B241" s="722">
        <v>101</v>
      </c>
      <c r="C241" s="723">
        <v>4</v>
      </c>
      <c r="D241" s="723">
        <v>2</v>
      </c>
      <c r="E241" s="723">
        <v>0</v>
      </c>
      <c r="F241" s="723">
        <v>0</v>
      </c>
      <c r="G241" s="723">
        <v>6</v>
      </c>
      <c r="H241" s="724">
        <v>168.62768335590263</v>
      </c>
      <c r="I241" s="724">
        <v>84.313841677951316</v>
      </c>
      <c r="J241" s="724">
        <v>0</v>
      </c>
      <c r="K241" s="724">
        <v>0</v>
      </c>
      <c r="L241" s="724">
        <v>252.94152503385396</v>
      </c>
    </row>
    <row r="242" spans="1:12">
      <c r="A242" s="722" t="s">
        <v>108</v>
      </c>
      <c r="B242" s="722">
        <v>103</v>
      </c>
      <c r="C242" s="723">
        <v>3</v>
      </c>
      <c r="D242" s="723">
        <v>0</v>
      </c>
      <c r="E242" s="723">
        <v>0</v>
      </c>
      <c r="F242" s="723">
        <v>0</v>
      </c>
      <c r="G242" s="723">
        <v>3</v>
      </c>
      <c r="H242" s="724">
        <v>126.47076251692698</v>
      </c>
      <c r="I242" s="724">
        <v>0</v>
      </c>
      <c r="J242" s="724">
        <v>0</v>
      </c>
      <c r="K242" s="724">
        <v>0</v>
      </c>
      <c r="L242" s="724">
        <v>126.47076251692698</v>
      </c>
    </row>
    <row r="243" spans="1:12">
      <c r="A243" s="722" t="s">
        <v>108</v>
      </c>
      <c r="B243" s="722">
        <v>104</v>
      </c>
      <c r="C243" s="723">
        <v>1</v>
      </c>
      <c r="D243" s="723">
        <v>1</v>
      </c>
      <c r="E243" s="723">
        <v>0</v>
      </c>
      <c r="F243" s="723">
        <v>0</v>
      </c>
      <c r="G243" s="723">
        <v>2</v>
      </c>
      <c r="H243" s="724">
        <v>42.156920838975665</v>
      </c>
      <c r="I243" s="724">
        <v>42.156920838975665</v>
      </c>
      <c r="J243" s="724">
        <v>0</v>
      </c>
      <c r="K243" s="724">
        <v>0</v>
      </c>
      <c r="L243" s="724">
        <v>84.313841677951331</v>
      </c>
    </row>
    <row r="244" spans="1:12">
      <c r="A244" s="722" t="s">
        <v>108</v>
      </c>
      <c r="B244" s="722">
        <v>107</v>
      </c>
      <c r="C244" s="723">
        <v>1</v>
      </c>
      <c r="D244" s="723">
        <v>1</v>
      </c>
      <c r="E244" s="723">
        <v>0</v>
      </c>
      <c r="F244" s="723">
        <v>0</v>
      </c>
      <c r="G244" s="723">
        <v>2</v>
      </c>
      <c r="H244" s="724">
        <v>42.156920838975665</v>
      </c>
      <c r="I244" s="724">
        <v>42.156920838975665</v>
      </c>
      <c r="J244" s="724">
        <v>0</v>
      </c>
      <c r="K244" s="724">
        <v>0</v>
      </c>
      <c r="L244" s="724">
        <v>84.313841677951331</v>
      </c>
    </row>
    <row r="245" spans="1:12">
      <c r="A245" s="722" t="s">
        <v>108</v>
      </c>
      <c r="B245" s="722">
        <v>110</v>
      </c>
      <c r="C245" s="723">
        <v>9</v>
      </c>
      <c r="D245" s="723">
        <v>1</v>
      </c>
      <c r="E245" s="723">
        <v>0</v>
      </c>
      <c r="F245" s="723">
        <v>0</v>
      </c>
      <c r="G245" s="723">
        <v>10</v>
      </c>
      <c r="H245" s="724">
        <v>379.41228755078089</v>
      </c>
      <c r="I245" s="724">
        <v>42.156920838975658</v>
      </c>
      <c r="J245" s="724">
        <v>0</v>
      </c>
      <c r="K245" s="724">
        <v>0</v>
      </c>
      <c r="L245" s="724">
        <v>421.56920838975657</v>
      </c>
    </row>
    <row r="246" spans="1:12">
      <c r="A246" s="722" t="s">
        <v>108</v>
      </c>
      <c r="B246" s="722">
        <v>120</v>
      </c>
      <c r="C246" s="723">
        <v>2</v>
      </c>
      <c r="D246" s="723">
        <v>2</v>
      </c>
      <c r="E246" s="723">
        <v>0</v>
      </c>
      <c r="F246" s="723">
        <v>0</v>
      </c>
      <c r="G246" s="723">
        <v>4</v>
      </c>
      <c r="H246" s="724">
        <v>84.313841677951331</v>
      </c>
      <c r="I246" s="724">
        <v>84.313841677951331</v>
      </c>
      <c r="J246" s="724">
        <v>0</v>
      </c>
      <c r="K246" s="724">
        <v>0</v>
      </c>
      <c r="L246" s="724">
        <v>168.62768335590266</v>
      </c>
    </row>
    <row r="247" spans="1:12">
      <c r="A247" s="722" t="s">
        <v>108</v>
      </c>
      <c r="B247" s="722">
        <v>130</v>
      </c>
      <c r="C247" s="723">
        <v>427</v>
      </c>
      <c r="D247" s="723">
        <v>388</v>
      </c>
      <c r="E247" s="723">
        <v>0</v>
      </c>
      <c r="F247" s="723">
        <v>0</v>
      </c>
      <c r="G247" s="723">
        <v>815</v>
      </c>
      <c r="H247" s="724">
        <v>18001.005198242608</v>
      </c>
      <c r="I247" s="724">
        <v>16356.885285522556</v>
      </c>
      <c r="J247" s="724">
        <v>0</v>
      </c>
      <c r="K247" s="724">
        <v>0</v>
      </c>
      <c r="L247" s="724">
        <v>34357.890483765164</v>
      </c>
    </row>
    <row r="248" spans="1:12">
      <c r="A248" s="722" t="s">
        <v>108</v>
      </c>
      <c r="B248" s="722">
        <v>140</v>
      </c>
      <c r="C248" s="723">
        <v>0</v>
      </c>
      <c r="D248" s="723">
        <v>1</v>
      </c>
      <c r="E248" s="723">
        <v>0</v>
      </c>
      <c r="F248" s="723">
        <v>0</v>
      </c>
      <c r="G248" s="723">
        <v>1</v>
      </c>
      <c r="H248" s="724">
        <v>0</v>
      </c>
      <c r="I248" s="724">
        <v>42.156920838975665</v>
      </c>
      <c r="J248" s="724">
        <v>0</v>
      </c>
      <c r="K248" s="724">
        <v>0</v>
      </c>
      <c r="L248" s="724">
        <v>42.156920838975665</v>
      </c>
    </row>
    <row r="249" spans="1:12">
      <c r="A249" s="722" t="s">
        <v>108</v>
      </c>
      <c r="B249" s="722">
        <v>160</v>
      </c>
      <c r="C249" s="723">
        <v>1</v>
      </c>
      <c r="D249" s="723">
        <v>0</v>
      </c>
      <c r="E249" s="723">
        <v>0</v>
      </c>
      <c r="F249" s="723">
        <v>0</v>
      </c>
      <c r="G249" s="723">
        <v>1</v>
      </c>
      <c r="H249" s="724">
        <v>42.156920838975665</v>
      </c>
      <c r="I249" s="724">
        <v>0</v>
      </c>
      <c r="J249" s="724">
        <v>0</v>
      </c>
      <c r="K249" s="724">
        <v>0</v>
      </c>
      <c r="L249" s="724">
        <v>42.156920838975665</v>
      </c>
    </row>
    <row r="250" spans="1:12">
      <c r="A250" s="722" t="s">
        <v>108</v>
      </c>
      <c r="B250" s="722">
        <v>171</v>
      </c>
      <c r="C250" s="723">
        <v>1</v>
      </c>
      <c r="D250" s="723">
        <v>0</v>
      </c>
      <c r="E250" s="723">
        <v>0</v>
      </c>
      <c r="F250" s="723">
        <v>0</v>
      </c>
      <c r="G250" s="723">
        <v>1</v>
      </c>
      <c r="H250" s="724">
        <v>42.156920838975665</v>
      </c>
      <c r="I250" s="724">
        <v>0</v>
      </c>
      <c r="J250" s="724">
        <v>0</v>
      </c>
      <c r="K250" s="724">
        <v>0</v>
      </c>
      <c r="L250" s="724">
        <v>42.156920838975665</v>
      </c>
    </row>
    <row r="251" spans="1:12">
      <c r="A251" s="722" t="s">
        <v>108</v>
      </c>
      <c r="B251" s="722">
        <v>215</v>
      </c>
      <c r="C251" s="723">
        <v>1</v>
      </c>
      <c r="D251" s="723">
        <v>0</v>
      </c>
      <c r="E251" s="723">
        <v>0</v>
      </c>
      <c r="F251" s="723">
        <v>0</v>
      </c>
      <c r="G251" s="723">
        <v>1</v>
      </c>
      <c r="H251" s="724">
        <v>42.156920838975665</v>
      </c>
      <c r="I251" s="724">
        <v>0</v>
      </c>
      <c r="J251" s="724">
        <v>0</v>
      </c>
      <c r="K251" s="724">
        <v>0</v>
      </c>
      <c r="L251" s="724">
        <v>42.156920838975665</v>
      </c>
    </row>
    <row r="252" spans="1:12">
      <c r="A252" s="722" t="s">
        <v>108</v>
      </c>
      <c r="B252" s="722">
        <v>216</v>
      </c>
      <c r="C252" s="723">
        <v>2</v>
      </c>
      <c r="D252" s="723">
        <v>0</v>
      </c>
      <c r="E252" s="723">
        <v>0</v>
      </c>
      <c r="F252" s="723">
        <v>0</v>
      </c>
      <c r="G252" s="723">
        <v>2</v>
      </c>
      <c r="H252" s="724">
        <v>84.313841677951331</v>
      </c>
      <c r="I252" s="724">
        <v>0</v>
      </c>
      <c r="J252" s="724">
        <v>0</v>
      </c>
      <c r="K252" s="724">
        <v>0</v>
      </c>
      <c r="L252" s="724">
        <v>84.313841677951331</v>
      </c>
    </row>
    <row r="253" spans="1:12">
      <c r="A253" s="722" t="s">
        <v>108</v>
      </c>
      <c r="B253" s="722">
        <v>251</v>
      </c>
      <c r="C253" s="723">
        <v>2</v>
      </c>
      <c r="D253" s="723">
        <v>0</v>
      </c>
      <c r="E253" s="723">
        <v>0</v>
      </c>
      <c r="F253" s="723">
        <v>0</v>
      </c>
      <c r="G253" s="723">
        <v>2</v>
      </c>
      <c r="H253" s="724">
        <v>84.313841677951331</v>
      </c>
      <c r="I253" s="724">
        <v>0</v>
      </c>
      <c r="J253" s="724">
        <v>0</v>
      </c>
      <c r="K253" s="724">
        <v>0</v>
      </c>
      <c r="L253" s="724">
        <v>84.313841677951331</v>
      </c>
    </row>
    <row r="254" spans="1:12">
      <c r="A254" s="722" t="s">
        <v>108</v>
      </c>
      <c r="B254" s="722">
        <v>252</v>
      </c>
      <c r="C254" s="723">
        <v>1</v>
      </c>
      <c r="D254" s="723">
        <v>0</v>
      </c>
      <c r="E254" s="723">
        <v>0</v>
      </c>
      <c r="F254" s="723">
        <v>0</v>
      </c>
      <c r="G254" s="723">
        <v>1</v>
      </c>
      <c r="H254" s="724">
        <v>42.156920838975665</v>
      </c>
      <c r="I254" s="724">
        <v>0</v>
      </c>
      <c r="J254" s="724">
        <v>0</v>
      </c>
      <c r="K254" s="724">
        <v>0</v>
      </c>
      <c r="L254" s="724">
        <v>42.156920838975665</v>
      </c>
    </row>
    <row r="255" spans="1:12">
      <c r="A255" s="722" t="s">
        <v>108</v>
      </c>
      <c r="B255" s="722">
        <v>258</v>
      </c>
      <c r="C255" s="723">
        <v>1</v>
      </c>
      <c r="D255" s="723">
        <v>0</v>
      </c>
      <c r="E255" s="723">
        <v>0</v>
      </c>
      <c r="F255" s="723">
        <v>0</v>
      </c>
      <c r="G255" s="723">
        <v>1</v>
      </c>
      <c r="H255" s="724">
        <v>42.156920838975665</v>
      </c>
      <c r="I255" s="724">
        <v>0</v>
      </c>
      <c r="J255" s="724">
        <v>0</v>
      </c>
      <c r="K255" s="724">
        <v>0</v>
      </c>
      <c r="L255" s="724">
        <v>42.156920838975665</v>
      </c>
    </row>
    <row r="256" spans="1:12">
      <c r="A256" s="722" t="s">
        <v>108</v>
      </c>
      <c r="B256" s="722">
        <v>259</v>
      </c>
      <c r="C256" s="723">
        <v>5</v>
      </c>
      <c r="D256" s="723">
        <v>1</v>
      </c>
      <c r="E256" s="723">
        <v>0</v>
      </c>
      <c r="F256" s="723">
        <v>0</v>
      </c>
      <c r="G256" s="723">
        <v>6</v>
      </c>
      <c r="H256" s="724">
        <v>210.78460419487828</v>
      </c>
      <c r="I256" s="724">
        <v>42.156920838975658</v>
      </c>
      <c r="J256" s="724">
        <v>0</v>
      </c>
      <c r="K256" s="724">
        <v>0</v>
      </c>
      <c r="L256" s="724">
        <v>252.94152503385396</v>
      </c>
    </row>
    <row r="257" spans="1:12">
      <c r="A257" s="722" t="s">
        <v>108</v>
      </c>
      <c r="B257" s="722">
        <v>300</v>
      </c>
      <c r="C257" s="723">
        <v>2</v>
      </c>
      <c r="D257" s="723">
        <v>2</v>
      </c>
      <c r="E257" s="723">
        <v>0</v>
      </c>
      <c r="F257" s="723">
        <v>0</v>
      </c>
      <c r="G257" s="723">
        <v>4</v>
      </c>
      <c r="H257" s="724">
        <v>84.313841677951331</v>
      </c>
      <c r="I257" s="724">
        <v>84.313841677951331</v>
      </c>
      <c r="J257" s="724">
        <v>0</v>
      </c>
      <c r="K257" s="724">
        <v>0</v>
      </c>
      <c r="L257" s="724">
        <v>168.62768335590266</v>
      </c>
    </row>
    <row r="258" spans="1:12">
      <c r="A258" s="722" t="s">
        <v>108</v>
      </c>
      <c r="B258" s="722">
        <v>303</v>
      </c>
      <c r="C258" s="723">
        <v>6</v>
      </c>
      <c r="D258" s="723">
        <v>2</v>
      </c>
      <c r="E258" s="723">
        <v>0</v>
      </c>
      <c r="F258" s="723">
        <v>0</v>
      </c>
      <c r="G258" s="723">
        <v>8</v>
      </c>
      <c r="H258" s="724">
        <v>252.94152503385399</v>
      </c>
      <c r="I258" s="724">
        <v>84.313841677951331</v>
      </c>
      <c r="J258" s="724">
        <v>0</v>
      </c>
      <c r="K258" s="724">
        <v>0</v>
      </c>
      <c r="L258" s="724">
        <v>337.25536671180532</v>
      </c>
    </row>
    <row r="259" spans="1:12">
      <c r="A259" s="722" t="s">
        <v>108</v>
      </c>
      <c r="B259" s="722">
        <v>320</v>
      </c>
      <c r="C259" s="723">
        <v>1</v>
      </c>
      <c r="D259" s="723">
        <v>2</v>
      </c>
      <c r="E259" s="723">
        <v>0</v>
      </c>
      <c r="F259" s="723">
        <v>0</v>
      </c>
      <c r="G259" s="723">
        <v>3</v>
      </c>
      <c r="H259" s="724">
        <v>42.156920838975658</v>
      </c>
      <c r="I259" s="724">
        <v>84.313841677951316</v>
      </c>
      <c r="J259" s="724">
        <v>0</v>
      </c>
      <c r="K259" s="724">
        <v>0</v>
      </c>
      <c r="L259" s="724">
        <v>126.47076251692698</v>
      </c>
    </row>
    <row r="260" spans="1:12">
      <c r="A260" s="722" t="s">
        <v>108</v>
      </c>
      <c r="B260" s="722">
        <v>324</v>
      </c>
      <c r="C260" s="723">
        <v>1</v>
      </c>
      <c r="D260" s="723">
        <v>0</v>
      </c>
      <c r="E260" s="723">
        <v>0</v>
      </c>
      <c r="F260" s="723">
        <v>0</v>
      </c>
      <c r="G260" s="723">
        <v>1</v>
      </c>
      <c r="H260" s="724">
        <v>42.156920838975665</v>
      </c>
      <c r="I260" s="724">
        <v>0</v>
      </c>
      <c r="J260" s="724">
        <v>0</v>
      </c>
      <c r="K260" s="724">
        <v>0</v>
      </c>
      <c r="L260" s="724">
        <v>42.156920838975665</v>
      </c>
    </row>
    <row r="261" spans="1:12">
      <c r="A261" s="722" t="s">
        <v>108</v>
      </c>
      <c r="B261" s="722">
        <v>330</v>
      </c>
      <c r="C261" s="723">
        <v>1</v>
      </c>
      <c r="D261" s="723">
        <v>3</v>
      </c>
      <c r="E261" s="723">
        <v>0</v>
      </c>
      <c r="F261" s="723">
        <v>0</v>
      </c>
      <c r="G261" s="723">
        <v>4</v>
      </c>
      <c r="H261" s="724">
        <v>42.156920838975665</v>
      </c>
      <c r="I261" s="724">
        <v>126.470762516927</v>
      </c>
      <c r="J261" s="724">
        <v>0</v>
      </c>
      <c r="K261" s="724">
        <v>0</v>
      </c>
      <c r="L261" s="724">
        <v>168.62768335590266</v>
      </c>
    </row>
    <row r="262" spans="1:12">
      <c r="A262" s="722" t="s">
        <v>108</v>
      </c>
      <c r="B262" s="722">
        <v>340</v>
      </c>
      <c r="C262" s="723">
        <v>2</v>
      </c>
      <c r="D262" s="723">
        <v>1</v>
      </c>
      <c r="E262" s="723">
        <v>0</v>
      </c>
      <c r="F262" s="723">
        <v>0</v>
      </c>
      <c r="G262" s="723">
        <v>3</v>
      </c>
      <c r="H262" s="724">
        <v>84.313841677951316</v>
      </c>
      <c r="I262" s="724">
        <v>42.156920838975658</v>
      </c>
      <c r="J262" s="724">
        <v>0</v>
      </c>
      <c r="K262" s="724">
        <v>0</v>
      </c>
      <c r="L262" s="724">
        <v>126.47076251692698</v>
      </c>
    </row>
    <row r="263" spans="1:12">
      <c r="A263" s="722" t="s">
        <v>108</v>
      </c>
      <c r="B263" s="722">
        <v>370</v>
      </c>
      <c r="C263" s="723">
        <v>1</v>
      </c>
      <c r="D263" s="723">
        <v>0</v>
      </c>
      <c r="E263" s="723">
        <v>0</v>
      </c>
      <c r="F263" s="723">
        <v>0</v>
      </c>
      <c r="G263" s="723">
        <v>1</v>
      </c>
      <c r="H263" s="724">
        <v>42.156920838975665</v>
      </c>
      <c r="I263" s="724">
        <v>0</v>
      </c>
      <c r="J263" s="724">
        <v>0</v>
      </c>
      <c r="K263" s="724">
        <v>0</v>
      </c>
      <c r="L263" s="724">
        <v>42.156920838975665</v>
      </c>
    </row>
    <row r="264" spans="1:12">
      <c r="A264" s="722" t="s">
        <v>108</v>
      </c>
      <c r="B264" s="722">
        <v>410</v>
      </c>
      <c r="C264" s="723">
        <v>3</v>
      </c>
      <c r="D264" s="723">
        <v>0</v>
      </c>
      <c r="E264" s="723">
        <v>0</v>
      </c>
      <c r="F264" s="723">
        <v>0</v>
      </c>
      <c r="G264" s="723">
        <v>3</v>
      </c>
      <c r="H264" s="724">
        <v>126.47076251692698</v>
      </c>
      <c r="I264" s="724">
        <v>0</v>
      </c>
      <c r="J264" s="724">
        <v>0</v>
      </c>
      <c r="K264" s="724">
        <v>0</v>
      </c>
      <c r="L264" s="724">
        <v>126.47076251692698</v>
      </c>
    </row>
    <row r="265" spans="1:12">
      <c r="A265" s="722" t="s">
        <v>108</v>
      </c>
      <c r="B265" s="722">
        <v>460</v>
      </c>
      <c r="C265" s="723">
        <v>2</v>
      </c>
      <c r="D265" s="723">
        <v>0</v>
      </c>
      <c r="E265" s="723">
        <v>0</v>
      </c>
      <c r="F265" s="723">
        <v>0</v>
      </c>
      <c r="G265" s="723">
        <v>2</v>
      </c>
      <c r="H265" s="724">
        <v>84.313841677951331</v>
      </c>
      <c r="I265" s="724">
        <v>0</v>
      </c>
      <c r="J265" s="724">
        <v>0</v>
      </c>
      <c r="K265" s="724">
        <v>0</v>
      </c>
      <c r="L265" s="724">
        <v>84.313841677951331</v>
      </c>
    </row>
    <row r="266" spans="1:12">
      <c r="A266" s="722" t="s">
        <v>108</v>
      </c>
      <c r="B266" s="722">
        <v>501</v>
      </c>
      <c r="C266" s="723">
        <v>0</v>
      </c>
      <c r="D266" s="723">
        <v>1</v>
      </c>
      <c r="E266" s="723">
        <v>0</v>
      </c>
      <c r="F266" s="723">
        <v>0</v>
      </c>
      <c r="G266" s="723">
        <v>1</v>
      </c>
      <c r="H266" s="724">
        <v>0</v>
      </c>
      <c r="I266" s="724">
        <v>42.156920838975665</v>
      </c>
      <c r="J266" s="724">
        <v>0</v>
      </c>
      <c r="K266" s="724">
        <v>0</v>
      </c>
      <c r="L266" s="724">
        <v>42.156920838975665</v>
      </c>
    </row>
    <row r="267" spans="1:12">
      <c r="A267" s="722" t="s">
        <v>108</v>
      </c>
      <c r="B267" s="722">
        <v>502</v>
      </c>
      <c r="C267" s="723">
        <v>2</v>
      </c>
      <c r="D267" s="723">
        <v>1</v>
      </c>
      <c r="E267" s="723">
        <v>0</v>
      </c>
      <c r="F267" s="723">
        <v>0</v>
      </c>
      <c r="G267" s="723">
        <v>3</v>
      </c>
      <c r="H267" s="724">
        <v>84.313841677951316</v>
      </c>
      <c r="I267" s="724">
        <v>42.156920838975658</v>
      </c>
      <c r="J267" s="724">
        <v>0</v>
      </c>
      <c r="K267" s="724">
        <v>0</v>
      </c>
      <c r="L267" s="724">
        <v>126.47076251692698</v>
      </c>
    </row>
    <row r="268" spans="1:12">
      <c r="A268" s="722" t="s">
        <v>108</v>
      </c>
      <c r="B268" s="722">
        <v>560</v>
      </c>
      <c r="C268" s="723">
        <v>5</v>
      </c>
      <c r="D268" s="723">
        <v>0</v>
      </c>
      <c r="E268" s="723">
        <v>0</v>
      </c>
      <c r="F268" s="723">
        <v>0</v>
      </c>
      <c r="G268" s="723">
        <v>5</v>
      </c>
      <c r="H268" s="724">
        <v>210.78460419487828</v>
      </c>
      <c r="I268" s="724">
        <v>0</v>
      </c>
      <c r="J268" s="724">
        <v>0</v>
      </c>
      <c r="K268" s="724">
        <v>0</v>
      </c>
      <c r="L268" s="724">
        <v>210.78460419487828</v>
      </c>
    </row>
    <row r="269" spans="1:12">
      <c r="A269" s="722" t="s">
        <v>108</v>
      </c>
      <c r="B269" s="722">
        <v>654</v>
      </c>
      <c r="C269" s="723">
        <v>1</v>
      </c>
      <c r="D269" s="723">
        <v>0</v>
      </c>
      <c r="E269" s="723">
        <v>0</v>
      </c>
      <c r="F269" s="723">
        <v>0</v>
      </c>
      <c r="G269" s="723">
        <v>1</v>
      </c>
      <c r="H269" s="724">
        <v>42.156920838975665</v>
      </c>
      <c r="I269" s="724">
        <v>0</v>
      </c>
      <c r="J269" s="724">
        <v>0</v>
      </c>
      <c r="K269" s="724">
        <v>0</v>
      </c>
      <c r="L269" s="724">
        <v>42.156920838975665</v>
      </c>
    </row>
    <row r="270" spans="1:12">
      <c r="A270" s="722" t="s">
        <v>108</v>
      </c>
      <c r="B270" s="722">
        <v>655</v>
      </c>
      <c r="C270" s="723">
        <v>1</v>
      </c>
      <c r="D270" s="723">
        <v>0</v>
      </c>
      <c r="E270" s="723">
        <v>0</v>
      </c>
      <c r="F270" s="723">
        <v>0</v>
      </c>
      <c r="G270" s="723">
        <v>1</v>
      </c>
      <c r="H270" s="724">
        <v>42.156920838975665</v>
      </c>
      <c r="I270" s="724">
        <v>0</v>
      </c>
      <c r="J270" s="724">
        <v>0</v>
      </c>
      <c r="K270" s="724">
        <v>0</v>
      </c>
      <c r="L270" s="724">
        <v>42.156920838975665</v>
      </c>
    </row>
    <row r="271" spans="1:12">
      <c r="A271" s="722" t="s">
        <v>108</v>
      </c>
      <c r="B271" s="722">
        <v>840</v>
      </c>
      <c r="C271" s="723">
        <v>1</v>
      </c>
      <c r="D271" s="723">
        <v>0</v>
      </c>
      <c r="E271" s="723">
        <v>0</v>
      </c>
      <c r="F271" s="723">
        <v>0</v>
      </c>
      <c r="G271" s="723">
        <v>1</v>
      </c>
      <c r="H271" s="724">
        <v>42.156920838975665</v>
      </c>
      <c r="I271" s="724">
        <v>0</v>
      </c>
      <c r="J271" s="724">
        <v>0</v>
      </c>
      <c r="K271" s="724">
        <v>0</v>
      </c>
      <c r="L271" s="724">
        <v>42.156920838975665</v>
      </c>
    </row>
    <row r="272" spans="1:12">
      <c r="A272" s="722" t="s">
        <v>109</v>
      </c>
      <c r="B272" s="722">
        <v>130</v>
      </c>
      <c r="C272" s="723">
        <v>2</v>
      </c>
      <c r="D272" s="723">
        <v>2</v>
      </c>
      <c r="E272" s="723">
        <v>0</v>
      </c>
      <c r="F272" s="723">
        <v>0</v>
      </c>
      <c r="G272" s="723">
        <v>4</v>
      </c>
      <c r="H272" s="724">
        <v>373.93937626439003</v>
      </c>
      <c r="I272" s="724">
        <v>373.93937626439003</v>
      </c>
      <c r="J272" s="724">
        <v>0</v>
      </c>
      <c r="K272" s="724">
        <v>0</v>
      </c>
      <c r="L272" s="724">
        <v>747.87875252878007</v>
      </c>
    </row>
    <row r="273" spans="1:12">
      <c r="A273" s="722" t="s">
        <v>109</v>
      </c>
      <c r="B273" s="722">
        <v>370</v>
      </c>
      <c r="C273" s="723">
        <v>1</v>
      </c>
      <c r="D273" s="723">
        <v>0</v>
      </c>
      <c r="E273" s="723">
        <v>0</v>
      </c>
      <c r="F273" s="723">
        <v>0</v>
      </c>
      <c r="G273" s="723">
        <v>1</v>
      </c>
      <c r="H273" s="724">
        <v>186.96968813219502</v>
      </c>
      <c r="I273" s="724">
        <v>0</v>
      </c>
      <c r="J273" s="724">
        <v>0</v>
      </c>
      <c r="K273" s="724">
        <v>0</v>
      </c>
      <c r="L273" s="724">
        <v>186.96968813219502</v>
      </c>
    </row>
    <row r="274" spans="1:12">
      <c r="A274" s="722" t="s">
        <v>110</v>
      </c>
      <c r="B274" s="722">
        <v>100</v>
      </c>
      <c r="C274" s="723">
        <v>1</v>
      </c>
      <c r="D274" s="723">
        <v>0</v>
      </c>
      <c r="E274" s="723">
        <v>0</v>
      </c>
      <c r="F274" s="723">
        <v>0</v>
      </c>
      <c r="G274" s="723">
        <v>1</v>
      </c>
      <c r="H274" s="724">
        <v>477.41137856577416</v>
      </c>
      <c r="I274" s="724">
        <v>0</v>
      </c>
      <c r="J274" s="724">
        <v>0</v>
      </c>
      <c r="K274" s="724">
        <v>0</v>
      </c>
      <c r="L274" s="724">
        <v>477.41137856577416</v>
      </c>
    </row>
    <row r="275" spans="1:12">
      <c r="A275" s="722" t="s">
        <v>110</v>
      </c>
      <c r="B275" s="722">
        <v>101</v>
      </c>
      <c r="C275" s="723">
        <v>3</v>
      </c>
      <c r="D275" s="723">
        <v>0</v>
      </c>
      <c r="E275" s="723">
        <v>0</v>
      </c>
      <c r="F275" s="723">
        <v>0</v>
      </c>
      <c r="G275" s="723">
        <v>3</v>
      </c>
      <c r="H275" s="724">
        <v>1432.2341356973227</v>
      </c>
      <c r="I275" s="724">
        <v>0</v>
      </c>
      <c r="J275" s="724">
        <v>0</v>
      </c>
      <c r="K275" s="724">
        <v>0</v>
      </c>
      <c r="L275" s="724">
        <v>1432.2341356973227</v>
      </c>
    </row>
    <row r="276" spans="1:12">
      <c r="A276" s="722" t="s">
        <v>110</v>
      </c>
      <c r="B276" s="722">
        <v>107</v>
      </c>
      <c r="C276" s="723">
        <v>0</v>
      </c>
      <c r="D276" s="723">
        <v>1</v>
      </c>
      <c r="E276" s="723">
        <v>0</v>
      </c>
      <c r="F276" s="723">
        <v>0</v>
      </c>
      <c r="G276" s="723">
        <v>1</v>
      </c>
      <c r="H276" s="724">
        <v>0</v>
      </c>
      <c r="I276" s="724">
        <v>477.41137856577416</v>
      </c>
      <c r="J276" s="724">
        <v>0</v>
      </c>
      <c r="K276" s="724">
        <v>0</v>
      </c>
      <c r="L276" s="724">
        <v>477.41137856577416</v>
      </c>
    </row>
    <row r="277" spans="1:12">
      <c r="A277" s="722" t="s">
        <v>110</v>
      </c>
      <c r="B277" s="722">
        <v>110</v>
      </c>
      <c r="C277" s="723">
        <v>2</v>
      </c>
      <c r="D277" s="723">
        <v>6</v>
      </c>
      <c r="E277" s="723">
        <v>0</v>
      </c>
      <c r="F277" s="723">
        <v>0</v>
      </c>
      <c r="G277" s="723">
        <v>8</v>
      </c>
      <c r="H277" s="724">
        <v>954.82275713154831</v>
      </c>
      <c r="I277" s="724">
        <v>2864.4682713946449</v>
      </c>
      <c r="J277" s="724">
        <v>0</v>
      </c>
      <c r="K277" s="724">
        <v>0</v>
      </c>
      <c r="L277" s="724">
        <v>3819.2910285261933</v>
      </c>
    </row>
    <row r="278" spans="1:12">
      <c r="A278" s="722" t="s">
        <v>110</v>
      </c>
      <c r="B278" s="722">
        <v>120</v>
      </c>
      <c r="C278" s="723">
        <v>1</v>
      </c>
      <c r="D278" s="723">
        <v>0</v>
      </c>
      <c r="E278" s="723">
        <v>0</v>
      </c>
      <c r="F278" s="723">
        <v>0</v>
      </c>
      <c r="G278" s="723">
        <v>1</v>
      </c>
      <c r="H278" s="724">
        <v>477.41137856577416</v>
      </c>
      <c r="I278" s="724">
        <v>0</v>
      </c>
      <c r="J278" s="724">
        <v>0</v>
      </c>
      <c r="K278" s="724">
        <v>0</v>
      </c>
      <c r="L278" s="724">
        <v>477.41137856577416</v>
      </c>
    </row>
    <row r="279" spans="1:12">
      <c r="A279" s="722" t="s">
        <v>110</v>
      </c>
      <c r="B279" s="722">
        <v>130</v>
      </c>
      <c r="C279" s="723">
        <v>676</v>
      </c>
      <c r="D279" s="723">
        <v>467</v>
      </c>
      <c r="E279" s="723">
        <v>0</v>
      </c>
      <c r="F279" s="723">
        <v>0</v>
      </c>
      <c r="G279" s="723">
        <v>1143</v>
      </c>
      <c r="H279" s="724">
        <v>322730.09191046335</v>
      </c>
      <c r="I279" s="724">
        <v>222951.11379021656</v>
      </c>
      <c r="J279" s="724">
        <v>0</v>
      </c>
      <c r="K279" s="724">
        <v>0</v>
      </c>
      <c r="L279" s="724">
        <v>545681.20570067992</v>
      </c>
    </row>
    <row r="280" spans="1:12">
      <c r="A280" s="722" t="s">
        <v>110</v>
      </c>
      <c r="B280" s="722">
        <v>141</v>
      </c>
      <c r="C280" s="723">
        <v>2</v>
      </c>
      <c r="D280" s="723">
        <v>1</v>
      </c>
      <c r="E280" s="723">
        <v>0</v>
      </c>
      <c r="F280" s="723">
        <v>0</v>
      </c>
      <c r="G280" s="723">
        <v>3</v>
      </c>
      <c r="H280" s="724">
        <v>954.82275713154843</v>
      </c>
      <c r="I280" s="724">
        <v>477.41137856577421</v>
      </c>
      <c r="J280" s="724">
        <v>0</v>
      </c>
      <c r="K280" s="724">
        <v>0</v>
      </c>
      <c r="L280" s="724">
        <v>1432.2341356973227</v>
      </c>
    </row>
    <row r="281" spans="1:12">
      <c r="A281" s="722" t="s">
        <v>110</v>
      </c>
      <c r="B281" s="722">
        <v>150</v>
      </c>
      <c r="C281" s="723">
        <v>1</v>
      </c>
      <c r="D281" s="723">
        <v>1</v>
      </c>
      <c r="E281" s="723">
        <v>0</v>
      </c>
      <c r="F281" s="723">
        <v>0</v>
      </c>
      <c r="G281" s="723">
        <v>2</v>
      </c>
      <c r="H281" s="724">
        <v>477.41137856577416</v>
      </c>
      <c r="I281" s="724">
        <v>477.41137856577416</v>
      </c>
      <c r="J281" s="724">
        <v>0</v>
      </c>
      <c r="K281" s="724">
        <v>0</v>
      </c>
      <c r="L281" s="724">
        <v>954.82275713154831</v>
      </c>
    </row>
    <row r="282" spans="1:12">
      <c r="A282" s="722" t="s">
        <v>110</v>
      </c>
      <c r="B282" s="722">
        <v>160</v>
      </c>
      <c r="C282" s="723">
        <v>1</v>
      </c>
      <c r="D282" s="723">
        <v>0</v>
      </c>
      <c r="E282" s="723">
        <v>0</v>
      </c>
      <c r="F282" s="723">
        <v>0</v>
      </c>
      <c r="G282" s="723">
        <v>1</v>
      </c>
      <c r="H282" s="724">
        <v>477.41137856577416</v>
      </c>
      <c r="I282" s="724">
        <v>0</v>
      </c>
      <c r="J282" s="724">
        <v>0</v>
      </c>
      <c r="K282" s="724">
        <v>0</v>
      </c>
      <c r="L282" s="724">
        <v>477.41137856577416</v>
      </c>
    </row>
    <row r="283" spans="1:12">
      <c r="A283" s="722" t="s">
        <v>110</v>
      </c>
      <c r="B283" s="722">
        <v>190</v>
      </c>
      <c r="C283" s="723">
        <v>0</v>
      </c>
      <c r="D283" s="723">
        <v>1</v>
      </c>
      <c r="E283" s="723">
        <v>0</v>
      </c>
      <c r="F283" s="723">
        <v>0</v>
      </c>
      <c r="G283" s="723">
        <v>1</v>
      </c>
      <c r="H283" s="724">
        <v>0</v>
      </c>
      <c r="I283" s="724">
        <v>477.41137856577416</v>
      </c>
      <c r="J283" s="724">
        <v>0</v>
      </c>
      <c r="K283" s="724">
        <v>0</v>
      </c>
      <c r="L283" s="724">
        <v>477.41137856577416</v>
      </c>
    </row>
    <row r="284" spans="1:12">
      <c r="A284" s="722" t="s">
        <v>110</v>
      </c>
      <c r="B284" s="722">
        <v>191</v>
      </c>
      <c r="C284" s="723">
        <v>0</v>
      </c>
      <c r="D284" s="723">
        <v>1</v>
      </c>
      <c r="E284" s="723">
        <v>0</v>
      </c>
      <c r="F284" s="723">
        <v>0</v>
      </c>
      <c r="G284" s="723">
        <v>1</v>
      </c>
      <c r="H284" s="724">
        <v>0</v>
      </c>
      <c r="I284" s="724">
        <v>477.41137856577416</v>
      </c>
      <c r="J284" s="724">
        <v>0</v>
      </c>
      <c r="K284" s="724">
        <v>0</v>
      </c>
      <c r="L284" s="724">
        <v>477.41137856577416</v>
      </c>
    </row>
    <row r="285" spans="1:12">
      <c r="A285" s="722" t="s">
        <v>110</v>
      </c>
      <c r="B285" s="722">
        <v>215</v>
      </c>
      <c r="C285" s="723">
        <v>1</v>
      </c>
      <c r="D285" s="723">
        <v>0</v>
      </c>
      <c r="E285" s="723">
        <v>0</v>
      </c>
      <c r="F285" s="723">
        <v>0</v>
      </c>
      <c r="G285" s="723">
        <v>1</v>
      </c>
      <c r="H285" s="724">
        <v>477.41137856577416</v>
      </c>
      <c r="I285" s="724">
        <v>0</v>
      </c>
      <c r="J285" s="724">
        <v>0</v>
      </c>
      <c r="K285" s="724">
        <v>0</v>
      </c>
      <c r="L285" s="724">
        <v>477.41137856577416</v>
      </c>
    </row>
    <row r="286" spans="1:12">
      <c r="A286" s="722" t="s">
        <v>110</v>
      </c>
      <c r="B286" s="722">
        <v>262</v>
      </c>
      <c r="C286" s="723">
        <v>1</v>
      </c>
      <c r="D286" s="723">
        <v>0</v>
      </c>
      <c r="E286" s="723">
        <v>0</v>
      </c>
      <c r="F286" s="723">
        <v>0</v>
      </c>
      <c r="G286" s="723">
        <v>1</v>
      </c>
      <c r="H286" s="724">
        <v>477.41137856577416</v>
      </c>
      <c r="I286" s="724">
        <v>0</v>
      </c>
      <c r="J286" s="724">
        <v>0</v>
      </c>
      <c r="K286" s="724">
        <v>0</v>
      </c>
      <c r="L286" s="724">
        <v>477.41137856577416</v>
      </c>
    </row>
    <row r="287" spans="1:12">
      <c r="A287" s="722" t="s">
        <v>110</v>
      </c>
      <c r="B287" s="722">
        <v>300</v>
      </c>
      <c r="C287" s="723">
        <v>1</v>
      </c>
      <c r="D287" s="723">
        <v>0</v>
      </c>
      <c r="E287" s="723">
        <v>0</v>
      </c>
      <c r="F287" s="723">
        <v>0</v>
      </c>
      <c r="G287" s="723">
        <v>1</v>
      </c>
      <c r="H287" s="724">
        <v>477.41137856577416</v>
      </c>
      <c r="I287" s="724">
        <v>0</v>
      </c>
      <c r="J287" s="724">
        <v>0</v>
      </c>
      <c r="K287" s="724">
        <v>0</v>
      </c>
      <c r="L287" s="724">
        <v>477.41137856577416</v>
      </c>
    </row>
    <row r="288" spans="1:12">
      <c r="A288" s="722" t="s">
        <v>110</v>
      </c>
      <c r="B288" s="722">
        <v>301</v>
      </c>
      <c r="C288" s="723">
        <v>1</v>
      </c>
      <c r="D288" s="723">
        <v>0</v>
      </c>
      <c r="E288" s="723">
        <v>0</v>
      </c>
      <c r="F288" s="723">
        <v>0</v>
      </c>
      <c r="G288" s="723">
        <v>1</v>
      </c>
      <c r="H288" s="724">
        <v>477.41137856577416</v>
      </c>
      <c r="I288" s="724">
        <v>0</v>
      </c>
      <c r="J288" s="724">
        <v>0</v>
      </c>
      <c r="K288" s="724">
        <v>0</v>
      </c>
      <c r="L288" s="724">
        <v>477.41137856577416</v>
      </c>
    </row>
    <row r="289" spans="1:12">
      <c r="A289" s="722" t="s">
        <v>110</v>
      </c>
      <c r="B289" s="722">
        <v>302</v>
      </c>
      <c r="C289" s="723">
        <v>1</v>
      </c>
      <c r="D289" s="723">
        <v>0</v>
      </c>
      <c r="E289" s="723">
        <v>0</v>
      </c>
      <c r="F289" s="723">
        <v>0</v>
      </c>
      <c r="G289" s="723">
        <v>1</v>
      </c>
      <c r="H289" s="724">
        <v>477.41137856577416</v>
      </c>
      <c r="I289" s="724">
        <v>0</v>
      </c>
      <c r="J289" s="724">
        <v>0</v>
      </c>
      <c r="K289" s="724">
        <v>0</v>
      </c>
      <c r="L289" s="724">
        <v>477.41137856577416</v>
      </c>
    </row>
    <row r="290" spans="1:12">
      <c r="A290" s="722" t="s">
        <v>110</v>
      </c>
      <c r="B290" s="722">
        <v>303</v>
      </c>
      <c r="C290" s="723">
        <v>1</v>
      </c>
      <c r="D290" s="723">
        <v>0</v>
      </c>
      <c r="E290" s="723">
        <v>0</v>
      </c>
      <c r="F290" s="723">
        <v>0</v>
      </c>
      <c r="G290" s="723">
        <v>1</v>
      </c>
      <c r="H290" s="724">
        <v>477.41137856577416</v>
      </c>
      <c r="I290" s="724">
        <v>0</v>
      </c>
      <c r="J290" s="724">
        <v>0</v>
      </c>
      <c r="K290" s="724">
        <v>0</v>
      </c>
      <c r="L290" s="724">
        <v>477.41137856577416</v>
      </c>
    </row>
    <row r="291" spans="1:12">
      <c r="A291" s="722" t="s">
        <v>110</v>
      </c>
      <c r="B291" s="722">
        <v>330</v>
      </c>
      <c r="C291" s="723">
        <v>2</v>
      </c>
      <c r="D291" s="723">
        <v>1</v>
      </c>
      <c r="E291" s="723">
        <v>0</v>
      </c>
      <c r="F291" s="723">
        <v>0</v>
      </c>
      <c r="G291" s="723">
        <v>3</v>
      </c>
      <c r="H291" s="724">
        <v>954.82275713154843</v>
      </c>
      <c r="I291" s="724">
        <v>477.41137856577421</v>
      </c>
      <c r="J291" s="724">
        <v>0</v>
      </c>
      <c r="K291" s="724">
        <v>0</v>
      </c>
      <c r="L291" s="724">
        <v>1432.2341356973227</v>
      </c>
    </row>
    <row r="292" spans="1:12">
      <c r="A292" s="722" t="s">
        <v>110</v>
      </c>
      <c r="B292" s="722">
        <v>340</v>
      </c>
      <c r="C292" s="723">
        <v>2</v>
      </c>
      <c r="D292" s="723">
        <v>1</v>
      </c>
      <c r="E292" s="723">
        <v>0</v>
      </c>
      <c r="F292" s="723">
        <v>0</v>
      </c>
      <c r="G292" s="723">
        <v>3</v>
      </c>
      <c r="H292" s="724">
        <v>954.82275713154843</v>
      </c>
      <c r="I292" s="724">
        <v>477.41137856577421</v>
      </c>
      <c r="J292" s="724">
        <v>0</v>
      </c>
      <c r="K292" s="724">
        <v>0</v>
      </c>
      <c r="L292" s="724">
        <v>1432.2341356973227</v>
      </c>
    </row>
    <row r="293" spans="1:12">
      <c r="A293" s="722" t="s">
        <v>110</v>
      </c>
      <c r="B293" s="722">
        <v>350</v>
      </c>
      <c r="C293" s="723">
        <v>1</v>
      </c>
      <c r="D293" s="723">
        <v>0</v>
      </c>
      <c r="E293" s="723">
        <v>0</v>
      </c>
      <c r="F293" s="723">
        <v>0</v>
      </c>
      <c r="G293" s="723">
        <v>1</v>
      </c>
      <c r="H293" s="724">
        <v>477.41137856577416</v>
      </c>
      <c r="I293" s="724">
        <v>0</v>
      </c>
      <c r="J293" s="724">
        <v>0</v>
      </c>
      <c r="K293" s="724">
        <v>0</v>
      </c>
      <c r="L293" s="724">
        <v>477.41137856577416</v>
      </c>
    </row>
    <row r="294" spans="1:12">
      <c r="A294" s="722" t="s">
        <v>110</v>
      </c>
      <c r="B294" s="722">
        <v>361</v>
      </c>
      <c r="C294" s="723">
        <v>1</v>
      </c>
      <c r="D294" s="723">
        <v>0</v>
      </c>
      <c r="E294" s="723">
        <v>0</v>
      </c>
      <c r="F294" s="723">
        <v>0</v>
      </c>
      <c r="G294" s="723">
        <v>1</v>
      </c>
      <c r="H294" s="724">
        <v>477.41137856577416</v>
      </c>
      <c r="I294" s="724">
        <v>0</v>
      </c>
      <c r="J294" s="724">
        <v>0</v>
      </c>
      <c r="K294" s="724">
        <v>0</v>
      </c>
      <c r="L294" s="724">
        <v>477.41137856577416</v>
      </c>
    </row>
    <row r="295" spans="1:12">
      <c r="A295" s="722" t="s">
        <v>110</v>
      </c>
      <c r="B295" s="722">
        <v>370</v>
      </c>
      <c r="C295" s="723">
        <v>0</v>
      </c>
      <c r="D295" s="723">
        <v>1</v>
      </c>
      <c r="E295" s="723">
        <v>0</v>
      </c>
      <c r="F295" s="723">
        <v>0</v>
      </c>
      <c r="G295" s="723">
        <v>1</v>
      </c>
      <c r="H295" s="724">
        <v>0</v>
      </c>
      <c r="I295" s="724">
        <v>477.41137856577416</v>
      </c>
      <c r="J295" s="724">
        <v>0</v>
      </c>
      <c r="K295" s="724">
        <v>0</v>
      </c>
      <c r="L295" s="724">
        <v>477.41137856577416</v>
      </c>
    </row>
    <row r="296" spans="1:12">
      <c r="A296" s="722" t="s">
        <v>110</v>
      </c>
      <c r="B296" s="722">
        <v>400</v>
      </c>
      <c r="C296" s="723">
        <v>1</v>
      </c>
      <c r="D296" s="723">
        <v>0</v>
      </c>
      <c r="E296" s="723">
        <v>0</v>
      </c>
      <c r="F296" s="723">
        <v>0</v>
      </c>
      <c r="G296" s="723">
        <v>1</v>
      </c>
      <c r="H296" s="724">
        <v>477.41137856577416</v>
      </c>
      <c r="I296" s="724">
        <v>0</v>
      </c>
      <c r="J296" s="724">
        <v>0</v>
      </c>
      <c r="K296" s="724">
        <v>0</v>
      </c>
      <c r="L296" s="724">
        <v>477.41137856577416</v>
      </c>
    </row>
    <row r="297" spans="1:12">
      <c r="A297" s="722" t="s">
        <v>110</v>
      </c>
      <c r="B297" s="722">
        <v>410</v>
      </c>
      <c r="C297" s="723">
        <v>3</v>
      </c>
      <c r="D297" s="723">
        <v>0</v>
      </c>
      <c r="E297" s="723">
        <v>0</v>
      </c>
      <c r="F297" s="723">
        <v>0</v>
      </c>
      <c r="G297" s="723">
        <v>3</v>
      </c>
      <c r="H297" s="724">
        <v>1432.2341356973227</v>
      </c>
      <c r="I297" s="724">
        <v>0</v>
      </c>
      <c r="J297" s="724">
        <v>0</v>
      </c>
      <c r="K297" s="724">
        <v>0</v>
      </c>
      <c r="L297" s="724">
        <v>1432.2341356973227</v>
      </c>
    </row>
    <row r="298" spans="1:12">
      <c r="A298" s="722" t="s">
        <v>110</v>
      </c>
      <c r="B298" s="722">
        <v>460</v>
      </c>
      <c r="C298" s="723">
        <v>8</v>
      </c>
      <c r="D298" s="723">
        <v>6</v>
      </c>
      <c r="E298" s="723">
        <v>0</v>
      </c>
      <c r="F298" s="723">
        <v>0</v>
      </c>
      <c r="G298" s="723">
        <v>14</v>
      </c>
      <c r="H298" s="724">
        <v>3819.2910285261933</v>
      </c>
      <c r="I298" s="724">
        <v>2864.4682713946449</v>
      </c>
      <c r="J298" s="724">
        <v>0</v>
      </c>
      <c r="K298" s="724">
        <v>0</v>
      </c>
      <c r="L298" s="724">
        <v>6683.7592999208382</v>
      </c>
    </row>
    <row r="299" spans="1:12">
      <c r="A299" s="722" t="s">
        <v>110</v>
      </c>
      <c r="B299" s="722">
        <v>501</v>
      </c>
      <c r="C299" s="723">
        <v>0</v>
      </c>
      <c r="D299" s="723">
        <v>1</v>
      </c>
      <c r="E299" s="723">
        <v>0</v>
      </c>
      <c r="F299" s="723">
        <v>0</v>
      </c>
      <c r="G299" s="723">
        <v>1</v>
      </c>
      <c r="H299" s="724">
        <v>0</v>
      </c>
      <c r="I299" s="724">
        <v>477.41137856577416</v>
      </c>
      <c r="J299" s="724">
        <v>0</v>
      </c>
      <c r="K299" s="724">
        <v>0</v>
      </c>
      <c r="L299" s="724">
        <v>477.41137856577416</v>
      </c>
    </row>
    <row r="300" spans="1:12">
      <c r="A300" s="722" t="s">
        <v>110</v>
      </c>
      <c r="B300" s="722">
        <v>650</v>
      </c>
      <c r="C300" s="723">
        <v>1</v>
      </c>
      <c r="D300" s="723">
        <v>0</v>
      </c>
      <c r="E300" s="723">
        <v>0</v>
      </c>
      <c r="F300" s="723">
        <v>0</v>
      </c>
      <c r="G300" s="723">
        <v>1</v>
      </c>
      <c r="H300" s="724">
        <v>477.41137856577416</v>
      </c>
      <c r="I300" s="724">
        <v>0</v>
      </c>
      <c r="J300" s="724">
        <v>0</v>
      </c>
      <c r="K300" s="724">
        <v>0</v>
      </c>
      <c r="L300" s="724">
        <v>477.41137856577416</v>
      </c>
    </row>
    <row r="301" spans="1:12">
      <c r="A301" s="722" t="s">
        <v>113</v>
      </c>
      <c r="B301" s="722">
        <v>120</v>
      </c>
      <c r="C301" s="723">
        <v>14</v>
      </c>
      <c r="D301" s="723">
        <v>37</v>
      </c>
      <c r="E301" s="723">
        <v>0</v>
      </c>
      <c r="F301" s="723">
        <v>0</v>
      </c>
      <c r="G301" s="723">
        <v>51</v>
      </c>
      <c r="H301" s="724">
        <v>1494.4946345796993</v>
      </c>
      <c r="I301" s="724">
        <v>3949.7358199606338</v>
      </c>
      <c r="J301" s="724">
        <v>0</v>
      </c>
      <c r="K301" s="724">
        <v>0</v>
      </c>
      <c r="L301" s="724">
        <v>5444.2304545403331</v>
      </c>
    </row>
    <row r="302" spans="1:12">
      <c r="A302" s="722" t="s">
        <v>113</v>
      </c>
      <c r="B302" s="722">
        <v>140</v>
      </c>
      <c r="C302" s="723">
        <v>1</v>
      </c>
      <c r="D302" s="723">
        <v>3</v>
      </c>
      <c r="E302" s="723">
        <v>0</v>
      </c>
      <c r="F302" s="723">
        <v>0</v>
      </c>
      <c r="G302" s="723">
        <v>4</v>
      </c>
      <c r="H302" s="724">
        <v>106.7496167556928</v>
      </c>
      <c r="I302" s="724">
        <v>320.24885026707841</v>
      </c>
      <c r="J302" s="724">
        <v>0</v>
      </c>
      <c r="K302" s="724">
        <v>0</v>
      </c>
      <c r="L302" s="724">
        <v>426.99846702277119</v>
      </c>
    </row>
    <row r="303" spans="1:12">
      <c r="A303" s="722" t="s">
        <v>113</v>
      </c>
      <c r="B303" s="722">
        <v>142</v>
      </c>
      <c r="C303" s="723">
        <v>3</v>
      </c>
      <c r="D303" s="723">
        <v>4</v>
      </c>
      <c r="E303" s="723">
        <v>0</v>
      </c>
      <c r="F303" s="723">
        <v>0</v>
      </c>
      <c r="G303" s="723">
        <v>7</v>
      </c>
      <c r="H303" s="724">
        <v>320.24885026707841</v>
      </c>
      <c r="I303" s="724">
        <v>426.99846702277125</v>
      </c>
      <c r="J303" s="724">
        <v>0</v>
      </c>
      <c r="K303" s="724">
        <v>0</v>
      </c>
      <c r="L303" s="724">
        <v>747.24731728984966</v>
      </c>
    </row>
    <row r="304" spans="1:12">
      <c r="A304" s="722" t="s">
        <v>113</v>
      </c>
      <c r="B304" s="722">
        <v>143</v>
      </c>
      <c r="C304" s="723">
        <v>4</v>
      </c>
      <c r="D304" s="723">
        <v>0</v>
      </c>
      <c r="E304" s="723">
        <v>0</v>
      </c>
      <c r="F304" s="723">
        <v>0</v>
      </c>
      <c r="G304" s="723">
        <v>4</v>
      </c>
      <c r="H304" s="724">
        <v>426.99846702277119</v>
      </c>
      <c r="I304" s="724">
        <v>0</v>
      </c>
      <c r="J304" s="724">
        <v>0</v>
      </c>
      <c r="K304" s="724">
        <v>0</v>
      </c>
      <c r="L304" s="724">
        <v>426.99846702277119</v>
      </c>
    </row>
    <row r="305" spans="1:12">
      <c r="A305" s="722" t="s">
        <v>113</v>
      </c>
      <c r="B305" s="722">
        <v>171</v>
      </c>
      <c r="C305" s="723">
        <v>1</v>
      </c>
      <c r="D305" s="723">
        <v>4</v>
      </c>
      <c r="E305" s="723">
        <v>0</v>
      </c>
      <c r="F305" s="723">
        <v>0</v>
      </c>
      <c r="G305" s="723">
        <v>5</v>
      </c>
      <c r="H305" s="724">
        <v>106.7496167556928</v>
      </c>
      <c r="I305" s="724">
        <v>426.99846702277119</v>
      </c>
      <c r="J305" s="724">
        <v>0</v>
      </c>
      <c r="K305" s="724">
        <v>0</v>
      </c>
      <c r="L305" s="724">
        <v>533.74808377846398</v>
      </c>
    </row>
    <row r="306" spans="1:12">
      <c r="A306" s="722" t="s">
        <v>113</v>
      </c>
      <c r="B306" s="722">
        <v>215</v>
      </c>
      <c r="C306" s="723">
        <v>9</v>
      </c>
      <c r="D306" s="723">
        <v>24</v>
      </c>
      <c r="E306" s="723">
        <v>0</v>
      </c>
      <c r="F306" s="723">
        <v>0</v>
      </c>
      <c r="G306" s="723">
        <v>33</v>
      </c>
      <c r="H306" s="724">
        <v>960.74655080123523</v>
      </c>
      <c r="I306" s="724">
        <v>2561.9908021366273</v>
      </c>
      <c r="J306" s="724">
        <v>0</v>
      </c>
      <c r="K306" s="724">
        <v>0</v>
      </c>
      <c r="L306" s="724">
        <v>3522.7373529378624</v>
      </c>
    </row>
    <row r="307" spans="1:12">
      <c r="A307" s="722" t="s">
        <v>113</v>
      </c>
      <c r="B307" s="722">
        <v>217</v>
      </c>
      <c r="C307" s="723">
        <v>2</v>
      </c>
      <c r="D307" s="723">
        <v>0</v>
      </c>
      <c r="E307" s="723">
        <v>0</v>
      </c>
      <c r="F307" s="723">
        <v>0</v>
      </c>
      <c r="G307" s="723">
        <v>2</v>
      </c>
      <c r="H307" s="724">
        <v>213.4992335113856</v>
      </c>
      <c r="I307" s="724">
        <v>0</v>
      </c>
      <c r="J307" s="724">
        <v>0</v>
      </c>
      <c r="K307" s="724">
        <v>0</v>
      </c>
      <c r="L307" s="724">
        <v>213.4992335113856</v>
      </c>
    </row>
    <row r="308" spans="1:12">
      <c r="A308" s="722" t="s">
        <v>113</v>
      </c>
      <c r="B308" s="722">
        <v>219</v>
      </c>
      <c r="C308" s="723">
        <v>15</v>
      </c>
      <c r="D308" s="723">
        <v>0</v>
      </c>
      <c r="E308" s="723">
        <v>0</v>
      </c>
      <c r="F308" s="723">
        <v>0</v>
      </c>
      <c r="G308" s="723">
        <v>15</v>
      </c>
      <c r="H308" s="724">
        <v>1601.2442513353919</v>
      </c>
      <c r="I308" s="724">
        <v>0</v>
      </c>
      <c r="J308" s="724">
        <v>0</v>
      </c>
      <c r="K308" s="724">
        <v>0</v>
      </c>
      <c r="L308" s="724">
        <v>1601.2442513353919</v>
      </c>
    </row>
    <row r="309" spans="1:12">
      <c r="A309" s="722" t="s">
        <v>113</v>
      </c>
      <c r="B309" s="722">
        <v>420</v>
      </c>
      <c r="C309" s="723">
        <v>2</v>
      </c>
      <c r="D309" s="723">
        <v>2</v>
      </c>
      <c r="E309" s="723">
        <v>0</v>
      </c>
      <c r="F309" s="723">
        <v>0</v>
      </c>
      <c r="G309" s="723">
        <v>4</v>
      </c>
      <c r="H309" s="724">
        <v>213.4992335113856</v>
      </c>
      <c r="I309" s="724">
        <v>213.4992335113856</v>
      </c>
      <c r="J309" s="724">
        <v>0</v>
      </c>
      <c r="K309" s="724">
        <v>0</v>
      </c>
      <c r="L309" s="724">
        <v>426.99846702277119</v>
      </c>
    </row>
    <row r="310" spans="1:12">
      <c r="A310" s="722" t="s">
        <v>114</v>
      </c>
      <c r="B310" s="722">
        <v>100</v>
      </c>
      <c r="C310" s="723">
        <v>7</v>
      </c>
      <c r="D310" s="723">
        <v>0</v>
      </c>
      <c r="E310" s="723">
        <v>0</v>
      </c>
      <c r="F310" s="723">
        <v>0</v>
      </c>
      <c r="G310" s="723">
        <v>7</v>
      </c>
      <c r="H310" s="724">
        <v>713.11116957434626</v>
      </c>
      <c r="I310" s="724">
        <v>0</v>
      </c>
      <c r="J310" s="724">
        <v>0</v>
      </c>
      <c r="K310" s="724">
        <v>0</v>
      </c>
      <c r="L310" s="724">
        <v>713.11116957434626</v>
      </c>
    </row>
    <row r="311" spans="1:12">
      <c r="A311" s="722" t="s">
        <v>114</v>
      </c>
      <c r="B311" s="722">
        <v>103</v>
      </c>
      <c r="C311" s="723">
        <v>1</v>
      </c>
      <c r="D311" s="723">
        <v>0</v>
      </c>
      <c r="E311" s="723">
        <v>0</v>
      </c>
      <c r="F311" s="723">
        <v>0</v>
      </c>
      <c r="G311" s="723">
        <v>1</v>
      </c>
      <c r="H311" s="724">
        <v>101.87302422490662</v>
      </c>
      <c r="I311" s="724">
        <v>0</v>
      </c>
      <c r="J311" s="724">
        <v>0</v>
      </c>
      <c r="K311" s="724">
        <v>0</v>
      </c>
      <c r="L311" s="724">
        <v>101.87302422490662</v>
      </c>
    </row>
    <row r="312" spans="1:12">
      <c r="A312" s="722" t="s">
        <v>114</v>
      </c>
      <c r="B312" s="722">
        <v>110</v>
      </c>
      <c r="C312" s="723">
        <v>1</v>
      </c>
      <c r="D312" s="723">
        <v>0</v>
      </c>
      <c r="E312" s="723">
        <v>0</v>
      </c>
      <c r="F312" s="723">
        <v>0</v>
      </c>
      <c r="G312" s="723">
        <v>1</v>
      </c>
      <c r="H312" s="724">
        <v>101.87302422490662</v>
      </c>
      <c r="I312" s="724">
        <v>0</v>
      </c>
      <c r="J312" s="724">
        <v>0</v>
      </c>
      <c r="K312" s="724">
        <v>0</v>
      </c>
      <c r="L312" s="724">
        <v>101.87302422490662</v>
      </c>
    </row>
    <row r="313" spans="1:12">
      <c r="A313" s="722" t="s">
        <v>114</v>
      </c>
      <c r="B313" s="722">
        <v>120</v>
      </c>
      <c r="C313" s="723">
        <v>852</v>
      </c>
      <c r="D313" s="723">
        <v>985</v>
      </c>
      <c r="E313" s="723">
        <v>0</v>
      </c>
      <c r="F313" s="723">
        <v>0</v>
      </c>
      <c r="G313" s="723">
        <v>1837</v>
      </c>
      <c r="H313" s="724">
        <v>86795.816639620432</v>
      </c>
      <c r="I313" s="724">
        <v>100344.92886153302</v>
      </c>
      <c r="J313" s="724">
        <v>0</v>
      </c>
      <c r="K313" s="724">
        <v>0</v>
      </c>
      <c r="L313" s="724">
        <v>187140.74550115346</v>
      </c>
    </row>
    <row r="314" spans="1:12">
      <c r="A314" s="722" t="s">
        <v>114</v>
      </c>
      <c r="B314" s="722">
        <v>130</v>
      </c>
      <c r="C314" s="723">
        <v>1</v>
      </c>
      <c r="D314" s="723">
        <v>2</v>
      </c>
      <c r="E314" s="723">
        <v>0</v>
      </c>
      <c r="F314" s="723">
        <v>0</v>
      </c>
      <c r="G314" s="723">
        <v>3</v>
      </c>
      <c r="H314" s="724">
        <v>101.87302422490662</v>
      </c>
      <c r="I314" s="724">
        <v>203.74604844981323</v>
      </c>
      <c r="J314" s="724">
        <v>0</v>
      </c>
      <c r="K314" s="724">
        <v>0</v>
      </c>
      <c r="L314" s="724">
        <v>305.61907267471986</v>
      </c>
    </row>
    <row r="315" spans="1:12">
      <c r="A315" s="722" t="s">
        <v>114</v>
      </c>
      <c r="B315" s="722">
        <v>140</v>
      </c>
      <c r="C315" s="723">
        <v>52</v>
      </c>
      <c r="D315" s="723">
        <v>26</v>
      </c>
      <c r="E315" s="723">
        <v>0</v>
      </c>
      <c r="F315" s="723">
        <v>0</v>
      </c>
      <c r="G315" s="723">
        <v>78</v>
      </c>
      <c r="H315" s="724">
        <v>5297.3972596951444</v>
      </c>
      <c r="I315" s="724">
        <v>2648.6986298475722</v>
      </c>
      <c r="J315" s="724">
        <v>0</v>
      </c>
      <c r="K315" s="724">
        <v>0</v>
      </c>
      <c r="L315" s="724">
        <v>7946.0958895427166</v>
      </c>
    </row>
    <row r="316" spans="1:12">
      <c r="A316" s="722" t="s">
        <v>114</v>
      </c>
      <c r="B316" s="722">
        <v>141</v>
      </c>
      <c r="C316" s="723">
        <v>9</v>
      </c>
      <c r="D316" s="723">
        <v>0</v>
      </c>
      <c r="E316" s="723">
        <v>0</v>
      </c>
      <c r="F316" s="723">
        <v>0</v>
      </c>
      <c r="G316" s="723">
        <v>9</v>
      </c>
      <c r="H316" s="724">
        <v>916.85721802415958</v>
      </c>
      <c r="I316" s="724">
        <v>0</v>
      </c>
      <c r="J316" s="724">
        <v>0</v>
      </c>
      <c r="K316" s="724">
        <v>0</v>
      </c>
      <c r="L316" s="724">
        <v>916.85721802415958</v>
      </c>
    </row>
    <row r="317" spans="1:12">
      <c r="A317" s="722" t="s">
        <v>114</v>
      </c>
      <c r="B317" s="722">
        <v>144</v>
      </c>
      <c r="C317" s="723">
        <v>6</v>
      </c>
      <c r="D317" s="723">
        <v>3</v>
      </c>
      <c r="E317" s="723">
        <v>0</v>
      </c>
      <c r="F317" s="723">
        <v>0</v>
      </c>
      <c r="G317" s="723">
        <v>9</v>
      </c>
      <c r="H317" s="724">
        <v>611.23814534943972</v>
      </c>
      <c r="I317" s="724">
        <v>305.61907267471986</v>
      </c>
      <c r="J317" s="724">
        <v>0</v>
      </c>
      <c r="K317" s="724">
        <v>0</v>
      </c>
      <c r="L317" s="724">
        <v>916.85721802415958</v>
      </c>
    </row>
    <row r="318" spans="1:12">
      <c r="A318" s="722" t="s">
        <v>114</v>
      </c>
      <c r="B318" s="722">
        <v>160</v>
      </c>
      <c r="C318" s="723">
        <v>3</v>
      </c>
      <c r="D318" s="723">
        <v>0</v>
      </c>
      <c r="E318" s="723">
        <v>0</v>
      </c>
      <c r="F318" s="723">
        <v>0</v>
      </c>
      <c r="G318" s="723">
        <v>3</v>
      </c>
      <c r="H318" s="724">
        <v>305.61907267471986</v>
      </c>
      <c r="I318" s="724">
        <v>0</v>
      </c>
      <c r="J318" s="724">
        <v>0</v>
      </c>
      <c r="K318" s="724">
        <v>0</v>
      </c>
      <c r="L318" s="724">
        <v>305.61907267471986</v>
      </c>
    </row>
    <row r="319" spans="1:12">
      <c r="A319" s="722" t="s">
        <v>114</v>
      </c>
      <c r="B319" s="722">
        <v>300</v>
      </c>
      <c r="C319" s="723">
        <v>2</v>
      </c>
      <c r="D319" s="723">
        <v>3</v>
      </c>
      <c r="E319" s="723">
        <v>0</v>
      </c>
      <c r="F319" s="723">
        <v>0</v>
      </c>
      <c r="G319" s="723">
        <v>5</v>
      </c>
      <c r="H319" s="724">
        <v>203.74604844981326</v>
      </c>
      <c r="I319" s="724">
        <v>305.61907267471986</v>
      </c>
      <c r="J319" s="724">
        <v>0</v>
      </c>
      <c r="K319" s="724">
        <v>0</v>
      </c>
      <c r="L319" s="724">
        <v>509.36512112453312</v>
      </c>
    </row>
    <row r="320" spans="1:12">
      <c r="A320" s="722" t="s">
        <v>114</v>
      </c>
      <c r="B320" s="722">
        <v>320</v>
      </c>
      <c r="C320" s="723">
        <v>5</v>
      </c>
      <c r="D320" s="723">
        <v>6</v>
      </c>
      <c r="E320" s="723">
        <v>0</v>
      </c>
      <c r="F320" s="723">
        <v>0</v>
      </c>
      <c r="G320" s="723">
        <v>11</v>
      </c>
      <c r="H320" s="724">
        <v>509.36512112453306</v>
      </c>
      <c r="I320" s="724">
        <v>611.23814534943972</v>
      </c>
      <c r="J320" s="724">
        <v>0</v>
      </c>
      <c r="K320" s="724">
        <v>0</v>
      </c>
      <c r="L320" s="724">
        <v>1120.6032664739728</v>
      </c>
    </row>
    <row r="321" spans="1:12">
      <c r="A321" s="722" t="s">
        <v>114</v>
      </c>
      <c r="B321" s="722">
        <v>330</v>
      </c>
      <c r="C321" s="723">
        <v>1</v>
      </c>
      <c r="D321" s="723">
        <v>0</v>
      </c>
      <c r="E321" s="723">
        <v>0</v>
      </c>
      <c r="F321" s="723">
        <v>0</v>
      </c>
      <c r="G321" s="723">
        <v>1</v>
      </c>
      <c r="H321" s="724">
        <v>101.87302422490662</v>
      </c>
      <c r="I321" s="724">
        <v>0</v>
      </c>
      <c r="J321" s="724">
        <v>0</v>
      </c>
      <c r="K321" s="724">
        <v>0</v>
      </c>
      <c r="L321" s="724">
        <v>101.87302422490662</v>
      </c>
    </row>
    <row r="322" spans="1:12">
      <c r="A322" s="722" t="s">
        <v>114</v>
      </c>
      <c r="B322" s="722">
        <v>340</v>
      </c>
      <c r="C322" s="723">
        <v>2</v>
      </c>
      <c r="D322" s="723">
        <v>5</v>
      </c>
      <c r="E322" s="723">
        <v>0</v>
      </c>
      <c r="F322" s="723">
        <v>0</v>
      </c>
      <c r="G322" s="723">
        <v>7</v>
      </c>
      <c r="H322" s="724">
        <v>203.74604844981323</v>
      </c>
      <c r="I322" s="724">
        <v>509.365121124533</v>
      </c>
      <c r="J322" s="724">
        <v>0</v>
      </c>
      <c r="K322" s="724">
        <v>0</v>
      </c>
      <c r="L322" s="724">
        <v>713.11116957434626</v>
      </c>
    </row>
    <row r="323" spans="1:12">
      <c r="A323" s="722" t="s">
        <v>114</v>
      </c>
      <c r="B323" s="722">
        <v>370</v>
      </c>
      <c r="C323" s="723">
        <v>1</v>
      </c>
      <c r="D323" s="723">
        <v>0</v>
      </c>
      <c r="E323" s="723">
        <v>0</v>
      </c>
      <c r="F323" s="723">
        <v>0</v>
      </c>
      <c r="G323" s="723">
        <v>1</v>
      </c>
      <c r="H323" s="724">
        <v>101.87302422490662</v>
      </c>
      <c r="I323" s="724">
        <v>0</v>
      </c>
      <c r="J323" s="724">
        <v>0</v>
      </c>
      <c r="K323" s="724">
        <v>0</v>
      </c>
      <c r="L323" s="724">
        <v>101.87302422490662</v>
      </c>
    </row>
    <row r="324" spans="1:12">
      <c r="A324" s="722" t="s">
        <v>114</v>
      </c>
      <c r="B324" s="722">
        <v>410</v>
      </c>
      <c r="C324" s="723">
        <v>2</v>
      </c>
      <c r="D324" s="723">
        <v>72</v>
      </c>
      <c r="E324" s="723">
        <v>0</v>
      </c>
      <c r="F324" s="723">
        <v>0</v>
      </c>
      <c r="G324" s="723">
        <v>74</v>
      </c>
      <c r="H324" s="724">
        <v>203.74604844981323</v>
      </c>
      <c r="I324" s="724">
        <v>7334.8577441932775</v>
      </c>
      <c r="J324" s="724">
        <v>0</v>
      </c>
      <c r="K324" s="724">
        <v>0</v>
      </c>
      <c r="L324" s="724">
        <v>7538.6037926430899</v>
      </c>
    </row>
    <row r="325" spans="1:12">
      <c r="A325" s="722" t="s">
        <v>114</v>
      </c>
      <c r="B325" s="722">
        <v>430</v>
      </c>
      <c r="C325" s="723">
        <v>1</v>
      </c>
      <c r="D325" s="723">
        <v>1</v>
      </c>
      <c r="E325" s="723">
        <v>0</v>
      </c>
      <c r="F325" s="723">
        <v>0</v>
      </c>
      <c r="G325" s="723">
        <v>2</v>
      </c>
      <c r="H325" s="724">
        <v>101.87302422490662</v>
      </c>
      <c r="I325" s="724">
        <v>101.87302422490662</v>
      </c>
      <c r="J325" s="724">
        <v>0</v>
      </c>
      <c r="K325" s="724">
        <v>0</v>
      </c>
      <c r="L325" s="724">
        <v>203.74604844981323</v>
      </c>
    </row>
    <row r="326" spans="1:12">
      <c r="A326" s="722" t="s">
        <v>114</v>
      </c>
      <c r="B326" s="722">
        <v>502</v>
      </c>
      <c r="C326" s="723">
        <v>0</v>
      </c>
      <c r="D326" s="723">
        <v>1</v>
      </c>
      <c r="E326" s="723">
        <v>0</v>
      </c>
      <c r="F326" s="723">
        <v>0</v>
      </c>
      <c r="G326" s="723">
        <v>1</v>
      </c>
      <c r="H326" s="724">
        <v>0</v>
      </c>
      <c r="I326" s="724">
        <v>101.87302422490662</v>
      </c>
      <c r="J326" s="724">
        <v>0</v>
      </c>
      <c r="K326" s="724">
        <v>0</v>
      </c>
      <c r="L326" s="724">
        <v>101.87302422490662</v>
      </c>
    </row>
    <row r="327" spans="1:12">
      <c r="A327" s="722" t="s">
        <v>114</v>
      </c>
      <c r="B327" s="722">
        <v>560</v>
      </c>
      <c r="C327" s="723">
        <v>0</v>
      </c>
      <c r="D327" s="723">
        <v>1</v>
      </c>
      <c r="E327" s="723">
        <v>0</v>
      </c>
      <c r="F327" s="723">
        <v>0</v>
      </c>
      <c r="G327" s="723">
        <v>1</v>
      </c>
      <c r="H327" s="724">
        <v>0</v>
      </c>
      <c r="I327" s="724">
        <v>101.87302422490662</v>
      </c>
      <c r="J327" s="724">
        <v>0</v>
      </c>
      <c r="K327" s="724">
        <v>0</v>
      </c>
      <c r="L327" s="724">
        <v>101.87302422490662</v>
      </c>
    </row>
    <row r="328" spans="1:12">
      <c r="A328" s="722" t="s">
        <v>114</v>
      </c>
      <c r="B328" s="722">
        <v>652</v>
      </c>
      <c r="C328" s="723">
        <v>69</v>
      </c>
      <c r="D328" s="723">
        <v>6</v>
      </c>
      <c r="E328" s="723">
        <v>0</v>
      </c>
      <c r="F328" s="723">
        <v>0</v>
      </c>
      <c r="G328" s="723">
        <v>75</v>
      </c>
      <c r="H328" s="724">
        <v>7029.2386715185567</v>
      </c>
      <c r="I328" s="724">
        <v>611.23814534943983</v>
      </c>
      <c r="J328" s="724">
        <v>0</v>
      </c>
      <c r="K328" s="724">
        <v>0</v>
      </c>
      <c r="L328" s="724">
        <v>7640.4768168679966</v>
      </c>
    </row>
    <row r="329" spans="1:12">
      <c r="A329" s="722" t="s">
        <v>114</v>
      </c>
      <c r="B329" s="722">
        <v>800</v>
      </c>
      <c r="C329" s="723">
        <v>4</v>
      </c>
      <c r="D329" s="723">
        <v>1</v>
      </c>
      <c r="E329" s="723">
        <v>0</v>
      </c>
      <c r="F329" s="723">
        <v>0</v>
      </c>
      <c r="G329" s="723">
        <v>5</v>
      </c>
      <c r="H329" s="724">
        <v>407.49209689962652</v>
      </c>
      <c r="I329" s="724">
        <v>101.87302422490663</v>
      </c>
      <c r="J329" s="724">
        <v>0</v>
      </c>
      <c r="K329" s="724">
        <v>0</v>
      </c>
      <c r="L329" s="724">
        <v>509.36512112453312</v>
      </c>
    </row>
    <row r="330" spans="1:12">
      <c r="A330" s="722" t="s">
        <v>115</v>
      </c>
      <c r="B330" s="722">
        <v>120</v>
      </c>
      <c r="C330" s="723">
        <v>18</v>
      </c>
      <c r="D330" s="723">
        <v>12</v>
      </c>
      <c r="E330" s="723">
        <v>0</v>
      </c>
      <c r="F330" s="723">
        <v>0</v>
      </c>
      <c r="G330" s="723">
        <v>30</v>
      </c>
      <c r="H330" s="724">
        <v>1470.1652176895252</v>
      </c>
      <c r="I330" s="724">
        <v>980.11014512635006</v>
      </c>
      <c r="J330" s="724">
        <v>0</v>
      </c>
      <c r="K330" s="724">
        <v>0</v>
      </c>
      <c r="L330" s="724">
        <v>2450.2753628158753</v>
      </c>
    </row>
    <row r="331" spans="1:12">
      <c r="A331" s="722" t="s">
        <v>115</v>
      </c>
      <c r="B331" s="722">
        <v>140</v>
      </c>
      <c r="C331" s="723">
        <v>8</v>
      </c>
      <c r="D331" s="723">
        <v>1</v>
      </c>
      <c r="E331" s="723">
        <v>0</v>
      </c>
      <c r="F331" s="723">
        <v>0</v>
      </c>
      <c r="G331" s="723">
        <v>9</v>
      </c>
      <c r="H331" s="724">
        <v>653.40676341756671</v>
      </c>
      <c r="I331" s="724">
        <v>81.675845427195839</v>
      </c>
      <c r="J331" s="724">
        <v>0</v>
      </c>
      <c r="K331" s="724">
        <v>0</v>
      </c>
      <c r="L331" s="724">
        <v>735.0826088447626</v>
      </c>
    </row>
    <row r="332" spans="1:12">
      <c r="A332" s="722" t="s">
        <v>115</v>
      </c>
      <c r="B332" s="722">
        <v>141</v>
      </c>
      <c r="C332" s="723">
        <v>1</v>
      </c>
      <c r="D332" s="723">
        <v>0</v>
      </c>
      <c r="E332" s="723">
        <v>0</v>
      </c>
      <c r="F332" s="723">
        <v>0</v>
      </c>
      <c r="G332" s="723">
        <v>1</v>
      </c>
      <c r="H332" s="724">
        <v>81.675845427195839</v>
      </c>
      <c r="I332" s="724">
        <v>0</v>
      </c>
      <c r="J332" s="724">
        <v>0</v>
      </c>
      <c r="K332" s="724">
        <v>0</v>
      </c>
      <c r="L332" s="724">
        <v>81.675845427195839</v>
      </c>
    </row>
    <row r="333" spans="1:12">
      <c r="A333" s="722" t="s">
        <v>115</v>
      </c>
      <c r="B333" s="722">
        <v>172</v>
      </c>
      <c r="C333" s="723">
        <v>1</v>
      </c>
      <c r="D333" s="723">
        <v>0</v>
      </c>
      <c r="E333" s="723">
        <v>0</v>
      </c>
      <c r="F333" s="723">
        <v>0</v>
      </c>
      <c r="G333" s="723">
        <v>1</v>
      </c>
      <c r="H333" s="724">
        <v>81.675845427195839</v>
      </c>
      <c r="I333" s="724">
        <v>0</v>
      </c>
      <c r="J333" s="724">
        <v>0</v>
      </c>
      <c r="K333" s="724">
        <v>0</v>
      </c>
      <c r="L333" s="724">
        <v>81.675845427195839</v>
      </c>
    </row>
    <row r="334" spans="1:12">
      <c r="A334" s="722" t="s">
        <v>115</v>
      </c>
      <c r="B334" s="722">
        <v>258</v>
      </c>
      <c r="C334" s="723">
        <v>1</v>
      </c>
      <c r="D334" s="723">
        <v>0</v>
      </c>
      <c r="E334" s="723">
        <v>0</v>
      </c>
      <c r="F334" s="723">
        <v>0</v>
      </c>
      <c r="G334" s="723">
        <v>1</v>
      </c>
      <c r="H334" s="724">
        <v>81.675845427195839</v>
      </c>
      <c r="I334" s="724">
        <v>0</v>
      </c>
      <c r="J334" s="724">
        <v>0</v>
      </c>
      <c r="K334" s="724">
        <v>0</v>
      </c>
      <c r="L334" s="724">
        <v>81.675845427195839</v>
      </c>
    </row>
    <row r="335" spans="1:12">
      <c r="A335" s="722" t="s">
        <v>115</v>
      </c>
      <c r="B335" s="722">
        <v>300</v>
      </c>
      <c r="C335" s="723">
        <v>0</v>
      </c>
      <c r="D335" s="723">
        <v>1</v>
      </c>
      <c r="E335" s="723">
        <v>0</v>
      </c>
      <c r="F335" s="723">
        <v>0</v>
      </c>
      <c r="G335" s="723">
        <v>1</v>
      </c>
      <c r="H335" s="724">
        <v>0</v>
      </c>
      <c r="I335" s="724">
        <v>81.675845427195839</v>
      </c>
      <c r="J335" s="724">
        <v>0</v>
      </c>
      <c r="K335" s="724">
        <v>0</v>
      </c>
      <c r="L335" s="724">
        <v>81.675845427195839</v>
      </c>
    </row>
    <row r="336" spans="1:12">
      <c r="A336" s="722" t="s">
        <v>115</v>
      </c>
      <c r="B336" s="722">
        <v>320</v>
      </c>
      <c r="C336" s="723">
        <v>2</v>
      </c>
      <c r="D336" s="723">
        <v>0</v>
      </c>
      <c r="E336" s="723">
        <v>0</v>
      </c>
      <c r="F336" s="723">
        <v>0</v>
      </c>
      <c r="G336" s="723">
        <v>2</v>
      </c>
      <c r="H336" s="724">
        <v>163.35169085439168</v>
      </c>
      <c r="I336" s="724">
        <v>0</v>
      </c>
      <c r="J336" s="724">
        <v>0</v>
      </c>
      <c r="K336" s="724">
        <v>0</v>
      </c>
      <c r="L336" s="724">
        <v>163.35169085439168</v>
      </c>
    </row>
    <row r="337" spans="1:12">
      <c r="A337" s="722" t="s">
        <v>115</v>
      </c>
      <c r="B337" s="722">
        <v>340</v>
      </c>
      <c r="C337" s="723">
        <v>7</v>
      </c>
      <c r="D337" s="723">
        <v>4</v>
      </c>
      <c r="E337" s="723">
        <v>0</v>
      </c>
      <c r="F337" s="723">
        <v>0</v>
      </c>
      <c r="G337" s="723">
        <v>11</v>
      </c>
      <c r="H337" s="724">
        <v>571.73091799037093</v>
      </c>
      <c r="I337" s="724">
        <v>326.70338170878335</v>
      </c>
      <c r="J337" s="724">
        <v>0</v>
      </c>
      <c r="K337" s="724">
        <v>0</v>
      </c>
      <c r="L337" s="724">
        <v>898.43429969915428</v>
      </c>
    </row>
    <row r="338" spans="1:12">
      <c r="A338" s="722" t="s">
        <v>115</v>
      </c>
      <c r="B338" s="722">
        <v>341</v>
      </c>
      <c r="C338" s="723">
        <v>1</v>
      </c>
      <c r="D338" s="723">
        <v>0</v>
      </c>
      <c r="E338" s="723">
        <v>0</v>
      </c>
      <c r="F338" s="723">
        <v>0</v>
      </c>
      <c r="G338" s="723">
        <v>1</v>
      </c>
      <c r="H338" s="724">
        <v>81.675845427195839</v>
      </c>
      <c r="I338" s="724">
        <v>0</v>
      </c>
      <c r="J338" s="724">
        <v>0</v>
      </c>
      <c r="K338" s="724">
        <v>0</v>
      </c>
      <c r="L338" s="724">
        <v>81.675845427195839</v>
      </c>
    </row>
    <row r="339" spans="1:12">
      <c r="A339" s="722" t="s">
        <v>115</v>
      </c>
      <c r="B339" s="722">
        <v>420</v>
      </c>
      <c r="C339" s="723">
        <v>1</v>
      </c>
      <c r="D339" s="723">
        <v>0</v>
      </c>
      <c r="E339" s="723">
        <v>0</v>
      </c>
      <c r="F339" s="723">
        <v>0</v>
      </c>
      <c r="G339" s="723">
        <v>1</v>
      </c>
      <c r="H339" s="724">
        <v>81.675845427195839</v>
      </c>
      <c r="I339" s="724">
        <v>0</v>
      </c>
      <c r="J339" s="724">
        <v>0</v>
      </c>
      <c r="K339" s="724">
        <v>0</v>
      </c>
      <c r="L339" s="724">
        <v>81.675845427195839</v>
      </c>
    </row>
    <row r="340" spans="1:12">
      <c r="A340" s="722" t="s">
        <v>115</v>
      </c>
      <c r="B340" s="722">
        <v>450</v>
      </c>
      <c r="C340" s="723">
        <v>0</v>
      </c>
      <c r="D340" s="723">
        <v>1</v>
      </c>
      <c r="E340" s="723">
        <v>0</v>
      </c>
      <c r="F340" s="723">
        <v>0</v>
      </c>
      <c r="G340" s="723">
        <v>1</v>
      </c>
      <c r="H340" s="724">
        <v>0</v>
      </c>
      <c r="I340" s="724">
        <v>81.675845427195839</v>
      </c>
      <c r="J340" s="724">
        <v>0</v>
      </c>
      <c r="K340" s="724">
        <v>0</v>
      </c>
      <c r="L340" s="724">
        <v>81.675845427195839</v>
      </c>
    </row>
    <row r="341" spans="1:12">
      <c r="A341" s="722" t="s">
        <v>115</v>
      </c>
      <c r="B341" s="722">
        <v>560</v>
      </c>
      <c r="C341" s="723">
        <v>1</v>
      </c>
      <c r="D341" s="723">
        <v>0</v>
      </c>
      <c r="E341" s="723">
        <v>0</v>
      </c>
      <c r="F341" s="723">
        <v>0</v>
      </c>
      <c r="G341" s="723">
        <v>1</v>
      </c>
      <c r="H341" s="724">
        <v>81.675845427195839</v>
      </c>
      <c r="I341" s="724">
        <v>0</v>
      </c>
      <c r="J341" s="724">
        <v>0</v>
      </c>
      <c r="K341" s="724">
        <v>0</v>
      </c>
      <c r="L341" s="724">
        <v>81.675845427195839</v>
      </c>
    </row>
    <row r="342" spans="1:12">
      <c r="A342" s="722" t="s">
        <v>115</v>
      </c>
      <c r="B342" s="722">
        <v>800</v>
      </c>
      <c r="C342" s="723">
        <v>16</v>
      </c>
      <c r="D342" s="723">
        <v>1</v>
      </c>
      <c r="E342" s="723">
        <v>0</v>
      </c>
      <c r="F342" s="723">
        <v>0</v>
      </c>
      <c r="G342" s="723">
        <v>17</v>
      </c>
      <c r="H342" s="724">
        <v>1306.8135268351334</v>
      </c>
      <c r="I342" s="724">
        <v>81.675845427195839</v>
      </c>
      <c r="J342" s="724">
        <v>0</v>
      </c>
      <c r="K342" s="724">
        <v>0</v>
      </c>
      <c r="L342" s="724">
        <v>1388.4893722623292</v>
      </c>
    </row>
    <row r="343" spans="1:12">
      <c r="A343" s="722" t="s">
        <v>116</v>
      </c>
      <c r="B343" s="722">
        <v>120</v>
      </c>
      <c r="C343" s="723">
        <v>21</v>
      </c>
      <c r="D343" s="723">
        <v>19</v>
      </c>
      <c r="E343" s="723">
        <v>0</v>
      </c>
      <c r="F343" s="723">
        <v>0</v>
      </c>
      <c r="G343" s="723">
        <v>40</v>
      </c>
      <c r="H343" s="724">
        <v>1701.1245197818309</v>
      </c>
      <c r="I343" s="724">
        <v>1539.11266075499</v>
      </c>
      <c r="J343" s="724">
        <v>0</v>
      </c>
      <c r="K343" s="724">
        <v>0</v>
      </c>
      <c r="L343" s="724">
        <v>3240.2371805368207</v>
      </c>
    </row>
    <row r="344" spans="1:12">
      <c r="A344" s="722" t="s">
        <v>116</v>
      </c>
      <c r="B344" s="722">
        <v>142</v>
      </c>
      <c r="C344" s="723">
        <v>0</v>
      </c>
      <c r="D344" s="723">
        <v>1</v>
      </c>
      <c r="E344" s="723">
        <v>0</v>
      </c>
      <c r="F344" s="723">
        <v>0</v>
      </c>
      <c r="G344" s="723">
        <v>1</v>
      </c>
      <c r="H344" s="724">
        <v>0</v>
      </c>
      <c r="I344" s="724">
        <v>81.005929513420512</v>
      </c>
      <c r="J344" s="724">
        <v>0</v>
      </c>
      <c r="K344" s="724">
        <v>0</v>
      </c>
      <c r="L344" s="724">
        <v>81.005929513420512</v>
      </c>
    </row>
    <row r="345" spans="1:12">
      <c r="A345" s="722" t="s">
        <v>116</v>
      </c>
      <c r="B345" s="722">
        <v>143</v>
      </c>
      <c r="C345" s="723">
        <v>3</v>
      </c>
      <c r="D345" s="723">
        <v>0</v>
      </c>
      <c r="E345" s="723">
        <v>0</v>
      </c>
      <c r="F345" s="723">
        <v>0</v>
      </c>
      <c r="G345" s="723">
        <v>3</v>
      </c>
      <c r="H345" s="724">
        <v>243.01778854026148</v>
      </c>
      <c r="I345" s="724">
        <v>0</v>
      </c>
      <c r="J345" s="724">
        <v>0</v>
      </c>
      <c r="K345" s="724">
        <v>0</v>
      </c>
      <c r="L345" s="724">
        <v>243.01778854026151</v>
      </c>
    </row>
    <row r="346" spans="1:12">
      <c r="A346" s="722" t="s">
        <v>116</v>
      </c>
      <c r="B346" s="722">
        <v>215</v>
      </c>
      <c r="C346" s="723">
        <v>15</v>
      </c>
      <c r="D346" s="723">
        <v>0</v>
      </c>
      <c r="E346" s="723">
        <v>0</v>
      </c>
      <c r="F346" s="723">
        <v>0</v>
      </c>
      <c r="G346" s="723">
        <v>15</v>
      </c>
      <c r="H346" s="724">
        <v>1215.0889427013076</v>
      </c>
      <c r="I346" s="724">
        <v>0</v>
      </c>
      <c r="J346" s="724">
        <v>0</v>
      </c>
      <c r="K346" s="724">
        <v>0</v>
      </c>
      <c r="L346" s="724">
        <v>1215.0889427013076</v>
      </c>
    </row>
    <row r="347" spans="1:12">
      <c r="A347" s="722" t="s">
        <v>116</v>
      </c>
      <c r="B347" s="722">
        <v>219</v>
      </c>
      <c r="C347" s="723">
        <v>1</v>
      </c>
      <c r="D347" s="723">
        <v>0</v>
      </c>
      <c r="E347" s="723">
        <v>0</v>
      </c>
      <c r="F347" s="723">
        <v>0</v>
      </c>
      <c r="G347" s="723">
        <v>1</v>
      </c>
      <c r="H347" s="724">
        <v>81.005929513420512</v>
      </c>
      <c r="I347" s="724">
        <v>0</v>
      </c>
      <c r="J347" s="724">
        <v>0</v>
      </c>
      <c r="K347" s="724">
        <v>0</v>
      </c>
      <c r="L347" s="724">
        <v>81.005929513420512</v>
      </c>
    </row>
    <row r="348" spans="1:12">
      <c r="A348" s="722" t="s">
        <v>117</v>
      </c>
      <c r="B348" s="722">
        <v>100</v>
      </c>
      <c r="C348" s="723">
        <v>0</v>
      </c>
      <c r="D348" s="723">
        <v>1</v>
      </c>
      <c r="E348" s="723">
        <v>0</v>
      </c>
      <c r="F348" s="723">
        <v>0</v>
      </c>
      <c r="G348" s="723">
        <v>1</v>
      </c>
      <c r="H348" s="724">
        <v>0</v>
      </c>
      <c r="I348" s="724">
        <v>106.35954488233452</v>
      </c>
      <c r="J348" s="724">
        <v>0</v>
      </c>
      <c r="K348" s="724">
        <v>0</v>
      </c>
      <c r="L348" s="724">
        <v>106.35954488233452</v>
      </c>
    </row>
    <row r="349" spans="1:12">
      <c r="A349" s="722" t="s">
        <v>117</v>
      </c>
      <c r="B349" s="722">
        <v>101</v>
      </c>
      <c r="C349" s="723">
        <v>0</v>
      </c>
      <c r="D349" s="723">
        <v>1</v>
      </c>
      <c r="E349" s="723">
        <v>0</v>
      </c>
      <c r="F349" s="723">
        <v>0</v>
      </c>
      <c r="G349" s="723">
        <v>1</v>
      </c>
      <c r="H349" s="724">
        <v>0</v>
      </c>
      <c r="I349" s="724">
        <v>106.35954488233452</v>
      </c>
      <c r="J349" s="724">
        <v>0</v>
      </c>
      <c r="K349" s="724">
        <v>0</v>
      </c>
      <c r="L349" s="724">
        <v>106.35954488233452</v>
      </c>
    </row>
    <row r="350" spans="1:12">
      <c r="A350" s="722" t="s">
        <v>117</v>
      </c>
      <c r="B350" s="722">
        <v>110</v>
      </c>
      <c r="C350" s="723">
        <v>1</v>
      </c>
      <c r="D350" s="723">
        <v>0</v>
      </c>
      <c r="E350" s="723">
        <v>0</v>
      </c>
      <c r="F350" s="723">
        <v>0</v>
      </c>
      <c r="G350" s="723">
        <v>1</v>
      </c>
      <c r="H350" s="724">
        <v>106.35954488233452</v>
      </c>
      <c r="I350" s="724">
        <v>0</v>
      </c>
      <c r="J350" s="724">
        <v>0</v>
      </c>
      <c r="K350" s="724">
        <v>0</v>
      </c>
      <c r="L350" s="724">
        <v>106.35954488233452</v>
      </c>
    </row>
    <row r="351" spans="1:12">
      <c r="A351" s="722" t="s">
        <v>117</v>
      </c>
      <c r="B351" s="722">
        <v>120</v>
      </c>
      <c r="C351" s="723">
        <v>50</v>
      </c>
      <c r="D351" s="723">
        <v>193</v>
      </c>
      <c r="E351" s="723">
        <v>0</v>
      </c>
      <c r="F351" s="723">
        <v>0</v>
      </c>
      <c r="G351" s="723">
        <v>243</v>
      </c>
      <c r="H351" s="724">
        <v>5317.9772441167261</v>
      </c>
      <c r="I351" s="724">
        <v>20527.392162290562</v>
      </c>
      <c r="J351" s="724">
        <v>0</v>
      </c>
      <c r="K351" s="724">
        <v>0</v>
      </c>
      <c r="L351" s="724">
        <v>25845.369406407288</v>
      </c>
    </row>
    <row r="352" spans="1:12">
      <c r="A352" s="722" t="s">
        <v>117</v>
      </c>
      <c r="B352" s="722">
        <v>130</v>
      </c>
      <c r="C352" s="723">
        <v>1</v>
      </c>
      <c r="D352" s="723">
        <v>0</v>
      </c>
      <c r="E352" s="723">
        <v>0</v>
      </c>
      <c r="F352" s="723">
        <v>0</v>
      </c>
      <c r="G352" s="723">
        <v>1</v>
      </c>
      <c r="H352" s="724">
        <v>106.35954488233452</v>
      </c>
      <c r="I352" s="724">
        <v>0</v>
      </c>
      <c r="J352" s="724">
        <v>0</v>
      </c>
      <c r="K352" s="724">
        <v>0</v>
      </c>
      <c r="L352" s="724">
        <v>106.35954488233452</v>
      </c>
    </row>
    <row r="353" spans="1:12">
      <c r="A353" s="722" t="s">
        <v>117</v>
      </c>
      <c r="B353" s="722">
        <v>140</v>
      </c>
      <c r="C353" s="723">
        <v>4</v>
      </c>
      <c r="D353" s="723">
        <v>9</v>
      </c>
      <c r="E353" s="723">
        <v>0</v>
      </c>
      <c r="F353" s="723">
        <v>0</v>
      </c>
      <c r="G353" s="723">
        <v>13</v>
      </c>
      <c r="H353" s="724">
        <v>425.43817952933813</v>
      </c>
      <c r="I353" s="724">
        <v>957.23590394101075</v>
      </c>
      <c r="J353" s="724">
        <v>0</v>
      </c>
      <c r="K353" s="724">
        <v>0</v>
      </c>
      <c r="L353" s="724">
        <v>1382.6740834703489</v>
      </c>
    </row>
    <row r="354" spans="1:12">
      <c r="A354" s="722" t="s">
        <v>117</v>
      </c>
      <c r="B354" s="722">
        <v>141</v>
      </c>
      <c r="C354" s="723">
        <v>1</v>
      </c>
      <c r="D354" s="723">
        <v>0</v>
      </c>
      <c r="E354" s="723">
        <v>0</v>
      </c>
      <c r="F354" s="723">
        <v>0</v>
      </c>
      <c r="G354" s="723">
        <v>1</v>
      </c>
      <c r="H354" s="724">
        <v>106.35954488233452</v>
      </c>
      <c r="I354" s="724">
        <v>0</v>
      </c>
      <c r="J354" s="724">
        <v>0</v>
      </c>
      <c r="K354" s="724">
        <v>0</v>
      </c>
      <c r="L354" s="724">
        <v>106.35954488233452</v>
      </c>
    </row>
    <row r="355" spans="1:12">
      <c r="A355" s="722" t="s">
        <v>117</v>
      </c>
      <c r="B355" s="722">
        <v>144</v>
      </c>
      <c r="C355" s="723">
        <v>3</v>
      </c>
      <c r="D355" s="723">
        <v>1</v>
      </c>
      <c r="E355" s="723">
        <v>0</v>
      </c>
      <c r="F355" s="723">
        <v>0</v>
      </c>
      <c r="G355" s="723">
        <v>4</v>
      </c>
      <c r="H355" s="724">
        <v>319.07863464700358</v>
      </c>
      <c r="I355" s="724">
        <v>106.35954488233452</v>
      </c>
      <c r="J355" s="724">
        <v>0</v>
      </c>
      <c r="K355" s="724">
        <v>0</v>
      </c>
      <c r="L355" s="724">
        <v>425.43817952933807</v>
      </c>
    </row>
    <row r="356" spans="1:12">
      <c r="A356" s="722" t="s">
        <v>117</v>
      </c>
      <c r="B356" s="722">
        <v>160</v>
      </c>
      <c r="C356" s="723">
        <v>0</v>
      </c>
      <c r="D356" s="723">
        <v>1</v>
      </c>
      <c r="E356" s="723">
        <v>0</v>
      </c>
      <c r="F356" s="723">
        <v>0</v>
      </c>
      <c r="G356" s="723">
        <v>1</v>
      </c>
      <c r="H356" s="724">
        <v>0</v>
      </c>
      <c r="I356" s="724">
        <v>106.35954488233452</v>
      </c>
      <c r="J356" s="724">
        <v>0</v>
      </c>
      <c r="K356" s="724">
        <v>0</v>
      </c>
      <c r="L356" s="724">
        <v>106.35954488233452</v>
      </c>
    </row>
    <row r="357" spans="1:12">
      <c r="A357" s="722" t="s">
        <v>117</v>
      </c>
      <c r="B357" s="722">
        <v>215</v>
      </c>
      <c r="C357" s="723">
        <v>0</v>
      </c>
      <c r="D357" s="723">
        <v>1</v>
      </c>
      <c r="E357" s="723">
        <v>0</v>
      </c>
      <c r="F357" s="723">
        <v>0</v>
      </c>
      <c r="G357" s="723">
        <v>1</v>
      </c>
      <c r="H357" s="724">
        <v>0</v>
      </c>
      <c r="I357" s="724">
        <v>106.35954488233452</v>
      </c>
      <c r="J357" s="724">
        <v>0</v>
      </c>
      <c r="K357" s="724">
        <v>0</v>
      </c>
      <c r="L357" s="724">
        <v>106.35954488233452</v>
      </c>
    </row>
    <row r="358" spans="1:12">
      <c r="A358" s="722" t="s">
        <v>117</v>
      </c>
      <c r="B358" s="722">
        <v>320</v>
      </c>
      <c r="C358" s="723">
        <v>0</v>
      </c>
      <c r="D358" s="723">
        <v>1</v>
      </c>
      <c r="E358" s="723">
        <v>0</v>
      </c>
      <c r="F358" s="723">
        <v>0</v>
      </c>
      <c r="G358" s="723">
        <v>1</v>
      </c>
      <c r="H358" s="724">
        <v>0</v>
      </c>
      <c r="I358" s="724">
        <v>106.35954488233452</v>
      </c>
      <c r="J358" s="724">
        <v>0</v>
      </c>
      <c r="K358" s="724">
        <v>0</v>
      </c>
      <c r="L358" s="724">
        <v>106.35954488233452</v>
      </c>
    </row>
    <row r="359" spans="1:12">
      <c r="A359" s="722" t="s">
        <v>117</v>
      </c>
      <c r="B359" s="722">
        <v>340</v>
      </c>
      <c r="C359" s="723">
        <v>2</v>
      </c>
      <c r="D359" s="723">
        <v>0</v>
      </c>
      <c r="E359" s="723">
        <v>0</v>
      </c>
      <c r="F359" s="723">
        <v>0</v>
      </c>
      <c r="G359" s="723">
        <v>2</v>
      </c>
      <c r="H359" s="724">
        <v>212.71908976466904</v>
      </c>
      <c r="I359" s="724">
        <v>0</v>
      </c>
      <c r="J359" s="724">
        <v>0</v>
      </c>
      <c r="K359" s="724">
        <v>0</v>
      </c>
      <c r="L359" s="724">
        <v>212.71908976466904</v>
      </c>
    </row>
    <row r="360" spans="1:12">
      <c r="A360" s="722" t="s">
        <v>117</v>
      </c>
      <c r="B360" s="722">
        <v>400</v>
      </c>
      <c r="C360" s="723">
        <v>1</v>
      </c>
      <c r="D360" s="723">
        <v>0</v>
      </c>
      <c r="E360" s="723">
        <v>0</v>
      </c>
      <c r="F360" s="723">
        <v>0</v>
      </c>
      <c r="G360" s="723">
        <v>1</v>
      </c>
      <c r="H360" s="724">
        <v>106.35954488233452</v>
      </c>
      <c r="I360" s="724">
        <v>0</v>
      </c>
      <c r="J360" s="724">
        <v>0</v>
      </c>
      <c r="K360" s="724">
        <v>0</v>
      </c>
      <c r="L360" s="724">
        <v>106.35954488233452</v>
      </c>
    </row>
    <row r="361" spans="1:12">
      <c r="A361" s="722" t="s">
        <v>117</v>
      </c>
      <c r="B361" s="722">
        <v>450</v>
      </c>
      <c r="C361" s="723">
        <v>4</v>
      </c>
      <c r="D361" s="723">
        <v>5</v>
      </c>
      <c r="E361" s="723">
        <v>0</v>
      </c>
      <c r="F361" s="723">
        <v>0</v>
      </c>
      <c r="G361" s="723">
        <v>9</v>
      </c>
      <c r="H361" s="724">
        <v>425.43817952933813</v>
      </c>
      <c r="I361" s="724">
        <v>531.79772441167268</v>
      </c>
      <c r="J361" s="724">
        <v>0</v>
      </c>
      <c r="K361" s="724">
        <v>0</v>
      </c>
      <c r="L361" s="724">
        <v>957.23590394101075</v>
      </c>
    </row>
    <row r="362" spans="1:12">
      <c r="A362" s="722" t="s">
        <v>117</v>
      </c>
      <c r="B362" s="722">
        <v>502</v>
      </c>
      <c r="C362" s="723">
        <v>1</v>
      </c>
      <c r="D362" s="723">
        <v>0</v>
      </c>
      <c r="E362" s="723">
        <v>0</v>
      </c>
      <c r="F362" s="723">
        <v>0</v>
      </c>
      <c r="G362" s="723">
        <v>1</v>
      </c>
      <c r="H362" s="724">
        <v>106.35954488233452</v>
      </c>
      <c r="I362" s="724">
        <v>0</v>
      </c>
      <c r="J362" s="724">
        <v>0</v>
      </c>
      <c r="K362" s="724">
        <v>0</v>
      </c>
      <c r="L362" s="724">
        <v>106.35954488233452</v>
      </c>
    </row>
    <row r="363" spans="1:12">
      <c r="A363" s="722" t="s">
        <v>118</v>
      </c>
      <c r="B363" s="722">
        <v>120</v>
      </c>
      <c r="C363" s="723">
        <v>225</v>
      </c>
      <c r="D363" s="723">
        <v>28</v>
      </c>
      <c r="E363" s="723">
        <v>0</v>
      </c>
      <c r="F363" s="723">
        <v>0</v>
      </c>
      <c r="G363" s="723">
        <v>253</v>
      </c>
      <c r="H363" s="724">
        <v>32006.22180207141</v>
      </c>
      <c r="I363" s="724">
        <v>3982.9964909244418</v>
      </c>
      <c r="J363" s="724">
        <v>0</v>
      </c>
      <c r="K363" s="724">
        <v>0</v>
      </c>
      <c r="L363" s="724">
        <v>35989.218292995851</v>
      </c>
    </row>
    <row r="364" spans="1:12">
      <c r="A364" s="722" t="s">
        <v>118</v>
      </c>
      <c r="B364" s="722">
        <v>140</v>
      </c>
      <c r="C364" s="723">
        <v>1</v>
      </c>
      <c r="D364" s="723">
        <v>0</v>
      </c>
      <c r="E364" s="723">
        <v>0</v>
      </c>
      <c r="F364" s="723">
        <v>0</v>
      </c>
      <c r="G364" s="723">
        <v>1</v>
      </c>
      <c r="H364" s="724">
        <v>142.24987467587295</v>
      </c>
      <c r="I364" s="724">
        <v>0</v>
      </c>
      <c r="J364" s="724">
        <v>0</v>
      </c>
      <c r="K364" s="724">
        <v>0</v>
      </c>
      <c r="L364" s="724">
        <v>142.24987467587295</v>
      </c>
    </row>
    <row r="365" spans="1:12">
      <c r="A365" s="722" t="s">
        <v>118</v>
      </c>
      <c r="B365" s="722">
        <v>144</v>
      </c>
      <c r="C365" s="723">
        <v>2</v>
      </c>
      <c r="D365" s="723">
        <v>0</v>
      </c>
      <c r="E365" s="723">
        <v>0</v>
      </c>
      <c r="F365" s="723">
        <v>0</v>
      </c>
      <c r="G365" s="723">
        <v>2</v>
      </c>
      <c r="H365" s="724">
        <v>284.49974935174589</v>
      </c>
      <c r="I365" s="724">
        <v>0</v>
      </c>
      <c r="J365" s="724">
        <v>0</v>
      </c>
      <c r="K365" s="724">
        <v>0</v>
      </c>
      <c r="L365" s="724">
        <v>284.49974935174589</v>
      </c>
    </row>
    <row r="366" spans="1:12">
      <c r="A366" s="722" t="s">
        <v>118</v>
      </c>
      <c r="B366" s="722">
        <v>215</v>
      </c>
      <c r="C366" s="723">
        <v>2</v>
      </c>
      <c r="D366" s="723">
        <v>0</v>
      </c>
      <c r="E366" s="723">
        <v>0</v>
      </c>
      <c r="F366" s="723">
        <v>0</v>
      </c>
      <c r="G366" s="723">
        <v>2</v>
      </c>
      <c r="H366" s="724">
        <v>284.49974935174589</v>
      </c>
      <c r="I366" s="724">
        <v>0</v>
      </c>
      <c r="J366" s="724">
        <v>0</v>
      </c>
      <c r="K366" s="724">
        <v>0</v>
      </c>
      <c r="L366" s="724">
        <v>284.49974935174589</v>
      </c>
    </row>
    <row r="367" spans="1:12">
      <c r="A367" s="722" t="s">
        <v>118</v>
      </c>
      <c r="B367" s="722">
        <v>321</v>
      </c>
      <c r="C367" s="723">
        <v>1</v>
      </c>
      <c r="D367" s="723">
        <v>0</v>
      </c>
      <c r="E367" s="723">
        <v>0</v>
      </c>
      <c r="F367" s="723">
        <v>0</v>
      </c>
      <c r="G367" s="723">
        <v>1</v>
      </c>
      <c r="H367" s="724">
        <v>142.24987467587295</v>
      </c>
      <c r="I367" s="724">
        <v>0</v>
      </c>
      <c r="J367" s="724">
        <v>0</v>
      </c>
      <c r="K367" s="724">
        <v>0</v>
      </c>
      <c r="L367" s="724">
        <v>142.24987467587295</v>
      </c>
    </row>
    <row r="368" spans="1:12">
      <c r="A368" s="722" t="s">
        <v>118</v>
      </c>
      <c r="B368" s="722">
        <v>420</v>
      </c>
      <c r="C368" s="723">
        <v>42</v>
      </c>
      <c r="D368" s="723">
        <v>0</v>
      </c>
      <c r="E368" s="723">
        <v>0</v>
      </c>
      <c r="F368" s="723">
        <v>0</v>
      </c>
      <c r="G368" s="723">
        <v>42</v>
      </c>
      <c r="H368" s="724">
        <v>5974.494736386664</v>
      </c>
      <c r="I368" s="724">
        <v>0</v>
      </c>
      <c r="J368" s="724">
        <v>0</v>
      </c>
      <c r="K368" s="724">
        <v>0</v>
      </c>
      <c r="L368" s="724">
        <v>5974.494736386664</v>
      </c>
    </row>
    <row r="369" spans="1:12">
      <c r="A369" s="722" t="s">
        <v>118</v>
      </c>
      <c r="B369" s="722">
        <v>501</v>
      </c>
      <c r="C369" s="723">
        <v>2</v>
      </c>
      <c r="D369" s="723">
        <v>0</v>
      </c>
      <c r="E369" s="723">
        <v>0</v>
      </c>
      <c r="F369" s="723">
        <v>0</v>
      </c>
      <c r="G369" s="723">
        <v>2</v>
      </c>
      <c r="H369" s="724">
        <v>284.49974935174589</v>
      </c>
      <c r="I369" s="724">
        <v>0</v>
      </c>
      <c r="J369" s="724">
        <v>0</v>
      </c>
      <c r="K369" s="724">
        <v>0</v>
      </c>
      <c r="L369" s="724">
        <v>284.49974935174589</v>
      </c>
    </row>
    <row r="370" spans="1:12">
      <c r="A370" s="722" t="s">
        <v>120</v>
      </c>
      <c r="B370" s="722">
        <v>120</v>
      </c>
      <c r="C370" s="723">
        <v>660</v>
      </c>
      <c r="D370" s="723">
        <v>449</v>
      </c>
      <c r="E370" s="723">
        <v>0</v>
      </c>
      <c r="F370" s="723">
        <v>0</v>
      </c>
      <c r="G370" s="723">
        <v>1109</v>
      </c>
      <c r="H370" s="724">
        <v>33679.029695842408</v>
      </c>
      <c r="I370" s="724">
        <v>22911.945959747332</v>
      </c>
      <c r="J370" s="724">
        <v>0</v>
      </c>
      <c r="K370" s="724">
        <v>0</v>
      </c>
      <c r="L370" s="724">
        <v>56590.975655589733</v>
      </c>
    </row>
    <row r="371" spans="1:12">
      <c r="A371" s="722" t="s">
        <v>120</v>
      </c>
      <c r="B371" s="722">
        <v>140</v>
      </c>
      <c r="C371" s="723">
        <v>2</v>
      </c>
      <c r="D371" s="723">
        <v>1</v>
      </c>
      <c r="E371" s="723">
        <v>0</v>
      </c>
      <c r="F371" s="723">
        <v>0</v>
      </c>
      <c r="G371" s="723">
        <v>3</v>
      </c>
      <c r="H371" s="724">
        <v>102.05766574497697</v>
      </c>
      <c r="I371" s="724">
        <v>51.028832872488486</v>
      </c>
      <c r="J371" s="724">
        <v>0</v>
      </c>
      <c r="K371" s="724">
        <v>0</v>
      </c>
      <c r="L371" s="724">
        <v>153.08649861746545</v>
      </c>
    </row>
    <row r="372" spans="1:12">
      <c r="A372" s="722" t="s">
        <v>120</v>
      </c>
      <c r="B372" s="722">
        <v>143</v>
      </c>
      <c r="C372" s="723">
        <v>1</v>
      </c>
      <c r="D372" s="723">
        <v>0</v>
      </c>
      <c r="E372" s="723">
        <v>0</v>
      </c>
      <c r="F372" s="723">
        <v>0</v>
      </c>
      <c r="G372" s="723">
        <v>1</v>
      </c>
      <c r="H372" s="724">
        <v>51.028832872488486</v>
      </c>
      <c r="I372" s="724">
        <v>0</v>
      </c>
      <c r="J372" s="724">
        <v>0</v>
      </c>
      <c r="K372" s="724">
        <v>0</v>
      </c>
      <c r="L372" s="724">
        <v>51.028832872488486</v>
      </c>
    </row>
    <row r="373" spans="1:12">
      <c r="A373" s="722" t="s">
        <v>120</v>
      </c>
      <c r="B373" s="722">
        <v>144</v>
      </c>
      <c r="C373" s="723">
        <v>0</v>
      </c>
      <c r="D373" s="723">
        <v>2</v>
      </c>
      <c r="E373" s="723">
        <v>0</v>
      </c>
      <c r="F373" s="723">
        <v>0</v>
      </c>
      <c r="G373" s="723">
        <v>2</v>
      </c>
      <c r="H373" s="724">
        <v>0</v>
      </c>
      <c r="I373" s="724">
        <v>102.05766574497697</v>
      </c>
      <c r="J373" s="724">
        <v>0</v>
      </c>
      <c r="K373" s="724">
        <v>0</v>
      </c>
      <c r="L373" s="724">
        <v>102.05766574497697</v>
      </c>
    </row>
    <row r="374" spans="1:12">
      <c r="A374" s="722" t="s">
        <v>120</v>
      </c>
      <c r="B374" s="722">
        <v>160</v>
      </c>
      <c r="C374" s="723">
        <v>6</v>
      </c>
      <c r="D374" s="723">
        <v>0</v>
      </c>
      <c r="E374" s="723">
        <v>0</v>
      </c>
      <c r="F374" s="723">
        <v>0</v>
      </c>
      <c r="G374" s="723">
        <v>6</v>
      </c>
      <c r="H374" s="724">
        <v>306.1729972349309</v>
      </c>
      <c r="I374" s="724">
        <v>0</v>
      </c>
      <c r="J374" s="724">
        <v>0</v>
      </c>
      <c r="K374" s="724">
        <v>0</v>
      </c>
      <c r="L374" s="724">
        <v>306.1729972349309</v>
      </c>
    </row>
    <row r="375" spans="1:12">
      <c r="A375" s="722" t="s">
        <v>120</v>
      </c>
      <c r="B375" s="722">
        <v>171</v>
      </c>
      <c r="C375" s="723">
        <v>0</v>
      </c>
      <c r="D375" s="723">
        <v>1</v>
      </c>
      <c r="E375" s="723">
        <v>0</v>
      </c>
      <c r="F375" s="723">
        <v>0</v>
      </c>
      <c r="G375" s="723">
        <v>1</v>
      </c>
      <c r="H375" s="724">
        <v>0</v>
      </c>
      <c r="I375" s="724">
        <v>51.028832872488486</v>
      </c>
      <c r="J375" s="724">
        <v>0</v>
      </c>
      <c r="K375" s="724">
        <v>0</v>
      </c>
      <c r="L375" s="724">
        <v>51.028832872488486</v>
      </c>
    </row>
    <row r="376" spans="1:12">
      <c r="A376" s="722" t="s">
        <v>120</v>
      </c>
      <c r="B376" s="722">
        <v>215</v>
      </c>
      <c r="C376" s="723">
        <v>2</v>
      </c>
      <c r="D376" s="723">
        <v>2</v>
      </c>
      <c r="E376" s="723">
        <v>0</v>
      </c>
      <c r="F376" s="723">
        <v>0</v>
      </c>
      <c r="G376" s="723">
        <v>4</v>
      </c>
      <c r="H376" s="724">
        <v>102.05766574497697</v>
      </c>
      <c r="I376" s="724">
        <v>102.05766574497697</v>
      </c>
      <c r="J376" s="724">
        <v>0</v>
      </c>
      <c r="K376" s="724">
        <v>0</v>
      </c>
      <c r="L376" s="724">
        <v>204.11533148995395</v>
      </c>
    </row>
    <row r="377" spans="1:12">
      <c r="A377" s="722" t="s">
        <v>120</v>
      </c>
      <c r="B377" s="722">
        <v>219</v>
      </c>
      <c r="C377" s="723">
        <v>1</v>
      </c>
      <c r="D377" s="723">
        <v>0</v>
      </c>
      <c r="E377" s="723">
        <v>0</v>
      </c>
      <c r="F377" s="723">
        <v>0</v>
      </c>
      <c r="G377" s="723">
        <v>1</v>
      </c>
      <c r="H377" s="724">
        <v>51.028832872488486</v>
      </c>
      <c r="I377" s="724">
        <v>0</v>
      </c>
      <c r="J377" s="724">
        <v>0</v>
      </c>
      <c r="K377" s="724">
        <v>0</v>
      </c>
      <c r="L377" s="724">
        <v>51.028832872488486</v>
      </c>
    </row>
    <row r="378" spans="1:12">
      <c r="A378" s="722" t="s">
        <v>120</v>
      </c>
      <c r="B378" s="722">
        <v>310</v>
      </c>
      <c r="C378" s="723">
        <v>338</v>
      </c>
      <c r="D378" s="723">
        <v>474</v>
      </c>
      <c r="E378" s="723">
        <v>0</v>
      </c>
      <c r="F378" s="723">
        <v>0</v>
      </c>
      <c r="G378" s="723">
        <v>812</v>
      </c>
      <c r="H378" s="724">
        <v>17247.745510901106</v>
      </c>
      <c r="I378" s="724">
        <v>24187.666781559539</v>
      </c>
      <c r="J378" s="724">
        <v>0</v>
      </c>
      <c r="K378" s="724">
        <v>0</v>
      </c>
      <c r="L378" s="724">
        <v>41435.412292460649</v>
      </c>
    </row>
    <row r="379" spans="1:12">
      <c r="A379" s="722" t="s">
        <v>120</v>
      </c>
      <c r="B379" s="722">
        <v>420</v>
      </c>
      <c r="C379" s="723">
        <v>7</v>
      </c>
      <c r="D379" s="723">
        <v>0</v>
      </c>
      <c r="E379" s="723">
        <v>0</v>
      </c>
      <c r="F379" s="723">
        <v>0</v>
      </c>
      <c r="G379" s="723">
        <v>7</v>
      </c>
      <c r="H379" s="724">
        <v>357.20183010741943</v>
      </c>
      <c r="I379" s="724">
        <v>0</v>
      </c>
      <c r="J379" s="724">
        <v>0</v>
      </c>
      <c r="K379" s="724">
        <v>0</v>
      </c>
      <c r="L379" s="724">
        <v>357.20183010741943</v>
      </c>
    </row>
    <row r="380" spans="1:12">
      <c r="A380" s="722" t="s">
        <v>120</v>
      </c>
      <c r="B380" s="722">
        <v>840</v>
      </c>
      <c r="C380" s="723">
        <v>116</v>
      </c>
      <c r="D380" s="723">
        <v>22</v>
      </c>
      <c r="E380" s="723">
        <v>0</v>
      </c>
      <c r="F380" s="723">
        <v>0</v>
      </c>
      <c r="G380" s="723">
        <v>138</v>
      </c>
      <c r="H380" s="724">
        <v>5919.3446132086638</v>
      </c>
      <c r="I380" s="724">
        <v>1122.6343231947467</v>
      </c>
      <c r="J380" s="724">
        <v>0</v>
      </c>
      <c r="K380" s="724">
        <v>0</v>
      </c>
      <c r="L380" s="724">
        <v>7041.9789364034104</v>
      </c>
    </row>
    <row r="381" spans="1:12">
      <c r="A381" s="722" t="s">
        <v>122</v>
      </c>
      <c r="B381" s="722">
        <v>101</v>
      </c>
      <c r="C381" s="723">
        <v>5</v>
      </c>
      <c r="D381" s="723">
        <v>0</v>
      </c>
      <c r="E381" s="723">
        <v>0</v>
      </c>
      <c r="F381" s="723">
        <v>0</v>
      </c>
      <c r="G381" s="723">
        <v>5</v>
      </c>
      <c r="H381" s="724">
        <v>21.172438398070643</v>
      </c>
      <c r="I381" s="724">
        <v>0</v>
      </c>
      <c r="J381" s="724">
        <v>0</v>
      </c>
      <c r="K381" s="724">
        <v>0</v>
      </c>
      <c r="L381" s="724">
        <v>21.172438398070643</v>
      </c>
    </row>
    <row r="382" spans="1:12">
      <c r="A382" s="722" t="s">
        <v>122</v>
      </c>
      <c r="B382" s="722">
        <v>110</v>
      </c>
      <c r="C382" s="723">
        <v>1</v>
      </c>
      <c r="D382" s="723">
        <v>1</v>
      </c>
      <c r="E382" s="723">
        <v>0</v>
      </c>
      <c r="F382" s="723">
        <v>0</v>
      </c>
      <c r="G382" s="723">
        <v>2</v>
      </c>
      <c r="H382" s="724">
        <v>4.2344876796141282</v>
      </c>
      <c r="I382" s="724">
        <v>4.2344876796141282</v>
      </c>
      <c r="J382" s="724">
        <v>0</v>
      </c>
      <c r="K382" s="724">
        <v>0</v>
      </c>
      <c r="L382" s="724">
        <v>8.4689753592282564</v>
      </c>
    </row>
    <row r="383" spans="1:12">
      <c r="A383" s="722" t="s">
        <v>122</v>
      </c>
      <c r="B383" s="722">
        <v>120</v>
      </c>
      <c r="C383" s="723">
        <v>3685</v>
      </c>
      <c r="D383" s="723">
        <v>2625</v>
      </c>
      <c r="E383" s="723">
        <v>0</v>
      </c>
      <c r="F383" s="723">
        <v>0</v>
      </c>
      <c r="G383" s="723">
        <v>6310</v>
      </c>
      <c r="H383" s="724">
        <v>15604.087099378065</v>
      </c>
      <c r="I383" s="724">
        <v>11115.530158987087</v>
      </c>
      <c r="J383" s="724">
        <v>0</v>
      </c>
      <c r="K383" s="724">
        <v>0</v>
      </c>
      <c r="L383" s="724">
        <v>26719.61725836515</v>
      </c>
    </row>
    <row r="384" spans="1:12">
      <c r="A384" s="722" t="s">
        <v>122</v>
      </c>
      <c r="B384" s="722">
        <v>130</v>
      </c>
      <c r="C384" s="723">
        <v>1</v>
      </c>
      <c r="D384" s="723">
        <v>1</v>
      </c>
      <c r="E384" s="723">
        <v>0</v>
      </c>
      <c r="F384" s="723">
        <v>0</v>
      </c>
      <c r="G384" s="723">
        <v>2</v>
      </c>
      <c r="H384" s="724">
        <v>4.2344876796141282</v>
      </c>
      <c r="I384" s="724">
        <v>4.2344876796141282</v>
      </c>
      <c r="J384" s="724">
        <v>0</v>
      </c>
      <c r="K384" s="724">
        <v>0</v>
      </c>
      <c r="L384" s="724">
        <v>8.4689753592282564</v>
      </c>
    </row>
    <row r="385" spans="1:12">
      <c r="A385" s="722" t="s">
        <v>122</v>
      </c>
      <c r="B385" s="722">
        <v>140</v>
      </c>
      <c r="C385" s="723">
        <v>37</v>
      </c>
      <c r="D385" s="723">
        <v>9</v>
      </c>
      <c r="E385" s="723">
        <v>0</v>
      </c>
      <c r="F385" s="723">
        <v>0</v>
      </c>
      <c r="G385" s="723">
        <v>46</v>
      </c>
      <c r="H385" s="724">
        <v>156.67604414572276</v>
      </c>
      <c r="I385" s="724">
        <v>38.110389116527152</v>
      </c>
      <c r="J385" s="724">
        <v>0</v>
      </c>
      <c r="K385" s="724">
        <v>0</v>
      </c>
      <c r="L385" s="724">
        <v>194.78643326224991</v>
      </c>
    </row>
    <row r="386" spans="1:12">
      <c r="A386" s="722" t="s">
        <v>122</v>
      </c>
      <c r="B386" s="722">
        <v>144</v>
      </c>
      <c r="C386" s="723">
        <v>51</v>
      </c>
      <c r="D386" s="723">
        <v>3</v>
      </c>
      <c r="E386" s="723">
        <v>0</v>
      </c>
      <c r="F386" s="723">
        <v>0</v>
      </c>
      <c r="G386" s="723">
        <v>54</v>
      </c>
      <c r="H386" s="724">
        <v>215.95887166032057</v>
      </c>
      <c r="I386" s="724">
        <v>12.703463038842385</v>
      </c>
      <c r="J386" s="724">
        <v>0</v>
      </c>
      <c r="K386" s="724">
        <v>0</v>
      </c>
      <c r="L386" s="724">
        <v>228.66233469916295</v>
      </c>
    </row>
    <row r="387" spans="1:12">
      <c r="A387" s="722" t="s">
        <v>122</v>
      </c>
      <c r="B387" s="722">
        <v>160</v>
      </c>
      <c r="C387" s="723">
        <v>18</v>
      </c>
      <c r="D387" s="723">
        <v>0</v>
      </c>
      <c r="E387" s="723">
        <v>0</v>
      </c>
      <c r="F387" s="723">
        <v>0</v>
      </c>
      <c r="G387" s="723">
        <v>18</v>
      </c>
      <c r="H387" s="724">
        <v>76.220778233054318</v>
      </c>
      <c r="I387" s="724">
        <v>0</v>
      </c>
      <c r="J387" s="724">
        <v>0</v>
      </c>
      <c r="K387" s="724">
        <v>0</v>
      </c>
      <c r="L387" s="724">
        <v>76.220778233054318</v>
      </c>
    </row>
    <row r="388" spans="1:12">
      <c r="A388" s="722" t="s">
        <v>122</v>
      </c>
      <c r="B388" s="722">
        <v>307</v>
      </c>
      <c r="C388" s="723">
        <v>1</v>
      </c>
      <c r="D388" s="723">
        <v>0</v>
      </c>
      <c r="E388" s="723">
        <v>0</v>
      </c>
      <c r="F388" s="723">
        <v>0</v>
      </c>
      <c r="G388" s="723">
        <v>1</v>
      </c>
      <c r="H388" s="724">
        <v>4.2344876796141282</v>
      </c>
      <c r="I388" s="724">
        <v>0</v>
      </c>
      <c r="J388" s="724">
        <v>0</v>
      </c>
      <c r="K388" s="724">
        <v>0</v>
      </c>
      <c r="L388" s="724">
        <v>4.2344876796141282</v>
      </c>
    </row>
    <row r="389" spans="1:12">
      <c r="A389" s="722" t="s">
        <v>122</v>
      </c>
      <c r="B389" s="722">
        <v>310</v>
      </c>
      <c r="C389" s="723">
        <v>8297</v>
      </c>
      <c r="D389" s="723">
        <v>9910</v>
      </c>
      <c r="E389" s="723">
        <v>0</v>
      </c>
      <c r="F389" s="723">
        <v>0</v>
      </c>
      <c r="G389" s="723">
        <v>18207</v>
      </c>
      <c r="H389" s="724">
        <v>35133.544277758418</v>
      </c>
      <c r="I389" s="724">
        <v>41963.772904976009</v>
      </c>
      <c r="J389" s="724">
        <v>0</v>
      </c>
      <c r="K389" s="724">
        <v>0</v>
      </c>
      <c r="L389" s="724">
        <v>77097.317182734434</v>
      </c>
    </row>
    <row r="390" spans="1:12">
      <c r="A390" s="722" t="s">
        <v>122</v>
      </c>
      <c r="B390" s="722">
        <v>320</v>
      </c>
      <c r="C390" s="723">
        <v>1</v>
      </c>
      <c r="D390" s="723">
        <v>0</v>
      </c>
      <c r="E390" s="723">
        <v>0</v>
      </c>
      <c r="F390" s="723">
        <v>0</v>
      </c>
      <c r="G390" s="723">
        <v>1</v>
      </c>
      <c r="H390" s="724">
        <v>4.2344876796141282</v>
      </c>
      <c r="I390" s="724">
        <v>0</v>
      </c>
      <c r="J390" s="724">
        <v>0</v>
      </c>
      <c r="K390" s="724">
        <v>0</v>
      </c>
      <c r="L390" s="724">
        <v>4.2344876796141282</v>
      </c>
    </row>
    <row r="391" spans="1:12">
      <c r="A391" s="722" t="s">
        <v>122</v>
      </c>
      <c r="B391" s="722">
        <v>340</v>
      </c>
      <c r="C391" s="723">
        <v>1</v>
      </c>
      <c r="D391" s="723">
        <v>0</v>
      </c>
      <c r="E391" s="723">
        <v>0</v>
      </c>
      <c r="F391" s="723">
        <v>0</v>
      </c>
      <c r="G391" s="723">
        <v>1</v>
      </c>
      <c r="H391" s="724">
        <v>4.2344876796141282</v>
      </c>
      <c r="I391" s="724">
        <v>0</v>
      </c>
      <c r="J391" s="724">
        <v>0</v>
      </c>
      <c r="K391" s="724">
        <v>0</v>
      </c>
      <c r="L391" s="724">
        <v>4.2344876796141282</v>
      </c>
    </row>
    <row r="392" spans="1:12">
      <c r="A392" s="722" t="s">
        <v>122</v>
      </c>
      <c r="B392" s="722">
        <v>343</v>
      </c>
      <c r="C392" s="723">
        <v>1</v>
      </c>
      <c r="D392" s="723">
        <v>2</v>
      </c>
      <c r="E392" s="723">
        <v>0</v>
      </c>
      <c r="F392" s="723">
        <v>0</v>
      </c>
      <c r="G392" s="723">
        <v>3</v>
      </c>
      <c r="H392" s="724">
        <v>4.2344876796141282</v>
      </c>
      <c r="I392" s="724">
        <v>8.4689753592282564</v>
      </c>
      <c r="J392" s="724">
        <v>0</v>
      </c>
      <c r="K392" s="724">
        <v>0</v>
      </c>
      <c r="L392" s="724">
        <v>12.703463038842385</v>
      </c>
    </row>
    <row r="393" spans="1:12">
      <c r="A393" s="722" t="s">
        <v>122</v>
      </c>
      <c r="B393" s="722">
        <v>361</v>
      </c>
      <c r="C393" s="723">
        <v>1</v>
      </c>
      <c r="D393" s="723">
        <v>0</v>
      </c>
      <c r="E393" s="723">
        <v>0</v>
      </c>
      <c r="F393" s="723">
        <v>0</v>
      </c>
      <c r="G393" s="723">
        <v>1</v>
      </c>
      <c r="H393" s="724">
        <v>4.2344876796141282</v>
      </c>
      <c r="I393" s="724">
        <v>0</v>
      </c>
      <c r="J393" s="724">
        <v>0</v>
      </c>
      <c r="K393" s="724">
        <v>0</v>
      </c>
      <c r="L393" s="724">
        <v>4.2344876796141282</v>
      </c>
    </row>
    <row r="394" spans="1:12">
      <c r="A394" s="722" t="s">
        <v>122</v>
      </c>
      <c r="B394" s="722">
        <v>400</v>
      </c>
      <c r="C394" s="723">
        <v>1</v>
      </c>
      <c r="D394" s="723">
        <v>0</v>
      </c>
      <c r="E394" s="723">
        <v>0</v>
      </c>
      <c r="F394" s="723">
        <v>0</v>
      </c>
      <c r="G394" s="723">
        <v>1</v>
      </c>
      <c r="H394" s="724">
        <v>4.2344876796141282</v>
      </c>
      <c r="I394" s="724">
        <v>0</v>
      </c>
      <c r="J394" s="724">
        <v>0</v>
      </c>
      <c r="K394" s="724">
        <v>0</v>
      </c>
      <c r="L394" s="724">
        <v>4.2344876796141282</v>
      </c>
    </row>
    <row r="395" spans="1:12">
      <c r="A395" s="722" t="s">
        <v>122</v>
      </c>
      <c r="B395" s="722">
        <v>410</v>
      </c>
      <c r="C395" s="723">
        <v>1</v>
      </c>
      <c r="D395" s="723">
        <v>0</v>
      </c>
      <c r="E395" s="723">
        <v>0</v>
      </c>
      <c r="F395" s="723">
        <v>0</v>
      </c>
      <c r="G395" s="723">
        <v>1</v>
      </c>
      <c r="H395" s="724">
        <v>4.2344876796141282</v>
      </c>
      <c r="I395" s="724">
        <v>0</v>
      </c>
      <c r="J395" s="724">
        <v>0</v>
      </c>
      <c r="K395" s="724">
        <v>0</v>
      </c>
      <c r="L395" s="724">
        <v>4.2344876796141282</v>
      </c>
    </row>
    <row r="396" spans="1:12">
      <c r="A396" s="722" t="s">
        <v>122</v>
      </c>
      <c r="B396" s="722">
        <v>502</v>
      </c>
      <c r="C396" s="723">
        <v>3</v>
      </c>
      <c r="D396" s="723">
        <v>2</v>
      </c>
      <c r="E396" s="723">
        <v>0</v>
      </c>
      <c r="F396" s="723">
        <v>0</v>
      </c>
      <c r="G396" s="723">
        <v>5</v>
      </c>
      <c r="H396" s="724">
        <v>12.703463038842386</v>
      </c>
      <c r="I396" s="724">
        <v>8.4689753592282564</v>
      </c>
      <c r="J396" s="724">
        <v>0</v>
      </c>
      <c r="K396" s="724">
        <v>0</v>
      </c>
      <c r="L396" s="724">
        <v>21.172438398070643</v>
      </c>
    </row>
    <row r="397" spans="1:12">
      <c r="A397" s="722" t="s">
        <v>122</v>
      </c>
      <c r="B397" s="722">
        <v>657</v>
      </c>
      <c r="C397" s="723">
        <v>1</v>
      </c>
      <c r="D397" s="723">
        <v>0</v>
      </c>
      <c r="E397" s="723">
        <v>0</v>
      </c>
      <c r="F397" s="723">
        <v>0</v>
      </c>
      <c r="G397" s="723">
        <v>1</v>
      </c>
      <c r="H397" s="724">
        <v>4.2344876796141282</v>
      </c>
      <c r="I397" s="724">
        <v>0</v>
      </c>
      <c r="J397" s="724">
        <v>0</v>
      </c>
      <c r="K397" s="724">
        <v>0</v>
      </c>
      <c r="L397" s="724">
        <v>4.2344876796141282</v>
      </c>
    </row>
    <row r="398" spans="1:12">
      <c r="A398" s="722" t="s">
        <v>122</v>
      </c>
      <c r="B398" s="722">
        <v>840</v>
      </c>
      <c r="C398" s="723">
        <v>9321</v>
      </c>
      <c r="D398" s="723">
        <v>2400</v>
      </c>
      <c r="E398" s="723">
        <v>0</v>
      </c>
      <c r="F398" s="723">
        <v>0</v>
      </c>
      <c r="G398" s="723">
        <v>11721</v>
      </c>
      <c r="H398" s="724">
        <v>39469.65966168329</v>
      </c>
      <c r="I398" s="724">
        <v>10162.770431073908</v>
      </c>
      <c r="J398" s="724">
        <v>0</v>
      </c>
      <c r="K398" s="724">
        <v>0</v>
      </c>
      <c r="L398" s="724">
        <v>49632.430092757197</v>
      </c>
    </row>
    <row r="399" spans="1:12">
      <c r="A399" s="722" t="s">
        <v>123</v>
      </c>
      <c r="B399" s="722">
        <v>120</v>
      </c>
      <c r="C399" s="723">
        <v>41</v>
      </c>
      <c r="D399" s="723">
        <v>13</v>
      </c>
      <c r="E399" s="723">
        <v>0</v>
      </c>
      <c r="F399" s="723">
        <v>0</v>
      </c>
      <c r="G399" s="723">
        <v>54</v>
      </c>
      <c r="H399" s="724">
        <v>4625.5549167870331</v>
      </c>
      <c r="I399" s="724">
        <v>1466.6393638593031</v>
      </c>
      <c r="J399" s="724">
        <v>0</v>
      </c>
      <c r="K399" s="724">
        <v>0</v>
      </c>
      <c r="L399" s="724">
        <v>6092.1942806463358</v>
      </c>
    </row>
    <row r="400" spans="1:12">
      <c r="A400" s="722" t="s">
        <v>123</v>
      </c>
      <c r="B400" s="722">
        <v>143</v>
      </c>
      <c r="C400" s="723">
        <v>10</v>
      </c>
      <c r="D400" s="723">
        <v>0</v>
      </c>
      <c r="E400" s="723">
        <v>0</v>
      </c>
      <c r="F400" s="723">
        <v>0</v>
      </c>
      <c r="G400" s="723">
        <v>10</v>
      </c>
      <c r="H400" s="724">
        <v>1128.1841260456176</v>
      </c>
      <c r="I400" s="724">
        <v>0</v>
      </c>
      <c r="J400" s="724">
        <v>0</v>
      </c>
      <c r="K400" s="724">
        <v>0</v>
      </c>
      <c r="L400" s="724">
        <v>1128.1841260456176</v>
      </c>
    </row>
    <row r="401" spans="1:12">
      <c r="A401" s="722" t="s">
        <v>123</v>
      </c>
      <c r="B401" s="722">
        <v>215</v>
      </c>
      <c r="C401" s="723">
        <v>3</v>
      </c>
      <c r="D401" s="723">
        <v>1</v>
      </c>
      <c r="E401" s="723">
        <v>0</v>
      </c>
      <c r="F401" s="723">
        <v>0</v>
      </c>
      <c r="G401" s="723">
        <v>4</v>
      </c>
      <c r="H401" s="724">
        <v>338.4552378136853</v>
      </c>
      <c r="I401" s="724">
        <v>112.81841260456177</v>
      </c>
      <c r="J401" s="724">
        <v>0</v>
      </c>
      <c r="K401" s="724">
        <v>0</v>
      </c>
      <c r="L401" s="724">
        <v>451.27365041824709</v>
      </c>
    </row>
    <row r="402" spans="1:12">
      <c r="A402" s="722" t="s">
        <v>124</v>
      </c>
      <c r="B402" s="722">
        <v>103</v>
      </c>
      <c r="C402" s="723">
        <v>1</v>
      </c>
      <c r="D402" s="723">
        <v>0</v>
      </c>
      <c r="E402" s="723">
        <v>0</v>
      </c>
      <c r="F402" s="723">
        <v>0</v>
      </c>
      <c r="G402" s="723">
        <v>1</v>
      </c>
      <c r="H402" s="724">
        <v>36.467462146217727</v>
      </c>
      <c r="I402" s="724">
        <v>0</v>
      </c>
      <c r="J402" s="724">
        <v>0</v>
      </c>
      <c r="K402" s="724">
        <v>0</v>
      </c>
      <c r="L402" s="724">
        <v>36.467462146217727</v>
      </c>
    </row>
    <row r="403" spans="1:12">
      <c r="A403" s="722" t="s">
        <v>124</v>
      </c>
      <c r="B403" s="722">
        <v>120</v>
      </c>
      <c r="C403" s="723">
        <v>438</v>
      </c>
      <c r="D403" s="723">
        <v>209</v>
      </c>
      <c r="E403" s="723">
        <v>0</v>
      </c>
      <c r="F403" s="723">
        <v>0</v>
      </c>
      <c r="G403" s="723">
        <v>647</v>
      </c>
      <c r="H403" s="724">
        <v>15972.748420043366</v>
      </c>
      <c r="I403" s="724">
        <v>7621.6995885595061</v>
      </c>
      <c r="J403" s="724">
        <v>0</v>
      </c>
      <c r="K403" s="724">
        <v>0</v>
      </c>
      <c r="L403" s="724">
        <v>23594.448008602871</v>
      </c>
    </row>
    <row r="404" spans="1:12">
      <c r="A404" s="722" t="s">
        <v>124</v>
      </c>
      <c r="B404" s="722">
        <v>130</v>
      </c>
      <c r="C404" s="723">
        <v>0</v>
      </c>
      <c r="D404" s="723">
        <v>1</v>
      </c>
      <c r="E404" s="723">
        <v>0</v>
      </c>
      <c r="F404" s="723">
        <v>0</v>
      </c>
      <c r="G404" s="723">
        <v>1</v>
      </c>
      <c r="H404" s="724">
        <v>0</v>
      </c>
      <c r="I404" s="724">
        <v>36.467462146217727</v>
      </c>
      <c r="J404" s="724">
        <v>0</v>
      </c>
      <c r="K404" s="724">
        <v>0</v>
      </c>
      <c r="L404" s="724">
        <v>36.467462146217727</v>
      </c>
    </row>
    <row r="405" spans="1:12">
      <c r="A405" s="722" t="s">
        <v>124</v>
      </c>
      <c r="B405" s="722">
        <v>140</v>
      </c>
      <c r="C405" s="723">
        <v>6</v>
      </c>
      <c r="D405" s="723">
        <v>2</v>
      </c>
      <c r="E405" s="723">
        <v>0</v>
      </c>
      <c r="F405" s="723">
        <v>0</v>
      </c>
      <c r="G405" s="723">
        <v>8</v>
      </c>
      <c r="H405" s="724">
        <v>218.80477287730636</v>
      </c>
      <c r="I405" s="724">
        <v>72.934924292435454</v>
      </c>
      <c r="J405" s="724">
        <v>0</v>
      </c>
      <c r="K405" s="724">
        <v>0</v>
      </c>
      <c r="L405" s="724">
        <v>291.73969716974182</v>
      </c>
    </row>
    <row r="406" spans="1:12">
      <c r="A406" s="722" t="s">
        <v>124</v>
      </c>
      <c r="B406" s="722">
        <v>141</v>
      </c>
      <c r="C406" s="723">
        <v>2</v>
      </c>
      <c r="D406" s="723">
        <v>0</v>
      </c>
      <c r="E406" s="723">
        <v>0</v>
      </c>
      <c r="F406" s="723">
        <v>0</v>
      </c>
      <c r="G406" s="723">
        <v>2</v>
      </c>
      <c r="H406" s="724">
        <v>72.934924292435454</v>
      </c>
      <c r="I406" s="724">
        <v>0</v>
      </c>
      <c r="J406" s="724">
        <v>0</v>
      </c>
      <c r="K406" s="724">
        <v>0</v>
      </c>
      <c r="L406" s="724">
        <v>72.934924292435454</v>
      </c>
    </row>
    <row r="407" spans="1:12">
      <c r="A407" s="722" t="s">
        <v>124</v>
      </c>
      <c r="B407" s="722">
        <v>143</v>
      </c>
      <c r="C407" s="723">
        <v>2</v>
      </c>
      <c r="D407" s="723">
        <v>0</v>
      </c>
      <c r="E407" s="723">
        <v>0</v>
      </c>
      <c r="F407" s="723">
        <v>0</v>
      </c>
      <c r="G407" s="723">
        <v>2</v>
      </c>
      <c r="H407" s="724">
        <v>72.934924292435454</v>
      </c>
      <c r="I407" s="724">
        <v>0</v>
      </c>
      <c r="J407" s="724">
        <v>0</v>
      </c>
      <c r="K407" s="724">
        <v>0</v>
      </c>
      <c r="L407" s="724">
        <v>72.934924292435454</v>
      </c>
    </row>
    <row r="408" spans="1:12">
      <c r="A408" s="722" t="s">
        <v>124</v>
      </c>
      <c r="B408" s="722">
        <v>144</v>
      </c>
      <c r="C408" s="723">
        <v>2</v>
      </c>
      <c r="D408" s="723">
        <v>0</v>
      </c>
      <c r="E408" s="723">
        <v>0</v>
      </c>
      <c r="F408" s="723">
        <v>0</v>
      </c>
      <c r="G408" s="723">
        <v>2</v>
      </c>
      <c r="H408" s="724">
        <v>72.934924292435454</v>
      </c>
      <c r="I408" s="724">
        <v>0</v>
      </c>
      <c r="J408" s="724">
        <v>0</v>
      </c>
      <c r="K408" s="724">
        <v>0</v>
      </c>
      <c r="L408" s="724">
        <v>72.934924292435454</v>
      </c>
    </row>
    <row r="409" spans="1:12">
      <c r="A409" s="722" t="s">
        <v>124</v>
      </c>
      <c r="B409" s="722">
        <v>215</v>
      </c>
      <c r="C409" s="723">
        <v>1</v>
      </c>
      <c r="D409" s="723">
        <v>0</v>
      </c>
      <c r="E409" s="723">
        <v>0</v>
      </c>
      <c r="F409" s="723">
        <v>0</v>
      </c>
      <c r="G409" s="723">
        <v>1</v>
      </c>
      <c r="H409" s="724">
        <v>36.467462146217727</v>
      </c>
      <c r="I409" s="724">
        <v>0</v>
      </c>
      <c r="J409" s="724">
        <v>0</v>
      </c>
      <c r="K409" s="724">
        <v>0</v>
      </c>
      <c r="L409" s="724">
        <v>36.467462146217727</v>
      </c>
    </row>
    <row r="410" spans="1:12">
      <c r="A410" s="722" t="s">
        <v>124</v>
      </c>
      <c r="B410" s="722">
        <v>310</v>
      </c>
      <c r="C410" s="723">
        <v>894</v>
      </c>
      <c r="D410" s="723">
        <v>153</v>
      </c>
      <c r="E410" s="723">
        <v>0</v>
      </c>
      <c r="F410" s="723">
        <v>0</v>
      </c>
      <c r="G410" s="723">
        <v>1047</v>
      </c>
      <c r="H410" s="724">
        <v>32601.911158718653</v>
      </c>
      <c r="I410" s="724">
        <v>5579.5217083713123</v>
      </c>
      <c r="J410" s="724">
        <v>0</v>
      </c>
      <c r="K410" s="724">
        <v>0</v>
      </c>
      <c r="L410" s="724">
        <v>38181.432867089963</v>
      </c>
    </row>
    <row r="411" spans="1:12">
      <c r="A411" s="722" t="s">
        <v>124</v>
      </c>
      <c r="B411" s="722">
        <v>330</v>
      </c>
      <c r="C411" s="723">
        <v>11</v>
      </c>
      <c r="D411" s="723">
        <v>1</v>
      </c>
      <c r="E411" s="723">
        <v>0</v>
      </c>
      <c r="F411" s="723">
        <v>0</v>
      </c>
      <c r="G411" s="723">
        <v>12</v>
      </c>
      <c r="H411" s="724">
        <v>401.14208360839501</v>
      </c>
      <c r="I411" s="724">
        <v>36.467462146217727</v>
      </c>
      <c r="J411" s="724">
        <v>0</v>
      </c>
      <c r="K411" s="724">
        <v>0</v>
      </c>
      <c r="L411" s="724">
        <v>437.60954575461272</v>
      </c>
    </row>
    <row r="412" spans="1:12">
      <c r="A412" s="722" t="s">
        <v>124</v>
      </c>
      <c r="B412" s="722">
        <v>501</v>
      </c>
      <c r="C412" s="723">
        <v>1</v>
      </c>
      <c r="D412" s="723">
        <v>1</v>
      </c>
      <c r="E412" s="723">
        <v>0</v>
      </c>
      <c r="F412" s="723">
        <v>0</v>
      </c>
      <c r="G412" s="723">
        <v>2</v>
      </c>
      <c r="H412" s="724">
        <v>36.467462146217727</v>
      </c>
      <c r="I412" s="724">
        <v>36.467462146217727</v>
      </c>
      <c r="J412" s="724">
        <v>0</v>
      </c>
      <c r="K412" s="724">
        <v>0</v>
      </c>
      <c r="L412" s="724">
        <v>72.934924292435454</v>
      </c>
    </row>
    <row r="413" spans="1:12">
      <c r="A413" s="722" t="s">
        <v>124</v>
      </c>
      <c r="B413" s="722">
        <v>502</v>
      </c>
      <c r="C413" s="723">
        <v>1</v>
      </c>
      <c r="D413" s="723">
        <v>0</v>
      </c>
      <c r="E413" s="723">
        <v>0</v>
      </c>
      <c r="F413" s="723">
        <v>0</v>
      </c>
      <c r="G413" s="723">
        <v>1</v>
      </c>
      <c r="H413" s="724">
        <v>36.467462146217727</v>
      </c>
      <c r="I413" s="724">
        <v>0</v>
      </c>
      <c r="J413" s="724">
        <v>0</v>
      </c>
      <c r="K413" s="724">
        <v>0</v>
      </c>
      <c r="L413" s="724">
        <v>36.467462146217727</v>
      </c>
    </row>
    <row r="414" spans="1:12">
      <c r="A414" s="722" t="s">
        <v>125</v>
      </c>
      <c r="B414" s="722">
        <v>120</v>
      </c>
      <c r="C414" s="723">
        <v>28</v>
      </c>
      <c r="D414" s="723">
        <v>26</v>
      </c>
      <c r="E414" s="723">
        <v>0</v>
      </c>
      <c r="F414" s="723">
        <v>0</v>
      </c>
      <c r="G414" s="723">
        <v>54</v>
      </c>
      <c r="H414" s="724">
        <v>2115.9444874441924</v>
      </c>
      <c r="I414" s="724">
        <v>1964.8055954838931</v>
      </c>
      <c r="J414" s="724">
        <v>0</v>
      </c>
      <c r="K414" s="724">
        <v>0</v>
      </c>
      <c r="L414" s="724">
        <v>4080.7500829280857</v>
      </c>
    </row>
    <row r="415" spans="1:12">
      <c r="A415" s="722" t="s">
        <v>125</v>
      </c>
      <c r="B415" s="722">
        <v>310</v>
      </c>
      <c r="C415" s="723">
        <v>42</v>
      </c>
      <c r="D415" s="723">
        <v>9</v>
      </c>
      <c r="E415" s="723">
        <v>0</v>
      </c>
      <c r="F415" s="723">
        <v>0</v>
      </c>
      <c r="G415" s="723">
        <v>51</v>
      </c>
      <c r="H415" s="724">
        <v>3173.9167311662891</v>
      </c>
      <c r="I415" s="724">
        <v>680.12501382134769</v>
      </c>
      <c r="J415" s="724">
        <v>0</v>
      </c>
      <c r="K415" s="724">
        <v>0</v>
      </c>
      <c r="L415" s="724">
        <v>3854.0417449876368</v>
      </c>
    </row>
    <row r="416" spans="1:12">
      <c r="A416" s="722" t="s">
        <v>125</v>
      </c>
      <c r="B416" s="722">
        <v>502</v>
      </c>
      <c r="C416" s="723">
        <v>1</v>
      </c>
      <c r="D416" s="723">
        <v>0</v>
      </c>
      <c r="E416" s="723">
        <v>0</v>
      </c>
      <c r="F416" s="723">
        <v>0</v>
      </c>
      <c r="G416" s="723">
        <v>1</v>
      </c>
      <c r="H416" s="724">
        <v>75.569445980149737</v>
      </c>
      <c r="I416" s="724">
        <v>0</v>
      </c>
      <c r="J416" s="724">
        <v>0</v>
      </c>
      <c r="K416" s="724">
        <v>0</v>
      </c>
      <c r="L416" s="724">
        <v>75.569445980149737</v>
      </c>
    </row>
    <row r="417" spans="1:12">
      <c r="A417" s="722" t="s">
        <v>125</v>
      </c>
      <c r="B417" s="722">
        <v>840</v>
      </c>
      <c r="C417" s="723">
        <v>3</v>
      </c>
      <c r="D417" s="723">
        <v>2</v>
      </c>
      <c r="E417" s="723">
        <v>0</v>
      </c>
      <c r="F417" s="723">
        <v>0</v>
      </c>
      <c r="G417" s="723">
        <v>5</v>
      </c>
      <c r="H417" s="724">
        <v>226.70833794044921</v>
      </c>
      <c r="I417" s="724">
        <v>151.13889196029945</v>
      </c>
      <c r="J417" s="724">
        <v>0</v>
      </c>
      <c r="K417" s="724">
        <v>0</v>
      </c>
      <c r="L417" s="724">
        <v>377.84722990074863</v>
      </c>
    </row>
    <row r="418" spans="1:12">
      <c r="A418" s="722" t="s">
        <v>127</v>
      </c>
      <c r="B418" s="722">
        <v>120</v>
      </c>
      <c r="C418" s="723">
        <v>432</v>
      </c>
      <c r="D418" s="723">
        <v>823</v>
      </c>
      <c r="E418" s="723">
        <v>0</v>
      </c>
      <c r="F418" s="723">
        <v>0</v>
      </c>
      <c r="G418" s="723">
        <v>1255</v>
      </c>
      <c r="H418" s="724">
        <v>38267.795687670121</v>
      </c>
      <c r="I418" s="724">
        <v>72903.694099427099</v>
      </c>
      <c r="J418" s="724">
        <v>0</v>
      </c>
      <c r="K418" s="724">
        <v>0</v>
      </c>
      <c r="L418" s="724">
        <v>111171.48978709722</v>
      </c>
    </row>
    <row r="419" spans="1:12">
      <c r="A419" s="722" t="s">
        <v>127</v>
      </c>
      <c r="B419" s="722">
        <v>130</v>
      </c>
      <c r="C419" s="723">
        <v>2</v>
      </c>
      <c r="D419" s="723">
        <v>1</v>
      </c>
      <c r="E419" s="723">
        <v>0</v>
      </c>
      <c r="F419" s="723">
        <v>0</v>
      </c>
      <c r="G419" s="723">
        <v>3</v>
      </c>
      <c r="H419" s="724">
        <v>177.16572077625051</v>
      </c>
      <c r="I419" s="724">
        <v>88.582860388125255</v>
      </c>
      <c r="J419" s="724">
        <v>0</v>
      </c>
      <c r="K419" s="724">
        <v>0</v>
      </c>
      <c r="L419" s="724">
        <v>265.74858116437576</v>
      </c>
    </row>
    <row r="420" spans="1:12">
      <c r="A420" s="722" t="s">
        <v>127</v>
      </c>
      <c r="B420" s="722">
        <v>140</v>
      </c>
      <c r="C420" s="723">
        <v>9</v>
      </c>
      <c r="D420" s="723">
        <v>0</v>
      </c>
      <c r="E420" s="723">
        <v>0</v>
      </c>
      <c r="F420" s="723">
        <v>0</v>
      </c>
      <c r="G420" s="723">
        <v>9</v>
      </c>
      <c r="H420" s="724">
        <v>797.24574349312741</v>
      </c>
      <c r="I420" s="724">
        <v>0</v>
      </c>
      <c r="J420" s="724">
        <v>0</v>
      </c>
      <c r="K420" s="724">
        <v>0</v>
      </c>
      <c r="L420" s="724">
        <v>797.24574349312741</v>
      </c>
    </row>
    <row r="421" spans="1:12">
      <c r="A421" s="722" t="s">
        <v>127</v>
      </c>
      <c r="B421" s="722">
        <v>143</v>
      </c>
      <c r="C421" s="723">
        <v>1</v>
      </c>
      <c r="D421" s="723">
        <v>0</v>
      </c>
      <c r="E421" s="723">
        <v>0</v>
      </c>
      <c r="F421" s="723">
        <v>0</v>
      </c>
      <c r="G421" s="723">
        <v>1</v>
      </c>
      <c r="H421" s="724">
        <v>88.582860388125269</v>
      </c>
      <c r="I421" s="724">
        <v>0</v>
      </c>
      <c r="J421" s="724">
        <v>0</v>
      </c>
      <c r="K421" s="724">
        <v>0</v>
      </c>
      <c r="L421" s="724">
        <v>88.582860388125269</v>
      </c>
    </row>
    <row r="422" spans="1:12">
      <c r="A422" s="722" t="s">
        <v>127</v>
      </c>
      <c r="B422" s="722">
        <v>144</v>
      </c>
      <c r="C422" s="723">
        <v>1</v>
      </c>
      <c r="D422" s="723">
        <v>0</v>
      </c>
      <c r="E422" s="723">
        <v>0</v>
      </c>
      <c r="F422" s="723">
        <v>0</v>
      </c>
      <c r="G422" s="723">
        <v>1</v>
      </c>
      <c r="H422" s="724">
        <v>88.582860388125269</v>
      </c>
      <c r="I422" s="724">
        <v>0</v>
      </c>
      <c r="J422" s="724">
        <v>0</v>
      </c>
      <c r="K422" s="724">
        <v>0</v>
      </c>
      <c r="L422" s="724">
        <v>88.582860388125269</v>
      </c>
    </row>
    <row r="423" spans="1:12">
      <c r="A423" s="722" t="s">
        <v>127</v>
      </c>
      <c r="B423" s="722">
        <v>214</v>
      </c>
      <c r="C423" s="723">
        <v>0</v>
      </c>
      <c r="D423" s="723">
        <v>1</v>
      </c>
      <c r="E423" s="723">
        <v>0</v>
      </c>
      <c r="F423" s="723">
        <v>0</v>
      </c>
      <c r="G423" s="723">
        <v>1</v>
      </c>
      <c r="H423" s="724">
        <v>0</v>
      </c>
      <c r="I423" s="724">
        <v>88.582860388125269</v>
      </c>
      <c r="J423" s="724">
        <v>0</v>
      </c>
      <c r="K423" s="724">
        <v>0</v>
      </c>
      <c r="L423" s="724">
        <v>88.582860388125269</v>
      </c>
    </row>
    <row r="424" spans="1:12">
      <c r="A424" s="722" t="s">
        <v>127</v>
      </c>
      <c r="B424" s="722">
        <v>215</v>
      </c>
      <c r="C424" s="723">
        <v>35</v>
      </c>
      <c r="D424" s="723">
        <v>77</v>
      </c>
      <c r="E424" s="723">
        <v>0</v>
      </c>
      <c r="F424" s="723">
        <v>0</v>
      </c>
      <c r="G424" s="723">
        <v>112</v>
      </c>
      <c r="H424" s="724">
        <v>3100.4001135843841</v>
      </c>
      <c r="I424" s="724">
        <v>6820.8802498856458</v>
      </c>
      <c r="J424" s="724">
        <v>0</v>
      </c>
      <c r="K424" s="724">
        <v>0</v>
      </c>
      <c r="L424" s="724">
        <v>9921.2803634700304</v>
      </c>
    </row>
    <row r="425" spans="1:12">
      <c r="A425" s="722" t="s">
        <v>127</v>
      </c>
      <c r="B425" s="722">
        <v>302</v>
      </c>
      <c r="C425" s="723">
        <v>0</v>
      </c>
      <c r="D425" s="723">
        <v>1</v>
      </c>
      <c r="E425" s="723">
        <v>0</v>
      </c>
      <c r="F425" s="723">
        <v>0</v>
      </c>
      <c r="G425" s="723">
        <v>1</v>
      </c>
      <c r="H425" s="724">
        <v>0</v>
      </c>
      <c r="I425" s="724">
        <v>88.582860388125269</v>
      </c>
      <c r="J425" s="724">
        <v>0</v>
      </c>
      <c r="K425" s="724">
        <v>0</v>
      </c>
      <c r="L425" s="724">
        <v>88.582860388125269</v>
      </c>
    </row>
    <row r="426" spans="1:12">
      <c r="A426" s="722" t="s">
        <v>127</v>
      </c>
      <c r="B426" s="722">
        <v>303</v>
      </c>
      <c r="C426" s="723">
        <v>1</v>
      </c>
      <c r="D426" s="723">
        <v>1</v>
      </c>
      <c r="E426" s="723">
        <v>0</v>
      </c>
      <c r="F426" s="723">
        <v>0</v>
      </c>
      <c r="G426" s="723">
        <v>2</v>
      </c>
      <c r="H426" s="724">
        <v>88.582860388125269</v>
      </c>
      <c r="I426" s="724">
        <v>88.582860388125269</v>
      </c>
      <c r="J426" s="724">
        <v>0</v>
      </c>
      <c r="K426" s="724">
        <v>0</v>
      </c>
      <c r="L426" s="724">
        <v>177.16572077625054</v>
      </c>
    </row>
    <row r="427" spans="1:12">
      <c r="A427" s="722" t="s">
        <v>127</v>
      </c>
      <c r="B427" s="722">
        <v>320</v>
      </c>
      <c r="C427" s="723">
        <v>1</v>
      </c>
      <c r="D427" s="723">
        <v>0</v>
      </c>
      <c r="E427" s="723">
        <v>0</v>
      </c>
      <c r="F427" s="723">
        <v>0</v>
      </c>
      <c r="G427" s="723">
        <v>1</v>
      </c>
      <c r="H427" s="724">
        <v>88.582860388125269</v>
      </c>
      <c r="I427" s="724">
        <v>0</v>
      </c>
      <c r="J427" s="724">
        <v>0</v>
      </c>
      <c r="K427" s="724">
        <v>0</v>
      </c>
      <c r="L427" s="724">
        <v>88.582860388125269</v>
      </c>
    </row>
    <row r="428" spans="1:12">
      <c r="A428" s="722" t="s">
        <v>127</v>
      </c>
      <c r="B428" s="722">
        <v>501</v>
      </c>
      <c r="C428" s="723">
        <v>0</v>
      </c>
      <c r="D428" s="723">
        <v>1</v>
      </c>
      <c r="E428" s="723">
        <v>0</v>
      </c>
      <c r="F428" s="723">
        <v>0</v>
      </c>
      <c r="G428" s="723">
        <v>1</v>
      </c>
      <c r="H428" s="724">
        <v>0</v>
      </c>
      <c r="I428" s="724">
        <v>88.582860388125269</v>
      </c>
      <c r="J428" s="724">
        <v>0</v>
      </c>
      <c r="K428" s="724">
        <v>0</v>
      </c>
      <c r="L428" s="724">
        <v>88.582860388125269</v>
      </c>
    </row>
    <row r="429" spans="1:12">
      <c r="A429" s="722" t="s">
        <v>127</v>
      </c>
      <c r="B429" s="722">
        <v>502</v>
      </c>
      <c r="C429" s="723">
        <v>1</v>
      </c>
      <c r="D429" s="723">
        <v>0</v>
      </c>
      <c r="E429" s="723">
        <v>0</v>
      </c>
      <c r="F429" s="723">
        <v>0</v>
      </c>
      <c r="G429" s="723">
        <v>1</v>
      </c>
      <c r="H429" s="724">
        <v>88.582860388125269</v>
      </c>
      <c r="I429" s="724">
        <v>0</v>
      </c>
      <c r="J429" s="724">
        <v>0</v>
      </c>
      <c r="K429" s="724">
        <v>0</v>
      </c>
      <c r="L429" s="724">
        <v>88.582860388125269</v>
      </c>
    </row>
    <row r="430" spans="1:12">
      <c r="A430" s="722" t="s">
        <v>127</v>
      </c>
      <c r="B430" s="722">
        <v>650</v>
      </c>
      <c r="C430" s="723">
        <v>1</v>
      </c>
      <c r="D430" s="723">
        <v>0</v>
      </c>
      <c r="E430" s="723">
        <v>0</v>
      </c>
      <c r="F430" s="723">
        <v>0</v>
      </c>
      <c r="G430" s="723">
        <v>1</v>
      </c>
      <c r="H430" s="724">
        <v>88.582860388125269</v>
      </c>
      <c r="I430" s="724">
        <v>0</v>
      </c>
      <c r="J430" s="724">
        <v>0</v>
      </c>
      <c r="K430" s="724">
        <v>0</v>
      </c>
      <c r="L430" s="724">
        <v>88.582860388125269</v>
      </c>
    </row>
    <row r="431" spans="1:12">
      <c r="A431" s="722" t="s">
        <v>128</v>
      </c>
      <c r="B431" s="722">
        <v>120</v>
      </c>
      <c r="C431" s="723">
        <v>5</v>
      </c>
      <c r="D431" s="723">
        <v>8</v>
      </c>
      <c r="E431" s="723">
        <v>0</v>
      </c>
      <c r="F431" s="723">
        <v>0</v>
      </c>
      <c r="G431" s="723">
        <v>13</v>
      </c>
      <c r="H431" s="724">
        <v>531.83263030779062</v>
      </c>
      <c r="I431" s="724">
        <v>850.93220849246495</v>
      </c>
      <c r="J431" s="724">
        <v>0</v>
      </c>
      <c r="K431" s="724">
        <v>0</v>
      </c>
      <c r="L431" s="724">
        <v>1382.7648388002556</v>
      </c>
    </row>
    <row r="432" spans="1:12">
      <c r="A432" s="722" t="s">
        <v>128</v>
      </c>
      <c r="B432" s="722">
        <v>160</v>
      </c>
      <c r="C432" s="723">
        <v>2</v>
      </c>
      <c r="D432" s="723">
        <v>1</v>
      </c>
      <c r="E432" s="723">
        <v>0</v>
      </c>
      <c r="F432" s="723">
        <v>0</v>
      </c>
      <c r="G432" s="723">
        <v>3</v>
      </c>
      <c r="H432" s="724">
        <v>212.73305212311621</v>
      </c>
      <c r="I432" s="724">
        <v>106.3665260615581</v>
      </c>
      <c r="J432" s="724">
        <v>0</v>
      </c>
      <c r="K432" s="724">
        <v>0</v>
      </c>
      <c r="L432" s="724">
        <v>319.09957818467433</v>
      </c>
    </row>
    <row r="433" spans="1:12">
      <c r="A433" s="722" t="s">
        <v>128</v>
      </c>
      <c r="B433" s="722">
        <v>215</v>
      </c>
      <c r="C433" s="723">
        <v>1</v>
      </c>
      <c r="D433" s="723">
        <v>1</v>
      </c>
      <c r="E433" s="723">
        <v>0</v>
      </c>
      <c r="F433" s="723">
        <v>0</v>
      </c>
      <c r="G433" s="723">
        <v>2</v>
      </c>
      <c r="H433" s="724">
        <v>106.36652606155812</v>
      </c>
      <c r="I433" s="724">
        <v>106.36652606155812</v>
      </c>
      <c r="J433" s="724">
        <v>0</v>
      </c>
      <c r="K433" s="724">
        <v>0</v>
      </c>
      <c r="L433" s="724">
        <v>212.73305212311624</v>
      </c>
    </row>
    <row r="434" spans="1:12">
      <c r="A434" s="722" t="s">
        <v>128</v>
      </c>
      <c r="B434" s="722">
        <v>257</v>
      </c>
      <c r="C434" s="723">
        <v>8</v>
      </c>
      <c r="D434" s="723">
        <v>1</v>
      </c>
      <c r="E434" s="723">
        <v>0</v>
      </c>
      <c r="F434" s="723">
        <v>0</v>
      </c>
      <c r="G434" s="723">
        <v>9</v>
      </c>
      <c r="H434" s="724">
        <v>850.93220849246495</v>
      </c>
      <c r="I434" s="724">
        <v>106.36652606155812</v>
      </c>
      <c r="J434" s="724">
        <v>0</v>
      </c>
      <c r="K434" s="724">
        <v>0</v>
      </c>
      <c r="L434" s="724">
        <v>957.2987345540231</v>
      </c>
    </row>
    <row r="435" spans="1:12">
      <c r="A435" s="722" t="s">
        <v>128</v>
      </c>
      <c r="B435" s="722">
        <v>258</v>
      </c>
      <c r="C435" s="723">
        <v>1</v>
      </c>
      <c r="D435" s="723">
        <v>0</v>
      </c>
      <c r="E435" s="723">
        <v>0</v>
      </c>
      <c r="F435" s="723">
        <v>0</v>
      </c>
      <c r="G435" s="723">
        <v>1</v>
      </c>
      <c r="H435" s="724">
        <v>106.36652606155812</v>
      </c>
      <c r="I435" s="724">
        <v>0</v>
      </c>
      <c r="J435" s="724">
        <v>0</v>
      </c>
      <c r="K435" s="724">
        <v>0</v>
      </c>
      <c r="L435" s="724">
        <v>106.36652606155812</v>
      </c>
    </row>
    <row r="436" spans="1:12">
      <c r="A436" s="722" t="s">
        <v>128</v>
      </c>
      <c r="B436" s="722">
        <v>330</v>
      </c>
      <c r="C436" s="723">
        <v>2</v>
      </c>
      <c r="D436" s="723">
        <v>2</v>
      </c>
      <c r="E436" s="723">
        <v>0</v>
      </c>
      <c r="F436" s="723">
        <v>0</v>
      </c>
      <c r="G436" s="723">
        <v>4</v>
      </c>
      <c r="H436" s="724">
        <v>212.73305212311624</v>
      </c>
      <c r="I436" s="724">
        <v>212.73305212311624</v>
      </c>
      <c r="J436" s="724">
        <v>0</v>
      </c>
      <c r="K436" s="724">
        <v>0</v>
      </c>
      <c r="L436" s="724">
        <v>425.46610424623248</v>
      </c>
    </row>
    <row r="437" spans="1:12">
      <c r="A437" s="722" t="s">
        <v>129</v>
      </c>
      <c r="B437" s="722">
        <v>120</v>
      </c>
      <c r="C437" s="723">
        <v>61</v>
      </c>
      <c r="D437" s="723">
        <v>63</v>
      </c>
      <c r="E437" s="723">
        <v>0</v>
      </c>
      <c r="F437" s="723">
        <v>0</v>
      </c>
      <c r="G437" s="723">
        <v>124</v>
      </c>
      <c r="H437" s="724">
        <v>5944.2684310933064</v>
      </c>
      <c r="I437" s="724">
        <v>6139.1624780143984</v>
      </c>
      <c r="J437" s="724">
        <v>0</v>
      </c>
      <c r="K437" s="724">
        <v>0</v>
      </c>
      <c r="L437" s="724">
        <v>12083.430909107705</v>
      </c>
    </row>
    <row r="438" spans="1:12">
      <c r="A438" s="722" t="s">
        <v>129</v>
      </c>
      <c r="B438" s="722">
        <v>130</v>
      </c>
      <c r="C438" s="723">
        <v>3</v>
      </c>
      <c r="D438" s="723">
        <v>1</v>
      </c>
      <c r="E438" s="723">
        <v>0</v>
      </c>
      <c r="F438" s="723">
        <v>0</v>
      </c>
      <c r="G438" s="723">
        <v>4</v>
      </c>
      <c r="H438" s="724">
        <v>292.34107038163802</v>
      </c>
      <c r="I438" s="724">
        <v>97.447023460546006</v>
      </c>
      <c r="J438" s="724">
        <v>0</v>
      </c>
      <c r="K438" s="724">
        <v>0</v>
      </c>
      <c r="L438" s="724">
        <v>389.78809384218403</v>
      </c>
    </row>
    <row r="439" spans="1:12">
      <c r="A439" s="722" t="s">
        <v>129</v>
      </c>
      <c r="B439" s="722">
        <v>140</v>
      </c>
      <c r="C439" s="723">
        <v>6</v>
      </c>
      <c r="D439" s="723">
        <v>0</v>
      </c>
      <c r="E439" s="723">
        <v>0</v>
      </c>
      <c r="F439" s="723">
        <v>0</v>
      </c>
      <c r="G439" s="723">
        <v>6</v>
      </c>
      <c r="H439" s="724">
        <v>584.68214076327604</v>
      </c>
      <c r="I439" s="724">
        <v>0</v>
      </c>
      <c r="J439" s="724">
        <v>0</v>
      </c>
      <c r="K439" s="724">
        <v>0</v>
      </c>
      <c r="L439" s="724">
        <v>584.68214076327604</v>
      </c>
    </row>
    <row r="440" spans="1:12">
      <c r="A440" s="722" t="s">
        <v>129</v>
      </c>
      <c r="B440" s="722">
        <v>160</v>
      </c>
      <c r="C440" s="723">
        <v>17</v>
      </c>
      <c r="D440" s="723">
        <v>2</v>
      </c>
      <c r="E440" s="723">
        <v>0</v>
      </c>
      <c r="F440" s="723">
        <v>0</v>
      </c>
      <c r="G440" s="723">
        <v>19</v>
      </c>
      <c r="H440" s="724">
        <v>1656.5993988292821</v>
      </c>
      <c r="I440" s="724">
        <v>194.89404692109201</v>
      </c>
      <c r="J440" s="724">
        <v>0</v>
      </c>
      <c r="K440" s="724">
        <v>0</v>
      </c>
      <c r="L440" s="724">
        <v>1851.4934457503741</v>
      </c>
    </row>
    <row r="441" spans="1:12">
      <c r="A441" s="722" t="s">
        <v>129</v>
      </c>
      <c r="B441" s="722">
        <v>215</v>
      </c>
      <c r="C441" s="723">
        <v>1</v>
      </c>
      <c r="D441" s="723">
        <v>1</v>
      </c>
      <c r="E441" s="723">
        <v>0</v>
      </c>
      <c r="F441" s="723">
        <v>0</v>
      </c>
      <c r="G441" s="723">
        <v>2</v>
      </c>
      <c r="H441" s="724">
        <v>97.447023460546006</v>
      </c>
      <c r="I441" s="724">
        <v>97.447023460546006</v>
      </c>
      <c r="J441" s="724">
        <v>0</v>
      </c>
      <c r="K441" s="724">
        <v>0</v>
      </c>
      <c r="L441" s="724">
        <v>194.89404692109201</v>
      </c>
    </row>
    <row r="442" spans="1:12">
      <c r="A442" s="722" t="s">
        <v>129</v>
      </c>
      <c r="B442" s="722">
        <v>330</v>
      </c>
      <c r="C442" s="723">
        <v>200</v>
      </c>
      <c r="D442" s="723">
        <v>11</v>
      </c>
      <c r="E442" s="723">
        <v>0</v>
      </c>
      <c r="F442" s="723">
        <v>0</v>
      </c>
      <c r="G442" s="723">
        <v>211</v>
      </c>
      <c r="H442" s="724">
        <v>19489.404692109201</v>
      </c>
      <c r="I442" s="724">
        <v>1071.9172580660061</v>
      </c>
      <c r="J442" s="724">
        <v>0</v>
      </c>
      <c r="K442" s="724">
        <v>0</v>
      </c>
      <c r="L442" s="724">
        <v>20561.321950175206</v>
      </c>
    </row>
    <row r="443" spans="1:12">
      <c r="A443" s="722" t="s">
        <v>129</v>
      </c>
      <c r="B443" s="722">
        <v>340</v>
      </c>
      <c r="C443" s="723">
        <v>7</v>
      </c>
      <c r="D443" s="723">
        <v>2</v>
      </c>
      <c r="E443" s="723">
        <v>0</v>
      </c>
      <c r="F443" s="723">
        <v>0</v>
      </c>
      <c r="G443" s="723">
        <v>9</v>
      </c>
      <c r="H443" s="724">
        <v>682.12916422382204</v>
      </c>
      <c r="I443" s="724">
        <v>194.89404692109201</v>
      </c>
      <c r="J443" s="724">
        <v>0</v>
      </c>
      <c r="K443" s="724">
        <v>0</v>
      </c>
      <c r="L443" s="724">
        <v>877.02321114491406</v>
      </c>
    </row>
    <row r="444" spans="1:12">
      <c r="A444" s="722" t="s">
        <v>129</v>
      </c>
      <c r="B444" s="722">
        <v>502</v>
      </c>
      <c r="C444" s="723">
        <v>0</v>
      </c>
      <c r="D444" s="723">
        <v>1</v>
      </c>
      <c r="E444" s="723">
        <v>0</v>
      </c>
      <c r="F444" s="723">
        <v>0</v>
      </c>
      <c r="G444" s="723">
        <v>1</v>
      </c>
      <c r="H444" s="724">
        <v>0</v>
      </c>
      <c r="I444" s="724">
        <v>97.447023460546006</v>
      </c>
      <c r="J444" s="724">
        <v>0</v>
      </c>
      <c r="K444" s="724">
        <v>0</v>
      </c>
      <c r="L444" s="724">
        <v>97.447023460546006</v>
      </c>
    </row>
    <row r="445" spans="1:12">
      <c r="A445" s="722" t="s">
        <v>130</v>
      </c>
      <c r="B445" s="722">
        <v>120</v>
      </c>
      <c r="C445" s="723">
        <v>14</v>
      </c>
      <c r="D445" s="723">
        <v>17</v>
      </c>
      <c r="E445" s="723">
        <v>0</v>
      </c>
      <c r="F445" s="723">
        <v>0</v>
      </c>
      <c r="G445" s="723">
        <v>31</v>
      </c>
      <c r="H445" s="724">
        <v>911.00088212068533</v>
      </c>
      <c r="I445" s="724">
        <v>1106.2153568608321</v>
      </c>
      <c r="J445" s="724">
        <v>0</v>
      </c>
      <c r="K445" s="724">
        <v>0</v>
      </c>
      <c r="L445" s="724">
        <v>2017.2162389815173</v>
      </c>
    </row>
    <row r="446" spans="1:12">
      <c r="A446" s="722" t="s">
        <v>130</v>
      </c>
      <c r="B446" s="722">
        <v>130</v>
      </c>
      <c r="C446" s="723">
        <v>3</v>
      </c>
      <c r="D446" s="723">
        <v>0</v>
      </c>
      <c r="E446" s="723">
        <v>0</v>
      </c>
      <c r="F446" s="723">
        <v>0</v>
      </c>
      <c r="G446" s="723">
        <v>3</v>
      </c>
      <c r="H446" s="724">
        <v>195.21447474014681</v>
      </c>
      <c r="I446" s="724">
        <v>0</v>
      </c>
      <c r="J446" s="724">
        <v>0</v>
      </c>
      <c r="K446" s="724">
        <v>0</v>
      </c>
      <c r="L446" s="724">
        <v>195.21447474014684</v>
      </c>
    </row>
    <row r="447" spans="1:12">
      <c r="A447" s="722" t="s">
        <v>130</v>
      </c>
      <c r="B447" s="722">
        <v>140</v>
      </c>
      <c r="C447" s="723">
        <v>0</v>
      </c>
      <c r="D447" s="723">
        <v>4</v>
      </c>
      <c r="E447" s="723">
        <v>0</v>
      </c>
      <c r="F447" s="723">
        <v>0</v>
      </c>
      <c r="G447" s="723">
        <v>4</v>
      </c>
      <c r="H447" s="724">
        <v>0</v>
      </c>
      <c r="I447" s="724">
        <v>260.28596632019577</v>
      </c>
      <c r="J447" s="724">
        <v>0</v>
      </c>
      <c r="K447" s="724">
        <v>0</v>
      </c>
      <c r="L447" s="724">
        <v>260.28596632019577</v>
      </c>
    </row>
    <row r="448" spans="1:12">
      <c r="A448" s="722" t="s">
        <v>130</v>
      </c>
      <c r="B448" s="722">
        <v>144</v>
      </c>
      <c r="C448" s="723">
        <v>1</v>
      </c>
      <c r="D448" s="723">
        <v>0</v>
      </c>
      <c r="E448" s="723">
        <v>0</v>
      </c>
      <c r="F448" s="723">
        <v>0</v>
      </c>
      <c r="G448" s="723">
        <v>1</v>
      </c>
      <c r="H448" s="724">
        <v>65.071491580048942</v>
      </c>
      <c r="I448" s="724">
        <v>0</v>
      </c>
      <c r="J448" s="724">
        <v>0</v>
      </c>
      <c r="K448" s="724">
        <v>0</v>
      </c>
      <c r="L448" s="724">
        <v>65.071491580048942</v>
      </c>
    </row>
    <row r="449" spans="1:12">
      <c r="A449" s="722" t="s">
        <v>130</v>
      </c>
      <c r="B449" s="722">
        <v>160</v>
      </c>
      <c r="C449" s="723">
        <v>8</v>
      </c>
      <c r="D449" s="723">
        <v>0</v>
      </c>
      <c r="E449" s="723">
        <v>0</v>
      </c>
      <c r="F449" s="723">
        <v>0</v>
      </c>
      <c r="G449" s="723">
        <v>8</v>
      </c>
      <c r="H449" s="724">
        <v>520.57193264039154</v>
      </c>
      <c r="I449" s="724">
        <v>0</v>
      </c>
      <c r="J449" s="724">
        <v>0</v>
      </c>
      <c r="K449" s="724">
        <v>0</v>
      </c>
      <c r="L449" s="724">
        <v>520.57193264039154</v>
      </c>
    </row>
    <row r="450" spans="1:12">
      <c r="A450" s="722" t="s">
        <v>130</v>
      </c>
      <c r="B450" s="722">
        <v>258</v>
      </c>
      <c r="C450" s="723">
        <v>0</v>
      </c>
      <c r="D450" s="723">
        <v>1</v>
      </c>
      <c r="E450" s="723">
        <v>0</v>
      </c>
      <c r="F450" s="723">
        <v>0</v>
      </c>
      <c r="G450" s="723">
        <v>1</v>
      </c>
      <c r="H450" s="724">
        <v>0</v>
      </c>
      <c r="I450" s="724">
        <v>65.071491580048942</v>
      </c>
      <c r="J450" s="724">
        <v>0</v>
      </c>
      <c r="K450" s="724">
        <v>0</v>
      </c>
      <c r="L450" s="724">
        <v>65.071491580048942</v>
      </c>
    </row>
    <row r="451" spans="1:12">
      <c r="A451" s="722" t="s">
        <v>130</v>
      </c>
      <c r="B451" s="722">
        <v>300</v>
      </c>
      <c r="C451" s="723">
        <v>1</v>
      </c>
      <c r="D451" s="723">
        <v>0</v>
      </c>
      <c r="E451" s="723">
        <v>0</v>
      </c>
      <c r="F451" s="723">
        <v>0</v>
      </c>
      <c r="G451" s="723">
        <v>1</v>
      </c>
      <c r="H451" s="724">
        <v>65.071491580048942</v>
      </c>
      <c r="I451" s="724">
        <v>0</v>
      </c>
      <c r="J451" s="724">
        <v>0</v>
      </c>
      <c r="K451" s="724">
        <v>0</v>
      </c>
      <c r="L451" s="724">
        <v>65.071491580048942</v>
      </c>
    </row>
    <row r="452" spans="1:12">
      <c r="A452" s="722" t="s">
        <v>130</v>
      </c>
      <c r="B452" s="722">
        <v>302</v>
      </c>
      <c r="C452" s="723">
        <v>1</v>
      </c>
      <c r="D452" s="723">
        <v>1</v>
      </c>
      <c r="E452" s="723">
        <v>0</v>
      </c>
      <c r="F452" s="723">
        <v>0</v>
      </c>
      <c r="G452" s="723">
        <v>2</v>
      </c>
      <c r="H452" s="724">
        <v>65.071491580048942</v>
      </c>
      <c r="I452" s="724">
        <v>65.071491580048942</v>
      </c>
      <c r="J452" s="724">
        <v>0</v>
      </c>
      <c r="K452" s="724">
        <v>0</v>
      </c>
      <c r="L452" s="724">
        <v>130.14298316009788</v>
      </c>
    </row>
    <row r="453" spans="1:12">
      <c r="A453" s="722" t="s">
        <v>130</v>
      </c>
      <c r="B453" s="722">
        <v>330</v>
      </c>
      <c r="C453" s="723">
        <v>1</v>
      </c>
      <c r="D453" s="723">
        <v>0</v>
      </c>
      <c r="E453" s="723">
        <v>0</v>
      </c>
      <c r="F453" s="723">
        <v>0</v>
      </c>
      <c r="G453" s="723">
        <v>1</v>
      </c>
      <c r="H453" s="724">
        <v>65.071491580048942</v>
      </c>
      <c r="I453" s="724">
        <v>0</v>
      </c>
      <c r="J453" s="724">
        <v>0</v>
      </c>
      <c r="K453" s="724">
        <v>0</v>
      </c>
      <c r="L453" s="724">
        <v>65.071491580048942</v>
      </c>
    </row>
    <row r="454" spans="1:12">
      <c r="A454" s="722" t="s">
        <v>130</v>
      </c>
      <c r="B454" s="722">
        <v>340</v>
      </c>
      <c r="C454" s="723">
        <v>3</v>
      </c>
      <c r="D454" s="723">
        <v>1</v>
      </c>
      <c r="E454" s="723">
        <v>0</v>
      </c>
      <c r="F454" s="723">
        <v>0</v>
      </c>
      <c r="G454" s="723">
        <v>4</v>
      </c>
      <c r="H454" s="724">
        <v>195.21447474014684</v>
      </c>
      <c r="I454" s="724">
        <v>65.071491580048942</v>
      </c>
      <c r="J454" s="724">
        <v>0</v>
      </c>
      <c r="K454" s="724">
        <v>0</v>
      </c>
      <c r="L454" s="724">
        <v>260.28596632019577</v>
      </c>
    </row>
    <row r="455" spans="1:12">
      <c r="A455" s="722" t="s">
        <v>130</v>
      </c>
      <c r="B455" s="722">
        <v>502</v>
      </c>
      <c r="C455" s="723">
        <v>1</v>
      </c>
      <c r="D455" s="723">
        <v>0</v>
      </c>
      <c r="E455" s="723">
        <v>0</v>
      </c>
      <c r="F455" s="723">
        <v>0</v>
      </c>
      <c r="G455" s="723">
        <v>1</v>
      </c>
      <c r="H455" s="724">
        <v>65.071491580048942</v>
      </c>
      <c r="I455" s="724">
        <v>0</v>
      </c>
      <c r="J455" s="724">
        <v>0</v>
      </c>
      <c r="K455" s="724">
        <v>0</v>
      </c>
      <c r="L455" s="724">
        <v>65.071491580048942</v>
      </c>
    </row>
    <row r="456" spans="1:12">
      <c r="A456" s="722" t="s">
        <v>132</v>
      </c>
      <c r="B456" s="722">
        <v>120</v>
      </c>
      <c r="C456" s="723">
        <v>24</v>
      </c>
      <c r="D456" s="723">
        <v>12</v>
      </c>
      <c r="E456" s="723">
        <v>0</v>
      </c>
      <c r="F456" s="723">
        <v>0</v>
      </c>
      <c r="G456" s="723">
        <v>36</v>
      </c>
      <c r="H456" s="724">
        <v>3783.4742152840513</v>
      </c>
      <c r="I456" s="724">
        <v>1891.7371076420256</v>
      </c>
      <c r="J456" s="724">
        <v>0</v>
      </c>
      <c r="K456" s="724">
        <v>0</v>
      </c>
      <c r="L456" s="724">
        <v>5675.2113229260776</v>
      </c>
    </row>
    <row r="457" spans="1:12">
      <c r="A457" s="722" t="s">
        <v>132</v>
      </c>
      <c r="B457" s="722">
        <v>130</v>
      </c>
      <c r="C457" s="723">
        <v>1</v>
      </c>
      <c r="D457" s="723">
        <v>0</v>
      </c>
      <c r="E457" s="723">
        <v>0</v>
      </c>
      <c r="F457" s="723">
        <v>0</v>
      </c>
      <c r="G457" s="723">
        <v>1</v>
      </c>
      <c r="H457" s="724">
        <v>157.64475897016882</v>
      </c>
      <c r="I457" s="724">
        <v>0</v>
      </c>
      <c r="J457" s="724">
        <v>0</v>
      </c>
      <c r="K457" s="724">
        <v>0</v>
      </c>
      <c r="L457" s="724">
        <v>157.64475897016882</v>
      </c>
    </row>
    <row r="458" spans="1:12">
      <c r="A458" s="722" t="s">
        <v>132</v>
      </c>
      <c r="B458" s="722">
        <v>140</v>
      </c>
      <c r="C458" s="723">
        <v>322</v>
      </c>
      <c r="D458" s="723">
        <v>97</v>
      </c>
      <c r="E458" s="723">
        <v>0</v>
      </c>
      <c r="F458" s="723">
        <v>0</v>
      </c>
      <c r="G458" s="723">
        <v>419</v>
      </c>
      <c r="H458" s="724">
        <v>50761.612388394366</v>
      </c>
      <c r="I458" s="724">
        <v>15291.541620106376</v>
      </c>
      <c r="J458" s="724">
        <v>0</v>
      </c>
      <c r="K458" s="724">
        <v>0</v>
      </c>
      <c r="L458" s="724">
        <v>66053.154008500744</v>
      </c>
    </row>
    <row r="459" spans="1:12">
      <c r="A459" s="722" t="s">
        <v>132</v>
      </c>
      <c r="B459" s="722">
        <v>143</v>
      </c>
      <c r="C459" s="723">
        <v>7</v>
      </c>
      <c r="D459" s="723">
        <v>0</v>
      </c>
      <c r="E459" s="723">
        <v>0</v>
      </c>
      <c r="F459" s="723">
        <v>0</v>
      </c>
      <c r="G459" s="723">
        <v>7</v>
      </c>
      <c r="H459" s="724">
        <v>1103.5133127911818</v>
      </c>
      <c r="I459" s="724">
        <v>0</v>
      </c>
      <c r="J459" s="724">
        <v>0</v>
      </c>
      <c r="K459" s="724">
        <v>0</v>
      </c>
      <c r="L459" s="724">
        <v>1103.5133127911818</v>
      </c>
    </row>
    <row r="460" spans="1:12">
      <c r="A460" s="722" t="s">
        <v>132</v>
      </c>
      <c r="B460" s="722">
        <v>144</v>
      </c>
      <c r="C460" s="723">
        <v>271</v>
      </c>
      <c r="D460" s="723">
        <v>19</v>
      </c>
      <c r="E460" s="723">
        <v>0</v>
      </c>
      <c r="F460" s="723">
        <v>0</v>
      </c>
      <c r="G460" s="723">
        <v>290</v>
      </c>
      <c r="H460" s="724">
        <v>42721.729680915756</v>
      </c>
      <c r="I460" s="724">
        <v>2995.2504204332076</v>
      </c>
      <c r="J460" s="724">
        <v>0</v>
      </c>
      <c r="K460" s="724">
        <v>0</v>
      </c>
      <c r="L460" s="724">
        <v>45716.980101348963</v>
      </c>
    </row>
    <row r="461" spans="1:12">
      <c r="A461" s="722" t="s">
        <v>132</v>
      </c>
      <c r="B461" s="722">
        <v>160</v>
      </c>
      <c r="C461" s="723">
        <v>2</v>
      </c>
      <c r="D461" s="723">
        <v>0</v>
      </c>
      <c r="E461" s="723">
        <v>0</v>
      </c>
      <c r="F461" s="723">
        <v>0</v>
      </c>
      <c r="G461" s="723">
        <v>2</v>
      </c>
      <c r="H461" s="724">
        <v>315.28951794033765</v>
      </c>
      <c r="I461" s="724">
        <v>0</v>
      </c>
      <c r="J461" s="724">
        <v>0</v>
      </c>
      <c r="K461" s="724">
        <v>0</v>
      </c>
      <c r="L461" s="724">
        <v>315.28951794033765</v>
      </c>
    </row>
    <row r="462" spans="1:12">
      <c r="A462" s="722" t="s">
        <v>132</v>
      </c>
      <c r="B462" s="722">
        <v>217</v>
      </c>
      <c r="C462" s="723">
        <v>9</v>
      </c>
      <c r="D462" s="723">
        <v>0</v>
      </c>
      <c r="E462" s="723">
        <v>0</v>
      </c>
      <c r="F462" s="723">
        <v>0</v>
      </c>
      <c r="G462" s="723">
        <v>9</v>
      </c>
      <c r="H462" s="724">
        <v>1418.8028307315194</v>
      </c>
      <c r="I462" s="724">
        <v>0</v>
      </c>
      <c r="J462" s="724">
        <v>0</v>
      </c>
      <c r="K462" s="724">
        <v>0</v>
      </c>
      <c r="L462" s="724">
        <v>1418.8028307315194</v>
      </c>
    </row>
    <row r="463" spans="1:12">
      <c r="A463" s="722" t="s">
        <v>132</v>
      </c>
      <c r="B463" s="722">
        <v>410</v>
      </c>
      <c r="C463" s="723">
        <v>0</v>
      </c>
      <c r="D463" s="723">
        <v>5</v>
      </c>
      <c r="E463" s="723">
        <v>0</v>
      </c>
      <c r="F463" s="723">
        <v>0</v>
      </c>
      <c r="G463" s="723">
        <v>5</v>
      </c>
      <c r="H463" s="724">
        <v>0</v>
      </c>
      <c r="I463" s="724">
        <v>788.22379485084423</v>
      </c>
      <c r="J463" s="724">
        <v>0</v>
      </c>
      <c r="K463" s="724">
        <v>0</v>
      </c>
      <c r="L463" s="724">
        <v>788.22379485084423</v>
      </c>
    </row>
    <row r="464" spans="1:12">
      <c r="A464" s="722" t="s">
        <v>132</v>
      </c>
      <c r="B464" s="722">
        <v>560</v>
      </c>
      <c r="C464" s="723">
        <v>1</v>
      </c>
      <c r="D464" s="723">
        <v>0</v>
      </c>
      <c r="E464" s="723">
        <v>0</v>
      </c>
      <c r="F464" s="723">
        <v>0</v>
      </c>
      <c r="G464" s="723">
        <v>1</v>
      </c>
      <c r="H464" s="724">
        <v>157.64475897016882</v>
      </c>
      <c r="I464" s="724">
        <v>0</v>
      </c>
      <c r="J464" s="724">
        <v>0</v>
      </c>
      <c r="K464" s="724">
        <v>0</v>
      </c>
      <c r="L464" s="724">
        <v>157.64475897016882</v>
      </c>
    </row>
    <row r="465" spans="1:12">
      <c r="A465" s="722" t="s">
        <v>133</v>
      </c>
      <c r="B465" s="722">
        <v>120</v>
      </c>
      <c r="C465" s="723">
        <v>12</v>
      </c>
      <c r="D465" s="723">
        <v>32</v>
      </c>
      <c r="E465" s="723">
        <v>0</v>
      </c>
      <c r="F465" s="723">
        <v>0</v>
      </c>
      <c r="G465" s="723">
        <v>44</v>
      </c>
      <c r="H465" s="724">
        <v>1493.8459216633812</v>
      </c>
      <c r="I465" s="724">
        <v>3983.5891244356831</v>
      </c>
      <c r="J465" s="724">
        <v>0</v>
      </c>
      <c r="K465" s="724">
        <v>0</v>
      </c>
      <c r="L465" s="724">
        <v>5477.4350460990645</v>
      </c>
    </row>
    <row r="466" spans="1:12">
      <c r="A466" s="722" t="s">
        <v>133</v>
      </c>
      <c r="B466" s="722">
        <v>140</v>
      </c>
      <c r="C466" s="723">
        <v>8</v>
      </c>
      <c r="D466" s="723">
        <v>3</v>
      </c>
      <c r="E466" s="723">
        <v>0</v>
      </c>
      <c r="F466" s="723">
        <v>0</v>
      </c>
      <c r="G466" s="723">
        <v>11</v>
      </c>
      <c r="H466" s="724">
        <v>995.89728110892077</v>
      </c>
      <c r="I466" s="724">
        <v>373.4614804158453</v>
      </c>
      <c r="J466" s="724">
        <v>0</v>
      </c>
      <c r="K466" s="724">
        <v>0</v>
      </c>
      <c r="L466" s="724">
        <v>1369.3587615247661</v>
      </c>
    </row>
    <row r="467" spans="1:12">
      <c r="A467" s="722" t="s">
        <v>133</v>
      </c>
      <c r="B467" s="722">
        <v>143</v>
      </c>
      <c r="C467" s="723">
        <v>10</v>
      </c>
      <c r="D467" s="723">
        <v>0</v>
      </c>
      <c r="E467" s="723">
        <v>0</v>
      </c>
      <c r="F467" s="723">
        <v>0</v>
      </c>
      <c r="G467" s="723">
        <v>10</v>
      </c>
      <c r="H467" s="724">
        <v>1244.871601386151</v>
      </c>
      <c r="I467" s="724">
        <v>0</v>
      </c>
      <c r="J467" s="724">
        <v>0</v>
      </c>
      <c r="K467" s="724">
        <v>0</v>
      </c>
      <c r="L467" s="724">
        <v>1244.871601386151</v>
      </c>
    </row>
    <row r="468" spans="1:12">
      <c r="A468" s="722" t="s">
        <v>133</v>
      </c>
      <c r="B468" s="722">
        <v>144</v>
      </c>
      <c r="C468" s="723">
        <v>6</v>
      </c>
      <c r="D468" s="723">
        <v>1</v>
      </c>
      <c r="E468" s="723">
        <v>0</v>
      </c>
      <c r="F468" s="723">
        <v>0</v>
      </c>
      <c r="G468" s="723">
        <v>7</v>
      </c>
      <c r="H468" s="724">
        <v>746.92296083169072</v>
      </c>
      <c r="I468" s="724">
        <v>124.48716013861511</v>
      </c>
      <c r="J468" s="724">
        <v>0</v>
      </c>
      <c r="K468" s="724">
        <v>0</v>
      </c>
      <c r="L468" s="724">
        <v>871.4101209703058</v>
      </c>
    </row>
    <row r="469" spans="1:12">
      <c r="A469" s="722" t="s">
        <v>133</v>
      </c>
      <c r="B469" s="722">
        <v>215</v>
      </c>
      <c r="C469" s="723">
        <v>1</v>
      </c>
      <c r="D469" s="723">
        <v>2</v>
      </c>
      <c r="E469" s="723">
        <v>0</v>
      </c>
      <c r="F469" s="723">
        <v>0</v>
      </c>
      <c r="G469" s="723">
        <v>3</v>
      </c>
      <c r="H469" s="724">
        <v>124.4871601386151</v>
      </c>
      <c r="I469" s="724">
        <v>248.97432027723019</v>
      </c>
      <c r="J469" s="724">
        <v>0</v>
      </c>
      <c r="K469" s="724">
        <v>0</v>
      </c>
      <c r="L469" s="724">
        <v>373.4614804158453</v>
      </c>
    </row>
    <row r="470" spans="1:12">
      <c r="A470" s="722" t="s">
        <v>133</v>
      </c>
      <c r="B470" s="722">
        <v>217</v>
      </c>
      <c r="C470" s="723">
        <v>1</v>
      </c>
      <c r="D470" s="723">
        <v>0</v>
      </c>
      <c r="E470" s="723">
        <v>0</v>
      </c>
      <c r="F470" s="723">
        <v>0</v>
      </c>
      <c r="G470" s="723">
        <v>1</v>
      </c>
      <c r="H470" s="724">
        <v>124.48716013861511</v>
      </c>
      <c r="I470" s="724">
        <v>0</v>
      </c>
      <c r="J470" s="724">
        <v>0</v>
      </c>
      <c r="K470" s="724">
        <v>0</v>
      </c>
      <c r="L470" s="724">
        <v>124.48716013861511</v>
      </c>
    </row>
    <row r="471" spans="1:12">
      <c r="A471" s="722" t="s">
        <v>133</v>
      </c>
      <c r="B471" s="722">
        <v>340</v>
      </c>
      <c r="C471" s="723">
        <v>0</v>
      </c>
      <c r="D471" s="723">
        <v>6</v>
      </c>
      <c r="E471" s="723">
        <v>0</v>
      </c>
      <c r="F471" s="723">
        <v>0</v>
      </c>
      <c r="G471" s="723">
        <v>6</v>
      </c>
      <c r="H471" s="724">
        <v>0</v>
      </c>
      <c r="I471" s="724">
        <v>746.9229608316906</v>
      </c>
      <c r="J471" s="724">
        <v>0</v>
      </c>
      <c r="K471" s="724">
        <v>0</v>
      </c>
      <c r="L471" s="724">
        <v>746.9229608316906</v>
      </c>
    </row>
    <row r="472" spans="1:12">
      <c r="A472" s="722" t="s">
        <v>133</v>
      </c>
      <c r="B472" s="722">
        <v>811</v>
      </c>
      <c r="C472" s="723">
        <v>2</v>
      </c>
      <c r="D472" s="723">
        <v>2</v>
      </c>
      <c r="E472" s="723">
        <v>0</v>
      </c>
      <c r="F472" s="723">
        <v>0</v>
      </c>
      <c r="G472" s="723">
        <v>4</v>
      </c>
      <c r="H472" s="724">
        <v>248.97432027723022</v>
      </c>
      <c r="I472" s="724">
        <v>248.97432027723022</v>
      </c>
      <c r="J472" s="724">
        <v>0</v>
      </c>
      <c r="K472" s="724">
        <v>0</v>
      </c>
      <c r="L472" s="724">
        <v>497.94864055446044</v>
      </c>
    </row>
    <row r="473" spans="1:12">
      <c r="A473" s="722" t="s">
        <v>134</v>
      </c>
      <c r="B473" s="722">
        <v>100</v>
      </c>
      <c r="C473" s="723">
        <v>6</v>
      </c>
      <c r="D473" s="723">
        <v>14</v>
      </c>
      <c r="E473" s="723">
        <v>0</v>
      </c>
      <c r="F473" s="723">
        <v>0</v>
      </c>
      <c r="G473" s="723">
        <v>20</v>
      </c>
      <c r="H473" s="724">
        <v>951.83397675106733</v>
      </c>
      <c r="I473" s="724">
        <v>2220.9459457524908</v>
      </c>
      <c r="J473" s="724">
        <v>0</v>
      </c>
      <c r="K473" s="724">
        <v>0</v>
      </c>
      <c r="L473" s="724">
        <v>3172.7799225035578</v>
      </c>
    </row>
    <row r="474" spans="1:12">
      <c r="A474" s="722" t="s">
        <v>134</v>
      </c>
      <c r="B474" s="722">
        <v>103</v>
      </c>
      <c r="C474" s="723">
        <v>7</v>
      </c>
      <c r="D474" s="723">
        <v>12</v>
      </c>
      <c r="E474" s="723">
        <v>0</v>
      </c>
      <c r="F474" s="723">
        <v>0</v>
      </c>
      <c r="G474" s="723">
        <v>19</v>
      </c>
      <c r="H474" s="724">
        <v>1110.4729728762452</v>
      </c>
      <c r="I474" s="724">
        <v>1903.6679535021349</v>
      </c>
      <c r="J474" s="724">
        <v>0</v>
      </c>
      <c r="K474" s="724">
        <v>0</v>
      </c>
      <c r="L474" s="724">
        <v>3014.1409263783798</v>
      </c>
    </row>
    <row r="475" spans="1:12">
      <c r="A475" s="722" t="s">
        <v>134</v>
      </c>
      <c r="B475" s="722">
        <v>106</v>
      </c>
      <c r="C475" s="723">
        <v>0</v>
      </c>
      <c r="D475" s="723">
        <v>1</v>
      </c>
      <c r="E475" s="723">
        <v>0</v>
      </c>
      <c r="F475" s="723">
        <v>0</v>
      </c>
      <c r="G475" s="723">
        <v>1</v>
      </c>
      <c r="H475" s="724">
        <v>0</v>
      </c>
      <c r="I475" s="724">
        <v>158.6389961251779</v>
      </c>
      <c r="J475" s="724">
        <v>0</v>
      </c>
      <c r="K475" s="724">
        <v>0</v>
      </c>
      <c r="L475" s="724">
        <v>158.6389961251779</v>
      </c>
    </row>
    <row r="476" spans="1:12">
      <c r="A476" s="722" t="s">
        <v>134</v>
      </c>
      <c r="B476" s="722">
        <v>107</v>
      </c>
      <c r="C476" s="723">
        <v>2</v>
      </c>
      <c r="D476" s="723">
        <v>15</v>
      </c>
      <c r="E476" s="723">
        <v>0</v>
      </c>
      <c r="F476" s="723">
        <v>0</v>
      </c>
      <c r="G476" s="723">
        <v>17</v>
      </c>
      <c r="H476" s="724">
        <v>317.27799225035579</v>
      </c>
      <c r="I476" s="724">
        <v>2379.5849418776684</v>
      </c>
      <c r="J476" s="724">
        <v>0</v>
      </c>
      <c r="K476" s="724">
        <v>0</v>
      </c>
      <c r="L476" s="724">
        <v>2696.8629341280243</v>
      </c>
    </row>
    <row r="477" spans="1:12">
      <c r="A477" s="722" t="s">
        <v>134</v>
      </c>
      <c r="B477" s="722">
        <v>110</v>
      </c>
      <c r="C477" s="723">
        <v>2</v>
      </c>
      <c r="D477" s="723">
        <v>0</v>
      </c>
      <c r="E477" s="723">
        <v>0</v>
      </c>
      <c r="F477" s="723">
        <v>0</v>
      </c>
      <c r="G477" s="723">
        <v>2</v>
      </c>
      <c r="H477" s="724">
        <v>317.27799225035579</v>
      </c>
      <c r="I477" s="724">
        <v>0</v>
      </c>
      <c r="J477" s="724">
        <v>0</v>
      </c>
      <c r="K477" s="724">
        <v>0</v>
      </c>
      <c r="L477" s="724">
        <v>317.27799225035579</v>
      </c>
    </row>
    <row r="478" spans="1:12">
      <c r="A478" s="722" t="s">
        <v>134</v>
      </c>
      <c r="B478" s="722">
        <v>120</v>
      </c>
      <c r="C478" s="723">
        <v>498</v>
      </c>
      <c r="D478" s="723">
        <v>1629</v>
      </c>
      <c r="E478" s="723">
        <v>0</v>
      </c>
      <c r="F478" s="723">
        <v>0</v>
      </c>
      <c r="G478" s="723">
        <v>2127</v>
      </c>
      <c r="H478" s="724">
        <v>79002.220070338575</v>
      </c>
      <c r="I478" s="724">
        <v>258422.92468791481</v>
      </c>
      <c r="J478" s="724">
        <v>0</v>
      </c>
      <c r="K478" s="724">
        <v>0</v>
      </c>
      <c r="L478" s="724">
        <v>337425.14475825336</v>
      </c>
    </row>
    <row r="479" spans="1:12">
      <c r="A479" s="722" t="s">
        <v>134</v>
      </c>
      <c r="B479" s="722">
        <v>130</v>
      </c>
      <c r="C479" s="723">
        <v>2</v>
      </c>
      <c r="D479" s="723">
        <v>1</v>
      </c>
      <c r="E479" s="723">
        <v>0</v>
      </c>
      <c r="F479" s="723">
        <v>0</v>
      </c>
      <c r="G479" s="723">
        <v>3</v>
      </c>
      <c r="H479" s="724">
        <v>317.27799225035574</v>
      </c>
      <c r="I479" s="724">
        <v>158.63899612517787</v>
      </c>
      <c r="J479" s="724">
        <v>0</v>
      </c>
      <c r="K479" s="724">
        <v>0</v>
      </c>
      <c r="L479" s="724">
        <v>475.91698837553361</v>
      </c>
    </row>
    <row r="480" spans="1:12">
      <c r="A480" s="722" t="s">
        <v>134</v>
      </c>
      <c r="B480" s="722">
        <v>140</v>
      </c>
      <c r="C480" s="723">
        <v>174</v>
      </c>
      <c r="D480" s="723">
        <v>51</v>
      </c>
      <c r="E480" s="723">
        <v>0</v>
      </c>
      <c r="F480" s="723">
        <v>0</v>
      </c>
      <c r="G480" s="723">
        <v>225</v>
      </c>
      <c r="H480" s="724">
        <v>27603.185325780949</v>
      </c>
      <c r="I480" s="724">
        <v>8090.5888023840716</v>
      </c>
      <c r="J480" s="724">
        <v>0</v>
      </c>
      <c r="K480" s="724">
        <v>0</v>
      </c>
      <c r="L480" s="724">
        <v>35693.774128165023</v>
      </c>
    </row>
    <row r="481" spans="1:12">
      <c r="A481" s="722" t="s">
        <v>134</v>
      </c>
      <c r="B481" s="722">
        <v>141</v>
      </c>
      <c r="C481" s="723">
        <v>14</v>
      </c>
      <c r="D481" s="723">
        <v>0</v>
      </c>
      <c r="E481" s="723">
        <v>0</v>
      </c>
      <c r="F481" s="723">
        <v>0</v>
      </c>
      <c r="G481" s="723">
        <v>14</v>
      </c>
      <c r="H481" s="724">
        <v>2220.9459457524904</v>
      </c>
      <c r="I481" s="724">
        <v>0</v>
      </c>
      <c r="J481" s="724">
        <v>0</v>
      </c>
      <c r="K481" s="724">
        <v>0</v>
      </c>
      <c r="L481" s="724">
        <v>2220.9459457524904</v>
      </c>
    </row>
    <row r="482" spans="1:12">
      <c r="A482" s="722" t="s">
        <v>134</v>
      </c>
      <c r="B482" s="722">
        <v>143</v>
      </c>
      <c r="C482" s="723">
        <v>42</v>
      </c>
      <c r="D482" s="723">
        <v>0</v>
      </c>
      <c r="E482" s="723">
        <v>0</v>
      </c>
      <c r="F482" s="723">
        <v>0</v>
      </c>
      <c r="G482" s="723">
        <v>42</v>
      </c>
      <c r="H482" s="724">
        <v>6662.8378372574707</v>
      </c>
      <c r="I482" s="724">
        <v>0</v>
      </c>
      <c r="J482" s="724">
        <v>0</v>
      </c>
      <c r="K482" s="724">
        <v>0</v>
      </c>
      <c r="L482" s="724">
        <v>6662.8378372574716</v>
      </c>
    </row>
    <row r="483" spans="1:12">
      <c r="A483" s="722" t="s">
        <v>134</v>
      </c>
      <c r="B483" s="722">
        <v>144</v>
      </c>
      <c r="C483" s="723">
        <v>104</v>
      </c>
      <c r="D483" s="723">
        <v>56</v>
      </c>
      <c r="E483" s="723">
        <v>0</v>
      </c>
      <c r="F483" s="723">
        <v>0</v>
      </c>
      <c r="G483" s="723">
        <v>160</v>
      </c>
      <c r="H483" s="724">
        <v>16498.455597018499</v>
      </c>
      <c r="I483" s="724">
        <v>8883.7837830099634</v>
      </c>
      <c r="J483" s="724">
        <v>0</v>
      </c>
      <c r="K483" s="724">
        <v>0</v>
      </c>
      <c r="L483" s="724">
        <v>25382.239380028463</v>
      </c>
    </row>
    <row r="484" spans="1:12">
      <c r="A484" s="722" t="s">
        <v>134</v>
      </c>
      <c r="B484" s="722">
        <v>160</v>
      </c>
      <c r="C484" s="723">
        <v>17</v>
      </c>
      <c r="D484" s="723">
        <v>3</v>
      </c>
      <c r="E484" s="723">
        <v>0</v>
      </c>
      <c r="F484" s="723">
        <v>0</v>
      </c>
      <c r="G484" s="723">
        <v>20</v>
      </c>
      <c r="H484" s="724">
        <v>2696.8629341280239</v>
      </c>
      <c r="I484" s="724">
        <v>475.91698837553366</v>
      </c>
      <c r="J484" s="724">
        <v>0</v>
      </c>
      <c r="K484" s="724">
        <v>0</v>
      </c>
      <c r="L484" s="724">
        <v>3172.7799225035578</v>
      </c>
    </row>
    <row r="485" spans="1:12">
      <c r="A485" s="722" t="s">
        <v>134</v>
      </c>
      <c r="B485" s="722">
        <v>180</v>
      </c>
      <c r="C485" s="723">
        <v>1</v>
      </c>
      <c r="D485" s="723">
        <v>0</v>
      </c>
      <c r="E485" s="723">
        <v>0</v>
      </c>
      <c r="F485" s="723">
        <v>0</v>
      </c>
      <c r="G485" s="723">
        <v>1</v>
      </c>
      <c r="H485" s="724">
        <v>158.6389961251779</v>
      </c>
      <c r="I485" s="724">
        <v>0</v>
      </c>
      <c r="J485" s="724">
        <v>0</v>
      </c>
      <c r="K485" s="724">
        <v>0</v>
      </c>
      <c r="L485" s="724">
        <v>158.6389961251779</v>
      </c>
    </row>
    <row r="486" spans="1:12">
      <c r="A486" s="722" t="s">
        <v>134</v>
      </c>
      <c r="B486" s="722">
        <v>191</v>
      </c>
      <c r="C486" s="723">
        <v>1</v>
      </c>
      <c r="D486" s="723">
        <v>0</v>
      </c>
      <c r="E486" s="723">
        <v>0</v>
      </c>
      <c r="F486" s="723">
        <v>0</v>
      </c>
      <c r="G486" s="723">
        <v>1</v>
      </c>
      <c r="H486" s="724">
        <v>158.6389961251779</v>
      </c>
      <c r="I486" s="724">
        <v>0</v>
      </c>
      <c r="J486" s="724">
        <v>0</v>
      </c>
      <c r="K486" s="724">
        <v>0</v>
      </c>
      <c r="L486" s="724">
        <v>158.6389961251779</v>
      </c>
    </row>
    <row r="487" spans="1:12">
      <c r="A487" s="722" t="s">
        <v>134</v>
      </c>
      <c r="B487" s="722">
        <v>215</v>
      </c>
      <c r="C487" s="723">
        <v>0</v>
      </c>
      <c r="D487" s="723">
        <v>2</v>
      </c>
      <c r="E487" s="723">
        <v>0</v>
      </c>
      <c r="F487" s="723">
        <v>0</v>
      </c>
      <c r="G487" s="723">
        <v>2</v>
      </c>
      <c r="H487" s="724">
        <v>0</v>
      </c>
      <c r="I487" s="724">
        <v>317.27799225035579</v>
      </c>
      <c r="J487" s="724">
        <v>0</v>
      </c>
      <c r="K487" s="724">
        <v>0</v>
      </c>
      <c r="L487" s="724">
        <v>317.27799225035579</v>
      </c>
    </row>
    <row r="488" spans="1:12">
      <c r="A488" s="722" t="s">
        <v>134</v>
      </c>
      <c r="B488" s="722">
        <v>300</v>
      </c>
      <c r="C488" s="723">
        <v>1</v>
      </c>
      <c r="D488" s="723">
        <v>0</v>
      </c>
      <c r="E488" s="723">
        <v>0</v>
      </c>
      <c r="F488" s="723">
        <v>0</v>
      </c>
      <c r="G488" s="723">
        <v>1</v>
      </c>
      <c r="H488" s="724">
        <v>158.6389961251779</v>
      </c>
      <c r="I488" s="724">
        <v>0</v>
      </c>
      <c r="J488" s="724">
        <v>0</v>
      </c>
      <c r="K488" s="724">
        <v>0</v>
      </c>
      <c r="L488" s="724">
        <v>158.6389961251779</v>
      </c>
    </row>
    <row r="489" spans="1:12">
      <c r="A489" s="722" t="s">
        <v>134</v>
      </c>
      <c r="B489" s="722">
        <v>302</v>
      </c>
      <c r="C489" s="723">
        <v>0</v>
      </c>
      <c r="D489" s="723">
        <v>2</v>
      </c>
      <c r="E489" s="723">
        <v>0</v>
      </c>
      <c r="F489" s="723">
        <v>0</v>
      </c>
      <c r="G489" s="723">
        <v>2</v>
      </c>
      <c r="H489" s="724">
        <v>0</v>
      </c>
      <c r="I489" s="724">
        <v>317.27799225035579</v>
      </c>
      <c r="J489" s="724">
        <v>0</v>
      </c>
      <c r="K489" s="724">
        <v>0</v>
      </c>
      <c r="L489" s="724">
        <v>317.27799225035579</v>
      </c>
    </row>
    <row r="490" spans="1:12">
      <c r="A490" s="722" t="s">
        <v>134</v>
      </c>
      <c r="B490" s="722">
        <v>305</v>
      </c>
      <c r="C490" s="723">
        <v>1</v>
      </c>
      <c r="D490" s="723">
        <v>0</v>
      </c>
      <c r="E490" s="723">
        <v>0</v>
      </c>
      <c r="F490" s="723">
        <v>0</v>
      </c>
      <c r="G490" s="723">
        <v>1</v>
      </c>
      <c r="H490" s="724">
        <v>158.6389961251779</v>
      </c>
      <c r="I490" s="724">
        <v>0</v>
      </c>
      <c r="J490" s="724">
        <v>0</v>
      </c>
      <c r="K490" s="724">
        <v>0</v>
      </c>
      <c r="L490" s="724">
        <v>158.6389961251779</v>
      </c>
    </row>
    <row r="491" spans="1:12">
      <c r="A491" s="722" t="s">
        <v>134</v>
      </c>
      <c r="B491" s="722">
        <v>330</v>
      </c>
      <c r="C491" s="723">
        <v>1</v>
      </c>
      <c r="D491" s="723">
        <v>1</v>
      </c>
      <c r="E491" s="723">
        <v>0</v>
      </c>
      <c r="F491" s="723">
        <v>0</v>
      </c>
      <c r="G491" s="723">
        <v>2</v>
      </c>
      <c r="H491" s="724">
        <v>158.6389961251779</v>
      </c>
      <c r="I491" s="724">
        <v>158.6389961251779</v>
      </c>
      <c r="J491" s="724">
        <v>0</v>
      </c>
      <c r="K491" s="724">
        <v>0</v>
      </c>
      <c r="L491" s="724">
        <v>317.27799225035579</v>
      </c>
    </row>
    <row r="492" spans="1:12">
      <c r="A492" s="722" t="s">
        <v>134</v>
      </c>
      <c r="B492" s="722">
        <v>340</v>
      </c>
      <c r="C492" s="723">
        <v>4</v>
      </c>
      <c r="D492" s="723">
        <v>6</v>
      </c>
      <c r="E492" s="723">
        <v>0</v>
      </c>
      <c r="F492" s="723">
        <v>0</v>
      </c>
      <c r="G492" s="723">
        <v>10</v>
      </c>
      <c r="H492" s="724">
        <v>634.55598450071159</v>
      </c>
      <c r="I492" s="724">
        <v>951.83397675106733</v>
      </c>
      <c r="J492" s="724">
        <v>0</v>
      </c>
      <c r="K492" s="724">
        <v>0</v>
      </c>
      <c r="L492" s="724">
        <v>1586.3899612517789</v>
      </c>
    </row>
    <row r="493" spans="1:12">
      <c r="A493" s="722" t="s">
        <v>134</v>
      </c>
      <c r="B493" s="722">
        <v>350</v>
      </c>
      <c r="C493" s="723">
        <v>1</v>
      </c>
      <c r="D493" s="723">
        <v>0</v>
      </c>
      <c r="E493" s="723">
        <v>0</v>
      </c>
      <c r="F493" s="723">
        <v>0</v>
      </c>
      <c r="G493" s="723">
        <v>1</v>
      </c>
      <c r="H493" s="724">
        <v>158.6389961251779</v>
      </c>
      <c r="I493" s="724">
        <v>0</v>
      </c>
      <c r="J493" s="724">
        <v>0</v>
      </c>
      <c r="K493" s="724">
        <v>0</v>
      </c>
      <c r="L493" s="724">
        <v>158.6389961251779</v>
      </c>
    </row>
    <row r="494" spans="1:12">
      <c r="A494" s="722" t="s">
        <v>134</v>
      </c>
      <c r="B494" s="722">
        <v>361</v>
      </c>
      <c r="C494" s="723">
        <v>1</v>
      </c>
      <c r="D494" s="723">
        <v>1</v>
      </c>
      <c r="E494" s="723">
        <v>0</v>
      </c>
      <c r="F494" s="723">
        <v>0</v>
      </c>
      <c r="G494" s="723">
        <v>2</v>
      </c>
      <c r="H494" s="724">
        <v>158.6389961251779</v>
      </c>
      <c r="I494" s="724">
        <v>158.6389961251779</v>
      </c>
      <c r="J494" s="724">
        <v>0</v>
      </c>
      <c r="K494" s="724">
        <v>0</v>
      </c>
      <c r="L494" s="724">
        <v>317.27799225035579</v>
      </c>
    </row>
    <row r="495" spans="1:12">
      <c r="A495" s="722" t="s">
        <v>134</v>
      </c>
      <c r="B495" s="722">
        <v>370</v>
      </c>
      <c r="C495" s="723">
        <v>1</v>
      </c>
      <c r="D495" s="723">
        <v>1</v>
      </c>
      <c r="E495" s="723">
        <v>0</v>
      </c>
      <c r="F495" s="723">
        <v>0</v>
      </c>
      <c r="G495" s="723">
        <v>2</v>
      </c>
      <c r="H495" s="724">
        <v>158.6389961251779</v>
      </c>
      <c r="I495" s="724">
        <v>158.6389961251779</v>
      </c>
      <c r="J495" s="724">
        <v>0</v>
      </c>
      <c r="K495" s="724">
        <v>0</v>
      </c>
      <c r="L495" s="724">
        <v>317.27799225035579</v>
      </c>
    </row>
    <row r="496" spans="1:12">
      <c r="A496" s="722" t="s">
        <v>134</v>
      </c>
      <c r="B496" s="722">
        <v>410</v>
      </c>
      <c r="C496" s="723">
        <v>1</v>
      </c>
      <c r="D496" s="723">
        <v>0</v>
      </c>
      <c r="E496" s="723">
        <v>0</v>
      </c>
      <c r="F496" s="723">
        <v>0</v>
      </c>
      <c r="G496" s="723">
        <v>1</v>
      </c>
      <c r="H496" s="724">
        <v>158.6389961251779</v>
      </c>
      <c r="I496" s="724">
        <v>0</v>
      </c>
      <c r="J496" s="724">
        <v>0</v>
      </c>
      <c r="K496" s="724">
        <v>0</v>
      </c>
      <c r="L496" s="724">
        <v>158.6389961251779</v>
      </c>
    </row>
    <row r="497" spans="1:12">
      <c r="A497" s="722" t="s">
        <v>134</v>
      </c>
      <c r="B497" s="722">
        <v>502</v>
      </c>
      <c r="C497" s="723">
        <v>0</v>
      </c>
      <c r="D497" s="723">
        <v>1</v>
      </c>
      <c r="E497" s="723">
        <v>0</v>
      </c>
      <c r="F497" s="723">
        <v>0</v>
      </c>
      <c r="G497" s="723">
        <v>1</v>
      </c>
      <c r="H497" s="724">
        <v>0</v>
      </c>
      <c r="I497" s="724">
        <v>158.6389961251779</v>
      </c>
      <c r="J497" s="724">
        <v>0</v>
      </c>
      <c r="K497" s="724">
        <v>0</v>
      </c>
      <c r="L497" s="724">
        <v>158.6389961251779</v>
      </c>
    </row>
    <row r="498" spans="1:12">
      <c r="A498" s="722" t="s">
        <v>134</v>
      </c>
      <c r="B498" s="722">
        <v>560</v>
      </c>
      <c r="C498" s="723">
        <v>1</v>
      </c>
      <c r="D498" s="723">
        <v>0</v>
      </c>
      <c r="E498" s="723">
        <v>0</v>
      </c>
      <c r="F498" s="723">
        <v>0</v>
      </c>
      <c r="G498" s="723">
        <v>1</v>
      </c>
      <c r="H498" s="724">
        <v>158.6389961251779</v>
      </c>
      <c r="I498" s="724">
        <v>0</v>
      </c>
      <c r="J498" s="724">
        <v>0</v>
      </c>
      <c r="K498" s="724">
        <v>0</v>
      </c>
      <c r="L498" s="724">
        <v>158.6389961251779</v>
      </c>
    </row>
    <row r="499" spans="1:12">
      <c r="A499" s="722" t="s">
        <v>134</v>
      </c>
      <c r="B499" s="722">
        <v>800</v>
      </c>
      <c r="C499" s="723">
        <v>2</v>
      </c>
      <c r="D499" s="723">
        <v>2</v>
      </c>
      <c r="E499" s="723">
        <v>0</v>
      </c>
      <c r="F499" s="723">
        <v>0</v>
      </c>
      <c r="G499" s="723">
        <v>4</v>
      </c>
      <c r="H499" s="724">
        <v>317.27799225035579</v>
      </c>
      <c r="I499" s="724">
        <v>317.27799225035579</v>
      </c>
      <c r="J499" s="724">
        <v>0</v>
      </c>
      <c r="K499" s="724">
        <v>0</v>
      </c>
      <c r="L499" s="724">
        <v>634.55598450071159</v>
      </c>
    </row>
    <row r="500" spans="1:12">
      <c r="A500" s="722" t="s">
        <v>134</v>
      </c>
      <c r="B500" s="722">
        <v>811</v>
      </c>
      <c r="C500" s="723">
        <v>56</v>
      </c>
      <c r="D500" s="723">
        <v>112</v>
      </c>
      <c r="E500" s="723">
        <v>0</v>
      </c>
      <c r="F500" s="723">
        <v>0</v>
      </c>
      <c r="G500" s="723">
        <v>168</v>
      </c>
      <c r="H500" s="724">
        <v>8883.7837830099616</v>
      </c>
      <c r="I500" s="724">
        <v>17767.567566019923</v>
      </c>
      <c r="J500" s="724">
        <v>0</v>
      </c>
      <c r="K500" s="724">
        <v>0</v>
      </c>
      <c r="L500" s="724">
        <v>26651.351349029886</v>
      </c>
    </row>
    <row r="501" spans="1:12">
      <c r="A501" s="722" t="s">
        <v>135</v>
      </c>
      <c r="B501" s="722">
        <v>140</v>
      </c>
      <c r="C501" s="723">
        <v>10</v>
      </c>
      <c r="D501" s="723">
        <v>10</v>
      </c>
      <c r="E501" s="723">
        <v>0</v>
      </c>
      <c r="F501" s="723">
        <v>0</v>
      </c>
      <c r="G501" s="723">
        <v>20</v>
      </c>
      <c r="H501" s="724">
        <v>1335.3164454339126</v>
      </c>
      <c r="I501" s="724">
        <v>1335.3164454339126</v>
      </c>
      <c r="J501" s="724">
        <v>0</v>
      </c>
      <c r="K501" s="724">
        <v>0</v>
      </c>
      <c r="L501" s="724">
        <v>2670.6328908678252</v>
      </c>
    </row>
    <row r="502" spans="1:12">
      <c r="A502" s="722" t="s">
        <v>135</v>
      </c>
      <c r="B502" s="722">
        <v>143</v>
      </c>
      <c r="C502" s="723">
        <v>22</v>
      </c>
      <c r="D502" s="723">
        <v>0</v>
      </c>
      <c r="E502" s="723">
        <v>0</v>
      </c>
      <c r="F502" s="723">
        <v>0</v>
      </c>
      <c r="G502" s="723">
        <v>22</v>
      </c>
      <c r="H502" s="724">
        <v>2937.6961799546075</v>
      </c>
      <c r="I502" s="724">
        <v>0</v>
      </c>
      <c r="J502" s="724">
        <v>0</v>
      </c>
      <c r="K502" s="724">
        <v>0</v>
      </c>
      <c r="L502" s="724">
        <v>2937.6961799546075</v>
      </c>
    </row>
    <row r="503" spans="1:12">
      <c r="A503" s="722" t="s">
        <v>135</v>
      </c>
      <c r="B503" s="722">
        <v>144</v>
      </c>
      <c r="C503" s="723">
        <v>5</v>
      </c>
      <c r="D503" s="723">
        <v>6</v>
      </c>
      <c r="E503" s="723">
        <v>0</v>
      </c>
      <c r="F503" s="723">
        <v>0</v>
      </c>
      <c r="G503" s="723">
        <v>11</v>
      </c>
      <c r="H503" s="724">
        <v>667.65822271695629</v>
      </c>
      <c r="I503" s="724">
        <v>801.18986726034746</v>
      </c>
      <c r="J503" s="724">
        <v>0</v>
      </c>
      <c r="K503" s="724">
        <v>0</v>
      </c>
      <c r="L503" s="724">
        <v>1468.8480899773037</v>
      </c>
    </row>
    <row r="504" spans="1:12">
      <c r="A504" s="722" t="s">
        <v>135</v>
      </c>
      <c r="B504" s="722">
        <v>160</v>
      </c>
      <c r="C504" s="723">
        <v>1</v>
      </c>
      <c r="D504" s="723">
        <v>0</v>
      </c>
      <c r="E504" s="723">
        <v>0</v>
      </c>
      <c r="F504" s="723">
        <v>0</v>
      </c>
      <c r="G504" s="723">
        <v>1</v>
      </c>
      <c r="H504" s="724">
        <v>133.53164454339125</v>
      </c>
      <c r="I504" s="724">
        <v>0</v>
      </c>
      <c r="J504" s="724">
        <v>0</v>
      </c>
      <c r="K504" s="724">
        <v>0</v>
      </c>
      <c r="L504" s="724">
        <v>133.53164454339125</v>
      </c>
    </row>
    <row r="505" spans="1:12">
      <c r="A505" s="722" t="s">
        <v>135</v>
      </c>
      <c r="B505" s="722">
        <v>307</v>
      </c>
      <c r="C505" s="723">
        <v>1</v>
      </c>
      <c r="D505" s="723">
        <v>0</v>
      </c>
      <c r="E505" s="723">
        <v>0</v>
      </c>
      <c r="F505" s="723">
        <v>0</v>
      </c>
      <c r="G505" s="723">
        <v>1</v>
      </c>
      <c r="H505" s="724">
        <v>133.53164454339125</v>
      </c>
      <c r="I505" s="724">
        <v>0</v>
      </c>
      <c r="J505" s="724">
        <v>0</v>
      </c>
      <c r="K505" s="724">
        <v>0</v>
      </c>
      <c r="L505" s="724">
        <v>133.53164454339125</v>
      </c>
    </row>
    <row r="506" spans="1:12">
      <c r="A506" s="722" t="s">
        <v>135</v>
      </c>
      <c r="B506" s="722">
        <v>340</v>
      </c>
      <c r="C506" s="723">
        <v>1</v>
      </c>
      <c r="D506" s="723">
        <v>0</v>
      </c>
      <c r="E506" s="723">
        <v>0</v>
      </c>
      <c r="F506" s="723">
        <v>0</v>
      </c>
      <c r="G506" s="723">
        <v>1</v>
      </c>
      <c r="H506" s="724">
        <v>133.53164454339125</v>
      </c>
      <c r="I506" s="724">
        <v>0</v>
      </c>
      <c r="J506" s="724">
        <v>0</v>
      </c>
      <c r="K506" s="724">
        <v>0</v>
      </c>
      <c r="L506" s="724">
        <v>133.53164454339125</v>
      </c>
    </row>
    <row r="507" spans="1:12">
      <c r="A507" s="722" t="s">
        <v>136</v>
      </c>
      <c r="B507" s="722">
        <v>140</v>
      </c>
      <c r="C507" s="723">
        <v>1</v>
      </c>
      <c r="D507" s="723">
        <v>1</v>
      </c>
      <c r="E507" s="723">
        <v>0</v>
      </c>
      <c r="F507" s="723">
        <v>0</v>
      </c>
      <c r="G507" s="723">
        <v>2</v>
      </c>
      <c r="H507" s="724">
        <v>130.63506921072101</v>
      </c>
      <c r="I507" s="724">
        <v>130.63506921072101</v>
      </c>
      <c r="J507" s="724">
        <v>0</v>
      </c>
      <c r="K507" s="724">
        <v>0</v>
      </c>
      <c r="L507" s="724">
        <v>261.27013842144203</v>
      </c>
    </row>
    <row r="508" spans="1:12">
      <c r="A508" s="722" t="s">
        <v>136</v>
      </c>
      <c r="B508" s="722">
        <v>144</v>
      </c>
      <c r="C508" s="723">
        <v>2</v>
      </c>
      <c r="D508" s="723">
        <v>0</v>
      </c>
      <c r="E508" s="723">
        <v>0</v>
      </c>
      <c r="F508" s="723">
        <v>0</v>
      </c>
      <c r="G508" s="723">
        <v>2</v>
      </c>
      <c r="H508" s="724">
        <v>261.27013842144203</v>
      </c>
      <c r="I508" s="724">
        <v>0</v>
      </c>
      <c r="J508" s="724">
        <v>0</v>
      </c>
      <c r="K508" s="724">
        <v>0</v>
      </c>
      <c r="L508" s="724">
        <v>261.27013842144203</v>
      </c>
    </row>
    <row r="509" spans="1:12">
      <c r="A509" s="722" t="s">
        <v>140</v>
      </c>
      <c r="B509" s="722">
        <v>120</v>
      </c>
      <c r="C509" s="723">
        <v>6</v>
      </c>
      <c r="D509" s="723">
        <v>8</v>
      </c>
      <c r="E509" s="723">
        <v>0</v>
      </c>
      <c r="F509" s="723">
        <v>0</v>
      </c>
      <c r="G509" s="723">
        <v>14</v>
      </c>
      <c r="H509" s="724">
        <v>448.6646109342916</v>
      </c>
      <c r="I509" s="724">
        <v>598.21948124572214</v>
      </c>
      <c r="J509" s="724">
        <v>0</v>
      </c>
      <c r="K509" s="724">
        <v>0</v>
      </c>
      <c r="L509" s="724">
        <v>1046.8840921800138</v>
      </c>
    </row>
    <row r="510" spans="1:12">
      <c r="A510" s="722" t="s">
        <v>140</v>
      </c>
      <c r="B510" s="722">
        <v>130</v>
      </c>
      <c r="C510" s="723">
        <v>1</v>
      </c>
      <c r="D510" s="723">
        <v>0</v>
      </c>
      <c r="E510" s="723">
        <v>0</v>
      </c>
      <c r="F510" s="723">
        <v>0</v>
      </c>
      <c r="G510" s="723">
        <v>1</v>
      </c>
      <c r="H510" s="724">
        <v>74.777435155715267</v>
      </c>
      <c r="I510" s="724">
        <v>0</v>
      </c>
      <c r="J510" s="724">
        <v>0</v>
      </c>
      <c r="K510" s="724">
        <v>0</v>
      </c>
      <c r="L510" s="724">
        <v>74.777435155715267</v>
      </c>
    </row>
    <row r="511" spans="1:12">
      <c r="A511" s="722" t="s">
        <v>140</v>
      </c>
      <c r="B511" s="722">
        <v>215</v>
      </c>
      <c r="C511" s="723">
        <v>4</v>
      </c>
      <c r="D511" s="723">
        <v>0</v>
      </c>
      <c r="E511" s="723">
        <v>0</v>
      </c>
      <c r="F511" s="723">
        <v>0</v>
      </c>
      <c r="G511" s="723">
        <v>4</v>
      </c>
      <c r="H511" s="724">
        <v>299.10974062286107</v>
      </c>
      <c r="I511" s="724">
        <v>0</v>
      </c>
      <c r="J511" s="724">
        <v>0</v>
      </c>
      <c r="K511" s="724">
        <v>0</v>
      </c>
      <c r="L511" s="724">
        <v>299.10974062286107</v>
      </c>
    </row>
    <row r="512" spans="1:12">
      <c r="A512" s="722" t="s">
        <v>141</v>
      </c>
      <c r="B512" s="722">
        <v>100</v>
      </c>
      <c r="C512" s="723">
        <v>2</v>
      </c>
      <c r="D512" s="723">
        <v>0</v>
      </c>
      <c r="E512" s="723">
        <v>0</v>
      </c>
      <c r="F512" s="723">
        <v>0</v>
      </c>
      <c r="G512" s="723">
        <v>2</v>
      </c>
      <c r="H512" s="724">
        <v>50.930903931205172</v>
      </c>
      <c r="I512" s="724">
        <v>0</v>
      </c>
      <c r="J512" s="724">
        <v>0</v>
      </c>
      <c r="K512" s="724">
        <v>0</v>
      </c>
      <c r="L512" s="724">
        <v>50.930903931205172</v>
      </c>
    </row>
    <row r="513" spans="1:12">
      <c r="A513" s="722" t="s">
        <v>141</v>
      </c>
      <c r="B513" s="722">
        <v>103</v>
      </c>
      <c r="C513" s="723">
        <v>1</v>
      </c>
      <c r="D513" s="723">
        <v>0</v>
      </c>
      <c r="E513" s="723">
        <v>0</v>
      </c>
      <c r="F513" s="723">
        <v>0</v>
      </c>
      <c r="G513" s="723">
        <v>1</v>
      </c>
      <c r="H513" s="724">
        <v>25.465451965602586</v>
      </c>
      <c r="I513" s="724">
        <v>0</v>
      </c>
      <c r="J513" s="724">
        <v>0</v>
      </c>
      <c r="K513" s="724">
        <v>0</v>
      </c>
      <c r="L513" s="724">
        <v>25.465451965602586</v>
      </c>
    </row>
    <row r="514" spans="1:12">
      <c r="A514" s="722" t="s">
        <v>141</v>
      </c>
      <c r="B514" s="722">
        <v>110</v>
      </c>
      <c r="C514" s="723">
        <v>1</v>
      </c>
      <c r="D514" s="723">
        <v>0</v>
      </c>
      <c r="E514" s="723">
        <v>0</v>
      </c>
      <c r="F514" s="723">
        <v>0</v>
      </c>
      <c r="G514" s="723">
        <v>1</v>
      </c>
      <c r="H514" s="724">
        <v>25.465451965602586</v>
      </c>
      <c r="I514" s="724">
        <v>0</v>
      </c>
      <c r="J514" s="724">
        <v>0</v>
      </c>
      <c r="K514" s="724">
        <v>0</v>
      </c>
      <c r="L514" s="724">
        <v>25.465451965602586</v>
      </c>
    </row>
    <row r="515" spans="1:12">
      <c r="A515" s="722" t="s">
        <v>141</v>
      </c>
      <c r="B515" s="722">
        <v>120</v>
      </c>
      <c r="C515" s="723">
        <v>641</v>
      </c>
      <c r="D515" s="723">
        <v>24</v>
      </c>
      <c r="E515" s="723">
        <v>0</v>
      </c>
      <c r="F515" s="723">
        <v>0</v>
      </c>
      <c r="G515" s="723">
        <v>665</v>
      </c>
      <c r="H515" s="724">
        <v>16323.354709951258</v>
      </c>
      <c r="I515" s="724">
        <v>611.1708471744621</v>
      </c>
      <c r="J515" s="724">
        <v>0</v>
      </c>
      <c r="K515" s="724">
        <v>0</v>
      </c>
      <c r="L515" s="724">
        <v>16934.525557125718</v>
      </c>
    </row>
    <row r="516" spans="1:12">
      <c r="A516" s="722" t="s">
        <v>141</v>
      </c>
      <c r="B516" s="722">
        <v>140</v>
      </c>
      <c r="C516" s="723">
        <v>1</v>
      </c>
      <c r="D516" s="723">
        <v>0</v>
      </c>
      <c r="E516" s="723">
        <v>0</v>
      </c>
      <c r="F516" s="723">
        <v>0</v>
      </c>
      <c r="G516" s="723">
        <v>1</v>
      </c>
      <c r="H516" s="724">
        <v>25.465451965602586</v>
      </c>
      <c r="I516" s="724">
        <v>0</v>
      </c>
      <c r="J516" s="724">
        <v>0</v>
      </c>
      <c r="K516" s="724">
        <v>0</v>
      </c>
      <c r="L516" s="724">
        <v>25.465451965602586</v>
      </c>
    </row>
    <row r="517" spans="1:12">
      <c r="A517" s="722" t="s">
        <v>141</v>
      </c>
      <c r="B517" s="722">
        <v>141</v>
      </c>
      <c r="C517" s="723">
        <v>3</v>
      </c>
      <c r="D517" s="723">
        <v>0</v>
      </c>
      <c r="E517" s="723">
        <v>0</v>
      </c>
      <c r="F517" s="723">
        <v>0</v>
      </c>
      <c r="G517" s="723">
        <v>3</v>
      </c>
      <c r="H517" s="724">
        <v>76.396355896807748</v>
      </c>
      <c r="I517" s="724">
        <v>0</v>
      </c>
      <c r="J517" s="724">
        <v>0</v>
      </c>
      <c r="K517" s="724">
        <v>0</v>
      </c>
      <c r="L517" s="724">
        <v>76.396355896807748</v>
      </c>
    </row>
    <row r="518" spans="1:12">
      <c r="A518" s="722" t="s">
        <v>141</v>
      </c>
      <c r="B518" s="722">
        <v>215</v>
      </c>
      <c r="C518" s="723">
        <v>3</v>
      </c>
      <c r="D518" s="723">
        <v>0</v>
      </c>
      <c r="E518" s="723">
        <v>0</v>
      </c>
      <c r="F518" s="723">
        <v>0</v>
      </c>
      <c r="G518" s="723">
        <v>3</v>
      </c>
      <c r="H518" s="724">
        <v>76.396355896807748</v>
      </c>
      <c r="I518" s="724">
        <v>0</v>
      </c>
      <c r="J518" s="724">
        <v>0</v>
      </c>
      <c r="K518" s="724">
        <v>0</v>
      </c>
      <c r="L518" s="724">
        <v>76.396355896807748</v>
      </c>
    </row>
    <row r="519" spans="1:12">
      <c r="A519" s="722" t="s">
        <v>141</v>
      </c>
      <c r="B519" s="722">
        <v>219</v>
      </c>
      <c r="C519" s="723">
        <v>1</v>
      </c>
      <c r="D519" s="723">
        <v>0</v>
      </c>
      <c r="E519" s="723">
        <v>0</v>
      </c>
      <c r="F519" s="723">
        <v>0</v>
      </c>
      <c r="G519" s="723">
        <v>1</v>
      </c>
      <c r="H519" s="724">
        <v>25.465451965602586</v>
      </c>
      <c r="I519" s="724">
        <v>0</v>
      </c>
      <c r="J519" s="724">
        <v>0</v>
      </c>
      <c r="K519" s="724">
        <v>0</v>
      </c>
      <c r="L519" s="724">
        <v>25.465451965602586</v>
      </c>
    </row>
    <row r="520" spans="1:12">
      <c r="A520" s="722" t="s">
        <v>141</v>
      </c>
      <c r="B520" s="722">
        <v>310</v>
      </c>
      <c r="C520" s="723">
        <v>0</v>
      </c>
      <c r="D520" s="723">
        <v>15</v>
      </c>
      <c r="E520" s="723">
        <v>0</v>
      </c>
      <c r="F520" s="723">
        <v>0</v>
      </c>
      <c r="G520" s="723">
        <v>15</v>
      </c>
      <c r="H520" s="724">
        <v>0</v>
      </c>
      <c r="I520" s="724">
        <v>381.98177948403878</v>
      </c>
      <c r="J520" s="724">
        <v>0</v>
      </c>
      <c r="K520" s="724">
        <v>0</v>
      </c>
      <c r="L520" s="724">
        <v>381.98177948403878</v>
      </c>
    </row>
    <row r="521" spans="1:12">
      <c r="A521" s="722" t="s">
        <v>141</v>
      </c>
      <c r="B521" s="722">
        <v>330</v>
      </c>
      <c r="C521" s="723">
        <v>2</v>
      </c>
      <c r="D521" s="723">
        <v>2</v>
      </c>
      <c r="E521" s="723">
        <v>0</v>
      </c>
      <c r="F521" s="723">
        <v>0</v>
      </c>
      <c r="G521" s="723">
        <v>4</v>
      </c>
      <c r="H521" s="724">
        <v>50.930903931205172</v>
      </c>
      <c r="I521" s="724">
        <v>50.930903931205172</v>
      </c>
      <c r="J521" s="724">
        <v>0</v>
      </c>
      <c r="K521" s="724">
        <v>0</v>
      </c>
      <c r="L521" s="724">
        <v>101.86180786241034</v>
      </c>
    </row>
    <row r="522" spans="1:12">
      <c r="A522" s="722" t="s">
        <v>141</v>
      </c>
      <c r="B522" s="722">
        <v>410</v>
      </c>
      <c r="C522" s="723">
        <v>0</v>
      </c>
      <c r="D522" s="723">
        <v>1</v>
      </c>
      <c r="E522" s="723">
        <v>0</v>
      </c>
      <c r="F522" s="723">
        <v>0</v>
      </c>
      <c r="G522" s="723">
        <v>1</v>
      </c>
      <c r="H522" s="724">
        <v>0</v>
      </c>
      <c r="I522" s="724">
        <v>25.465451965602586</v>
      </c>
      <c r="J522" s="724">
        <v>0</v>
      </c>
      <c r="K522" s="724">
        <v>0</v>
      </c>
      <c r="L522" s="724">
        <v>25.465451965602586</v>
      </c>
    </row>
    <row r="523" spans="1:12">
      <c r="A523" s="722" t="s">
        <v>142</v>
      </c>
      <c r="B523" s="722">
        <v>120</v>
      </c>
      <c r="C523" s="723">
        <v>71</v>
      </c>
      <c r="D523" s="723">
        <v>11</v>
      </c>
      <c r="E523" s="723">
        <v>0</v>
      </c>
      <c r="F523" s="723">
        <v>0</v>
      </c>
      <c r="G523" s="723">
        <v>82</v>
      </c>
      <c r="H523" s="724">
        <v>214791.92356145955</v>
      </c>
      <c r="I523" s="724">
        <v>33277.621960226126</v>
      </c>
      <c r="J523" s="724">
        <v>0</v>
      </c>
      <c r="K523" s="724">
        <v>0</v>
      </c>
      <c r="L523" s="724">
        <v>248069.54552168568</v>
      </c>
    </row>
    <row r="524" spans="1:12">
      <c r="A524" s="722" t="s">
        <v>142</v>
      </c>
      <c r="B524" s="722">
        <v>130</v>
      </c>
      <c r="C524" s="723">
        <v>2</v>
      </c>
      <c r="D524" s="723">
        <v>1</v>
      </c>
      <c r="E524" s="723">
        <v>0</v>
      </c>
      <c r="F524" s="723">
        <v>0</v>
      </c>
      <c r="G524" s="723">
        <v>3</v>
      </c>
      <c r="H524" s="724">
        <v>6050.4767200411143</v>
      </c>
      <c r="I524" s="724">
        <v>3025.2383600205571</v>
      </c>
      <c r="J524" s="724">
        <v>0</v>
      </c>
      <c r="K524" s="724">
        <v>0</v>
      </c>
      <c r="L524" s="724">
        <v>9075.715080061671</v>
      </c>
    </row>
    <row r="525" spans="1:12">
      <c r="A525" s="722" t="s">
        <v>142</v>
      </c>
      <c r="B525" s="722">
        <v>160</v>
      </c>
      <c r="C525" s="723">
        <v>1</v>
      </c>
      <c r="D525" s="723">
        <v>0</v>
      </c>
      <c r="E525" s="723">
        <v>0</v>
      </c>
      <c r="F525" s="723">
        <v>0</v>
      </c>
      <c r="G525" s="723">
        <v>1</v>
      </c>
      <c r="H525" s="724">
        <v>3025.2383600205571</v>
      </c>
      <c r="I525" s="724">
        <v>0</v>
      </c>
      <c r="J525" s="724">
        <v>0</v>
      </c>
      <c r="K525" s="724">
        <v>0</v>
      </c>
      <c r="L525" s="724">
        <v>3025.2383600205571</v>
      </c>
    </row>
    <row r="526" spans="1:12">
      <c r="A526" s="722" t="s">
        <v>142</v>
      </c>
      <c r="B526" s="722">
        <v>191</v>
      </c>
      <c r="C526" s="723">
        <v>0</v>
      </c>
      <c r="D526" s="723">
        <v>1</v>
      </c>
      <c r="E526" s="723">
        <v>0</v>
      </c>
      <c r="F526" s="723">
        <v>0</v>
      </c>
      <c r="G526" s="723">
        <v>1</v>
      </c>
      <c r="H526" s="724">
        <v>0</v>
      </c>
      <c r="I526" s="724">
        <v>3025.2383600205571</v>
      </c>
      <c r="J526" s="724">
        <v>0</v>
      </c>
      <c r="K526" s="724">
        <v>0</v>
      </c>
      <c r="L526" s="724">
        <v>3025.2383600205571</v>
      </c>
    </row>
    <row r="527" spans="1:12">
      <c r="A527" s="722" t="s">
        <v>142</v>
      </c>
      <c r="B527" s="722">
        <v>310</v>
      </c>
      <c r="C527" s="723">
        <v>22</v>
      </c>
      <c r="D527" s="723">
        <v>8</v>
      </c>
      <c r="E527" s="723">
        <v>0</v>
      </c>
      <c r="F527" s="723">
        <v>0</v>
      </c>
      <c r="G527" s="723">
        <v>30</v>
      </c>
      <c r="H527" s="724">
        <v>66555.243920452252</v>
      </c>
      <c r="I527" s="724">
        <v>24201.906880164457</v>
      </c>
      <c r="J527" s="724">
        <v>0</v>
      </c>
      <c r="K527" s="724">
        <v>0</v>
      </c>
      <c r="L527" s="724">
        <v>90757.150800616713</v>
      </c>
    </row>
    <row r="528" spans="1:12">
      <c r="A528" s="722" t="s">
        <v>142</v>
      </c>
      <c r="B528" s="722">
        <v>350</v>
      </c>
      <c r="C528" s="723">
        <v>1</v>
      </c>
      <c r="D528" s="723">
        <v>0</v>
      </c>
      <c r="E528" s="723">
        <v>0</v>
      </c>
      <c r="F528" s="723">
        <v>0</v>
      </c>
      <c r="G528" s="723">
        <v>1</v>
      </c>
      <c r="H528" s="724">
        <v>3025.2383600205571</v>
      </c>
      <c r="I528" s="724">
        <v>0</v>
      </c>
      <c r="J528" s="724">
        <v>0</v>
      </c>
      <c r="K528" s="724">
        <v>0</v>
      </c>
      <c r="L528" s="724">
        <v>3025.2383600205571</v>
      </c>
    </row>
    <row r="529" spans="1:12">
      <c r="A529" s="722" t="s">
        <v>142</v>
      </c>
      <c r="B529" s="722">
        <v>400</v>
      </c>
      <c r="C529" s="723">
        <v>3</v>
      </c>
      <c r="D529" s="723">
        <v>0</v>
      </c>
      <c r="E529" s="723">
        <v>0</v>
      </c>
      <c r="F529" s="723">
        <v>0</v>
      </c>
      <c r="G529" s="723">
        <v>3</v>
      </c>
      <c r="H529" s="724">
        <v>9075.715080061671</v>
      </c>
      <c r="I529" s="724">
        <v>0</v>
      </c>
      <c r="J529" s="724">
        <v>0</v>
      </c>
      <c r="K529" s="724">
        <v>0</v>
      </c>
      <c r="L529" s="724">
        <v>9075.715080061671</v>
      </c>
    </row>
    <row r="530" spans="1:12">
      <c r="A530" s="722" t="s">
        <v>142</v>
      </c>
      <c r="B530" s="722">
        <v>410</v>
      </c>
      <c r="C530" s="723">
        <v>1</v>
      </c>
      <c r="D530" s="723">
        <v>0</v>
      </c>
      <c r="E530" s="723">
        <v>0</v>
      </c>
      <c r="F530" s="723">
        <v>0</v>
      </c>
      <c r="G530" s="723">
        <v>1</v>
      </c>
      <c r="H530" s="724">
        <v>3025.2383600205571</v>
      </c>
      <c r="I530" s="724">
        <v>0</v>
      </c>
      <c r="J530" s="724">
        <v>0</v>
      </c>
      <c r="K530" s="724">
        <v>0</v>
      </c>
      <c r="L530" s="724">
        <v>3025.2383600205571</v>
      </c>
    </row>
    <row r="531" spans="1:12">
      <c r="A531" s="722" t="s">
        <v>142</v>
      </c>
      <c r="B531" s="722">
        <v>420</v>
      </c>
      <c r="C531" s="723">
        <v>2</v>
      </c>
      <c r="D531" s="723">
        <v>0</v>
      </c>
      <c r="E531" s="723">
        <v>0</v>
      </c>
      <c r="F531" s="723">
        <v>0</v>
      </c>
      <c r="G531" s="723">
        <v>2</v>
      </c>
      <c r="H531" s="724">
        <v>6050.4767200411143</v>
      </c>
      <c r="I531" s="724">
        <v>0</v>
      </c>
      <c r="J531" s="724">
        <v>0</v>
      </c>
      <c r="K531" s="724">
        <v>0</v>
      </c>
      <c r="L531" s="724">
        <v>6050.4767200411143</v>
      </c>
    </row>
    <row r="532" spans="1:12">
      <c r="A532" s="722" t="s">
        <v>142</v>
      </c>
      <c r="B532" s="722">
        <v>840</v>
      </c>
      <c r="C532" s="723">
        <v>34</v>
      </c>
      <c r="D532" s="723">
        <v>18</v>
      </c>
      <c r="E532" s="723">
        <v>0</v>
      </c>
      <c r="F532" s="723">
        <v>0</v>
      </c>
      <c r="G532" s="723">
        <v>52</v>
      </c>
      <c r="H532" s="724">
        <v>102858.10424069891</v>
      </c>
      <c r="I532" s="724">
        <v>54454.290480370015</v>
      </c>
      <c r="J532" s="724">
        <v>0</v>
      </c>
      <c r="K532" s="724">
        <v>0</v>
      </c>
      <c r="L532" s="724">
        <v>157312.39472106894</v>
      </c>
    </row>
    <row r="533" spans="1:12">
      <c r="A533" s="722" t="s">
        <v>143</v>
      </c>
      <c r="B533" s="722">
        <v>120</v>
      </c>
      <c r="C533" s="723">
        <v>0</v>
      </c>
      <c r="D533" s="723">
        <v>1</v>
      </c>
      <c r="E533" s="723">
        <v>0</v>
      </c>
      <c r="F533" s="723">
        <v>0</v>
      </c>
      <c r="G533" s="723">
        <v>1</v>
      </c>
      <c r="H533" s="724">
        <v>0</v>
      </c>
      <c r="I533" s="724">
        <v>103.98515503794906</v>
      </c>
      <c r="J533" s="724">
        <v>0</v>
      </c>
      <c r="K533" s="724">
        <v>0</v>
      </c>
      <c r="L533" s="724">
        <v>103.98515503794906</v>
      </c>
    </row>
    <row r="534" spans="1:12">
      <c r="A534" s="722" t="s">
        <v>143</v>
      </c>
      <c r="B534" s="722">
        <v>140</v>
      </c>
      <c r="C534" s="723">
        <v>541</v>
      </c>
      <c r="D534" s="723">
        <v>122</v>
      </c>
      <c r="E534" s="723">
        <v>0</v>
      </c>
      <c r="F534" s="723">
        <v>0</v>
      </c>
      <c r="G534" s="723">
        <v>663</v>
      </c>
      <c r="H534" s="724">
        <v>56255.968875530438</v>
      </c>
      <c r="I534" s="724">
        <v>12686.188914629787</v>
      </c>
      <c r="J534" s="724">
        <v>0</v>
      </c>
      <c r="K534" s="724">
        <v>0</v>
      </c>
      <c r="L534" s="724">
        <v>68942.157790160229</v>
      </c>
    </row>
    <row r="535" spans="1:12">
      <c r="A535" s="722" t="s">
        <v>143</v>
      </c>
      <c r="B535" s="722">
        <v>141</v>
      </c>
      <c r="C535" s="723">
        <v>20</v>
      </c>
      <c r="D535" s="723">
        <v>3</v>
      </c>
      <c r="E535" s="723">
        <v>0</v>
      </c>
      <c r="F535" s="723">
        <v>0</v>
      </c>
      <c r="G535" s="723">
        <v>23</v>
      </c>
      <c r="H535" s="724">
        <v>2079.7031007589812</v>
      </c>
      <c r="I535" s="724">
        <v>311.95546511384714</v>
      </c>
      <c r="J535" s="724">
        <v>0</v>
      </c>
      <c r="K535" s="724">
        <v>0</v>
      </c>
      <c r="L535" s="724">
        <v>2391.6585658728281</v>
      </c>
    </row>
    <row r="536" spans="1:12">
      <c r="A536" s="722" t="s">
        <v>143</v>
      </c>
      <c r="B536" s="722">
        <v>142</v>
      </c>
      <c r="C536" s="723">
        <v>569</v>
      </c>
      <c r="D536" s="723">
        <v>102</v>
      </c>
      <c r="E536" s="723">
        <v>0</v>
      </c>
      <c r="F536" s="723">
        <v>0</v>
      </c>
      <c r="G536" s="723">
        <v>671</v>
      </c>
      <c r="H536" s="724">
        <v>59167.553216593013</v>
      </c>
      <c r="I536" s="724">
        <v>10606.485813870802</v>
      </c>
      <c r="J536" s="724">
        <v>0</v>
      </c>
      <c r="K536" s="724">
        <v>0</v>
      </c>
      <c r="L536" s="724">
        <v>69774.039030463813</v>
      </c>
    </row>
    <row r="537" spans="1:12">
      <c r="A537" s="722" t="s">
        <v>143</v>
      </c>
      <c r="B537" s="722">
        <v>143</v>
      </c>
      <c r="C537" s="723">
        <v>27</v>
      </c>
      <c r="D537" s="723">
        <v>2</v>
      </c>
      <c r="E537" s="723">
        <v>0</v>
      </c>
      <c r="F537" s="723">
        <v>0</v>
      </c>
      <c r="G537" s="723">
        <v>29</v>
      </c>
      <c r="H537" s="724">
        <v>2807.5991860246245</v>
      </c>
      <c r="I537" s="724">
        <v>207.97031007589814</v>
      </c>
      <c r="J537" s="724">
        <v>0</v>
      </c>
      <c r="K537" s="724">
        <v>0</v>
      </c>
      <c r="L537" s="724">
        <v>3015.5694961005229</v>
      </c>
    </row>
    <row r="538" spans="1:12">
      <c r="A538" s="722" t="s">
        <v>143</v>
      </c>
      <c r="B538" s="722">
        <v>144</v>
      </c>
      <c r="C538" s="723">
        <v>93</v>
      </c>
      <c r="D538" s="723">
        <v>23</v>
      </c>
      <c r="E538" s="723">
        <v>0</v>
      </c>
      <c r="F538" s="723">
        <v>0</v>
      </c>
      <c r="G538" s="723">
        <v>116</v>
      </c>
      <c r="H538" s="724">
        <v>9670.6194185292643</v>
      </c>
      <c r="I538" s="724">
        <v>2391.6585658728286</v>
      </c>
      <c r="J538" s="724">
        <v>0</v>
      </c>
      <c r="K538" s="724">
        <v>0</v>
      </c>
      <c r="L538" s="724">
        <v>12062.277984402092</v>
      </c>
    </row>
    <row r="539" spans="1:12">
      <c r="A539" s="722" t="s">
        <v>143</v>
      </c>
      <c r="B539" s="722">
        <v>217</v>
      </c>
      <c r="C539" s="723">
        <v>24</v>
      </c>
      <c r="D539" s="723">
        <v>1</v>
      </c>
      <c r="E539" s="723">
        <v>0</v>
      </c>
      <c r="F539" s="723">
        <v>0</v>
      </c>
      <c r="G539" s="723">
        <v>25</v>
      </c>
      <c r="H539" s="724">
        <v>2495.6437209107771</v>
      </c>
      <c r="I539" s="724">
        <v>103.98515503794904</v>
      </c>
      <c r="J539" s="724">
        <v>0</v>
      </c>
      <c r="K539" s="724">
        <v>0</v>
      </c>
      <c r="L539" s="724">
        <v>2599.6288759487261</v>
      </c>
    </row>
    <row r="540" spans="1:12">
      <c r="A540" s="722" t="s">
        <v>143</v>
      </c>
      <c r="B540" s="722">
        <v>330</v>
      </c>
      <c r="C540" s="723">
        <v>1</v>
      </c>
      <c r="D540" s="723">
        <v>0</v>
      </c>
      <c r="E540" s="723">
        <v>0</v>
      </c>
      <c r="F540" s="723">
        <v>0</v>
      </c>
      <c r="G540" s="723">
        <v>1</v>
      </c>
      <c r="H540" s="724">
        <v>103.98515503794906</v>
      </c>
      <c r="I540" s="724">
        <v>0</v>
      </c>
      <c r="J540" s="724">
        <v>0</v>
      </c>
      <c r="K540" s="724">
        <v>0</v>
      </c>
      <c r="L540" s="724">
        <v>103.98515503794906</v>
      </c>
    </row>
    <row r="541" spans="1:12">
      <c r="A541" s="722" t="s">
        <v>143</v>
      </c>
      <c r="B541" s="722">
        <v>450</v>
      </c>
      <c r="C541" s="723">
        <v>1</v>
      </c>
      <c r="D541" s="723">
        <v>1</v>
      </c>
      <c r="E541" s="723">
        <v>0</v>
      </c>
      <c r="F541" s="723">
        <v>0</v>
      </c>
      <c r="G541" s="723">
        <v>2</v>
      </c>
      <c r="H541" s="724">
        <v>103.98515503794906</v>
      </c>
      <c r="I541" s="724">
        <v>103.98515503794906</v>
      </c>
      <c r="J541" s="724">
        <v>0</v>
      </c>
      <c r="K541" s="724">
        <v>0</v>
      </c>
      <c r="L541" s="724">
        <v>207.97031007589811</v>
      </c>
    </row>
    <row r="542" spans="1:12">
      <c r="A542" s="722" t="s">
        <v>144</v>
      </c>
      <c r="B542" s="722">
        <v>110</v>
      </c>
      <c r="C542" s="723">
        <v>1</v>
      </c>
      <c r="D542" s="723">
        <v>0</v>
      </c>
      <c r="E542" s="723">
        <v>0</v>
      </c>
      <c r="F542" s="723">
        <v>0</v>
      </c>
      <c r="G542" s="723">
        <v>1</v>
      </c>
      <c r="H542" s="724">
        <v>140.15900778917577</v>
      </c>
      <c r="I542" s="724">
        <v>0</v>
      </c>
      <c r="J542" s="724">
        <v>0</v>
      </c>
      <c r="K542" s="724">
        <v>0</v>
      </c>
      <c r="L542" s="724">
        <v>140.15900778917577</v>
      </c>
    </row>
    <row r="543" spans="1:12">
      <c r="A543" s="722" t="s">
        <v>144</v>
      </c>
      <c r="B543" s="722">
        <v>120</v>
      </c>
      <c r="C543" s="723">
        <v>2</v>
      </c>
      <c r="D543" s="723">
        <v>4</v>
      </c>
      <c r="E543" s="723">
        <v>0</v>
      </c>
      <c r="F543" s="723">
        <v>0</v>
      </c>
      <c r="G543" s="723">
        <v>6</v>
      </c>
      <c r="H543" s="724">
        <v>280.31801557835155</v>
      </c>
      <c r="I543" s="724">
        <v>560.6360311567031</v>
      </c>
      <c r="J543" s="724">
        <v>0</v>
      </c>
      <c r="K543" s="724">
        <v>0</v>
      </c>
      <c r="L543" s="724">
        <v>840.95404673505459</v>
      </c>
    </row>
    <row r="544" spans="1:12">
      <c r="A544" s="722" t="s">
        <v>144</v>
      </c>
      <c r="B544" s="722">
        <v>140</v>
      </c>
      <c r="C544" s="723">
        <v>291</v>
      </c>
      <c r="D544" s="723">
        <v>39</v>
      </c>
      <c r="E544" s="723">
        <v>0</v>
      </c>
      <c r="F544" s="723">
        <v>0</v>
      </c>
      <c r="G544" s="723">
        <v>330</v>
      </c>
      <c r="H544" s="724">
        <v>40786.271266650147</v>
      </c>
      <c r="I544" s="724">
        <v>5466.2013037778552</v>
      </c>
      <c r="J544" s="724">
        <v>0</v>
      </c>
      <c r="K544" s="724">
        <v>0</v>
      </c>
      <c r="L544" s="724">
        <v>46252.472570428006</v>
      </c>
    </row>
    <row r="545" spans="1:12">
      <c r="A545" s="722" t="s">
        <v>144</v>
      </c>
      <c r="B545" s="722">
        <v>141</v>
      </c>
      <c r="C545" s="723">
        <v>1</v>
      </c>
      <c r="D545" s="723">
        <v>0</v>
      </c>
      <c r="E545" s="723">
        <v>0</v>
      </c>
      <c r="F545" s="723">
        <v>0</v>
      </c>
      <c r="G545" s="723">
        <v>1</v>
      </c>
      <c r="H545" s="724">
        <v>140.15900778917577</v>
      </c>
      <c r="I545" s="724">
        <v>0</v>
      </c>
      <c r="J545" s="724">
        <v>0</v>
      </c>
      <c r="K545" s="724">
        <v>0</v>
      </c>
      <c r="L545" s="724">
        <v>140.15900778917577</v>
      </c>
    </row>
    <row r="546" spans="1:12">
      <c r="A546" s="722" t="s">
        <v>144</v>
      </c>
      <c r="B546" s="722">
        <v>142</v>
      </c>
      <c r="C546" s="723">
        <v>11</v>
      </c>
      <c r="D546" s="723">
        <v>1</v>
      </c>
      <c r="E546" s="723">
        <v>0</v>
      </c>
      <c r="F546" s="723">
        <v>0</v>
      </c>
      <c r="G546" s="723">
        <v>12</v>
      </c>
      <c r="H546" s="724">
        <v>1541.7490856809334</v>
      </c>
      <c r="I546" s="724">
        <v>140.15900778917577</v>
      </c>
      <c r="J546" s="724">
        <v>0</v>
      </c>
      <c r="K546" s="724">
        <v>0</v>
      </c>
      <c r="L546" s="724">
        <v>1681.9080934701092</v>
      </c>
    </row>
    <row r="547" spans="1:12">
      <c r="A547" s="722" t="s">
        <v>144</v>
      </c>
      <c r="B547" s="722">
        <v>143</v>
      </c>
      <c r="C547" s="723">
        <v>3</v>
      </c>
      <c r="D547" s="723">
        <v>0</v>
      </c>
      <c r="E547" s="723">
        <v>0</v>
      </c>
      <c r="F547" s="723">
        <v>0</v>
      </c>
      <c r="G547" s="723">
        <v>3</v>
      </c>
      <c r="H547" s="724">
        <v>420.47702336752735</v>
      </c>
      <c r="I547" s="724">
        <v>0</v>
      </c>
      <c r="J547" s="724">
        <v>0</v>
      </c>
      <c r="K547" s="724">
        <v>0</v>
      </c>
      <c r="L547" s="724">
        <v>420.47702336752729</v>
      </c>
    </row>
    <row r="548" spans="1:12">
      <c r="A548" s="722" t="s">
        <v>144</v>
      </c>
      <c r="B548" s="722">
        <v>144</v>
      </c>
      <c r="C548" s="723">
        <v>97</v>
      </c>
      <c r="D548" s="723">
        <v>7</v>
      </c>
      <c r="E548" s="723">
        <v>0</v>
      </c>
      <c r="F548" s="723">
        <v>0</v>
      </c>
      <c r="G548" s="723">
        <v>104</v>
      </c>
      <c r="H548" s="724">
        <v>13595.423755550049</v>
      </c>
      <c r="I548" s="724">
        <v>981.11305452423039</v>
      </c>
      <c r="J548" s="724">
        <v>0</v>
      </c>
      <c r="K548" s="724">
        <v>0</v>
      </c>
      <c r="L548" s="724">
        <v>14576.53681007428</v>
      </c>
    </row>
    <row r="549" spans="1:12">
      <c r="A549" s="722" t="s">
        <v>144</v>
      </c>
      <c r="B549" s="722">
        <v>160</v>
      </c>
      <c r="C549" s="723">
        <v>1</v>
      </c>
      <c r="D549" s="723">
        <v>0</v>
      </c>
      <c r="E549" s="723">
        <v>0</v>
      </c>
      <c r="F549" s="723">
        <v>0</v>
      </c>
      <c r="G549" s="723">
        <v>1</v>
      </c>
      <c r="H549" s="724">
        <v>140.15900778917577</v>
      </c>
      <c r="I549" s="724">
        <v>0</v>
      </c>
      <c r="J549" s="724">
        <v>0</v>
      </c>
      <c r="K549" s="724">
        <v>0</v>
      </c>
      <c r="L549" s="724">
        <v>140.15900778917577</v>
      </c>
    </row>
    <row r="550" spans="1:12">
      <c r="A550" s="722" t="s">
        <v>144</v>
      </c>
      <c r="B550" s="722">
        <v>217</v>
      </c>
      <c r="C550" s="723">
        <v>30</v>
      </c>
      <c r="D550" s="723">
        <v>0</v>
      </c>
      <c r="E550" s="723">
        <v>0</v>
      </c>
      <c r="F550" s="723">
        <v>0</v>
      </c>
      <c r="G550" s="723">
        <v>30</v>
      </c>
      <c r="H550" s="724">
        <v>4204.7702336752736</v>
      </c>
      <c r="I550" s="724">
        <v>0</v>
      </c>
      <c r="J550" s="724">
        <v>0</v>
      </c>
      <c r="K550" s="724">
        <v>0</v>
      </c>
      <c r="L550" s="724">
        <v>4204.7702336752736</v>
      </c>
    </row>
    <row r="551" spans="1:12">
      <c r="A551" s="722" t="s">
        <v>144</v>
      </c>
      <c r="B551" s="722">
        <v>330</v>
      </c>
      <c r="C551" s="723">
        <v>1</v>
      </c>
      <c r="D551" s="723">
        <v>0</v>
      </c>
      <c r="E551" s="723">
        <v>0</v>
      </c>
      <c r="F551" s="723">
        <v>0</v>
      </c>
      <c r="G551" s="723">
        <v>1</v>
      </c>
      <c r="H551" s="724">
        <v>140.15900778917577</v>
      </c>
      <c r="I551" s="724">
        <v>0</v>
      </c>
      <c r="J551" s="724">
        <v>0</v>
      </c>
      <c r="K551" s="724">
        <v>0</v>
      </c>
      <c r="L551" s="724">
        <v>140.15900778917577</v>
      </c>
    </row>
    <row r="552" spans="1:12">
      <c r="A552" s="722" t="s">
        <v>144</v>
      </c>
      <c r="B552" s="722">
        <v>422</v>
      </c>
      <c r="C552" s="723">
        <v>0</v>
      </c>
      <c r="D552" s="723">
        <v>1</v>
      </c>
      <c r="E552" s="723">
        <v>0</v>
      </c>
      <c r="F552" s="723">
        <v>0</v>
      </c>
      <c r="G552" s="723">
        <v>1</v>
      </c>
      <c r="H552" s="724">
        <v>0</v>
      </c>
      <c r="I552" s="724">
        <v>140.15900778917577</v>
      </c>
      <c r="J552" s="724">
        <v>0</v>
      </c>
      <c r="K552" s="724">
        <v>0</v>
      </c>
      <c r="L552" s="724">
        <v>140.15900778917577</v>
      </c>
    </row>
    <row r="553" spans="1:12">
      <c r="A553" s="722" t="s">
        <v>144</v>
      </c>
      <c r="B553" s="722">
        <v>450</v>
      </c>
      <c r="C553" s="723">
        <v>21</v>
      </c>
      <c r="D553" s="723">
        <v>1</v>
      </c>
      <c r="E553" s="723">
        <v>0</v>
      </c>
      <c r="F553" s="723">
        <v>0</v>
      </c>
      <c r="G553" s="723">
        <v>22</v>
      </c>
      <c r="H553" s="724">
        <v>2943.3391635726916</v>
      </c>
      <c r="I553" s="724">
        <v>140.15900778917577</v>
      </c>
      <c r="J553" s="724">
        <v>0</v>
      </c>
      <c r="K553" s="724">
        <v>0</v>
      </c>
      <c r="L553" s="724">
        <v>3083.4981713618672</v>
      </c>
    </row>
    <row r="554" spans="1:12">
      <c r="A554" s="722" t="s">
        <v>145</v>
      </c>
      <c r="B554" s="722">
        <v>140</v>
      </c>
      <c r="C554" s="723">
        <v>368</v>
      </c>
      <c r="D554" s="723">
        <v>9</v>
      </c>
      <c r="E554" s="723">
        <v>0</v>
      </c>
      <c r="F554" s="723">
        <v>0</v>
      </c>
      <c r="G554" s="723">
        <v>377</v>
      </c>
      <c r="H554" s="724">
        <v>36289.630785765912</v>
      </c>
      <c r="I554" s="724">
        <v>887.51814421710117</v>
      </c>
      <c r="J554" s="724">
        <v>0</v>
      </c>
      <c r="K554" s="724">
        <v>0</v>
      </c>
      <c r="L554" s="724">
        <v>37177.148929983014</v>
      </c>
    </row>
    <row r="555" spans="1:12">
      <c r="A555" s="722" t="s">
        <v>145</v>
      </c>
      <c r="B555" s="722">
        <v>141</v>
      </c>
      <c r="C555" s="723">
        <v>370</v>
      </c>
      <c r="D555" s="723">
        <v>18</v>
      </c>
      <c r="E555" s="723">
        <v>0</v>
      </c>
      <c r="F555" s="723">
        <v>0</v>
      </c>
      <c r="G555" s="723">
        <v>388</v>
      </c>
      <c r="H555" s="724">
        <v>36486.857040036375</v>
      </c>
      <c r="I555" s="724">
        <v>1775.0362884342021</v>
      </c>
      <c r="J555" s="724">
        <v>0</v>
      </c>
      <c r="K555" s="724">
        <v>0</v>
      </c>
      <c r="L555" s="724">
        <v>38261.893328470578</v>
      </c>
    </row>
    <row r="556" spans="1:12">
      <c r="A556" s="722" t="s">
        <v>145</v>
      </c>
      <c r="B556" s="722">
        <v>142</v>
      </c>
      <c r="C556" s="723">
        <v>2554</v>
      </c>
      <c r="D556" s="723">
        <v>107</v>
      </c>
      <c r="E556" s="723">
        <v>0</v>
      </c>
      <c r="F556" s="723">
        <v>0</v>
      </c>
      <c r="G556" s="723">
        <v>2661</v>
      </c>
      <c r="H556" s="724">
        <v>251857.92670338627</v>
      </c>
      <c r="I556" s="724">
        <v>10551.604603469981</v>
      </c>
      <c r="J556" s="724">
        <v>0</v>
      </c>
      <c r="K556" s="724">
        <v>0</v>
      </c>
      <c r="L556" s="724">
        <v>262409.53130685625</v>
      </c>
    </row>
    <row r="557" spans="1:12">
      <c r="A557" s="722" t="s">
        <v>145</v>
      </c>
      <c r="B557" s="722">
        <v>143</v>
      </c>
      <c r="C557" s="723">
        <v>43</v>
      </c>
      <c r="D557" s="723">
        <v>5</v>
      </c>
      <c r="E557" s="723">
        <v>0</v>
      </c>
      <c r="F557" s="723">
        <v>0</v>
      </c>
      <c r="G557" s="723">
        <v>48</v>
      </c>
      <c r="H557" s="724">
        <v>4240.3644668150382</v>
      </c>
      <c r="I557" s="724">
        <v>493.06563567616723</v>
      </c>
      <c r="J557" s="724">
        <v>0</v>
      </c>
      <c r="K557" s="724">
        <v>0</v>
      </c>
      <c r="L557" s="724">
        <v>4733.4301024912056</v>
      </c>
    </row>
    <row r="558" spans="1:12">
      <c r="A558" s="722" t="s">
        <v>145</v>
      </c>
      <c r="B558" s="722">
        <v>144</v>
      </c>
      <c r="C558" s="723">
        <v>8</v>
      </c>
      <c r="D558" s="723">
        <v>0</v>
      </c>
      <c r="E558" s="723">
        <v>0</v>
      </c>
      <c r="F558" s="723">
        <v>0</v>
      </c>
      <c r="G558" s="723">
        <v>8</v>
      </c>
      <c r="H558" s="724">
        <v>788.90501708186764</v>
      </c>
      <c r="I558" s="724">
        <v>0</v>
      </c>
      <c r="J558" s="724">
        <v>0</v>
      </c>
      <c r="K558" s="724">
        <v>0</v>
      </c>
      <c r="L558" s="724">
        <v>788.90501708186764</v>
      </c>
    </row>
    <row r="559" spans="1:12">
      <c r="A559" s="722" t="s">
        <v>145</v>
      </c>
      <c r="B559" s="722">
        <v>190</v>
      </c>
      <c r="C559" s="723">
        <v>3</v>
      </c>
      <c r="D559" s="723">
        <v>0</v>
      </c>
      <c r="E559" s="723">
        <v>0</v>
      </c>
      <c r="F559" s="723">
        <v>0</v>
      </c>
      <c r="G559" s="723">
        <v>3</v>
      </c>
      <c r="H559" s="724">
        <v>295.83938140570035</v>
      </c>
      <c r="I559" s="724">
        <v>0</v>
      </c>
      <c r="J559" s="724">
        <v>0</v>
      </c>
      <c r="K559" s="724">
        <v>0</v>
      </c>
      <c r="L559" s="724">
        <v>295.83938140570035</v>
      </c>
    </row>
    <row r="560" spans="1:12">
      <c r="A560" s="722" t="s">
        <v>145</v>
      </c>
      <c r="B560" s="722">
        <v>217</v>
      </c>
      <c r="C560" s="723">
        <v>2</v>
      </c>
      <c r="D560" s="723">
        <v>1</v>
      </c>
      <c r="E560" s="723">
        <v>0</v>
      </c>
      <c r="F560" s="723">
        <v>0</v>
      </c>
      <c r="G560" s="723">
        <v>3</v>
      </c>
      <c r="H560" s="724">
        <v>197.22625427046691</v>
      </c>
      <c r="I560" s="724">
        <v>98.613127135233455</v>
      </c>
      <c r="J560" s="724">
        <v>0</v>
      </c>
      <c r="K560" s="724">
        <v>0</v>
      </c>
      <c r="L560" s="724">
        <v>295.83938140570035</v>
      </c>
    </row>
    <row r="561" spans="1:12">
      <c r="A561" s="722" t="s">
        <v>145</v>
      </c>
      <c r="B561" s="722">
        <v>309</v>
      </c>
      <c r="C561" s="723">
        <v>1</v>
      </c>
      <c r="D561" s="723">
        <v>0</v>
      </c>
      <c r="E561" s="723">
        <v>0</v>
      </c>
      <c r="F561" s="723">
        <v>0</v>
      </c>
      <c r="G561" s="723">
        <v>1</v>
      </c>
      <c r="H561" s="724">
        <v>98.613127135233455</v>
      </c>
      <c r="I561" s="724">
        <v>0</v>
      </c>
      <c r="J561" s="724">
        <v>0</v>
      </c>
      <c r="K561" s="724">
        <v>0</v>
      </c>
      <c r="L561" s="724">
        <v>98.613127135233455</v>
      </c>
    </row>
    <row r="562" spans="1:12">
      <c r="A562" s="722" t="s">
        <v>145</v>
      </c>
      <c r="B562" s="722">
        <v>420</v>
      </c>
      <c r="C562" s="723">
        <v>0</v>
      </c>
      <c r="D562" s="723">
        <v>1</v>
      </c>
      <c r="E562" s="723">
        <v>0</v>
      </c>
      <c r="F562" s="723">
        <v>0</v>
      </c>
      <c r="G562" s="723">
        <v>1</v>
      </c>
      <c r="H562" s="724">
        <v>0</v>
      </c>
      <c r="I562" s="724">
        <v>98.613127135233455</v>
      </c>
      <c r="J562" s="724">
        <v>0</v>
      </c>
      <c r="K562" s="724">
        <v>0</v>
      </c>
      <c r="L562" s="724">
        <v>98.613127135233455</v>
      </c>
    </row>
    <row r="563" spans="1:12">
      <c r="A563" s="722" t="s">
        <v>145</v>
      </c>
      <c r="B563" s="722">
        <v>450</v>
      </c>
      <c r="C563" s="723">
        <v>1</v>
      </c>
      <c r="D563" s="723">
        <v>0</v>
      </c>
      <c r="E563" s="723">
        <v>0</v>
      </c>
      <c r="F563" s="723">
        <v>0</v>
      </c>
      <c r="G563" s="723">
        <v>1</v>
      </c>
      <c r="H563" s="724">
        <v>98.613127135233455</v>
      </c>
      <c r="I563" s="724">
        <v>0</v>
      </c>
      <c r="J563" s="724">
        <v>0</v>
      </c>
      <c r="K563" s="724">
        <v>0</v>
      </c>
      <c r="L563" s="724">
        <v>98.613127135233455</v>
      </c>
    </row>
    <row r="564" spans="1:12">
      <c r="A564" s="722" t="s">
        <v>146</v>
      </c>
      <c r="B564" s="722">
        <v>120</v>
      </c>
      <c r="C564" s="723">
        <v>4</v>
      </c>
      <c r="D564" s="723">
        <v>19</v>
      </c>
      <c r="E564" s="723">
        <v>0</v>
      </c>
      <c r="F564" s="723">
        <v>0</v>
      </c>
      <c r="G564" s="723">
        <v>23</v>
      </c>
      <c r="H564" s="724">
        <v>684.46680197682861</v>
      </c>
      <c r="I564" s="724">
        <v>3251.217309389936</v>
      </c>
      <c r="J564" s="724">
        <v>0</v>
      </c>
      <c r="K564" s="724">
        <v>0</v>
      </c>
      <c r="L564" s="724">
        <v>3935.6841113667642</v>
      </c>
    </row>
    <row r="565" spans="1:12">
      <c r="A565" s="722" t="s">
        <v>146</v>
      </c>
      <c r="B565" s="722">
        <v>140</v>
      </c>
      <c r="C565" s="723">
        <v>274</v>
      </c>
      <c r="D565" s="723">
        <v>52</v>
      </c>
      <c r="E565" s="723">
        <v>0</v>
      </c>
      <c r="F565" s="723">
        <v>0</v>
      </c>
      <c r="G565" s="723">
        <v>326</v>
      </c>
      <c r="H565" s="724">
        <v>46885.97593541276</v>
      </c>
      <c r="I565" s="724">
        <v>8898.0684256987715</v>
      </c>
      <c r="J565" s="724">
        <v>0</v>
      </c>
      <c r="K565" s="724">
        <v>0</v>
      </c>
      <c r="L565" s="724">
        <v>55784.044361111533</v>
      </c>
    </row>
    <row r="566" spans="1:12">
      <c r="A566" s="722" t="s">
        <v>146</v>
      </c>
      <c r="B566" s="722">
        <v>142</v>
      </c>
      <c r="C566" s="723">
        <v>7</v>
      </c>
      <c r="D566" s="723">
        <v>1</v>
      </c>
      <c r="E566" s="723">
        <v>0</v>
      </c>
      <c r="F566" s="723">
        <v>0</v>
      </c>
      <c r="G566" s="723">
        <v>8</v>
      </c>
      <c r="H566" s="724">
        <v>1197.81690345945</v>
      </c>
      <c r="I566" s="724">
        <v>171.11670049420715</v>
      </c>
      <c r="J566" s="724">
        <v>0</v>
      </c>
      <c r="K566" s="724">
        <v>0</v>
      </c>
      <c r="L566" s="724">
        <v>1368.9336039536572</v>
      </c>
    </row>
    <row r="567" spans="1:12">
      <c r="A567" s="722" t="s">
        <v>146</v>
      </c>
      <c r="B567" s="722">
        <v>143</v>
      </c>
      <c r="C567" s="723">
        <v>4</v>
      </c>
      <c r="D567" s="723">
        <v>0</v>
      </c>
      <c r="E567" s="723">
        <v>0</v>
      </c>
      <c r="F567" s="723">
        <v>0</v>
      </c>
      <c r="G567" s="723">
        <v>4</v>
      </c>
      <c r="H567" s="724">
        <v>684.46680197682861</v>
      </c>
      <c r="I567" s="724">
        <v>0</v>
      </c>
      <c r="J567" s="724">
        <v>0</v>
      </c>
      <c r="K567" s="724">
        <v>0</v>
      </c>
      <c r="L567" s="724">
        <v>684.46680197682861</v>
      </c>
    </row>
    <row r="568" spans="1:12">
      <c r="A568" s="722" t="s">
        <v>146</v>
      </c>
      <c r="B568" s="722">
        <v>144</v>
      </c>
      <c r="C568" s="723">
        <v>87</v>
      </c>
      <c r="D568" s="723">
        <v>9</v>
      </c>
      <c r="E568" s="723">
        <v>0</v>
      </c>
      <c r="F568" s="723">
        <v>0</v>
      </c>
      <c r="G568" s="723">
        <v>96</v>
      </c>
      <c r="H568" s="724">
        <v>14887.152942996021</v>
      </c>
      <c r="I568" s="724">
        <v>1540.0503044478644</v>
      </c>
      <c r="J568" s="724">
        <v>0</v>
      </c>
      <c r="K568" s="724">
        <v>0</v>
      </c>
      <c r="L568" s="724">
        <v>16427.203247443886</v>
      </c>
    </row>
    <row r="569" spans="1:12">
      <c r="A569" s="722" t="s">
        <v>146</v>
      </c>
      <c r="B569" s="722">
        <v>160</v>
      </c>
      <c r="C569" s="723">
        <v>3</v>
      </c>
      <c r="D569" s="723">
        <v>1</v>
      </c>
      <c r="E569" s="723">
        <v>0</v>
      </c>
      <c r="F569" s="723">
        <v>0</v>
      </c>
      <c r="G569" s="723">
        <v>4</v>
      </c>
      <c r="H569" s="724">
        <v>513.35010148262143</v>
      </c>
      <c r="I569" s="724">
        <v>171.11670049420715</v>
      </c>
      <c r="J569" s="724">
        <v>0</v>
      </c>
      <c r="K569" s="724">
        <v>0</v>
      </c>
      <c r="L569" s="724">
        <v>684.46680197682861</v>
      </c>
    </row>
    <row r="570" spans="1:12">
      <c r="A570" s="722" t="s">
        <v>146</v>
      </c>
      <c r="B570" s="722">
        <v>217</v>
      </c>
      <c r="C570" s="723">
        <v>27</v>
      </c>
      <c r="D570" s="723">
        <v>2</v>
      </c>
      <c r="E570" s="723">
        <v>0</v>
      </c>
      <c r="F570" s="723">
        <v>0</v>
      </c>
      <c r="G570" s="723">
        <v>29</v>
      </c>
      <c r="H570" s="724">
        <v>4620.1509133435929</v>
      </c>
      <c r="I570" s="724">
        <v>342.2334009884143</v>
      </c>
      <c r="J570" s="724">
        <v>0</v>
      </c>
      <c r="K570" s="724">
        <v>0</v>
      </c>
      <c r="L570" s="724">
        <v>4962.3843143320073</v>
      </c>
    </row>
    <row r="571" spans="1:12">
      <c r="A571" s="722" t="s">
        <v>146</v>
      </c>
      <c r="B571" s="722">
        <v>219</v>
      </c>
      <c r="C571" s="723">
        <v>4</v>
      </c>
      <c r="D571" s="723">
        <v>0</v>
      </c>
      <c r="E571" s="723">
        <v>0</v>
      </c>
      <c r="F571" s="723">
        <v>0</v>
      </c>
      <c r="G571" s="723">
        <v>4</v>
      </c>
      <c r="H571" s="724">
        <v>684.46680197682861</v>
      </c>
      <c r="I571" s="724">
        <v>0</v>
      </c>
      <c r="J571" s="724">
        <v>0</v>
      </c>
      <c r="K571" s="724">
        <v>0</v>
      </c>
      <c r="L571" s="724">
        <v>684.46680197682861</v>
      </c>
    </row>
    <row r="572" spans="1:12">
      <c r="A572" s="722" t="s">
        <v>146</v>
      </c>
      <c r="B572" s="722">
        <v>450</v>
      </c>
      <c r="C572" s="723">
        <v>7</v>
      </c>
      <c r="D572" s="723">
        <v>2</v>
      </c>
      <c r="E572" s="723">
        <v>0</v>
      </c>
      <c r="F572" s="723">
        <v>0</v>
      </c>
      <c r="G572" s="723">
        <v>9</v>
      </c>
      <c r="H572" s="724">
        <v>1197.81690345945</v>
      </c>
      <c r="I572" s="724">
        <v>342.2334009884143</v>
      </c>
      <c r="J572" s="724">
        <v>0</v>
      </c>
      <c r="K572" s="724">
        <v>0</v>
      </c>
      <c r="L572" s="724">
        <v>1540.0503044478644</v>
      </c>
    </row>
    <row r="573" spans="1:12">
      <c r="A573" s="722" t="s">
        <v>147</v>
      </c>
      <c r="B573" s="722">
        <v>110</v>
      </c>
      <c r="C573" s="723">
        <v>1</v>
      </c>
      <c r="D573" s="723">
        <v>0</v>
      </c>
      <c r="E573" s="723">
        <v>0</v>
      </c>
      <c r="F573" s="723">
        <v>0</v>
      </c>
      <c r="G573" s="723">
        <v>1</v>
      </c>
      <c r="H573" s="724">
        <v>154.72813305336695</v>
      </c>
      <c r="I573" s="724">
        <v>0</v>
      </c>
      <c r="J573" s="724">
        <v>0</v>
      </c>
      <c r="K573" s="724">
        <v>0</v>
      </c>
      <c r="L573" s="724">
        <v>154.72813305336695</v>
      </c>
    </row>
    <row r="574" spans="1:12">
      <c r="A574" s="722" t="s">
        <v>147</v>
      </c>
      <c r="B574" s="722">
        <v>120</v>
      </c>
      <c r="C574" s="723">
        <v>1</v>
      </c>
      <c r="D574" s="723">
        <v>1</v>
      </c>
      <c r="E574" s="723">
        <v>0</v>
      </c>
      <c r="F574" s="723">
        <v>0</v>
      </c>
      <c r="G574" s="723">
        <v>2</v>
      </c>
      <c r="H574" s="724">
        <v>154.72813305336695</v>
      </c>
      <c r="I574" s="724">
        <v>154.72813305336695</v>
      </c>
      <c r="J574" s="724">
        <v>0</v>
      </c>
      <c r="K574" s="724">
        <v>0</v>
      </c>
      <c r="L574" s="724">
        <v>309.45626610673389</v>
      </c>
    </row>
    <row r="575" spans="1:12">
      <c r="A575" s="722" t="s">
        <v>147</v>
      </c>
      <c r="B575" s="722">
        <v>140</v>
      </c>
      <c r="C575" s="723">
        <v>775</v>
      </c>
      <c r="D575" s="723">
        <v>85</v>
      </c>
      <c r="E575" s="723">
        <v>0</v>
      </c>
      <c r="F575" s="723">
        <v>0</v>
      </c>
      <c r="G575" s="723">
        <v>860</v>
      </c>
      <c r="H575" s="724">
        <v>119914.30311635938</v>
      </c>
      <c r="I575" s="724">
        <v>13151.89130953619</v>
      </c>
      <c r="J575" s="724">
        <v>0</v>
      </c>
      <c r="K575" s="724">
        <v>0</v>
      </c>
      <c r="L575" s="724">
        <v>133066.19442589558</v>
      </c>
    </row>
    <row r="576" spans="1:12">
      <c r="A576" s="722" t="s">
        <v>147</v>
      </c>
      <c r="B576" s="722">
        <v>141</v>
      </c>
      <c r="C576" s="723">
        <v>18</v>
      </c>
      <c r="D576" s="723">
        <v>0</v>
      </c>
      <c r="E576" s="723">
        <v>0</v>
      </c>
      <c r="F576" s="723">
        <v>0</v>
      </c>
      <c r="G576" s="723">
        <v>18</v>
      </c>
      <c r="H576" s="724">
        <v>2785.106394960605</v>
      </c>
      <c r="I576" s="724">
        <v>0</v>
      </c>
      <c r="J576" s="724">
        <v>0</v>
      </c>
      <c r="K576" s="724">
        <v>0</v>
      </c>
      <c r="L576" s="724">
        <v>2785.106394960605</v>
      </c>
    </row>
    <row r="577" spans="1:12">
      <c r="A577" s="722" t="s">
        <v>147</v>
      </c>
      <c r="B577" s="722">
        <v>142</v>
      </c>
      <c r="C577" s="723">
        <v>109</v>
      </c>
      <c r="D577" s="723">
        <v>8</v>
      </c>
      <c r="E577" s="723">
        <v>0</v>
      </c>
      <c r="F577" s="723">
        <v>0</v>
      </c>
      <c r="G577" s="723">
        <v>117</v>
      </c>
      <c r="H577" s="724">
        <v>16865.366502816996</v>
      </c>
      <c r="I577" s="724">
        <v>1237.8250644269356</v>
      </c>
      <c r="J577" s="724">
        <v>0</v>
      </c>
      <c r="K577" s="724">
        <v>0</v>
      </c>
      <c r="L577" s="724">
        <v>18103.191567243932</v>
      </c>
    </row>
    <row r="578" spans="1:12">
      <c r="A578" s="722" t="s">
        <v>147</v>
      </c>
      <c r="B578" s="722">
        <v>143</v>
      </c>
      <c r="C578" s="723">
        <v>127</v>
      </c>
      <c r="D578" s="723">
        <v>2</v>
      </c>
      <c r="E578" s="723">
        <v>0</v>
      </c>
      <c r="F578" s="723">
        <v>0</v>
      </c>
      <c r="G578" s="723">
        <v>129</v>
      </c>
      <c r="H578" s="724">
        <v>19650.472897777603</v>
      </c>
      <c r="I578" s="724">
        <v>309.45626610673395</v>
      </c>
      <c r="J578" s="724">
        <v>0</v>
      </c>
      <c r="K578" s="724">
        <v>0</v>
      </c>
      <c r="L578" s="724">
        <v>19959.929163884339</v>
      </c>
    </row>
    <row r="579" spans="1:12">
      <c r="A579" s="722" t="s">
        <v>147</v>
      </c>
      <c r="B579" s="722">
        <v>144</v>
      </c>
      <c r="C579" s="723">
        <v>229</v>
      </c>
      <c r="D579" s="723">
        <v>13</v>
      </c>
      <c r="E579" s="723">
        <v>0</v>
      </c>
      <c r="F579" s="723">
        <v>0</v>
      </c>
      <c r="G579" s="723">
        <v>242</v>
      </c>
      <c r="H579" s="724">
        <v>35432.742469221041</v>
      </c>
      <c r="I579" s="724">
        <v>2011.4657296937705</v>
      </c>
      <c r="J579" s="724">
        <v>0</v>
      </c>
      <c r="K579" s="724">
        <v>0</v>
      </c>
      <c r="L579" s="724">
        <v>37444.208198914806</v>
      </c>
    </row>
    <row r="580" spans="1:12">
      <c r="A580" s="722" t="s">
        <v>147</v>
      </c>
      <c r="B580" s="722">
        <v>215</v>
      </c>
      <c r="C580" s="723">
        <v>1</v>
      </c>
      <c r="D580" s="723">
        <v>0</v>
      </c>
      <c r="E580" s="723">
        <v>0</v>
      </c>
      <c r="F580" s="723">
        <v>0</v>
      </c>
      <c r="G580" s="723">
        <v>1</v>
      </c>
      <c r="H580" s="724">
        <v>154.72813305336695</v>
      </c>
      <c r="I580" s="724">
        <v>0</v>
      </c>
      <c r="J580" s="724">
        <v>0</v>
      </c>
      <c r="K580" s="724">
        <v>0</v>
      </c>
      <c r="L580" s="724">
        <v>154.72813305336695</v>
      </c>
    </row>
    <row r="581" spans="1:12">
      <c r="A581" s="722" t="s">
        <v>147</v>
      </c>
      <c r="B581" s="722">
        <v>217</v>
      </c>
      <c r="C581" s="723">
        <v>55</v>
      </c>
      <c r="D581" s="723">
        <v>1</v>
      </c>
      <c r="E581" s="723">
        <v>0</v>
      </c>
      <c r="F581" s="723">
        <v>0</v>
      </c>
      <c r="G581" s="723">
        <v>56</v>
      </c>
      <c r="H581" s="724">
        <v>8510.0473179351848</v>
      </c>
      <c r="I581" s="724">
        <v>154.72813305336697</v>
      </c>
      <c r="J581" s="724">
        <v>0</v>
      </c>
      <c r="K581" s="724">
        <v>0</v>
      </c>
      <c r="L581" s="724">
        <v>8664.7754509885508</v>
      </c>
    </row>
    <row r="582" spans="1:12">
      <c r="A582" s="722" t="s">
        <v>147</v>
      </c>
      <c r="B582" s="722">
        <v>450</v>
      </c>
      <c r="C582" s="723">
        <v>1</v>
      </c>
      <c r="D582" s="723">
        <v>1</v>
      </c>
      <c r="E582" s="723">
        <v>0</v>
      </c>
      <c r="F582" s="723">
        <v>0</v>
      </c>
      <c r="G582" s="723">
        <v>2</v>
      </c>
      <c r="H582" s="724">
        <v>154.72813305336695</v>
      </c>
      <c r="I582" s="724">
        <v>154.72813305336695</v>
      </c>
      <c r="J582" s="724">
        <v>0</v>
      </c>
      <c r="K582" s="724">
        <v>0</v>
      </c>
      <c r="L582" s="724">
        <v>309.45626610673389</v>
      </c>
    </row>
    <row r="583" spans="1:12">
      <c r="A583" s="722" t="s">
        <v>148</v>
      </c>
      <c r="B583" s="722">
        <v>140</v>
      </c>
      <c r="C583" s="723">
        <v>84</v>
      </c>
      <c r="D583" s="723">
        <v>18</v>
      </c>
      <c r="E583" s="723">
        <v>0</v>
      </c>
      <c r="F583" s="723">
        <v>0</v>
      </c>
      <c r="G583" s="723">
        <v>102</v>
      </c>
      <c r="H583" s="724">
        <v>13202.351159528382</v>
      </c>
      <c r="I583" s="724">
        <v>2829.075248470368</v>
      </c>
      <c r="J583" s="724">
        <v>0</v>
      </c>
      <c r="K583" s="724">
        <v>0</v>
      </c>
      <c r="L583" s="724">
        <v>16031.42640799875</v>
      </c>
    </row>
    <row r="584" spans="1:12">
      <c r="A584" s="722" t="s">
        <v>148</v>
      </c>
      <c r="B584" s="722">
        <v>143</v>
      </c>
      <c r="C584" s="723">
        <v>2</v>
      </c>
      <c r="D584" s="723">
        <v>1</v>
      </c>
      <c r="E584" s="723">
        <v>0</v>
      </c>
      <c r="F584" s="723">
        <v>0</v>
      </c>
      <c r="G584" s="723">
        <v>3</v>
      </c>
      <c r="H584" s="724">
        <v>314.34169427448529</v>
      </c>
      <c r="I584" s="724">
        <v>157.17084713724265</v>
      </c>
      <c r="J584" s="724">
        <v>0</v>
      </c>
      <c r="K584" s="724">
        <v>0</v>
      </c>
      <c r="L584" s="724">
        <v>471.51254141172791</v>
      </c>
    </row>
    <row r="585" spans="1:12">
      <c r="A585" s="722" t="s">
        <v>148</v>
      </c>
      <c r="B585" s="722">
        <v>144</v>
      </c>
      <c r="C585" s="723">
        <v>21</v>
      </c>
      <c r="D585" s="723">
        <v>1</v>
      </c>
      <c r="E585" s="723">
        <v>0</v>
      </c>
      <c r="F585" s="723">
        <v>0</v>
      </c>
      <c r="G585" s="723">
        <v>22</v>
      </c>
      <c r="H585" s="724">
        <v>3300.5877898820954</v>
      </c>
      <c r="I585" s="724">
        <v>157.17084713724265</v>
      </c>
      <c r="J585" s="724">
        <v>0</v>
      </c>
      <c r="K585" s="724">
        <v>0</v>
      </c>
      <c r="L585" s="724">
        <v>3457.758637019338</v>
      </c>
    </row>
    <row r="586" spans="1:12">
      <c r="A586" s="722" t="s">
        <v>148</v>
      </c>
      <c r="B586" s="722">
        <v>217</v>
      </c>
      <c r="C586" s="723">
        <v>9</v>
      </c>
      <c r="D586" s="723">
        <v>0</v>
      </c>
      <c r="E586" s="723">
        <v>0</v>
      </c>
      <c r="F586" s="723">
        <v>0</v>
      </c>
      <c r="G586" s="723">
        <v>9</v>
      </c>
      <c r="H586" s="724">
        <v>1414.5376242351838</v>
      </c>
      <c r="I586" s="724">
        <v>0</v>
      </c>
      <c r="J586" s="724">
        <v>0</v>
      </c>
      <c r="K586" s="724">
        <v>0</v>
      </c>
      <c r="L586" s="724">
        <v>1414.5376242351838</v>
      </c>
    </row>
    <row r="587" spans="1:12">
      <c r="A587" s="722" t="s">
        <v>149</v>
      </c>
      <c r="B587" s="722">
        <v>120</v>
      </c>
      <c r="C587" s="723">
        <v>0</v>
      </c>
      <c r="D587" s="723">
        <v>1</v>
      </c>
      <c r="E587" s="723">
        <v>0</v>
      </c>
      <c r="F587" s="723">
        <v>0</v>
      </c>
      <c r="G587" s="723">
        <v>1</v>
      </c>
      <c r="H587" s="724">
        <v>0</v>
      </c>
      <c r="I587" s="724">
        <v>265.22824769220915</v>
      </c>
      <c r="J587" s="724">
        <v>0</v>
      </c>
      <c r="K587" s="724">
        <v>0</v>
      </c>
      <c r="L587" s="724">
        <v>265.22824769220915</v>
      </c>
    </row>
    <row r="588" spans="1:12">
      <c r="A588" s="722" t="s">
        <v>149</v>
      </c>
      <c r="B588" s="722">
        <v>140</v>
      </c>
      <c r="C588" s="723">
        <v>62</v>
      </c>
      <c r="D588" s="723">
        <v>24</v>
      </c>
      <c r="E588" s="723">
        <v>0</v>
      </c>
      <c r="F588" s="723">
        <v>0</v>
      </c>
      <c r="G588" s="723">
        <v>86</v>
      </c>
      <c r="H588" s="724">
        <v>16444.151356916966</v>
      </c>
      <c r="I588" s="724">
        <v>6365.4779446130187</v>
      </c>
      <c r="J588" s="724">
        <v>0</v>
      </c>
      <c r="K588" s="724">
        <v>0</v>
      </c>
      <c r="L588" s="724">
        <v>22809.629301529985</v>
      </c>
    </row>
    <row r="589" spans="1:12">
      <c r="A589" s="722" t="s">
        <v>149</v>
      </c>
      <c r="B589" s="722">
        <v>143</v>
      </c>
      <c r="C589" s="723">
        <v>6</v>
      </c>
      <c r="D589" s="723">
        <v>0</v>
      </c>
      <c r="E589" s="723">
        <v>0</v>
      </c>
      <c r="F589" s="723">
        <v>0</v>
      </c>
      <c r="G589" s="723">
        <v>6</v>
      </c>
      <c r="H589" s="724">
        <v>1591.3694861532549</v>
      </c>
      <c r="I589" s="724">
        <v>0</v>
      </c>
      <c r="J589" s="724">
        <v>0</v>
      </c>
      <c r="K589" s="724">
        <v>0</v>
      </c>
      <c r="L589" s="724">
        <v>1591.3694861532549</v>
      </c>
    </row>
    <row r="590" spans="1:12">
      <c r="A590" s="722" t="s">
        <v>149</v>
      </c>
      <c r="B590" s="722">
        <v>144</v>
      </c>
      <c r="C590" s="723">
        <v>31</v>
      </c>
      <c r="D590" s="723">
        <v>4</v>
      </c>
      <c r="E590" s="723">
        <v>0</v>
      </c>
      <c r="F590" s="723">
        <v>0</v>
      </c>
      <c r="G590" s="723">
        <v>35</v>
      </c>
      <c r="H590" s="724">
        <v>8222.0756784584828</v>
      </c>
      <c r="I590" s="724">
        <v>1060.9129907688366</v>
      </c>
      <c r="J590" s="724">
        <v>0</v>
      </c>
      <c r="K590" s="724">
        <v>0</v>
      </c>
      <c r="L590" s="724">
        <v>9282.9886692273194</v>
      </c>
    </row>
    <row r="591" spans="1:12">
      <c r="A591" s="722" t="s">
        <v>149</v>
      </c>
      <c r="B591" s="722">
        <v>215</v>
      </c>
      <c r="C591" s="723">
        <v>1</v>
      </c>
      <c r="D591" s="723">
        <v>0</v>
      </c>
      <c r="E591" s="723">
        <v>0</v>
      </c>
      <c r="F591" s="723">
        <v>0</v>
      </c>
      <c r="G591" s="723">
        <v>1</v>
      </c>
      <c r="H591" s="724">
        <v>265.22824769220915</v>
      </c>
      <c r="I591" s="724">
        <v>0</v>
      </c>
      <c r="J591" s="724">
        <v>0</v>
      </c>
      <c r="K591" s="724">
        <v>0</v>
      </c>
      <c r="L591" s="724">
        <v>265.22824769220915</v>
      </c>
    </row>
    <row r="592" spans="1:12">
      <c r="A592" s="722" t="s">
        <v>149</v>
      </c>
      <c r="B592" s="722">
        <v>217</v>
      </c>
      <c r="C592" s="723">
        <v>6</v>
      </c>
      <c r="D592" s="723">
        <v>0</v>
      </c>
      <c r="E592" s="723">
        <v>0</v>
      </c>
      <c r="F592" s="723">
        <v>0</v>
      </c>
      <c r="G592" s="723">
        <v>6</v>
      </c>
      <c r="H592" s="724">
        <v>1591.3694861532549</v>
      </c>
      <c r="I592" s="724">
        <v>0</v>
      </c>
      <c r="J592" s="724">
        <v>0</v>
      </c>
      <c r="K592" s="724">
        <v>0</v>
      </c>
      <c r="L592" s="724">
        <v>1591.3694861532549</v>
      </c>
    </row>
    <row r="593" spans="1:12">
      <c r="A593" s="722" t="s">
        <v>149</v>
      </c>
      <c r="B593" s="722">
        <v>219</v>
      </c>
      <c r="C593" s="723">
        <v>28</v>
      </c>
      <c r="D593" s="723">
        <v>10</v>
      </c>
      <c r="E593" s="723">
        <v>0</v>
      </c>
      <c r="F593" s="723">
        <v>0</v>
      </c>
      <c r="G593" s="723">
        <v>38</v>
      </c>
      <c r="H593" s="724">
        <v>7426.3909353818563</v>
      </c>
      <c r="I593" s="724">
        <v>2652.2824769220915</v>
      </c>
      <c r="J593" s="724">
        <v>0</v>
      </c>
      <c r="K593" s="724">
        <v>0</v>
      </c>
      <c r="L593" s="724">
        <v>10078.673412303948</v>
      </c>
    </row>
    <row r="594" spans="1:12">
      <c r="A594" s="722" t="s">
        <v>149</v>
      </c>
      <c r="B594" s="722">
        <v>330</v>
      </c>
      <c r="C594" s="723">
        <v>1</v>
      </c>
      <c r="D594" s="723">
        <v>0</v>
      </c>
      <c r="E594" s="723">
        <v>0</v>
      </c>
      <c r="F594" s="723">
        <v>0</v>
      </c>
      <c r="G594" s="723">
        <v>1</v>
      </c>
      <c r="H594" s="724">
        <v>265.22824769220915</v>
      </c>
      <c r="I594" s="724">
        <v>0</v>
      </c>
      <c r="J594" s="724">
        <v>0</v>
      </c>
      <c r="K594" s="724">
        <v>0</v>
      </c>
      <c r="L594" s="724">
        <v>265.22824769220915</v>
      </c>
    </row>
    <row r="595" spans="1:12">
      <c r="A595" s="722" t="s">
        <v>149</v>
      </c>
      <c r="B595" s="722">
        <v>420</v>
      </c>
      <c r="C595" s="723">
        <v>1</v>
      </c>
      <c r="D595" s="723">
        <v>0</v>
      </c>
      <c r="E595" s="723">
        <v>0</v>
      </c>
      <c r="F595" s="723">
        <v>0</v>
      </c>
      <c r="G595" s="723">
        <v>1</v>
      </c>
      <c r="H595" s="724">
        <v>265.22824769220915</v>
      </c>
      <c r="I595" s="724">
        <v>0</v>
      </c>
      <c r="J595" s="724">
        <v>0</v>
      </c>
      <c r="K595" s="724">
        <v>0</v>
      </c>
      <c r="L595" s="724">
        <v>265.22824769220915</v>
      </c>
    </row>
    <row r="596" spans="1:12">
      <c r="A596" s="722" t="s">
        <v>150</v>
      </c>
      <c r="B596" s="722">
        <v>140</v>
      </c>
      <c r="C596" s="723">
        <v>303</v>
      </c>
      <c r="D596" s="723">
        <v>45</v>
      </c>
      <c r="E596" s="723">
        <v>0</v>
      </c>
      <c r="F596" s="723">
        <v>0</v>
      </c>
      <c r="G596" s="723">
        <v>348</v>
      </c>
      <c r="H596" s="724">
        <v>34725.788914934215</v>
      </c>
      <c r="I596" s="724">
        <v>5157.2953834060727</v>
      </c>
      <c r="J596" s="724">
        <v>0</v>
      </c>
      <c r="K596" s="724">
        <v>0</v>
      </c>
      <c r="L596" s="724">
        <v>39883.084298340291</v>
      </c>
    </row>
    <row r="597" spans="1:12">
      <c r="A597" s="722" t="s">
        <v>150</v>
      </c>
      <c r="B597" s="722">
        <v>141</v>
      </c>
      <c r="C597" s="723">
        <v>9</v>
      </c>
      <c r="D597" s="723">
        <v>1</v>
      </c>
      <c r="E597" s="723">
        <v>0</v>
      </c>
      <c r="F597" s="723">
        <v>0</v>
      </c>
      <c r="G597" s="723">
        <v>10</v>
      </c>
      <c r="H597" s="724">
        <v>1031.4590766812144</v>
      </c>
      <c r="I597" s="724">
        <v>114.6065640756905</v>
      </c>
      <c r="J597" s="724">
        <v>0</v>
      </c>
      <c r="K597" s="724">
        <v>0</v>
      </c>
      <c r="L597" s="724">
        <v>1146.0656407569049</v>
      </c>
    </row>
    <row r="598" spans="1:12">
      <c r="A598" s="722" t="s">
        <v>150</v>
      </c>
      <c r="B598" s="722">
        <v>142</v>
      </c>
      <c r="C598" s="723">
        <v>264</v>
      </c>
      <c r="D598" s="723">
        <v>21</v>
      </c>
      <c r="E598" s="723">
        <v>0</v>
      </c>
      <c r="F598" s="723">
        <v>0</v>
      </c>
      <c r="G598" s="723">
        <v>285</v>
      </c>
      <c r="H598" s="724">
        <v>30256.132915982285</v>
      </c>
      <c r="I598" s="724">
        <v>2406.7378455895</v>
      </c>
      <c r="J598" s="724">
        <v>0</v>
      </c>
      <c r="K598" s="724">
        <v>0</v>
      </c>
      <c r="L598" s="724">
        <v>32662.870761571787</v>
      </c>
    </row>
    <row r="599" spans="1:12">
      <c r="A599" s="722" t="s">
        <v>150</v>
      </c>
      <c r="B599" s="722">
        <v>143</v>
      </c>
      <c r="C599" s="723">
        <v>21</v>
      </c>
      <c r="D599" s="723">
        <v>0</v>
      </c>
      <c r="E599" s="723">
        <v>0</v>
      </c>
      <c r="F599" s="723">
        <v>0</v>
      </c>
      <c r="G599" s="723">
        <v>21</v>
      </c>
      <c r="H599" s="724">
        <v>2406.7378455895</v>
      </c>
      <c r="I599" s="724">
        <v>0</v>
      </c>
      <c r="J599" s="724">
        <v>0</v>
      </c>
      <c r="K599" s="724">
        <v>0</v>
      </c>
      <c r="L599" s="724">
        <v>2406.7378455895</v>
      </c>
    </row>
    <row r="600" spans="1:12">
      <c r="A600" s="722" t="s">
        <v>150</v>
      </c>
      <c r="B600" s="722">
        <v>144</v>
      </c>
      <c r="C600" s="723">
        <v>56</v>
      </c>
      <c r="D600" s="723">
        <v>1</v>
      </c>
      <c r="E600" s="723">
        <v>0</v>
      </c>
      <c r="F600" s="723">
        <v>0</v>
      </c>
      <c r="G600" s="723">
        <v>57</v>
      </c>
      <c r="H600" s="724">
        <v>6417.9675882386673</v>
      </c>
      <c r="I600" s="724">
        <v>114.60656407569049</v>
      </c>
      <c r="J600" s="724">
        <v>0</v>
      </c>
      <c r="K600" s="724">
        <v>0</v>
      </c>
      <c r="L600" s="724">
        <v>6532.5741523143579</v>
      </c>
    </row>
    <row r="601" spans="1:12">
      <c r="A601" s="722" t="s">
        <v>150</v>
      </c>
      <c r="B601" s="722">
        <v>217</v>
      </c>
      <c r="C601" s="723">
        <v>16</v>
      </c>
      <c r="D601" s="723">
        <v>0</v>
      </c>
      <c r="E601" s="723">
        <v>0</v>
      </c>
      <c r="F601" s="723">
        <v>0</v>
      </c>
      <c r="G601" s="723">
        <v>16</v>
      </c>
      <c r="H601" s="724">
        <v>1833.7050252110478</v>
      </c>
      <c r="I601" s="724">
        <v>0</v>
      </c>
      <c r="J601" s="724">
        <v>0</v>
      </c>
      <c r="K601" s="724">
        <v>0</v>
      </c>
      <c r="L601" s="724">
        <v>1833.7050252110478</v>
      </c>
    </row>
    <row r="602" spans="1:12">
      <c r="A602" s="722" t="s">
        <v>150</v>
      </c>
      <c r="B602" s="722">
        <v>420</v>
      </c>
      <c r="C602" s="723">
        <v>1</v>
      </c>
      <c r="D602" s="723">
        <v>0</v>
      </c>
      <c r="E602" s="723">
        <v>0</v>
      </c>
      <c r="F602" s="723">
        <v>0</v>
      </c>
      <c r="G602" s="723">
        <v>1</v>
      </c>
      <c r="H602" s="724">
        <v>114.60656407569049</v>
      </c>
      <c r="I602" s="724">
        <v>0</v>
      </c>
      <c r="J602" s="724">
        <v>0</v>
      </c>
      <c r="K602" s="724">
        <v>0</v>
      </c>
      <c r="L602" s="724">
        <v>114.60656407569049</v>
      </c>
    </row>
    <row r="603" spans="1:12">
      <c r="A603" s="722" t="s">
        <v>150</v>
      </c>
      <c r="B603" s="722">
        <v>450</v>
      </c>
      <c r="C603" s="723">
        <v>1</v>
      </c>
      <c r="D603" s="723">
        <v>7</v>
      </c>
      <c r="E603" s="723">
        <v>0</v>
      </c>
      <c r="F603" s="723">
        <v>0</v>
      </c>
      <c r="G603" s="723">
        <v>8</v>
      </c>
      <c r="H603" s="724">
        <v>114.60656407569049</v>
      </c>
      <c r="I603" s="724">
        <v>802.24594852983341</v>
      </c>
      <c r="J603" s="724">
        <v>0</v>
      </c>
      <c r="K603" s="724">
        <v>0</v>
      </c>
      <c r="L603" s="724">
        <v>916.85251260552388</v>
      </c>
    </row>
    <row r="604" spans="1:12">
      <c r="A604" s="722" t="s">
        <v>152</v>
      </c>
      <c r="B604" s="722">
        <v>100</v>
      </c>
      <c r="C604" s="723">
        <v>2</v>
      </c>
      <c r="D604" s="723">
        <v>0</v>
      </c>
      <c r="E604" s="723">
        <v>0</v>
      </c>
      <c r="F604" s="723">
        <v>0</v>
      </c>
      <c r="G604" s="723">
        <v>2</v>
      </c>
      <c r="H604" s="724">
        <v>112.275370723002</v>
      </c>
      <c r="I604" s="724">
        <v>0</v>
      </c>
      <c r="J604" s="724">
        <v>0</v>
      </c>
      <c r="K604" s="724">
        <v>0</v>
      </c>
      <c r="L604" s="724">
        <v>112.275370723002</v>
      </c>
    </row>
    <row r="605" spans="1:12">
      <c r="A605" s="722" t="s">
        <v>152</v>
      </c>
      <c r="B605" s="722">
        <v>101</v>
      </c>
      <c r="C605" s="723">
        <v>1</v>
      </c>
      <c r="D605" s="723">
        <v>0</v>
      </c>
      <c r="E605" s="723">
        <v>0</v>
      </c>
      <c r="F605" s="723">
        <v>0</v>
      </c>
      <c r="G605" s="723">
        <v>1</v>
      </c>
      <c r="H605" s="724">
        <v>56.137685361500999</v>
      </c>
      <c r="I605" s="724">
        <v>0</v>
      </c>
      <c r="J605" s="724">
        <v>0</v>
      </c>
      <c r="K605" s="724">
        <v>0</v>
      </c>
      <c r="L605" s="724">
        <v>56.137685361500999</v>
      </c>
    </row>
    <row r="606" spans="1:12">
      <c r="A606" s="722" t="s">
        <v>152</v>
      </c>
      <c r="B606" s="722">
        <v>110</v>
      </c>
      <c r="C606" s="723">
        <v>2</v>
      </c>
      <c r="D606" s="723">
        <v>1</v>
      </c>
      <c r="E606" s="723">
        <v>0</v>
      </c>
      <c r="F606" s="723">
        <v>0</v>
      </c>
      <c r="G606" s="723">
        <v>3</v>
      </c>
      <c r="H606" s="724">
        <v>112.27537072300198</v>
      </c>
      <c r="I606" s="724">
        <v>56.137685361500992</v>
      </c>
      <c r="J606" s="724">
        <v>0</v>
      </c>
      <c r="K606" s="724">
        <v>0</v>
      </c>
      <c r="L606" s="724">
        <v>168.41305608450298</v>
      </c>
    </row>
    <row r="607" spans="1:12">
      <c r="A607" s="722" t="s">
        <v>152</v>
      </c>
      <c r="B607" s="722">
        <v>120</v>
      </c>
      <c r="C607" s="723">
        <v>4</v>
      </c>
      <c r="D607" s="723">
        <v>11</v>
      </c>
      <c r="E607" s="723">
        <v>0</v>
      </c>
      <c r="F607" s="723">
        <v>0</v>
      </c>
      <c r="G607" s="723">
        <v>15</v>
      </c>
      <c r="H607" s="724">
        <v>224.550741446004</v>
      </c>
      <c r="I607" s="724">
        <v>617.51453897651106</v>
      </c>
      <c r="J607" s="724">
        <v>0</v>
      </c>
      <c r="K607" s="724">
        <v>0</v>
      </c>
      <c r="L607" s="724">
        <v>842.065280422515</v>
      </c>
    </row>
    <row r="608" spans="1:12">
      <c r="A608" s="722" t="s">
        <v>152</v>
      </c>
      <c r="B608" s="722">
        <v>140</v>
      </c>
      <c r="C608" s="723">
        <v>1</v>
      </c>
      <c r="D608" s="723">
        <v>0</v>
      </c>
      <c r="E608" s="723">
        <v>0</v>
      </c>
      <c r="F608" s="723">
        <v>0</v>
      </c>
      <c r="G608" s="723">
        <v>1</v>
      </c>
      <c r="H608" s="724">
        <v>56.137685361500999</v>
      </c>
      <c r="I608" s="724">
        <v>0</v>
      </c>
      <c r="J608" s="724">
        <v>0</v>
      </c>
      <c r="K608" s="724">
        <v>0</v>
      </c>
      <c r="L608" s="724">
        <v>56.137685361500999</v>
      </c>
    </row>
    <row r="609" spans="1:12">
      <c r="A609" s="722" t="s">
        <v>152</v>
      </c>
      <c r="B609" s="722">
        <v>171</v>
      </c>
      <c r="C609" s="723">
        <v>1</v>
      </c>
      <c r="D609" s="723">
        <v>0</v>
      </c>
      <c r="E609" s="723">
        <v>0</v>
      </c>
      <c r="F609" s="723">
        <v>0</v>
      </c>
      <c r="G609" s="723">
        <v>1</v>
      </c>
      <c r="H609" s="724">
        <v>56.137685361500999</v>
      </c>
      <c r="I609" s="724">
        <v>0</v>
      </c>
      <c r="J609" s="724">
        <v>0</v>
      </c>
      <c r="K609" s="724">
        <v>0</v>
      </c>
      <c r="L609" s="724">
        <v>56.137685361500999</v>
      </c>
    </row>
    <row r="610" spans="1:12">
      <c r="A610" s="722" t="s">
        <v>152</v>
      </c>
      <c r="B610" s="722">
        <v>215</v>
      </c>
      <c r="C610" s="723">
        <v>1</v>
      </c>
      <c r="D610" s="723">
        <v>0</v>
      </c>
      <c r="E610" s="723">
        <v>0</v>
      </c>
      <c r="F610" s="723">
        <v>0</v>
      </c>
      <c r="G610" s="723">
        <v>1</v>
      </c>
      <c r="H610" s="724">
        <v>56.137685361500999</v>
      </c>
      <c r="I610" s="724">
        <v>0</v>
      </c>
      <c r="J610" s="724">
        <v>0</v>
      </c>
      <c r="K610" s="724">
        <v>0</v>
      </c>
      <c r="L610" s="724">
        <v>56.137685361500999</v>
      </c>
    </row>
    <row r="611" spans="1:12">
      <c r="A611" s="722" t="s">
        <v>152</v>
      </c>
      <c r="B611" s="722">
        <v>221</v>
      </c>
      <c r="C611" s="723">
        <v>5</v>
      </c>
      <c r="D611" s="723">
        <v>0</v>
      </c>
      <c r="E611" s="723">
        <v>0</v>
      </c>
      <c r="F611" s="723">
        <v>0</v>
      </c>
      <c r="G611" s="723">
        <v>5</v>
      </c>
      <c r="H611" s="724">
        <v>280.68842680750498</v>
      </c>
      <c r="I611" s="724">
        <v>0</v>
      </c>
      <c r="J611" s="724">
        <v>0</v>
      </c>
      <c r="K611" s="724">
        <v>0</v>
      </c>
      <c r="L611" s="724">
        <v>280.68842680750498</v>
      </c>
    </row>
    <row r="612" spans="1:12">
      <c r="A612" s="722" t="s">
        <v>152</v>
      </c>
      <c r="B612" s="722">
        <v>300</v>
      </c>
      <c r="C612" s="723">
        <v>1</v>
      </c>
      <c r="D612" s="723">
        <v>0</v>
      </c>
      <c r="E612" s="723">
        <v>0</v>
      </c>
      <c r="F612" s="723">
        <v>0</v>
      </c>
      <c r="G612" s="723">
        <v>1</v>
      </c>
      <c r="H612" s="724">
        <v>56.137685361500999</v>
      </c>
      <c r="I612" s="724">
        <v>0</v>
      </c>
      <c r="J612" s="724">
        <v>0</v>
      </c>
      <c r="K612" s="724">
        <v>0</v>
      </c>
      <c r="L612" s="724">
        <v>56.137685361500999</v>
      </c>
    </row>
    <row r="613" spans="1:12">
      <c r="A613" s="722" t="s">
        <v>152</v>
      </c>
      <c r="B613" s="722">
        <v>314</v>
      </c>
      <c r="C613" s="723">
        <v>0</v>
      </c>
      <c r="D613" s="723">
        <v>1</v>
      </c>
      <c r="E613" s="723">
        <v>0</v>
      </c>
      <c r="F613" s="723">
        <v>0</v>
      </c>
      <c r="G613" s="723">
        <v>1</v>
      </c>
      <c r="H613" s="724">
        <v>0</v>
      </c>
      <c r="I613" s="724">
        <v>56.137685361500999</v>
      </c>
      <c r="J613" s="724">
        <v>0</v>
      </c>
      <c r="K613" s="724">
        <v>0</v>
      </c>
      <c r="L613" s="724">
        <v>56.137685361500999</v>
      </c>
    </row>
    <row r="614" spans="1:12">
      <c r="A614" s="722" t="s">
        <v>152</v>
      </c>
      <c r="B614" s="722">
        <v>340</v>
      </c>
      <c r="C614" s="723">
        <v>4</v>
      </c>
      <c r="D614" s="723">
        <v>2</v>
      </c>
      <c r="E614" s="723">
        <v>0</v>
      </c>
      <c r="F614" s="723">
        <v>0</v>
      </c>
      <c r="G614" s="723">
        <v>6</v>
      </c>
      <c r="H614" s="724">
        <v>224.55074144600397</v>
      </c>
      <c r="I614" s="724">
        <v>112.27537072300198</v>
      </c>
      <c r="J614" s="724">
        <v>0</v>
      </c>
      <c r="K614" s="724">
        <v>0</v>
      </c>
      <c r="L614" s="724">
        <v>336.82611216900597</v>
      </c>
    </row>
    <row r="615" spans="1:12">
      <c r="A615" s="722" t="s">
        <v>152</v>
      </c>
      <c r="B615" s="722">
        <v>410</v>
      </c>
      <c r="C615" s="723">
        <v>1</v>
      </c>
      <c r="D615" s="723">
        <v>0</v>
      </c>
      <c r="E615" s="723">
        <v>0</v>
      </c>
      <c r="F615" s="723">
        <v>0</v>
      </c>
      <c r="G615" s="723">
        <v>1</v>
      </c>
      <c r="H615" s="724">
        <v>56.137685361500999</v>
      </c>
      <c r="I615" s="724">
        <v>0</v>
      </c>
      <c r="J615" s="724">
        <v>0</v>
      </c>
      <c r="K615" s="724">
        <v>0</v>
      </c>
      <c r="L615" s="724">
        <v>56.137685361500999</v>
      </c>
    </row>
    <row r="616" spans="1:12">
      <c r="A616" s="722" t="s">
        <v>152</v>
      </c>
      <c r="B616" s="722">
        <v>502</v>
      </c>
      <c r="C616" s="723">
        <v>1</v>
      </c>
      <c r="D616" s="723">
        <v>0</v>
      </c>
      <c r="E616" s="723">
        <v>0</v>
      </c>
      <c r="F616" s="723">
        <v>0</v>
      </c>
      <c r="G616" s="723">
        <v>1</v>
      </c>
      <c r="H616" s="724">
        <v>56.137685361500999</v>
      </c>
      <c r="I616" s="724">
        <v>0</v>
      </c>
      <c r="J616" s="724">
        <v>0</v>
      </c>
      <c r="K616" s="724">
        <v>0</v>
      </c>
      <c r="L616" s="724">
        <v>56.137685361500999</v>
      </c>
    </row>
    <row r="617" spans="1:12">
      <c r="A617" s="722" t="s">
        <v>152</v>
      </c>
      <c r="B617" s="722">
        <v>560</v>
      </c>
      <c r="C617" s="723">
        <v>1</v>
      </c>
      <c r="D617" s="723">
        <v>0</v>
      </c>
      <c r="E617" s="723">
        <v>0</v>
      </c>
      <c r="F617" s="723">
        <v>0</v>
      </c>
      <c r="G617" s="723">
        <v>1</v>
      </c>
      <c r="H617" s="724">
        <v>56.137685361500999</v>
      </c>
      <c r="I617" s="724">
        <v>0</v>
      </c>
      <c r="J617" s="724">
        <v>0</v>
      </c>
      <c r="K617" s="724">
        <v>0</v>
      </c>
      <c r="L617" s="724">
        <v>56.137685361500999</v>
      </c>
    </row>
    <row r="618" spans="1:12">
      <c r="A618" s="722" t="s">
        <v>153</v>
      </c>
      <c r="B618" s="722">
        <v>100</v>
      </c>
      <c r="C618" s="723">
        <v>0</v>
      </c>
      <c r="D618" s="723">
        <v>1</v>
      </c>
      <c r="E618" s="723">
        <v>0</v>
      </c>
      <c r="F618" s="723">
        <v>0</v>
      </c>
      <c r="G618" s="723">
        <v>1</v>
      </c>
      <c r="H618" s="724">
        <v>0</v>
      </c>
      <c r="I618" s="724">
        <v>70.655711644380631</v>
      </c>
      <c r="J618" s="724">
        <v>0</v>
      </c>
      <c r="K618" s="724">
        <v>0</v>
      </c>
      <c r="L618" s="724">
        <v>70.655711644380631</v>
      </c>
    </row>
    <row r="619" spans="1:12">
      <c r="A619" s="722" t="s">
        <v>153</v>
      </c>
      <c r="B619" s="722">
        <v>103</v>
      </c>
      <c r="C619" s="723">
        <v>0</v>
      </c>
      <c r="D619" s="723">
        <v>1</v>
      </c>
      <c r="E619" s="723">
        <v>0</v>
      </c>
      <c r="F619" s="723">
        <v>0</v>
      </c>
      <c r="G619" s="723">
        <v>1</v>
      </c>
      <c r="H619" s="724">
        <v>0</v>
      </c>
      <c r="I619" s="724">
        <v>70.655711644380631</v>
      </c>
      <c r="J619" s="724">
        <v>0</v>
      </c>
      <c r="K619" s="724">
        <v>0</v>
      </c>
      <c r="L619" s="724">
        <v>70.655711644380631</v>
      </c>
    </row>
    <row r="620" spans="1:12">
      <c r="A620" s="722" t="s">
        <v>153</v>
      </c>
      <c r="B620" s="722">
        <v>120</v>
      </c>
      <c r="C620" s="723">
        <v>249</v>
      </c>
      <c r="D620" s="723">
        <v>168</v>
      </c>
      <c r="E620" s="723">
        <v>0</v>
      </c>
      <c r="F620" s="723">
        <v>0</v>
      </c>
      <c r="G620" s="723">
        <v>417</v>
      </c>
      <c r="H620" s="724">
        <v>17593.272199450781</v>
      </c>
      <c r="I620" s="724">
        <v>11870.159556255947</v>
      </c>
      <c r="J620" s="724">
        <v>0</v>
      </c>
      <c r="K620" s="724">
        <v>0</v>
      </c>
      <c r="L620" s="724">
        <v>29463.431755706726</v>
      </c>
    </row>
    <row r="621" spans="1:12">
      <c r="A621" s="722" t="s">
        <v>153</v>
      </c>
      <c r="B621" s="722">
        <v>130</v>
      </c>
      <c r="C621" s="723">
        <v>0</v>
      </c>
      <c r="D621" s="723">
        <v>1</v>
      </c>
      <c r="E621" s="723">
        <v>0</v>
      </c>
      <c r="F621" s="723">
        <v>0</v>
      </c>
      <c r="G621" s="723">
        <v>1</v>
      </c>
      <c r="H621" s="724">
        <v>0</v>
      </c>
      <c r="I621" s="724">
        <v>70.655711644380631</v>
      </c>
      <c r="J621" s="724">
        <v>0</v>
      </c>
      <c r="K621" s="724">
        <v>0</v>
      </c>
      <c r="L621" s="724">
        <v>70.655711644380631</v>
      </c>
    </row>
    <row r="622" spans="1:12">
      <c r="A622" s="722" t="s">
        <v>153</v>
      </c>
      <c r="B622" s="722">
        <v>140</v>
      </c>
      <c r="C622" s="723">
        <v>9</v>
      </c>
      <c r="D622" s="723">
        <v>1</v>
      </c>
      <c r="E622" s="723">
        <v>0</v>
      </c>
      <c r="F622" s="723">
        <v>0</v>
      </c>
      <c r="G622" s="723">
        <v>10</v>
      </c>
      <c r="H622" s="724">
        <v>635.90140479942579</v>
      </c>
      <c r="I622" s="724">
        <v>70.655711644380645</v>
      </c>
      <c r="J622" s="724">
        <v>0</v>
      </c>
      <c r="K622" s="724">
        <v>0</v>
      </c>
      <c r="L622" s="724">
        <v>706.55711644380642</v>
      </c>
    </row>
    <row r="623" spans="1:12">
      <c r="A623" s="722" t="s">
        <v>153</v>
      </c>
      <c r="B623" s="722">
        <v>144</v>
      </c>
      <c r="C623" s="723">
        <v>1</v>
      </c>
      <c r="D623" s="723">
        <v>0</v>
      </c>
      <c r="E623" s="723">
        <v>0</v>
      </c>
      <c r="F623" s="723">
        <v>0</v>
      </c>
      <c r="G623" s="723">
        <v>1</v>
      </c>
      <c r="H623" s="724">
        <v>70.655711644380631</v>
      </c>
      <c r="I623" s="724">
        <v>0</v>
      </c>
      <c r="J623" s="724">
        <v>0</v>
      </c>
      <c r="K623" s="724">
        <v>0</v>
      </c>
      <c r="L623" s="724">
        <v>70.655711644380631</v>
      </c>
    </row>
    <row r="624" spans="1:12">
      <c r="A624" s="722" t="s">
        <v>153</v>
      </c>
      <c r="B624" s="722">
        <v>160</v>
      </c>
      <c r="C624" s="723">
        <v>1</v>
      </c>
      <c r="D624" s="723">
        <v>0</v>
      </c>
      <c r="E624" s="723">
        <v>0</v>
      </c>
      <c r="F624" s="723">
        <v>0</v>
      </c>
      <c r="G624" s="723">
        <v>1</v>
      </c>
      <c r="H624" s="724">
        <v>70.655711644380631</v>
      </c>
      <c r="I624" s="724">
        <v>0</v>
      </c>
      <c r="J624" s="724">
        <v>0</v>
      </c>
      <c r="K624" s="724">
        <v>0</v>
      </c>
      <c r="L624" s="724">
        <v>70.655711644380631</v>
      </c>
    </row>
    <row r="625" spans="1:12">
      <c r="A625" s="722" t="s">
        <v>153</v>
      </c>
      <c r="B625" s="722">
        <v>221</v>
      </c>
      <c r="C625" s="723">
        <v>21</v>
      </c>
      <c r="D625" s="723">
        <v>0</v>
      </c>
      <c r="E625" s="723">
        <v>0</v>
      </c>
      <c r="F625" s="723">
        <v>0</v>
      </c>
      <c r="G625" s="723">
        <v>21</v>
      </c>
      <c r="H625" s="724">
        <v>1483.7699445319934</v>
      </c>
      <c r="I625" s="724">
        <v>0</v>
      </c>
      <c r="J625" s="724">
        <v>0</v>
      </c>
      <c r="K625" s="724">
        <v>0</v>
      </c>
      <c r="L625" s="724">
        <v>1483.7699445319934</v>
      </c>
    </row>
    <row r="626" spans="1:12">
      <c r="A626" s="722" t="s">
        <v>153</v>
      </c>
      <c r="B626" s="722">
        <v>300</v>
      </c>
      <c r="C626" s="723">
        <v>0</v>
      </c>
      <c r="D626" s="723">
        <v>2</v>
      </c>
      <c r="E626" s="723">
        <v>0</v>
      </c>
      <c r="F626" s="723">
        <v>0</v>
      </c>
      <c r="G626" s="723">
        <v>2</v>
      </c>
      <c r="H626" s="724">
        <v>0</v>
      </c>
      <c r="I626" s="724">
        <v>141.31142328876126</v>
      </c>
      <c r="J626" s="724">
        <v>0</v>
      </c>
      <c r="K626" s="724">
        <v>0</v>
      </c>
      <c r="L626" s="724">
        <v>141.31142328876126</v>
      </c>
    </row>
    <row r="627" spans="1:12">
      <c r="A627" s="722" t="s">
        <v>153</v>
      </c>
      <c r="B627" s="722">
        <v>301</v>
      </c>
      <c r="C627" s="723">
        <v>1</v>
      </c>
      <c r="D627" s="723">
        <v>0</v>
      </c>
      <c r="E627" s="723">
        <v>0</v>
      </c>
      <c r="F627" s="723">
        <v>0</v>
      </c>
      <c r="G627" s="723">
        <v>1</v>
      </c>
      <c r="H627" s="724">
        <v>70.655711644380631</v>
      </c>
      <c r="I627" s="724">
        <v>0</v>
      </c>
      <c r="J627" s="724">
        <v>0</v>
      </c>
      <c r="K627" s="724">
        <v>0</v>
      </c>
      <c r="L627" s="724">
        <v>70.655711644380631</v>
      </c>
    </row>
    <row r="628" spans="1:12">
      <c r="A628" s="722" t="s">
        <v>153</v>
      </c>
      <c r="B628" s="722">
        <v>306</v>
      </c>
      <c r="C628" s="723">
        <v>28</v>
      </c>
      <c r="D628" s="723">
        <v>6</v>
      </c>
      <c r="E628" s="723">
        <v>0</v>
      </c>
      <c r="F628" s="723">
        <v>0</v>
      </c>
      <c r="G628" s="723">
        <v>34</v>
      </c>
      <c r="H628" s="724">
        <v>1978.3599260426581</v>
      </c>
      <c r="I628" s="724">
        <v>423.93426986628378</v>
      </c>
      <c r="J628" s="724">
        <v>0</v>
      </c>
      <c r="K628" s="724">
        <v>0</v>
      </c>
      <c r="L628" s="724">
        <v>2402.2941959089417</v>
      </c>
    </row>
    <row r="629" spans="1:12">
      <c r="A629" s="722" t="s">
        <v>153</v>
      </c>
      <c r="B629" s="722">
        <v>330</v>
      </c>
      <c r="C629" s="723">
        <v>1</v>
      </c>
      <c r="D629" s="723">
        <v>0</v>
      </c>
      <c r="E629" s="723">
        <v>0</v>
      </c>
      <c r="F629" s="723">
        <v>0</v>
      </c>
      <c r="G629" s="723">
        <v>1</v>
      </c>
      <c r="H629" s="724">
        <v>70.655711644380631</v>
      </c>
      <c r="I629" s="724">
        <v>0</v>
      </c>
      <c r="J629" s="724">
        <v>0</v>
      </c>
      <c r="K629" s="724">
        <v>0</v>
      </c>
      <c r="L629" s="724">
        <v>70.655711644380631</v>
      </c>
    </row>
    <row r="630" spans="1:12">
      <c r="A630" s="722" t="s">
        <v>153</v>
      </c>
      <c r="B630" s="722">
        <v>420</v>
      </c>
      <c r="C630" s="723">
        <v>1</v>
      </c>
      <c r="D630" s="723">
        <v>0</v>
      </c>
      <c r="E630" s="723">
        <v>0</v>
      </c>
      <c r="F630" s="723">
        <v>0</v>
      </c>
      <c r="G630" s="723">
        <v>1</v>
      </c>
      <c r="H630" s="724">
        <v>70.655711644380631</v>
      </c>
      <c r="I630" s="724">
        <v>0</v>
      </c>
      <c r="J630" s="724">
        <v>0</v>
      </c>
      <c r="K630" s="724">
        <v>0</v>
      </c>
      <c r="L630" s="724">
        <v>70.655711644380631</v>
      </c>
    </row>
    <row r="631" spans="1:12">
      <c r="A631" s="722" t="s">
        <v>153</v>
      </c>
      <c r="B631" s="722">
        <v>450</v>
      </c>
      <c r="C631" s="723">
        <v>0</v>
      </c>
      <c r="D631" s="723">
        <v>1</v>
      </c>
      <c r="E631" s="723">
        <v>0</v>
      </c>
      <c r="F631" s="723">
        <v>0</v>
      </c>
      <c r="G631" s="723">
        <v>1</v>
      </c>
      <c r="H631" s="724">
        <v>0</v>
      </c>
      <c r="I631" s="724">
        <v>70.655711644380631</v>
      </c>
      <c r="J631" s="724">
        <v>0</v>
      </c>
      <c r="K631" s="724">
        <v>0</v>
      </c>
      <c r="L631" s="724">
        <v>70.655711644380631</v>
      </c>
    </row>
    <row r="632" spans="1:12">
      <c r="A632" s="722" t="s">
        <v>153</v>
      </c>
      <c r="B632" s="722">
        <v>501</v>
      </c>
      <c r="C632" s="723">
        <v>2</v>
      </c>
      <c r="D632" s="723">
        <v>0</v>
      </c>
      <c r="E632" s="723">
        <v>0</v>
      </c>
      <c r="F632" s="723">
        <v>0</v>
      </c>
      <c r="G632" s="723">
        <v>2</v>
      </c>
      <c r="H632" s="724">
        <v>141.31142328876126</v>
      </c>
      <c r="I632" s="724">
        <v>0</v>
      </c>
      <c r="J632" s="724">
        <v>0</v>
      </c>
      <c r="K632" s="724">
        <v>0</v>
      </c>
      <c r="L632" s="724">
        <v>141.31142328876126</v>
      </c>
    </row>
    <row r="633" spans="1:12">
      <c r="A633" s="722" t="s">
        <v>153</v>
      </c>
      <c r="B633" s="722">
        <v>502</v>
      </c>
      <c r="C633" s="723">
        <v>1</v>
      </c>
      <c r="D633" s="723">
        <v>1</v>
      </c>
      <c r="E633" s="723">
        <v>0</v>
      </c>
      <c r="F633" s="723">
        <v>0</v>
      </c>
      <c r="G633" s="723">
        <v>2</v>
      </c>
      <c r="H633" s="724">
        <v>70.655711644380631</v>
      </c>
      <c r="I633" s="724">
        <v>70.655711644380631</v>
      </c>
      <c r="J633" s="724">
        <v>0</v>
      </c>
      <c r="K633" s="724">
        <v>0</v>
      </c>
      <c r="L633" s="724">
        <v>141.31142328876126</v>
      </c>
    </row>
    <row r="634" spans="1:12">
      <c r="A634" s="722" t="s">
        <v>153</v>
      </c>
      <c r="B634" s="722">
        <v>560</v>
      </c>
      <c r="C634" s="723">
        <v>2</v>
      </c>
      <c r="D634" s="723">
        <v>0</v>
      </c>
      <c r="E634" s="723">
        <v>0</v>
      </c>
      <c r="F634" s="723">
        <v>0</v>
      </c>
      <c r="G634" s="723">
        <v>2</v>
      </c>
      <c r="H634" s="724">
        <v>141.31142328876126</v>
      </c>
      <c r="I634" s="724">
        <v>0</v>
      </c>
      <c r="J634" s="724">
        <v>0</v>
      </c>
      <c r="K634" s="724">
        <v>0</v>
      </c>
      <c r="L634" s="724">
        <v>141.31142328876126</v>
      </c>
    </row>
    <row r="635" spans="1:12">
      <c r="A635" s="722" t="s">
        <v>153</v>
      </c>
      <c r="B635" s="722">
        <v>652</v>
      </c>
      <c r="C635" s="723">
        <v>5</v>
      </c>
      <c r="D635" s="723">
        <v>0</v>
      </c>
      <c r="E635" s="723">
        <v>0</v>
      </c>
      <c r="F635" s="723">
        <v>0</v>
      </c>
      <c r="G635" s="723">
        <v>5</v>
      </c>
      <c r="H635" s="724">
        <v>353.27855822190321</v>
      </c>
      <c r="I635" s="724">
        <v>0</v>
      </c>
      <c r="J635" s="724">
        <v>0</v>
      </c>
      <c r="K635" s="724">
        <v>0</v>
      </c>
      <c r="L635" s="724">
        <v>353.27855822190321</v>
      </c>
    </row>
    <row r="636" spans="1:12">
      <c r="A636" s="722" t="s">
        <v>153</v>
      </c>
      <c r="B636" s="722">
        <v>800</v>
      </c>
      <c r="C636" s="723">
        <v>1</v>
      </c>
      <c r="D636" s="723">
        <v>1</v>
      </c>
      <c r="E636" s="723">
        <v>0</v>
      </c>
      <c r="F636" s="723">
        <v>0</v>
      </c>
      <c r="G636" s="723">
        <v>2</v>
      </c>
      <c r="H636" s="724">
        <v>70.655711644380631</v>
      </c>
      <c r="I636" s="724">
        <v>70.655711644380631</v>
      </c>
      <c r="J636" s="724">
        <v>0</v>
      </c>
      <c r="K636" s="724">
        <v>0</v>
      </c>
      <c r="L636" s="724">
        <v>141.31142328876126</v>
      </c>
    </row>
    <row r="637" spans="1:12">
      <c r="A637" s="722" t="s">
        <v>154</v>
      </c>
      <c r="B637" s="722">
        <v>100</v>
      </c>
      <c r="C637" s="723">
        <v>0</v>
      </c>
      <c r="D637" s="723">
        <v>2</v>
      </c>
      <c r="E637" s="723">
        <v>0</v>
      </c>
      <c r="F637" s="723">
        <v>0</v>
      </c>
      <c r="G637" s="723">
        <v>2</v>
      </c>
      <c r="H637" s="724">
        <v>0</v>
      </c>
      <c r="I637" s="724">
        <v>211.90260756491284</v>
      </c>
      <c r="J637" s="724">
        <v>0</v>
      </c>
      <c r="K637" s="724">
        <v>0</v>
      </c>
      <c r="L637" s="724">
        <v>211.90260756491284</v>
      </c>
    </row>
    <row r="638" spans="1:12">
      <c r="A638" s="722" t="s">
        <v>154</v>
      </c>
      <c r="B638" s="722">
        <v>104</v>
      </c>
      <c r="C638" s="723">
        <v>1</v>
      </c>
      <c r="D638" s="723">
        <v>0</v>
      </c>
      <c r="E638" s="723">
        <v>0</v>
      </c>
      <c r="F638" s="723">
        <v>0</v>
      </c>
      <c r="G638" s="723">
        <v>1</v>
      </c>
      <c r="H638" s="724">
        <v>105.95130378245642</v>
      </c>
      <c r="I638" s="724">
        <v>0</v>
      </c>
      <c r="J638" s="724">
        <v>0</v>
      </c>
      <c r="K638" s="724">
        <v>0</v>
      </c>
      <c r="L638" s="724">
        <v>105.95130378245642</v>
      </c>
    </row>
    <row r="639" spans="1:12">
      <c r="A639" s="722" t="s">
        <v>154</v>
      </c>
      <c r="B639" s="722">
        <v>110</v>
      </c>
      <c r="C639" s="723">
        <v>0</v>
      </c>
      <c r="D639" s="723">
        <v>1</v>
      </c>
      <c r="E639" s="723">
        <v>0</v>
      </c>
      <c r="F639" s="723">
        <v>0</v>
      </c>
      <c r="G639" s="723">
        <v>1</v>
      </c>
      <c r="H639" s="724">
        <v>0</v>
      </c>
      <c r="I639" s="724">
        <v>105.95130378245642</v>
      </c>
      <c r="J639" s="724">
        <v>0</v>
      </c>
      <c r="K639" s="724">
        <v>0</v>
      </c>
      <c r="L639" s="724">
        <v>105.95130378245642</v>
      </c>
    </row>
    <row r="640" spans="1:12">
      <c r="A640" s="722" t="s">
        <v>154</v>
      </c>
      <c r="B640" s="722">
        <v>120</v>
      </c>
      <c r="C640" s="723">
        <v>8</v>
      </c>
      <c r="D640" s="723">
        <v>19</v>
      </c>
      <c r="E640" s="723">
        <v>0</v>
      </c>
      <c r="F640" s="723">
        <v>0</v>
      </c>
      <c r="G640" s="723">
        <v>27</v>
      </c>
      <c r="H640" s="724">
        <v>847.61043025965125</v>
      </c>
      <c r="I640" s="724">
        <v>2013.0747718666719</v>
      </c>
      <c r="J640" s="724">
        <v>0</v>
      </c>
      <c r="K640" s="724">
        <v>0</v>
      </c>
      <c r="L640" s="724">
        <v>2860.685202126323</v>
      </c>
    </row>
    <row r="641" spans="1:12">
      <c r="A641" s="722" t="s">
        <v>154</v>
      </c>
      <c r="B641" s="722">
        <v>173</v>
      </c>
      <c r="C641" s="723">
        <v>0</v>
      </c>
      <c r="D641" s="723">
        <v>1</v>
      </c>
      <c r="E641" s="723">
        <v>0</v>
      </c>
      <c r="F641" s="723">
        <v>0</v>
      </c>
      <c r="G641" s="723">
        <v>1</v>
      </c>
      <c r="H641" s="724">
        <v>0</v>
      </c>
      <c r="I641" s="724">
        <v>105.95130378245642</v>
      </c>
      <c r="J641" s="724">
        <v>0</v>
      </c>
      <c r="K641" s="724">
        <v>0</v>
      </c>
      <c r="L641" s="724">
        <v>105.95130378245642</v>
      </c>
    </row>
    <row r="642" spans="1:12">
      <c r="A642" s="722" t="s">
        <v>154</v>
      </c>
      <c r="B642" s="722">
        <v>191</v>
      </c>
      <c r="C642" s="723">
        <v>1</v>
      </c>
      <c r="D642" s="723">
        <v>0</v>
      </c>
      <c r="E642" s="723">
        <v>0</v>
      </c>
      <c r="F642" s="723">
        <v>0</v>
      </c>
      <c r="G642" s="723">
        <v>1</v>
      </c>
      <c r="H642" s="724">
        <v>105.95130378245642</v>
      </c>
      <c r="I642" s="724">
        <v>0</v>
      </c>
      <c r="J642" s="724">
        <v>0</v>
      </c>
      <c r="K642" s="724">
        <v>0</v>
      </c>
      <c r="L642" s="724">
        <v>105.95130378245642</v>
      </c>
    </row>
    <row r="643" spans="1:12">
      <c r="A643" s="722" t="s">
        <v>154</v>
      </c>
      <c r="B643" s="722">
        <v>215</v>
      </c>
      <c r="C643" s="723">
        <v>1</v>
      </c>
      <c r="D643" s="723">
        <v>0</v>
      </c>
      <c r="E643" s="723">
        <v>0</v>
      </c>
      <c r="F643" s="723">
        <v>0</v>
      </c>
      <c r="G643" s="723">
        <v>1</v>
      </c>
      <c r="H643" s="724">
        <v>105.95130378245642</v>
      </c>
      <c r="I643" s="724">
        <v>0</v>
      </c>
      <c r="J643" s="724">
        <v>0</v>
      </c>
      <c r="K643" s="724">
        <v>0</v>
      </c>
      <c r="L643" s="724">
        <v>105.95130378245642</v>
      </c>
    </row>
    <row r="644" spans="1:12">
      <c r="A644" s="722" t="s">
        <v>154</v>
      </c>
      <c r="B644" s="722">
        <v>221</v>
      </c>
      <c r="C644" s="723">
        <v>1</v>
      </c>
      <c r="D644" s="723">
        <v>0</v>
      </c>
      <c r="E644" s="723">
        <v>0</v>
      </c>
      <c r="F644" s="723">
        <v>0</v>
      </c>
      <c r="G644" s="723">
        <v>1</v>
      </c>
      <c r="H644" s="724">
        <v>105.95130378245642</v>
      </c>
      <c r="I644" s="724">
        <v>0</v>
      </c>
      <c r="J644" s="724">
        <v>0</v>
      </c>
      <c r="K644" s="724">
        <v>0</v>
      </c>
      <c r="L644" s="724">
        <v>105.95130378245642</v>
      </c>
    </row>
    <row r="645" spans="1:12">
      <c r="A645" s="722" t="s">
        <v>154</v>
      </c>
      <c r="B645" s="722">
        <v>258</v>
      </c>
      <c r="C645" s="723">
        <v>1</v>
      </c>
      <c r="D645" s="723">
        <v>0</v>
      </c>
      <c r="E645" s="723">
        <v>0</v>
      </c>
      <c r="F645" s="723">
        <v>0</v>
      </c>
      <c r="G645" s="723">
        <v>1</v>
      </c>
      <c r="H645" s="724">
        <v>105.95130378245642</v>
      </c>
      <c r="I645" s="724">
        <v>0</v>
      </c>
      <c r="J645" s="724">
        <v>0</v>
      </c>
      <c r="K645" s="724">
        <v>0</v>
      </c>
      <c r="L645" s="724">
        <v>105.95130378245642</v>
      </c>
    </row>
    <row r="646" spans="1:12">
      <c r="A646" s="722" t="s">
        <v>154</v>
      </c>
      <c r="B646" s="722">
        <v>300</v>
      </c>
      <c r="C646" s="723">
        <v>1</v>
      </c>
      <c r="D646" s="723">
        <v>0</v>
      </c>
      <c r="E646" s="723">
        <v>0</v>
      </c>
      <c r="F646" s="723">
        <v>0</v>
      </c>
      <c r="G646" s="723">
        <v>1</v>
      </c>
      <c r="H646" s="724">
        <v>105.95130378245642</v>
      </c>
      <c r="I646" s="724">
        <v>0</v>
      </c>
      <c r="J646" s="724">
        <v>0</v>
      </c>
      <c r="K646" s="724">
        <v>0</v>
      </c>
      <c r="L646" s="724">
        <v>105.95130378245642</v>
      </c>
    </row>
    <row r="647" spans="1:12">
      <c r="A647" s="722" t="s">
        <v>154</v>
      </c>
      <c r="B647" s="722">
        <v>303</v>
      </c>
      <c r="C647" s="723">
        <v>2</v>
      </c>
      <c r="D647" s="723">
        <v>0</v>
      </c>
      <c r="E647" s="723">
        <v>0</v>
      </c>
      <c r="F647" s="723">
        <v>0</v>
      </c>
      <c r="G647" s="723">
        <v>2</v>
      </c>
      <c r="H647" s="724">
        <v>211.90260756491284</v>
      </c>
      <c r="I647" s="724">
        <v>0</v>
      </c>
      <c r="J647" s="724">
        <v>0</v>
      </c>
      <c r="K647" s="724">
        <v>0</v>
      </c>
      <c r="L647" s="724">
        <v>211.90260756491284</v>
      </c>
    </row>
    <row r="648" spans="1:12">
      <c r="A648" s="722" t="s">
        <v>154</v>
      </c>
      <c r="B648" s="722">
        <v>320</v>
      </c>
      <c r="C648" s="723">
        <v>1</v>
      </c>
      <c r="D648" s="723">
        <v>0</v>
      </c>
      <c r="E648" s="723">
        <v>0</v>
      </c>
      <c r="F648" s="723">
        <v>0</v>
      </c>
      <c r="G648" s="723">
        <v>1</v>
      </c>
      <c r="H648" s="724">
        <v>105.95130378245642</v>
      </c>
      <c r="I648" s="724">
        <v>0</v>
      </c>
      <c r="J648" s="724">
        <v>0</v>
      </c>
      <c r="K648" s="724">
        <v>0</v>
      </c>
      <c r="L648" s="724">
        <v>105.95130378245642</v>
      </c>
    </row>
    <row r="649" spans="1:12">
      <c r="A649" s="722" t="s">
        <v>154</v>
      </c>
      <c r="B649" s="722">
        <v>340</v>
      </c>
      <c r="C649" s="723">
        <v>2</v>
      </c>
      <c r="D649" s="723">
        <v>6</v>
      </c>
      <c r="E649" s="723">
        <v>0</v>
      </c>
      <c r="F649" s="723">
        <v>0</v>
      </c>
      <c r="G649" s="723">
        <v>8</v>
      </c>
      <c r="H649" s="724">
        <v>211.90260756491284</v>
      </c>
      <c r="I649" s="724">
        <v>635.70782269473852</v>
      </c>
      <c r="J649" s="724">
        <v>0</v>
      </c>
      <c r="K649" s="724">
        <v>0</v>
      </c>
      <c r="L649" s="724">
        <v>847.61043025965137</v>
      </c>
    </row>
    <row r="650" spans="1:12">
      <c r="A650" s="722" t="s">
        <v>154</v>
      </c>
      <c r="B650" s="722">
        <v>420</v>
      </c>
      <c r="C650" s="723">
        <v>1</v>
      </c>
      <c r="D650" s="723">
        <v>0</v>
      </c>
      <c r="E650" s="723">
        <v>0</v>
      </c>
      <c r="F650" s="723">
        <v>0</v>
      </c>
      <c r="G650" s="723">
        <v>1</v>
      </c>
      <c r="H650" s="724">
        <v>105.95130378245642</v>
      </c>
      <c r="I650" s="724">
        <v>0</v>
      </c>
      <c r="J650" s="724">
        <v>0</v>
      </c>
      <c r="K650" s="724">
        <v>0</v>
      </c>
      <c r="L650" s="724">
        <v>105.95130378245642</v>
      </c>
    </row>
    <row r="651" spans="1:12">
      <c r="A651" s="722" t="s">
        <v>154</v>
      </c>
      <c r="B651" s="722">
        <v>800</v>
      </c>
      <c r="C651" s="723">
        <v>2</v>
      </c>
      <c r="D651" s="723">
        <v>0</v>
      </c>
      <c r="E651" s="723">
        <v>0</v>
      </c>
      <c r="F651" s="723">
        <v>0</v>
      </c>
      <c r="G651" s="723">
        <v>2</v>
      </c>
      <c r="H651" s="724">
        <v>211.90260756491284</v>
      </c>
      <c r="I651" s="724">
        <v>0</v>
      </c>
      <c r="J651" s="724">
        <v>0</v>
      </c>
      <c r="K651" s="724">
        <v>0</v>
      </c>
      <c r="L651" s="724">
        <v>211.90260756491284</v>
      </c>
    </row>
    <row r="652" spans="1:12">
      <c r="A652" s="722" t="s">
        <v>154</v>
      </c>
      <c r="B652" s="722">
        <v>811</v>
      </c>
      <c r="C652" s="723">
        <v>1</v>
      </c>
      <c r="D652" s="723">
        <v>0</v>
      </c>
      <c r="E652" s="723">
        <v>0</v>
      </c>
      <c r="F652" s="723">
        <v>0</v>
      </c>
      <c r="G652" s="723">
        <v>1</v>
      </c>
      <c r="H652" s="724">
        <v>105.95130378245642</v>
      </c>
      <c r="I652" s="724">
        <v>0</v>
      </c>
      <c r="J652" s="724">
        <v>0</v>
      </c>
      <c r="K652" s="724">
        <v>0</v>
      </c>
      <c r="L652" s="724">
        <v>105.95130378245642</v>
      </c>
    </row>
    <row r="653" spans="1:12">
      <c r="A653" s="722" t="s">
        <v>154</v>
      </c>
      <c r="B653" s="722">
        <v>812</v>
      </c>
      <c r="C653" s="723">
        <v>4</v>
      </c>
      <c r="D653" s="723">
        <v>0</v>
      </c>
      <c r="E653" s="723">
        <v>0</v>
      </c>
      <c r="F653" s="723">
        <v>0</v>
      </c>
      <c r="G653" s="723">
        <v>4</v>
      </c>
      <c r="H653" s="724">
        <v>423.80521512982568</v>
      </c>
      <c r="I653" s="724">
        <v>0</v>
      </c>
      <c r="J653" s="724">
        <v>0</v>
      </c>
      <c r="K653" s="724">
        <v>0</v>
      </c>
      <c r="L653" s="724">
        <v>423.80521512982568</v>
      </c>
    </row>
    <row r="654" spans="1:12">
      <c r="A654" s="722" t="s">
        <v>155</v>
      </c>
      <c r="B654" s="722">
        <v>100</v>
      </c>
      <c r="C654" s="723">
        <v>3</v>
      </c>
      <c r="D654" s="723">
        <v>3</v>
      </c>
      <c r="E654" s="723">
        <v>0</v>
      </c>
      <c r="F654" s="723">
        <v>0</v>
      </c>
      <c r="G654" s="723">
        <v>6</v>
      </c>
      <c r="H654" s="724">
        <v>3362.2414436334889</v>
      </c>
      <c r="I654" s="724">
        <v>3362.2414436334889</v>
      </c>
      <c r="J654" s="724">
        <v>0</v>
      </c>
      <c r="K654" s="724">
        <v>0</v>
      </c>
      <c r="L654" s="724">
        <v>6724.4828872669777</v>
      </c>
    </row>
    <row r="655" spans="1:12">
      <c r="A655" s="722" t="s">
        <v>155</v>
      </c>
      <c r="B655" s="722">
        <v>101</v>
      </c>
      <c r="C655" s="723">
        <v>3</v>
      </c>
      <c r="D655" s="723">
        <v>1</v>
      </c>
      <c r="E655" s="723">
        <v>0</v>
      </c>
      <c r="F655" s="723">
        <v>0</v>
      </c>
      <c r="G655" s="723">
        <v>4</v>
      </c>
      <c r="H655" s="724">
        <v>3362.2414436334884</v>
      </c>
      <c r="I655" s="724">
        <v>1120.7471478778295</v>
      </c>
      <c r="J655" s="724">
        <v>0</v>
      </c>
      <c r="K655" s="724">
        <v>0</v>
      </c>
      <c r="L655" s="724">
        <v>4482.9885915113182</v>
      </c>
    </row>
    <row r="656" spans="1:12">
      <c r="A656" s="722" t="s">
        <v>155</v>
      </c>
      <c r="B656" s="722">
        <v>103</v>
      </c>
      <c r="C656" s="723">
        <v>2</v>
      </c>
      <c r="D656" s="723">
        <v>0</v>
      </c>
      <c r="E656" s="723">
        <v>0</v>
      </c>
      <c r="F656" s="723">
        <v>0</v>
      </c>
      <c r="G656" s="723">
        <v>2</v>
      </c>
      <c r="H656" s="724">
        <v>2241.4942957556591</v>
      </c>
      <c r="I656" s="724">
        <v>0</v>
      </c>
      <c r="J656" s="724">
        <v>0</v>
      </c>
      <c r="K656" s="724">
        <v>0</v>
      </c>
      <c r="L656" s="724">
        <v>2241.4942957556591</v>
      </c>
    </row>
    <row r="657" spans="1:12">
      <c r="A657" s="722" t="s">
        <v>155</v>
      </c>
      <c r="B657" s="722">
        <v>107</v>
      </c>
      <c r="C657" s="723">
        <v>1</v>
      </c>
      <c r="D657" s="723">
        <v>1</v>
      </c>
      <c r="E657" s="723">
        <v>0</v>
      </c>
      <c r="F657" s="723">
        <v>0</v>
      </c>
      <c r="G657" s="723">
        <v>2</v>
      </c>
      <c r="H657" s="724">
        <v>1120.7471478778295</v>
      </c>
      <c r="I657" s="724">
        <v>1120.7471478778295</v>
      </c>
      <c r="J657" s="724">
        <v>0</v>
      </c>
      <c r="K657" s="724">
        <v>0</v>
      </c>
      <c r="L657" s="724">
        <v>2241.4942957556591</v>
      </c>
    </row>
    <row r="658" spans="1:12">
      <c r="A658" s="722" t="s">
        <v>155</v>
      </c>
      <c r="B658" s="722">
        <v>110</v>
      </c>
      <c r="C658" s="723">
        <v>0</v>
      </c>
      <c r="D658" s="723">
        <v>10</v>
      </c>
      <c r="E658" s="723">
        <v>0</v>
      </c>
      <c r="F658" s="723">
        <v>0</v>
      </c>
      <c r="G658" s="723">
        <v>10</v>
      </c>
      <c r="H658" s="724">
        <v>0</v>
      </c>
      <c r="I658" s="724">
        <v>11207.471478778294</v>
      </c>
      <c r="J658" s="724">
        <v>0</v>
      </c>
      <c r="K658" s="724">
        <v>0</v>
      </c>
      <c r="L658" s="724">
        <v>11207.471478778294</v>
      </c>
    </row>
    <row r="659" spans="1:12">
      <c r="A659" s="722" t="s">
        <v>155</v>
      </c>
      <c r="B659" s="722">
        <v>120</v>
      </c>
      <c r="C659" s="723">
        <v>1</v>
      </c>
      <c r="D659" s="723">
        <v>3</v>
      </c>
      <c r="E659" s="723">
        <v>0</v>
      </c>
      <c r="F659" s="723">
        <v>0</v>
      </c>
      <c r="G659" s="723">
        <v>4</v>
      </c>
      <c r="H659" s="724">
        <v>1120.7471478778295</v>
      </c>
      <c r="I659" s="724">
        <v>3362.2414436334884</v>
      </c>
      <c r="J659" s="724">
        <v>0</v>
      </c>
      <c r="K659" s="724">
        <v>0</v>
      </c>
      <c r="L659" s="724">
        <v>4482.9885915113182</v>
      </c>
    </row>
    <row r="660" spans="1:12">
      <c r="A660" s="722" t="s">
        <v>155</v>
      </c>
      <c r="B660" s="722">
        <v>130</v>
      </c>
      <c r="C660" s="723">
        <v>0</v>
      </c>
      <c r="D660" s="723">
        <v>1</v>
      </c>
      <c r="E660" s="723">
        <v>0</v>
      </c>
      <c r="F660" s="723">
        <v>0</v>
      </c>
      <c r="G660" s="723">
        <v>1</v>
      </c>
      <c r="H660" s="724">
        <v>0</v>
      </c>
      <c r="I660" s="724">
        <v>1120.7471478778295</v>
      </c>
      <c r="J660" s="724">
        <v>0</v>
      </c>
      <c r="K660" s="724">
        <v>0</v>
      </c>
      <c r="L660" s="724">
        <v>1120.7471478778295</v>
      </c>
    </row>
    <row r="661" spans="1:12">
      <c r="A661" s="722" t="s">
        <v>155</v>
      </c>
      <c r="B661" s="722">
        <v>160</v>
      </c>
      <c r="C661" s="723">
        <v>9</v>
      </c>
      <c r="D661" s="723">
        <v>0</v>
      </c>
      <c r="E661" s="723">
        <v>0</v>
      </c>
      <c r="F661" s="723">
        <v>0</v>
      </c>
      <c r="G661" s="723">
        <v>9</v>
      </c>
      <c r="H661" s="724">
        <v>10086.724330900466</v>
      </c>
      <c r="I661" s="724">
        <v>0</v>
      </c>
      <c r="J661" s="724">
        <v>0</v>
      </c>
      <c r="K661" s="724">
        <v>0</v>
      </c>
      <c r="L661" s="724">
        <v>10086.724330900466</v>
      </c>
    </row>
    <row r="662" spans="1:12">
      <c r="A662" s="722" t="s">
        <v>155</v>
      </c>
      <c r="B662" s="722">
        <v>170</v>
      </c>
      <c r="C662" s="723">
        <v>10</v>
      </c>
      <c r="D662" s="723">
        <v>2</v>
      </c>
      <c r="E662" s="723">
        <v>0</v>
      </c>
      <c r="F662" s="723">
        <v>0</v>
      </c>
      <c r="G662" s="723">
        <v>12</v>
      </c>
      <c r="H662" s="724">
        <v>11207.471478778296</v>
      </c>
      <c r="I662" s="724">
        <v>2241.4942957556591</v>
      </c>
      <c r="J662" s="724">
        <v>0</v>
      </c>
      <c r="K662" s="724">
        <v>0</v>
      </c>
      <c r="L662" s="724">
        <v>13448.965774533955</v>
      </c>
    </row>
    <row r="663" spans="1:12">
      <c r="A663" s="722" t="s">
        <v>155</v>
      </c>
      <c r="B663" s="722">
        <v>172</v>
      </c>
      <c r="C663" s="723">
        <v>11</v>
      </c>
      <c r="D663" s="723">
        <v>0</v>
      </c>
      <c r="E663" s="723">
        <v>0</v>
      </c>
      <c r="F663" s="723">
        <v>0</v>
      </c>
      <c r="G663" s="723">
        <v>11</v>
      </c>
      <c r="H663" s="724">
        <v>12328.218626656126</v>
      </c>
      <c r="I663" s="724">
        <v>0</v>
      </c>
      <c r="J663" s="724">
        <v>0</v>
      </c>
      <c r="K663" s="724">
        <v>0</v>
      </c>
      <c r="L663" s="724">
        <v>12328.218626656126</v>
      </c>
    </row>
    <row r="664" spans="1:12">
      <c r="A664" s="722" t="s">
        <v>155</v>
      </c>
      <c r="B664" s="722">
        <v>173</v>
      </c>
      <c r="C664" s="723">
        <v>3</v>
      </c>
      <c r="D664" s="723">
        <v>0</v>
      </c>
      <c r="E664" s="723">
        <v>0</v>
      </c>
      <c r="F664" s="723">
        <v>0</v>
      </c>
      <c r="G664" s="723">
        <v>3</v>
      </c>
      <c r="H664" s="724">
        <v>3362.2414436334889</v>
      </c>
      <c r="I664" s="724">
        <v>0</v>
      </c>
      <c r="J664" s="724">
        <v>0</v>
      </c>
      <c r="K664" s="724">
        <v>0</v>
      </c>
      <c r="L664" s="724">
        <v>3362.2414436334889</v>
      </c>
    </row>
    <row r="665" spans="1:12">
      <c r="A665" s="722" t="s">
        <v>155</v>
      </c>
      <c r="B665" s="722">
        <v>221</v>
      </c>
      <c r="C665" s="723">
        <v>5</v>
      </c>
      <c r="D665" s="723">
        <v>0</v>
      </c>
      <c r="E665" s="723">
        <v>0</v>
      </c>
      <c r="F665" s="723">
        <v>0</v>
      </c>
      <c r="G665" s="723">
        <v>5</v>
      </c>
      <c r="H665" s="724">
        <v>5603.7357393891471</v>
      </c>
      <c r="I665" s="724">
        <v>0</v>
      </c>
      <c r="J665" s="724">
        <v>0</v>
      </c>
      <c r="K665" s="724">
        <v>0</v>
      </c>
      <c r="L665" s="724">
        <v>5603.7357393891471</v>
      </c>
    </row>
    <row r="666" spans="1:12">
      <c r="A666" s="722" t="s">
        <v>155</v>
      </c>
      <c r="B666" s="722">
        <v>300</v>
      </c>
      <c r="C666" s="723">
        <v>99</v>
      </c>
      <c r="D666" s="723">
        <v>58</v>
      </c>
      <c r="E666" s="723">
        <v>0</v>
      </c>
      <c r="F666" s="723">
        <v>0</v>
      </c>
      <c r="G666" s="723">
        <v>157</v>
      </c>
      <c r="H666" s="724">
        <v>110953.96763990514</v>
      </c>
      <c r="I666" s="724">
        <v>65003.334576914123</v>
      </c>
      <c r="J666" s="724">
        <v>0</v>
      </c>
      <c r="K666" s="724">
        <v>0</v>
      </c>
      <c r="L666" s="724">
        <v>175957.30221681925</v>
      </c>
    </row>
    <row r="667" spans="1:12">
      <c r="A667" s="722" t="s">
        <v>155</v>
      </c>
      <c r="B667" s="722">
        <v>301</v>
      </c>
      <c r="C667" s="723">
        <v>2</v>
      </c>
      <c r="D667" s="723">
        <v>1</v>
      </c>
      <c r="E667" s="723">
        <v>0</v>
      </c>
      <c r="F667" s="723">
        <v>0</v>
      </c>
      <c r="G667" s="723">
        <v>3</v>
      </c>
      <c r="H667" s="724">
        <v>2241.4942957556591</v>
      </c>
      <c r="I667" s="724">
        <v>1120.7471478778295</v>
      </c>
      <c r="J667" s="724">
        <v>0</v>
      </c>
      <c r="K667" s="724">
        <v>0</v>
      </c>
      <c r="L667" s="724">
        <v>3362.2414436334889</v>
      </c>
    </row>
    <row r="668" spans="1:12">
      <c r="A668" s="722" t="s">
        <v>155</v>
      </c>
      <c r="B668" s="722">
        <v>302</v>
      </c>
      <c r="C668" s="723">
        <v>1</v>
      </c>
      <c r="D668" s="723">
        <v>1</v>
      </c>
      <c r="E668" s="723">
        <v>0</v>
      </c>
      <c r="F668" s="723">
        <v>0</v>
      </c>
      <c r="G668" s="723">
        <v>2</v>
      </c>
      <c r="H668" s="724">
        <v>1120.7471478778295</v>
      </c>
      <c r="I668" s="724">
        <v>1120.7471478778295</v>
      </c>
      <c r="J668" s="724">
        <v>0</v>
      </c>
      <c r="K668" s="724">
        <v>0</v>
      </c>
      <c r="L668" s="724">
        <v>2241.4942957556591</v>
      </c>
    </row>
    <row r="669" spans="1:12">
      <c r="A669" s="722" t="s">
        <v>155</v>
      </c>
      <c r="B669" s="722">
        <v>303</v>
      </c>
      <c r="C669" s="723">
        <v>35</v>
      </c>
      <c r="D669" s="723">
        <v>2</v>
      </c>
      <c r="E669" s="723">
        <v>0</v>
      </c>
      <c r="F669" s="723">
        <v>0</v>
      </c>
      <c r="G669" s="723">
        <v>37</v>
      </c>
      <c r="H669" s="724">
        <v>39226.15017572404</v>
      </c>
      <c r="I669" s="724">
        <v>2241.4942957556591</v>
      </c>
      <c r="J669" s="724">
        <v>0</v>
      </c>
      <c r="K669" s="724">
        <v>0</v>
      </c>
      <c r="L669" s="724">
        <v>41467.644471479696</v>
      </c>
    </row>
    <row r="670" spans="1:12">
      <c r="A670" s="722" t="s">
        <v>155</v>
      </c>
      <c r="B670" s="722">
        <v>306</v>
      </c>
      <c r="C670" s="723">
        <v>2</v>
      </c>
      <c r="D670" s="723">
        <v>0</v>
      </c>
      <c r="E670" s="723">
        <v>0</v>
      </c>
      <c r="F670" s="723">
        <v>0</v>
      </c>
      <c r="G670" s="723">
        <v>2</v>
      </c>
      <c r="H670" s="724">
        <v>2241.4942957556591</v>
      </c>
      <c r="I670" s="724">
        <v>0</v>
      </c>
      <c r="J670" s="724">
        <v>0</v>
      </c>
      <c r="K670" s="724">
        <v>0</v>
      </c>
      <c r="L670" s="724">
        <v>2241.4942957556591</v>
      </c>
    </row>
    <row r="671" spans="1:12">
      <c r="A671" s="722" t="s">
        <v>155</v>
      </c>
      <c r="B671" s="722">
        <v>307</v>
      </c>
      <c r="C671" s="723">
        <v>0</v>
      </c>
      <c r="D671" s="723">
        <v>1</v>
      </c>
      <c r="E671" s="723">
        <v>0</v>
      </c>
      <c r="F671" s="723">
        <v>0</v>
      </c>
      <c r="G671" s="723">
        <v>1</v>
      </c>
      <c r="H671" s="724">
        <v>0</v>
      </c>
      <c r="I671" s="724">
        <v>1120.7471478778295</v>
      </c>
      <c r="J671" s="724">
        <v>0</v>
      </c>
      <c r="K671" s="724">
        <v>0</v>
      </c>
      <c r="L671" s="724">
        <v>1120.7471478778295</v>
      </c>
    </row>
    <row r="672" spans="1:12">
      <c r="A672" s="722" t="s">
        <v>155</v>
      </c>
      <c r="B672" s="722">
        <v>317</v>
      </c>
      <c r="C672" s="723">
        <v>1</v>
      </c>
      <c r="D672" s="723">
        <v>0</v>
      </c>
      <c r="E672" s="723">
        <v>0</v>
      </c>
      <c r="F672" s="723">
        <v>0</v>
      </c>
      <c r="G672" s="723">
        <v>1</v>
      </c>
      <c r="H672" s="724">
        <v>1120.7471478778295</v>
      </c>
      <c r="I672" s="724">
        <v>0</v>
      </c>
      <c r="J672" s="724">
        <v>0</v>
      </c>
      <c r="K672" s="724">
        <v>0</v>
      </c>
      <c r="L672" s="724">
        <v>1120.7471478778295</v>
      </c>
    </row>
    <row r="673" spans="1:12">
      <c r="A673" s="722" t="s">
        <v>155</v>
      </c>
      <c r="B673" s="722">
        <v>320</v>
      </c>
      <c r="C673" s="723">
        <v>1</v>
      </c>
      <c r="D673" s="723">
        <v>0</v>
      </c>
      <c r="E673" s="723">
        <v>0</v>
      </c>
      <c r="F673" s="723">
        <v>0</v>
      </c>
      <c r="G673" s="723">
        <v>1</v>
      </c>
      <c r="H673" s="724">
        <v>1120.7471478778295</v>
      </c>
      <c r="I673" s="724">
        <v>0</v>
      </c>
      <c r="J673" s="724">
        <v>0</v>
      </c>
      <c r="K673" s="724">
        <v>0</v>
      </c>
      <c r="L673" s="724">
        <v>1120.7471478778295</v>
      </c>
    </row>
    <row r="674" spans="1:12">
      <c r="A674" s="722" t="s">
        <v>155</v>
      </c>
      <c r="B674" s="722">
        <v>329</v>
      </c>
      <c r="C674" s="723">
        <v>0</v>
      </c>
      <c r="D674" s="723">
        <v>1</v>
      </c>
      <c r="E674" s="723">
        <v>0</v>
      </c>
      <c r="F674" s="723">
        <v>0</v>
      </c>
      <c r="G674" s="723">
        <v>1</v>
      </c>
      <c r="H674" s="724">
        <v>0</v>
      </c>
      <c r="I674" s="724">
        <v>1120.7471478778295</v>
      </c>
      <c r="J674" s="724">
        <v>0</v>
      </c>
      <c r="K674" s="724">
        <v>0</v>
      </c>
      <c r="L674" s="724">
        <v>1120.7471478778295</v>
      </c>
    </row>
    <row r="675" spans="1:12">
      <c r="A675" s="722" t="s">
        <v>155</v>
      </c>
      <c r="B675" s="722">
        <v>330</v>
      </c>
      <c r="C675" s="723">
        <v>1</v>
      </c>
      <c r="D675" s="723">
        <v>1</v>
      </c>
      <c r="E675" s="723">
        <v>0</v>
      </c>
      <c r="F675" s="723">
        <v>0</v>
      </c>
      <c r="G675" s="723">
        <v>2</v>
      </c>
      <c r="H675" s="724">
        <v>1120.7471478778295</v>
      </c>
      <c r="I675" s="724">
        <v>1120.7471478778295</v>
      </c>
      <c r="J675" s="724">
        <v>0</v>
      </c>
      <c r="K675" s="724">
        <v>0</v>
      </c>
      <c r="L675" s="724">
        <v>2241.4942957556591</v>
      </c>
    </row>
    <row r="676" spans="1:12">
      <c r="A676" s="722" t="s">
        <v>155</v>
      </c>
      <c r="B676" s="722">
        <v>340</v>
      </c>
      <c r="C676" s="723">
        <v>195</v>
      </c>
      <c r="D676" s="723">
        <v>202</v>
      </c>
      <c r="E676" s="723">
        <v>0</v>
      </c>
      <c r="F676" s="723">
        <v>0</v>
      </c>
      <c r="G676" s="723">
        <v>397</v>
      </c>
      <c r="H676" s="724">
        <v>218545.69383617677</v>
      </c>
      <c r="I676" s="724">
        <v>226390.92387132155</v>
      </c>
      <c r="J676" s="724">
        <v>0</v>
      </c>
      <c r="K676" s="724">
        <v>0</v>
      </c>
      <c r="L676" s="724">
        <v>444936.61770749831</v>
      </c>
    </row>
    <row r="677" spans="1:12">
      <c r="A677" s="722" t="s">
        <v>155</v>
      </c>
      <c r="B677" s="722">
        <v>341</v>
      </c>
      <c r="C677" s="723">
        <v>6</v>
      </c>
      <c r="D677" s="723">
        <v>1</v>
      </c>
      <c r="E677" s="723">
        <v>0</v>
      </c>
      <c r="F677" s="723">
        <v>0</v>
      </c>
      <c r="G677" s="723">
        <v>7</v>
      </c>
      <c r="H677" s="724">
        <v>6724.4828872669777</v>
      </c>
      <c r="I677" s="724">
        <v>1120.7471478778295</v>
      </c>
      <c r="J677" s="724">
        <v>0</v>
      </c>
      <c r="K677" s="724">
        <v>0</v>
      </c>
      <c r="L677" s="724">
        <v>7845.2300351448075</v>
      </c>
    </row>
    <row r="678" spans="1:12">
      <c r="A678" s="722" t="s">
        <v>155</v>
      </c>
      <c r="B678" s="722">
        <v>370</v>
      </c>
      <c r="C678" s="723">
        <v>10</v>
      </c>
      <c r="D678" s="723">
        <v>2</v>
      </c>
      <c r="E678" s="723">
        <v>0</v>
      </c>
      <c r="F678" s="723">
        <v>0</v>
      </c>
      <c r="G678" s="723">
        <v>12</v>
      </c>
      <c r="H678" s="724">
        <v>11207.471478778296</v>
      </c>
      <c r="I678" s="724">
        <v>2241.4942957556591</v>
      </c>
      <c r="J678" s="724">
        <v>0</v>
      </c>
      <c r="K678" s="724">
        <v>0</v>
      </c>
      <c r="L678" s="724">
        <v>13448.965774533955</v>
      </c>
    </row>
    <row r="679" spans="1:12">
      <c r="A679" s="722" t="s">
        <v>155</v>
      </c>
      <c r="B679" s="722">
        <v>410</v>
      </c>
      <c r="C679" s="723">
        <v>4</v>
      </c>
      <c r="D679" s="723">
        <v>1</v>
      </c>
      <c r="E679" s="723">
        <v>0</v>
      </c>
      <c r="F679" s="723">
        <v>0</v>
      </c>
      <c r="G679" s="723">
        <v>5</v>
      </c>
      <c r="H679" s="724">
        <v>4482.9885915113173</v>
      </c>
      <c r="I679" s="724">
        <v>1120.7471478778293</v>
      </c>
      <c r="J679" s="724">
        <v>0</v>
      </c>
      <c r="K679" s="724">
        <v>0</v>
      </c>
      <c r="L679" s="724">
        <v>5603.7357393891471</v>
      </c>
    </row>
    <row r="680" spans="1:12">
      <c r="A680" s="722" t="s">
        <v>155</v>
      </c>
      <c r="B680" s="722">
        <v>420</v>
      </c>
      <c r="C680" s="723">
        <v>0</v>
      </c>
      <c r="D680" s="723">
        <v>1</v>
      </c>
      <c r="E680" s="723">
        <v>0</v>
      </c>
      <c r="F680" s="723">
        <v>0</v>
      </c>
      <c r="G680" s="723">
        <v>1</v>
      </c>
      <c r="H680" s="724">
        <v>0</v>
      </c>
      <c r="I680" s="724">
        <v>1120.7471478778295</v>
      </c>
      <c r="J680" s="724">
        <v>0</v>
      </c>
      <c r="K680" s="724">
        <v>0</v>
      </c>
      <c r="L680" s="724">
        <v>1120.7471478778295</v>
      </c>
    </row>
    <row r="681" spans="1:12">
      <c r="A681" s="722" t="s">
        <v>155</v>
      </c>
      <c r="B681" s="722">
        <v>422</v>
      </c>
      <c r="C681" s="723">
        <v>2</v>
      </c>
      <c r="D681" s="723">
        <v>0</v>
      </c>
      <c r="E681" s="723">
        <v>0</v>
      </c>
      <c r="F681" s="723">
        <v>0</v>
      </c>
      <c r="G681" s="723">
        <v>2</v>
      </c>
      <c r="H681" s="724">
        <v>2241.4942957556591</v>
      </c>
      <c r="I681" s="724">
        <v>0</v>
      </c>
      <c r="J681" s="724">
        <v>0</v>
      </c>
      <c r="K681" s="724">
        <v>0</v>
      </c>
      <c r="L681" s="724">
        <v>2241.4942957556591</v>
      </c>
    </row>
    <row r="682" spans="1:12">
      <c r="A682" s="722" t="s">
        <v>155</v>
      </c>
      <c r="B682" s="722">
        <v>430</v>
      </c>
      <c r="C682" s="723">
        <v>2</v>
      </c>
      <c r="D682" s="723">
        <v>4</v>
      </c>
      <c r="E682" s="723">
        <v>0</v>
      </c>
      <c r="F682" s="723">
        <v>0</v>
      </c>
      <c r="G682" s="723">
        <v>6</v>
      </c>
      <c r="H682" s="724">
        <v>2241.4942957556591</v>
      </c>
      <c r="I682" s="724">
        <v>4482.9885915113182</v>
      </c>
      <c r="J682" s="724">
        <v>0</v>
      </c>
      <c r="K682" s="724">
        <v>0</v>
      </c>
      <c r="L682" s="724">
        <v>6724.4828872669777</v>
      </c>
    </row>
    <row r="683" spans="1:12">
      <c r="A683" s="722" t="s">
        <v>155</v>
      </c>
      <c r="B683" s="722">
        <v>502</v>
      </c>
      <c r="C683" s="723">
        <v>1</v>
      </c>
      <c r="D683" s="723">
        <v>1</v>
      </c>
      <c r="E683" s="723">
        <v>0</v>
      </c>
      <c r="F683" s="723">
        <v>0</v>
      </c>
      <c r="G683" s="723">
        <v>2</v>
      </c>
      <c r="H683" s="724">
        <v>1120.7471478778295</v>
      </c>
      <c r="I683" s="724">
        <v>1120.7471478778295</v>
      </c>
      <c r="J683" s="724">
        <v>0</v>
      </c>
      <c r="K683" s="724">
        <v>0</v>
      </c>
      <c r="L683" s="724">
        <v>2241.4942957556591</v>
      </c>
    </row>
    <row r="684" spans="1:12">
      <c r="A684" s="722" t="s">
        <v>155</v>
      </c>
      <c r="B684" s="722">
        <v>503</v>
      </c>
      <c r="C684" s="723">
        <v>1</v>
      </c>
      <c r="D684" s="723">
        <v>0</v>
      </c>
      <c r="E684" s="723">
        <v>0</v>
      </c>
      <c r="F684" s="723">
        <v>0</v>
      </c>
      <c r="G684" s="723">
        <v>1</v>
      </c>
      <c r="H684" s="724">
        <v>1120.7471478778295</v>
      </c>
      <c r="I684" s="724">
        <v>0</v>
      </c>
      <c r="J684" s="724">
        <v>0</v>
      </c>
      <c r="K684" s="724">
        <v>0</v>
      </c>
      <c r="L684" s="724">
        <v>1120.7471478778295</v>
      </c>
    </row>
    <row r="685" spans="1:12">
      <c r="A685" s="722" t="s">
        <v>155</v>
      </c>
      <c r="B685" s="722">
        <v>800</v>
      </c>
      <c r="C685" s="723">
        <v>1</v>
      </c>
      <c r="D685" s="723">
        <v>0</v>
      </c>
      <c r="E685" s="723">
        <v>0</v>
      </c>
      <c r="F685" s="723">
        <v>0</v>
      </c>
      <c r="G685" s="723">
        <v>1</v>
      </c>
      <c r="H685" s="724">
        <v>1120.7471478778295</v>
      </c>
      <c r="I685" s="724">
        <v>0</v>
      </c>
      <c r="J685" s="724">
        <v>0</v>
      </c>
      <c r="K685" s="724">
        <v>0</v>
      </c>
      <c r="L685" s="724">
        <v>1120.7471478778295</v>
      </c>
    </row>
    <row r="686" spans="1:12">
      <c r="A686" s="722" t="s">
        <v>155</v>
      </c>
      <c r="B686" s="722">
        <v>811</v>
      </c>
      <c r="C686" s="723">
        <v>14</v>
      </c>
      <c r="D686" s="723">
        <v>19</v>
      </c>
      <c r="E686" s="723">
        <v>0</v>
      </c>
      <c r="F686" s="723">
        <v>0</v>
      </c>
      <c r="G686" s="723">
        <v>33</v>
      </c>
      <c r="H686" s="724">
        <v>15690.460070289615</v>
      </c>
      <c r="I686" s="724">
        <v>21294.195809678764</v>
      </c>
      <c r="J686" s="724">
        <v>0</v>
      </c>
      <c r="K686" s="724">
        <v>0</v>
      </c>
      <c r="L686" s="724">
        <v>36984.655879968377</v>
      </c>
    </row>
    <row r="687" spans="1:12">
      <c r="A687" s="722" t="s">
        <v>155</v>
      </c>
      <c r="B687" s="722">
        <v>812</v>
      </c>
      <c r="C687" s="723">
        <v>9</v>
      </c>
      <c r="D687" s="723">
        <v>46</v>
      </c>
      <c r="E687" s="723">
        <v>0</v>
      </c>
      <c r="F687" s="723">
        <v>0</v>
      </c>
      <c r="G687" s="723">
        <v>55</v>
      </c>
      <c r="H687" s="724">
        <v>10086.724330900466</v>
      </c>
      <c r="I687" s="724">
        <v>51554.368802380166</v>
      </c>
      <c r="J687" s="724">
        <v>0</v>
      </c>
      <c r="K687" s="724">
        <v>0</v>
      </c>
      <c r="L687" s="724">
        <v>61641.093133280629</v>
      </c>
    </row>
    <row r="688" spans="1:12">
      <c r="A688" s="722" t="s">
        <v>156</v>
      </c>
      <c r="B688" s="722">
        <v>102</v>
      </c>
      <c r="C688" s="723">
        <v>58</v>
      </c>
      <c r="D688" s="723">
        <v>0</v>
      </c>
      <c r="E688" s="723">
        <v>0</v>
      </c>
      <c r="F688" s="723">
        <v>0</v>
      </c>
      <c r="G688" s="723">
        <v>58</v>
      </c>
      <c r="H688" s="724">
        <v>13614.469581619347</v>
      </c>
      <c r="I688" s="724">
        <v>0</v>
      </c>
      <c r="J688" s="724">
        <v>0</v>
      </c>
      <c r="K688" s="724">
        <v>0</v>
      </c>
      <c r="L688" s="724">
        <v>13614.469581619347</v>
      </c>
    </row>
    <row r="689" spans="1:12">
      <c r="A689" s="722" t="s">
        <v>156</v>
      </c>
      <c r="B689" s="722">
        <v>120</v>
      </c>
      <c r="C689" s="723">
        <v>28</v>
      </c>
      <c r="D689" s="723">
        <v>140</v>
      </c>
      <c r="E689" s="723">
        <v>0</v>
      </c>
      <c r="F689" s="723">
        <v>0</v>
      </c>
      <c r="G689" s="723">
        <v>168</v>
      </c>
      <c r="H689" s="724">
        <v>6572.5025566438226</v>
      </c>
      <c r="I689" s="724">
        <v>32862.512783219121</v>
      </c>
      <c r="J689" s="724">
        <v>0</v>
      </c>
      <c r="K689" s="724">
        <v>0</v>
      </c>
      <c r="L689" s="724">
        <v>39435.015339862941</v>
      </c>
    </row>
    <row r="690" spans="1:12">
      <c r="A690" s="722" t="s">
        <v>156</v>
      </c>
      <c r="B690" s="722">
        <v>170</v>
      </c>
      <c r="C690" s="723">
        <v>1</v>
      </c>
      <c r="D690" s="723">
        <v>0</v>
      </c>
      <c r="E690" s="723">
        <v>0</v>
      </c>
      <c r="F690" s="723">
        <v>0</v>
      </c>
      <c r="G690" s="723">
        <v>1</v>
      </c>
      <c r="H690" s="724">
        <v>234.73223416585083</v>
      </c>
      <c r="I690" s="724">
        <v>0</v>
      </c>
      <c r="J690" s="724">
        <v>0</v>
      </c>
      <c r="K690" s="724">
        <v>0</v>
      </c>
      <c r="L690" s="724">
        <v>234.73223416585083</v>
      </c>
    </row>
    <row r="691" spans="1:12">
      <c r="A691" s="722" t="s">
        <v>156</v>
      </c>
      <c r="B691" s="722">
        <v>174</v>
      </c>
      <c r="C691" s="723">
        <v>6</v>
      </c>
      <c r="D691" s="723">
        <v>0</v>
      </c>
      <c r="E691" s="723">
        <v>0</v>
      </c>
      <c r="F691" s="723">
        <v>0</v>
      </c>
      <c r="G691" s="723">
        <v>6</v>
      </c>
      <c r="H691" s="724">
        <v>1408.3934049951049</v>
      </c>
      <c r="I691" s="724">
        <v>0</v>
      </c>
      <c r="J691" s="724">
        <v>0</v>
      </c>
      <c r="K691" s="724">
        <v>0</v>
      </c>
      <c r="L691" s="724">
        <v>1408.3934049951049</v>
      </c>
    </row>
    <row r="692" spans="1:12">
      <c r="A692" s="722" t="s">
        <v>156</v>
      </c>
      <c r="B692" s="722">
        <v>300</v>
      </c>
      <c r="C692" s="723">
        <v>6</v>
      </c>
      <c r="D692" s="723">
        <v>6</v>
      </c>
      <c r="E692" s="723">
        <v>0</v>
      </c>
      <c r="F692" s="723">
        <v>0</v>
      </c>
      <c r="G692" s="723">
        <v>12</v>
      </c>
      <c r="H692" s="724">
        <v>1408.3934049951049</v>
      </c>
      <c r="I692" s="724">
        <v>1408.3934049951049</v>
      </c>
      <c r="J692" s="724">
        <v>0</v>
      </c>
      <c r="K692" s="724">
        <v>0</v>
      </c>
      <c r="L692" s="724">
        <v>2816.7868099902098</v>
      </c>
    </row>
    <row r="693" spans="1:12">
      <c r="A693" s="722" t="s">
        <v>156</v>
      </c>
      <c r="B693" s="722">
        <v>301</v>
      </c>
      <c r="C693" s="723">
        <v>5</v>
      </c>
      <c r="D693" s="723">
        <v>0</v>
      </c>
      <c r="E693" s="723">
        <v>0</v>
      </c>
      <c r="F693" s="723">
        <v>0</v>
      </c>
      <c r="G693" s="723">
        <v>5</v>
      </c>
      <c r="H693" s="724">
        <v>1173.6611708292542</v>
      </c>
      <c r="I693" s="724">
        <v>0</v>
      </c>
      <c r="J693" s="724">
        <v>0</v>
      </c>
      <c r="K693" s="724">
        <v>0</v>
      </c>
      <c r="L693" s="724">
        <v>1173.6611708292542</v>
      </c>
    </row>
    <row r="694" spans="1:12">
      <c r="A694" s="722" t="s">
        <v>156</v>
      </c>
      <c r="B694" s="722">
        <v>324</v>
      </c>
      <c r="C694" s="723">
        <v>1</v>
      </c>
      <c r="D694" s="723">
        <v>0</v>
      </c>
      <c r="E694" s="723">
        <v>0</v>
      </c>
      <c r="F694" s="723">
        <v>0</v>
      </c>
      <c r="G694" s="723">
        <v>1</v>
      </c>
      <c r="H694" s="724">
        <v>234.73223416585083</v>
      </c>
      <c r="I694" s="724">
        <v>0</v>
      </c>
      <c r="J694" s="724">
        <v>0</v>
      </c>
      <c r="K694" s="724">
        <v>0</v>
      </c>
      <c r="L694" s="724">
        <v>234.73223416585083</v>
      </c>
    </row>
    <row r="695" spans="1:12">
      <c r="A695" s="722" t="s">
        <v>156</v>
      </c>
      <c r="B695" s="722">
        <v>340</v>
      </c>
      <c r="C695" s="723">
        <v>229</v>
      </c>
      <c r="D695" s="723">
        <v>419</v>
      </c>
      <c r="E695" s="723">
        <v>0</v>
      </c>
      <c r="F695" s="723">
        <v>0</v>
      </c>
      <c r="G695" s="723">
        <v>648</v>
      </c>
      <c r="H695" s="724">
        <v>53753.681623979843</v>
      </c>
      <c r="I695" s="724">
        <v>98352.806115491505</v>
      </c>
      <c r="J695" s="724">
        <v>0</v>
      </c>
      <c r="K695" s="724">
        <v>0</v>
      </c>
      <c r="L695" s="724">
        <v>152106.48773947134</v>
      </c>
    </row>
    <row r="696" spans="1:12">
      <c r="A696" s="722" t="s">
        <v>156</v>
      </c>
      <c r="B696" s="722">
        <v>341</v>
      </c>
      <c r="C696" s="723">
        <v>1</v>
      </c>
      <c r="D696" s="723">
        <v>1</v>
      </c>
      <c r="E696" s="723">
        <v>0</v>
      </c>
      <c r="F696" s="723">
        <v>0</v>
      </c>
      <c r="G696" s="723">
        <v>2</v>
      </c>
      <c r="H696" s="724">
        <v>234.73223416585083</v>
      </c>
      <c r="I696" s="724">
        <v>234.73223416585083</v>
      </c>
      <c r="J696" s="724">
        <v>0</v>
      </c>
      <c r="K696" s="724">
        <v>0</v>
      </c>
      <c r="L696" s="724">
        <v>469.46446833170165</v>
      </c>
    </row>
    <row r="697" spans="1:12">
      <c r="A697" s="722" t="s">
        <v>156</v>
      </c>
      <c r="B697" s="722">
        <v>350</v>
      </c>
      <c r="C697" s="723">
        <v>1</v>
      </c>
      <c r="D697" s="723">
        <v>0</v>
      </c>
      <c r="E697" s="723">
        <v>0</v>
      </c>
      <c r="F697" s="723">
        <v>0</v>
      </c>
      <c r="G697" s="723">
        <v>1</v>
      </c>
      <c r="H697" s="724">
        <v>234.73223416585083</v>
      </c>
      <c r="I697" s="724">
        <v>0</v>
      </c>
      <c r="J697" s="724">
        <v>0</v>
      </c>
      <c r="K697" s="724">
        <v>0</v>
      </c>
      <c r="L697" s="724">
        <v>234.73223416585083</v>
      </c>
    </row>
    <row r="698" spans="1:12">
      <c r="A698" s="722" t="s">
        <v>156</v>
      </c>
      <c r="B698" s="722">
        <v>370</v>
      </c>
      <c r="C698" s="723">
        <v>1</v>
      </c>
      <c r="D698" s="723">
        <v>0</v>
      </c>
      <c r="E698" s="723">
        <v>0</v>
      </c>
      <c r="F698" s="723">
        <v>0</v>
      </c>
      <c r="G698" s="723">
        <v>1</v>
      </c>
      <c r="H698" s="724">
        <v>234.73223416585083</v>
      </c>
      <c r="I698" s="724">
        <v>0</v>
      </c>
      <c r="J698" s="724">
        <v>0</v>
      </c>
      <c r="K698" s="724">
        <v>0</v>
      </c>
      <c r="L698" s="724">
        <v>234.73223416585083</v>
      </c>
    </row>
    <row r="699" spans="1:12">
      <c r="A699" s="722" t="s">
        <v>156</v>
      </c>
      <c r="B699" s="722">
        <v>800</v>
      </c>
      <c r="C699" s="723">
        <v>0</v>
      </c>
      <c r="D699" s="723">
        <v>1</v>
      </c>
      <c r="E699" s="723">
        <v>0</v>
      </c>
      <c r="F699" s="723">
        <v>0</v>
      </c>
      <c r="G699" s="723">
        <v>1</v>
      </c>
      <c r="H699" s="724">
        <v>0</v>
      </c>
      <c r="I699" s="724">
        <v>234.73223416585083</v>
      </c>
      <c r="J699" s="724">
        <v>0</v>
      </c>
      <c r="K699" s="724">
        <v>0</v>
      </c>
      <c r="L699" s="724">
        <v>234.73223416585083</v>
      </c>
    </row>
    <row r="700" spans="1:12">
      <c r="A700" s="722" t="s">
        <v>156</v>
      </c>
      <c r="B700" s="722">
        <v>812</v>
      </c>
      <c r="C700" s="723">
        <v>1</v>
      </c>
      <c r="D700" s="723">
        <v>0</v>
      </c>
      <c r="E700" s="723">
        <v>0</v>
      </c>
      <c r="F700" s="723">
        <v>0</v>
      </c>
      <c r="G700" s="723">
        <v>1</v>
      </c>
      <c r="H700" s="724">
        <v>234.73223416585083</v>
      </c>
      <c r="I700" s="724">
        <v>0</v>
      </c>
      <c r="J700" s="724">
        <v>0</v>
      </c>
      <c r="K700" s="724">
        <v>0</v>
      </c>
      <c r="L700" s="724">
        <v>234.73223416585083</v>
      </c>
    </row>
    <row r="701" spans="1:12">
      <c r="A701" s="722" t="s">
        <v>157</v>
      </c>
      <c r="B701" s="722">
        <v>120</v>
      </c>
      <c r="C701" s="723">
        <v>0</v>
      </c>
      <c r="D701" s="723">
        <v>2</v>
      </c>
      <c r="E701" s="723">
        <v>0</v>
      </c>
      <c r="F701" s="723">
        <v>0</v>
      </c>
      <c r="G701" s="723">
        <v>2</v>
      </c>
      <c r="H701" s="724">
        <v>0</v>
      </c>
      <c r="I701" s="724">
        <v>207.55697678141843</v>
      </c>
      <c r="J701" s="724">
        <v>0</v>
      </c>
      <c r="K701" s="724">
        <v>0</v>
      </c>
      <c r="L701" s="724">
        <v>207.55697678141843</v>
      </c>
    </row>
    <row r="702" spans="1:12">
      <c r="A702" s="722" t="s">
        <v>157</v>
      </c>
      <c r="B702" s="722">
        <v>300</v>
      </c>
      <c r="C702" s="723">
        <v>0</v>
      </c>
      <c r="D702" s="723">
        <v>1</v>
      </c>
      <c r="E702" s="723">
        <v>0</v>
      </c>
      <c r="F702" s="723">
        <v>0</v>
      </c>
      <c r="G702" s="723">
        <v>1</v>
      </c>
      <c r="H702" s="724">
        <v>0</v>
      </c>
      <c r="I702" s="724">
        <v>103.77848839070921</v>
      </c>
      <c r="J702" s="724">
        <v>0</v>
      </c>
      <c r="K702" s="724">
        <v>0</v>
      </c>
      <c r="L702" s="724">
        <v>103.77848839070921</v>
      </c>
    </row>
    <row r="703" spans="1:12">
      <c r="A703" s="722" t="s">
        <v>157</v>
      </c>
      <c r="B703" s="722">
        <v>340</v>
      </c>
      <c r="C703" s="723">
        <v>1</v>
      </c>
      <c r="D703" s="723">
        <v>0</v>
      </c>
      <c r="E703" s="723">
        <v>0</v>
      </c>
      <c r="F703" s="723">
        <v>0</v>
      </c>
      <c r="G703" s="723">
        <v>1</v>
      </c>
      <c r="H703" s="724">
        <v>103.77848839070921</v>
      </c>
      <c r="I703" s="724">
        <v>0</v>
      </c>
      <c r="J703" s="724">
        <v>0</v>
      </c>
      <c r="K703" s="724">
        <v>0</v>
      </c>
      <c r="L703" s="724">
        <v>103.77848839070921</v>
      </c>
    </row>
    <row r="704" spans="1:12">
      <c r="A704" s="722" t="s">
        <v>157</v>
      </c>
      <c r="B704" s="722">
        <v>420</v>
      </c>
      <c r="C704" s="723">
        <v>1</v>
      </c>
      <c r="D704" s="723">
        <v>0</v>
      </c>
      <c r="E704" s="723">
        <v>0</v>
      </c>
      <c r="F704" s="723">
        <v>0</v>
      </c>
      <c r="G704" s="723">
        <v>1</v>
      </c>
      <c r="H704" s="724">
        <v>103.77848839070921</v>
      </c>
      <c r="I704" s="724">
        <v>0</v>
      </c>
      <c r="J704" s="724">
        <v>0</v>
      </c>
      <c r="K704" s="724">
        <v>0</v>
      </c>
      <c r="L704" s="724">
        <v>103.77848839070921</v>
      </c>
    </row>
    <row r="705" spans="1:12">
      <c r="A705" s="722" t="s">
        <v>158</v>
      </c>
      <c r="B705" s="722">
        <v>120</v>
      </c>
      <c r="C705" s="723">
        <v>0</v>
      </c>
      <c r="D705" s="723">
        <v>2</v>
      </c>
      <c r="E705" s="723">
        <v>0</v>
      </c>
      <c r="F705" s="723">
        <v>0</v>
      </c>
      <c r="G705" s="723">
        <v>2</v>
      </c>
      <c r="H705" s="724">
        <v>0</v>
      </c>
      <c r="I705" s="724">
        <v>19.787363156982401</v>
      </c>
      <c r="J705" s="724">
        <v>0</v>
      </c>
      <c r="K705" s="724">
        <v>0</v>
      </c>
      <c r="L705" s="724">
        <v>19.787363156982401</v>
      </c>
    </row>
    <row r="706" spans="1:12">
      <c r="A706" s="722" t="s">
        <v>158</v>
      </c>
      <c r="B706" s="722">
        <v>215</v>
      </c>
      <c r="C706" s="723">
        <v>10</v>
      </c>
      <c r="D706" s="723">
        <v>0</v>
      </c>
      <c r="E706" s="723">
        <v>0</v>
      </c>
      <c r="F706" s="723">
        <v>0</v>
      </c>
      <c r="G706" s="723">
        <v>10</v>
      </c>
      <c r="H706" s="724">
        <v>98.936815784912014</v>
      </c>
      <c r="I706" s="724">
        <v>0</v>
      </c>
      <c r="J706" s="724">
        <v>0</v>
      </c>
      <c r="K706" s="724">
        <v>0</v>
      </c>
      <c r="L706" s="724">
        <v>98.936815784912014</v>
      </c>
    </row>
    <row r="707" spans="1:12">
      <c r="A707" s="722" t="s">
        <v>158</v>
      </c>
      <c r="B707" s="722">
        <v>301</v>
      </c>
      <c r="C707" s="723">
        <v>1</v>
      </c>
      <c r="D707" s="723">
        <v>0</v>
      </c>
      <c r="E707" s="723">
        <v>0</v>
      </c>
      <c r="F707" s="723">
        <v>0</v>
      </c>
      <c r="G707" s="723">
        <v>1</v>
      </c>
      <c r="H707" s="724">
        <v>9.8936815784912007</v>
      </c>
      <c r="I707" s="724">
        <v>0</v>
      </c>
      <c r="J707" s="724">
        <v>0</v>
      </c>
      <c r="K707" s="724">
        <v>0</v>
      </c>
      <c r="L707" s="724">
        <v>9.8936815784912007</v>
      </c>
    </row>
    <row r="708" spans="1:12">
      <c r="A708" s="722" t="s">
        <v>158</v>
      </c>
      <c r="B708" s="722">
        <v>340</v>
      </c>
      <c r="C708" s="723">
        <v>54</v>
      </c>
      <c r="D708" s="723">
        <v>80</v>
      </c>
      <c r="E708" s="723">
        <v>0</v>
      </c>
      <c r="F708" s="723">
        <v>0</v>
      </c>
      <c r="G708" s="723">
        <v>134</v>
      </c>
      <c r="H708" s="724">
        <v>534.25880523852481</v>
      </c>
      <c r="I708" s="724">
        <v>791.494526279296</v>
      </c>
      <c r="J708" s="724">
        <v>0</v>
      </c>
      <c r="K708" s="724">
        <v>0</v>
      </c>
      <c r="L708" s="724">
        <v>1325.7533315178209</v>
      </c>
    </row>
    <row r="709" spans="1:12">
      <c r="A709" s="722" t="s">
        <v>158</v>
      </c>
      <c r="B709" s="722">
        <v>370</v>
      </c>
      <c r="C709" s="723">
        <v>1</v>
      </c>
      <c r="D709" s="723">
        <v>0</v>
      </c>
      <c r="E709" s="723">
        <v>0</v>
      </c>
      <c r="F709" s="723">
        <v>0</v>
      </c>
      <c r="G709" s="723">
        <v>1</v>
      </c>
      <c r="H709" s="724">
        <v>9.8936815784912007</v>
      </c>
      <c r="I709" s="724">
        <v>0</v>
      </c>
      <c r="J709" s="724">
        <v>0</v>
      </c>
      <c r="K709" s="724">
        <v>0</v>
      </c>
      <c r="L709" s="724">
        <v>9.8936815784912007</v>
      </c>
    </row>
    <row r="710" spans="1:12">
      <c r="A710" s="722" t="s">
        <v>158</v>
      </c>
      <c r="B710" s="722">
        <v>420</v>
      </c>
      <c r="C710" s="723">
        <v>2</v>
      </c>
      <c r="D710" s="723">
        <v>0</v>
      </c>
      <c r="E710" s="723">
        <v>0</v>
      </c>
      <c r="F710" s="723">
        <v>0</v>
      </c>
      <c r="G710" s="723">
        <v>2</v>
      </c>
      <c r="H710" s="724">
        <v>19.787363156982401</v>
      </c>
      <c r="I710" s="724">
        <v>0</v>
      </c>
      <c r="J710" s="724">
        <v>0</v>
      </c>
      <c r="K710" s="724">
        <v>0</v>
      </c>
      <c r="L710" s="724">
        <v>19.787363156982401</v>
      </c>
    </row>
    <row r="711" spans="1:12">
      <c r="A711" s="722" t="s">
        <v>159</v>
      </c>
      <c r="B711" s="722">
        <v>102</v>
      </c>
      <c r="C711" s="723">
        <v>1</v>
      </c>
      <c r="D711" s="723">
        <v>0</v>
      </c>
      <c r="E711" s="723">
        <v>0</v>
      </c>
      <c r="F711" s="723">
        <v>0</v>
      </c>
      <c r="G711" s="723">
        <v>1</v>
      </c>
      <c r="H711" s="724">
        <v>70.752482994052102</v>
      </c>
      <c r="I711" s="724">
        <v>0</v>
      </c>
      <c r="J711" s="724">
        <v>0</v>
      </c>
      <c r="K711" s="724">
        <v>0</v>
      </c>
      <c r="L711" s="724">
        <v>70.752482994052102</v>
      </c>
    </row>
    <row r="712" spans="1:12">
      <c r="A712" s="722" t="s">
        <v>159</v>
      </c>
      <c r="B712" s="722">
        <v>120</v>
      </c>
      <c r="C712" s="723">
        <v>15</v>
      </c>
      <c r="D712" s="723">
        <v>7</v>
      </c>
      <c r="E712" s="723">
        <v>0</v>
      </c>
      <c r="F712" s="723">
        <v>0</v>
      </c>
      <c r="G712" s="723">
        <v>22</v>
      </c>
      <c r="H712" s="724">
        <v>1061.2872449107815</v>
      </c>
      <c r="I712" s="724">
        <v>495.26738095836475</v>
      </c>
      <c r="J712" s="724">
        <v>0</v>
      </c>
      <c r="K712" s="724">
        <v>0</v>
      </c>
      <c r="L712" s="724">
        <v>1556.5546258691463</v>
      </c>
    </row>
    <row r="713" spans="1:12">
      <c r="A713" s="722" t="s">
        <v>159</v>
      </c>
      <c r="B713" s="722">
        <v>171</v>
      </c>
      <c r="C713" s="723">
        <v>1</v>
      </c>
      <c r="D713" s="723">
        <v>0</v>
      </c>
      <c r="E713" s="723">
        <v>0</v>
      </c>
      <c r="F713" s="723">
        <v>0</v>
      </c>
      <c r="G713" s="723">
        <v>1</v>
      </c>
      <c r="H713" s="724">
        <v>70.752482994052102</v>
      </c>
      <c r="I713" s="724">
        <v>0</v>
      </c>
      <c r="J713" s="724">
        <v>0</v>
      </c>
      <c r="K713" s="724">
        <v>0</v>
      </c>
      <c r="L713" s="724">
        <v>70.752482994052102</v>
      </c>
    </row>
    <row r="714" spans="1:12">
      <c r="A714" s="722" t="s">
        <v>159</v>
      </c>
      <c r="B714" s="722">
        <v>174</v>
      </c>
      <c r="C714" s="723">
        <v>1</v>
      </c>
      <c r="D714" s="723">
        <v>0</v>
      </c>
      <c r="E714" s="723">
        <v>0</v>
      </c>
      <c r="F714" s="723">
        <v>0</v>
      </c>
      <c r="G714" s="723">
        <v>1</v>
      </c>
      <c r="H714" s="724">
        <v>70.752482994052102</v>
      </c>
      <c r="I714" s="724">
        <v>0</v>
      </c>
      <c r="J714" s="724">
        <v>0</v>
      </c>
      <c r="K714" s="724">
        <v>0</v>
      </c>
      <c r="L714" s="724">
        <v>70.752482994052102</v>
      </c>
    </row>
    <row r="715" spans="1:12">
      <c r="A715" s="722" t="s">
        <v>159</v>
      </c>
      <c r="B715" s="722">
        <v>215</v>
      </c>
      <c r="C715" s="723">
        <v>1</v>
      </c>
      <c r="D715" s="723">
        <v>0</v>
      </c>
      <c r="E715" s="723">
        <v>0</v>
      </c>
      <c r="F715" s="723">
        <v>0</v>
      </c>
      <c r="G715" s="723">
        <v>1</v>
      </c>
      <c r="H715" s="724">
        <v>70.752482994052102</v>
      </c>
      <c r="I715" s="724">
        <v>0</v>
      </c>
      <c r="J715" s="724">
        <v>0</v>
      </c>
      <c r="K715" s="724">
        <v>0</v>
      </c>
      <c r="L715" s="724">
        <v>70.752482994052102</v>
      </c>
    </row>
    <row r="716" spans="1:12">
      <c r="A716" s="722" t="s">
        <v>159</v>
      </c>
      <c r="B716" s="722">
        <v>219</v>
      </c>
      <c r="C716" s="723">
        <v>1</v>
      </c>
      <c r="D716" s="723">
        <v>0</v>
      </c>
      <c r="E716" s="723">
        <v>0</v>
      </c>
      <c r="F716" s="723">
        <v>0</v>
      </c>
      <c r="G716" s="723">
        <v>1</v>
      </c>
      <c r="H716" s="724">
        <v>70.752482994052102</v>
      </c>
      <c r="I716" s="724">
        <v>0</v>
      </c>
      <c r="J716" s="724">
        <v>0</v>
      </c>
      <c r="K716" s="724">
        <v>0</v>
      </c>
      <c r="L716" s="724">
        <v>70.752482994052102</v>
      </c>
    </row>
    <row r="717" spans="1:12">
      <c r="A717" s="722" t="s">
        <v>159</v>
      </c>
      <c r="B717" s="722">
        <v>253</v>
      </c>
      <c r="C717" s="723">
        <v>6</v>
      </c>
      <c r="D717" s="723">
        <v>0</v>
      </c>
      <c r="E717" s="723">
        <v>0</v>
      </c>
      <c r="F717" s="723">
        <v>0</v>
      </c>
      <c r="G717" s="723">
        <v>6</v>
      </c>
      <c r="H717" s="724">
        <v>424.51489796431252</v>
      </c>
      <c r="I717" s="724">
        <v>0</v>
      </c>
      <c r="J717" s="724">
        <v>0</v>
      </c>
      <c r="K717" s="724">
        <v>0</v>
      </c>
      <c r="L717" s="724">
        <v>424.51489796431258</v>
      </c>
    </row>
    <row r="718" spans="1:12">
      <c r="A718" s="722" t="s">
        <v>159</v>
      </c>
      <c r="B718" s="722">
        <v>258</v>
      </c>
      <c r="C718" s="723">
        <v>141</v>
      </c>
      <c r="D718" s="723">
        <v>5</v>
      </c>
      <c r="E718" s="723">
        <v>0</v>
      </c>
      <c r="F718" s="723">
        <v>0</v>
      </c>
      <c r="G718" s="723">
        <v>146</v>
      </c>
      <c r="H718" s="724">
        <v>9976.1001021613465</v>
      </c>
      <c r="I718" s="724">
        <v>353.76241497026052</v>
      </c>
      <c r="J718" s="724">
        <v>0</v>
      </c>
      <c r="K718" s="724">
        <v>0</v>
      </c>
      <c r="L718" s="724">
        <v>10329.862517131607</v>
      </c>
    </row>
    <row r="719" spans="1:12">
      <c r="A719" s="722" t="s">
        <v>159</v>
      </c>
      <c r="B719" s="722">
        <v>260</v>
      </c>
      <c r="C719" s="723">
        <v>3</v>
      </c>
      <c r="D719" s="723">
        <v>0</v>
      </c>
      <c r="E719" s="723">
        <v>0</v>
      </c>
      <c r="F719" s="723">
        <v>0</v>
      </c>
      <c r="G719" s="723">
        <v>3</v>
      </c>
      <c r="H719" s="724">
        <v>212.25744898215626</v>
      </c>
      <c r="I719" s="724">
        <v>0</v>
      </c>
      <c r="J719" s="724">
        <v>0</v>
      </c>
      <c r="K719" s="724">
        <v>0</v>
      </c>
      <c r="L719" s="724">
        <v>212.25744898215629</v>
      </c>
    </row>
    <row r="720" spans="1:12">
      <c r="A720" s="722" t="s">
        <v>159</v>
      </c>
      <c r="B720" s="722">
        <v>264</v>
      </c>
      <c r="C720" s="723">
        <v>89</v>
      </c>
      <c r="D720" s="723">
        <v>2</v>
      </c>
      <c r="E720" s="723">
        <v>0</v>
      </c>
      <c r="F720" s="723">
        <v>0</v>
      </c>
      <c r="G720" s="723">
        <v>91</v>
      </c>
      <c r="H720" s="724">
        <v>6296.9709864706374</v>
      </c>
      <c r="I720" s="724">
        <v>141.5049659881042</v>
      </c>
      <c r="J720" s="724">
        <v>0</v>
      </c>
      <c r="K720" s="724">
        <v>0</v>
      </c>
      <c r="L720" s="724">
        <v>6438.4759524587416</v>
      </c>
    </row>
    <row r="721" spans="1:12">
      <c r="A721" s="722" t="s">
        <v>159</v>
      </c>
      <c r="B721" s="722">
        <v>300</v>
      </c>
      <c r="C721" s="723">
        <v>13</v>
      </c>
      <c r="D721" s="723">
        <v>4</v>
      </c>
      <c r="E721" s="723">
        <v>0</v>
      </c>
      <c r="F721" s="723">
        <v>0</v>
      </c>
      <c r="G721" s="723">
        <v>17</v>
      </c>
      <c r="H721" s="724">
        <v>919.78227892267728</v>
      </c>
      <c r="I721" s="724">
        <v>283.00993197620841</v>
      </c>
      <c r="J721" s="724">
        <v>0</v>
      </c>
      <c r="K721" s="724">
        <v>0</v>
      </c>
      <c r="L721" s="724">
        <v>1202.7922108988857</v>
      </c>
    </row>
    <row r="722" spans="1:12">
      <c r="A722" s="722" t="s">
        <v>159</v>
      </c>
      <c r="B722" s="722">
        <v>301</v>
      </c>
      <c r="C722" s="723">
        <v>1</v>
      </c>
      <c r="D722" s="723">
        <v>0</v>
      </c>
      <c r="E722" s="723">
        <v>0</v>
      </c>
      <c r="F722" s="723">
        <v>0</v>
      </c>
      <c r="G722" s="723">
        <v>1</v>
      </c>
      <c r="H722" s="724">
        <v>70.752482994052102</v>
      </c>
      <c r="I722" s="724">
        <v>0</v>
      </c>
      <c r="J722" s="724">
        <v>0</v>
      </c>
      <c r="K722" s="724">
        <v>0</v>
      </c>
      <c r="L722" s="724">
        <v>70.752482994052102</v>
      </c>
    </row>
    <row r="723" spans="1:12">
      <c r="A723" s="722" t="s">
        <v>159</v>
      </c>
      <c r="B723" s="722">
        <v>303</v>
      </c>
      <c r="C723" s="723">
        <v>145</v>
      </c>
      <c r="D723" s="723">
        <v>0</v>
      </c>
      <c r="E723" s="723">
        <v>0</v>
      </c>
      <c r="F723" s="723">
        <v>0</v>
      </c>
      <c r="G723" s="723">
        <v>145</v>
      </c>
      <c r="H723" s="724">
        <v>10259.110034137555</v>
      </c>
      <c r="I723" s="724">
        <v>0</v>
      </c>
      <c r="J723" s="724">
        <v>0</v>
      </c>
      <c r="K723" s="724">
        <v>0</v>
      </c>
      <c r="L723" s="724">
        <v>10259.110034137555</v>
      </c>
    </row>
    <row r="724" spans="1:12">
      <c r="A724" s="722" t="s">
        <v>159</v>
      </c>
      <c r="B724" s="722">
        <v>308</v>
      </c>
      <c r="C724" s="723">
        <v>17</v>
      </c>
      <c r="D724" s="723">
        <v>0</v>
      </c>
      <c r="E724" s="723">
        <v>0</v>
      </c>
      <c r="F724" s="723">
        <v>0</v>
      </c>
      <c r="G724" s="723">
        <v>17</v>
      </c>
      <c r="H724" s="724">
        <v>1202.7922108988857</v>
      </c>
      <c r="I724" s="724">
        <v>0</v>
      </c>
      <c r="J724" s="724">
        <v>0</v>
      </c>
      <c r="K724" s="724">
        <v>0</v>
      </c>
      <c r="L724" s="724">
        <v>1202.7922108988857</v>
      </c>
    </row>
    <row r="725" spans="1:12">
      <c r="A725" s="722" t="s">
        <v>159</v>
      </c>
      <c r="B725" s="722">
        <v>314</v>
      </c>
      <c r="C725" s="723">
        <v>131</v>
      </c>
      <c r="D725" s="723">
        <v>141</v>
      </c>
      <c r="E725" s="723">
        <v>0</v>
      </c>
      <c r="F725" s="723">
        <v>0</v>
      </c>
      <c r="G725" s="723">
        <v>272</v>
      </c>
      <c r="H725" s="724">
        <v>9268.5752722208254</v>
      </c>
      <c r="I725" s="724">
        <v>9976.1001021613465</v>
      </c>
      <c r="J725" s="724">
        <v>0</v>
      </c>
      <c r="K725" s="724">
        <v>0</v>
      </c>
      <c r="L725" s="724">
        <v>19244.675374382172</v>
      </c>
    </row>
    <row r="726" spans="1:12">
      <c r="A726" s="722" t="s">
        <v>159</v>
      </c>
      <c r="B726" s="722">
        <v>340</v>
      </c>
      <c r="C726" s="723">
        <v>594</v>
      </c>
      <c r="D726" s="723">
        <v>509</v>
      </c>
      <c r="E726" s="723">
        <v>0</v>
      </c>
      <c r="F726" s="723">
        <v>0</v>
      </c>
      <c r="G726" s="723">
        <v>1103</v>
      </c>
      <c r="H726" s="724">
        <v>42026.97489846695</v>
      </c>
      <c r="I726" s="724">
        <v>36013.01384397252</v>
      </c>
      <c r="J726" s="724">
        <v>0</v>
      </c>
      <c r="K726" s="724">
        <v>0</v>
      </c>
      <c r="L726" s="724">
        <v>78039.988742439469</v>
      </c>
    </row>
    <row r="727" spans="1:12">
      <c r="A727" s="722" t="s">
        <v>159</v>
      </c>
      <c r="B727" s="722">
        <v>341</v>
      </c>
      <c r="C727" s="723">
        <v>21</v>
      </c>
      <c r="D727" s="723">
        <v>2</v>
      </c>
      <c r="E727" s="723">
        <v>0</v>
      </c>
      <c r="F727" s="723">
        <v>0</v>
      </c>
      <c r="G727" s="723">
        <v>23</v>
      </c>
      <c r="H727" s="724">
        <v>1485.8021428750942</v>
      </c>
      <c r="I727" s="724">
        <v>141.5049659881042</v>
      </c>
      <c r="J727" s="724">
        <v>0</v>
      </c>
      <c r="K727" s="724">
        <v>0</v>
      </c>
      <c r="L727" s="724">
        <v>1627.3071088631984</v>
      </c>
    </row>
    <row r="728" spans="1:12">
      <c r="A728" s="722" t="s">
        <v>159</v>
      </c>
      <c r="B728" s="722">
        <v>342</v>
      </c>
      <c r="C728" s="723">
        <v>96</v>
      </c>
      <c r="D728" s="723">
        <v>8</v>
      </c>
      <c r="E728" s="723">
        <v>0</v>
      </c>
      <c r="F728" s="723">
        <v>0</v>
      </c>
      <c r="G728" s="723">
        <v>104</v>
      </c>
      <c r="H728" s="724">
        <v>6792.2383674290022</v>
      </c>
      <c r="I728" s="724">
        <v>566.01986395241681</v>
      </c>
      <c r="J728" s="724">
        <v>0</v>
      </c>
      <c r="K728" s="724">
        <v>0</v>
      </c>
      <c r="L728" s="724">
        <v>7358.2582313814191</v>
      </c>
    </row>
    <row r="729" spans="1:12">
      <c r="A729" s="722" t="s">
        <v>159</v>
      </c>
      <c r="B729" s="722">
        <v>343</v>
      </c>
      <c r="C729" s="723">
        <v>153</v>
      </c>
      <c r="D729" s="723">
        <v>1</v>
      </c>
      <c r="E729" s="723">
        <v>0</v>
      </c>
      <c r="F729" s="723">
        <v>0</v>
      </c>
      <c r="G729" s="723">
        <v>154</v>
      </c>
      <c r="H729" s="724">
        <v>10825.129898089972</v>
      </c>
      <c r="I729" s="724">
        <v>70.752482994052102</v>
      </c>
      <c r="J729" s="724">
        <v>0</v>
      </c>
      <c r="K729" s="724">
        <v>0</v>
      </c>
      <c r="L729" s="724">
        <v>10895.882381084024</v>
      </c>
    </row>
    <row r="730" spans="1:12">
      <c r="A730" s="722" t="s">
        <v>159</v>
      </c>
      <c r="B730" s="722">
        <v>350</v>
      </c>
      <c r="C730" s="723">
        <v>1</v>
      </c>
      <c r="D730" s="723">
        <v>0</v>
      </c>
      <c r="E730" s="723">
        <v>0</v>
      </c>
      <c r="F730" s="723">
        <v>0</v>
      </c>
      <c r="G730" s="723">
        <v>1</v>
      </c>
      <c r="H730" s="724">
        <v>70.752482994052102</v>
      </c>
      <c r="I730" s="724">
        <v>0</v>
      </c>
      <c r="J730" s="724">
        <v>0</v>
      </c>
      <c r="K730" s="724">
        <v>0</v>
      </c>
      <c r="L730" s="724">
        <v>70.752482994052102</v>
      </c>
    </row>
    <row r="731" spans="1:12">
      <c r="A731" s="722" t="s">
        <v>159</v>
      </c>
      <c r="B731" s="722">
        <v>361</v>
      </c>
      <c r="C731" s="723">
        <v>7</v>
      </c>
      <c r="D731" s="723">
        <v>0</v>
      </c>
      <c r="E731" s="723">
        <v>0</v>
      </c>
      <c r="F731" s="723">
        <v>0</v>
      </c>
      <c r="G731" s="723">
        <v>7</v>
      </c>
      <c r="H731" s="724">
        <v>495.2673809583647</v>
      </c>
      <c r="I731" s="724">
        <v>0</v>
      </c>
      <c r="J731" s="724">
        <v>0</v>
      </c>
      <c r="K731" s="724">
        <v>0</v>
      </c>
      <c r="L731" s="724">
        <v>495.2673809583647</v>
      </c>
    </row>
    <row r="732" spans="1:12">
      <c r="A732" s="722" t="s">
        <v>159</v>
      </c>
      <c r="B732" s="722">
        <v>370</v>
      </c>
      <c r="C732" s="723">
        <v>7</v>
      </c>
      <c r="D732" s="723">
        <v>0</v>
      </c>
      <c r="E732" s="723">
        <v>0</v>
      </c>
      <c r="F732" s="723">
        <v>0</v>
      </c>
      <c r="G732" s="723">
        <v>7</v>
      </c>
      <c r="H732" s="724">
        <v>495.2673809583647</v>
      </c>
      <c r="I732" s="724">
        <v>0</v>
      </c>
      <c r="J732" s="724">
        <v>0</v>
      </c>
      <c r="K732" s="724">
        <v>0</v>
      </c>
      <c r="L732" s="724">
        <v>495.2673809583647</v>
      </c>
    </row>
    <row r="733" spans="1:12">
      <c r="A733" s="722" t="s">
        <v>159</v>
      </c>
      <c r="B733" s="722">
        <v>410</v>
      </c>
      <c r="C733" s="723">
        <v>3</v>
      </c>
      <c r="D733" s="723">
        <v>0</v>
      </c>
      <c r="E733" s="723">
        <v>0</v>
      </c>
      <c r="F733" s="723">
        <v>0</v>
      </c>
      <c r="G733" s="723">
        <v>3</v>
      </c>
      <c r="H733" s="724">
        <v>212.25744898215626</v>
      </c>
      <c r="I733" s="724">
        <v>0</v>
      </c>
      <c r="J733" s="724">
        <v>0</v>
      </c>
      <c r="K733" s="724">
        <v>0</v>
      </c>
      <c r="L733" s="724">
        <v>212.25744898215629</v>
      </c>
    </row>
    <row r="734" spans="1:12">
      <c r="A734" s="722" t="s">
        <v>159</v>
      </c>
      <c r="B734" s="722">
        <v>420</v>
      </c>
      <c r="C734" s="723">
        <v>264</v>
      </c>
      <c r="D734" s="723">
        <v>176</v>
      </c>
      <c r="E734" s="723">
        <v>0</v>
      </c>
      <c r="F734" s="723">
        <v>0</v>
      </c>
      <c r="G734" s="723">
        <v>440</v>
      </c>
      <c r="H734" s="724">
        <v>18678.655510429755</v>
      </c>
      <c r="I734" s="724">
        <v>12452.437006953171</v>
      </c>
      <c r="J734" s="724">
        <v>0</v>
      </c>
      <c r="K734" s="724">
        <v>0</v>
      </c>
      <c r="L734" s="724">
        <v>31131.092517382927</v>
      </c>
    </row>
    <row r="735" spans="1:12">
      <c r="A735" s="722" t="s">
        <v>159</v>
      </c>
      <c r="B735" s="722">
        <v>421</v>
      </c>
      <c r="C735" s="723">
        <v>0</v>
      </c>
      <c r="D735" s="723">
        <v>1</v>
      </c>
      <c r="E735" s="723">
        <v>0</v>
      </c>
      <c r="F735" s="723">
        <v>0</v>
      </c>
      <c r="G735" s="723">
        <v>1</v>
      </c>
      <c r="H735" s="724">
        <v>0</v>
      </c>
      <c r="I735" s="724">
        <v>70.752482994052102</v>
      </c>
      <c r="J735" s="724">
        <v>0</v>
      </c>
      <c r="K735" s="724">
        <v>0</v>
      </c>
      <c r="L735" s="724">
        <v>70.752482994052102</v>
      </c>
    </row>
    <row r="736" spans="1:12">
      <c r="A736" s="722" t="s">
        <v>159</v>
      </c>
      <c r="B736" s="722">
        <v>650</v>
      </c>
      <c r="C736" s="723">
        <v>3</v>
      </c>
      <c r="D736" s="723">
        <v>0</v>
      </c>
      <c r="E736" s="723">
        <v>0</v>
      </c>
      <c r="F736" s="723">
        <v>0</v>
      </c>
      <c r="G736" s="723">
        <v>3</v>
      </c>
      <c r="H736" s="724">
        <v>212.25744898215626</v>
      </c>
      <c r="I736" s="724">
        <v>0</v>
      </c>
      <c r="J736" s="724">
        <v>0</v>
      </c>
      <c r="K736" s="724">
        <v>0</v>
      </c>
      <c r="L736" s="724">
        <v>212.25744898215629</v>
      </c>
    </row>
    <row r="737" spans="1:12">
      <c r="A737" s="722" t="s">
        <v>159</v>
      </c>
      <c r="B737" s="722">
        <v>800</v>
      </c>
      <c r="C737" s="723">
        <v>1</v>
      </c>
      <c r="D737" s="723">
        <v>0</v>
      </c>
      <c r="E737" s="723">
        <v>0</v>
      </c>
      <c r="F737" s="723">
        <v>0</v>
      </c>
      <c r="G737" s="723">
        <v>1</v>
      </c>
      <c r="H737" s="724">
        <v>70.752482994052102</v>
      </c>
      <c r="I737" s="724">
        <v>0</v>
      </c>
      <c r="J737" s="724">
        <v>0</v>
      </c>
      <c r="K737" s="724">
        <v>0</v>
      </c>
      <c r="L737" s="724">
        <v>70.752482994052102</v>
      </c>
    </row>
    <row r="738" spans="1:12">
      <c r="A738" s="722" t="s">
        <v>164</v>
      </c>
      <c r="B738" s="722">
        <v>120</v>
      </c>
      <c r="C738" s="723">
        <v>2</v>
      </c>
      <c r="D738" s="723">
        <v>1</v>
      </c>
      <c r="E738" s="723">
        <v>0</v>
      </c>
      <c r="F738" s="723">
        <v>0</v>
      </c>
      <c r="G738" s="723">
        <v>3</v>
      </c>
      <c r="H738" s="724">
        <v>181.63976487009302</v>
      </c>
      <c r="I738" s="724">
        <v>90.819882435046509</v>
      </c>
      <c r="J738" s="724">
        <v>0</v>
      </c>
      <c r="K738" s="724">
        <v>0</v>
      </c>
      <c r="L738" s="724">
        <v>272.45964730513953</v>
      </c>
    </row>
    <row r="739" spans="1:12">
      <c r="A739" s="722" t="s">
        <v>164</v>
      </c>
      <c r="B739" s="722">
        <v>214</v>
      </c>
      <c r="C739" s="723">
        <v>3</v>
      </c>
      <c r="D739" s="723">
        <v>0</v>
      </c>
      <c r="E739" s="723">
        <v>0</v>
      </c>
      <c r="F739" s="723">
        <v>0</v>
      </c>
      <c r="G739" s="723">
        <v>3</v>
      </c>
      <c r="H739" s="724">
        <v>272.45964730513953</v>
      </c>
      <c r="I739" s="724">
        <v>0</v>
      </c>
      <c r="J739" s="724">
        <v>0</v>
      </c>
      <c r="K739" s="724">
        <v>0</v>
      </c>
      <c r="L739" s="724">
        <v>272.45964730513953</v>
      </c>
    </row>
    <row r="740" spans="1:12">
      <c r="A740" s="722" t="s">
        <v>164</v>
      </c>
      <c r="B740" s="722">
        <v>216</v>
      </c>
      <c r="C740" s="723">
        <v>1</v>
      </c>
      <c r="D740" s="723">
        <v>0</v>
      </c>
      <c r="E740" s="723">
        <v>0</v>
      </c>
      <c r="F740" s="723">
        <v>0</v>
      </c>
      <c r="G740" s="723">
        <v>1</v>
      </c>
      <c r="H740" s="724">
        <v>90.819882435046509</v>
      </c>
      <c r="I740" s="724">
        <v>0</v>
      </c>
      <c r="J740" s="724">
        <v>0</v>
      </c>
      <c r="K740" s="724">
        <v>0</v>
      </c>
      <c r="L740" s="724">
        <v>90.819882435046509</v>
      </c>
    </row>
    <row r="741" spans="1:12">
      <c r="A741" s="722" t="s">
        <v>164</v>
      </c>
      <c r="B741" s="722">
        <v>258</v>
      </c>
      <c r="C741" s="723">
        <v>5</v>
      </c>
      <c r="D741" s="723">
        <v>17</v>
      </c>
      <c r="E741" s="723">
        <v>0</v>
      </c>
      <c r="F741" s="723">
        <v>0</v>
      </c>
      <c r="G741" s="723">
        <v>22</v>
      </c>
      <c r="H741" s="724">
        <v>454.0994121752326</v>
      </c>
      <c r="I741" s="724">
        <v>1543.9380013957909</v>
      </c>
      <c r="J741" s="724">
        <v>0</v>
      </c>
      <c r="K741" s="724">
        <v>0</v>
      </c>
      <c r="L741" s="724">
        <v>1998.0374135710233</v>
      </c>
    </row>
    <row r="742" spans="1:12">
      <c r="A742" s="722" t="s">
        <v>164</v>
      </c>
      <c r="B742" s="722">
        <v>300</v>
      </c>
      <c r="C742" s="723">
        <v>1</v>
      </c>
      <c r="D742" s="723">
        <v>2</v>
      </c>
      <c r="E742" s="723">
        <v>0</v>
      </c>
      <c r="F742" s="723">
        <v>0</v>
      </c>
      <c r="G742" s="723">
        <v>3</v>
      </c>
      <c r="H742" s="724">
        <v>90.819882435046509</v>
      </c>
      <c r="I742" s="724">
        <v>181.63976487009302</v>
      </c>
      <c r="J742" s="724">
        <v>0</v>
      </c>
      <c r="K742" s="724">
        <v>0</v>
      </c>
      <c r="L742" s="724">
        <v>272.45964730513953</v>
      </c>
    </row>
    <row r="743" spans="1:12">
      <c r="A743" s="722" t="s">
        <v>164</v>
      </c>
      <c r="B743" s="722">
        <v>320</v>
      </c>
      <c r="C743" s="723">
        <v>1</v>
      </c>
      <c r="D743" s="723">
        <v>5</v>
      </c>
      <c r="E743" s="723">
        <v>0</v>
      </c>
      <c r="F743" s="723">
        <v>0</v>
      </c>
      <c r="G743" s="723">
        <v>6</v>
      </c>
      <c r="H743" s="724">
        <v>90.819882435046509</v>
      </c>
      <c r="I743" s="724">
        <v>454.09941217523254</v>
      </c>
      <c r="J743" s="724">
        <v>0</v>
      </c>
      <c r="K743" s="724">
        <v>0</v>
      </c>
      <c r="L743" s="724">
        <v>544.91929461027905</v>
      </c>
    </row>
    <row r="744" spans="1:12">
      <c r="A744" s="722" t="s">
        <v>164</v>
      </c>
      <c r="B744" s="722">
        <v>340</v>
      </c>
      <c r="C744" s="723">
        <v>21</v>
      </c>
      <c r="D744" s="723">
        <v>33</v>
      </c>
      <c r="E744" s="723">
        <v>0</v>
      </c>
      <c r="F744" s="723">
        <v>0</v>
      </c>
      <c r="G744" s="723">
        <v>54</v>
      </c>
      <c r="H744" s="724">
        <v>1907.2175311359767</v>
      </c>
      <c r="I744" s="724">
        <v>2997.0561203565353</v>
      </c>
      <c r="J744" s="724">
        <v>0</v>
      </c>
      <c r="K744" s="724">
        <v>0</v>
      </c>
      <c r="L744" s="724">
        <v>4904.2736514925118</v>
      </c>
    </row>
    <row r="745" spans="1:12">
      <c r="A745" s="722" t="s">
        <v>164</v>
      </c>
      <c r="B745" s="722">
        <v>341</v>
      </c>
      <c r="C745" s="723">
        <v>1</v>
      </c>
      <c r="D745" s="723">
        <v>0</v>
      </c>
      <c r="E745" s="723">
        <v>0</v>
      </c>
      <c r="F745" s="723">
        <v>0</v>
      </c>
      <c r="G745" s="723">
        <v>1</v>
      </c>
      <c r="H745" s="724">
        <v>90.819882435046509</v>
      </c>
      <c r="I745" s="724">
        <v>0</v>
      </c>
      <c r="J745" s="724">
        <v>0</v>
      </c>
      <c r="K745" s="724">
        <v>0</v>
      </c>
      <c r="L745" s="724">
        <v>90.819882435046509</v>
      </c>
    </row>
    <row r="746" spans="1:12">
      <c r="A746" s="722" t="s">
        <v>164</v>
      </c>
      <c r="B746" s="722">
        <v>400</v>
      </c>
      <c r="C746" s="723">
        <v>1</v>
      </c>
      <c r="D746" s="723">
        <v>0</v>
      </c>
      <c r="E746" s="723">
        <v>0</v>
      </c>
      <c r="F746" s="723">
        <v>0</v>
      </c>
      <c r="G746" s="723">
        <v>1</v>
      </c>
      <c r="H746" s="724">
        <v>90.819882435046509</v>
      </c>
      <c r="I746" s="724">
        <v>0</v>
      </c>
      <c r="J746" s="724">
        <v>0</v>
      </c>
      <c r="K746" s="724">
        <v>0</v>
      </c>
      <c r="L746" s="724">
        <v>90.819882435046509</v>
      </c>
    </row>
    <row r="747" spans="1:12">
      <c r="A747" s="722" t="s">
        <v>164</v>
      </c>
      <c r="B747" s="722">
        <v>420</v>
      </c>
      <c r="C747" s="723">
        <v>310</v>
      </c>
      <c r="D747" s="723">
        <v>12</v>
      </c>
      <c r="E747" s="723">
        <v>0</v>
      </c>
      <c r="F747" s="723">
        <v>0</v>
      </c>
      <c r="G747" s="723">
        <v>322</v>
      </c>
      <c r="H747" s="724">
        <v>28154.163554864419</v>
      </c>
      <c r="I747" s="724">
        <v>1089.8385892205583</v>
      </c>
      <c r="J747" s="724">
        <v>0</v>
      </c>
      <c r="K747" s="724">
        <v>0</v>
      </c>
      <c r="L747" s="724">
        <v>29244.002144084981</v>
      </c>
    </row>
    <row r="748" spans="1:12">
      <c r="A748" s="722" t="s">
        <v>164</v>
      </c>
      <c r="B748" s="722">
        <v>650</v>
      </c>
      <c r="C748" s="723">
        <v>0</v>
      </c>
      <c r="D748" s="723">
        <v>1</v>
      </c>
      <c r="E748" s="723">
        <v>0</v>
      </c>
      <c r="F748" s="723">
        <v>0</v>
      </c>
      <c r="G748" s="723">
        <v>1</v>
      </c>
      <c r="H748" s="724">
        <v>0</v>
      </c>
      <c r="I748" s="724">
        <v>90.819882435046509</v>
      </c>
      <c r="J748" s="724">
        <v>0</v>
      </c>
      <c r="K748" s="724">
        <v>0</v>
      </c>
      <c r="L748" s="724">
        <v>90.819882435046509</v>
      </c>
    </row>
    <row r="749" spans="1:12">
      <c r="A749" s="722" t="s">
        <v>165</v>
      </c>
      <c r="B749" s="722">
        <v>100</v>
      </c>
      <c r="C749" s="723">
        <v>1</v>
      </c>
      <c r="D749" s="723">
        <v>1</v>
      </c>
      <c r="E749" s="723">
        <v>0</v>
      </c>
      <c r="F749" s="723">
        <v>0</v>
      </c>
      <c r="G749" s="723">
        <v>2</v>
      </c>
      <c r="H749" s="724">
        <v>129.99349928099443</v>
      </c>
      <c r="I749" s="724">
        <v>129.99349928099443</v>
      </c>
      <c r="J749" s="724">
        <v>0</v>
      </c>
      <c r="K749" s="724">
        <v>0</v>
      </c>
      <c r="L749" s="724">
        <v>259.98699856198886</v>
      </c>
    </row>
    <row r="750" spans="1:12">
      <c r="A750" s="722" t="s">
        <v>165</v>
      </c>
      <c r="B750" s="722">
        <v>101</v>
      </c>
      <c r="C750" s="723">
        <v>1</v>
      </c>
      <c r="D750" s="723">
        <v>0</v>
      </c>
      <c r="E750" s="723">
        <v>0</v>
      </c>
      <c r="F750" s="723">
        <v>0</v>
      </c>
      <c r="G750" s="723">
        <v>1</v>
      </c>
      <c r="H750" s="724">
        <v>129.99349928099443</v>
      </c>
      <c r="I750" s="724">
        <v>0</v>
      </c>
      <c r="J750" s="724">
        <v>0</v>
      </c>
      <c r="K750" s="724">
        <v>0</v>
      </c>
      <c r="L750" s="724">
        <v>129.99349928099443</v>
      </c>
    </row>
    <row r="751" spans="1:12">
      <c r="A751" s="722" t="s">
        <v>165</v>
      </c>
      <c r="B751" s="722">
        <v>102</v>
      </c>
      <c r="C751" s="723">
        <v>2</v>
      </c>
      <c r="D751" s="723">
        <v>0</v>
      </c>
      <c r="E751" s="723">
        <v>0</v>
      </c>
      <c r="F751" s="723">
        <v>0</v>
      </c>
      <c r="G751" s="723">
        <v>2</v>
      </c>
      <c r="H751" s="724">
        <v>259.98699856198886</v>
      </c>
      <c r="I751" s="724">
        <v>0</v>
      </c>
      <c r="J751" s="724">
        <v>0</v>
      </c>
      <c r="K751" s="724">
        <v>0</v>
      </c>
      <c r="L751" s="724">
        <v>259.98699856198886</v>
      </c>
    </row>
    <row r="752" spans="1:12">
      <c r="A752" s="722" t="s">
        <v>165</v>
      </c>
      <c r="B752" s="722">
        <v>103</v>
      </c>
      <c r="C752" s="723">
        <v>1</v>
      </c>
      <c r="D752" s="723">
        <v>0</v>
      </c>
      <c r="E752" s="723">
        <v>0</v>
      </c>
      <c r="F752" s="723">
        <v>0</v>
      </c>
      <c r="G752" s="723">
        <v>1</v>
      </c>
      <c r="H752" s="724">
        <v>129.99349928099443</v>
      </c>
      <c r="I752" s="724">
        <v>0</v>
      </c>
      <c r="J752" s="724">
        <v>0</v>
      </c>
      <c r="K752" s="724">
        <v>0</v>
      </c>
      <c r="L752" s="724">
        <v>129.99349928099443</v>
      </c>
    </row>
    <row r="753" spans="1:12">
      <c r="A753" s="722" t="s">
        <v>165</v>
      </c>
      <c r="B753" s="722">
        <v>120</v>
      </c>
      <c r="C753" s="723">
        <v>0</v>
      </c>
      <c r="D753" s="723">
        <v>1</v>
      </c>
      <c r="E753" s="723">
        <v>0</v>
      </c>
      <c r="F753" s="723">
        <v>0</v>
      </c>
      <c r="G753" s="723">
        <v>1</v>
      </c>
      <c r="H753" s="724">
        <v>0</v>
      </c>
      <c r="I753" s="724">
        <v>129.99349928099443</v>
      </c>
      <c r="J753" s="724">
        <v>0</v>
      </c>
      <c r="K753" s="724">
        <v>0</v>
      </c>
      <c r="L753" s="724">
        <v>129.99349928099443</v>
      </c>
    </row>
    <row r="754" spans="1:12">
      <c r="A754" s="722" t="s">
        <v>165</v>
      </c>
      <c r="B754" s="722">
        <v>130</v>
      </c>
      <c r="C754" s="723">
        <v>3</v>
      </c>
      <c r="D754" s="723">
        <v>0</v>
      </c>
      <c r="E754" s="723">
        <v>0</v>
      </c>
      <c r="F754" s="723">
        <v>0</v>
      </c>
      <c r="G754" s="723">
        <v>3</v>
      </c>
      <c r="H754" s="724">
        <v>389.9804978429832</v>
      </c>
      <c r="I754" s="724">
        <v>0</v>
      </c>
      <c r="J754" s="724">
        <v>0</v>
      </c>
      <c r="K754" s="724">
        <v>0</v>
      </c>
      <c r="L754" s="724">
        <v>389.98049784298325</v>
      </c>
    </row>
    <row r="755" spans="1:12">
      <c r="A755" s="722" t="s">
        <v>165</v>
      </c>
      <c r="B755" s="722">
        <v>173</v>
      </c>
      <c r="C755" s="723">
        <v>2</v>
      </c>
      <c r="D755" s="723">
        <v>0</v>
      </c>
      <c r="E755" s="723">
        <v>0</v>
      </c>
      <c r="F755" s="723">
        <v>0</v>
      </c>
      <c r="G755" s="723">
        <v>2</v>
      </c>
      <c r="H755" s="724">
        <v>259.98699856198886</v>
      </c>
      <c r="I755" s="724">
        <v>0</v>
      </c>
      <c r="J755" s="724">
        <v>0</v>
      </c>
      <c r="K755" s="724">
        <v>0</v>
      </c>
      <c r="L755" s="724">
        <v>259.98699856198886</v>
      </c>
    </row>
    <row r="756" spans="1:12">
      <c r="A756" s="722" t="s">
        <v>165</v>
      </c>
      <c r="B756" s="722">
        <v>174</v>
      </c>
      <c r="C756" s="723">
        <v>1</v>
      </c>
      <c r="D756" s="723">
        <v>0</v>
      </c>
      <c r="E756" s="723">
        <v>0</v>
      </c>
      <c r="F756" s="723">
        <v>0</v>
      </c>
      <c r="G756" s="723">
        <v>1</v>
      </c>
      <c r="H756" s="724">
        <v>129.99349928099443</v>
      </c>
      <c r="I756" s="724">
        <v>0</v>
      </c>
      <c r="J756" s="724">
        <v>0</v>
      </c>
      <c r="K756" s="724">
        <v>0</v>
      </c>
      <c r="L756" s="724">
        <v>129.99349928099443</v>
      </c>
    </row>
    <row r="757" spans="1:12">
      <c r="A757" s="722" t="s">
        <v>165</v>
      </c>
      <c r="B757" s="722">
        <v>300</v>
      </c>
      <c r="C757" s="723">
        <v>114</v>
      </c>
      <c r="D757" s="723">
        <v>65</v>
      </c>
      <c r="E757" s="723">
        <v>0</v>
      </c>
      <c r="F757" s="723">
        <v>0</v>
      </c>
      <c r="G757" s="723">
        <v>179</v>
      </c>
      <c r="H757" s="724">
        <v>14819.258918033362</v>
      </c>
      <c r="I757" s="724">
        <v>8449.5774532646356</v>
      </c>
      <c r="J757" s="724">
        <v>0</v>
      </c>
      <c r="K757" s="724">
        <v>0</v>
      </c>
      <c r="L757" s="724">
        <v>23268.836371297999</v>
      </c>
    </row>
    <row r="758" spans="1:12">
      <c r="A758" s="722" t="s">
        <v>165</v>
      </c>
      <c r="B758" s="722">
        <v>301</v>
      </c>
      <c r="C758" s="723">
        <v>1</v>
      </c>
      <c r="D758" s="723">
        <v>0</v>
      </c>
      <c r="E758" s="723">
        <v>0</v>
      </c>
      <c r="F758" s="723">
        <v>0</v>
      </c>
      <c r="G758" s="723">
        <v>1</v>
      </c>
      <c r="H758" s="724">
        <v>129.99349928099443</v>
      </c>
      <c r="I758" s="724">
        <v>0</v>
      </c>
      <c r="J758" s="724">
        <v>0</v>
      </c>
      <c r="K758" s="724">
        <v>0</v>
      </c>
      <c r="L758" s="724">
        <v>129.99349928099443</v>
      </c>
    </row>
    <row r="759" spans="1:12">
      <c r="A759" s="722" t="s">
        <v>165</v>
      </c>
      <c r="B759" s="722">
        <v>303</v>
      </c>
      <c r="C759" s="723">
        <v>3</v>
      </c>
      <c r="D759" s="723">
        <v>1</v>
      </c>
      <c r="E759" s="723">
        <v>0</v>
      </c>
      <c r="F759" s="723">
        <v>0</v>
      </c>
      <c r="G759" s="723">
        <v>4</v>
      </c>
      <c r="H759" s="724">
        <v>389.98049784298325</v>
      </c>
      <c r="I759" s="724">
        <v>129.99349928099443</v>
      </c>
      <c r="J759" s="724">
        <v>0</v>
      </c>
      <c r="K759" s="724">
        <v>0</v>
      </c>
      <c r="L759" s="724">
        <v>519.97399712397771</v>
      </c>
    </row>
    <row r="760" spans="1:12">
      <c r="A760" s="722" t="s">
        <v>165</v>
      </c>
      <c r="B760" s="722">
        <v>304</v>
      </c>
      <c r="C760" s="723">
        <v>9</v>
      </c>
      <c r="D760" s="723">
        <v>91</v>
      </c>
      <c r="E760" s="723">
        <v>0</v>
      </c>
      <c r="F760" s="723">
        <v>0</v>
      </c>
      <c r="G760" s="723">
        <v>100</v>
      </c>
      <c r="H760" s="724">
        <v>1169.9414935289499</v>
      </c>
      <c r="I760" s="724">
        <v>11829.408434570492</v>
      </c>
      <c r="J760" s="724">
        <v>0</v>
      </c>
      <c r="K760" s="724">
        <v>0</v>
      </c>
      <c r="L760" s="724">
        <v>12999.349928099442</v>
      </c>
    </row>
    <row r="761" spans="1:12">
      <c r="A761" s="722" t="s">
        <v>165</v>
      </c>
      <c r="B761" s="722">
        <v>310</v>
      </c>
      <c r="C761" s="723">
        <v>1</v>
      </c>
      <c r="D761" s="723">
        <v>0</v>
      </c>
      <c r="E761" s="723">
        <v>0</v>
      </c>
      <c r="F761" s="723">
        <v>0</v>
      </c>
      <c r="G761" s="723">
        <v>1</v>
      </c>
      <c r="H761" s="724">
        <v>129.99349928099443</v>
      </c>
      <c r="I761" s="724">
        <v>0</v>
      </c>
      <c r="J761" s="724">
        <v>0</v>
      </c>
      <c r="K761" s="724">
        <v>0</v>
      </c>
      <c r="L761" s="724">
        <v>129.99349928099443</v>
      </c>
    </row>
    <row r="762" spans="1:12">
      <c r="A762" s="722" t="s">
        <v>165</v>
      </c>
      <c r="B762" s="722">
        <v>314</v>
      </c>
      <c r="C762" s="723">
        <v>0</v>
      </c>
      <c r="D762" s="723">
        <v>1</v>
      </c>
      <c r="E762" s="723">
        <v>0</v>
      </c>
      <c r="F762" s="723">
        <v>0</v>
      </c>
      <c r="G762" s="723">
        <v>1</v>
      </c>
      <c r="H762" s="724">
        <v>0</v>
      </c>
      <c r="I762" s="724">
        <v>129.99349928099443</v>
      </c>
      <c r="J762" s="724">
        <v>0</v>
      </c>
      <c r="K762" s="724">
        <v>0</v>
      </c>
      <c r="L762" s="724">
        <v>129.99349928099443</v>
      </c>
    </row>
    <row r="763" spans="1:12">
      <c r="A763" s="722" t="s">
        <v>165</v>
      </c>
      <c r="B763" s="722">
        <v>319</v>
      </c>
      <c r="C763" s="723">
        <v>2</v>
      </c>
      <c r="D763" s="723">
        <v>0</v>
      </c>
      <c r="E763" s="723">
        <v>0</v>
      </c>
      <c r="F763" s="723">
        <v>0</v>
      </c>
      <c r="G763" s="723">
        <v>2</v>
      </c>
      <c r="H763" s="724">
        <v>259.98699856198886</v>
      </c>
      <c r="I763" s="724">
        <v>0</v>
      </c>
      <c r="J763" s="724">
        <v>0</v>
      </c>
      <c r="K763" s="724">
        <v>0</v>
      </c>
      <c r="L763" s="724">
        <v>259.98699856198886</v>
      </c>
    </row>
    <row r="764" spans="1:12">
      <c r="A764" s="722" t="s">
        <v>165</v>
      </c>
      <c r="B764" s="722">
        <v>320</v>
      </c>
      <c r="C764" s="723">
        <v>25</v>
      </c>
      <c r="D764" s="723">
        <v>22</v>
      </c>
      <c r="E764" s="723">
        <v>0</v>
      </c>
      <c r="F764" s="723">
        <v>0</v>
      </c>
      <c r="G764" s="723">
        <v>47</v>
      </c>
      <c r="H764" s="724">
        <v>3249.8374820248605</v>
      </c>
      <c r="I764" s="724">
        <v>2859.8569841818771</v>
      </c>
      <c r="J764" s="724">
        <v>0</v>
      </c>
      <c r="K764" s="724">
        <v>0</v>
      </c>
      <c r="L764" s="724">
        <v>6109.6944662067372</v>
      </c>
    </row>
    <row r="765" spans="1:12">
      <c r="A765" s="722" t="s">
        <v>165</v>
      </c>
      <c r="B765" s="722">
        <v>340</v>
      </c>
      <c r="C765" s="723">
        <v>2959</v>
      </c>
      <c r="D765" s="723">
        <v>810</v>
      </c>
      <c r="E765" s="723">
        <v>0</v>
      </c>
      <c r="F765" s="723">
        <v>0</v>
      </c>
      <c r="G765" s="723">
        <v>3769</v>
      </c>
      <c r="H765" s="724">
        <v>384650.76437246246</v>
      </c>
      <c r="I765" s="724">
        <v>105294.73441760548</v>
      </c>
      <c r="J765" s="724">
        <v>0</v>
      </c>
      <c r="K765" s="724">
        <v>0</v>
      </c>
      <c r="L765" s="724">
        <v>489945.49879006797</v>
      </c>
    </row>
    <row r="766" spans="1:12">
      <c r="A766" s="722" t="s">
        <v>165</v>
      </c>
      <c r="B766" s="722">
        <v>341</v>
      </c>
      <c r="C766" s="723">
        <v>58</v>
      </c>
      <c r="D766" s="723">
        <v>3</v>
      </c>
      <c r="E766" s="723">
        <v>0</v>
      </c>
      <c r="F766" s="723">
        <v>0</v>
      </c>
      <c r="G766" s="723">
        <v>61</v>
      </c>
      <c r="H766" s="724">
        <v>7539.6229582976757</v>
      </c>
      <c r="I766" s="724">
        <v>389.98049784298325</v>
      </c>
      <c r="J766" s="724">
        <v>0</v>
      </c>
      <c r="K766" s="724">
        <v>0</v>
      </c>
      <c r="L766" s="724">
        <v>7929.6034561406595</v>
      </c>
    </row>
    <row r="767" spans="1:12">
      <c r="A767" s="722" t="s">
        <v>165</v>
      </c>
      <c r="B767" s="722">
        <v>342</v>
      </c>
      <c r="C767" s="723">
        <v>2</v>
      </c>
      <c r="D767" s="723">
        <v>26</v>
      </c>
      <c r="E767" s="723">
        <v>0</v>
      </c>
      <c r="F767" s="723">
        <v>0</v>
      </c>
      <c r="G767" s="723">
        <v>28</v>
      </c>
      <c r="H767" s="724">
        <v>259.98699856198886</v>
      </c>
      <c r="I767" s="724">
        <v>3379.8309813058549</v>
      </c>
      <c r="J767" s="724">
        <v>0</v>
      </c>
      <c r="K767" s="724">
        <v>0</v>
      </c>
      <c r="L767" s="724">
        <v>3639.8179798678439</v>
      </c>
    </row>
    <row r="768" spans="1:12">
      <c r="A768" s="722" t="s">
        <v>165</v>
      </c>
      <c r="B768" s="722">
        <v>350</v>
      </c>
      <c r="C768" s="723">
        <v>1</v>
      </c>
      <c r="D768" s="723">
        <v>0</v>
      </c>
      <c r="E768" s="723">
        <v>0</v>
      </c>
      <c r="F768" s="723">
        <v>0</v>
      </c>
      <c r="G768" s="723">
        <v>1</v>
      </c>
      <c r="H768" s="724">
        <v>129.99349928099443</v>
      </c>
      <c r="I768" s="724">
        <v>0</v>
      </c>
      <c r="J768" s="724">
        <v>0</v>
      </c>
      <c r="K768" s="724">
        <v>0</v>
      </c>
      <c r="L768" s="724">
        <v>129.99349928099443</v>
      </c>
    </row>
    <row r="769" spans="1:12">
      <c r="A769" s="722" t="s">
        <v>165</v>
      </c>
      <c r="B769" s="722">
        <v>370</v>
      </c>
      <c r="C769" s="723">
        <v>2</v>
      </c>
      <c r="D769" s="723">
        <v>0</v>
      </c>
      <c r="E769" s="723">
        <v>0</v>
      </c>
      <c r="F769" s="723">
        <v>0</v>
      </c>
      <c r="G769" s="723">
        <v>2</v>
      </c>
      <c r="H769" s="724">
        <v>259.98699856198886</v>
      </c>
      <c r="I769" s="724">
        <v>0</v>
      </c>
      <c r="J769" s="724">
        <v>0</v>
      </c>
      <c r="K769" s="724">
        <v>0</v>
      </c>
      <c r="L769" s="724">
        <v>259.98699856198886</v>
      </c>
    </row>
    <row r="770" spans="1:12">
      <c r="A770" s="722" t="s">
        <v>165</v>
      </c>
      <c r="B770" s="722">
        <v>410</v>
      </c>
      <c r="C770" s="723">
        <v>0</v>
      </c>
      <c r="D770" s="723">
        <v>1</v>
      </c>
      <c r="E770" s="723">
        <v>0</v>
      </c>
      <c r="F770" s="723">
        <v>0</v>
      </c>
      <c r="G770" s="723">
        <v>1</v>
      </c>
      <c r="H770" s="724">
        <v>0</v>
      </c>
      <c r="I770" s="724">
        <v>129.99349928099443</v>
      </c>
      <c r="J770" s="724">
        <v>0</v>
      </c>
      <c r="K770" s="724">
        <v>0</v>
      </c>
      <c r="L770" s="724">
        <v>129.99349928099443</v>
      </c>
    </row>
    <row r="771" spans="1:12">
      <c r="A771" s="722" t="s">
        <v>165</v>
      </c>
      <c r="B771" s="722">
        <v>420</v>
      </c>
      <c r="C771" s="723">
        <v>13</v>
      </c>
      <c r="D771" s="723">
        <v>0</v>
      </c>
      <c r="E771" s="723">
        <v>0</v>
      </c>
      <c r="F771" s="723">
        <v>0</v>
      </c>
      <c r="G771" s="723">
        <v>13</v>
      </c>
      <c r="H771" s="724">
        <v>1689.9154906529277</v>
      </c>
      <c r="I771" s="724">
        <v>0</v>
      </c>
      <c r="J771" s="724">
        <v>0</v>
      </c>
      <c r="K771" s="724">
        <v>0</v>
      </c>
      <c r="L771" s="724">
        <v>1689.9154906529275</v>
      </c>
    </row>
    <row r="772" spans="1:12">
      <c r="A772" s="722" t="s">
        <v>165</v>
      </c>
      <c r="B772" s="722">
        <v>422</v>
      </c>
      <c r="C772" s="723">
        <v>2</v>
      </c>
      <c r="D772" s="723">
        <v>1</v>
      </c>
      <c r="E772" s="723">
        <v>0</v>
      </c>
      <c r="F772" s="723">
        <v>0</v>
      </c>
      <c r="G772" s="723">
        <v>3</v>
      </c>
      <c r="H772" s="724">
        <v>259.98699856198886</v>
      </c>
      <c r="I772" s="724">
        <v>129.99349928099443</v>
      </c>
      <c r="J772" s="724">
        <v>0</v>
      </c>
      <c r="K772" s="724">
        <v>0</v>
      </c>
      <c r="L772" s="724">
        <v>389.98049784298325</v>
      </c>
    </row>
    <row r="773" spans="1:12">
      <c r="A773" s="722" t="s">
        <v>165</v>
      </c>
      <c r="B773" s="722">
        <v>650</v>
      </c>
      <c r="C773" s="723">
        <v>64</v>
      </c>
      <c r="D773" s="723">
        <v>3</v>
      </c>
      <c r="E773" s="723">
        <v>0</v>
      </c>
      <c r="F773" s="723">
        <v>0</v>
      </c>
      <c r="G773" s="723">
        <v>67</v>
      </c>
      <c r="H773" s="724">
        <v>8319.5839539836415</v>
      </c>
      <c r="I773" s="724">
        <v>389.9804978429832</v>
      </c>
      <c r="J773" s="724">
        <v>0</v>
      </c>
      <c r="K773" s="724">
        <v>0</v>
      </c>
      <c r="L773" s="724">
        <v>8709.5644518266254</v>
      </c>
    </row>
    <row r="774" spans="1:12">
      <c r="A774" s="722" t="s">
        <v>165</v>
      </c>
      <c r="B774" s="722">
        <v>800</v>
      </c>
      <c r="C774" s="723">
        <v>1</v>
      </c>
      <c r="D774" s="723">
        <v>0</v>
      </c>
      <c r="E774" s="723">
        <v>0</v>
      </c>
      <c r="F774" s="723">
        <v>0</v>
      </c>
      <c r="G774" s="723">
        <v>1</v>
      </c>
      <c r="H774" s="724">
        <v>129.99349928099443</v>
      </c>
      <c r="I774" s="724">
        <v>0</v>
      </c>
      <c r="J774" s="724">
        <v>0</v>
      </c>
      <c r="K774" s="724">
        <v>0</v>
      </c>
      <c r="L774" s="724">
        <v>129.99349928099443</v>
      </c>
    </row>
    <row r="775" spans="1:12">
      <c r="A775" s="722" t="s">
        <v>166</v>
      </c>
      <c r="B775" s="722">
        <v>107</v>
      </c>
      <c r="C775" s="723">
        <v>0</v>
      </c>
      <c r="D775" s="723">
        <v>1</v>
      </c>
      <c r="E775" s="723">
        <v>0</v>
      </c>
      <c r="F775" s="723">
        <v>0</v>
      </c>
      <c r="G775" s="723">
        <v>1</v>
      </c>
      <c r="H775" s="724">
        <v>0</v>
      </c>
      <c r="I775" s="724">
        <v>156.68328505528561</v>
      </c>
      <c r="J775" s="724">
        <v>0</v>
      </c>
      <c r="K775" s="724">
        <v>0</v>
      </c>
      <c r="L775" s="724">
        <v>156.68328505528561</v>
      </c>
    </row>
    <row r="776" spans="1:12">
      <c r="A776" s="722" t="s">
        <v>166</v>
      </c>
      <c r="B776" s="722">
        <v>130</v>
      </c>
      <c r="C776" s="723">
        <v>5</v>
      </c>
      <c r="D776" s="723">
        <v>1</v>
      </c>
      <c r="E776" s="723">
        <v>0</v>
      </c>
      <c r="F776" s="723">
        <v>0</v>
      </c>
      <c r="G776" s="723">
        <v>6</v>
      </c>
      <c r="H776" s="724">
        <v>783.41642527642819</v>
      </c>
      <c r="I776" s="724">
        <v>156.68328505528564</v>
      </c>
      <c r="J776" s="724">
        <v>0</v>
      </c>
      <c r="K776" s="724">
        <v>0</v>
      </c>
      <c r="L776" s="724">
        <v>940.09971033171382</v>
      </c>
    </row>
    <row r="777" spans="1:12">
      <c r="A777" s="722" t="s">
        <v>166</v>
      </c>
      <c r="B777" s="722">
        <v>141</v>
      </c>
      <c r="C777" s="723">
        <v>1</v>
      </c>
      <c r="D777" s="723">
        <v>0</v>
      </c>
      <c r="E777" s="723">
        <v>0</v>
      </c>
      <c r="F777" s="723">
        <v>0</v>
      </c>
      <c r="G777" s="723">
        <v>1</v>
      </c>
      <c r="H777" s="724">
        <v>156.68328505528561</v>
      </c>
      <c r="I777" s="724">
        <v>0</v>
      </c>
      <c r="J777" s="724">
        <v>0</v>
      </c>
      <c r="K777" s="724">
        <v>0</v>
      </c>
      <c r="L777" s="724">
        <v>156.68328505528561</v>
      </c>
    </row>
    <row r="778" spans="1:12">
      <c r="A778" s="722" t="s">
        <v>166</v>
      </c>
      <c r="B778" s="722">
        <v>170</v>
      </c>
      <c r="C778" s="723">
        <v>2</v>
      </c>
      <c r="D778" s="723">
        <v>5</v>
      </c>
      <c r="E778" s="723">
        <v>0</v>
      </c>
      <c r="F778" s="723">
        <v>0</v>
      </c>
      <c r="G778" s="723">
        <v>7</v>
      </c>
      <c r="H778" s="724">
        <v>313.36657011057122</v>
      </c>
      <c r="I778" s="724">
        <v>783.41642527642819</v>
      </c>
      <c r="J778" s="724">
        <v>0</v>
      </c>
      <c r="K778" s="724">
        <v>0</v>
      </c>
      <c r="L778" s="724">
        <v>1096.7829953869993</v>
      </c>
    </row>
    <row r="779" spans="1:12">
      <c r="A779" s="722" t="s">
        <v>166</v>
      </c>
      <c r="B779" s="722">
        <v>171</v>
      </c>
      <c r="C779" s="723">
        <v>1</v>
      </c>
      <c r="D779" s="723">
        <v>1</v>
      </c>
      <c r="E779" s="723">
        <v>0</v>
      </c>
      <c r="F779" s="723">
        <v>0</v>
      </c>
      <c r="G779" s="723">
        <v>2</v>
      </c>
      <c r="H779" s="724">
        <v>156.68328505528561</v>
      </c>
      <c r="I779" s="724">
        <v>156.68328505528561</v>
      </c>
      <c r="J779" s="724">
        <v>0</v>
      </c>
      <c r="K779" s="724">
        <v>0</v>
      </c>
      <c r="L779" s="724">
        <v>313.36657011057122</v>
      </c>
    </row>
    <row r="780" spans="1:12">
      <c r="A780" s="722" t="s">
        <v>166</v>
      </c>
      <c r="B780" s="722">
        <v>172</v>
      </c>
      <c r="C780" s="723">
        <v>0</v>
      </c>
      <c r="D780" s="723">
        <v>1</v>
      </c>
      <c r="E780" s="723">
        <v>0</v>
      </c>
      <c r="F780" s="723">
        <v>0</v>
      </c>
      <c r="G780" s="723">
        <v>1</v>
      </c>
      <c r="H780" s="724">
        <v>0</v>
      </c>
      <c r="I780" s="724">
        <v>156.68328505528561</v>
      </c>
      <c r="J780" s="724">
        <v>0</v>
      </c>
      <c r="K780" s="724">
        <v>0</v>
      </c>
      <c r="L780" s="724">
        <v>156.68328505528561</v>
      </c>
    </row>
    <row r="781" spans="1:12">
      <c r="A781" s="722" t="s">
        <v>166</v>
      </c>
      <c r="B781" s="722">
        <v>215</v>
      </c>
      <c r="C781" s="723">
        <v>4</v>
      </c>
      <c r="D781" s="723">
        <v>1</v>
      </c>
      <c r="E781" s="723">
        <v>0</v>
      </c>
      <c r="F781" s="723">
        <v>0</v>
      </c>
      <c r="G781" s="723">
        <v>5</v>
      </c>
      <c r="H781" s="724">
        <v>626.73314022114243</v>
      </c>
      <c r="I781" s="724">
        <v>156.68328505528561</v>
      </c>
      <c r="J781" s="724">
        <v>0</v>
      </c>
      <c r="K781" s="724">
        <v>0</v>
      </c>
      <c r="L781" s="724">
        <v>783.41642527642807</v>
      </c>
    </row>
    <row r="782" spans="1:12">
      <c r="A782" s="722" t="s">
        <v>166</v>
      </c>
      <c r="B782" s="722">
        <v>258</v>
      </c>
      <c r="C782" s="723">
        <v>8</v>
      </c>
      <c r="D782" s="723">
        <v>3</v>
      </c>
      <c r="E782" s="723">
        <v>0</v>
      </c>
      <c r="F782" s="723">
        <v>0</v>
      </c>
      <c r="G782" s="723">
        <v>11</v>
      </c>
      <c r="H782" s="724">
        <v>1253.4662804422849</v>
      </c>
      <c r="I782" s="724">
        <v>470.0498551658568</v>
      </c>
      <c r="J782" s="724">
        <v>0</v>
      </c>
      <c r="K782" s="724">
        <v>0</v>
      </c>
      <c r="L782" s="724">
        <v>1723.5161356081417</v>
      </c>
    </row>
    <row r="783" spans="1:12">
      <c r="A783" s="722" t="s">
        <v>166</v>
      </c>
      <c r="B783" s="722">
        <v>300</v>
      </c>
      <c r="C783" s="723">
        <v>1172</v>
      </c>
      <c r="D783" s="723">
        <v>717</v>
      </c>
      <c r="E783" s="723">
        <v>0</v>
      </c>
      <c r="F783" s="723">
        <v>0</v>
      </c>
      <c r="G783" s="723">
        <v>1889</v>
      </c>
      <c r="H783" s="724">
        <v>183632.81008479474</v>
      </c>
      <c r="I783" s="724">
        <v>112341.91538463978</v>
      </c>
      <c r="J783" s="724">
        <v>0</v>
      </c>
      <c r="K783" s="724">
        <v>0</v>
      </c>
      <c r="L783" s="724">
        <v>295974.72546943452</v>
      </c>
    </row>
    <row r="784" spans="1:12">
      <c r="A784" s="722" t="s">
        <v>166</v>
      </c>
      <c r="B784" s="722">
        <v>301</v>
      </c>
      <c r="C784" s="723">
        <v>1</v>
      </c>
      <c r="D784" s="723">
        <v>1</v>
      </c>
      <c r="E784" s="723">
        <v>0</v>
      </c>
      <c r="F784" s="723">
        <v>0</v>
      </c>
      <c r="G784" s="723">
        <v>2</v>
      </c>
      <c r="H784" s="724">
        <v>156.68328505528561</v>
      </c>
      <c r="I784" s="724">
        <v>156.68328505528561</v>
      </c>
      <c r="J784" s="724">
        <v>0</v>
      </c>
      <c r="K784" s="724">
        <v>0</v>
      </c>
      <c r="L784" s="724">
        <v>313.36657011057122</v>
      </c>
    </row>
    <row r="785" spans="1:12">
      <c r="A785" s="722" t="s">
        <v>166</v>
      </c>
      <c r="B785" s="722">
        <v>303</v>
      </c>
      <c r="C785" s="723">
        <v>0</v>
      </c>
      <c r="D785" s="723">
        <v>2</v>
      </c>
      <c r="E785" s="723">
        <v>0</v>
      </c>
      <c r="F785" s="723">
        <v>0</v>
      </c>
      <c r="G785" s="723">
        <v>2</v>
      </c>
      <c r="H785" s="724">
        <v>0</v>
      </c>
      <c r="I785" s="724">
        <v>313.36657011057122</v>
      </c>
      <c r="J785" s="724">
        <v>0</v>
      </c>
      <c r="K785" s="724">
        <v>0</v>
      </c>
      <c r="L785" s="724">
        <v>313.36657011057122</v>
      </c>
    </row>
    <row r="786" spans="1:12">
      <c r="A786" s="722" t="s">
        <v>166</v>
      </c>
      <c r="B786" s="722">
        <v>304</v>
      </c>
      <c r="C786" s="723">
        <v>76</v>
      </c>
      <c r="D786" s="723">
        <v>50</v>
      </c>
      <c r="E786" s="723">
        <v>0</v>
      </c>
      <c r="F786" s="723">
        <v>0</v>
      </c>
      <c r="G786" s="723">
        <v>126</v>
      </c>
      <c r="H786" s="724">
        <v>11907.929664201705</v>
      </c>
      <c r="I786" s="724">
        <v>7834.1642527642798</v>
      </c>
      <c r="J786" s="724">
        <v>0</v>
      </c>
      <c r="K786" s="724">
        <v>0</v>
      </c>
      <c r="L786" s="724">
        <v>19742.093916965987</v>
      </c>
    </row>
    <row r="787" spans="1:12">
      <c r="A787" s="722" t="s">
        <v>166</v>
      </c>
      <c r="B787" s="722">
        <v>320</v>
      </c>
      <c r="C787" s="723">
        <v>52</v>
      </c>
      <c r="D787" s="723">
        <v>966</v>
      </c>
      <c r="E787" s="723">
        <v>0</v>
      </c>
      <c r="F787" s="723">
        <v>0</v>
      </c>
      <c r="G787" s="723">
        <v>1018</v>
      </c>
      <c r="H787" s="724">
        <v>8147.5308228748518</v>
      </c>
      <c r="I787" s="724">
        <v>151356.05336340592</v>
      </c>
      <c r="J787" s="724">
        <v>0</v>
      </c>
      <c r="K787" s="724">
        <v>0</v>
      </c>
      <c r="L787" s="724">
        <v>159503.58418628076</v>
      </c>
    </row>
    <row r="788" spans="1:12">
      <c r="A788" s="722" t="s">
        <v>166</v>
      </c>
      <c r="B788" s="722">
        <v>321</v>
      </c>
      <c r="C788" s="723">
        <v>0</v>
      </c>
      <c r="D788" s="723">
        <v>1</v>
      </c>
      <c r="E788" s="723">
        <v>0</v>
      </c>
      <c r="F788" s="723">
        <v>0</v>
      </c>
      <c r="G788" s="723">
        <v>1</v>
      </c>
      <c r="H788" s="724">
        <v>0</v>
      </c>
      <c r="I788" s="724">
        <v>156.68328505528561</v>
      </c>
      <c r="J788" s="724">
        <v>0</v>
      </c>
      <c r="K788" s="724">
        <v>0</v>
      </c>
      <c r="L788" s="724">
        <v>156.68328505528561</v>
      </c>
    </row>
    <row r="789" spans="1:12">
      <c r="A789" s="722" t="s">
        <v>166</v>
      </c>
      <c r="B789" s="722">
        <v>330</v>
      </c>
      <c r="C789" s="723">
        <v>0</v>
      </c>
      <c r="D789" s="723">
        <v>1</v>
      </c>
      <c r="E789" s="723">
        <v>0</v>
      </c>
      <c r="F789" s="723">
        <v>0</v>
      </c>
      <c r="G789" s="723">
        <v>1</v>
      </c>
      <c r="H789" s="724">
        <v>0</v>
      </c>
      <c r="I789" s="724">
        <v>156.68328505528561</v>
      </c>
      <c r="J789" s="724">
        <v>0</v>
      </c>
      <c r="K789" s="724">
        <v>0</v>
      </c>
      <c r="L789" s="724">
        <v>156.68328505528561</v>
      </c>
    </row>
    <row r="790" spans="1:12">
      <c r="A790" s="722" t="s">
        <v>166</v>
      </c>
      <c r="B790" s="722">
        <v>340</v>
      </c>
      <c r="C790" s="723">
        <v>4648</v>
      </c>
      <c r="D790" s="723">
        <v>2307</v>
      </c>
      <c r="E790" s="723">
        <v>0</v>
      </c>
      <c r="F790" s="723">
        <v>0</v>
      </c>
      <c r="G790" s="723">
        <v>6955</v>
      </c>
      <c r="H790" s="724">
        <v>728263.90893696761</v>
      </c>
      <c r="I790" s="724">
        <v>361468.33862254396</v>
      </c>
      <c r="J790" s="724">
        <v>0</v>
      </c>
      <c r="K790" s="724">
        <v>0</v>
      </c>
      <c r="L790" s="724">
        <v>1089732.2475595116</v>
      </c>
    </row>
    <row r="791" spans="1:12">
      <c r="A791" s="722" t="s">
        <v>166</v>
      </c>
      <c r="B791" s="722">
        <v>341</v>
      </c>
      <c r="C791" s="723">
        <v>32</v>
      </c>
      <c r="D791" s="723">
        <v>19</v>
      </c>
      <c r="E791" s="723">
        <v>0</v>
      </c>
      <c r="F791" s="723">
        <v>0</v>
      </c>
      <c r="G791" s="723">
        <v>51</v>
      </c>
      <c r="H791" s="724">
        <v>5013.8651217691404</v>
      </c>
      <c r="I791" s="724">
        <v>2976.9824160504272</v>
      </c>
      <c r="J791" s="724">
        <v>0</v>
      </c>
      <c r="K791" s="724">
        <v>0</v>
      </c>
      <c r="L791" s="724">
        <v>7990.8475378195672</v>
      </c>
    </row>
    <row r="792" spans="1:12">
      <c r="A792" s="722" t="s">
        <v>166</v>
      </c>
      <c r="B792" s="722">
        <v>343</v>
      </c>
      <c r="C792" s="723">
        <v>1</v>
      </c>
      <c r="D792" s="723">
        <v>0</v>
      </c>
      <c r="E792" s="723">
        <v>0</v>
      </c>
      <c r="F792" s="723">
        <v>0</v>
      </c>
      <c r="G792" s="723">
        <v>1</v>
      </c>
      <c r="H792" s="724">
        <v>156.68328505528561</v>
      </c>
      <c r="I792" s="724">
        <v>0</v>
      </c>
      <c r="J792" s="724">
        <v>0</v>
      </c>
      <c r="K792" s="724">
        <v>0</v>
      </c>
      <c r="L792" s="724">
        <v>156.68328505528561</v>
      </c>
    </row>
    <row r="793" spans="1:12">
      <c r="A793" s="722" t="s">
        <v>166</v>
      </c>
      <c r="B793" s="722">
        <v>361</v>
      </c>
      <c r="C793" s="723">
        <v>2</v>
      </c>
      <c r="D793" s="723">
        <v>0</v>
      </c>
      <c r="E793" s="723">
        <v>0</v>
      </c>
      <c r="F793" s="723">
        <v>0</v>
      </c>
      <c r="G793" s="723">
        <v>2</v>
      </c>
      <c r="H793" s="724">
        <v>313.36657011057122</v>
      </c>
      <c r="I793" s="724">
        <v>0</v>
      </c>
      <c r="J793" s="724">
        <v>0</v>
      </c>
      <c r="K793" s="724">
        <v>0</v>
      </c>
      <c r="L793" s="724">
        <v>313.36657011057122</v>
      </c>
    </row>
    <row r="794" spans="1:12">
      <c r="A794" s="722" t="s">
        <v>166</v>
      </c>
      <c r="B794" s="722">
        <v>370</v>
      </c>
      <c r="C794" s="723">
        <v>2</v>
      </c>
      <c r="D794" s="723">
        <v>0</v>
      </c>
      <c r="E794" s="723">
        <v>0</v>
      </c>
      <c r="F794" s="723">
        <v>0</v>
      </c>
      <c r="G794" s="723">
        <v>2</v>
      </c>
      <c r="H794" s="724">
        <v>313.36657011057122</v>
      </c>
      <c r="I794" s="724">
        <v>0</v>
      </c>
      <c r="J794" s="724">
        <v>0</v>
      </c>
      <c r="K794" s="724">
        <v>0</v>
      </c>
      <c r="L794" s="724">
        <v>313.36657011057122</v>
      </c>
    </row>
    <row r="795" spans="1:12">
      <c r="A795" s="722" t="s">
        <v>166</v>
      </c>
      <c r="B795" s="722">
        <v>410</v>
      </c>
      <c r="C795" s="723">
        <v>4</v>
      </c>
      <c r="D795" s="723">
        <v>2</v>
      </c>
      <c r="E795" s="723">
        <v>0</v>
      </c>
      <c r="F795" s="723">
        <v>0</v>
      </c>
      <c r="G795" s="723">
        <v>6</v>
      </c>
      <c r="H795" s="724">
        <v>626.73314022114255</v>
      </c>
      <c r="I795" s="724">
        <v>313.36657011057127</v>
      </c>
      <c r="J795" s="724">
        <v>0</v>
      </c>
      <c r="K795" s="724">
        <v>0</v>
      </c>
      <c r="L795" s="724">
        <v>940.09971033171382</v>
      </c>
    </row>
    <row r="796" spans="1:12">
      <c r="A796" s="722" t="s">
        <v>166</v>
      </c>
      <c r="B796" s="722">
        <v>420</v>
      </c>
      <c r="C796" s="723">
        <v>4</v>
      </c>
      <c r="D796" s="723">
        <v>2</v>
      </c>
      <c r="E796" s="723">
        <v>0</v>
      </c>
      <c r="F796" s="723">
        <v>0</v>
      </c>
      <c r="G796" s="723">
        <v>6</v>
      </c>
      <c r="H796" s="724">
        <v>626.73314022114255</v>
      </c>
      <c r="I796" s="724">
        <v>313.36657011057127</v>
      </c>
      <c r="J796" s="724">
        <v>0</v>
      </c>
      <c r="K796" s="724">
        <v>0</v>
      </c>
      <c r="L796" s="724">
        <v>940.09971033171382</v>
      </c>
    </row>
    <row r="797" spans="1:12">
      <c r="A797" s="722" t="s">
        <v>166</v>
      </c>
      <c r="B797" s="722">
        <v>422</v>
      </c>
      <c r="C797" s="723">
        <v>0</v>
      </c>
      <c r="D797" s="723">
        <v>2</v>
      </c>
      <c r="E797" s="723">
        <v>0</v>
      </c>
      <c r="F797" s="723">
        <v>0</v>
      </c>
      <c r="G797" s="723">
        <v>2</v>
      </c>
      <c r="H797" s="724">
        <v>0</v>
      </c>
      <c r="I797" s="724">
        <v>313.36657011057122</v>
      </c>
      <c r="J797" s="724">
        <v>0</v>
      </c>
      <c r="K797" s="724">
        <v>0</v>
      </c>
      <c r="L797" s="724">
        <v>313.36657011057122</v>
      </c>
    </row>
    <row r="798" spans="1:12">
      <c r="A798" s="722" t="s">
        <v>166</v>
      </c>
      <c r="B798" s="722">
        <v>430</v>
      </c>
      <c r="C798" s="723">
        <v>2</v>
      </c>
      <c r="D798" s="723">
        <v>0</v>
      </c>
      <c r="E798" s="723">
        <v>0</v>
      </c>
      <c r="F798" s="723">
        <v>0</v>
      </c>
      <c r="G798" s="723">
        <v>2</v>
      </c>
      <c r="H798" s="724">
        <v>313.36657011057122</v>
      </c>
      <c r="I798" s="724">
        <v>0</v>
      </c>
      <c r="J798" s="724">
        <v>0</v>
      </c>
      <c r="K798" s="724">
        <v>0</v>
      </c>
      <c r="L798" s="724">
        <v>313.36657011057122</v>
      </c>
    </row>
    <row r="799" spans="1:12">
      <c r="A799" s="722" t="s">
        <v>166</v>
      </c>
      <c r="B799" s="722">
        <v>502</v>
      </c>
      <c r="C799" s="723">
        <v>0</v>
      </c>
      <c r="D799" s="723">
        <v>1</v>
      </c>
      <c r="E799" s="723">
        <v>0</v>
      </c>
      <c r="F799" s="723">
        <v>0</v>
      </c>
      <c r="G799" s="723">
        <v>1</v>
      </c>
      <c r="H799" s="724">
        <v>0</v>
      </c>
      <c r="I799" s="724">
        <v>156.68328505528561</v>
      </c>
      <c r="J799" s="724">
        <v>0</v>
      </c>
      <c r="K799" s="724">
        <v>0</v>
      </c>
      <c r="L799" s="724">
        <v>156.68328505528561</v>
      </c>
    </row>
    <row r="800" spans="1:12">
      <c r="A800" s="722" t="s">
        <v>167</v>
      </c>
      <c r="B800" s="722">
        <v>100</v>
      </c>
      <c r="C800" s="723">
        <v>2</v>
      </c>
      <c r="D800" s="723">
        <v>3</v>
      </c>
      <c r="E800" s="723">
        <v>0</v>
      </c>
      <c r="F800" s="723">
        <v>0</v>
      </c>
      <c r="G800" s="723">
        <v>5</v>
      </c>
      <c r="H800" s="724">
        <v>207.69969631803642</v>
      </c>
      <c r="I800" s="724">
        <v>311.54954447705461</v>
      </c>
      <c r="J800" s="724">
        <v>0</v>
      </c>
      <c r="K800" s="724">
        <v>0</v>
      </c>
      <c r="L800" s="724">
        <v>519.24924079509105</v>
      </c>
    </row>
    <row r="801" spans="1:12">
      <c r="A801" s="722" t="s">
        <v>167</v>
      </c>
      <c r="B801" s="722">
        <v>101</v>
      </c>
      <c r="C801" s="723">
        <v>3</v>
      </c>
      <c r="D801" s="723">
        <v>0</v>
      </c>
      <c r="E801" s="723">
        <v>0</v>
      </c>
      <c r="F801" s="723">
        <v>0</v>
      </c>
      <c r="G801" s="723">
        <v>3</v>
      </c>
      <c r="H801" s="724">
        <v>311.54954447705461</v>
      </c>
      <c r="I801" s="724">
        <v>0</v>
      </c>
      <c r="J801" s="724">
        <v>0</v>
      </c>
      <c r="K801" s="724">
        <v>0</v>
      </c>
      <c r="L801" s="724">
        <v>311.54954447705461</v>
      </c>
    </row>
    <row r="802" spans="1:12">
      <c r="A802" s="722" t="s">
        <v>167</v>
      </c>
      <c r="B802" s="722">
        <v>104</v>
      </c>
      <c r="C802" s="723">
        <v>0</v>
      </c>
      <c r="D802" s="723">
        <v>3</v>
      </c>
      <c r="E802" s="723">
        <v>0</v>
      </c>
      <c r="F802" s="723">
        <v>0</v>
      </c>
      <c r="G802" s="723">
        <v>3</v>
      </c>
      <c r="H802" s="724">
        <v>0</v>
      </c>
      <c r="I802" s="724">
        <v>311.54954447705461</v>
      </c>
      <c r="J802" s="724">
        <v>0</v>
      </c>
      <c r="K802" s="724">
        <v>0</v>
      </c>
      <c r="L802" s="724">
        <v>311.54954447705461</v>
      </c>
    </row>
    <row r="803" spans="1:12">
      <c r="A803" s="722" t="s">
        <v>167</v>
      </c>
      <c r="B803" s="722">
        <v>107</v>
      </c>
      <c r="C803" s="723">
        <v>1</v>
      </c>
      <c r="D803" s="723">
        <v>1</v>
      </c>
      <c r="E803" s="723">
        <v>0</v>
      </c>
      <c r="F803" s="723">
        <v>0</v>
      </c>
      <c r="G803" s="723">
        <v>2</v>
      </c>
      <c r="H803" s="724">
        <v>103.84984815901821</v>
      </c>
      <c r="I803" s="724">
        <v>103.84984815901821</v>
      </c>
      <c r="J803" s="724">
        <v>0</v>
      </c>
      <c r="K803" s="724">
        <v>0</v>
      </c>
      <c r="L803" s="724">
        <v>207.69969631803642</v>
      </c>
    </row>
    <row r="804" spans="1:12">
      <c r="A804" s="722" t="s">
        <v>167</v>
      </c>
      <c r="B804" s="722">
        <v>110</v>
      </c>
      <c r="C804" s="723">
        <v>0</v>
      </c>
      <c r="D804" s="723">
        <v>1</v>
      </c>
      <c r="E804" s="723">
        <v>0</v>
      </c>
      <c r="F804" s="723">
        <v>0</v>
      </c>
      <c r="G804" s="723">
        <v>1</v>
      </c>
      <c r="H804" s="724">
        <v>0</v>
      </c>
      <c r="I804" s="724">
        <v>103.84984815901821</v>
      </c>
      <c r="J804" s="724">
        <v>0</v>
      </c>
      <c r="K804" s="724">
        <v>0</v>
      </c>
      <c r="L804" s="724">
        <v>103.84984815901821</v>
      </c>
    </row>
    <row r="805" spans="1:12">
      <c r="A805" s="722" t="s">
        <v>167</v>
      </c>
      <c r="B805" s="722">
        <v>120</v>
      </c>
      <c r="C805" s="723">
        <v>43</v>
      </c>
      <c r="D805" s="723">
        <v>5</v>
      </c>
      <c r="E805" s="723">
        <v>0</v>
      </c>
      <c r="F805" s="723">
        <v>0</v>
      </c>
      <c r="G805" s="723">
        <v>48</v>
      </c>
      <c r="H805" s="724">
        <v>4465.5434708377825</v>
      </c>
      <c r="I805" s="724">
        <v>519.24924079509094</v>
      </c>
      <c r="J805" s="724">
        <v>0</v>
      </c>
      <c r="K805" s="724">
        <v>0</v>
      </c>
      <c r="L805" s="724">
        <v>4984.7927116328738</v>
      </c>
    </row>
    <row r="806" spans="1:12">
      <c r="A806" s="722" t="s">
        <v>167</v>
      </c>
      <c r="B806" s="722">
        <v>130</v>
      </c>
      <c r="C806" s="723">
        <v>594</v>
      </c>
      <c r="D806" s="723">
        <v>116</v>
      </c>
      <c r="E806" s="723">
        <v>0</v>
      </c>
      <c r="F806" s="723">
        <v>0</v>
      </c>
      <c r="G806" s="723">
        <v>710</v>
      </c>
      <c r="H806" s="724">
        <v>61686.809806456818</v>
      </c>
      <c r="I806" s="724">
        <v>12046.582386446113</v>
      </c>
      <c r="J806" s="724">
        <v>0</v>
      </c>
      <c r="K806" s="724">
        <v>0</v>
      </c>
      <c r="L806" s="724">
        <v>73733.392192902931</v>
      </c>
    </row>
    <row r="807" spans="1:12">
      <c r="A807" s="722" t="s">
        <v>167</v>
      </c>
      <c r="B807" s="722">
        <v>143</v>
      </c>
      <c r="C807" s="723">
        <v>1</v>
      </c>
      <c r="D807" s="723">
        <v>0</v>
      </c>
      <c r="E807" s="723">
        <v>0</v>
      </c>
      <c r="F807" s="723">
        <v>0</v>
      </c>
      <c r="G807" s="723">
        <v>1</v>
      </c>
      <c r="H807" s="724">
        <v>103.84984815901821</v>
      </c>
      <c r="I807" s="724">
        <v>0</v>
      </c>
      <c r="J807" s="724">
        <v>0</v>
      </c>
      <c r="K807" s="724">
        <v>0</v>
      </c>
      <c r="L807" s="724">
        <v>103.84984815901821</v>
      </c>
    </row>
    <row r="808" spans="1:12">
      <c r="A808" s="722" t="s">
        <v>167</v>
      </c>
      <c r="B808" s="722">
        <v>170</v>
      </c>
      <c r="C808" s="723">
        <v>2</v>
      </c>
      <c r="D808" s="723">
        <v>0</v>
      </c>
      <c r="E808" s="723">
        <v>0</v>
      </c>
      <c r="F808" s="723">
        <v>0</v>
      </c>
      <c r="G808" s="723">
        <v>2</v>
      </c>
      <c r="H808" s="724">
        <v>207.69969631803642</v>
      </c>
      <c r="I808" s="724">
        <v>0</v>
      </c>
      <c r="J808" s="724">
        <v>0</v>
      </c>
      <c r="K808" s="724">
        <v>0</v>
      </c>
      <c r="L808" s="724">
        <v>207.69969631803642</v>
      </c>
    </row>
    <row r="809" spans="1:12">
      <c r="A809" s="722" t="s">
        <v>167</v>
      </c>
      <c r="B809" s="722">
        <v>173</v>
      </c>
      <c r="C809" s="723">
        <v>9</v>
      </c>
      <c r="D809" s="723">
        <v>2</v>
      </c>
      <c r="E809" s="723">
        <v>0</v>
      </c>
      <c r="F809" s="723">
        <v>0</v>
      </c>
      <c r="G809" s="723">
        <v>11</v>
      </c>
      <c r="H809" s="724">
        <v>934.64863343116383</v>
      </c>
      <c r="I809" s="724">
        <v>207.69969631803642</v>
      </c>
      <c r="J809" s="724">
        <v>0</v>
      </c>
      <c r="K809" s="724">
        <v>0</v>
      </c>
      <c r="L809" s="724">
        <v>1142.3483297492003</v>
      </c>
    </row>
    <row r="810" spans="1:12">
      <c r="A810" s="722" t="s">
        <v>167</v>
      </c>
      <c r="B810" s="722">
        <v>180</v>
      </c>
      <c r="C810" s="723">
        <v>4</v>
      </c>
      <c r="D810" s="723">
        <v>25</v>
      </c>
      <c r="E810" s="723">
        <v>0</v>
      </c>
      <c r="F810" s="723">
        <v>0</v>
      </c>
      <c r="G810" s="723">
        <v>29</v>
      </c>
      <c r="H810" s="724">
        <v>415.39939263607283</v>
      </c>
      <c r="I810" s="724">
        <v>2596.2462039754555</v>
      </c>
      <c r="J810" s="724">
        <v>0</v>
      </c>
      <c r="K810" s="724">
        <v>0</v>
      </c>
      <c r="L810" s="724">
        <v>3011.6455966115282</v>
      </c>
    </row>
    <row r="811" spans="1:12">
      <c r="A811" s="722" t="s">
        <v>167</v>
      </c>
      <c r="B811" s="722">
        <v>191</v>
      </c>
      <c r="C811" s="723">
        <v>0</v>
      </c>
      <c r="D811" s="723">
        <v>1</v>
      </c>
      <c r="E811" s="723">
        <v>0</v>
      </c>
      <c r="F811" s="723">
        <v>0</v>
      </c>
      <c r="G811" s="723">
        <v>1</v>
      </c>
      <c r="H811" s="724">
        <v>0</v>
      </c>
      <c r="I811" s="724">
        <v>103.84984815901821</v>
      </c>
      <c r="J811" s="724">
        <v>0</v>
      </c>
      <c r="K811" s="724">
        <v>0</v>
      </c>
      <c r="L811" s="724">
        <v>103.84984815901821</v>
      </c>
    </row>
    <row r="812" spans="1:12">
      <c r="A812" s="722" t="s">
        <v>167</v>
      </c>
      <c r="B812" s="722">
        <v>192</v>
      </c>
      <c r="C812" s="723">
        <v>2</v>
      </c>
      <c r="D812" s="723">
        <v>1</v>
      </c>
      <c r="E812" s="723">
        <v>0</v>
      </c>
      <c r="F812" s="723">
        <v>0</v>
      </c>
      <c r="G812" s="723">
        <v>3</v>
      </c>
      <c r="H812" s="724">
        <v>207.69969631803642</v>
      </c>
      <c r="I812" s="724">
        <v>103.84984815901821</v>
      </c>
      <c r="J812" s="724">
        <v>0</v>
      </c>
      <c r="K812" s="724">
        <v>0</v>
      </c>
      <c r="L812" s="724">
        <v>311.54954447705461</v>
      </c>
    </row>
    <row r="813" spans="1:12">
      <c r="A813" s="722" t="s">
        <v>167</v>
      </c>
      <c r="B813" s="722">
        <v>251</v>
      </c>
      <c r="C813" s="723">
        <v>7</v>
      </c>
      <c r="D813" s="723">
        <v>1</v>
      </c>
      <c r="E813" s="723">
        <v>0</v>
      </c>
      <c r="F813" s="723">
        <v>0</v>
      </c>
      <c r="G813" s="723">
        <v>8</v>
      </c>
      <c r="H813" s="724">
        <v>726.9489371131275</v>
      </c>
      <c r="I813" s="724">
        <v>103.84984815901821</v>
      </c>
      <c r="J813" s="724">
        <v>0</v>
      </c>
      <c r="K813" s="724">
        <v>0</v>
      </c>
      <c r="L813" s="724">
        <v>830.79878527214566</v>
      </c>
    </row>
    <row r="814" spans="1:12">
      <c r="A814" s="722" t="s">
        <v>167</v>
      </c>
      <c r="B814" s="722">
        <v>252</v>
      </c>
      <c r="C814" s="723">
        <v>3</v>
      </c>
      <c r="D814" s="723">
        <v>0</v>
      </c>
      <c r="E814" s="723">
        <v>0</v>
      </c>
      <c r="F814" s="723">
        <v>0</v>
      </c>
      <c r="G814" s="723">
        <v>3</v>
      </c>
      <c r="H814" s="724">
        <v>311.54954447705461</v>
      </c>
      <c r="I814" s="724">
        <v>0</v>
      </c>
      <c r="J814" s="724">
        <v>0</v>
      </c>
      <c r="K814" s="724">
        <v>0</v>
      </c>
      <c r="L814" s="724">
        <v>311.54954447705461</v>
      </c>
    </row>
    <row r="815" spans="1:12">
      <c r="A815" s="722" t="s">
        <v>167</v>
      </c>
      <c r="B815" s="722">
        <v>253</v>
      </c>
      <c r="C815" s="723">
        <v>40</v>
      </c>
      <c r="D815" s="723">
        <v>2</v>
      </c>
      <c r="E815" s="723">
        <v>0</v>
      </c>
      <c r="F815" s="723">
        <v>0</v>
      </c>
      <c r="G815" s="723">
        <v>42</v>
      </c>
      <c r="H815" s="724">
        <v>4153.9939263607284</v>
      </c>
      <c r="I815" s="724">
        <v>207.69969631803642</v>
      </c>
      <c r="J815" s="724">
        <v>0</v>
      </c>
      <c r="K815" s="724">
        <v>0</v>
      </c>
      <c r="L815" s="724">
        <v>4361.6936226787648</v>
      </c>
    </row>
    <row r="816" spans="1:12">
      <c r="A816" s="722" t="s">
        <v>167</v>
      </c>
      <c r="B816" s="722">
        <v>255</v>
      </c>
      <c r="C816" s="723">
        <v>1</v>
      </c>
      <c r="D816" s="723">
        <v>1</v>
      </c>
      <c r="E816" s="723">
        <v>0</v>
      </c>
      <c r="F816" s="723">
        <v>0</v>
      </c>
      <c r="G816" s="723">
        <v>2</v>
      </c>
      <c r="H816" s="724">
        <v>103.84984815901821</v>
      </c>
      <c r="I816" s="724">
        <v>103.84984815901821</v>
      </c>
      <c r="J816" s="724">
        <v>0</v>
      </c>
      <c r="K816" s="724">
        <v>0</v>
      </c>
      <c r="L816" s="724">
        <v>207.69969631803642</v>
      </c>
    </row>
    <row r="817" spans="1:12">
      <c r="A817" s="722" t="s">
        <v>167</v>
      </c>
      <c r="B817" s="722">
        <v>257</v>
      </c>
      <c r="C817" s="723">
        <v>1</v>
      </c>
      <c r="D817" s="723">
        <v>0</v>
      </c>
      <c r="E817" s="723">
        <v>0</v>
      </c>
      <c r="F817" s="723">
        <v>0</v>
      </c>
      <c r="G817" s="723">
        <v>1</v>
      </c>
      <c r="H817" s="724">
        <v>103.84984815901821</v>
      </c>
      <c r="I817" s="724">
        <v>0</v>
      </c>
      <c r="J817" s="724">
        <v>0</v>
      </c>
      <c r="K817" s="724">
        <v>0</v>
      </c>
      <c r="L817" s="724">
        <v>103.84984815901821</v>
      </c>
    </row>
    <row r="818" spans="1:12">
      <c r="A818" s="722" t="s">
        <v>167</v>
      </c>
      <c r="B818" s="722">
        <v>258</v>
      </c>
      <c r="C818" s="723">
        <v>208</v>
      </c>
      <c r="D818" s="723">
        <v>9</v>
      </c>
      <c r="E818" s="723">
        <v>0</v>
      </c>
      <c r="F818" s="723">
        <v>0</v>
      </c>
      <c r="G818" s="723">
        <v>217</v>
      </c>
      <c r="H818" s="724">
        <v>21600.768417075782</v>
      </c>
      <c r="I818" s="724">
        <v>934.64863343116372</v>
      </c>
      <c r="J818" s="724">
        <v>0</v>
      </c>
      <c r="K818" s="724">
        <v>0</v>
      </c>
      <c r="L818" s="724">
        <v>22535.417050506949</v>
      </c>
    </row>
    <row r="819" spans="1:12">
      <c r="A819" s="722" t="s">
        <v>167</v>
      </c>
      <c r="B819" s="722">
        <v>300</v>
      </c>
      <c r="C819" s="723">
        <v>2820</v>
      </c>
      <c r="D819" s="723">
        <v>451</v>
      </c>
      <c r="E819" s="723">
        <v>0</v>
      </c>
      <c r="F819" s="723">
        <v>0</v>
      </c>
      <c r="G819" s="723">
        <v>3271</v>
      </c>
      <c r="H819" s="724">
        <v>292856.5718084313</v>
      </c>
      <c r="I819" s="724">
        <v>46836.281519717217</v>
      </c>
      <c r="J819" s="724">
        <v>0</v>
      </c>
      <c r="K819" s="724">
        <v>0</v>
      </c>
      <c r="L819" s="724">
        <v>339692.85332814854</v>
      </c>
    </row>
    <row r="820" spans="1:12">
      <c r="A820" s="722" t="s">
        <v>167</v>
      </c>
      <c r="B820" s="722">
        <v>301</v>
      </c>
      <c r="C820" s="723">
        <v>7</v>
      </c>
      <c r="D820" s="723">
        <v>15</v>
      </c>
      <c r="E820" s="723">
        <v>0</v>
      </c>
      <c r="F820" s="723">
        <v>0</v>
      </c>
      <c r="G820" s="723">
        <v>22</v>
      </c>
      <c r="H820" s="724">
        <v>726.9489371131275</v>
      </c>
      <c r="I820" s="724">
        <v>1557.7477223852732</v>
      </c>
      <c r="J820" s="724">
        <v>0</v>
      </c>
      <c r="K820" s="724">
        <v>0</v>
      </c>
      <c r="L820" s="724">
        <v>2284.6966594984005</v>
      </c>
    </row>
    <row r="821" spans="1:12">
      <c r="A821" s="722" t="s">
        <v>167</v>
      </c>
      <c r="B821" s="722">
        <v>302</v>
      </c>
      <c r="C821" s="723">
        <v>3</v>
      </c>
      <c r="D821" s="723">
        <v>2</v>
      </c>
      <c r="E821" s="723">
        <v>0</v>
      </c>
      <c r="F821" s="723">
        <v>0</v>
      </c>
      <c r="G821" s="723">
        <v>5</v>
      </c>
      <c r="H821" s="724">
        <v>311.54954447705461</v>
      </c>
      <c r="I821" s="724">
        <v>207.69969631803642</v>
      </c>
      <c r="J821" s="724">
        <v>0</v>
      </c>
      <c r="K821" s="724">
        <v>0</v>
      </c>
      <c r="L821" s="724">
        <v>519.24924079509105</v>
      </c>
    </row>
    <row r="822" spans="1:12">
      <c r="A822" s="722" t="s">
        <v>167</v>
      </c>
      <c r="B822" s="722">
        <v>303</v>
      </c>
      <c r="C822" s="723">
        <v>800</v>
      </c>
      <c r="D822" s="723">
        <v>95</v>
      </c>
      <c r="E822" s="723">
        <v>0</v>
      </c>
      <c r="F822" s="723">
        <v>0</v>
      </c>
      <c r="G822" s="723">
        <v>895</v>
      </c>
      <c r="H822" s="724">
        <v>83079.878527214576</v>
      </c>
      <c r="I822" s="724">
        <v>9865.7355751067298</v>
      </c>
      <c r="J822" s="724">
        <v>0</v>
      </c>
      <c r="K822" s="724">
        <v>0</v>
      </c>
      <c r="L822" s="724">
        <v>92945.614102321299</v>
      </c>
    </row>
    <row r="823" spans="1:12">
      <c r="A823" s="722" t="s">
        <v>167</v>
      </c>
      <c r="B823" s="722">
        <v>304</v>
      </c>
      <c r="C823" s="723">
        <v>9</v>
      </c>
      <c r="D823" s="723">
        <v>53</v>
      </c>
      <c r="E823" s="723">
        <v>0</v>
      </c>
      <c r="F823" s="723">
        <v>0</v>
      </c>
      <c r="G823" s="723">
        <v>62</v>
      </c>
      <c r="H823" s="724">
        <v>934.64863343116383</v>
      </c>
      <c r="I823" s="724">
        <v>5504.041952427965</v>
      </c>
      <c r="J823" s="724">
        <v>0</v>
      </c>
      <c r="K823" s="724">
        <v>0</v>
      </c>
      <c r="L823" s="724">
        <v>6438.690585859129</v>
      </c>
    </row>
    <row r="824" spans="1:12">
      <c r="A824" s="722" t="s">
        <v>167</v>
      </c>
      <c r="B824" s="722">
        <v>306</v>
      </c>
      <c r="C824" s="723">
        <v>3</v>
      </c>
      <c r="D824" s="723">
        <v>1</v>
      </c>
      <c r="E824" s="723">
        <v>0</v>
      </c>
      <c r="F824" s="723">
        <v>0</v>
      </c>
      <c r="G824" s="723">
        <v>4</v>
      </c>
      <c r="H824" s="724">
        <v>311.54954447705461</v>
      </c>
      <c r="I824" s="724">
        <v>103.84984815901821</v>
      </c>
      <c r="J824" s="724">
        <v>0</v>
      </c>
      <c r="K824" s="724">
        <v>0</v>
      </c>
      <c r="L824" s="724">
        <v>415.39939263607283</v>
      </c>
    </row>
    <row r="825" spans="1:12">
      <c r="A825" s="722" t="s">
        <v>167</v>
      </c>
      <c r="B825" s="722">
        <v>307</v>
      </c>
      <c r="C825" s="723">
        <v>11</v>
      </c>
      <c r="D825" s="723">
        <v>0</v>
      </c>
      <c r="E825" s="723">
        <v>0</v>
      </c>
      <c r="F825" s="723">
        <v>0</v>
      </c>
      <c r="G825" s="723">
        <v>11</v>
      </c>
      <c r="H825" s="724">
        <v>1142.3483297492003</v>
      </c>
      <c r="I825" s="724">
        <v>0</v>
      </c>
      <c r="J825" s="724">
        <v>0</v>
      </c>
      <c r="K825" s="724">
        <v>0</v>
      </c>
      <c r="L825" s="724">
        <v>1142.3483297492003</v>
      </c>
    </row>
    <row r="826" spans="1:12">
      <c r="A826" s="722" t="s">
        <v>167</v>
      </c>
      <c r="B826" s="722">
        <v>310</v>
      </c>
      <c r="C826" s="723">
        <v>0</v>
      </c>
      <c r="D826" s="723">
        <v>1</v>
      </c>
      <c r="E826" s="723">
        <v>0</v>
      </c>
      <c r="F826" s="723">
        <v>0</v>
      </c>
      <c r="G826" s="723">
        <v>1</v>
      </c>
      <c r="H826" s="724">
        <v>0</v>
      </c>
      <c r="I826" s="724">
        <v>103.84984815901821</v>
      </c>
      <c r="J826" s="724">
        <v>0</v>
      </c>
      <c r="K826" s="724">
        <v>0</v>
      </c>
      <c r="L826" s="724">
        <v>103.84984815901821</v>
      </c>
    </row>
    <row r="827" spans="1:12">
      <c r="A827" s="722" t="s">
        <v>167</v>
      </c>
      <c r="B827" s="722">
        <v>313</v>
      </c>
      <c r="C827" s="723">
        <v>2</v>
      </c>
      <c r="D827" s="723">
        <v>1</v>
      </c>
      <c r="E827" s="723">
        <v>0</v>
      </c>
      <c r="F827" s="723">
        <v>0</v>
      </c>
      <c r="G827" s="723">
        <v>3</v>
      </c>
      <c r="H827" s="724">
        <v>207.69969631803642</v>
      </c>
      <c r="I827" s="724">
        <v>103.84984815901821</v>
      </c>
      <c r="J827" s="724">
        <v>0</v>
      </c>
      <c r="K827" s="724">
        <v>0</v>
      </c>
      <c r="L827" s="724">
        <v>311.54954447705461</v>
      </c>
    </row>
    <row r="828" spans="1:12">
      <c r="A828" s="722" t="s">
        <v>167</v>
      </c>
      <c r="B828" s="722">
        <v>320</v>
      </c>
      <c r="C828" s="723">
        <v>300</v>
      </c>
      <c r="D828" s="723">
        <v>170</v>
      </c>
      <c r="E828" s="723">
        <v>0</v>
      </c>
      <c r="F828" s="723">
        <v>0</v>
      </c>
      <c r="G828" s="723">
        <v>470</v>
      </c>
      <c r="H828" s="724">
        <v>31154.954447705462</v>
      </c>
      <c r="I828" s="724">
        <v>17654.474187033094</v>
      </c>
      <c r="J828" s="724">
        <v>0</v>
      </c>
      <c r="K828" s="724">
        <v>0</v>
      </c>
      <c r="L828" s="724">
        <v>48809.428634738557</v>
      </c>
    </row>
    <row r="829" spans="1:12">
      <c r="A829" s="722" t="s">
        <v>167</v>
      </c>
      <c r="B829" s="722">
        <v>321</v>
      </c>
      <c r="C829" s="723">
        <v>38</v>
      </c>
      <c r="D829" s="723">
        <v>6</v>
      </c>
      <c r="E829" s="723">
        <v>0</v>
      </c>
      <c r="F829" s="723">
        <v>0</v>
      </c>
      <c r="G829" s="723">
        <v>44</v>
      </c>
      <c r="H829" s="724">
        <v>3946.2942300426921</v>
      </c>
      <c r="I829" s="724">
        <v>623.09908895410922</v>
      </c>
      <c r="J829" s="724">
        <v>0</v>
      </c>
      <c r="K829" s="724">
        <v>0</v>
      </c>
      <c r="L829" s="724">
        <v>4569.3933189968011</v>
      </c>
    </row>
    <row r="830" spans="1:12">
      <c r="A830" s="722" t="s">
        <v>167</v>
      </c>
      <c r="B830" s="722">
        <v>324</v>
      </c>
      <c r="C830" s="723">
        <v>10</v>
      </c>
      <c r="D830" s="723">
        <v>1</v>
      </c>
      <c r="E830" s="723">
        <v>0</v>
      </c>
      <c r="F830" s="723">
        <v>0</v>
      </c>
      <c r="G830" s="723">
        <v>11</v>
      </c>
      <c r="H830" s="724">
        <v>1038.4984815901821</v>
      </c>
      <c r="I830" s="724">
        <v>103.84984815901821</v>
      </c>
      <c r="J830" s="724">
        <v>0</v>
      </c>
      <c r="K830" s="724">
        <v>0</v>
      </c>
      <c r="L830" s="724">
        <v>1142.3483297492003</v>
      </c>
    </row>
    <row r="831" spans="1:12">
      <c r="A831" s="722" t="s">
        <v>167</v>
      </c>
      <c r="B831" s="722">
        <v>330</v>
      </c>
      <c r="C831" s="723">
        <v>3</v>
      </c>
      <c r="D831" s="723">
        <v>1</v>
      </c>
      <c r="E831" s="723">
        <v>0</v>
      </c>
      <c r="F831" s="723">
        <v>0</v>
      </c>
      <c r="G831" s="723">
        <v>4</v>
      </c>
      <c r="H831" s="724">
        <v>311.54954447705461</v>
      </c>
      <c r="I831" s="724">
        <v>103.84984815901821</v>
      </c>
      <c r="J831" s="724">
        <v>0</v>
      </c>
      <c r="K831" s="724">
        <v>0</v>
      </c>
      <c r="L831" s="724">
        <v>415.39939263607283</v>
      </c>
    </row>
    <row r="832" spans="1:12">
      <c r="A832" s="722" t="s">
        <v>167</v>
      </c>
      <c r="B832" s="722">
        <v>340</v>
      </c>
      <c r="C832" s="723">
        <v>13828</v>
      </c>
      <c r="D832" s="723">
        <v>7916</v>
      </c>
      <c r="E832" s="723">
        <v>0</v>
      </c>
      <c r="F832" s="723">
        <v>0</v>
      </c>
      <c r="G832" s="723">
        <v>21744</v>
      </c>
      <c r="H832" s="724">
        <v>1436035.7003429038</v>
      </c>
      <c r="I832" s="724">
        <v>822075.39802678814</v>
      </c>
      <c r="J832" s="724">
        <v>0</v>
      </c>
      <c r="K832" s="724">
        <v>0</v>
      </c>
      <c r="L832" s="724">
        <v>2258111.098369692</v>
      </c>
    </row>
    <row r="833" spans="1:12">
      <c r="A833" s="722" t="s">
        <v>167</v>
      </c>
      <c r="B833" s="722">
        <v>341</v>
      </c>
      <c r="C833" s="723">
        <v>213</v>
      </c>
      <c r="D833" s="723">
        <v>584</v>
      </c>
      <c r="E833" s="723">
        <v>0</v>
      </c>
      <c r="F833" s="723">
        <v>0</v>
      </c>
      <c r="G833" s="723">
        <v>797</v>
      </c>
      <c r="H833" s="724">
        <v>22120.017657870878</v>
      </c>
      <c r="I833" s="724">
        <v>60648.311324866634</v>
      </c>
      <c r="J833" s="724">
        <v>0</v>
      </c>
      <c r="K833" s="724">
        <v>0</v>
      </c>
      <c r="L833" s="724">
        <v>82768.328982737512</v>
      </c>
    </row>
    <row r="834" spans="1:12">
      <c r="A834" s="722" t="s">
        <v>167</v>
      </c>
      <c r="B834" s="722">
        <v>342</v>
      </c>
      <c r="C834" s="723">
        <v>3</v>
      </c>
      <c r="D834" s="723">
        <v>0</v>
      </c>
      <c r="E834" s="723">
        <v>0</v>
      </c>
      <c r="F834" s="723">
        <v>0</v>
      </c>
      <c r="G834" s="723">
        <v>3</v>
      </c>
      <c r="H834" s="724">
        <v>311.54954447705461</v>
      </c>
      <c r="I834" s="724">
        <v>0</v>
      </c>
      <c r="J834" s="724">
        <v>0</v>
      </c>
      <c r="K834" s="724">
        <v>0</v>
      </c>
      <c r="L834" s="724">
        <v>311.54954447705461</v>
      </c>
    </row>
    <row r="835" spans="1:12">
      <c r="A835" s="722" t="s">
        <v>167</v>
      </c>
      <c r="B835" s="722">
        <v>343</v>
      </c>
      <c r="C835" s="723">
        <v>13</v>
      </c>
      <c r="D835" s="723">
        <v>0</v>
      </c>
      <c r="E835" s="723">
        <v>0</v>
      </c>
      <c r="F835" s="723">
        <v>0</v>
      </c>
      <c r="G835" s="723">
        <v>13</v>
      </c>
      <c r="H835" s="724">
        <v>1350.0480260672366</v>
      </c>
      <c r="I835" s="724">
        <v>0</v>
      </c>
      <c r="J835" s="724">
        <v>0</v>
      </c>
      <c r="K835" s="724">
        <v>0</v>
      </c>
      <c r="L835" s="724">
        <v>1350.0480260672366</v>
      </c>
    </row>
    <row r="836" spans="1:12">
      <c r="A836" s="722" t="s">
        <v>167</v>
      </c>
      <c r="B836" s="722">
        <v>350</v>
      </c>
      <c r="C836" s="723">
        <v>0</v>
      </c>
      <c r="D836" s="723">
        <v>1</v>
      </c>
      <c r="E836" s="723">
        <v>0</v>
      </c>
      <c r="F836" s="723">
        <v>0</v>
      </c>
      <c r="G836" s="723">
        <v>1</v>
      </c>
      <c r="H836" s="724">
        <v>0</v>
      </c>
      <c r="I836" s="724">
        <v>103.84984815901821</v>
      </c>
      <c r="J836" s="724">
        <v>0</v>
      </c>
      <c r="K836" s="724">
        <v>0</v>
      </c>
      <c r="L836" s="724">
        <v>103.84984815901821</v>
      </c>
    </row>
    <row r="837" spans="1:12">
      <c r="A837" s="722" t="s">
        <v>167</v>
      </c>
      <c r="B837" s="722">
        <v>370</v>
      </c>
      <c r="C837" s="723">
        <v>3</v>
      </c>
      <c r="D837" s="723">
        <v>1</v>
      </c>
      <c r="E837" s="723">
        <v>0</v>
      </c>
      <c r="F837" s="723">
        <v>0</v>
      </c>
      <c r="G837" s="723">
        <v>4</v>
      </c>
      <c r="H837" s="724">
        <v>311.54954447705461</v>
      </c>
      <c r="I837" s="724">
        <v>103.84984815901821</v>
      </c>
      <c r="J837" s="724">
        <v>0</v>
      </c>
      <c r="K837" s="724">
        <v>0</v>
      </c>
      <c r="L837" s="724">
        <v>415.39939263607283</v>
      </c>
    </row>
    <row r="838" spans="1:12">
      <c r="A838" s="722" t="s">
        <v>167</v>
      </c>
      <c r="B838" s="722">
        <v>400</v>
      </c>
      <c r="C838" s="723">
        <v>3</v>
      </c>
      <c r="D838" s="723">
        <v>1</v>
      </c>
      <c r="E838" s="723">
        <v>0</v>
      </c>
      <c r="F838" s="723">
        <v>0</v>
      </c>
      <c r="G838" s="723">
        <v>4</v>
      </c>
      <c r="H838" s="724">
        <v>311.54954447705461</v>
      </c>
      <c r="I838" s="724">
        <v>103.84984815901821</v>
      </c>
      <c r="J838" s="724">
        <v>0</v>
      </c>
      <c r="K838" s="724">
        <v>0</v>
      </c>
      <c r="L838" s="724">
        <v>415.39939263607283</v>
      </c>
    </row>
    <row r="839" spans="1:12">
      <c r="A839" s="722" t="s">
        <v>167</v>
      </c>
      <c r="B839" s="722">
        <v>410</v>
      </c>
      <c r="C839" s="723">
        <v>5</v>
      </c>
      <c r="D839" s="723">
        <v>2</v>
      </c>
      <c r="E839" s="723">
        <v>0</v>
      </c>
      <c r="F839" s="723">
        <v>0</v>
      </c>
      <c r="G839" s="723">
        <v>7</v>
      </c>
      <c r="H839" s="724">
        <v>519.24924079509105</v>
      </c>
      <c r="I839" s="724">
        <v>207.69969631803642</v>
      </c>
      <c r="J839" s="724">
        <v>0</v>
      </c>
      <c r="K839" s="724">
        <v>0</v>
      </c>
      <c r="L839" s="724">
        <v>726.9489371131275</v>
      </c>
    </row>
    <row r="840" spans="1:12">
      <c r="A840" s="722" t="s">
        <v>167</v>
      </c>
      <c r="B840" s="722">
        <v>420</v>
      </c>
      <c r="C840" s="723">
        <v>298</v>
      </c>
      <c r="D840" s="723">
        <v>66</v>
      </c>
      <c r="E840" s="723">
        <v>0</v>
      </c>
      <c r="F840" s="723">
        <v>0</v>
      </c>
      <c r="G840" s="723">
        <v>364</v>
      </c>
      <c r="H840" s="724">
        <v>30947.25475138742</v>
      </c>
      <c r="I840" s="724">
        <v>6854.0899784952007</v>
      </c>
      <c r="J840" s="724">
        <v>0</v>
      </c>
      <c r="K840" s="724">
        <v>0</v>
      </c>
      <c r="L840" s="724">
        <v>37801.344729882621</v>
      </c>
    </row>
    <row r="841" spans="1:12">
      <c r="A841" s="722" t="s">
        <v>167</v>
      </c>
      <c r="B841" s="722">
        <v>421</v>
      </c>
      <c r="C841" s="723">
        <v>0</v>
      </c>
      <c r="D841" s="723">
        <v>1</v>
      </c>
      <c r="E841" s="723">
        <v>0</v>
      </c>
      <c r="F841" s="723">
        <v>0</v>
      </c>
      <c r="G841" s="723">
        <v>1</v>
      </c>
      <c r="H841" s="724">
        <v>0</v>
      </c>
      <c r="I841" s="724">
        <v>103.84984815901821</v>
      </c>
      <c r="J841" s="724">
        <v>0</v>
      </c>
      <c r="K841" s="724">
        <v>0</v>
      </c>
      <c r="L841" s="724">
        <v>103.84984815901821</v>
      </c>
    </row>
    <row r="842" spans="1:12">
      <c r="A842" s="722" t="s">
        <v>167</v>
      </c>
      <c r="B842" s="722">
        <v>422</v>
      </c>
      <c r="C842" s="723">
        <v>1</v>
      </c>
      <c r="D842" s="723">
        <v>1</v>
      </c>
      <c r="E842" s="723">
        <v>0</v>
      </c>
      <c r="F842" s="723">
        <v>0</v>
      </c>
      <c r="G842" s="723">
        <v>2</v>
      </c>
      <c r="H842" s="724">
        <v>103.84984815901821</v>
      </c>
      <c r="I842" s="724">
        <v>103.84984815901821</v>
      </c>
      <c r="J842" s="724">
        <v>0</v>
      </c>
      <c r="K842" s="724">
        <v>0</v>
      </c>
      <c r="L842" s="724">
        <v>207.69969631803642</v>
      </c>
    </row>
    <row r="843" spans="1:12">
      <c r="A843" s="722" t="s">
        <v>167</v>
      </c>
      <c r="B843" s="722">
        <v>430</v>
      </c>
      <c r="C843" s="723">
        <v>10</v>
      </c>
      <c r="D843" s="723">
        <v>27</v>
      </c>
      <c r="E843" s="723">
        <v>0</v>
      </c>
      <c r="F843" s="723">
        <v>0</v>
      </c>
      <c r="G843" s="723">
        <v>37</v>
      </c>
      <c r="H843" s="724">
        <v>1038.4984815901821</v>
      </c>
      <c r="I843" s="724">
        <v>2803.9459002934914</v>
      </c>
      <c r="J843" s="724">
        <v>0</v>
      </c>
      <c r="K843" s="724">
        <v>0</v>
      </c>
      <c r="L843" s="724">
        <v>3842.4443818836735</v>
      </c>
    </row>
    <row r="844" spans="1:12">
      <c r="A844" s="722" t="s">
        <v>167</v>
      </c>
      <c r="B844" s="722">
        <v>502</v>
      </c>
      <c r="C844" s="723">
        <v>1</v>
      </c>
      <c r="D844" s="723">
        <v>0</v>
      </c>
      <c r="E844" s="723">
        <v>0</v>
      </c>
      <c r="F844" s="723">
        <v>0</v>
      </c>
      <c r="G844" s="723">
        <v>1</v>
      </c>
      <c r="H844" s="724">
        <v>103.84984815901821</v>
      </c>
      <c r="I844" s="724">
        <v>0</v>
      </c>
      <c r="J844" s="724">
        <v>0</v>
      </c>
      <c r="K844" s="724">
        <v>0</v>
      </c>
      <c r="L844" s="724">
        <v>103.84984815901821</v>
      </c>
    </row>
    <row r="845" spans="1:12">
      <c r="A845" s="722" t="s">
        <v>167</v>
      </c>
      <c r="B845" s="722">
        <v>560</v>
      </c>
      <c r="C845" s="723">
        <v>7</v>
      </c>
      <c r="D845" s="723">
        <v>0</v>
      </c>
      <c r="E845" s="723">
        <v>0</v>
      </c>
      <c r="F845" s="723">
        <v>0</v>
      </c>
      <c r="G845" s="723">
        <v>7</v>
      </c>
      <c r="H845" s="724">
        <v>726.9489371131275</v>
      </c>
      <c r="I845" s="724">
        <v>0</v>
      </c>
      <c r="J845" s="724">
        <v>0</v>
      </c>
      <c r="K845" s="724">
        <v>0</v>
      </c>
      <c r="L845" s="724">
        <v>726.9489371131275</v>
      </c>
    </row>
    <row r="846" spans="1:12">
      <c r="A846" s="722" t="s">
        <v>167</v>
      </c>
      <c r="B846" s="722">
        <v>800</v>
      </c>
      <c r="C846" s="723">
        <v>5</v>
      </c>
      <c r="D846" s="723">
        <v>1</v>
      </c>
      <c r="E846" s="723">
        <v>0</v>
      </c>
      <c r="F846" s="723">
        <v>0</v>
      </c>
      <c r="G846" s="723">
        <v>6</v>
      </c>
      <c r="H846" s="724">
        <v>519.24924079509094</v>
      </c>
      <c r="I846" s="724">
        <v>103.84984815901821</v>
      </c>
      <c r="J846" s="724">
        <v>0</v>
      </c>
      <c r="K846" s="724">
        <v>0</v>
      </c>
      <c r="L846" s="724">
        <v>623.09908895410922</v>
      </c>
    </row>
    <row r="847" spans="1:12">
      <c r="A847" s="722" t="s">
        <v>170</v>
      </c>
      <c r="B847" s="722">
        <v>100</v>
      </c>
      <c r="C847" s="723">
        <v>851</v>
      </c>
      <c r="D847" s="723">
        <v>17</v>
      </c>
      <c r="E847" s="723">
        <v>0</v>
      </c>
      <c r="F847" s="723">
        <v>0</v>
      </c>
      <c r="G847" s="723">
        <v>868</v>
      </c>
      <c r="H847" s="724">
        <v>115074.01574497765</v>
      </c>
      <c r="I847" s="724">
        <v>2298.7758726963807</v>
      </c>
      <c r="J847" s="724">
        <v>0</v>
      </c>
      <c r="K847" s="724">
        <v>0</v>
      </c>
      <c r="L847" s="724">
        <v>117372.79161767403</v>
      </c>
    </row>
    <row r="848" spans="1:12">
      <c r="A848" s="722" t="s">
        <v>170</v>
      </c>
      <c r="B848" s="722">
        <v>101</v>
      </c>
      <c r="C848" s="723">
        <v>359</v>
      </c>
      <c r="D848" s="723">
        <v>14</v>
      </c>
      <c r="E848" s="723">
        <v>0</v>
      </c>
      <c r="F848" s="723">
        <v>0</v>
      </c>
      <c r="G848" s="723">
        <v>373</v>
      </c>
      <c r="H848" s="724">
        <v>48544.737546941207</v>
      </c>
      <c r="I848" s="724">
        <v>1893.1095422205487</v>
      </c>
      <c r="J848" s="724">
        <v>0</v>
      </c>
      <c r="K848" s="724">
        <v>0</v>
      </c>
      <c r="L848" s="724">
        <v>50437.847089161762</v>
      </c>
    </row>
    <row r="849" spans="1:12">
      <c r="A849" s="722" t="s">
        <v>170</v>
      </c>
      <c r="B849" s="722">
        <v>102</v>
      </c>
      <c r="C849" s="723">
        <v>53</v>
      </c>
      <c r="D849" s="723">
        <v>0</v>
      </c>
      <c r="E849" s="723">
        <v>0</v>
      </c>
      <c r="F849" s="723">
        <v>0</v>
      </c>
      <c r="G849" s="723">
        <v>53</v>
      </c>
      <c r="H849" s="724">
        <v>7166.7718384063619</v>
      </c>
      <c r="I849" s="724">
        <v>0</v>
      </c>
      <c r="J849" s="724">
        <v>0</v>
      </c>
      <c r="K849" s="724">
        <v>0</v>
      </c>
      <c r="L849" s="724">
        <v>7166.7718384063628</v>
      </c>
    </row>
    <row r="850" spans="1:12">
      <c r="A850" s="722" t="s">
        <v>170</v>
      </c>
      <c r="B850" s="722">
        <v>103</v>
      </c>
      <c r="C850" s="723">
        <v>306</v>
      </c>
      <c r="D850" s="723">
        <v>4</v>
      </c>
      <c r="E850" s="723">
        <v>0</v>
      </c>
      <c r="F850" s="723">
        <v>0</v>
      </c>
      <c r="G850" s="723">
        <v>310</v>
      </c>
      <c r="H850" s="724">
        <v>41377.965708534852</v>
      </c>
      <c r="I850" s="724">
        <v>540.88844063444253</v>
      </c>
      <c r="J850" s="724">
        <v>0</v>
      </c>
      <c r="K850" s="724">
        <v>0</v>
      </c>
      <c r="L850" s="724">
        <v>41918.854149169296</v>
      </c>
    </row>
    <row r="851" spans="1:12">
      <c r="A851" s="722" t="s">
        <v>170</v>
      </c>
      <c r="B851" s="722">
        <v>104</v>
      </c>
      <c r="C851" s="723">
        <v>133</v>
      </c>
      <c r="D851" s="723">
        <v>4</v>
      </c>
      <c r="E851" s="723">
        <v>0</v>
      </c>
      <c r="F851" s="723">
        <v>0</v>
      </c>
      <c r="G851" s="723">
        <v>137</v>
      </c>
      <c r="H851" s="724">
        <v>17984.540651095213</v>
      </c>
      <c r="I851" s="724">
        <v>540.88844063444242</v>
      </c>
      <c r="J851" s="724">
        <v>0</v>
      </c>
      <c r="K851" s="724">
        <v>0</v>
      </c>
      <c r="L851" s="724">
        <v>18525.429091729653</v>
      </c>
    </row>
    <row r="852" spans="1:12">
      <c r="A852" s="722" t="s">
        <v>170</v>
      </c>
      <c r="B852" s="722">
        <v>105</v>
      </c>
      <c r="C852" s="723">
        <v>1</v>
      </c>
      <c r="D852" s="723">
        <v>0</v>
      </c>
      <c r="E852" s="723">
        <v>0</v>
      </c>
      <c r="F852" s="723">
        <v>0</v>
      </c>
      <c r="G852" s="723">
        <v>1</v>
      </c>
      <c r="H852" s="724">
        <v>135.22211015861063</v>
      </c>
      <c r="I852" s="724">
        <v>0</v>
      </c>
      <c r="J852" s="724">
        <v>0</v>
      </c>
      <c r="K852" s="724">
        <v>0</v>
      </c>
      <c r="L852" s="724">
        <v>135.22211015861063</v>
      </c>
    </row>
    <row r="853" spans="1:12">
      <c r="A853" s="722" t="s">
        <v>170</v>
      </c>
      <c r="B853" s="722">
        <v>106</v>
      </c>
      <c r="C853" s="723">
        <v>187</v>
      </c>
      <c r="D853" s="723">
        <v>3</v>
      </c>
      <c r="E853" s="723">
        <v>0</v>
      </c>
      <c r="F853" s="723">
        <v>0</v>
      </c>
      <c r="G853" s="723">
        <v>190</v>
      </c>
      <c r="H853" s="724">
        <v>25286.534599660186</v>
      </c>
      <c r="I853" s="724">
        <v>405.66633047583178</v>
      </c>
      <c r="J853" s="724">
        <v>0</v>
      </c>
      <c r="K853" s="724">
        <v>0</v>
      </c>
      <c r="L853" s="724">
        <v>25692.200930136016</v>
      </c>
    </row>
    <row r="854" spans="1:12">
      <c r="A854" s="722" t="s">
        <v>170</v>
      </c>
      <c r="B854" s="722">
        <v>107</v>
      </c>
      <c r="C854" s="723">
        <v>11</v>
      </c>
      <c r="D854" s="723">
        <v>18</v>
      </c>
      <c r="E854" s="723">
        <v>0</v>
      </c>
      <c r="F854" s="723">
        <v>0</v>
      </c>
      <c r="G854" s="723">
        <v>29</v>
      </c>
      <c r="H854" s="724">
        <v>1487.4432117447168</v>
      </c>
      <c r="I854" s="724">
        <v>2433.9979828549908</v>
      </c>
      <c r="J854" s="724">
        <v>0</v>
      </c>
      <c r="K854" s="724">
        <v>0</v>
      </c>
      <c r="L854" s="724">
        <v>3921.4411945997081</v>
      </c>
    </row>
    <row r="855" spans="1:12">
      <c r="A855" s="722" t="s">
        <v>170</v>
      </c>
      <c r="B855" s="722">
        <v>110</v>
      </c>
      <c r="C855" s="723">
        <v>1142</v>
      </c>
      <c r="D855" s="723">
        <v>32</v>
      </c>
      <c r="E855" s="723">
        <v>0</v>
      </c>
      <c r="F855" s="723">
        <v>0</v>
      </c>
      <c r="G855" s="723">
        <v>1174</v>
      </c>
      <c r="H855" s="724">
        <v>154423.64980113335</v>
      </c>
      <c r="I855" s="724">
        <v>4327.1075250755403</v>
      </c>
      <c r="J855" s="724">
        <v>0</v>
      </c>
      <c r="K855" s="724">
        <v>0</v>
      </c>
      <c r="L855" s="724">
        <v>158750.75732620887</v>
      </c>
    </row>
    <row r="856" spans="1:12">
      <c r="A856" s="722" t="s">
        <v>170</v>
      </c>
      <c r="B856" s="722">
        <v>120</v>
      </c>
      <c r="C856" s="723">
        <v>303</v>
      </c>
      <c r="D856" s="723">
        <v>39</v>
      </c>
      <c r="E856" s="723">
        <v>0</v>
      </c>
      <c r="F856" s="723">
        <v>0</v>
      </c>
      <c r="G856" s="723">
        <v>342</v>
      </c>
      <c r="H856" s="724">
        <v>40972.299378059011</v>
      </c>
      <c r="I856" s="724">
        <v>5273.6622961858138</v>
      </c>
      <c r="J856" s="724">
        <v>0</v>
      </c>
      <c r="K856" s="724">
        <v>0</v>
      </c>
      <c r="L856" s="724">
        <v>46245.961674244827</v>
      </c>
    </row>
    <row r="857" spans="1:12">
      <c r="A857" s="722" t="s">
        <v>170</v>
      </c>
      <c r="B857" s="722">
        <v>130</v>
      </c>
      <c r="C857" s="723">
        <v>171</v>
      </c>
      <c r="D857" s="723">
        <v>26</v>
      </c>
      <c r="E857" s="723">
        <v>0</v>
      </c>
      <c r="F857" s="723">
        <v>0</v>
      </c>
      <c r="G857" s="723">
        <v>197</v>
      </c>
      <c r="H857" s="724">
        <v>23122.980837122421</v>
      </c>
      <c r="I857" s="724">
        <v>3515.7748641238763</v>
      </c>
      <c r="J857" s="724">
        <v>0</v>
      </c>
      <c r="K857" s="724">
        <v>0</v>
      </c>
      <c r="L857" s="724">
        <v>26638.755701246293</v>
      </c>
    </row>
    <row r="858" spans="1:12">
      <c r="A858" s="722" t="s">
        <v>170</v>
      </c>
      <c r="B858" s="722">
        <v>140</v>
      </c>
      <c r="C858" s="723">
        <v>65</v>
      </c>
      <c r="D858" s="723">
        <v>6</v>
      </c>
      <c r="E858" s="723">
        <v>0</v>
      </c>
      <c r="F858" s="723">
        <v>0</v>
      </c>
      <c r="G858" s="723">
        <v>71</v>
      </c>
      <c r="H858" s="724">
        <v>8789.4371603096915</v>
      </c>
      <c r="I858" s="724">
        <v>811.33266095166368</v>
      </c>
      <c r="J858" s="724">
        <v>0</v>
      </c>
      <c r="K858" s="724">
        <v>0</v>
      </c>
      <c r="L858" s="724">
        <v>9600.7698212613541</v>
      </c>
    </row>
    <row r="859" spans="1:12">
      <c r="A859" s="722" t="s">
        <v>170</v>
      </c>
      <c r="B859" s="722">
        <v>141</v>
      </c>
      <c r="C859" s="723">
        <v>46</v>
      </c>
      <c r="D859" s="723">
        <v>8</v>
      </c>
      <c r="E859" s="723">
        <v>0</v>
      </c>
      <c r="F859" s="723">
        <v>0</v>
      </c>
      <c r="G859" s="723">
        <v>54</v>
      </c>
      <c r="H859" s="724">
        <v>6220.2170672960883</v>
      </c>
      <c r="I859" s="724">
        <v>1081.7768812688851</v>
      </c>
      <c r="J859" s="724">
        <v>0</v>
      </c>
      <c r="K859" s="724">
        <v>0</v>
      </c>
      <c r="L859" s="724">
        <v>7301.9939485649738</v>
      </c>
    </row>
    <row r="860" spans="1:12">
      <c r="A860" s="722" t="s">
        <v>170</v>
      </c>
      <c r="B860" s="722">
        <v>142</v>
      </c>
      <c r="C860" s="723">
        <v>24</v>
      </c>
      <c r="D860" s="723">
        <v>0</v>
      </c>
      <c r="E860" s="723">
        <v>0</v>
      </c>
      <c r="F860" s="723">
        <v>0</v>
      </c>
      <c r="G860" s="723">
        <v>24</v>
      </c>
      <c r="H860" s="724">
        <v>3245.3306438066552</v>
      </c>
      <c r="I860" s="724">
        <v>0</v>
      </c>
      <c r="J860" s="724">
        <v>0</v>
      </c>
      <c r="K860" s="724">
        <v>0</v>
      </c>
      <c r="L860" s="724">
        <v>3245.3306438066547</v>
      </c>
    </row>
    <row r="861" spans="1:12">
      <c r="A861" s="722" t="s">
        <v>170</v>
      </c>
      <c r="B861" s="722">
        <v>143</v>
      </c>
      <c r="C861" s="723">
        <v>22</v>
      </c>
      <c r="D861" s="723">
        <v>3</v>
      </c>
      <c r="E861" s="723">
        <v>0</v>
      </c>
      <c r="F861" s="723">
        <v>0</v>
      </c>
      <c r="G861" s="723">
        <v>25</v>
      </c>
      <c r="H861" s="724">
        <v>2974.8864234894336</v>
      </c>
      <c r="I861" s="724">
        <v>405.66633047583184</v>
      </c>
      <c r="J861" s="724">
        <v>0</v>
      </c>
      <c r="K861" s="724">
        <v>0</v>
      </c>
      <c r="L861" s="724">
        <v>3380.5527539652653</v>
      </c>
    </row>
    <row r="862" spans="1:12">
      <c r="A862" s="722" t="s">
        <v>170</v>
      </c>
      <c r="B862" s="722">
        <v>144</v>
      </c>
      <c r="C862" s="723">
        <v>8</v>
      </c>
      <c r="D862" s="723">
        <v>3</v>
      </c>
      <c r="E862" s="723">
        <v>0</v>
      </c>
      <c r="F862" s="723">
        <v>0</v>
      </c>
      <c r="G862" s="723">
        <v>11</v>
      </c>
      <c r="H862" s="724">
        <v>1081.7768812688848</v>
      </c>
      <c r="I862" s="724">
        <v>405.66633047583184</v>
      </c>
      <c r="J862" s="724">
        <v>0</v>
      </c>
      <c r="K862" s="724">
        <v>0</v>
      </c>
      <c r="L862" s="724">
        <v>1487.4432117447168</v>
      </c>
    </row>
    <row r="863" spans="1:12">
      <c r="A863" s="722" t="s">
        <v>170</v>
      </c>
      <c r="B863" s="722">
        <v>150</v>
      </c>
      <c r="C863" s="723">
        <v>674</v>
      </c>
      <c r="D863" s="723">
        <v>11</v>
      </c>
      <c r="E863" s="723">
        <v>0</v>
      </c>
      <c r="F863" s="723">
        <v>0</v>
      </c>
      <c r="G863" s="723">
        <v>685</v>
      </c>
      <c r="H863" s="724">
        <v>91139.702246903558</v>
      </c>
      <c r="I863" s="724">
        <v>1487.4432117447168</v>
      </c>
      <c r="J863" s="724">
        <v>0</v>
      </c>
      <c r="K863" s="724">
        <v>0</v>
      </c>
      <c r="L863" s="724">
        <v>92627.145458648272</v>
      </c>
    </row>
    <row r="864" spans="1:12">
      <c r="A864" s="722" t="s">
        <v>170</v>
      </c>
      <c r="B864" s="722">
        <v>160</v>
      </c>
      <c r="C864" s="723">
        <v>68</v>
      </c>
      <c r="D864" s="723">
        <v>7</v>
      </c>
      <c r="E864" s="723">
        <v>0</v>
      </c>
      <c r="F864" s="723">
        <v>0</v>
      </c>
      <c r="G864" s="723">
        <v>75</v>
      </c>
      <c r="H864" s="724">
        <v>9195.1034907855228</v>
      </c>
      <c r="I864" s="724">
        <v>946.5547711102746</v>
      </c>
      <c r="J864" s="724">
        <v>0</v>
      </c>
      <c r="K864" s="724">
        <v>0</v>
      </c>
      <c r="L864" s="724">
        <v>10141.658261895798</v>
      </c>
    </row>
    <row r="865" spans="1:12">
      <c r="A865" s="722" t="s">
        <v>170</v>
      </c>
      <c r="B865" s="722">
        <v>170</v>
      </c>
      <c r="C865" s="723">
        <v>6</v>
      </c>
      <c r="D865" s="723">
        <v>8</v>
      </c>
      <c r="E865" s="723">
        <v>0</v>
      </c>
      <c r="F865" s="723">
        <v>0</v>
      </c>
      <c r="G865" s="723">
        <v>14</v>
      </c>
      <c r="H865" s="724">
        <v>811.33266095166357</v>
      </c>
      <c r="I865" s="724">
        <v>1081.7768812688848</v>
      </c>
      <c r="J865" s="724">
        <v>0</v>
      </c>
      <c r="K865" s="724">
        <v>0</v>
      </c>
      <c r="L865" s="724">
        <v>1893.1095422205485</v>
      </c>
    </row>
    <row r="866" spans="1:12">
      <c r="A866" s="722" t="s">
        <v>170</v>
      </c>
      <c r="B866" s="722">
        <v>171</v>
      </c>
      <c r="C866" s="723">
        <v>17</v>
      </c>
      <c r="D866" s="723">
        <v>5</v>
      </c>
      <c r="E866" s="723">
        <v>0</v>
      </c>
      <c r="F866" s="723">
        <v>0</v>
      </c>
      <c r="G866" s="723">
        <v>22</v>
      </c>
      <c r="H866" s="724">
        <v>2298.7758726963807</v>
      </c>
      <c r="I866" s="724">
        <v>676.11055079305311</v>
      </c>
      <c r="J866" s="724">
        <v>0</v>
      </c>
      <c r="K866" s="724">
        <v>0</v>
      </c>
      <c r="L866" s="724">
        <v>2974.8864234894336</v>
      </c>
    </row>
    <row r="867" spans="1:12">
      <c r="A867" s="722" t="s">
        <v>170</v>
      </c>
      <c r="B867" s="722">
        <v>172</v>
      </c>
      <c r="C867" s="723">
        <v>0</v>
      </c>
      <c r="D867" s="723">
        <v>2</v>
      </c>
      <c r="E867" s="723">
        <v>0</v>
      </c>
      <c r="F867" s="723">
        <v>0</v>
      </c>
      <c r="G867" s="723">
        <v>2</v>
      </c>
      <c r="H867" s="724">
        <v>0</v>
      </c>
      <c r="I867" s="724">
        <v>270.44422031722127</v>
      </c>
      <c r="J867" s="724">
        <v>0</v>
      </c>
      <c r="K867" s="724">
        <v>0</v>
      </c>
      <c r="L867" s="724">
        <v>270.44422031722127</v>
      </c>
    </row>
    <row r="868" spans="1:12">
      <c r="A868" s="722" t="s">
        <v>170</v>
      </c>
      <c r="B868" s="722">
        <v>173</v>
      </c>
      <c r="C868" s="723">
        <v>14</v>
      </c>
      <c r="D868" s="723">
        <v>1</v>
      </c>
      <c r="E868" s="723">
        <v>0</v>
      </c>
      <c r="F868" s="723">
        <v>0</v>
      </c>
      <c r="G868" s="723">
        <v>15</v>
      </c>
      <c r="H868" s="724">
        <v>1893.1095422205485</v>
      </c>
      <c r="I868" s="724">
        <v>135.22211015861063</v>
      </c>
      <c r="J868" s="724">
        <v>0</v>
      </c>
      <c r="K868" s="724">
        <v>0</v>
      </c>
      <c r="L868" s="724">
        <v>2028.3316523791593</v>
      </c>
    </row>
    <row r="869" spans="1:12">
      <c r="A869" s="722" t="s">
        <v>170</v>
      </c>
      <c r="B869" s="722">
        <v>174</v>
      </c>
      <c r="C869" s="723">
        <v>15</v>
      </c>
      <c r="D869" s="723">
        <v>0</v>
      </c>
      <c r="E869" s="723">
        <v>0</v>
      </c>
      <c r="F869" s="723">
        <v>0</v>
      </c>
      <c r="G869" s="723">
        <v>15</v>
      </c>
      <c r="H869" s="724">
        <v>2028.3316523791593</v>
      </c>
      <c r="I869" s="724">
        <v>0</v>
      </c>
      <c r="J869" s="724">
        <v>0</v>
      </c>
      <c r="K869" s="724">
        <v>0</v>
      </c>
      <c r="L869" s="724">
        <v>2028.3316523791593</v>
      </c>
    </row>
    <row r="870" spans="1:12">
      <c r="A870" s="722" t="s">
        <v>170</v>
      </c>
      <c r="B870" s="722">
        <v>180</v>
      </c>
      <c r="C870" s="723">
        <v>1</v>
      </c>
      <c r="D870" s="723">
        <v>0</v>
      </c>
      <c r="E870" s="723">
        <v>0</v>
      </c>
      <c r="F870" s="723">
        <v>0</v>
      </c>
      <c r="G870" s="723">
        <v>1</v>
      </c>
      <c r="H870" s="724">
        <v>135.22211015861063</v>
      </c>
      <c r="I870" s="724">
        <v>0</v>
      </c>
      <c r="J870" s="724">
        <v>0</v>
      </c>
      <c r="K870" s="724">
        <v>0</v>
      </c>
      <c r="L870" s="724">
        <v>135.22211015861063</v>
      </c>
    </row>
    <row r="871" spans="1:12">
      <c r="A871" s="722" t="s">
        <v>170</v>
      </c>
      <c r="B871" s="722">
        <v>190</v>
      </c>
      <c r="C871" s="723">
        <v>74</v>
      </c>
      <c r="D871" s="723">
        <v>21</v>
      </c>
      <c r="E871" s="723">
        <v>0</v>
      </c>
      <c r="F871" s="723">
        <v>0</v>
      </c>
      <c r="G871" s="723">
        <v>95</v>
      </c>
      <c r="H871" s="724">
        <v>10006.436151737185</v>
      </c>
      <c r="I871" s="724">
        <v>2839.664313330823</v>
      </c>
      <c r="J871" s="724">
        <v>0</v>
      </c>
      <c r="K871" s="724">
        <v>0</v>
      </c>
      <c r="L871" s="724">
        <v>12846.100465068008</v>
      </c>
    </row>
    <row r="872" spans="1:12">
      <c r="A872" s="722" t="s">
        <v>170</v>
      </c>
      <c r="B872" s="722">
        <v>191</v>
      </c>
      <c r="C872" s="723">
        <v>81</v>
      </c>
      <c r="D872" s="723">
        <v>5</v>
      </c>
      <c r="E872" s="723">
        <v>0</v>
      </c>
      <c r="F872" s="723">
        <v>0</v>
      </c>
      <c r="G872" s="723">
        <v>86</v>
      </c>
      <c r="H872" s="724">
        <v>10952.990922847461</v>
      </c>
      <c r="I872" s="724">
        <v>676.11055079305311</v>
      </c>
      <c r="J872" s="724">
        <v>0</v>
      </c>
      <c r="K872" s="724">
        <v>0</v>
      </c>
      <c r="L872" s="724">
        <v>11629.101473640514</v>
      </c>
    </row>
    <row r="873" spans="1:12">
      <c r="A873" s="722" t="s">
        <v>170</v>
      </c>
      <c r="B873" s="722">
        <v>192</v>
      </c>
      <c r="C873" s="723">
        <v>7</v>
      </c>
      <c r="D873" s="723">
        <v>19</v>
      </c>
      <c r="E873" s="723">
        <v>0</v>
      </c>
      <c r="F873" s="723">
        <v>0</v>
      </c>
      <c r="G873" s="723">
        <v>26</v>
      </c>
      <c r="H873" s="724">
        <v>946.55477111027437</v>
      </c>
      <c r="I873" s="724">
        <v>2569.2200930136019</v>
      </c>
      <c r="J873" s="724">
        <v>0</v>
      </c>
      <c r="K873" s="724">
        <v>0</v>
      </c>
      <c r="L873" s="724">
        <v>3515.7748641238763</v>
      </c>
    </row>
    <row r="874" spans="1:12">
      <c r="A874" s="722" t="s">
        <v>170</v>
      </c>
      <c r="B874" s="722">
        <v>214</v>
      </c>
      <c r="C874" s="723">
        <v>0</v>
      </c>
      <c r="D874" s="723">
        <v>1</v>
      </c>
      <c r="E874" s="723">
        <v>0</v>
      </c>
      <c r="F874" s="723">
        <v>0</v>
      </c>
      <c r="G874" s="723">
        <v>1</v>
      </c>
      <c r="H874" s="724">
        <v>0</v>
      </c>
      <c r="I874" s="724">
        <v>135.22211015861063</v>
      </c>
      <c r="J874" s="724">
        <v>0</v>
      </c>
      <c r="K874" s="724">
        <v>0</v>
      </c>
      <c r="L874" s="724">
        <v>135.22211015861063</v>
      </c>
    </row>
    <row r="875" spans="1:12">
      <c r="A875" s="722" t="s">
        <v>170</v>
      </c>
      <c r="B875" s="722">
        <v>216</v>
      </c>
      <c r="C875" s="723">
        <v>5</v>
      </c>
      <c r="D875" s="723">
        <v>3</v>
      </c>
      <c r="E875" s="723">
        <v>0</v>
      </c>
      <c r="F875" s="723">
        <v>0</v>
      </c>
      <c r="G875" s="723">
        <v>8</v>
      </c>
      <c r="H875" s="724">
        <v>676.11055079305311</v>
      </c>
      <c r="I875" s="724">
        <v>405.6663304758319</v>
      </c>
      <c r="J875" s="724">
        <v>0</v>
      </c>
      <c r="K875" s="724">
        <v>0</v>
      </c>
      <c r="L875" s="724">
        <v>1081.7768812688851</v>
      </c>
    </row>
    <row r="876" spans="1:12">
      <c r="A876" s="722" t="s">
        <v>170</v>
      </c>
      <c r="B876" s="722">
        <v>219</v>
      </c>
      <c r="C876" s="723">
        <v>4</v>
      </c>
      <c r="D876" s="723">
        <v>3</v>
      </c>
      <c r="E876" s="723">
        <v>0</v>
      </c>
      <c r="F876" s="723">
        <v>0</v>
      </c>
      <c r="G876" s="723">
        <v>7</v>
      </c>
      <c r="H876" s="724">
        <v>540.88844063444242</v>
      </c>
      <c r="I876" s="724">
        <v>405.66633047583178</v>
      </c>
      <c r="J876" s="724">
        <v>0</v>
      </c>
      <c r="K876" s="724">
        <v>0</v>
      </c>
      <c r="L876" s="724">
        <v>946.55477111027426</v>
      </c>
    </row>
    <row r="877" spans="1:12">
      <c r="A877" s="722" t="s">
        <v>170</v>
      </c>
      <c r="B877" s="722">
        <v>251</v>
      </c>
      <c r="C877" s="723">
        <v>14</v>
      </c>
      <c r="D877" s="723">
        <v>15</v>
      </c>
      <c r="E877" s="723">
        <v>0</v>
      </c>
      <c r="F877" s="723">
        <v>0</v>
      </c>
      <c r="G877" s="723">
        <v>29</v>
      </c>
      <c r="H877" s="724">
        <v>1893.1095422205487</v>
      </c>
      <c r="I877" s="724">
        <v>2028.3316523791596</v>
      </c>
      <c r="J877" s="724">
        <v>0</v>
      </c>
      <c r="K877" s="724">
        <v>0</v>
      </c>
      <c r="L877" s="724">
        <v>3921.4411945997081</v>
      </c>
    </row>
    <row r="878" spans="1:12">
      <c r="A878" s="722" t="s">
        <v>170</v>
      </c>
      <c r="B878" s="722">
        <v>252</v>
      </c>
      <c r="C878" s="723">
        <v>6</v>
      </c>
      <c r="D878" s="723">
        <v>1</v>
      </c>
      <c r="E878" s="723">
        <v>0</v>
      </c>
      <c r="F878" s="723">
        <v>0</v>
      </c>
      <c r="G878" s="723">
        <v>7</v>
      </c>
      <c r="H878" s="724">
        <v>811.33266095166357</v>
      </c>
      <c r="I878" s="724">
        <v>135.2221101586106</v>
      </c>
      <c r="J878" s="724">
        <v>0</v>
      </c>
      <c r="K878" s="724">
        <v>0</v>
      </c>
      <c r="L878" s="724">
        <v>946.55477111027426</v>
      </c>
    </row>
    <row r="879" spans="1:12">
      <c r="A879" s="722" t="s">
        <v>170</v>
      </c>
      <c r="B879" s="722">
        <v>253</v>
      </c>
      <c r="C879" s="723">
        <v>1</v>
      </c>
      <c r="D879" s="723">
        <v>0</v>
      </c>
      <c r="E879" s="723">
        <v>0</v>
      </c>
      <c r="F879" s="723">
        <v>0</v>
      </c>
      <c r="G879" s="723">
        <v>1</v>
      </c>
      <c r="H879" s="724">
        <v>135.22211015861063</v>
      </c>
      <c r="I879" s="724">
        <v>0</v>
      </c>
      <c r="J879" s="724">
        <v>0</v>
      </c>
      <c r="K879" s="724">
        <v>0</v>
      </c>
      <c r="L879" s="724">
        <v>135.22211015861063</v>
      </c>
    </row>
    <row r="880" spans="1:12">
      <c r="A880" s="722" t="s">
        <v>170</v>
      </c>
      <c r="B880" s="722">
        <v>254</v>
      </c>
      <c r="C880" s="723">
        <v>1</v>
      </c>
      <c r="D880" s="723">
        <v>0</v>
      </c>
      <c r="E880" s="723">
        <v>0</v>
      </c>
      <c r="F880" s="723">
        <v>0</v>
      </c>
      <c r="G880" s="723">
        <v>1</v>
      </c>
      <c r="H880" s="724">
        <v>135.22211015861063</v>
      </c>
      <c r="I880" s="724">
        <v>0</v>
      </c>
      <c r="J880" s="724">
        <v>0</v>
      </c>
      <c r="K880" s="724">
        <v>0</v>
      </c>
      <c r="L880" s="724">
        <v>135.22211015861063</v>
      </c>
    </row>
    <row r="881" spans="1:12">
      <c r="A881" s="722" t="s">
        <v>170</v>
      </c>
      <c r="B881" s="722">
        <v>255</v>
      </c>
      <c r="C881" s="723">
        <v>31</v>
      </c>
      <c r="D881" s="723">
        <v>13</v>
      </c>
      <c r="E881" s="723">
        <v>0</v>
      </c>
      <c r="F881" s="723">
        <v>0</v>
      </c>
      <c r="G881" s="723">
        <v>44</v>
      </c>
      <c r="H881" s="724">
        <v>4191.8854149169292</v>
      </c>
      <c r="I881" s="724">
        <v>1757.8874320619382</v>
      </c>
      <c r="J881" s="724">
        <v>0</v>
      </c>
      <c r="K881" s="724">
        <v>0</v>
      </c>
      <c r="L881" s="724">
        <v>5949.7728469788672</v>
      </c>
    </row>
    <row r="882" spans="1:12">
      <c r="A882" s="722" t="s">
        <v>170</v>
      </c>
      <c r="B882" s="722">
        <v>257</v>
      </c>
      <c r="C882" s="723">
        <v>1</v>
      </c>
      <c r="D882" s="723">
        <v>0</v>
      </c>
      <c r="E882" s="723">
        <v>0</v>
      </c>
      <c r="F882" s="723">
        <v>0</v>
      </c>
      <c r="G882" s="723">
        <v>1</v>
      </c>
      <c r="H882" s="724">
        <v>135.22211015861063</v>
      </c>
      <c r="I882" s="724">
        <v>0</v>
      </c>
      <c r="J882" s="724">
        <v>0</v>
      </c>
      <c r="K882" s="724">
        <v>0</v>
      </c>
      <c r="L882" s="724">
        <v>135.22211015861063</v>
      </c>
    </row>
    <row r="883" spans="1:12">
      <c r="A883" s="722" t="s">
        <v>170</v>
      </c>
      <c r="B883" s="722">
        <v>258</v>
      </c>
      <c r="C883" s="723">
        <v>2151</v>
      </c>
      <c r="D883" s="723">
        <v>472</v>
      </c>
      <c r="E883" s="723">
        <v>0</v>
      </c>
      <c r="F883" s="723">
        <v>0</v>
      </c>
      <c r="G883" s="723">
        <v>2623</v>
      </c>
      <c r="H883" s="724">
        <v>290862.75895117148</v>
      </c>
      <c r="I883" s="724">
        <v>63824.83599486421</v>
      </c>
      <c r="J883" s="724">
        <v>0</v>
      </c>
      <c r="K883" s="724">
        <v>0</v>
      </c>
      <c r="L883" s="724">
        <v>354687.59494603565</v>
      </c>
    </row>
    <row r="884" spans="1:12">
      <c r="A884" s="722" t="s">
        <v>170</v>
      </c>
      <c r="B884" s="722">
        <v>259</v>
      </c>
      <c r="C884" s="723">
        <v>4</v>
      </c>
      <c r="D884" s="723">
        <v>0</v>
      </c>
      <c r="E884" s="723">
        <v>0</v>
      </c>
      <c r="F884" s="723">
        <v>0</v>
      </c>
      <c r="G884" s="723">
        <v>4</v>
      </c>
      <c r="H884" s="724">
        <v>540.88844063444253</v>
      </c>
      <c r="I884" s="724">
        <v>0</v>
      </c>
      <c r="J884" s="724">
        <v>0</v>
      </c>
      <c r="K884" s="724">
        <v>0</v>
      </c>
      <c r="L884" s="724">
        <v>540.88844063444253</v>
      </c>
    </row>
    <row r="885" spans="1:12">
      <c r="A885" s="722" t="s">
        <v>170</v>
      </c>
      <c r="B885" s="722">
        <v>262</v>
      </c>
      <c r="C885" s="723">
        <v>12</v>
      </c>
      <c r="D885" s="723">
        <v>3</v>
      </c>
      <c r="E885" s="723">
        <v>0</v>
      </c>
      <c r="F885" s="723">
        <v>0</v>
      </c>
      <c r="G885" s="723">
        <v>15</v>
      </c>
      <c r="H885" s="724">
        <v>1622.6653219033276</v>
      </c>
      <c r="I885" s="724">
        <v>405.6663304758319</v>
      </c>
      <c r="J885" s="724">
        <v>0</v>
      </c>
      <c r="K885" s="724">
        <v>0</v>
      </c>
      <c r="L885" s="724">
        <v>2028.3316523791593</v>
      </c>
    </row>
    <row r="886" spans="1:12">
      <c r="A886" s="722" t="s">
        <v>170</v>
      </c>
      <c r="B886" s="722">
        <v>263</v>
      </c>
      <c r="C886" s="723">
        <v>1</v>
      </c>
      <c r="D886" s="723">
        <v>0</v>
      </c>
      <c r="E886" s="723">
        <v>0</v>
      </c>
      <c r="F886" s="723">
        <v>0</v>
      </c>
      <c r="G886" s="723">
        <v>1</v>
      </c>
      <c r="H886" s="724">
        <v>135.22211015861063</v>
      </c>
      <c r="I886" s="724">
        <v>0</v>
      </c>
      <c r="J886" s="724">
        <v>0</v>
      </c>
      <c r="K886" s="724">
        <v>0</v>
      </c>
      <c r="L886" s="724">
        <v>135.22211015861063</v>
      </c>
    </row>
    <row r="887" spans="1:12">
      <c r="A887" s="722" t="s">
        <v>170</v>
      </c>
      <c r="B887" s="722">
        <v>264</v>
      </c>
      <c r="C887" s="723">
        <v>447</v>
      </c>
      <c r="D887" s="723">
        <v>12</v>
      </c>
      <c r="E887" s="723">
        <v>0</v>
      </c>
      <c r="F887" s="723">
        <v>0</v>
      </c>
      <c r="G887" s="723">
        <v>459</v>
      </c>
      <c r="H887" s="724">
        <v>60444.283240898949</v>
      </c>
      <c r="I887" s="724">
        <v>1622.6653219033274</v>
      </c>
      <c r="J887" s="724">
        <v>0</v>
      </c>
      <c r="K887" s="724">
        <v>0</v>
      </c>
      <c r="L887" s="724">
        <v>62066.948562802274</v>
      </c>
    </row>
    <row r="888" spans="1:12">
      <c r="A888" s="722" t="s">
        <v>170</v>
      </c>
      <c r="B888" s="722">
        <v>290</v>
      </c>
      <c r="C888" s="723">
        <v>9</v>
      </c>
      <c r="D888" s="723">
        <v>2</v>
      </c>
      <c r="E888" s="723">
        <v>0</v>
      </c>
      <c r="F888" s="723">
        <v>0</v>
      </c>
      <c r="G888" s="723">
        <v>11</v>
      </c>
      <c r="H888" s="724">
        <v>1216.9989914274956</v>
      </c>
      <c r="I888" s="724">
        <v>270.44422031722121</v>
      </c>
      <c r="J888" s="724">
        <v>0</v>
      </c>
      <c r="K888" s="724">
        <v>0</v>
      </c>
      <c r="L888" s="724">
        <v>1487.4432117447168</v>
      </c>
    </row>
    <row r="889" spans="1:12">
      <c r="A889" s="722" t="s">
        <v>170</v>
      </c>
      <c r="B889" s="722">
        <v>300</v>
      </c>
      <c r="C889" s="723">
        <v>5213</v>
      </c>
      <c r="D889" s="723">
        <v>3944</v>
      </c>
      <c r="E889" s="723">
        <v>0</v>
      </c>
      <c r="F889" s="723">
        <v>0</v>
      </c>
      <c r="G889" s="723">
        <v>9157</v>
      </c>
      <c r="H889" s="724">
        <v>704912.86025683722</v>
      </c>
      <c r="I889" s="724">
        <v>533316.00246556033</v>
      </c>
      <c r="J889" s="724">
        <v>0</v>
      </c>
      <c r="K889" s="724">
        <v>0</v>
      </c>
      <c r="L889" s="724">
        <v>1238228.8627223975</v>
      </c>
    </row>
    <row r="890" spans="1:12">
      <c r="A890" s="722" t="s">
        <v>170</v>
      </c>
      <c r="B890" s="722">
        <v>301</v>
      </c>
      <c r="C890" s="723">
        <v>54</v>
      </c>
      <c r="D890" s="723">
        <v>26</v>
      </c>
      <c r="E890" s="723">
        <v>0</v>
      </c>
      <c r="F890" s="723">
        <v>0</v>
      </c>
      <c r="G890" s="723">
        <v>80</v>
      </c>
      <c r="H890" s="724">
        <v>7301.9939485649738</v>
      </c>
      <c r="I890" s="724">
        <v>3515.7748641238759</v>
      </c>
      <c r="J890" s="724">
        <v>0</v>
      </c>
      <c r="K890" s="724">
        <v>0</v>
      </c>
      <c r="L890" s="724">
        <v>10817.76881268885</v>
      </c>
    </row>
    <row r="891" spans="1:12">
      <c r="A891" s="722" t="s">
        <v>170</v>
      </c>
      <c r="B891" s="722">
        <v>302</v>
      </c>
      <c r="C891" s="723">
        <v>36</v>
      </c>
      <c r="D891" s="723">
        <v>9</v>
      </c>
      <c r="E891" s="723">
        <v>0</v>
      </c>
      <c r="F891" s="723">
        <v>0</v>
      </c>
      <c r="G891" s="723">
        <v>45</v>
      </c>
      <c r="H891" s="724">
        <v>4867.9959657099816</v>
      </c>
      <c r="I891" s="724">
        <v>1216.9989914274954</v>
      </c>
      <c r="J891" s="724">
        <v>0</v>
      </c>
      <c r="K891" s="724">
        <v>0</v>
      </c>
      <c r="L891" s="724">
        <v>6084.9949571374773</v>
      </c>
    </row>
    <row r="892" spans="1:12">
      <c r="A892" s="722" t="s">
        <v>170</v>
      </c>
      <c r="B892" s="722">
        <v>303</v>
      </c>
      <c r="C892" s="723">
        <v>37</v>
      </c>
      <c r="D892" s="723">
        <v>5</v>
      </c>
      <c r="E892" s="723">
        <v>0</v>
      </c>
      <c r="F892" s="723">
        <v>0</v>
      </c>
      <c r="G892" s="723">
        <v>42</v>
      </c>
      <c r="H892" s="724">
        <v>5003.2180758685936</v>
      </c>
      <c r="I892" s="724">
        <v>676.11055079305311</v>
      </c>
      <c r="J892" s="724">
        <v>0</v>
      </c>
      <c r="K892" s="724">
        <v>0</v>
      </c>
      <c r="L892" s="724">
        <v>5679.328626661646</v>
      </c>
    </row>
    <row r="893" spans="1:12">
      <c r="A893" s="722" t="s">
        <v>170</v>
      </c>
      <c r="B893" s="722">
        <v>304</v>
      </c>
      <c r="C893" s="723">
        <v>298</v>
      </c>
      <c r="D893" s="723">
        <v>1509</v>
      </c>
      <c r="E893" s="723">
        <v>0</v>
      </c>
      <c r="F893" s="723">
        <v>0</v>
      </c>
      <c r="G893" s="723">
        <v>1807</v>
      </c>
      <c r="H893" s="724">
        <v>40296.188827265963</v>
      </c>
      <c r="I893" s="724">
        <v>204050.16422934344</v>
      </c>
      <c r="J893" s="724">
        <v>0</v>
      </c>
      <c r="K893" s="724">
        <v>0</v>
      </c>
      <c r="L893" s="724">
        <v>244346.3530566094</v>
      </c>
    </row>
    <row r="894" spans="1:12">
      <c r="A894" s="722" t="s">
        <v>170</v>
      </c>
      <c r="B894" s="722">
        <v>306</v>
      </c>
      <c r="C894" s="723">
        <v>14</v>
      </c>
      <c r="D894" s="723">
        <v>4</v>
      </c>
      <c r="E894" s="723">
        <v>0</v>
      </c>
      <c r="F894" s="723">
        <v>0</v>
      </c>
      <c r="G894" s="723">
        <v>18</v>
      </c>
      <c r="H894" s="724">
        <v>1893.1095422205487</v>
      </c>
      <c r="I894" s="724">
        <v>540.88844063444253</v>
      </c>
      <c r="J894" s="724">
        <v>0</v>
      </c>
      <c r="K894" s="724">
        <v>0</v>
      </c>
      <c r="L894" s="724">
        <v>2433.9979828549913</v>
      </c>
    </row>
    <row r="895" spans="1:12">
      <c r="A895" s="722" t="s">
        <v>170</v>
      </c>
      <c r="B895" s="722">
        <v>307</v>
      </c>
      <c r="C895" s="723">
        <v>7</v>
      </c>
      <c r="D895" s="723">
        <v>1</v>
      </c>
      <c r="E895" s="723">
        <v>0</v>
      </c>
      <c r="F895" s="723">
        <v>0</v>
      </c>
      <c r="G895" s="723">
        <v>8</v>
      </c>
      <c r="H895" s="724">
        <v>946.55477111027449</v>
      </c>
      <c r="I895" s="724">
        <v>135.22211015861063</v>
      </c>
      <c r="J895" s="724">
        <v>0</v>
      </c>
      <c r="K895" s="724">
        <v>0</v>
      </c>
      <c r="L895" s="724">
        <v>1081.7768812688851</v>
      </c>
    </row>
    <row r="896" spans="1:12">
      <c r="A896" s="722" t="s">
        <v>170</v>
      </c>
      <c r="B896" s="722">
        <v>308</v>
      </c>
      <c r="C896" s="723">
        <v>1</v>
      </c>
      <c r="D896" s="723">
        <v>0</v>
      </c>
      <c r="E896" s="723">
        <v>0</v>
      </c>
      <c r="F896" s="723">
        <v>0</v>
      </c>
      <c r="G896" s="723">
        <v>1</v>
      </c>
      <c r="H896" s="724">
        <v>135.22211015861063</v>
      </c>
      <c r="I896" s="724">
        <v>0</v>
      </c>
      <c r="J896" s="724">
        <v>0</v>
      </c>
      <c r="K896" s="724">
        <v>0</v>
      </c>
      <c r="L896" s="724">
        <v>135.22211015861063</v>
      </c>
    </row>
    <row r="897" spans="1:12">
      <c r="A897" s="722" t="s">
        <v>170</v>
      </c>
      <c r="B897" s="722">
        <v>309</v>
      </c>
      <c r="C897" s="723">
        <v>4</v>
      </c>
      <c r="D897" s="723">
        <v>0</v>
      </c>
      <c r="E897" s="723">
        <v>0</v>
      </c>
      <c r="F897" s="723">
        <v>0</v>
      </c>
      <c r="G897" s="723">
        <v>4</v>
      </c>
      <c r="H897" s="724">
        <v>540.88844063444253</v>
      </c>
      <c r="I897" s="724">
        <v>0</v>
      </c>
      <c r="J897" s="724">
        <v>0</v>
      </c>
      <c r="K897" s="724">
        <v>0</v>
      </c>
      <c r="L897" s="724">
        <v>540.88844063444253</v>
      </c>
    </row>
    <row r="898" spans="1:12">
      <c r="A898" s="722" t="s">
        <v>170</v>
      </c>
      <c r="B898" s="722">
        <v>310</v>
      </c>
      <c r="C898" s="723">
        <v>2</v>
      </c>
      <c r="D898" s="723">
        <v>0</v>
      </c>
      <c r="E898" s="723">
        <v>0</v>
      </c>
      <c r="F898" s="723">
        <v>0</v>
      </c>
      <c r="G898" s="723">
        <v>2</v>
      </c>
      <c r="H898" s="724">
        <v>270.44422031722127</v>
      </c>
      <c r="I898" s="724">
        <v>0</v>
      </c>
      <c r="J898" s="724">
        <v>0</v>
      </c>
      <c r="K898" s="724">
        <v>0</v>
      </c>
      <c r="L898" s="724">
        <v>270.44422031722127</v>
      </c>
    </row>
    <row r="899" spans="1:12">
      <c r="A899" s="722" t="s">
        <v>170</v>
      </c>
      <c r="B899" s="722">
        <v>313</v>
      </c>
      <c r="C899" s="723">
        <v>702</v>
      </c>
      <c r="D899" s="723">
        <v>51</v>
      </c>
      <c r="E899" s="723">
        <v>0</v>
      </c>
      <c r="F899" s="723">
        <v>0</v>
      </c>
      <c r="G899" s="723">
        <v>753</v>
      </c>
      <c r="H899" s="724">
        <v>94925.921331344667</v>
      </c>
      <c r="I899" s="724">
        <v>6896.3276180891426</v>
      </c>
      <c r="J899" s="724">
        <v>0</v>
      </c>
      <c r="K899" s="724">
        <v>0</v>
      </c>
      <c r="L899" s="724">
        <v>101822.24894943381</v>
      </c>
    </row>
    <row r="900" spans="1:12">
      <c r="A900" s="722" t="s">
        <v>170</v>
      </c>
      <c r="B900" s="722">
        <v>314</v>
      </c>
      <c r="C900" s="723">
        <v>2</v>
      </c>
      <c r="D900" s="723">
        <v>15</v>
      </c>
      <c r="E900" s="723">
        <v>0</v>
      </c>
      <c r="F900" s="723">
        <v>0</v>
      </c>
      <c r="G900" s="723">
        <v>17</v>
      </c>
      <c r="H900" s="724">
        <v>270.44422031722121</v>
      </c>
      <c r="I900" s="724">
        <v>2028.3316523791591</v>
      </c>
      <c r="J900" s="724">
        <v>0</v>
      </c>
      <c r="K900" s="724">
        <v>0</v>
      </c>
      <c r="L900" s="724">
        <v>2298.7758726963802</v>
      </c>
    </row>
    <row r="901" spans="1:12">
      <c r="A901" s="722" t="s">
        <v>170</v>
      </c>
      <c r="B901" s="722">
        <v>315</v>
      </c>
      <c r="C901" s="723">
        <v>2</v>
      </c>
      <c r="D901" s="723">
        <v>1</v>
      </c>
      <c r="E901" s="723">
        <v>0</v>
      </c>
      <c r="F901" s="723">
        <v>0</v>
      </c>
      <c r="G901" s="723">
        <v>3</v>
      </c>
      <c r="H901" s="724">
        <v>270.44422031722121</v>
      </c>
      <c r="I901" s="724">
        <v>135.2221101586106</v>
      </c>
      <c r="J901" s="724">
        <v>0</v>
      </c>
      <c r="K901" s="724">
        <v>0</v>
      </c>
      <c r="L901" s="724">
        <v>405.66633047583184</v>
      </c>
    </row>
    <row r="902" spans="1:12">
      <c r="A902" s="722" t="s">
        <v>170</v>
      </c>
      <c r="B902" s="722">
        <v>316</v>
      </c>
      <c r="C902" s="723">
        <v>34</v>
      </c>
      <c r="D902" s="723">
        <v>7</v>
      </c>
      <c r="E902" s="723">
        <v>0</v>
      </c>
      <c r="F902" s="723">
        <v>0</v>
      </c>
      <c r="G902" s="723">
        <v>41</v>
      </c>
      <c r="H902" s="724">
        <v>4597.5517453927614</v>
      </c>
      <c r="I902" s="724">
        <v>946.55477111027437</v>
      </c>
      <c r="J902" s="724">
        <v>0</v>
      </c>
      <c r="K902" s="724">
        <v>0</v>
      </c>
      <c r="L902" s="724">
        <v>5544.1065165030359</v>
      </c>
    </row>
    <row r="903" spans="1:12">
      <c r="A903" s="722" t="s">
        <v>170</v>
      </c>
      <c r="B903" s="722">
        <v>317</v>
      </c>
      <c r="C903" s="723">
        <v>322</v>
      </c>
      <c r="D903" s="723">
        <v>124</v>
      </c>
      <c r="E903" s="723">
        <v>0</v>
      </c>
      <c r="F903" s="723">
        <v>0</v>
      </c>
      <c r="G903" s="723">
        <v>446</v>
      </c>
      <c r="H903" s="724">
        <v>43541.519471072621</v>
      </c>
      <c r="I903" s="724">
        <v>16767.541659667717</v>
      </c>
      <c r="J903" s="724">
        <v>0</v>
      </c>
      <c r="K903" s="724">
        <v>0</v>
      </c>
      <c r="L903" s="724">
        <v>60309.061130740338</v>
      </c>
    </row>
    <row r="904" spans="1:12">
      <c r="A904" s="722" t="s">
        <v>170</v>
      </c>
      <c r="B904" s="722">
        <v>320</v>
      </c>
      <c r="C904" s="723">
        <v>3032</v>
      </c>
      <c r="D904" s="723">
        <v>3247</v>
      </c>
      <c r="E904" s="723">
        <v>0</v>
      </c>
      <c r="F904" s="723">
        <v>0</v>
      </c>
      <c r="G904" s="723">
        <v>6279</v>
      </c>
      <c r="H904" s="724">
        <v>409993.43800090742</v>
      </c>
      <c r="I904" s="724">
        <v>439066.19168500864</v>
      </c>
      <c r="J904" s="724">
        <v>0</v>
      </c>
      <c r="K904" s="724">
        <v>0</v>
      </c>
      <c r="L904" s="724">
        <v>849059.62968591612</v>
      </c>
    </row>
    <row r="905" spans="1:12">
      <c r="A905" s="722" t="s">
        <v>170</v>
      </c>
      <c r="B905" s="722">
        <v>321</v>
      </c>
      <c r="C905" s="723">
        <v>7</v>
      </c>
      <c r="D905" s="723">
        <v>4</v>
      </c>
      <c r="E905" s="723">
        <v>0</v>
      </c>
      <c r="F905" s="723">
        <v>0</v>
      </c>
      <c r="G905" s="723">
        <v>11</v>
      </c>
      <c r="H905" s="724">
        <v>946.55477111027426</v>
      </c>
      <c r="I905" s="724">
        <v>540.88844063444242</v>
      </c>
      <c r="J905" s="724">
        <v>0</v>
      </c>
      <c r="K905" s="724">
        <v>0</v>
      </c>
      <c r="L905" s="724">
        <v>1487.4432117447168</v>
      </c>
    </row>
    <row r="906" spans="1:12">
      <c r="A906" s="722" t="s">
        <v>170</v>
      </c>
      <c r="B906" s="722">
        <v>324</v>
      </c>
      <c r="C906" s="723">
        <v>9</v>
      </c>
      <c r="D906" s="723">
        <v>0</v>
      </c>
      <c r="E906" s="723">
        <v>0</v>
      </c>
      <c r="F906" s="723">
        <v>0</v>
      </c>
      <c r="G906" s="723">
        <v>9</v>
      </c>
      <c r="H906" s="724">
        <v>1216.9989914274956</v>
      </c>
      <c r="I906" s="724">
        <v>0</v>
      </c>
      <c r="J906" s="724">
        <v>0</v>
      </c>
      <c r="K906" s="724">
        <v>0</v>
      </c>
      <c r="L906" s="724">
        <v>1216.9989914274956</v>
      </c>
    </row>
    <row r="907" spans="1:12">
      <c r="A907" s="722" t="s">
        <v>170</v>
      </c>
      <c r="B907" s="722">
        <v>330</v>
      </c>
      <c r="C907" s="723">
        <v>51</v>
      </c>
      <c r="D907" s="723">
        <v>21</v>
      </c>
      <c r="E907" s="723">
        <v>0</v>
      </c>
      <c r="F907" s="723">
        <v>0</v>
      </c>
      <c r="G907" s="723">
        <v>72</v>
      </c>
      <c r="H907" s="724">
        <v>6896.3276180891426</v>
      </c>
      <c r="I907" s="724">
        <v>2839.664313330823</v>
      </c>
      <c r="J907" s="724">
        <v>0</v>
      </c>
      <c r="K907" s="724">
        <v>0</v>
      </c>
      <c r="L907" s="724">
        <v>9735.9919314199651</v>
      </c>
    </row>
    <row r="908" spans="1:12">
      <c r="A908" s="722" t="s">
        <v>170</v>
      </c>
      <c r="B908" s="722">
        <v>340</v>
      </c>
      <c r="C908" s="723">
        <v>56580</v>
      </c>
      <c r="D908" s="723">
        <v>35466</v>
      </c>
      <c r="E908" s="723">
        <v>0</v>
      </c>
      <c r="F908" s="723">
        <v>0</v>
      </c>
      <c r="G908" s="723">
        <v>92046</v>
      </c>
      <c r="H908" s="724">
        <v>7650866.9927741885</v>
      </c>
      <c r="I908" s="724">
        <v>4795787.3588852845</v>
      </c>
      <c r="J908" s="724">
        <v>0</v>
      </c>
      <c r="K908" s="724">
        <v>0</v>
      </c>
      <c r="L908" s="724">
        <v>12446654.351659473</v>
      </c>
    </row>
    <row r="909" spans="1:12">
      <c r="A909" s="722" t="s">
        <v>170</v>
      </c>
      <c r="B909" s="722">
        <v>341</v>
      </c>
      <c r="C909" s="723">
        <v>1516</v>
      </c>
      <c r="D909" s="723">
        <v>1490</v>
      </c>
      <c r="E909" s="723">
        <v>0</v>
      </c>
      <c r="F909" s="723">
        <v>0</v>
      </c>
      <c r="G909" s="723">
        <v>3006</v>
      </c>
      <c r="H909" s="724">
        <v>204996.71900045368</v>
      </c>
      <c r="I909" s="724">
        <v>201480.94413632984</v>
      </c>
      <c r="J909" s="724">
        <v>0</v>
      </c>
      <c r="K909" s="724">
        <v>0</v>
      </c>
      <c r="L909" s="724">
        <v>406477.66313678352</v>
      </c>
    </row>
    <row r="910" spans="1:12">
      <c r="A910" s="722" t="s">
        <v>170</v>
      </c>
      <c r="B910" s="722">
        <v>342</v>
      </c>
      <c r="C910" s="723">
        <v>26</v>
      </c>
      <c r="D910" s="723">
        <v>3</v>
      </c>
      <c r="E910" s="723">
        <v>0</v>
      </c>
      <c r="F910" s="723">
        <v>0</v>
      </c>
      <c r="G910" s="723">
        <v>29</v>
      </c>
      <c r="H910" s="724">
        <v>3515.7748641238763</v>
      </c>
      <c r="I910" s="724">
        <v>405.66633047583184</v>
      </c>
      <c r="J910" s="724">
        <v>0</v>
      </c>
      <c r="K910" s="724">
        <v>0</v>
      </c>
      <c r="L910" s="724">
        <v>3921.4411945997081</v>
      </c>
    </row>
    <row r="911" spans="1:12">
      <c r="A911" s="722" t="s">
        <v>170</v>
      </c>
      <c r="B911" s="722">
        <v>343</v>
      </c>
      <c r="C911" s="723">
        <v>2987</v>
      </c>
      <c r="D911" s="723">
        <v>28</v>
      </c>
      <c r="E911" s="723">
        <v>0</v>
      </c>
      <c r="F911" s="723">
        <v>0</v>
      </c>
      <c r="G911" s="723">
        <v>3015</v>
      </c>
      <c r="H911" s="724">
        <v>403908.44304376992</v>
      </c>
      <c r="I911" s="724">
        <v>3786.2190844410979</v>
      </c>
      <c r="J911" s="724">
        <v>0</v>
      </c>
      <c r="K911" s="724">
        <v>0</v>
      </c>
      <c r="L911" s="724">
        <v>407694.66212821106</v>
      </c>
    </row>
    <row r="912" spans="1:12">
      <c r="A912" s="722" t="s">
        <v>170</v>
      </c>
      <c r="B912" s="722">
        <v>350</v>
      </c>
      <c r="C912" s="723">
        <v>59</v>
      </c>
      <c r="D912" s="723">
        <v>0</v>
      </c>
      <c r="E912" s="723">
        <v>0</v>
      </c>
      <c r="F912" s="723">
        <v>0</v>
      </c>
      <c r="G912" s="723">
        <v>59</v>
      </c>
      <c r="H912" s="724">
        <v>7978.1044993580254</v>
      </c>
      <c r="I912" s="724">
        <v>0</v>
      </c>
      <c r="J912" s="724">
        <v>0</v>
      </c>
      <c r="K912" s="724">
        <v>0</v>
      </c>
      <c r="L912" s="724">
        <v>7978.1044993580263</v>
      </c>
    </row>
    <row r="913" spans="1:12">
      <c r="A913" s="722" t="s">
        <v>170</v>
      </c>
      <c r="B913" s="722">
        <v>361</v>
      </c>
      <c r="C913" s="723">
        <v>47</v>
      </c>
      <c r="D913" s="723">
        <v>9</v>
      </c>
      <c r="E913" s="723">
        <v>0</v>
      </c>
      <c r="F913" s="723">
        <v>0</v>
      </c>
      <c r="G913" s="723">
        <v>56</v>
      </c>
      <c r="H913" s="724">
        <v>6355.4391774546984</v>
      </c>
      <c r="I913" s="724">
        <v>1216.9989914274954</v>
      </c>
      <c r="J913" s="724">
        <v>0</v>
      </c>
      <c r="K913" s="724">
        <v>0</v>
      </c>
      <c r="L913" s="724">
        <v>7572.4381688821941</v>
      </c>
    </row>
    <row r="914" spans="1:12">
      <c r="A914" s="722" t="s">
        <v>170</v>
      </c>
      <c r="B914" s="722">
        <v>370</v>
      </c>
      <c r="C914" s="723">
        <v>24</v>
      </c>
      <c r="D914" s="723">
        <v>10</v>
      </c>
      <c r="E914" s="723">
        <v>0</v>
      </c>
      <c r="F914" s="723">
        <v>0</v>
      </c>
      <c r="G914" s="723">
        <v>34</v>
      </c>
      <c r="H914" s="724">
        <v>3245.3306438066543</v>
      </c>
      <c r="I914" s="724">
        <v>1352.221101586106</v>
      </c>
      <c r="J914" s="724">
        <v>0</v>
      </c>
      <c r="K914" s="724">
        <v>0</v>
      </c>
      <c r="L914" s="724">
        <v>4597.5517453927605</v>
      </c>
    </row>
    <row r="915" spans="1:12">
      <c r="A915" s="722" t="s">
        <v>170</v>
      </c>
      <c r="B915" s="722">
        <v>371</v>
      </c>
      <c r="C915" s="723">
        <v>1</v>
      </c>
      <c r="D915" s="723">
        <v>3</v>
      </c>
      <c r="E915" s="723">
        <v>0</v>
      </c>
      <c r="F915" s="723">
        <v>0</v>
      </c>
      <c r="G915" s="723">
        <v>4</v>
      </c>
      <c r="H915" s="724">
        <v>135.22211015861063</v>
      </c>
      <c r="I915" s="724">
        <v>405.6663304758319</v>
      </c>
      <c r="J915" s="724">
        <v>0</v>
      </c>
      <c r="K915" s="724">
        <v>0</v>
      </c>
      <c r="L915" s="724">
        <v>540.88844063444253</v>
      </c>
    </row>
    <row r="916" spans="1:12">
      <c r="A916" s="722" t="s">
        <v>170</v>
      </c>
      <c r="B916" s="722">
        <v>400</v>
      </c>
      <c r="C916" s="723">
        <v>47</v>
      </c>
      <c r="D916" s="723">
        <v>21</v>
      </c>
      <c r="E916" s="723">
        <v>0</v>
      </c>
      <c r="F916" s="723">
        <v>0</v>
      </c>
      <c r="G916" s="723">
        <v>68</v>
      </c>
      <c r="H916" s="724">
        <v>6355.4391774546984</v>
      </c>
      <c r="I916" s="724">
        <v>2839.6643133308226</v>
      </c>
      <c r="J916" s="724">
        <v>0</v>
      </c>
      <c r="K916" s="724">
        <v>0</v>
      </c>
      <c r="L916" s="724">
        <v>9195.103490785521</v>
      </c>
    </row>
    <row r="917" spans="1:12">
      <c r="A917" s="722" t="s">
        <v>170</v>
      </c>
      <c r="B917" s="722">
        <v>410</v>
      </c>
      <c r="C917" s="723">
        <v>115</v>
      </c>
      <c r="D917" s="723">
        <v>20</v>
      </c>
      <c r="E917" s="723">
        <v>0</v>
      </c>
      <c r="F917" s="723">
        <v>0</v>
      </c>
      <c r="G917" s="723">
        <v>135</v>
      </c>
      <c r="H917" s="724">
        <v>15550.542668240221</v>
      </c>
      <c r="I917" s="724">
        <v>2704.4422031722124</v>
      </c>
      <c r="J917" s="724">
        <v>0</v>
      </c>
      <c r="K917" s="724">
        <v>0</v>
      </c>
      <c r="L917" s="724">
        <v>18254.984871412435</v>
      </c>
    </row>
    <row r="918" spans="1:12">
      <c r="A918" s="722" t="s">
        <v>170</v>
      </c>
      <c r="B918" s="722">
        <v>420</v>
      </c>
      <c r="C918" s="723">
        <v>2067</v>
      </c>
      <c r="D918" s="723">
        <v>249</v>
      </c>
      <c r="E918" s="723">
        <v>0</v>
      </c>
      <c r="F918" s="723">
        <v>0</v>
      </c>
      <c r="G918" s="723">
        <v>2316</v>
      </c>
      <c r="H918" s="724">
        <v>279504.10169784812</v>
      </c>
      <c r="I918" s="724">
        <v>33670.305429494045</v>
      </c>
      <c r="J918" s="724">
        <v>0</v>
      </c>
      <c r="K918" s="724">
        <v>0</v>
      </c>
      <c r="L918" s="724">
        <v>313174.40712734219</v>
      </c>
    </row>
    <row r="919" spans="1:12">
      <c r="A919" s="722" t="s">
        <v>170</v>
      </c>
      <c r="B919" s="722">
        <v>421</v>
      </c>
      <c r="C919" s="723">
        <v>5</v>
      </c>
      <c r="D919" s="723">
        <v>4</v>
      </c>
      <c r="E919" s="723">
        <v>0</v>
      </c>
      <c r="F919" s="723">
        <v>0</v>
      </c>
      <c r="G919" s="723">
        <v>9</v>
      </c>
      <c r="H919" s="724">
        <v>676.11055079305311</v>
      </c>
      <c r="I919" s="724">
        <v>540.88844063444253</v>
      </c>
      <c r="J919" s="724">
        <v>0</v>
      </c>
      <c r="K919" s="724">
        <v>0</v>
      </c>
      <c r="L919" s="724">
        <v>1216.9989914274956</v>
      </c>
    </row>
    <row r="920" spans="1:12">
      <c r="A920" s="722" t="s">
        <v>170</v>
      </c>
      <c r="B920" s="722">
        <v>422</v>
      </c>
      <c r="C920" s="723">
        <v>2</v>
      </c>
      <c r="D920" s="723">
        <v>0</v>
      </c>
      <c r="E920" s="723">
        <v>0</v>
      </c>
      <c r="F920" s="723">
        <v>0</v>
      </c>
      <c r="G920" s="723">
        <v>2</v>
      </c>
      <c r="H920" s="724">
        <v>270.44422031722127</v>
      </c>
      <c r="I920" s="724">
        <v>0</v>
      </c>
      <c r="J920" s="724">
        <v>0</v>
      </c>
      <c r="K920" s="724">
        <v>0</v>
      </c>
      <c r="L920" s="724">
        <v>270.44422031722127</v>
      </c>
    </row>
    <row r="921" spans="1:12">
      <c r="A921" s="722" t="s">
        <v>170</v>
      </c>
      <c r="B921" s="722">
        <v>430</v>
      </c>
      <c r="C921" s="723">
        <v>44</v>
      </c>
      <c r="D921" s="723">
        <v>55</v>
      </c>
      <c r="E921" s="723">
        <v>0</v>
      </c>
      <c r="F921" s="723">
        <v>0</v>
      </c>
      <c r="G921" s="723">
        <v>99</v>
      </c>
      <c r="H921" s="724">
        <v>5949.7728469788681</v>
      </c>
      <c r="I921" s="724">
        <v>7437.2160587235849</v>
      </c>
      <c r="J921" s="724">
        <v>0</v>
      </c>
      <c r="K921" s="724">
        <v>0</v>
      </c>
      <c r="L921" s="724">
        <v>13386.988905702452</v>
      </c>
    </row>
    <row r="922" spans="1:12">
      <c r="A922" s="722" t="s">
        <v>170</v>
      </c>
      <c r="B922" s="722">
        <v>501</v>
      </c>
      <c r="C922" s="723">
        <v>12</v>
      </c>
      <c r="D922" s="723">
        <v>2</v>
      </c>
      <c r="E922" s="723">
        <v>0</v>
      </c>
      <c r="F922" s="723">
        <v>0</v>
      </c>
      <c r="G922" s="723">
        <v>14</v>
      </c>
      <c r="H922" s="724">
        <v>1622.6653219033271</v>
      </c>
      <c r="I922" s="724">
        <v>270.44422031722121</v>
      </c>
      <c r="J922" s="724">
        <v>0</v>
      </c>
      <c r="K922" s="724">
        <v>0</v>
      </c>
      <c r="L922" s="724">
        <v>1893.1095422205485</v>
      </c>
    </row>
    <row r="923" spans="1:12">
      <c r="A923" s="722" t="s">
        <v>170</v>
      </c>
      <c r="B923" s="722">
        <v>502</v>
      </c>
      <c r="C923" s="723">
        <v>215</v>
      </c>
      <c r="D923" s="723">
        <v>15</v>
      </c>
      <c r="E923" s="723">
        <v>0</v>
      </c>
      <c r="F923" s="723">
        <v>0</v>
      </c>
      <c r="G923" s="723">
        <v>230</v>
      </c>
      <c r="H923" s="724">
        <v>29072.753684101281</v>
      </c>
      <c r="I923" s="724">
        <v>2028.3316523791591</v>
      </c>
      <c r="J923" s="724">
        <v>0</v>
      </c>
      <c r="K923" s="724">
        <v>0</v>
      </c>
      <c r="L923" s="724">
        <v>31101.085336480442</v>
      </c>
    </row>
    <row r="924" spans="1:12">
      <c r="A924" s="722" t="s">
        <v>170</v>
      </c>
      <c r="B924" s="722">
        <v>503</v>
      </c>
      <c r="C924" s="723">
        <v>56</v>
      </c>
      <c r="D924" s="723">
        <v>0</v>
      </c>
      <c r="E924" s="723">
        <v>0</v>
      </c>
      <c r="F924" s="723">
        <v>0</v>
      </c>
      <c r="G924" s="723">
        <v>56</v>
      </c>
      <c r="H924" s="724">
        <v>7572.4381688821941</v>
      </c>
      <c r="I924" s="724">
        <v>0</v>
      </c>
      <c r="J924" s="724">
        <v>0</v>
      </c>
      <c r="K924" s="724">
        <v>0</v>
      </c>
      <c r="L924" s="724">
        <v>7572.4381688821941</v>
      </c>
    </row>
    <row r="925" spans="1:12">
      <c r="A925" s="722" t="s">
        <v>170</v>
      </c>
      <c r="B925" s="722">
        <v>560</v>
      </c>
      <c r="C925" s="723">
        <v>2</v>
      </c>
      <c r="D925" s="723">
        <v>1</v>
      </c>
      <c r="E925" s="723">
        <v>0</v>
      </c>
      <c r="F925" s="723">
        <v>0</v>
      </c>
      <c r="G925" s="723">
        <v>3</v>
      </c>
      <c r="H925" s="724">
        <v>270.44422031722121</v>
      </c>
      <c r="I925" s="724">
        <v>135.2221101586106</v>
      </c>
      <c r="J925" s="724">
        <v>0</v>
      </c>
      <c r="K925" s="724">
        <v>0</v>
      </c>
      <c r="L925" s="724">
        <v>405.66633047583184</v>
      </c>
    </row>
    <row r="926" spans="1:12">
      <c r="A926" s="722" t="s">
        <v>170</v>
      </c>
      <c r="B926" s="722">
        <v>650</v>
      </c>
      <c r="C926" s="723">
        <v>19</v>
      </c>
      <c r="D926" s="723">
        <v>7</v>
      </c>
      <c r="E926" s="723">
        <v>0</v>
      </c>
      <c r="F926" s="723">
        <v>0</v>
      </c>
      <c r="G926" s="723">
        <v>26</v>
      </c>
      <c r="H926" s="724">
        <v>2569.2200930136019</v>
      </c>
      <c r="I926" s="724">
        <v>946.55477111027437</v>
      </c>
      <c r="J926" s="724">
        <v>0</v>
      </c>
      <c r="K926" s="724">
        <v>0</v>
      </c>
      <c r="L926" s="724">
        <v>3515.7748641238763</v>
      </c>
    </row>
    <row r="927" spans="1:12">
      <c r="A927" s="722" t="s">
        <v>170</v>
      </c>
      <c r="B927" s="722">
        <v>651</v>
      </c>
      <c r="C927" s="723">
        <v>0</v>
      </c>
      <c r="D927" s="723">
        <v>1</v>
      </c>
      <c r="E927" s="723">
        <v>0</v>
      </c>
      <c r="F927" s="723">
        <v>0</v>
      </c>
      <c r="G927" s="723">
        <v>1</v>
      </c>
      <c r="H927" s="724">
        <v>0</v>
      </c>
      <c r="I927" s="724">
        <v>135.22211015861063</v>
      </c>
      <c r="J927" s="724">
        <v>0</v>
      </c>
      <c r="K927" s="724">
        <v>0</v>
      </c>
      <c r="L927" s="724">
        <v>135.22211015861063</v>
      </c>
    </row>
    <row r="928" spans="1:12">
      <c r="A928" s="722" t="s">
        <v>170</v>
      </c>
      <c r="B928" s="722">
        <v>652</v>
      </c>
      <c r="C928" s="723">
        <v>1</v>
      </c>
      <c r="D928" s="723">
        <v>0</v>
      </c>
      <c r="E928" s="723">
        <v>0</v>
      </c>
      <c r="F928" s="723">
        <v>0</v>
      </c>
      <c r="G928" s="723">
        <v>1</v>
      </c>
      <c r="H928" s="724">
        <v>135.22211015861063</v>
      </c>
      <c r="I928" s="724">
        <v>0</v>
      </c>
      <c r="J928" s="724">
        <v>0</v>
      </c>
      <c r="K928" s="724">
        <v>0</v>
      </c>
      <c r="L928" s="724">
        <v>135.22211015861063</v>
      </c>
    </row>
    <row r="929" spans="1:12">
      <c r="A929" s="722" t="s">
        <v>170</v>
      </c>
      <c r="B929" s="722">
        <v>654</v>
      </c>
      <c r="C929" s="723">
        <v>2</v>
      </c>
      <c r="D929" s="723">
        <v>1</v>
      </c>
      <c r="E929" s="723">
        <v>0</v>
      </c>
      <c r="F929" s="723">
        <v>0</v>
      </c>
      <c r="G929" s="723">
        <v>3</v>
      </c>
      <c r="H929" s="724">
        <v>270.44422031722121</v>
      </c>
      <c r="I929" s="724">
        <v>135.2221101586106</v>
      </c>
      <c r="J929" s="724">
        <v>0</v>
      </c>
      <c r="K929" s="724">
        <v>0</v>
      </c>
      <c r="L929" s="724">
        <v>405.66633047583184</v>
      </c>
    </row>
    <row r="930" spans="1:12">
      <c r="A930" s="722" t="s">
        <v>170</v>
      </c>
      <c r="B930" s="722">
        <v>800</v>
      </c>
      <c r="C930" s="723">
        <v>18</v>
      </c>
      <c r="D930" s="723">
        <v>2</v>
      </c>
      <c r="E930" s="723">
        <v>0</v>
      </c>
      <c r="F930" s="723">
        <v>0</v>
      </c>
      <c r="G930" s="723">
        <v>20</v>
      </c>
      <c r="H930" s="724">
        <v>2433.9979828549913</v>
      </c>
      <c r="I930" s="724">
        <v>270.44422031722127</v>
      </c>
      <c r="J930" s="724">
        <v>0</v>
      </c>
      <c r="K930" s="724">
        <v>0</v>
      </c>
      <c r="L930" s="724">
        <v>2704.4422031722124</v>
      </c>
    </row>
    <row r="931" spans="1:12">
      <c r="A931" s="722" t="s">
        <v>170</v>
      </c>
      <c r="B931" s="722">
        <v>811</v>
      </c>
      <c r="C931" s="723">
        <v>6</v>
      </c>
      <c r="D931" s="723">
        <v>0</v>
      </c>
      <c r="E931" s="723">
        <v>0</v>
      </c>
      <c r="F931" s="723">
        <v>0</v>
      </c>
      <c r="G931" s="723">
        <v>6</v>
      </c>
      <c r="H931" s="724">
        <v>811.3326609516638</v>
      </c>
      <c r="I931" s="724">
        <v>0</v>
      </c>
      <c r="J931" s="724">
        <v>0</v>
      </c>
      <c r="K931" s="724">
        <v>0</v>
      </c>
      <c r="L931" s="724">
        <v>811.33266095166368</v>
      </c>
    </row>
    <row r="932" spans="1:12">
      <c r="A932" s="722" t="s">
        <v>170</v>
      </c>
      <c r="B932" s="722">
        <v>812</v>
      </c>
      <c r="C932" s="723">
        <v>3</v>
      </c>
      <c r="D932" s="723">
        <v>1</v>
      </c>
      <c r="E932" s="723">
        <v>0</v>
      </c>
      <c r="F932" s="723">
        <v>0</v>
      </c>
      <c r="G932" s="723">
        <v>4</v>
      </c>
      <c r="H932" s="724">
        <v>405.6663304758319</v>
      </c>
      <c r="I932" s="724">
        <v>135.22211015861063</v>
      </c>
      <c r="J932" s="724">
        <v>0</v>
      </c>
      <c r="K932" s="724">
        <v>0</v>
      </c>
      <c r="L932" s="724">
        <v>540.88844063444253</v>
      </c>
    </row>
    <row r="933" spans="1:12">
      <c r="A933" s="722" t="s">
        <v>176</v>
      </c>
      <c r="B933" s="722">
        <v>100</v>
      </c>
      <c r="C933" s="723">
        <v>1</v>
      </c>
      <c r="D933" s="723">
        <v>1</v>
      </c>
      <c r="E933" s="723">
        <v>0</v>
      </c>
      <c r="F933" s="723">
        <v>0</v>
      </c>
      <c r="G933" s="723">
        <v>2</v>
      </c>
      <c r="H933" s="724">
        <v>149.54458691090898</v>
      </c>
      <c r="I933" s="724">
        <v>149.54458691090898</v>
      </c>
      <c r="J933" s="724">
        <v>0</v>
      </c>
      <c r="K933" s="724">
        <v>0</v>
      </c>
      <c r="L933" s="724">
        <v>299.08917382181795</v>
      </c>
    </row>
    <row r="934" spans="1:12">
      <c r="A934" s="722" t="s">
        <v>176</v>
      </c>
      <c r="B934" s="722">
        <v>101</v>
      </c>
      <c r="C934" s="723">
        <v>1</v>
      </c>
      <c r="D934" s="723">
        <v>2</v>
      </c>
      <c r="E934" s="723">
        <v>0</v>
      </c>
      <c r="F934" s="723">
        <v>0</v>
      </c>
      <c r="G934" s="723">
        <v>3</v>
      </c>
      <c r="H934" s="724">
        <v>149.54458691090898</v>
      </c>
      <c r="I934" s="724">
        <v>299.08917382181795</v>
      </c>
      <c r="J934" s="724">
        <v>0</v>
      </c>
      <c r="K934" s="724">
        <v>0</v>
      </c>
      <c r="L934" s="724">
        <v>448.6337607327269</v>
      </c>
    </row>
    <row r="935" spans="1:12">
      <c r="A935" s="722" t="s">
        <v>176</v>
      </c>
      <c r="B935" s="722">
        <v>110</v>
      </c>
      <c r="C935" s="723">
        <v>1</v>
      </c>
      <c r="D935" s="723">
        <v>0</v>
      </c>
      <c r="E935" s="723">
        <v>0</v>
      </c>
      <c r="F935" s="723">
        <v>0</v>
      </c>
      <c r="G935" s="723">
        <v>1</v>
      </c>
      <c r="H935" s="724">
        <v>149.54458691090898</v>
      </c>
      <c r="I935" s="724">
        <v>0</v>
      </c>
      <c r="J935" s="724">
        <v>0</v>
      </c>
      <c r="K935" s="724">
        <v>0</v>
      </c>
      <c r="L935" s="724">
        <v>149.54458691090898</v>
      </c>
    </row>
    <row r="936" spans="1:12">
      <c r="A936" s="722" t="s">
        <v>176</v>
      </c>
      <c r="B936" s="722">
        <v>190</v>
      </c>
      <c r="C936" s="723">
        <v>1</v>
      </c>
      <c r="D936" s="723">
        <v>0</v>
      </c>
      <c r="E936" s="723">
        <v>0</v>
      </c>
      <c r="F936" s="723">
        <v>0</v>
      </c>
      <c r="G936" s="723">
        <v>1</v>
      </c>
      <c r="H936" s="724">
        <v>149.54458691090898</v>
      </c>
      <c r="I936" s="724">
        <v>0</v>
      </c>
      <c r="J936" s="724">
        <v>0</v>
      </c>
      <c r="K936" s="724">
        <v>0</v>
      </c>
      <c r="L936" s="724">
        <v>149.54458691090898</v>
      </c>
    </row>
    <row r="937" spans="1:12">
      <c r="A937" s="722" t="s">
        <v>176</v>
      </c>
      <c r="B937" s="722">
        <v>221</v>
      </c>
      <c r="C937" s="723">
        <v>1</v>
      </c>
      <c r="D937" s="723">
        <v>0</v>
      </c>
      <c r="E937" s="723">
        <v>0</v>
      </c>
      <c r="F937" s="723">
        <v>0</v>
      </c>
      <c r="G937" s="723">
        <v>1</v>
      </c>
      <c r="H937" s="724">
        <v>149.54458691090898</v>
      </c>
      <c r="I937" s="724">
        <v>0</v>
      </c>
      <c r="J937" s="724">
        <v>0</v>
      </c>
      <c r="K937" s="724">
        <v>0</v>
      </c>
      <c r="L937" s="724">
        <v>149.54458691090898</v>
      </c>
    </row>
    <row r="938" spans="1:12">
      <c r="A938" s="722" t="s">
        <v>176</v>
      </c>
      <c r="B938" s="722">
        <v>300</v>
      </c>
      <c r="C938" s="723">
        <v>1</v>
      </c>
      <c r="D938" s="723">
        <v>14</v>
      </c>
      <c r="E938" s="723">
        <v>0</v>
      </c>
      <c r="F938" s="723">
        <v>0</v>
      </c>
      <c r="G938" s="723">
        <v>15</v>
      </c>
      <c r="H938" s="724">
        <v>149.54458691090898</v>
      </c>
      <c r="I938" s="724">
        <v>2093.6242167527257</v>
      </c>
      <c r="J938" s="724">
        <v>0</v>
      </c>
      <c r="K938" s="724">
        <v>0</v>
      </c>
      <c r="L938" s="724">
        <v>2243.1688036636347</v>
      </c>
    </row>
    <row r="939" spans="1:12">
      <c r="A939" s="722" t="s">
        <v>176</v>
      </c>
      <c r="B939" s="722">
        <v>304</v>
      </c>
      <c r="C939" s="723">
        <v>876</v>
      </c>
      <c r="D939" s="723">
        <v>160</v>
      </c>
      <c r="E939" s="723">
        <v>0</v>
      </c>
      <c r="F939" s="723">
        <v>0</v>
      </c>
      <c r="G939" s="723">
        <v>1036</v>
      </c>
      <c r="H939" s="724">
        <v>131001.05813395626</v>
      </c>
      <c r="I939" s="724">
        <v>23927.133905745439</v>
      </c>
      <c r="J939" s="724">
        <v>0</v>
      </c>
      <c r="K939" s="724">
        <v>0</v>
      </c>
      <c r="L939" s="724">
        <v>154928.19203970171</v>
      </c>
    </row>
    <row r="940" spans="1:12">
      <c r="A940" s="722" t="s">
        <v>176</v>
      </c>
      <c r="B940" s="722">
        <v>320</v>
      </c>
      <c r="C940" s="723">
        <v>1684</v>
      </c>
      <c r="D940" s="723">
        <v>198</v>
      </c>
      <c r="E940" s="723">
        <v>0</v>
      </c>
      <c r="F940" s="723">
        <v>0</v>
      </c>
      <c r="G940" s="723">
        <v>1882</v>
      </c>
      <c r="H940" s="724">
        <v>251833.08435797071</v>
      </c>
      <c r="I940" s="724">
        <v>29609.828208359977</v>
      </c>
      <c r="J940" s="724">
        <v>0</v>
      </c>
      <c r="K940" s="724">
        <v>0</v>
      </c>
      <c r="L940" s="724">
        <v>281442.91256633069</v>
      </c>
    </row>
    <row r="941" spans="1:12">
      <c r="A941" s="722" t="s">
        <v>176</v>
      </c>
      <c r="B941" s="722">
        <v>321</v>
      </c>
      <c r="C941" s="723">
        <v>56</v>
      </c>
      <c r="D941" s="723">
        <v>0</v>
      </c>
      <c r="E941" s="723">
        <v>0</v>
      </c>
      <c r="F941" s="723">
        <v>0</v>
      </c>
      <c r="G941" s="723">
        <v>56</v>
      </c>
      <c r="H941" s="724">
        <v>8374.4968670109029</v>
      </c>
      <c r="I941" s="724">
        <v>0</v>
      </c>
      <c r="J941" s="724">
        <v>0</v>
      </c>
      <c r="K941" s="724">
        <v>0</v>
      </c>
      <c r="L941" s="724">
        <v>8374.4968670109029</v>
      </c>
    </row>
    <row r="942" spans="1:12">
      <c r="A942" s="722" t="s">
        <v>176</v>
      </c>
      <c r="B942" s="722">
        <v>340</v>
      </c>
      <c r="C942" s="723">
        <v>2</v>
      </c>
      <c r="D942" s="723">
        <v>0</v>
      </c>
      <c r="E942" s="723">
        <v>0</v>
      </c>
      <c r="F942" s="723">
        <v>0</v>
      </c>
      <c r="G942" s="723">
        <v>2</v>
      </c>
      <c r="H942" s="724">
        <v>299.08917382181795</v>
      </c>
      <c r="I942" s="724">
        <v>0</v>
      </c>
      <c r="J942" s="724">
        <v>0</v>
      </c>
      <c r="K942" s="724">
        <v>0</v>
      </c>
      <c r="L942" s="724">
        <v>299.08917382181795</v>
      </c>
    </row>
    <row r="943" spans="1:12">
      <c r="A943" s="722" t="s">
        <v>176</v>
      </c>
      <c r="B943" s="722">
        <v>361</v>
      </c>
      <c r="C943" s="723">
        <v>1</v>
      </c>
      <c r="D943" s="723">
        <v>0</v>
      </c>
      <c r="E943" s="723">
        <v>0</v>
      </c>
      <c r="F943" s="723">
        <v>0</v>
      </c>
      <c r="G943" s="723">
        <v>1</v>
      </c>
      <c r="H943" s="724">
        <v>149.54458691090898</v>
      </c>
      <c r="I943" s="724">
        <v>0</v>
      </c>
      <c r="J943" s="724">
        <v>0</v>
      </c>
      <c r="K943" s="724">
        <v>0</v>
      </c>
      <c r="L943" s="724">
        <v>149.54458691090898</v>
      </c>
    </row>
    <row r="944" spans="1:12">
      <c r="A944" s="722" t="s">
        <v>176</v>
      </c>
      <c r="B944" s="722">
        <v>430</v>
      </c>
      <c r="C944" s="723">
        <v>0</v>
      </c>
      <c r="D944" s="723">
        <v>2</v>
      </c>
      <c r="E944" s="723">
        <v>0</v>
      </c>
      <c r="F944" s="723">
        <v>0</v>
      </c>
      <c r="G944" s="723">
        <v>2</v>
      </c>
      <c r="H944" s="724">
        <v>0</v>
      </c>
      <c r="I944" s="724">
        <v>299.08917382181795</v>
      </c>
      <c r="J944" s="724">
        <v>0</v>
      </c>
      <c r="K944" s="724">
        <v>0</v>
      </c>
      <c r="L944" s="724">
        <v>299.08917382181795</v>
      </c>
    </row>
    <row r="945" spans="1:12">
      <c r="A945" s="722" t="s">
        <v>176</v>
      </c>
      <c r="B945" s="722">
        <v>501</v>
      </c>
      <c r="C945" s="723">
        <v>0</v>
      </c>
      <c r="D945" s="723">
        <v>1</v>
      </c>
      <c r="E945" s="723">
        <v>0</v>
      </c>
      <c r="F945" s="723">
        <v>0</v>
      </c>
      <c r="G945" s="723">
        <v>1</v>
      </c>
      <c r="H945" s="724">
        <v>0</v>
      </c>
      <c r="I945" s="724">
        <v>149.54458691090898</v>
      </c>
      <c r="J945" s="724">
        <v>0</v>
      </c>
      <c r="K945" s="724">
        <v>0</v>
      </c>
      <c r="L945" s="724">
        <v>149.54458691090898</v>
      </c>
    </row>
    <row r="946" spans="1:12">
      <c r="A946" s="722" t="s">
        <v>176</v>
      </c>
      <c r="B946" s="722">
        <v>502</v>
      </c>
      <c r="C946" s="723">
        <v>1</v>
      </c>
      <c r="D946" s="723">
        <v>0</v>
      </c>
      <c r="E946" s="723">
        <v>0</v>
      </c>
      <c r="F946" s="723">
        <v>0</v>
      </c>
      <c r="G946" s="723">
        <v>1</v>
      </c>
      <c r="H946" s="724">
        <v>149.54458691090898</v>
      </c>
      <c r="I946" s="724">
        <v>0</v>
      </c>
      <c r="J946" s="724">
        <v>0</v>
      </c>
      <c r="K946" s="724">
        <v>0</v>
      </c>
      <c r="L946" s="724">
        <v>149.54458691090898</v>
      </c>
    </row>
    <row r="947" spans="1:12">
      <c r="A947" s="722" t="s">
        <v>176</v>
      </c>
      <c r="B947" s="722">
        <v>560</v>
      </c>
      <c r="C947" s="723">
        <v>1</v>
      </c>
      <c r="D947" s="723">
        <v>0</v>
      </c>
      <c r="E947" s="723">
        <v>0</v>
      </c>
      <c r="F947" s="723">
        <v>0</v>
      </c>
      <c r="G947" s="723">
        <v>1</v>
      </c>
      <c r="H947" s="724">
        <v>149.54458691090898</v>
      </c>
      <c r="I947" s="724">
        <v>0</v>
      </c>
      <c r="J947" s="724">
        <v>0</v>
      </c>
      <c r="K947" s="724">
        <v>0</v>
      </c>
      <c r="L947" s="724">
        <v>149.54458691090898</v>
      </c>
    </row>
    <row r="948" spans="1:12">
      <c r="A948" s="722" t="s">
        <v>176</v>
      </c>
      <c r="B948" s="722">
        <v>811</v>
      </c>
      <c r="C948" s="723">
        <v>5</v>
      </c>
      <c r="D948" s="723">
        <v>2</v>
      </c>
      <c r="E948" s="723">
        <v>0</v>
      </c>
      <c r="F948" s="723">
        <v>0</v>
      </c>
      <c r="G948" s="723">
        <v>7</v>
      </c>
      <c r="H948" s="724">
        <v>747.72293455454485</v>
      </c>
      <c r="I948" s="724">
        <v>299.08917382181795</v>
      </c>
      <c r="J948" s="724">
        <v>0</v>
      </c>
      <c r="K948" s="724">
        <v>0</v>
      </c>
      <c r="L948" s="724">
        <v>1046.8121083763629</v>
      </c>
    </row>
    <row r="949" spans="1:12">
      <c r="A949" s="722" t="s">
        <v>176</v>
      </c>
      <c r="B949" s="722">
        <v>812</v>
      </c>
      <c r="C949" s="723">
        <v>0</v>
      </c>
      <c r="D949" s="723">
        <v>9</v>
      </c>
      <c r="E949" s="723">
        <v>0</v>
      </c>
      <c r="F949" s="723">
        <v>0</v>
      </c>
      <c r="G949" s="723">
        <v>9</v>
      </c>
      <c r="H949" s="724">
        <v>0</v>
      </c>
      <c r="I949" s="724">
        <v>1345.9012821981808</v>
      </c>
      <c r="J949" s="724">
        <v>0</v>
      </c>
      <c r="K949" s="724">
        <v>0</v>
      </c>
      <c r="L949" s="724">
        <v>1345.9012821981808</v>
      </c>
    </row>
    <row r="950" spans="1:12">
      <c r="A950" s="722" t="s">
        <v>177</v>
      </c>
      <c r="B950" s="722">
        <v>320</v>
      </c>
      <c r="C950" s="723">
        <v>5</v>
      </c>
      <c r="D950" s="723">
        <v>3</v>
      </c>
      <c r="E950" s="723">
        <v>0</v>
      </c>
      <c r="F950" s="723">
        <v>0</v>
      </c>
      <c r="G950" s="723">
        <v>8</v>
      </c>
      <c r="H950" s="724">
        <v>737.48752600120997</v>
      </c>
      <c r="I950" s="724">
        <v>442.49251560072594</v>
      </c>
      <c r="J950" s="724">
        <v>0</v>
      </c>
      <c r="K950" s="724">
        <v>0</v>
      </c>
      <c r="L950" s="724">
        <v>1179.9800416019359</v>
      </c>
    </row>
    <row r="951" spans="1:12">
      <c r="A951" s="722" t="s">
        <v>177</v>
      </c>
      <c r="B951" s="722">
        <v>430</v>
      </c>
      <c r="C951" s="723">
        <v>2</v>
      </c>
      <c r="D951" s="723">
        <v>0</v>
      </c>
      <c r="E951" s="723">
        <v>0</v>
      </c>
      <c r="F951" s="723">
        <v>0</v>
      </c>
      <c r="G951" s="723">
        <v>2</v>
      </c>
      <c r="H951" s="724">
        <v>294.99501040048398</v>
      </c>
      <c r="I951" s="724">
        <v>0</v>
      </c>
      <c r="J951" s="724">
        <v>0</v>
      </c>
      <c r="K951" s="724">
        <v>0</v>
      </c>
      <c r="L951" s="724">
        <v>294.99501040048398</v>
      </c>
    </row>
    <row r="952" spans="1:12">
      <c r="A952" s="722" t="s">
        <v>383</v>
      </c>
      <c r="B952" s="722">
        <v>300</v>
      </c>
      <c r="C952" s="723">
        <v>0</v>
      </c>
      <c r="D952" s="723">
        <v>1</v>
      </c>
      <c r="E952" s="723">
        <v>0</v>
      </c>
      <c r="F952" s="723">
        <v>0</v>
      </c>
      <c r="G952" s="723">
        <v>1</v>
      </c>
      <c r="H952" s="724">
        <v>0</v>
      </c>
      <c r="I952" s="724">
        <v>107.37704680242867</v>
      </c>
      <c r="J952" s="724">
        <v>0</v>
      </c>
      <c r="K952" s="724">
        <v>0</v>
      </c>
      <c r="L952" s="724">
        <v>107.37704680242867</v>
      </c>
    </row>
    <row r="953" spans="1:12">
      <c r="A953" s="722" t="s">
        <v>383</v>
      </c>
      <c r="B953" s="722">
        <v>800</v>
      </c>
      <c r="C953" s="723">
        <v>2</v>
      </c>
      <c r="D953" s="723">
        <v>0</v>
      </c>
      <c r="E953" s="723">
        <v>0</v>
      </c>
      <c r="F953" s="723">
        <v>0</v>
      </c>
      <c r="G953" s="723">
        <v>2</v>
      </c>
      <c r="H953" s="724">
        <v>214.75409360485733</v>
      </c>
      <c r="I953" s="724">
        <v>0</v>
      </c>
      <c r="J953" s="724">
        <v>0</v>
      </c>
      <c r="K953" s="724">
        <v>0</v>
      </c>
      <c r="L953" s="724">
        <v>214.75409360485733</v>
      </c>
    </row>
    <row r="954" spans="1:12">
      <c r="A954" s="722" t="s">
        <v>178</v>
      </c>
      <c r="B954" s="722">
        <v>370</v>
      </c>
      <c r="C954" s="723">
        <v>2</v>
      </c>
      <c r="D954" s="723">
        <v>0</v>
      </c>
      <c r="E954" s="723">
        <v>0</v>
      </c>
      <c r="F954" s="723">
        <v>0</v>
      </c>
      <c r="G954" s="723">
        <v>2</v>
      </c>
      <c r="H954" s="724">
        <v>3480.809353585435</v>
      </c>
      <c r="I954" s="724">
        <v>0</v>
      </c>
      <c r="J954" s="724">
        <v>0</v>
      </c>
      <c r="K954" s="724">
        <v>0</v>
      </c>
      <c r="L954" s="724">
        <v>3480.809353585435</v>
      </c>
    </row>
    <row r="955" spans="1:12">
      <c r="A955" s="722" t="s">
        <v>178</v>
      </c>
      <c r="B955" s="722">
        <v>812</v>
      </c>
      <c r="C955" s="723">
        <v>0</v>
      </c>
      <c r="D955" s="723">
        <v>2</v>
      </c>
      <c r="E955" s="723">
        <v>0</v>
      </c>
      <c r="F955" s="723">
        <v>0</v>
      </c>
      <c r="G955" s="723">
        <v>2</v>
      </c>
      <c r="H955" s="724">
        <v>0</v>
      </c>
      <c r="I955" s="724">
        <v>3480.809353585435</v>
      </c>
      <c r="J955" s="724">
        <v>0</v>
      </c>
      <c r="K955" s="724">
        <v>0</v>
      </c>
      <c r="L955" s="724">
        <v>3480.809353585435</v>
      </c>
    </row>
    <row r="956" spans="1:12">
      <c r="A956" s="722" t="s">
        <v>597</v>
      </c>
      <c r="B956" s="722">
        <v>301</v>
      </c>
      <c r="C956" s="723">
        <v>1</v>
      </c>
      <c r="D956" s="723">
        <v>0</v>
      </c>
      <c r="E956" s="723">
        <v>0</v>
      </c>
      <c r="F956" s="723">
        <v>0</v>
      </c>
      <c r="G956" s="723">
        <v>1</v>
      </c>
      <c r="H956" s="724">
        <v>211.05324995253275</v>
      </c>
      <c r="I956" s="724">
        <v>0</v>
      </c>
      <c r="J956" s="724">
        <v>0</v>
      </c>
      <c r="K956" s="724">
        <v>0</v>
      </c>
      <c r="L956" s="724">
        <v>211.05324995253275</v>
      </c>
    </row>
    <row r="957" spans="1:12">
      <c r="A957" s="722" t="s">
        <v>597</v>
      </c>
      <c r="B957" s="722">
        <v>320</v>
      </c>
      <c r="C957" s="723">
        <v>24</v>
      </c>
      <c r="D957" s="723">
        <v>1</v>
      </c>
      <c r="E957" s="723">
        <v>0</v>
      </c>
      <c r="F957" s="723">
        <v>0</v>
      </c>
      <c r="G957" s="723">
        <v>25</v>
      </c>
      <c r="H957" s="724">
        <v>5065.2779988607854</v>
      </c>
      <c r="I957" s="724">
        <v>211.05324995253275</v>
      </c>
      <c r="J957" s="724">
        <v>0</v>
      </c>
      <c r="K957" s="724">
        <v>0</v>
      </c>
      <c r="L957" s="724">
        <v>5276.3312488133188</v>
      </c>
    </row>
    <row r="958" spans="1:12">
      <c r="A958" s="722" t="s">
        <v>597</v>
      </c>
      <c r="B958" s="722">
        <v>321</v>
      </c>
      <c r="C958" s="723">
        <v>18</v>
      </c>
      <c r="D958" s="723">
        <v>0</v>
      </c>
      <c r="E958" s="723">
        <v>0</v>
      </c>
      <c r="F958" s="723">
        <v>0</v>
      </c>
      <c r="G958" s="723">
        <v>18</v>
      </c>
      <c r="H958" s="724">
        <v>3798.9584991455899</v>
      </c>
      <c r="I958" s="724">
        <v>0</v>
      </c>
      <c r="J958" s="724">
        <v>0</v>
      </c>
      <c r="K958" s="724">
        <v>0</v>
      </c>
      <c r="L958" s="724">
        <v>3798.9584991455895</v>
      </c>
    </row>
    <row r="959" spans="1:12">
      <c r="A959" s="722" t="s">
        <v>179</v>
      </c>
      <c r="B959" s="722">
        <v>101</v>
      </c>
      <c r="C959" s="723">
        <v>1</v>
      </c>
      <c r="D959" s="723">
        <v>0</v>
      </c>
      <c r="E959" s="723">
        <v>0</v>
      </c>
      <c r="F959" s="723">
        <v>0</v>
      </c>
      <c r="G959" s="723">
        <v>1</v>
      </c>
      <c r="H959" s="724">
        <v>170.93126252498362</v>
      </c>
      <c r="I959" s="724">
        <v>0</v>
      </c>
      <c r="J959" s="724">
        <v>0</v>
      </c>
      <c r="K959" s="724">
        <v>0</v>
      </c>
      <c r="L959" s="724">
        <v>170.93126252498362</v>
      </c>
    </row>
    <row r="960" spans="1:12">
      <c r="A960" s="722" t="s">
        <v>179</v>
      </c>
      <c r="B960" s="722">
        <v>110</v>
      </c>
      <c r="C960" s="723">
        <v>0</v>
      </c>
      <c r="D960" s="723">
        <v>1</v>
      </c>
      <c r="E960" s="723">
        <v>0</v>
      </c>
      <c r="F960" s="723">
        <v>0</v>
      </c>
      <c r="G960" s="723">
        <v>1</v>
      </c>
      <c r="H960" s="724">
        <v>0</v>
      </c>
      <c r="I960" s="724">
        <v>170.93126252498362</v>
      </c>
      <c r="J960" s="724">
        <v>0</v>
      </c>
      <c r="K960" s="724">
        <v>0</v>
      </c>
      <c r="L960" s="724">
        <v>170.93126252498362</v>
      </c>
    </row>
    <row r="961" spans="1:12">
      <c r="A961" s="722" t="s">
        <v>179</v>
      </c>
      <c r="B961" s="722">
        <v>140</v>
      </c>
      <c r="C961" s="723">
        <v>1</v>
      </c>
      <c r="D961" s="723">
        <v>1</v>
      </c>
      <c r="E961" s="723">
        <v>0</v>
      </c>
      <c r="F961" s="723">
        <v>0</v>
      </c>
      <c r="G961" s="723">
        <v>2</v>
      </c>
      <c r="H961" s="724">
        <v>170.93126252498362</v>
      </c>
      <c r="I961" s="724">
        <v>170.93126252498362</v>
      </c>
      <c r="J961" s="724">
        <v>0</v>
      </c>
      <c r="K961" s="724">
        <v>0</v>
      </c>
      <c r="L961" s="724">
        <v>341.86252504996725</v>
      </c>
    </row>
    <row r="962" spans="1:12">
      <c r="A962" s="722" t="s">
        <v>179</v>
      </c>
      <c r="B962" s="722">
        <v>143</v>
      </c>
      <c r="C962" s="723">
        <v>1</v>
      </c>
      <c r="D962" s="723">
        <v>0</v>
      </c>
      <c r="E962" s="723">
        <v>0</v>
      </c>
      <c r="F962" s="723">
        <v>0</v>
      </c>
      <c r="G962" s="723">
        <v>1</v>
      </c>
      <c r="H962" s="724">
        <v>170.93126252498362</v>
      </c>
      <c r="I962" s="724">
        <v>0</v>
      </c>
      <c r="J962" s="724">
        <v>0</v>
      </c>
      <c r="K962" s="724">
        <v>0</v>
      </c>
      <c r="L962" s="724">
        <v>170.93126252498362</v>
      </c>
    </row>
    <row r="963" spans="1:12">
      <c r="A963" s="722" t="s">
        <v>179</v>
      </c>
      <c r="B963" s="722">
        <v>171</v>
      </c>
      <c r="C963" s="723">
        <v>0</v>
      </c>
      <c r="D963" s="723">
        <v>1</v>
      </c>
      <c r="E963" s="723">
        <v>0</v>
      </c>
      <c r="F963" s="723">
        <v>0</v>
      </c>
      <c r="G963" s="723">
        <v>1</v>
      </c>
      <c r="H963" s="724">
        <v>0</v>
      </c>
      <c r="I963" s="724">
        <v>170.93126252498362</v>
      </c>
      <c r="J963" s="724">
        <v>0</v>
      </c>
      <c r="K963" s="724">
        <v>0</v>
      </c>
      <c r="L963" s="724">
        <v>170.93126252498362</v>
      </c>
    </row>
    <row r="964" spans="1:12">
      <c r="A964" s="722" t="s">
        <v>179</v>
      </c>
      <c r="B964" s="722">
        <v>302</v>
      </c>
      <c r="C964" s="723">
        <v>0</v>
      </c>
      <c r="D964" s="723">
        <v>2</v>
      </c>
      <c r="E964" s="723">
        <v>0</v>
      </c>
      <c r="F964" s="723">
        <v>0</v>
      </c>
      <c r="G964" s="723">
        <v>2</v>
      </c>
      <c r="H964" s="724">
        <v>0</v>
      </c>
      <c r="I964" s="724">
        <v>341.86252504996725</v>
      </c>
      <c r="J964" s="724">
        <v>0</v>
      </c>
      <c r="K964" s="724">
        <v>0</v>
      </c>
      <c r="L964" s="724">
        <v>341.86252504996725</v>
      </c>
    </row>
    <row r="965" spans="1:12">
      <c r="A965" s="722" t="s">
        <v>179</v>
      </c>
      <c r="B965" s="722">
        <v>320</v>
      </c>
      <c r="C965" s="723">
        <v>2</v>
      </c>
      <c r="D965" s="723">
        <v>1</v>
      </c>
      <c r="E965" s="723">
        <v>0</v>
      </c>
      <c r="F965" s="723">
        <v>0</v>
      </c>
      <c r="G965" s="723">
        <v>3</v>
      </c>
      <c r="H965" s="724">
        <v>341.86252504996725</v>
      </c>
      <c r="I965" s="724">
        <v>170.93126252498362</v>
      </c>
      <c r="J965" s="724">
        <v>0</v>
      </c>
      <c r="K965" s="724">
        <v>0</v>
      </c>
      <c r="L965" s="724">
        <v>512.7937875749509</v>
      </c>
    </row>
    <row r="966" spans="1:12">
      <c r="A966" s="722" t="s">
        <v>180</v>
      </c>
      <c r="B966" s="722">
        <v>101</v>
      </c>
      <c r="C966" s="723">
        <v>1</v>
      </c>
      <c r="D966" s="723">
        <v>0</v>
      </c>
      <c r="E966" s="723">
        <v>0</v>
      </c>
      <c r="F966" s="723">
        <v>0</v>
      </c>
      <c r="G966" s="723">
        <v>1</v>
      </c>
      <c r="H966" s="724">
        <v>129.36718363246521</v>
      </c>
      <c r="I966" s="724">
        <v>0</v>
      </c>
      <c r="J966" s="724">
        <v>0</v>
      </c>
      <c r="K966" s="724">
        <v>0</v>
      </c>
      <c r="L966" s="724">
        <v>129.36718363246521</v>
      </c>
    </row>
    <row r="967" spans="1:12">
      <c r="A967" s="722" t="s">
        <v>180</v>
      </c>
      <c r="B967" s="722">
        <v>104</v>
      </c>
      <c r="C967" s="723">
        <v>0</v>
      </c>
      <c r="D967" s="723">
        <v>2</v>
      </c>
      <c r="E967" s="723">
        <v>0</v>
      </c>
      <c r="F967" s="723">
        <v>0</v>
      </c>
      <c r="G967" s="723">
        <v>2</v>
      </c>
      <c r="H967" s="724">
        <v>0</v>
      </c>
      <c r="I967" s="724">
        <v>258.73436726493043</v>
      </c>
      <c r="J967" s="724">
        <v>0</v>
      </c>
      <c r="K967" s="724">
        <v>0</v>
      </c>
      <c r="L967" s="724">
        <v>258.73436726493043</v>
      </c>
    </row>
    <row r="968" spans="1:12">
      <c r="A968" s="722" t="s">
        <v>180</v>
      </c>
      <c r="B968" s="722">
        <v>120</v>
      </c>
      <c r="C968" s="723">
        <v>2</v>
      </c>
      <c r="D968" s="723">
        <v>7</v>
      </c>
      <c r="E968" s="723">
        <v>0</v>
      </c>
      <c r="F968" s="723">
        <v>0</v>
      </c>
      <c r="G968" s="723">
        <v>9</v>
      </c>
      <c r="H968" s="724">
        <v>258.73436726493043</v>
      </c>
      <c r="I968" s="724">
        <v>905.57028542725641</v>
      </c>
      <c r="J968" s="724">
        <v>0</v>
      </c>
      <c r="K968" s="724">
        <v>0</v>
      </c>
      <c r="L968" s="724">
        <v>1164.3046526921869</v>
      </c>
    </row>
    <row r="969" spans="1:12">
      <c r="A969" s="722" t="s">
        <v>180</v>
      </c>
      <c r="B969" s="722">
        <v>300</v>
      </c>
      <c r="C969" s="723">
        <v>3</v>
      </c>
      <c r="D969" s="723">
        <v>0</v>
      </c>
      <c r="E969" s="723">
        <v>0</v>
      </c>
      <c r="F969" s="723">
        <v>0</v>
      </c>
      <c r="G969" s="723">
        <v>3</v>
      </c>
      <c r="H969" s="724">
        <v>388.10155089739573</v>
      </c>
      <c r="I969" s="724">
        <v>0</v>
      </c>
      <c r="J969" s="724">
        <v>0</v>
      </c>
      <c r="K969" s="724">
        <v>0</v>
      </c>
      <c r="L969" s="724">
        <v>388.10155089739567</v>
      </c>
    </row>
    <row r="970" spans="1:12">
      <c r="A970" s="722" t="s">
        <v>180</v>
      </c>
      <c r="B970" s="722">
        <v>301</v>
      </c>
      <c r="C970" s="723">
        <v>0</v>
      </c>
      <c r="D970" s="723">
        <v>1</v>
      </c>
      <c r="E970" s="723">
        <v>0</v>
      </c>
      <c r="F970" s="723">
        <v>0</v>
      </c>
      <c r="G970" s="723">
        <v>1</v>
      </c>
      <c r="H970" s="724">
        <v>0</v>
      </c>
      <c r="I970" s="724">
        <v>129.36718363246521</v>
      </c>
      <c r="J970" s="724">
        <v>0</v>
      </c>
      <c r="K970" s="724">
        <v>0</v>
      </c>
      <c r="L970" s="724">
        <v>129.36718363246521</v>
      </c>
    </row>
    <row r="971" spans="1:12">
      <c r="A971" s="722" t="s">
        <v>180</v>
      </c>
      <c r="B971" s="722">
        <v>320</v>
      </c>
      <c r="C971" s="723">
        <v>2</v>
      </c>
      <c r="D971" s="723">
        <v>0</v>
      </c>
      <c r="E971" s="723">
        <v>0</v>
      </c>
      <c r="F971" s="723">
        <v>0</v>
      </c>
      <c r="G971" s="723">
        <v>2</v>
      </c>
      <c r="H971" s="724">
        <v>258.73436726493043</v>
      </c>
      <c r="I971" s="724">
        <v>0</v>
      </c>
      <c r="J971" s="724">
        <v>0</v>
      </c>
      <c r="K971" s="724">
        <v>0</v>
      </c>
      <c r="L971" s="724">
        <v>258.73436726493043</v>
      </c>
    </row>
    <row r="972" spans="1:12">
      <c r="A972" s="722" t="s">
        <v>180</v>
      </c>
      <c r="B972" s="722">
        <v>361</v>
      </c>
      <c r="C972" s="723">
        <v>1</v>
      </c>
      <c r="D972" s="723">
        <v>0</v>
      </c>
      <c r="E972" s="723">
        <v>0</v>
      </c>
      <c r="F972" s="723">
        <v>0</v>
      </c>
      <c r="G972" s="723">
        <v>1</v>
      </c>
      <c r="H972" s="724">
        <v>129.36718363246521</v>
      </c>
      <c r="I972" s="724">
        <v>0</v>
      </c>
      <c r="J972" s="724">
        <v>0</v>
      </c>
      <c r="K972" s="724">
        <v>0</v>
      </c>
      <c r="L972" s="724">
        <v>129.36718363246521</v>
      </c>
    </row>
    <row r="973" spans="1:12">
      <c r="A973" s="722" t="s">
        <v>180</v>
      </c>
      <c r="B973" s="722">
        <v>420</v>
      </c>
      <c r="C973" s="723">
        <v>0</v>
      </c>
      <c r="D973" s="723">
        <v>1</v>
      </c>
      <c r="E973" s="723">
        <v>0</v>
      </c>
      <c r="F973" s="723">
        <v>0</v>
      </c>
      <c r="G973" s="723">
        <v>1</v>
      </c>
      <c r="H973" s="724">
        <v>0</v>
      </c>
      <c r="I973" s="724">
        <v>129.36718363246521</v>
      </c>
      <c r="J973" s="724">
        <v>0</v>
      </c>
      <c r="K973" s="724">
        <v>0</v>
      </c>
      <c r="L973" s="724">
        <v>129.36718363246521</v>
      </c>
    </row>
    <row r="974" spans="1:12">
      <c r="A974" s="722" t="s">
        <v>180</v>
      </c>
      <c r="B974" s="722">
        <v>501</v>
      </c>
      <c r="C974" s="723">
        <v>1</v>
      </c>
      <c r="D974" s="723">
        <v>0</v>
      </c>
      <c r="E974" s="723">
        <v>0</v>
      </c>
      <c r="F974" s="723">
        <v>0</v>
      </c>
      <c r="G974" s="723">
        <v>1</v>
      </c>
      <c r="H974" s="724">
        <v>129.36718363246521</v>
      </c>
      <c r="I974" s="724">
        <v>0</v>
      </c>
      <c r="J974" s="724">
        <v>0</v>
      </c>
      <c r="K974" s="724">
        <v>0</v>
      </c>
      <c r="L974" s="724">
        <v>129.36718363246521</v>
      </c>
    </row>
    <row r="975" spans="1:12">
      <c r="A975" s="722" t="s">
        <v>180</v>
      </c>
      <c r="B975" s="722">
        <v>502</v>
      </c>
      <c r="C975" s="723">
        <v>2</v>
      </c>
      <c r="D975" s="723">
        <v>0</v>
      </c>
      <c r="E975" s="723">
        <v>0</v>
      </c>
      <c r="F975" s="723">
        <v>0</v>
      </c>
      <c r="G975" s="723">
        <v>2</v>
      </c>
      <c r="H975" s="724">
        <v>258.73436726493043</v>
      </c>
      <c r="I975" s="724">
        <v>0</v>
      </c>
      <c r="J975" s="724">
        <v>0</v>
      </c>
      <c r="K975" s="724">
        <v>0</v>
      </c>
      <c r="L975" s="724">
        <v>258.73436726493043</v>
      </c>
    </row>
    <row r="976" spans="1:12">
      <c r="A976" s="722" t="s">
        <v>181</v>
      </c>
      <c r="B976" s="722">
        <v>140</v>
      </c>
      <c r="C976" s="723">
        <v>1</v>
      </c>
      <c r="D976" s="723">
        <v>0</v>
      </c>
      <c r="E976" s="723">
        <v>0</v>
      </c>
      <c r="F976" s="723">
        <v>0</v>
      </c>
      <c r="G976" s="723">
        <v>1</v>
      </c>
      <c r="H976" s="724">
        <v>16.537447920950317</v>
      </c>
      <c r="I976" s="724">
        <v>0</v>
      </c>
      <c r="J976" s="724">
        <v>0</v>
      </c>
      <c r="K976" s="724">
        <v>0</v>
      </c>
      <c r="L976" s="724">
        <v>16.537447920950317</v>
      </c>
    </row>
    <row r="977" spans="1:12">
      <c r="A977" s="722" t="s">
        <v>181</v>
      </c>
      <c r="B977" s="722">
        <v>221</v>
      </c>
      <c r="C977" s="723">
        <v>5</v>
      </c>
      <c r="D977" s="723">
        <v>0</v>
      </c>
      <c r="E977" s="723">
        <v>0</v>
      </c>
      <c r="F977" s="723">
        <v>0</v>
      </c>
      <c r="G977" s="723">
        <v>5</v>
      </c>
      <c r="H977" s="724">
        <v>82.687239604751582</v>
      </c>
      <c r="I977" s="724">
        <v>0</v>
      </c>
      <c r="J977" s="724">
        <v>0</v>
      </c>
      <c r="K977" s="724">
        <v>0</v>
      </c>
      <c r="L977" s="724">
        <v>82.687239604751582</v>
      </c>
    </row>
    <row r="978" spans="1:12">
      <c r="A978" s="722" t="s">
        <v>182</v>
      </c>
      <c r="B978" s="722">
        <v>141</v>
      </c>
      <c r="C978" s="723">
        <v>0</v>
      </c>
      <c r="D978" s="723">
        <v>1</v>
      </c>
      <c r="E978" s="723">
        <v>0</v>
      </c>
      <c r="F978" s="723">
        <v>0</v>
      </c>
      <c r="G978" s="723">
        <v>1</v>
      </c>
      <c r="H978" s="724">
        <v>0</v>
      </c>
      <c r="I978" s="724">
        <v>43.383004090457803</v>
      </c>
      <c r="J978" s="724">
        <v>0</v>
      </c>
      <c r="K978" s="724">
        <v>0</v>
      </c>
      <c r="L978" s="724">
        <v>43.383004090457803</v>
      </c>
    </row>
    <row r="979" spans="1:12">
      <c r="A979" s="722" t="s">
        <v>182</v>
      </c>
      <c r="B979" s="722">
        <v>221</v>
      </c>
      <c r="C979" s="723">
        <v>4</v>
      </c>
      <c r="D979" s="723">
        <v>0</v>
      </c>
      <c r="E979" s="723">
        <v>0</v>
      </c>
      <c r="F979" s="723">
        <v>0</v>
      </c>
      <c r="G979" s="723">
        <v>4</v>
      </c>
      <c r="H979" s="724">
        <v>173.53201636183121</v>
      </c>
      <c r="I979" s="724">
        <v>0</v>
      </c>
      <c r="J979" s="724">
        <v>0</v>
      </c>
      <c r="K979" s="724">
        <v>0</v>
      </c>
      <c r="L979" s="724">
        <v>173.53201636183121</v>
      </c>
    </row>
    <row r="980" spans="1:12">
      <c r="A980" s="722" t="s">
        <v>183</v>
      </c>
      <c r="B980" s="722">
        <v>110</v>
      </c>
      <c r="C980" s="723">
        <v>1</v>
      </c>
      <c r="D980" s="723">
        <v>0</v>
      </c>
      <c r="E980" s="723">
        <v>0</v>
      </c>
      <c r="F980" s="723">
        <v>0</v>
      </c>
      <c r="G980" s="723">
        <v>1</v>
      </c>
      <c r="H980" s="724">
        <v>85.469729774799234</v>
      </c>
      <c r="I980" s="724">
        <v>0</v>
      </c>
      <c r="J980" s="724">
        <v>0</v>
      </c>
      <c r="K980" s="724">
        <v>0</v>
      </c>
      <c r="L980" s="724">
        <v>85.469729774799234</v>
      </c>
    </row>
    <row r="981" spans="1:12">
      <c r="A981" s="722" t="s">
        <v>183</v>
      </c>
      <c r="B981" s="722">
        <v>120</v>
      </c>
      <c r="C981" s="723">
        <v>1</v>
      </c>
      <c r="D981" s="723">
        <v>1</v>
      </c>
      <c r="E981" s="723">
        <v>0</v>
      </c>
      <c r="F981" s="723">
        <v>0</v>
      </c>
      <c r="G981" s="723">
        <v>2</v>
      </c>
      <c r="H981" s="724">
        <v>85.469729774799234</v>
      </c>
      <c r="I981" s="724">
        <v>85.469729774799234</v>
      </c>
      <c r="J981" s="724">
        <v>0</v>
      </c>
      <c r="K981" s="724">
        <v>0</v>
      </c>
      <c r="L981" s="724">
        <v>170.93945954959847</v>
      </c>
    </row>
    <row r="982" spans="1:12">
      <c r="A982" s="722" t="s">
        <v>183</v>
      </c>
      <c r="B982" s="722">
        <v>140</v>
      </c>
      <c r="C982" s="723">
        <v>10</v>
      </c>
      <c r="D982" s="723">
        <v>5</v>
      </c>
      <c r="E982" s="723">
        <v>0</v>
      </c>
      <c r="F982" s="723">
        <v>0</v>
      </c>
      <c r="G982" s="723">
        <v>15</v>
      </c>
      <c r="H982" s="724">
        <v>854.69729774799225</v>
      </c>
      <c r="I982" s="724">
        <v>427.34864887399613</v>
      </c>
      <c r="J982" s="724">
        <v>0</v>
      </c>
      <c r="K982" s="724">
        <v>0</v>
      </c>
      <c r="L982" s="724">
        <v>1282.0459466219884</v>
      </c>
    </row>
    <row r="983" spans="1:12">
      <c r="A983" s="722" t="s">
        <v>183</v>
      </c>
      <c r="B983" s="722">
        <v>141</v>
      </c>
      <c r="C983" s="723">
        <v>0</v>
      </c>
      <c r="D983" s="723">
        <v>1</v>
      </c>
      <c r="E983" s="723">
        <v>0</v>
      </c>
      <c r="F983" s="723">
        <v>0</v>
      </c>
      <c r="G983" s="723">
        <v>1</v>
      </c>
      <c r="H983" s="724">
        <v>0</v>
      </c>
      <c r="I983" s="724">
        <v>85.469729774799234</v>
      </c>
      <c r="J983" s="724">
        <v>0</v>
      </c>
      <c r="K983" s="724">
        <v>0</v>
      </c>
      <c r="L983" s="724">
        <v>85.469729774799234</v>
      </c>
    </row>
    <row r="984" spans="1:12">
      <c r="A984" s="722" t="s">
        <v>183</v>
      </c>
      <c r="B984" s="722">
        <v>142</v>
      </c>
      <c r="C984" s="723">
        <v>306</v>
      </c>
      <c r="D984" s="723">
        <v>92</v>
      </c>
      <c r="E984" s="723">
        <v>0</v>
      </c>
      <c r="F984" s="723">
        <v>0</v>
      </c>
      <c r="G984" s="723">
        <v>398</v>
      </c>
      <c r="H984" s="724">
        <v>26153.737311088564</v>
      </c>
      <c r="I984" s="724">
        <v>7863.2151392815304</v>
      </c>
      <c r="J984" s="724">
        <v>0</v>
      </c>
      <c r="K984" s="724">
        <v>0</v>
      </c>
      <c r="L984" s="724">
        <v>34016.952450370096</v>
      </c>
    </row>
    <row r="985" spans="1:12">
      <c r="A985" s="722" t="s">
        <v>183</v>
      </c>
      <c r="B985" s="722">
        <v>144</v>
      </c>
      <c r="C985" s="723">
        <v>2</v>
      </c>
      <c r="D985" s="723">
        <v>0</v>
      </c>
      <c r="E985" s="723">
        <v>0</v>
      </c>
      <c r="F985" s="723">
        <v>0</v>
      </c>
      <c r="G985" s="723">
        <v>2</v>
      </c>
      <c r="H985" s="724">
        <v>170.93945954959847</v>
      </c>
      <c r="I985" s="724">
        <v>0</v>
      </c>
      <c r="J985" s="724">
        <v>0</v>
      </c>
      <c r="K985" s="724">
        <v>0</v>
      </c>
      <c r="L985" s="724">
        <v>170.93945954959847</v>
      </c>
    </row>
    <row r="986" spans="1:12">
      <c r="A986" s="722" t="s">
        <v>183</v>
      </c>
      <c r="B986" s="722">
        <v>217</v>
      </c>
      <c r="C986" s="723">
        <v>18</v>
      </c>
      <c r="D986" s="723">
        <v>43</v>
      </c>
      <c r="E986" s="723">
        <v>0</v>
      </c>
      <c r="F986" s="723">
        <v>0</v>
      </c>
      <c r="G986" s="723">
        <v>61</v>
      </c>
      <c r="H986" s="724">
        <v>1538.455135946386</v>
      </c>
      <c r="I986" s="724">
        <v>3675.1983803163662</v>
      </c>
      <c r="J986" s="724">
        <v>0</v>
      </c>
      <c r="K986" s="724">
        <v>0</v>
      </c>
      <c r="L986" s="724">
        <v>5213.6535162627524</v>
      </c>
    </row>
    <row r="987" spans="1:12">
      <c r="A987" s="722" t="s">
        <v>183</v>
      </c>
      <c r="B987" s="722">
        <v>219</v>
      </c>
      <c r="C987" s="723">
        <v>24</v>
      </c>
      <c r="D987" s="723">
        <v>4</v>
      </c>
      <c r="E987" s="723">
        <v>0</v>
      </c>
      <c r="F987" s="723">
        <v>0</v>
      </c>
      <c r="G987" s="723">
        <v>28</v>
      </c>
      <c r="H987" s="724">
        <v>2051.2735145951815</v>
      </c>
      <c r="I987" s="724">
        <v>341.87891909919693</v>
      </c>
      <c r="J987" s="724">
        <v>0</v>
      </c>
      <c r="K987" s="724">
        <v>0</v>
      </c>
      <c r="L987" s="724">
        <v>2393.1524336943785</v>
      </c>
    </row>
    <row r="988" spans="1:12">
      <c r="A988" s="722" t="s">
        <v>183</v>
      </c>
      <c r="B988" s="722">
        <v>221</v>
      </c>
      <c r="C988" s="723">
        <v>11</v>
      </c>
      <c r="D988" s="723">
        <v>0</v>
      </c>
      <c r="E988" s="723">
        <v>0</v>
      </c>
      <c r="F988" s="723">
        <v>0</v>
      </c>
      <c r="G988" s="723">
        <v>11</v>
      </c>
      <c r="H988" s="724">
        <v>940.1670275227915</v>
      </c>
      <c r="I988" s="724">
        <v>0</v>
      </c>
      <c r="J988" s="724">
        <v>0</v>
      </c>
      <c r="K988" s="724">
        <v>0</v>
      </c>
      <c r="L988" s="724">
        <v>940.1670275227915</v>
      </c>
    </row>
    <row r="989" spans="1:12">
      <c r="A989" s="722" t="s">
        <v>184</v>
      </c>
      <c r="B989" s="722">
        <v>180</v>
      </c>
      <c r="C989" s="723">
        <v>0</v>
      </c>
      <c r="D989" s="723">
        <v>1</v>
      </c>
      <c r="E989" s="723">
        <v>0</v>
      </c>
      <c r="F989" s="723">
        <v>0</v>
      </c>
      <c r="G989" s="723">
        <v>1</v>
      </c>
      <c r="H989" s="724">
        <v>0</v>
      </c>
      <c r="I989" s="724">
        <v>139.41279298540786</v>
      </c>
      <c r="J989" s="724">
        <v>0</v>
      </c>
      <c r="K989" s="724">
        <v>0</v>
      </c>
      <c r="L989" s="724">
        <v>139.41279298540786</v>
      </c>
    </row>
    <row r="990" spans="1:12">
      <c r="A990" s="722" t="s">
        <v>184</v>
      </c>
      <c r="B990" s="722">
        <v>190</v>
      </c>
      <c r="C990" s="723">
        <v>0</v>
      </c>
      <c r="D990" s="723">
        <v>2</v>
      </c>
      <c r="E990" s="723">
        <v>0</v>
      </c>
      <c r="F990" s="723">
        <v>0</v>
      </c>
      <c r="G990" s="723">
        <v>2</v>
      </c>
      <c r="H990" s="724">
        <v>0</v>
      </c>
      <c r="I990" s="724">
        <v>278.82558597081572</v>
      </c>
      <c r="J990" s="724">
        <v>0</v>
      </c>
      <c r="K990" s="724">
        <v>0</v>
      </c>
      <c r="L990" s="724">
        <v>278.82558597081572</v>
      </c>
    </row>
    <row r="991" spans="1:12">
      <c r="A991" s="722" t="s">
        <v>184</v>
      </c>
      <c r="B991" s="722">
        <v>221</v>
      </c>
      <c r="C991" s="723">
        <v>19</v>
      </c>
      <c r="D991" s="723">
        <v>0</v>
      </c>
      <c r="E991" s="723">
        <v>0</v>
      </c>
      <c r="F991" s="723">
        <v>0</v>
      </c>
      <c r="G991" s="723">
        <v>19</v>
      </c>
      <c r="H991" s="724">
        <v>2648.843066722749</v>
      </c>
      <c r="I991" s="724">
        <v>0</v>
      </c>
      <c r="J991" s="724">
        <v>0</v>
      </c>
      <c r="K991" s="724">
        <v>0</v>
      </c>
      <c r="L991" s="724">
        <v>2648.843066722749</v>
      </c>
    </row>
    <row r="992" spans="1:12">
      <c r="A992" s="722" t="s">
        <v>184</v>
      </c>
      <c r="B992" s="722">
        <v>314</v>
      </c>
      <c r="C992" s="723">
        <v>0</v>
      </c>
      <c r="D992" s="723">
        <v>1</v>
      </c>
      <c r="E992" s="723">
        <v>0</v>
      </c>
      <c r="F992" s="723">
        <v>0</v>
      </c>
      <c r="G992" s="723">
        <v>1</v>
      </c>
      <c r="H992" s="724">
        <v>0</v>
      </c>
      <c r="I992" s="724">
        <v>139.41279298540786</v>
      </c>
      <c r="J992" s="724">
        <v>0</v>
      </c>
      <c r="K992" s="724">
        <v>0</v>
      </c>
      <c r="L992" s="724">
        <v>139.41279298540786</v>
      </c>
    </row>
    <row r="993" spans="1:12">
      <c r="A993" s="722" t="s">
        <v>184</v>
      </c>
      <c r="B993" s="722">
        <v>330</v>
      </c>
      <c r="C993" s="723">
        <v>1</v>
      </c>
      <c r="D993" s="723">
        <v>0</v>
      </c>
      <c r="E993" s="723">
        <v>0</v>
      </c>
      <c r="F993" s="723">
        <v>0</v>
      </c>
      <c r="G993" s="723">
        <v>1</v>
      </c>
      <c r="H993" s="724">
        <v>139.41279298540786</v>
      </c>
      <c r="I993" s="724">
        <v>0</v>
      </c>
      <c r="J993" s="724">
        <v>0</v>
      </c>
      <c r="K993" s="724">
        <v>0</v>
      </c>
      <c r="L993" s="724">
        <v>139.41279298540786</v>
      </c>
    </row>
    <row r="994" spans="1:12">
      <c r="A994" s="722" t="s">
        <v>184</v>
      </c>
      <c r="B994" s="722">
        <v>400</v>
      </c>
      <c r="C994" s="723">
        <v>2</v>
      </c>
      <c r="D994" s="723">
        <v>0</v>
      </c>
      <c r="E994" s="723">
        <v>0</v>
      </c>
      <c r="F994" s="723">
        <v>0</v>
      </c>
      <c r="G994" s="723">
        <v>2</v>
      </c>
      <c r="H994" s="724">
        <v>278.82558597081572</v>
      </c>
      <c r="I994" s="724">
        <v>0</v>
      </c>
      <c r="J994" s="724">
        <v>0</v>
      </c>
      <c r="K994" s="724">
        <v>0</v>
      </c>
      <c r="L994" s="724">
        <v>278.82558597081572</v>
      </c>
    </row>
    <row r="995" spans="1:12">
      <c r="A995" s="722" t="s">
        <v>184</v>
      </c>
      <c r="B995" s="722">
        <v>410</v>
      </c>
      <c r="C995" s="723">
        <v>1</v>
      </c>
      <c r="D995" s="723">
        <v>1</v>
      </c>
      <c r="E995" s="723">
        <v>0</v>
      </c>
      <c r="F995" s="723">
        <v>0</v>
      </c>
      <c r="G995" s="723">
        <v>2</v>
      </c>
      <c r="H995" s="724">
        <v>139.41279298540786</v>
      </c>
      <c r="I995" s="724">
        <v>139.41279298540786</v>
      </c>
      <c r="J995" s="724">
        <v>0</v>
      </c>
      <c r="K995" s="724">
        <v>0</v>
      </c>
      <c r="L995" s="724">
        <v>278.82558597081572</v>
      </c>
    </row>
    <row r="996" spans="1:12">
      <c r="A996" s="722" t="s">
        <v>185</v>
      </c>
      <c r="B996" s="722">
        <v>130</v>
      </c>
      <c r="C996" s="723">
        <v>1</v>
      </c>
      <c r="D996" s="723">
        <v>0</v>
      </c>
      <c r="E996" s="723">
        <v>0</v>
      </c>
      <c r="F996" s="723">
        <v>0</v>
      </c>
      <c r="G996" s="723">
        <v>1</v>
      </c>
      <c r="H996" s="724">
        <v>82.781197223382634</v>
      </c>
      <c r="I996" s="724">
        <v>0</v>
      </c>
      <c r="J996" s="724">
        <v>0</v>
      </c>
      <c r="K996" s="724">
        <v>0</v>
      </c>
      <c r="L996" s="724">
        <v>82.781197223382634</v>
      </c>
    </row>
    <row r="997" spans="1:12">
      <c r="A997" s="722" t="s">
        <v>185</v>
      </c>
      <c r="B997" s="722">
        <v>140</v>
      </c>
      <c r="C997" s="723">
        <v>5</v>
      </c>
      <c r="D997" s="723">
        <v>1</v>
      </c>
      <c r="E997" s="723">
        <v>0</v>
      </c>
      <c r="F997" s="723">
        <v>0</v>
      </c>
      <c r="G997" s="723">
        <v>6</v>
      </c>
      <c r="H997" s="724">
        <v>413.90598611691308</v>
      </c>
      <c r="I997" s="724">
        <v>82.78119722338262</v>
      </c>
      <c r="J997" s="724">
        <v>0</v>
      </c>
      <c r="K997" s="724">
        <v>0</v>
      </c>
      <c r="L997" s="724">
        <v>496.68718334029575</v>
      </c>
    </row>
    <row r="998" spans="1:12">
      <c r="A998" s="722" t="s">
        <v>185</v>
      </c>
      <c r="B998" s="722">
        <v>217</v>
      </c>
      <c r="C998" s="723">
        <v>27</v>
      </c>
      <c r="D998" s="723">
        <v>11</v>
      </c>
      <c r="E998" s="723">
        <v>0</v>
      </c>
      <c r="F998" s="723">
        <v>0</v>
      </c>
      <c r="G998" s="723">
        <v>38</v>
      </c>
      <c r="H998" s="724">
        <v>2235.0923250313313</v>
      </c>
      <c r="I998" s="724">
        <v>910.59316945720889</v>
      </c>
      <c r="J998" s="724">
        <v>0</v>
      </c>
      <c r="K998" s="724">
        <v>0</v>
      </c>
      <c r="L998" s="724">
        <v>3145.6854944885399</v>
      </c>
    </row>
    <row r="999" spans="1:12">
      <c r="A999" s="722" t="s">
        <v>185</v>
      </c>
      <c r="B999" s="722">
        <v>221</v>
      </c>
      <c r="C999" s="723">
        <v>16</v>
      </c>
      <c r="D999" s="723">
        <v>0</v>
      </c>
      <c r="E999" s="723">
        <v>0</v>
      </c>
      <c r="F999" s="723">
        <v>0</v>
      </c>
      <c r="G999" s="723">
        <v>16</v>
      </c>
      <c r="H999" s="724">
        <v>1324.4991555741221</v>
      </c>
      <c r="I999" s="724">
        <v>0</v>
      </c>
      <c r="J999" s="724">
        <v>0</v>
      </c>
      <c r="K999" s="724">
        <v>0</v>
      </c>
      <c r="L999" s="724">
        <v>1324.4991555741221</v>
      </c>
    </row>
    <row r="1000" spans="1:12">
      <c r="A1000" s="722" t="s">
        <v>186</v>
      </c>
      <c r="B1000" s="722">
        <v>320</v>
      </c>
      <c r="C1000" s="723">
        <v>2</v>
      </c>
      <c r="D1000" s="723">
        <v>5</v>
      </c>
      <c r="E1000" s="723">
        <v>0</v>
      </c>
      <c r="F1000" s="723">
        <v>0</v>
      </c>
      <c r="G1000" s="723">
        <v>7</v>
      </c>
      <c r="H1000" s="724">
        <v>351.0934747368425</v>
      </c>
      <c r="I1000" s="724">
        <v>877.73368684210629</v>
      </c>
      <c r="J1000" s="724">
        <v>0</v>
      </c>
      <c r="K1000" s="724">
        <v>0</v>
      </c>
      <c r="L1000" s="724">
        <v>1228.8271615789488</v>
      </c>
    </row>
    <row r="1001" spans="1:12">
      <c r="A1001" s="722" t="s">
        <v>186</v>
      </c>
      <c r="B1001" s="722">
        <v>811</v>
      </c>
      <c r="C1001" s="723">
        <v>0</v>
      </c>
      <c r="D1001" s="723">
        <v>1</v>
      </c>
      <c r="E1001" s="723">
        <v>0</v>
      </c>
      <c r="F1001" s="723">
        <v>0</v>
      </c>
      <c r="G1001" s="723">
        <v>1</v>
      </c>
      <c r="H1001" s="724">
        <v>0</v>
      </c>
      <c r="I1001" s="724">
        <v>175.54673736842125</v>
      </c>
      <c r="J1001" s="724">
        <v>0</v>
      </c>
      <c r="K1001" s="724">
        <v>0</v>
      </c>
      <c r="L1001" s="724">
        <v>175.54673736842125</v>
      </c>
    </row>
    <row r="1002" spans="1:12">
      <c r="A1002" s="722" t="s">
        <v>187</v>
      </c>
      <c r="B1002" s="722">
        <v>101</v>
      </c>
      <c r="C1002" s="723">
        <v>2</v>
      </c>
      <c r="D1002" s="723">
        <v>82</v>
      </c>
      <c r="E1002" s="723">
        <v>0</v>
      </c>
      <c r="F1002" s="723">
        <v>0</v>
      </c>
      <c r="G1002" s="723">
        <v>84</v>
      </c>
      <c r="H1002" s="724">
        <v>83.676945308805784</v>
      </c>
      <c r="I1002" s="724">
        <v>3430.7547576610368</v>
      </c>
      <c r="J1002" s="724">
        <v>0</v>
      </c>
      <c r="K1002" s="724">
        <v>0</v>
      </c>
      <c r="L1002" s="724">
        <v>3514.4317029698432</v>
      </c>
    </row>
    <row r="1003" spans="1:12">
      <c r="A1003" s="722" t="s">
        <v>187</v>
      </c>
      <c r="B1003" s="722">
        <v>102</v>
      </c>
      <c r="C1003" s="723">
        <v>324</v>
      </c>
      <c r="D1003" s="723">
        <v>1</v>
      </c>
      <c r="E1003" s="723">
        <v>0</v>
      </c>
      <c r="F1003" s="723">
        <v>0</v>
      </c>
      <c r="G1003" s="723">
        <v>325</v>
      </c>
      <c r="H1003" s="724">
        <v>13555.665140026538</v>
      </c>
      <c r="I1003" s="724">
        <v>41.838472654402892</v>
      </c>
      <c r="J1003" s="724">
        <v>0</v>
      </c>
      <c r="K1003" s="724">
        <v>0</v>
      </c>
      <c r="L1003" s="724">
        <v>13597.503612680941</v>
      </c>
    </row>
    <row r="1004" spans="1:12">
      <c r="A1004" s="722" t="s">
        <v>187</v>
      </c>
      <c r="B1004" s="722">
        <v>103</v>
      </c>
      <c r="C1004" s="723">
        <v>12</v>
      </c>
      <c r="D1004" s="723">
        <v>1</v>
      </c>
      <c r="E1004" s="723">
        <v>0</v>
      </c>
      <c r="F1004" s="723">
        <v>0</v>
      </c>
      <c r="G1004" s="723">
        <v>13</v>
      </c>
      <c r="H1004" s="724">
        <v>502.06167185283459</v>
      </c>
      <c r="I1004" s="724">
        <v>41.838472654402885</v>
      </c>
      <c r="J1004" s="724">
        <v>0</v>
      </c>
      <c r="K1004" s="724">
        <v>0</v>
      </c>
      <c r="L1004" s="724">
        <v>543.90014450723754</v>
      </c>
    </row>
    <row r="1005" spans="1:12">
      <c r="A1005" s="722" t="s">
        <v>187</v>
      </c>
      <c r="B1005" s="722">
        <v>107</v>
      </c>
      <c r="C1005" s="723">
        <v>0</v>
      </c>
      <c r="D1005" s="723">
        <v>1</v>
      </c>
      <c r="E1005" s="723">
        <v>0</v>
      </c>
      <c r="F1005" s="723">
        <v>0</v>
      </c>
      <c r="G1005" s="723">
        <v>1</v>
      </c>
      <c r="H1005" s="724">
        <v>0</v>
      </c>
      <c r="I1005" s="724">
        <v>41.838472654402892</v>
      </c>
      <c r="J1005" s="724">
        <v>0</v>
      </c>
      <c r="K1005" s="724">
        <v>0</v>
      </c>
      <c r="L1005" s="724">
        <v>41.838472654402892</v>
      </c>
    </row>
    <row r="1006" spans="1:12">
      <c r="A1006" s="722" t="s">
        <v>187</v>
      </c>
      <c r="B1006" s="722">
        <v>110</v>
      </c>
      <c r="C1006" s="723">
        <v>1</v>
      </c>
      <c r="D1006" s="723">
        <v>0</v>
      </c>
      <c r="E1006" s="723">
        <v>0</v>
      </c>
      <c r="F1006" s="723">
        <v>0</v>
      </c>
      <c r="G1006" s="723">
        <v>1</v>
      </c>
      <c r="H1006" s="724">
        <v>41.838472654402892</v>
      </c>
      <c r="I1006" s="724">
        <v>0</v>
      </c>
      <c r="J1006" s="724">
        <v>0</v>
      </c>
      <c r="K1006" s="724">
        <v>0</v>
      </c>
      <c r="L1006" s="724">
        <v>41.838472654402892</v>
      </c>
    </row>
    <row r="1007" spans="1:12">
      <c r="A1007" s="722" t="s">
        <v>187</v>
      </c>
      <c r="B1007" s="722">
        <v>141</v>
      </c>
      <c r="C1007" s="723">
        <v>2</v>
      </c>
      <c r="D1007" s="723">
        <v>0</v>
      </c>
      <c r="E1007" s="723">
        <v>0</v>
      </c>
      <c r="F1007" s="723">
        <v>0</v>
      </c>
      <c r="G1007" s="723">
        <v>2</v>
      </c>
      <c r="H1007" s="724">
        <v>83.676945308805784</v>
      </c>
      <c r="I1007" s="724">
        <v>0</v>
      </c>
      <c r="J1007" s="724">
        <v>0</v>
      </c>
      <c r="K1007" s="724">
        <v>0</v>
      </c>
      <c r="L1007" s="724">
        <v>83.676945308805784</v>
      </c>
    </row>
    <row r="1008" spans="1:12">
      <c r="A1008" s="722" t="s">
        <v>187</v>
      </c>
      <c r="B1008" s="722">
        <v>142</v>
      </c>
      <c r="C1008" s="723">
        <v>1</v>
      </c>
      <c r="D1008" s="723">
        <v>1</v>
      </c>
      <c r="E1008" s="723">
        <v>0</v>
      </c>
      <c r="F1008" s="723">
        <v>0</v>
      </c>
      <c r="G1008" s="723">
        <v>2</v>
      </c>
      <c r="H1008" s="724">
        <v>41.838472654402892</v>
      </c>
      <c r="I1008" s="724">
        <v>41.838472654402892</v>
      </c>
      <c r="J1008" s="724">
        <v>0</v>
      </c>
      <c r="K1008" s="724">
        <v>0</v>
      </c>
      <c r="L1008" s="724">
        <v>83.676945308805784</v>
      </c>
    </row>
    <row r="1009" spans="1:12">
      <c r="A1009" s="722" t="s">
        <v>187</v>
      </c>
      <c r="B1009" s="722">
        <v>160</v>
      </c>
      <c r="C1009" s="723">
        <v>0</v>
      </c>
      <c r="D1009" s="723">
        <v>1</v>
      </c>
      <c r="E1009" s="723">
        <v>0</v>
      </c>
      <c r="F1009" s="723">
        <v>0</v>
      </c>
      <c r="G1009" s="723">
        <v>1</v>
      </c>
      <c r="H1009" s="724">
        <v>0</v>
      </c>
      <c r="I1009" s="724">
        <v>41.838472654402892</v>
      </c>
      <c r="J1009" s="724">
        <v>0</v>
      </c>
      <c r="K1009" s="724">
        <v>0</v>
      </c>
      <c r="L1009" s="724">
        <v>41.838472654402892</v>
      </c>
    </row>
    <row r="1010" spans="1:12">
      <c r="A1010" s="722" t="s">
        <v>187</v>
      </c>
      <c r="B1010" s="722">
        <v>171</v>
      </c>
      <c r="C1010" s="723">
        <v>2</v>
      </c>
      <c r="D1010" s="723">
        <v>0</v>
      </c>
      <c r="E1010" s="723">
        <v>0</v>
      </c>
      <c r="F1010" s="723">
        <v>0</v>
      </c>
      <c r="G1010" s="723">
        <v>2</v>
      </c>
      <c r="H1010" s="724">
        <v>83.676945308805784</v>
      </c>
      <c r="I1010" s="724">
        <v>0</v>
      </c>
      <c r="J1010" s="724">
        <v>0</v>
      </c>
      <c r="K1010" s="724">
        <v>0</v>
      </c>
      <c r="L1010" s="724">
        <v>83.676945308805784</v>
      </c>
    </row>
    <row r="1011" spans="1:12">
      <c r="A1011" s="722" t="s">
        <v>187</v>
      </c>
      <c r="B1011" s="722">
        <v>174</v>
      </c>
      <c r="C1011" s="723">
        <v>11</v>
      </c>
      <c r="D1011" s="723">
        <v>0</v>
      </c>
      <c r="E1011" s="723">
        <v>0</v>
      </c>
      <c r="F1011" s="723">
        <v>0</v>
      </c>
      <c r="G1011" s="723">
        <v>11</v>
      </c>
      <c r="H1011" s="724">
        <v>460.22319919843181</v>
      </c>
      <c r="I1011" s="724">
        <v>0</v>
      </c>
      <c r="J1011" s="724">
        <v>0</v>
      </c>
      <c r="K1011" s="724">
        <v>0</v>
      </c>
      <c r="L1011" s="724">
        <v>460.22319919843181</v>
      </c>
    </row>
    <row r="1012" spans="1:12">
      <c r="A1012" s="722" t="s">
        <v>187</v>
      </c>
      <c r="B1012" s="722">
        <v>260</v>
      </c>
      <c r="C1012" s="723">
        <v>1</v>
      </c>
      <c r="D1012" s="723">
        <v>0</v>
      </c>
      <c r="E1012" s="723">
        <v>0</v>
      </c>
      <c r="F1012" s="723">
        <v>0</v>
      </c>
      <c r="G1012" s="723">
        <v>1</v>
      </c>
      <c r="H1012" s="724">
        <v>41.838472654402892</v>
      </c>
      <c r="I1012" s="724">
        <v>0</v>
      </c>
      <c r="J1012" s="724">
        <v>0</v>
      </c>
      <c r="K1012" s="724">
        <v>0</v>
      </c>
      <c r="L1012" s="724">
        <v>41.838472654402892</v>
      </c>
    </row>
    <row r="1013" spans="1:12">
      <c r="A1013" s="722" t="s">
        <v>187</v>
      </c>
      <c r="B1013" s="722">
        <v>300</v>
      </c>
      <c r="C1013" s="723">
        <v>9</v>
      </c>
      <c r="D1013" s="723">
        <v>1</v>
      </c>
      <c r="E1013" s="723">
        <v>0</v>
      </c>
      <c r="F1013" s="723">
        <v>0</v>
      </c>
      <c r="G1013" s="723">
        <v>10</v>
      </c>
      <c r="H1013" s="724">
        <v>376.54625388962603</v>
      </c>
      <c r="I1013" s="724">
        <v>41.838472654402892</v>
      </c>
      <c r="J1013" s="724">
        <v>0</v>
      </c>
      <c r="K1013" s="724">
        <v>0</v>
      </c>
      <c r="L1013" s="724">
        <v>418.38472654402892</v>
      </c>
    </row>
    <row r="1014" spans="1:12">
      <c r="A1014" s="722" t="s">
        <v>187</v>
      </c>
      <c r="B1014" s="722">
        <v>301</v>
      </c>
      <c r="C1014" s="723">
        <v>184</v>
      </c>
      <c r="D1014" s="723">
        <v>10</v>
      </c>
      <c r="E1014" s="723">
        <v>0</v>
      </c>
      <c r="F1014" s="723">
        <v>0</v>
      </c>
      <c r="G1014" s="723">
        <v>194</v>
      </c>
      <c r="H1014" s="724">
        <v>7698.2789684101335</v>
      </c>
      <c r="I1014" s="724">
        <v>418.38472654402892</v>
      </c>
      <c r="J1014" s="724">
        <v>0</v>
      </c>
      <c r="K1014" s="724">
        <v>0</v>
      </c>
      <c r="L1014" s="724">
        <v>8116.6636949541617</v>
      </c>
    </row>
    <row r="1015" spans="1:12">
      <c r="A1015" s="722" t="s">
        <v>187</v>
      </c>
      <c r="B1015" s="722">
        <v>302</v>
      </c>
      <c r="C1015" s="723">
        <v>1</v>
      </c>
      <c r="D1015" s="723">
        <v>0</v>
      </c>
      <c r="E1015" s="723">
        <v>0</v>
      </c>
      <c r="F1015" s="723">
        <v>0</v>
      </c>
      <c r="G1015" s="723">
        <v>1</v>
      </c>
      <c r="H1015" s="724">
        <v>41.838472654402892</v>
      </c>
      <c r="I1015" s="724">
        <v>0</v>
      </c>
      <c r="J1015" s="724">
        <v>0</v>
      </c>
      <c r="K1015" s="724">
        <v>0</v>
      </c>
      <c r="L1015" s="724">
        <v>41.838472654402892</v>
      </c>
    </row>
    <row r="1016" spans="1:12">
      <c r="A1016" s="722" t="s">
        <v>187</v>
      </c>
      <c r="B1016" s="722">
        <v>304</v>
      </c>
      <c r="C1016" s="723">
        <v>1</v>
      </c>
      <c r="D1016" s="723">
        <v>3</v>
      </c>
      <c r="E1016" s="723">
        <v>0</v>
      </c>
      <c r="F1016" s="723">
        <v>0</v>
      </c>
      <c r="G1016" s="723">
        <v>4</v>
      </c>
      <c r="H1016" s="724">
        <v>41.838472654402892</v>
      </c>
      <c r="I1016" s="724">
        <v>125.51541796320868</v>
      </c>
      <c r="J1016" s="724">
        <v>0</v>
      </c>
      <c r="K1016" s="724">
        <v>0</v>
      </c>
      <c r="L1016" s="724">
        <v>167.35389061761157</v>
      </c>
    </row>
    <row r="1017" spans="1:12">
      <c r="A1017" s="722" t="s">
        <v>187</v>
      </c>
      <c r="B1017" s="722">
        <v>305</v>
      </c>
      <c r="C1017" s="723">
        <v>0</v>
      </c>
      <c r="D1017" s="723">
        <v>1</v>
      </c>
      <c r="E1017" s="723">
        <v>0</v>
      </c>
      <c r="F1017" s="723">
        <v>0</v>
      </c>
      <c r="G1017" s="723">
        <v>1</v>
      </c>
      <c r="H1017" s="724">
        <v>0</v>
      </c>
      <c r="I1017" s="724">
        <v>41.838472654402892</v>
      </c>
      <c r="J1017" s="724">
        <v>0</v>
      </c>
      <c r="K1017" s="724">
        <v>0</v>
      </c>
      <c r="L1017" s="724">
        <v>41.838472654402892</v>
      </c>
    </row>
    <row r="1018" spans="1:12">
      <c r="A1018" s="722" t="s">
        <v>187</v>
      </c>
      <c r="B1018" s="722">
        <v>306</v>
      </c>
      <c r="C1018" s="723">
        <v>0</v>
      </c>
      <c r="D1018" s="723">
        <v>2</v>
      </c>
      <c r="E1018" s="723">
        <v>0</v>
      </c>
      <c r="F1018" s="723">
        <v>0</v>
      </c>
      <c r="G1018" s="723">
        <v>2</v>
      </c>
      <c r="H1018" s="724">
        <v>0</v>
      </c>
      <c r="I1018" s="724">
        <v>83.676945308805784</v>
      </c>
      <c r="J1018" s="724">
        <v>0</v>
      </c>
      <c r="K1018" s="724">
        <v>0</v>
      </c>
      <c r="L1018" s="724">
        <v>83.676945308805784</v>
      </c>
    </row>
    <row r="1019" spans="1:12">
      <c r="A1019" s="722" t="s">
        <v>187</v>
      </c>
      <c r="B1019" s="722">
        <v>320</v>
      </c>
      <c r="C1019" s="723">
        <v>3473</v>
      </c>
      <c r="D1019" s="723">
        <v>2762</v>
      </c>
      <c r="E1019" s="723">
        <v>0</v>
      </c>
      <c r="F1019" s="723">
        <v>0</v>
      </c>
      <c r="G1019" s="723">
        <v>6235</v>
      </c>
      <c r="H1019" s="724">
        <v>145305.01552874126</v>
      </c>
      <c r="I1019" s="724">
        <v>115557.8614714608</v>
      </c>
      <c r="J1019" s="724">
        <v>0</v>
      </c>
      <c r="K1019" s="724">
        <v>0</v>
      </c>
      <c r="L1019" s="724">
        <v>260862.87700020205</v>
      </c>
    </row>
    <row r="1020" spans="1:12">
      <c r="A1020" s="722" t="s">
        <v>187</v>
      </c>
      <c r="B1020" s="722">
        <v>321</v>
      </c>
      <c r="C1020" s="723">
        <v>609</v>
      </c>
      <c r="D1020" s="723">
        <v>717</v>
      </c>
      <c r="E1020" s="723">
        <v>0</v>
      </c>
      <c r="F1020" s="723">
        <v>0</v>
      </c>
      <c r="G1020" s="723">
        <v>1326</v>
      </c>
      <c r="H1020" s="724">
        <v>25479.629846531359</v>
      </c>
      <c r="I1020" s="724">
        <v>29998.184893206875</v>
      </c>
      <c r="J1020" s="724">
        <v>0</v>
      </c>
      <c r="K1020" s="724">
        <v>0</v>
      </c>
      <c r="L1020" s="724">
        <v>55477.814739738234</v>
      </c>
    </row>
    <row r="1021" spans="1:12">
      <c r="A1021" s="722" t="s">
        <v>187</v>
      </c>
      <c r="B1021" s="722">
        <v>324</v>
      </c>
      <c r="C1021" s="723">
        <v>7</v>
      </c>
      <c r="D1021" s="723">
        <v>0</v>
      </c>
      <c r="E1021" s="723">
        <v>0</v>
      </c>
      <c r="F1021" s="723">
        <v>0</v>
      </c>
      <c r="G1021" s="723">
        <v>7</v>
      </c>
      <c r="H1021" s="724">
        <v>292.86930858082025</v>
      </c>
      <c r="I1021" s="724">
        <v>0</v>
      </c>
      <c r="J1021" s="724">
        <v>0</v>
      </c>
      <c r="K1021" s="724">
        <v>0</v>
      </c>
      <c r="L1021" s="724">
        <v>292.86930858082025</v>
      </c>
    </row>
    <row r="1022" spans="1:12">
      <c r="A1022" s="722" t="s">
        <v>187</v>
      </c>
      <c r="B1022" s="722">
        <v>340</v>
      </c>
      <c r="C1022" s="723">
        <v>10</v>
      </c>
      <c r="D1022" s="723">
        <v>7</v>
      </c>
      <c r="E1022" s="723">
        <v>0</v>
      </c>
      <c r="F1022" s="723">
        <v>0</v>
      </c>
      <c r="G1022" s="723">
        <v>17</v>
      </c>
      <c r="H1022" s="724">
        <v>418.38472654402892</v>
      </c>
      <c r="I1022" s="724">
        <v>292.8693085808203</v>
      </c>
      <c r="J1022" s="724">
        <v>0</v>
      </c>
      <c r="K1022" s="724">
        <v>0</v>
      </c>
      <c r="L1022" s="724">
        <v>711.25403512484922</v>
      </c>
    </row>
    <row r="1023" spans="1:12">
      <c r="A1023" s="722" t="s">
        <v>187</v>
      </c>
      <c r="B1023" s="722">
        <v>350</v>
      </c>
      <c r="C1023" s="723">
        <v>4</v>
      </c>
      <c r="D1023" s="723">
        <v>0</v>
      </c>
      <c r="E1023" s="723">
        <v>0</v>
      </c>
      <c r="F1023" s="723">
        <v>0</v>
      </c>
      <c r="G1023" s="723">
        <v>4</v>
      </c>
      <c r="H1023" s="724">
        <v>167.35389061761157</v>
      </c>
      <c r="I1023" s="724">
        <v>0</v>
      </c>
      <c r="J1023" s="724">
        <v>0</v>
      </c>
      <c r="K1023" s="724">
        <v>0</v>
      </c>
      <c r="L1023" s="724">
        <v>167.35389061761157</v>
      </c>
    </row>
    <row r="1024" spans="1:12">
      <c r="A1024" s="722" t="s">
        <v>187</v>
      </c>
      <c r="B1024" s="722">
        <v>370</v>
      </c>
      <c r="C1024" s="723">
        <v>1</v>
      </c>
      <c r="D1024" s="723">
        <v>0</v>
      </c>
      <c r="E1024" s="723">
        <v>0</v>
      </c>
      <c r="F1024" s="723">
        <v>0</v>
      </c>
      <c r="G1024" s="723">
        <v>1</v>
      </c>
      <c r="H1024" s="724">
        <v>41.838472654402892</v>
      </c>
      <c r="I1024" s="724">
        <v>0</v>
      </c>
      <c r="J1024" s="724">
        <v>0</v>
      </c>
      <c r="K1024" s="724">
        <v>0</v>
      </c>
      <c r="L1024" s="724">
        <v>41.838472654402892</v>
      </c>
    </row>
    <row r="1025" spans="1:12">
      <c r="A1025" s="722" t="s">
        <v>187</v>
      </c>
      <c r="B1025" s="722">
        <v>420</v>
      </c>
      <c r="C1025" s="723">
        <v>26</v>
      </c>
      <c r="D1025" s="723">
        <v>165</v>
      </c>
      <c r="E1025" s="723">
        <v>0</v>
      </c>
      <c r="F1025" s="723">
        <v>0</v>
      </c>
      <c r="G1025" s="723">
        <v>191</v>
      </c>
      <c r="H1025" s="724">
        <v>1087.8002890144751</v>
      </c>
      <c r="I1025" s="724">
        <v>6903.3479879764773</v>
      </c>
      <c r="J1025" s="724">
        <v>0</v>
      </c>
      <c r="K1025" s="724">
        <v>0</v>
      </c>
      <c r="L1025" s="724">
        <v>7991.1482769909526</v>
      </c>
    </row>
    <row r="1026" spans="1:12">
      <c r="A1026" s="722" t="s">
        <v>187</v>
      </c>
      <c r="B1026" s="722">
        <v>422</v>
      </c>
      <c r="C1026" s="723">
        <v>5</v>
      </c>
      <c r="D1026" s="723">
        <v>29</v>
      </c>
      <c r="E1026" s="723">
        <v>0</v>
      </c>
      <c r="F1026" s="723">
        <v>0</v>
      </c>
      <c r="G1026" s="723">
        <v>34</v>
      </c>
      <c r="H1026" s="724">
        <v>209.19236327201446</v>
      </c>
      <c r="I1026" s="724">
        <v>1213.3157069776842</v>
      </c>
      <c r="J1026" s="724">
        <v>0</v>
      </c>
      <c r="K1026" s="724">
        <v>0</v>
      </c>
      <c r="L1026" s="724">
        <v>1422.5080702496984</v>
      </c>
    </row>
    <row r="1027" spans="1:12">
      <c r="A1027" s="722" t="s">
        <v>187</v>
      </c>
      <c r="B1027" s="722">
        <v>501</v>
      </c>
      <c r="C1027" s="723">
        <v>3</v>
      </c>
      <c r="D1027" s="723">
        <v>2</v>
      </c>
      <c r="E1027" s="723">
        <v>0</v>
      </c>
      <c r="F1027" s="723">
        <v>0</v>
      </c>
      <c r="G1027" s="723">
        <v>5</v>
      </c>
      <c r="H1027" s="724">
        <v>125.51541796320866</v>
      </c>
      <c r="I1027" s="724">
        <v>83.676945308805784</v>
      </c>
      <c r="J1027" s="724">
        <v>0</v>
      </c>
      <c r="K1027" s="724">
        <v>0</v>
      </c>
      <c r="L1027" s="724">
        <v>209.19236327201446</v>
      </c>
    </row>
    <row r="1028" spans="1:12">
      <c r="A1028" s="722" t="s">
        <v>187</v>
      </c>
      <c r="B1028" s="722">
        <v>502</v>
      </c>
      <c r="C1028" s="723">
        <v>362</v>
      </c>
      <c r="D1028" s="723">
        <v>3</v>
      </c>
      <c r="E1028" s="723">
        <v>0</v>
      </c>
      <c r="F1028" s="723">
        <v>0</v>
      </c>
      <c r="G1028" s="723">
        <v>365</v>
      </c>
      <c r="H1028" s="724">
        <v>15145.527100893847</v>
      </c>
      <c r="I1028" s="724">
        <v>125.51541796320868</v>
      </c>
      <c r="J1028" s="724">
        <v>0</v>
      </c>
      <c r="K1028" s="724">
        <v>0</v>
      </c>
      <c r="L1028" s="724">
        <v>15271.042518857057</v>
      </c>
    </row>
    <row r="1029" spans="1:12">
      <c r="A1029" s="722" t="s">
        <v>187</v>
      </c>
      <c r="B1029" s="722">
        <v>560</v>
      </c>
      <c r="C1029" s="723">
        <v>3</v>
      </c>
      <c r="D1029" s="723">
        <v>0</v>
      </c>
      <c r="E1029" s="723">
        <v>0</v>
      </c>
      <c r="F1029" s="723">
        <v>0</v>
      </c>
      <c r="G1029" s="723">
        <v>3</v>
      </c>
      <c r="H1029" s="724">
        <v>125.51541796320869</v>
      </c>
      <c r="I1029" s="724">
        <v>0</v>
      </c>
      <c r="J1029" s="724">
        <v>0</v>
      </c>
      <c r="K1029" s="724">
        <v>0</v>
      </c>
      <c r="L1029" s="724">
        <v>125.51541796320869</v>
      </c>
    </row>
    <row r="1030" spans="1:12">
      <c r="A1030" s="722" t="s">
        <v>187</v>
      </c>
      <c r="B1030" s="722">
        <v>650</v>
      </c>
      <c r="C1030" s="723">
        <v>7</v>
      </c>
      <c r="D1030" s="723">
        <v>1</v>
      </c>
      <c r="E1030" s="723">
        <v>0</v>
      </c>
      <c r="F1030" s="723">
        <v>0</v>
      </c>
      <c r="G1030" s="723">
        <v>8</v>
      </c>
      <c r="H1030" s="724">
        <v>292.86930858082025</v>
      </c>
      <c r="I1030" s="724">
        <v>41.838472654402892</v>
      </c>
      <c r="J1030" s="724">
        <v>0</v>
      </c>
      <c r="K1030" s="724">
        <v>0</v>
      </c>
      <c r="L1030" s="724">
        <v>334.70778123522314</v>
      </c>
    </row>
    <row r="1031" spans="1:12">
      <c r="A1031" s="722" t="s">
        <v>188</v>
      </c>
      <c r="B1031" s="722">
        <v>103</v>
      </c>
      <c r="C1031" s="723">
        <v>1</v>
      </c>
      <c r="D1031" s="723">
        <v>0</v>
      </c>
      <c r="E1031" s="723">
        <v>0</v>
      </c>
      <c r="F1031" s="723">
        <v>0</v>
      </c>
      <c r="G1031" s="723">
        <v>1</v>
      </c>
      <c r="H1031" s="724">
        <v>23.834448927894559</v>
      </c>
      <c r="I1031" s="724">
        <v>0</v>
      </c>
      <c r="J1031" s="724">
        <v>0</v>
      </c>
      <c r="K1031" s="724">
        <v>0</v>
      </c>
      <c r="L1031" s="724">
        <v>23.834448927894559</v>
      </c>
    </row>
    <row r="1032" spans="1:12">
      <c r="A1032" s="722" t="s">
        <v>188</v>
      </c>
      <c r="B1032" s="722">
        <v>107</v>
      </c>
      <c r="C1032" s="723">
        <v>0</v>
      </c>
      <c r="D1032" s="723">
        <v>1</v>
      </c>
      <c r="E1032" s="723">
        <v>0</v>
      </c>
      <c r="F1032" s="723">
        <v>0</v>
      </c>
      <c r="G1032" s="723">
        <v>1</v>
      </c>
      <c r="H1032" s="724">
        <v>0</v>
      </c>
      <c r="I1032" s="724">
        <v>23.834448927894559</v>
      </c>
      <c r="J1032" s="724">
        <v>0</v>
      </c>
      <c r="K1032" s="724">
        <v>0</v>
      </c>
      <c r="L1032" s="724">
        <v>23.834448927894559</v>
      </c>
    </row>
    <row r="1033" spans="1:12">
      <c r="A1033" s="722" t="s">
        <v>188</v>
      </c>
      <c r="B1033" s="722">
        <v>110</v>
      </c>
      <c r="C1033" s="723">
        <v>1</v>
      </c>
      <c r="D1033" s="723">
        <v>1</v>
      </c>
      <c r="E1033" s="723">
        <v>0</v>
      </c>
      <c r="F1033" s="723">
        <v>0</v>
      </c>
      <c r="G1033" s="723">
        <v>2</v>
      </c>
      <c r="H1033" s="724">
        <v>23.834448927894559</v>
      </c>
      <c r="I1033" s="724">
        <v>23.834448927894559</v>
      </c>
      <c r="J1033" s="724">
        <v>0</v>
      </c>
      <c r="K1033" s="724">
        <v>0</v>
      </c>
      <c r="L1033" s="724">
        <v>47.668897855789119</v>
      </c>
    </row>
    <row r="1034" spans="1:12">
      <c r="A1034" s="722" t="s">
        <v>188</v>
      </c>
      <c r="B1034" s="722">
        <v>120</v>
      </c>
      <c r="C1034" s="723">
        <v>1</v>
      </c>
      <c r="D1034" s="723">
        <v>0</v>
      </c>
      <c r="E1034" s="723">
        <v>0</v>
      </c>
      <c r="F1034" s="723">
        <v>0</v>
      </c>
      <c r="G1034" s="723">
        <v>1</v>
      </c>
      <c r="H1034" s="724">
        <v>23.834448927894559</v>
      </c>
      <c r="I1034" s="724">
        <v>0</v>
      </c>
      <c r="J1034" s="724">
        <v>0</v>
      </c>
      <c r="K1034" s="724">
        <v>0</v>
      </c>
      <c r="L1034" s="724">
        <v>23.834448927894559</v>
      </c>
    </row>
    <row r="1035" spans="1:12">
      <c r="A1035" s="722" t="s">
        <v>188</v>
      </c>
      <c r="B1035" s="722">
        <v>170</v>
      </c>
      <c r="C1035" s="723">
        <v>2</v>
      </c>
      <c r="D1035" s="723">
        <v>0</v>
      </c>
      <c r="E1035" s="723">
        <v>0</v>
      </c>
      <c r="F1035" s="723">
        <v>0</v>
      </c>
      <c r="G1035" s="723">
        <v>2</v>
      </c>
      <c r="H1035" s="724">
        <v>47.668897855789119</v>
      </c>
      <c r="I1035" s="724">
        <v>0</v>
      </c>
      <c r="J1035" s="724">
        <v>0</v>
      </c>
      <c r="K1035" s="724">
        <v>0</v>
      </c>
      <c r="L1035" s="724">
        <v>47.668897855789119</v>
      </c>
    </row>
    <row r="1036" spans="1:12">
      <c r="A1036" s="722" t="s">
        <v>188</v>
      </c>
      <c r="B1036" s="722">
        <v>300</v>
      </c>
      <c r="C1036" s="723">
        <v>0</v>
      </c>
      <c r="D1036" s="723">
        <v>6</v>
      </c>
      <c r="E1036" s="723">
        <v>0</v>
      </c>
      <c r="F1036" s="723">
        <v>0</v>
      </c>
      <c r="G1036" s="723">
        <v>6</v>
      </c>
      <c r="H1036" s="724">
        <v>0</v>
      </c>
      <c r="I1036" s="724">
        <v>143.00669356736736</v>
      </c>
      <c r="J1036" s="724">
        <v>0</v>
      </c>
      <c r="K1036" s="724">
        <v>0</v>
      </c>
      <c r="L1036" s="724">
        <v>143.00669356736736</v>
      </c>
    </row>
    <row r="1037" spans="1:12">
      <c r="A1037" s="722" t="s">
        <v>188</v>
      </c>
      <c r="B1037" s="722">
        <v>303</v>
      </c>
      <c r="C1037" s="723">
        <v>2</v>
      </c>
      <c r="D1037" s="723">
        <v>0</v>
      </c>
      <c r="E1037" s="723">
        <v>0</v>
      </c>
      <c r="F1037" s="723">
        <v>0</v>
      </c>
      <c r="G1037" s="723">
        <v>2</v>
      </c>
      <c r="H1037" s="724">
        <v>47.668897855789119</v>
      </c>
      <c r="I1037" s="724">
        <v>0</v>
      </c>
      <c r="J1037" s="724">
        <v>0</v>
      </c>
      <c r="K1037" s="724">
        <v>0</v>
      </c>
      <c r="L1037" s="724">
        <v>47.668897855789119</v>
      </c>
    </row>
    <row r="1038" spans="1:12">
      <c r="A1038" s="722" t="s">
        <v>188</v>
      </c>
      <c r="B1038" s="722">
        <v>304</v>
      </c>
      <c r="C1038" s="723">
        <v>9</v>
      </c>
      <c r="D1038" s="723">
        <v>0</v>
      </c>
      <c r="E1038" s="723">
        <v>0</v>
      </c>
      <c r="F1038" s="723">
        <v>0</v>
      </c>
      <c r="G1038" s="723">
        <v>9</v>
      </c>
      <c r="H1038" s="724">
        <v>214.51004035105103</v>
      </c>
      <c r="I1038" s="724">
        <v>0</v>
      </c>
      <c r="J1038" s="724">
        <v>0</v>
      </c>
      <c r="K1038" s="724">
        <v>0</v>
      </c>
      <c r="L1038" s="724">
        <v>214.51004035105103</v>
      </c>
    </row>
    <row r="1039" spans="1:12">
      <c r="A1039" s="722" t="s">
        <v>188</v>
      </c>
      <c r="B1039" s="722">
        <v>320</v>
      </c>
      <c r="C1039" s="723">
        <v>42</v>
      </c>
      <c r="D1039" s="723">
        <v>50</v>
      </c>
      <c r="E1039" s="723">
        <v>0</v>
      </c>
      <c r="F1039" s="723">
        <v>0</v>
      </c>
      <c r="G1039" s="723">
        <v>92</v>
      </c>
      <c r="H1039" s="724">
        <v>1001.0468549715714</v>
      </c>
      <c r="I1039" s="724">
        <v>1191.722446394728</v>
      </c>
      <c r="J1039" s="724">
        <v>0</v>
      </c>
      <c r="K1039" s="724">
        <v>0</v>
      </c>
      <c r="L1039" s="724">
        <v>2192.7693013662993</v>
      </c>
    </row>
    <row r="1040" spans="1:12">
      <c r="A1040" s="722" t="s">
        <v>188</v>
      </c>
      <c r="B1040" s="722">
        <v>324</v>
      </c>
      <c r="C1040" s="723">
        <v>1</v>
      </c>
      <c r="D1040" s="723">
        <v>0</v>
      </c>
      <c r="E1040" s="723">
        <v>0</v>
      </c>
      <c r="F1040" s="723">
        <v>0</v>
      </c>
      <c r="G1040" s="723">
        <v>1</v>
      </c>
      <c r="H1040" s="724">
        <v>23.834448927894559</v>
      </c>
      <c r="I1040" s="724">
        <v>0</v>
      </c>
      <c r="J1040" s="724">
        <v>0</v>
      </c>
      <c r="K1040" s="724">
        <v>0</v>
      </c>
      <c r="L1040" s="724">
        <v>23.834448927894559</v>
      </c>
    </row>
    <row r="1041" spans="1:12">
      <c r="A1041" s="722" t="s">
        <v>188</v>
      </c>
      <c r="B1041" s="722">
        <v>340</v>
      </c>
      <c r="C1041" s="723">
        <v>3</v>
      </c>
      <c r="D1041" s="723">
        <v>4</v>
      </c>
      <c r="E1041" s="723">
        <v>0</v>
      </c>
      <c r="F1041" s="723">
        <v>0</v>
      </c>
      <c r="G1041" s="723">
        <v>7</v>
      </c>
      <c r="H1041" s="724">
        <v>71.503346783683682</v>
      </c>
      <c r="I1041" s="724">
        <v>95.337795711578238</v>
      </c>
      <c r="J1041" s="724">
        <v>0</v>
      </c>
      <c r="K1041" s="724">
        <v>0</v>
      </c>
      <c r="L1041" s="724">
        <v>166.84114249526192</v>
      </c>
    </row>
    <row r="1042" spans="1:12">
      <c r="A1042" s="722" t="s">
        <v>188</v>
      </c>
      <c r="B1042" s="722">
        <v>370</v>
      </c>
      <c r="C1042" s="723">
        <v>4</v>
      </c>
      <c r="D1042" s="723">
        <v>1</v>
      </c>
      <c r="E1042" s="723">
        <v>0</v>
      </c>
      <c r="F1042" s="723">
        <v>0</v>
      </c>
      <c r="G1042" s="723">
        <v>5</v>
      </c>
      <c r="H1042" s="724">
        <v>95.337795711578238</v>
      </c>
      <c r="I1042" s="724">
        <v>23.834448927894559</v>
      </c>
      <c r="J1042" s="724">
        <v>0</v>
      </c>
      <c r="K1042" s="724">
        <v>0</v>
      </c>
      <c r="L1042" s="724">
        <v>119.17224463947279</v>
      </c>
    </row>
    <row r="1043" spans="1:12">
      <c r="A1043" s="722" t="s">
        <v>188</v>
      </c>
      <c r="B1043" s="722">
        <v>430</v>
      </c>
      <c r="C1043" s="723">
        <v>3</v>
      </c>
      <c r="D1043" s="723">
        <v>9</v>
      </c>
      <c r="E1043" s="723">
        <v>0</v>
      </c>
      <c r="F1043" s="723">
        <v>0</v>
      </c>
      <c r="G1043" s="723">
        <v>12</v>
      </c>
      <c r="H1043" s="724">
        <v>71.503346783683682</v>
      </c>
      <c r="I1043" s="724">
        <v>214.51004035105106</v>
      </c>
      <c r="J1043" s="724">
        <v>0</v>
      </c>
      <c r="K1043" s="724">
        <v>0</v>
      </c>
      <c r="L1043" s="724">
        <v>286.01338713473473</v>
      </c>
    </row>
    <row r="1044" spans="1:12">
      <c r="A1044" s="722" t="s">
        <v>188</v>
      </c>
      <c r="B1044" s="722">
        <v>650</v>
      </c>
      <c r="C1044" s="723">
        <v>1</v>
      </c>
      <c r="D1044" s="723">
        <v>0</v>
      </c>
      <c r="E1044" s="723">
        <v>0</v>
      </c>
      <c r="F1044" s="723">
        <v>0</v>
      </c>
      <c r="G1044" s="723">
        <v>1</v>
      </c>
      <c r="H1044" s="724">
        <v>23.834448927894559</v>
      </c>
      <c r="I1044" s="724">
        <v>0</v>
      </c>
      <c r="J1044" s="724">
        <v>0</v>
      </c>
      <c r="K1044" s="724">
        <v>0</v>
      </c>
      <c r="L1044" s="724">
        <v>23.834448927894559</v>
      </c>
    </row>
    <row r="1045" spans="1:12">
      <c r="A1045" s="722" t="s">
        <v>188</v>
      </c>
      <c r="B1045" s="722">
        <v>811</v>
      </c>
      <c r="C1045" s="723">
        <v>122</v>
      </c>
      <c r="D1045" s="723">
        <v>355</v>
      </c>
      <c r="E1045" s="723">
        <v>0</v>
      </c>
      <c r="F1045" s="723">
        <v>0</v>
      </c>
      <c r="G1045" s="723">
        <v>477</v>
      </c>
      <c r="H1045" s="724">
        <v>2907.8027692031364</v>
      </c>
      <c r="I1045" s="724">
        <v>8461.2293694025684</v>
      </c>
      <c r="J1045" s="724">
        <v>0</v>
      </c>
      <c r="K1045" s="724">
        <v>0</v>
      </c>
      <c r="L1045" s="724">
        <v>11369.032138605706</v>
      </c>
    </row>
    <row r="1046" spans="1:12">
      <c r="A1046" s="722" t="s">
        <v>188</v>
      </c>
      <c r="B1046" s="722">
        <v>812</v>
      </c>
      <c r="C1046" s="723">
        <v>115</v>
      </c>
      <c r="D1046" s="723">
        <v>350</v>
      </c>
      <c r="E1046" s="723">
        <v>0</v>
      </c>
      <c r="F1046" s="723">
        <v>0</v>
      </c>
      <c r="G1046" s="723">
        <v>465</v>
      </c>
      <c r="H1046" s="724">
        <v>2740.9616267078745</v>
      </c>
      <c r="I1046" s="724">
        <v>8342.057124763096</v>
      </c>
      <c r="J1046" s="724">
        <v>0</v>
      </c>
      <c r="K1046" s="724">
        <v>0</v>
      </c>
      <c r="L1046" s="724">
        <v>11083.018751470971</v>
      </c>
    </row>
    <row r="1047" spans="1:12">
      <c r="A1047" s="722" t="s">
        <v>189</v>
      </c>
      <c r="B1047" s="722">
        <v>320</v>
      </c>
      <c r="C1047" s="723">
        <v>0</v>
      </c>
      <c r="D1047" s="723">
        <v>4</v>
      </c>
      <c r="E1047" s="723">
        <v>0</v>
      </c>
      <c r="F1047" s="723">
        <v>0</v>
      </c>
      <c r="G1047" s="723">
        <v>4</v>
      </c>
      <c r="H1047" s="724">
        <v>0</v>
      </c>
      <c r="I1047" s="724">
        <v>1487.0855653129208</v>
      </c>
      <c r="J1047" s="724">
        <v>0</v>
      </c>
      <c r="K1047" s="724">
        <v>0</v>
      </c>
      <c r="L1047" s="724">
        <v>1487.0855653129208</v>
      </c>
    </row>
    <row r="1048" spans="1:12">
      <c r="A1048" s="722" t="s">
        <v>189</v>
      </c>
      <c r="B1048" s="722">
        <v>321</v>
      </c>
      <c r="C1048" s="723">
        <v>5</v>
      </c>
      <c r="D1048" s="723">
        <v>33</v>
      </c>
      <c r="E1048" s="723">
        <v>0</v>
      </c>
      <c r="F1048" s="723">
        <v>0</v>
      </c>
      <c r="G1048" s="723">
        <v>38</v>
      </c>
      <c r="H1048" s="724">
        <v>1858.8569566411511</v>
      </c>
      <c r="I1048" s="724">
        <v>12268.455913831596</v>
      </c>
      <c r="J1048" s="724">
        <v>0</v>
      </c>
      <c r="K1048" s="724">
        <v>0</v>
      </c>
      <c r="L1048" s="724">
        <v>14127.312870472748</v>
      </c>
    </row>
    <row r="1049" spans="1:12">
      <c r="A1049" s="722" t="s">
        <v>189</v>
      </c>
      <c r="B1049" s="722">
        <v>811</v>
      </c>
      <c r="C1049" s="723">
        <v>0</v>
      </c>
      <c r="D1049" s="723">
        <v>1</v>
      </c>
      <c r="E1049" s="723">
        <v>0</v>
      </c>
      <c r="F1049" s="723">
        <v>0</v>
      </c>
      <c r="G1049" s="723">
        <v>1</v>
      </c>
      <c r="H1049" s="724">
        <v>0</v>
      </c>
      <c r="I1049" s="724">
        <v>371.77139132823021</v>
      </c>
      <c r="J1049" s="724">
        <v>0</v>
      </c>
      <c r="K1049" s="724">
        <v>0</v>
      </c>
      <c r="L1049" s="724">
        <v>371.77139132823021</v>
      </c>
    </row>
    <row r="1050" spans="1:12">
      <c r="A1050" s="722" t="s">
        <v>190</v>
      </c>
      <c r="B1050" s="722">
        <v>100</v>
      </c>
      <c r="C1050" s="723">
        <v>1</v>
      </c>
      <c r="D1050" s="723">
        <v>0</v>
      </c>
      <c r="E1050" s="723">
        <v>0</v>
      </c>
      <c r="F1050" s="723">
        <v>0</v>
      </c>
      <c r="G1050" s="723">
        <v>1</v>
      </c>
      <c r="H1050" s="724">
        <v>404.38502219656334</v>
      </c>
      <c r="I1050" s="724">
        <v>0</v>
      </c>
      <c r="J1050" s="724">
        <v>0</v>
      </c>
      <c r="K1050" s="724">
        <v>0</v>
      </c>
      <c r="L1050" s="724">
        <v>404.38502219656334</v>
      </c>
    </row>
    <row r="1051" spans="1:12">
      <c r="A1051" s="722" t="s">
        <v>190</v>
      </c>
      <c r="B1051" s="722">
        <v>104</v>
      </c>
      <c r="C1051" s="723">
        <v>0</v>
      </c>
      <c r="D1051" s="723">
        <v>1</v>
      </c>
      <c r="E1051" s="723">
        <v>0</v>
      </c>
      <c r="F1051" s="723">
        <v>0</v>
      </c>
      <c r="G1051" s="723">
        <v>1</v>
      </c>
      <c r="H1051" s="724">
        <v>0</v>
      </c>
      <c r="I1051" s="724">
        <v>404.38502219656334</v>
      </c>
      <c r="J1051" s="724">
        <v>0</v>
      </c>
      <c r="K1051" s="724">
        <v>0</v>
      </c>
      <c r="L1051" s="724">
        <v>404.38502219656334</v>
      </c>
    </row>
    <row r="1052" spans="1:12">
      <c r="A1052" s="722" t="s">
        <v>190</v>
      </c>
      <c r="B1052" s="722">
        <v>120</v>
      </c>
      <c r="C1052" s="723">
        <v>0</v>
      </c>
      <c r="D1052" s="723">
        <v>1</v>
      </c>
      <c r="E1052" s="723">
        <v>0</v>
      </c>
      <c r="F1052" s="723">
        <v>0</v>
      </c>
      <c r="G1052" s="723">
        <v>1</v>
      </c>
      <c r="H1052" s="724">
        <v>0</v>
      </c>
      <c r="I1052" s="724">
        <v>404.38502219656334</v>
      </c>
      <c r="J1052" s="724">
        <v>0</v>
      </c>
      <c r="K1052" s="724">
        <v>0</v>
      </c>
      <c r="L1052" s="724">
        <v>404.38502219656334</v>
      </c>
    </row>
    <row r="1053" spans="1:12">
      <c r="A1053" s="722" t="s">
        <v>190</v>
      </c>
      <c r="B1053" s="722">
        <v>304</v>
      </c>
      <c r="C1053" s="723">
        <v>14</v>
      </c>
      <c r="D1053" s="723">
        <v>0</v>
      </c>
      <c r="E1053" s="723">
        <v>0</v>
      </c>
      <c r="F1053" s="723">
        <v>0</v>
      </c>
      <c r="G1053" s="723">
        <v>14</v>
      </c>
      <c r="H1053" s="724">
        <v>5661.3903107518863</v>
      </c>
      <c r="I1053" s="724">
        <v>0</v>
      </c>
      <c r="J1053" s="724">
        <v>0</v>
      </c>
      <c r="K1053" s="724">
        <v>0</v>
      </c>
      <c r="L1053" s="724">
        <v>5661.3903107518863</v>
      </c>
    </row>
    <row r="1054" spans="1:12">
      <c r="A1054" s="722" t="s">
        <v>190</v>
      </c>
      <c r="B1054" s="722">
        <v>320</v>
      </c>
      <c r="C1054" s="723">
        <v>1</v>
      </c>
      <c r="D1054" s="723">
        <v>0</v>
      </c>
      <c r="E1054" s="723">
        <v>0</v>
      </c>
      <c r="F1054" s="723">
        <v>0</v>
      </c>
      <c r="G1054" s="723">
        <v>1</v>
      </c>
      <c r="H1054" s="724">
        <v>404.38502219656334</v>
      </c>
      <c r="I1054" s="724">
        <v>0</v>
      </c>
      <c r="J1054" s="724">
        <v>0</v>
      </c>
      <c r="K1054" s="724">
        <v>0</v>
      </c>
      <c r="L1054" s="724">
        <v>404.38502219656334</v>
      </c>
    </row>
    <row r="1055" spans="1:12">
      <c r="A1055" s="722" t="s">
        <v>191</v>
      </c>
      <c r="B1055" s="722">
        <v>102</v>
      </c>
      <c r="C1055" s="723">
        <v>167</v>
      </c>
      <c r="D1055" s="723">
        <v>0</v>
      </c>
      <c r="E1055" s="723">
        <v>0</v>
      </c>
      <c r="F1055" s="723">
        <v>0</v>
      </c>
      <c r="G1055" s="723">
        <v>167</v>
      </c>
      <c r="H1055" s="724">
        <v>869.65729522412528</v>
      </c>
      <c r="I1055" s="724">
        <v>0</v>
      </c>
      <c r="J1055" s="724">
        <v>0</v>
      </c>
      <c r="K1055" s="724">
        <v>0</v>
      </c>
      <c r="L1055" s="724">
        <v>869.65729522412516</v>
      </c>
    </row>
    <row r="1056" spans="1:12">
      <c r="A1056" s="722" t="s">
        <v>191</v>
      </c>
      <c r="B1056" s="722">
        <v>174</v>
      </c>
      <c r="C1056" s="723">
        <v>5</v>
      </c>
      <c r="D1056" s="723">
        <v>0</v>
      </c>
      <c r="E1056" s="723">
        <v>0</v>
      </c>
      <c r="F1056" s="723">
        <v>0</v>
      </c>
      <c r="G1056" s="723">
        <v>5</v>
      </c>
      <c r="H1056" s="724">
        <v>26.037643569584581</v>
      </c>
      <c r="I1056" s="724">
        <v>0</v>
      </c>
      <c r="J1056" s="724">
        <v>0</v>
      </c>
      <c r="K1056" s="724">
        <v>0</v>
      </c>
      <c r="L1056" s="724">
        <v>26.037643569584581</v>
      </c>
    </row>
    <row r="1057" spans="1:12">
      <c r="A1057" s="722" t="s">
        <v>191</v>
      </c>
      <c r="B1057" s="722">
        <v>300</v>
      </c>
      <c r="C1057" s="723">
        <v>3</v>
      </c>
      <c r="D1057" s="723">
        <v>0</v>
      </c>
      <c r="E1057" s="723">
        <v>0</v>
      </c>
      <c r="F1057" s="723">
        <v>0</v>
      </c>
      <c r="G1057" s="723">
        <v>3</v>
      </c>
      <c r="H1057" s="724">
        <v>15.62258614175075</v>
      </c>
      <c r="I1057" s="724">
        <v>0</v>
      </c>
      <c r="J1057" s="724">
        <v>0</v>
      </c>
      <c r="K1057" s="724">
        <v>0</v>
      </c>
      <c r="L1057" s="724">
        <v>15.62258614175075</v>
      </c>
    </row>
    <row r="1058" spans="1:12">
      <c r="A1058" s="722" t="s">
        <v>191</v>
      </c>
      <c r="B1058" s="722">
        <v>301</v>
      </c>
      <c r="C1058" s="723">
        <v>6</v>
      </c>
      <c r="D1058" s="723">
        <v>0</v>
      </c>
      <c r="E1058" s="723">
        <v>0</v>
      </c>
      <c r="F1058" s="723">
        <v>0</v>
      </c>
      <c r="G1058" s="723">
        <v>6</v>
      </c>
      <c r="H1058" s="724">
        <v>31.2451722835015</v>
      </c>
      <c r="I1058" s="724">
        <v>0</v>
      </c>
      <c r="J1058" s="724">
        <v>0</v>
      </c>
      <c r="K1058" s="724">
        <v>0</v>
      </c>
      <c r="L1058" s="724">
        <v>31.2451722835015</v>
      </c>
    </row>
    <row r="1059" spans="1:12">
      <c r="A1059" s="722" t="s">
        <v>192</v>
      </c>
      <c r="B1059" s="722">
        <v>301</v>
      </c>
      <c r="C1059" s="723">
        <v>2</v>
      </c>
      <c r="D1059" s="723">
        <v>0</v>
      </c>
      <c r="E1059" s="723">
        <v>0</v>
      </c>
      <c r="F1059" s="723">
        <v>0</v>
      </c>
      <c r="G1059" s="723">
        <v>2</v>
      </c>
      <c r="H1059" s="724">
        <v>29.723838277728117</v>
      </c>
      <c r="I1059" s="724">
        <v>0</v>
      </c>
      <c r="J1059" s="724">
        <v>0</v>
      </c>
      <c r="K1059" s="724">
        <v>0</v>
      </c>
      <c r="L1059" s="724">
        <v>29.723838277728117</v>
      </c>
    </row>
    <row r="1060" spans="1:12">
      <c r="A1060" s="722" t="s">
        <v>192</v>
      </c>
      <c r="B1060" s="722">
        <v>306</v>
      </c>
      <c r="C1060" s="723">
        <v>0</v>
      </c>
      <c r="D1060" s="723">
        <v>1</v>
      </c>
      <c r="E1060" s="723">
        <v>0</v>
      </c>
      <c r="F1060" s="723">
        <v>0</v>
      </c>
      <c r="G1060" s="723">
        <v>1</v>
      </c>
      <c r="H1060" s="724">
        <v>0</v>
      </c>
      <c r="I1060" s="724">
        <v>14.861919138864058</v>
      </c>
      <c r="J1060" s="724">
        <v>0</v>
      </c>
      <c r="K1060" s="724">
        <v>0</v>
      </c>
      <c r="L1060" s="724">
        <v>14.861919138864058</v>
      </c>
    </row>
    <row r="1061" spans="1:12">
      <c r="A1061" s="722" t="s">
        <v>192</v>
      </c>
      <c r="B1061" s="722">
        <v>812</v>
      </c>
      <c r="C1061" s="723">
        <v>0</v>
      </c>
      <c r="D1061" s="723">
        <v>31</v>
      </c>
      <c r="E1061" s="723">
        <v>0</v>
      </c>
      <c r="F1061" s="723">
        <v>0</v>
      </c>
      <c r="G1061" s="723">
        <v>31</v>
      </c>
      <c r="H1061" s="724">
        <v>0</v>
      </c>
      <c r="I1061" s="724">
        <v>460.71949330478577</v>
      </c>
      <c r="J1061" s="724">
        <v>0</v>
      </c>
      <c r="K1061" s="724">
        <v>0</v>
      </c>
      <c r="L1061" s="724">
        <v>460.71949330478583</v>
      </c>
    </row>
    <row r="1062" spans="1:12">
      <c r="A1062" s="722" t="s">
        <v>193</v>
      </c>
      <c r="B1062" s="722">
        <v>100</v>
      </c>
      <c r="C1062" s="723">
        <v>9</v>
      </c>
      <c r="D1062" s="723">
        <v>14</v>
      </c>
      <c r="E1062" s="723">
        <v>0</v>
      </c>
      <c r="F1062" s="723">
        <v>0</v>
      </c>
      <c r="G1062" s="723">
        <v>23</v>
      </c>
      <c r="H1062" s="724">
        <v>1447.5736129501092</v>
      </c>
      <c r="I1062" s="724">
        <v>2251.7811757001696</v>
      </c>
      <c r="J1062" s="724">
        <v>0</v>
      </c>
      <c r="K1062" s="724">
        <v>0</v>
      </c>
      <c r="L1062" s="724">
        <v>3699.3547886502788</v>
      </c>
    </row>
    <row r="1063" spans="1:12">
      <c r="A1063" s="722" t="s">
        <v>193</v>
      </c>
      <c r="B1063" s="722">
        <v>101</v>
      </c>
      <c r="C1063" s="723">
        <v>2</v>
      </c>
      <c r="D1063" s="723">
        <v>0</v>
      </c>
      <c r="E1063" s="723">
        <v>0</v>
      </c>
      <c r="F1063" s="723">
        <v>0</v>
      </c>
      <c r="G1063" s="723">
        <v>2</v>
      </c>
      <c r="H1063" s="724">
        <v>321.68302510002422</v>
      </c>
      <c r="I1063" s="724">
        <v>0</v>
      </c>
      <c r="J1063" s="724">
        <v>0</v>
      </c>
      <c r="K1063" s="724">
        <v>0</v>
      </c>
      <c r="L1063" s="724">
        <v>321.68302510002422</v>
      </c>
    </row>
    <row r="1064" spans="1:12">
      <c r="A1064" s="722" t="s">
        <v>193</v>
      </c>
      <c r="B1064" s="722">
        <v>104</v>
      </c>
      <c r="C1064" s="723">
        <v>1</v>
      </c>
      <c r="D1064" s="723">
        <v>1</v>
      </c>
      <c r="E1064" s="723">
        <v>0</v>
      </c>
      <c r="F1064" s="723">
        <v>0</v>
      </c>
      <c r="G1064" s="723">
        <v>2</v>
      </c>
      <c r="H1064" s="724">
        <v>160.84151255001211</v>
      </c>
      <c r="I1064" s="724">
        <v>160.84151255001211</v>
      </c>
      <c r="J1064" s="724">
        <v>0</v>
      </c>
      <c r="K1064" s="724">
        <v>0</v>
      </c>
      <c r="L1064" s="724">
        <v>321.68302510002422</v>
      </c>
    </row>
    <row r="1065" spans="1:12">
      <c r="A1065" s="722" t="s">
        <v>193</v>
      </c>
      <c r="B1065" s="722">
        <v>106</v>
      </c>
      <c r="C1065" s="723">
        <v>1</v>
      </c>
      <c r="D1065" s="723">
        <v>0</v>
      </c>
      <c r="E1065" s="723">
        <v>0</v>
      </c>
      <c r="F1065" s="723">
        <v>0</v>
      </c>
      <c r="G1065" s="723">
        <v>1</v>
      </c>
      <c r="H1065" s="724">
        <v>160.84151255001211</v>
      </c>
      <c r="I1065" s="724">
        <v>0</v>
      </c>
      <c r="J1065" s="724">
        <v>0</v>
      </c>
      <c r="K1065" s="724">
        <v>0</v>
      </c>
      <c r="L1065" s="724">
        <v>160.84151255001211</v>
      </c>
    </row>
    <row r="1066" spans="1:12">
      <c r="A1066" s="722" t="s">
        <v>193</v>
      </c>
      <c r="B1066" s="722">
        <v>120</v>
      </c>
      <c r="C1066" s="723">
        <v>1</v>
      </c>
      <c r="D1066" s="723">
        <v>0</v>
      </c>
      <c r="E1066" s="723">
        <v>0</v>
      </c>
      <c r="F1066" s="723">
        <v>0</v>
      </c>
      <c r="G1066" s="723">
        <v>1</v>
      </c>
      <c r="H1066" s="724">
        <v>160.84151255001211</v>
      </c>
      <c r="I1066" s="724">
        <v>0</v>
      </c>
      <c r="J1066" s="724">
        <v>0</v>
      </c>
      <c r="K1066" s="724">
        <v>0</v>
      </c>
      <c r="L1066" s="724">
        <v>160.84151255001211</v>
      </c>
    </row>
    <row r="1067" spans="1:12">
      <c r="A1067" s="722" t="s">
        <v>193</v>
      </c>
      <c r="B1067" s="722">
        <v>160</v>
      </c>
      <c r="C1067" s="723">
        <v>15</v>
      </c>
      <c r="D1067" s="723">
        <v>1</v>
      </c>
      <c r="E1067" s="723">
        <v>0</v>
      </c>
      <c r="F1067" s="723">
        <v>0</v>
      </c>
      <c r="G1067" s="723">
        <v>16</v>
      </c>
      <c r="H1067" s="724">
        <v>2412.6226882501815</v>
      </c>
      <c r="I1067" s="724">
        <v>160.84151255001211</v>
      </c>
      <c r="J1067" s="724">
        <v>0</v>
      </c>
      <c r="K1067" s="724">
        <v>0</v>
      </c>
      <c r="L1067" s="724">
        <v>2573.4642008001938</v>
      </c>
    </row>
    <row r="1068" spans="1:12">
      <c r="A1068" s="722" t="s">
        <v>193</v>
      </c>
      <c r="B1068" s="722">
        <v>190</v>
      </c>
      <c r="C1068" s="723">
        <v>1</v>
      </c>
      <c r="D1068" s="723">
        <v>0</v>
      </c>
      <c r="E1068" s="723">
        <v>0</v>
      </c>
      <c r="F1068" s="723">
        <v>0</v>
      </c>
      <c r="G1068" s="723">
        <v>1</v>
      </c>
      <c r="H1068" s="724">
        <v>160.84151255001211</v>
      </c>
      <c r="I1068" s="724">
        <v>0</v>
      </c>
      <c r="J1068" s="724">
        <v>0</v>
      </c>
      <c r="K1068" s="724">
        <v>0</v>
      </c>
      <c r="L1068" s="724">
        <v>160.84151255001211</v>
      </c>
    </row>
    <row r="1069" spans="1:12">
      <c r="A1069" s="722" t="s">
        <v>193</v>
      </c>
      <c r="B1069" s="722">
        <v>301</v>
      </c>
      <c r="C1069" s="723">
        <v>2</v>
      </c>
      <c r="D1069" s="723">
        <v>0</v>
      </c>
      <c r="E1069" s="723">
        <v>0</v>
      </c>
      <c r="F1069" s="723">
        <v>0</v>
      </c>
      <c r="G1069" s="723">
        <v>2</v>
      </c>
      <c r="H1069" s="724">
        <v>321.68302510002422</v>
      </c>
      <c r="I1069" s="724">
        <v>0</v>
      </c>
      <c r="J1069" s="724">
        <v>0</v>
      </c>
      <c r="K1069" s="724">
        <v>0</v>
      </c>
      <c r="L1069" s="724">
        <v>321.68302510002422</v>
      </c>
    </row>
    <row r="1070" spans="1:12">
      <c r="A1070" s="722" t="s">
        <v>193</v>
      </c>
      <c r="B1070" s="722">
        <v>303</v>
      </c>
      <c r="C1070" s="723">
        <v>2</v>
      </c>
      <c r="D1070" s="723">
        <v>2</v>
      </c>
      <c r="E1070" s="723">
        <v>0</v>
      </c>
      <c r="F1070" s="723">
        <v>0</v>
      </c>
      <c r="G1070" s="723">
        <v>4</v>
      </c>
      <c r="H1070" s="724">
        <v>321.68302510002422</v>
      </c>
      <c r="I1070" s="724">
        <v>321.68302510002422</v>
      </c>
      <c r="J1070" s="724">
        <v>0</v>
      </c>
      <c r="K1070" s="724">
        <v>0</v>
      </c>
      <c r="L1070" s="724">
        <v>643.36605020004845</v>
      </c>
    </row>
    <row r="1071" spans="1:12">
      <c r="A1071" s="722" t="s">
        <v>193</v>
      </c>
      <c r="B1071" s="722">
        <v>330</v>
      </c>
      <c r="C1071" s="723">
        <v>1</v>
      </c>
      <c r="D1071" s="723">
        <v>1</v>
      </c>
      <c r="E1071" s="723">
        <v>0</v>
      </c>
      <c r="F1071" s="723">
        <v>0</v>
      </c>
      <c r="G1071" s="723">
        <v>2</v>
      </c>
      <c r="H1071" s="724">
        <v>160.84151255001211</v>
      </c>
      <c r="I1071" s="724">
        <v>160.84151255001211</v>
      </c>
      <c r="J1071" s="724">
        <v>0</v>
      </c>
      <c r="K1071" s="724">
        <v>0</v>
      </c>
      <c r="L1071" s="724">
        <v>321.68302510002422</v>
      </c>
    </row>
    <row r="1072" spans="1:12">
      <c r="A1072" s="722" t="s">
        <v>193</v>
      </c>
      <c r="B1072" s="722">
        <v>340</v>
      </c>
      <c r="C1072" s="723">
        <v>2</v>
      </c>
      <c r="D1072" s="723">
        <v>0</v>
      </c>
      <c r="E1072" s="723">
        <v>0</v>
      </c>
      <c r="F1072" s="723">
        <v>0</v>
      </c>
      <c r="G1072" s="723">
        <v>2</v>
      </c>
      <c r="H1072" s="724">
        <v>321.68302510002422</v>
      </c>
      <c r="I1072" s="724">
        <v>0</v>
      </c>
      <c r="J1072" s="724">
        <v>0</v>
      </c>
      <c r="K1072" s="724">
        <v>0</v>
      </c>
      <c r="L1072" s="724">
        <v>321.68302510002422</v>
      </c>
    </row>
    <row r="1073" spans="1:12">
      <c r="A1073" s="722" t="s">
        <v>193</v>
      </c>
      <c r="B1073" s="722">
        <v>410</v>
      </c>
      <c r="C1073" s="723">
        <v>1</v>
      </c>
      <c r="D1073" s="723">
        <v>0</v>
      </c>
      <c r="E1073" s="723">
        <v>0</v>
      </c>
      <c r="F1073" s="723">
        <v>0</v>
      </c>
      <c r="G1073" s="723">
        <v>1</v>
      </c>
      <c r="H1073" s="724">
        <v>160.84151255001211</v>
      </c>
      <c r="I1073" s="724">
        <v>0</v>
      </c>
      <c r="J1073" s="724">
        <v>0</v>
      </c>
      <c r="K1073" s="724">
        <v>0</v>
      </c>
      <c r="L1073" s="724">
        <v>160.84151255001211</v>
      </c>
    </row>
    <row r="1074" spans="1:12">
      <c r="A1074" s="722" t="s">
        <v>193</v>
      </c>
      <c r="B1074" s="722">
        <v>501</v>
      </c>
      <c r="C1074" s="723">
        <v>2</v>
      </c>
      <c r="D1074" s="723">
        <v>3</v>
      </c>
      <c r="E1074" s="723">
        <v>0</v>
      </c>
      <c r="F1074" s="723">
        <v>0</v>
      </c>
      <c r="G1074" s="723">
        <v>5</v>
      </c>
      <c r="H1074" s="724">
        <v>321.68302510002422</v>
      </c>
      <c r="I1074" s="724">
        <v>482.52453765003628</v>
      </c>
      <c r="J1074" s="724">
        <v>0</v>
      </c>
      <c r="K1074" s="724">
        <v>0</v>
      </c>
      <c r="L1074" s="724">
        <v>804.20756275006056</v>
      </c>
    </row>
    <row r="1075" spans="1:12">
      <c r="A1075" s="722" t="s">
        <v>193</v>
      </c>
      <c r="B1075" s="722">
        <v>502</v>
      </c>
      <c r="C1075" s="723">
        <v>9</v>
      </c>
      <c r="D1075" s="723">
        <v>5</v>
      </c>
      <c r="E1075" s="723">
        <v>0</v>
      </c>
      <c r="F1075" s="723">
        <v>0</v>
      </c>
      <c r="G1075" s="723">
        <v>14</v>
      </c>
      <c r="H1075" s="724">
        <v>1447.573612950109</v>
      </c>
      <c r="I1075" s="724">
        <v>804.20756275006056</v>
      </c>
      <c r="J1075" s="724">
        <v>0</v>
      </c>
      <c r="K1075" s="724">
        <v>0</v>
      </c>
      <c r="L1075" s="724">
        <v>2251.7811757001696</v>
      </c>
    </row>
    <row r="1076" spans="1:12">
      <c r="A1076" s="722" t="s">
        <v>193</v>
      </c>
      <c r="B1076" s="722">
        <v>503</v>
      </c>
      <c r="C1076" s="723">
        <v>3</v>
      </c>
      <c r="D1076" s="723">
        <v>2</v>
      </c>
      <c r="E1076" s="723">
        <v>0</v>
      </c>
      <c r="F1076" s="723">
        <v>0</v>
      </c>
      <c r="G1076" s="723">
        <v>5</v>
      </c>
      <c r="H1076" s="724">
        <v>482.52453765003628</v>
      </c>
      <c r="I1076" s="724">
        <v>321.68302510002422</v>
      </c>
      <c r="J1076" s="724">
        <v>0</v>
      </c>
      <c r="K1076" s="724">
        <v>0</v>
      </c>
      <c r="L1076" s="724">
        <v>804.20756275006056</v>
      </c>
    </row>
    <row r="1077" spans="1:12">
      <c r="A1077" s="722" t="s">
        <v>193</v>
      </c>
      <c r="B1077" s="722">
        <v>560</v>
      </c>
      <c r="C1077" s="723">
        <v>2</v>
      </c>
      <c r="D1077" s="723">
        <v>0</v>
      </c>
      <c r="E1077" s="723">
        <v>0</v>
      </c>
      <c r="F1077" s="723">
        <v>0</v>
      </c>
      <c r="G1077" s="723">
        <v>2</v>
      </c>
      <c r="H1077" s="724">
        <v>321.68302510002422</v>
      </c>
      <c r="I1077" s="724">
        <v>0</v>
      </c>
      <c r="J1077" s="724">
        <v>0</v>
      </c>
      <c r="K1077" s="724">
        <v>0</v>
      </c>
      <c r="L1077" s="724">
        <v>321.68302510002422</v>
      </c>
    </row>
    <row r="1078" spans="1:12">
      <c r="A1078" s="722" t="s">
        <v>193</v>
      </c>
      <c r="B1078" s="722">
        <v>811</v>
      </c>
      <c r="C1078" s="723">
        <v>1</v>
      </c>
      <c r="D1078" s="723">
        <v>7</v>
      </c>
      <c r="E1078" s="723">
        <v>0</v>
      </c>
      <c r="F1078" s="723">
        <v>0</v>
      </c>
      <c r="G1078" s="723">
        <v>8</v>
      </c>
      <c r="H1078" s="724">
        <v>160.84151255001211</v>
      </c>
      <c r="I1078" s="724">
        <v>1125.8905878500848</v>
      </c>
      <c r="J1078" s="724">
        <v>0</v>
      </c>
      <c r="K1078" s="724">
        <v>0</v>
      </c>
      <c r="L1078" s="724">
        <v>1286.7321004000969</v>
      </c>
    </row>
    <row r="1079" spans="1:12">
      <c r="A1079" s="722" t="s">
        <v>193</v>
      </c>
      <c r="B1079" s="722">
        <v>812</v>
      </c>
      <c r="C1079" s="723">
        <v>2</v>
      </c>
      <c r="D1079" s="723">
        <v>6</v>
      </c>
      <c r="E1079" s="723">
        <v>0</v>
      </c>
      <c r="F1079" s="723">
        <v>0</v>
      </c>
      <c r="G1079" s="723">
        <v>8</v>
      </c>
      <c r="H1079" s="724">
        <v>321.68302510002422</v>
      </c>
      <c r="I1079" s="724">
        <v>965.04907530007267</v>
      </c>
      <c r="J1079" s="724">
        <v>0</v>
      </c>
      <c r="K1079" s="724">
        <v>0</v>
      </c>
      <c r="L1079" s="724">
        <v>1286.7321004000969</v>
      </c>
    </row>
    <row r="1080" spans="1:12">
      <c r="A1080" s="722" t="s">
        <v>600</v>
      </c>
      <c r="B1080" s="722">
        <v>100</v>
      </c>
      <c r="C1080" s="723">
        <v>0</v>
      </c>
      <c r="D1080" s="723">
        <v>1</v>
      </c>
      <c r="E1080" s="723">
        <v>0</v>
      </c>
      <c r="F1080" s="723">
        <v>0</v>
      </c>
      <c r="G1080" s="723">
        <v>1</v>
      </c>
      <c r="H1080" s="724">
        <v>0</v>
      </c>
      <c r="I1080" s="724">
        <v>360.34239519982333</v>
      </c>
      <c r="J1080" s="724">
        <v>0</v>
      </c>
      <c r="K1080" s="724">
        <v>0</v>
      </c>
      <c r="L1080" s="724">
        <v>360.34239519982333</v>
      </c>
    </row>
    <row r="1081" spans="1:12">
      <c r="A1081" s="722" t="s">
        <v>600</v>
      </c>
      <c r="B1081" s="722">
        <v>120</v>
      </c>
      <c r="C1081" s="723">
        <v>0</v>
      </c>
      <c r="D1081" s="723">
        <v>1</v>
      </c>
      <c r="E1081" s="723">
        <v>0</v>
      </c>
      <c r="F1081" s="723">
        <v>0</v>
      </c>
      <c r="G1081" s="723">
        <v>1</v>
      </c>
      <c r="H1081" s="724">
        <v>0</v>
      </c>
      <c r="I1081" s="724">
        <v>360.34239519982333</v>
      </c>
      <c r="J1081" s="724">
        <v>0</v>
      </c>
      <c r="K1081" s="724">
        <v>0</v>
      </c>
      <c r="L1081" s="724">
        <v>360.34239519982333</v>
      </c>
    </row>
    <row r="1082" spans="1:12">
      <c r="A1082" s="722" t="s">
        <v>600</v>
      </c>
      <c r="B1082" s="722">
        <v>171</v>
      </c>
      <c r="C1082" s="723">
        <v>1</v>
      </c>
      <c r="D1082" s="723">
        <v>0</v>
      </c>
      <c r="E1082" s="723">
        <v>0</v>
      </c>
      <c r="F1082" s="723">
        <v>0</v>
      </c>
      <c r="G1082" s="723">
        <v>1</v>
      </c>
      <c r="H1082" s="724">
        <v>360.34239519982333</v>
      </c>
      <c r="I1082" s="724">
        <v>0</v>
      </c>
      <c r="J1082" s="724">
        <v>0</v>
      </c>
      <c r="K1082" s="724">
        <v>0</v>
      </c>
      <c r="L1082" s="724">
        <v>360.34239519982333</v>
      </c>
    </row>
    <row r="1083" spans="1:12">
      <c r="A1083" s="722" t="s">
        <v>578</v>
      </c>
      <c r="B1083" s="722">
        <v>100</v>
      </c>
      <c r="C1083" s="723">
        <v>18</v>
      </c>
      <c r="D1083" s="723">
        <v>21</v>
      </c>
      <c r="E1083" s="723">
        <v>0</v>
      </c>
      <c r="F1083" s="723">
        <v>0</v>
      </c>
      <c r="G1083" s="723">
        <v>39</v>
      </c>
      <c r="H1083" s="724">
        <v>1739.9537994491782</v>
      </c>
      <c r="I1083" s="724">
        <v>2029.9460993573746</v>
      </c>
      <c r="J1083" s="724">
        <v>0</v>
      </c>
      <c r="K1083" s="724">
        <v>0</v>
      </c>
      <c r="L1083" s="724">
        <v>3769.8998988065528</v>
      </c>
    </row>
    <row r="1084" spans="1:12">
      <c r="A1084" s="722" t="s">
        <v>578</v>
      </c>
      <c r="B1084" s="722">
        <v>101</v>
      </c>
      <c r="C1084" s="723">
        <v>2</v>
      </c>
      <c r="D1084" s="723">
        <v>0</v>
      </c>
      <c r="E1084" s="723">
        <v>0</v>
      </c>
      <c r="F1084" s="723">
        <v>0</v>
      </c>
      <c r="G1084" s="723">
        <v>2</v>
      </c>
      <c r="H1084" s="724">
        <v>193.32819993879755</v>
      </c>
      <c r="I1084" s="724">
        <v>0</v>
      </c>
      <c r="J1084" s="724">
        <v>0</v>
      </c>
      <c r="K1084" s="724">
        <v>0</v>
      </c>
      <c r="L1084" s="724">
        <v>193.32819993879755</v>
      </c>
    </row>
    <row r="1085" spans="1:12">
      <c r="A1085" s="722" t="s">
        <v>578</v>
      </c>
      <c r="B1085" s="722">
        <v>103</v>
      </c>
      <c r="C1085" s="723">
        <v>24</v>
      </c>
      <c r="D1085" s="723">
        <v>56</v>
      </c>
      <c r="E1085" s="723">
        <v>0</v>
      </c>
      <c r="F1085" s="723">
        <v>0</v>
      </c>
      <c r="G1085" s="723">
        <v>80</v>
      </c>
      <c r="H1085" s="724">
        <v>2319.9383992655703</v>
      </c>
      <c r="I1085" s="724">
        <v>5413.1895982863316</v>
      </c>
      <c r="J1085" s="724">
        <v>0</v>
      </c>
      <c r="K1085" s="724">
        <v>0</v>
      </c>
      <c r="L1085" s="724">
        <v>7733.1279975519019</v>
      </c>
    </row>
    <row r="1086" spans="1:12">
      <c r="A1086" s="722" t="s">
        <v>578</v>
      </c>
      <c r="B1086" s="722">
        <v>104</v>
      </c>
      <c r="C1086" s="723">
        <v>1</v>
      </c>
      <c r="D1086" s="723">
        <v>0</v>
      </c>
      <c r="E1086" s="723">
        <v>0</v>
      </c>
      <c r="F1086" s="723">
        <v>0</v>
      </c>
      <c r="G1086" s="723">
        <v>1</v>
      </c>
      <c r="H1086" s="724">
        <v>96.664099969398777</v>
      </c>
      <c r="I1086" s="724">
        <v>0</v>
      </c>
      <c r="J1086" s="724">
        <v>0</v>
      </c>
      <c r="K1086" s="724">
        <v>0</v>
      </c>
      <c r="L1086" s="724">
        <v>96.664099969398777</v>
      </c>
    </row>
    <row r="1087" spans="1:12">
      <c r="A1087" s="722" t="s">
        <v>578</v>
      </c>
      <c r="B1087" s="722">
        <v>106</v>
      </c>
      <c r="C1087" s="723">
        <v>0</v>
      </c>
      <c r="D1087" s="723">
        <v>1</v>
      </c>
      <c r="E1087" s="723">
        <v>0</v>
      </c>
      <c r="F1087" s="723">
        <v>0</v>
      </c>
      <c r="G1087" s="723">
        <v>1</v>
      </c>
      <c r="H1087" s="724">
        <v>0</v>
      </c>
      <c r="I1087" s="724">
        <v>96.664099969398777</v>
      </c>
      <c r="J1087" s="724">
        <v>0</v>
      </c>
      <c r="K1087" s="724">
        <v>0</v>
      </c>
      <c r="L1087" s="724">
        <v>96.664099969398777</v>
      </c>
    </row>
    <row r="1088" spans="1:12">
      <c r="A1088" s="722" t="s">
        <v>578</v>
      </c>
      <c r="B1088" s="722">
        <v>120</v>
      </c>
      <c r="C1088" s="723">
        <v>23</v>
      </c>
      <c r="D1088" s="723">
        <v>16</v>
      </c>
      <c r="E1088" s="723">
        <v>0</v>
      </c>
      <c r="F1088" s="723">
        <v>0</v>
      </c>
      <c r="G1088" s="723">
        <v>39</v>
      </c>
      <c r="H1088" s="724">
        <v>2223.2742992961721</v>
      </c>
      <c r="I1088" s="724">
        <v>1546.6255995103807</v>
      </c>
      <c r="J1088" s="724">
        <v>0</v>
      </c>
      <c r="K1088" s="724">
        <v>0</v>
      </c>
      <c r="L1088" s="724">
        <v>3769.8998988065528</v>
      </c>
    </row>
    <row r="1089" spans="1:12">
      <c r="A1089" s="722" t="s">
        <v>578</v>
      </c>
      <c r="B1089" s="722">
        <v>130</v>
      </c>
      <c r="C1089" s="723">
        <v>1</v>
      </c>
      <c r="D1089" s="723">
        <v>0</v>
      </c>
      <c r="E1089" s="723">
        <v>0</v>
      </c>
      <c r="F1089" s="723">
        <v>0</v>
      </c>
      <c r="G1089" s="723">
        <v>1</v>
      </c>
      <c r="H1089" s="724">
        <v>96.664099969398777</v>
      </c>
      <c r="I1089" s="724">
        <v>0</v>
      </c>
      <c r="J1089" s="724">
        <v>0</v>
      </c>
      <c r="K1089" s="724">
        <v>0</v>
      </c>
      <c r="L1089" s="724">
        <v>96.664099969398777</v>
      </c>
    </row>
    <row r="1090" spans="1:12">
      <c r="A1090" s="722" t="s">
        <v>578</v>
      </c>
      <c r="B1090" s="722">
        <v>160</v>
      </c>
      <c r="C1090" s="723">
        <v>71</v>
      </c>
      <c r="D1090" s="723">
        <v>3</v>
      </c>
      <c r="E1090" s="723">
        <v>0</v>
      </c>
      <c r="F1090" s="723">
        <v>0</v>
      </c>
      <c r="G1090" s="723">
        <v>74</v>
      </c>
      <c r="H1090" s="724">
        <v>6863.1510978273127</v>
      </c>
      <c r="I1090" s="724">
        <v>289.99229990819634</v>
      </c>
      <c r="J1090" s="724">
        <v>0</v>
      </c>
      <c r="K1090" s="724">
        <v>0</v>
      </c>
      <c r="L1090" s="724">
        <v>7153.1433977355091</v>
      </c>
    </row>
    <row r="1091" spans="1:12">
      <c r="A1091" s="722" t="s">
        <v>578</v>
      </c>
      <c r="B1091" s="722">
        <v>161</v>
      </c>
      <c r="C1091" s="723">
        <v>1</v>
      </c>
      <c r="D1091" s="723">
        <v>0</v>
      </c>
      <c r="E1091" s="723">
        <v>0</v>
      </c>
      <c r="F1091" s="723">
        <v>0</v>
      </c>
      <c r="G1091" s="723">
        <v>1</v>
      </c>
      <c r="H1091" s="724">
        <v>96.664099969398777</v>
      </c>
      <c r="I1091" s="724">
        <v>0</v>
      </c>
      <c r="J1091" s="724">
        <v>0</v>
      </c>
      <c r="K1091" s="724">
        <v>0</v>
      </c>
      <c r="L1091" s="724">
        <v>96.664099969398777</v>
      </c>
    </row>
    <row r="1092" spans="1:12">
      <c r="A1092" s="722" t="s">
        <v>578</v>
      </c>
      <c r="B1092" s="722">
        <v>190</v>
      </c>
      <c r="C1092" s="723">
        <v>2</v>
      </c>
      <c r="D1092" s="723">
        <v>0</v>
      </c>
      <c r="E1092" s="723">
        <v>0</v>
      </c>
      <c r="F1092" s="723">
        <v>0</v>
      </c>
      <c r="G1092" s="723">
        <v>2</v>
      </c>
      <c r="H1092" s="724">
        <v>193.32819993879755</v>
      </c>
      <c r="I1092" s="724">
        <v>0</v>
      </c>
      <c r="J1092" s="724">
        <v>0</v>
      </c>
      <c r="K1092" s="724">
        <v>0</v>
      </c>
      <c r="L1092" s="724">
        <v>193.32819993879755</v>
      </c>
    </row>
    <row r="1093" spans="1:12">
      <c r="A1093" s="722" t="s">
        <v>578</v>
      </c>
      <c r="B1093" s="722">
        <v>191</v>
      </c>
      <c r="C1093" s="723">
        <v>6</v>
      </c>
      <c r="D1093" s="723">
        <v>0</v>
      </c>
      <c r="E1093" s="723">
        <v>0</v>
      </c>
      <c r="F1093" s="723">
        <v>0</v>
      </c>
      <c r="G1093" s="723">
        <v>6</v>
      </c>
      <c r="H1093" s="724">
        <v>579.98459981639269</v>
      </c>
      <c r="I1093" s="724">
        <v>0</v>
      </c>
      <c r="J1093" s="724">
        <v>0</v>
      </c>
      <c r="K1093" s="724">
        <v>0</v>
      </c>
      <c r="L1093" s="724">
        <v>579.98459981639269</v>
      </c>
    </row>
    <row r="1094" spans="1:12">
      <c r="A1094" s="722" t="s">
        <v>578</v>
      </c>
      <c r="B1094" s="722">
        <v>300</v>
      </c>
      <c r="C1094" s="723">
        <v>6</v>
      </c>
      <c r="D1094" s="723">
        <v>14</v>
      </c>
      <c r="E1094" s="723">
        <v>0</v>
      </c>
      <c r="F1094" s="723">
        <v>0</v>
      </c>
      <c r="G1094" s="723">
        <v>20</v>
      </c>
      <c r="H1094" s="724">
        <v>579.98459981639257</v>
      </c>
      <c r="I1094" s="724">
        <v>1353.2973995715829</v>
      </c>
      <c r="J1094" s="724">
        <v>0</v>
      </c>
      <c r="K1094" s="724">
        <v>0</v>
      </c>
      <c r="L1094" s="724">
        <v>1933.2819993879755</v>
      </c>
    </row>
    <row r="1095" spans="1:12">
      <c r="A1095" s="722" t="s">
        <v>578</v>
      </c>
      <c r="B1095" s="722">
        <v>301</v>
      </c>
      <c r="C1095" s="723">
        <v>51</v>
      </c>
      <c r="D1095" s="723">
        <v>26</v>
      </c>
      <c r="E1095" s="723">
        <v>0</v>
      </c>
      <c r="F1095" s="723">
        <v>0</v>
      </c>
      <c r="G1095" s="723">
        <v>77</v>
      </c>
      <c r="H1095" s="724">
        <v>4929.8690984393379</v>
      </c>
      <c r="I1095" s="724">
        <v>2513.2665992043685</v>
      </c>
      <c r="J1095" s="724">
        <v>0</v>
      </c>
      <c r="K1095" s="724">
        <v>0</v>
      </c>
      <c r="L1095" s="724">
        <v>7443.1356976437064</v>
      </c>
    </row>
    <row r="1096" spans="1:12">
      <c r="A1096" s="722" t="s">
        <v>578</v>
      </c>
      <c r="B1096" s="722">
        <v>303</v>
      </c>
      <c r="C1096" s="723">
        <v>10</v>
      </c>
      <c r="D1096" s="723">
        <v>1</v>
      </c>
      <c r="E1096" s="723">
        <v>0</v>
      </c>
      <c r="F1096" s="723">
        <v>0</v>
      </c>
      <c r="G1096" s="723">
        <v>11</v>
      </c>
      <c r="H1096" s="724">
        <v>966.64099969398774</v>
      </c>
      <c r="I1096" s="724">
        <v>96.664099969398777</v>
      </c>
      <c r="J1096" s="724">
        <v>0</v>
      </c>
      <c r="K1096" s="724">
        <v>0</v>
      </c>
      <c r="L1096" s="724">
        <v>1063.3050996633865</v>
      </c>
    </row>
    <row r="1097" spans="1:12">
      <c r="A1097" s="722" t="s">
        <v>578</v>
      </c>
      <c r="B1097" s="722">
        <v>305</v>
      </c>
      <c r="C1097" s="723">
        <v>5</v>
      </c>
      <c r="D1097" s="723">
        <v>0</v>
      </c>
      <c r="E1097" s="723">
        <v>0</v>
      </c>
      <c r="F1097" s="723">
        <v>0</v>
      </c>
      <c r="G1097" s="723">
        <v>5</v>
      </c>
      <c r="H1097" s="724">
        <v>483.32049984699387</v>
      </c>
      <c r="I1097" s="724">
        <v>0</v>
      </c>
      <c r="J1097" s="724">
        <v>0</v>
      </c>
      <c r="K1097" s="724">
        <v>0</v>
      </c>
      <c r="L1097" s="724">
        <v>483.32049984699387</v>
      </c>
    </row>
    <row r="1098" spans="1:12">
      <c r="A1098" s="722" t="s">
        <v>578</v>
      </c>
      <c r="B1098" s="722">
        <v>306</v>
      </c>
      <c r="C1098" s="723">
        <v>4</v>
      </c>
      <c r="D1098" s="723">
        <v>0</v>
      </c>
      <c r="E1098" s="723">
        <v>0</v>
      </c>
      <c r="F1098" s="723">
        <v>0</v>
      </c>
      <c r="G1098" s="723">
        <v>4</v>
      </c>
      <c r="H1098" s="724">
        <v>386.65639987759511</v>
      </c>
      <c r="I1098" s="724">
        <v>0</v>
      </c>
      <c r="J1098" s="724">
        <v>0</v>
      </c>
      <c r="K1098" s="724">
        <v>0</v>
      </c>
      <c r="L1098" s="724">
        <v>386.65639987759511</v>
      </c>
    </row>
    <row r="1099" spans="1:12">
      <c r="A1099" s="722" t="s">
        <v>578</v>
      </c>
      <c r="B1099" s="722">
        <v>311</v>
      </c>
      <c r="C1099" s="723">
        <v>1</v>
      </c>
      <c r="D1099" s="723">
        <v>0</v>
      </c>
      <c r="E1099" s="723">
        <v>0</v>
      </c>
      <c r="F1099" s="723">
        <v>0</v>
      </c>
      <c r="G1099" s="723">
        <v>1</v>
      </c>
      <c r="H1099" s="724">
        <v>96.664099969398777</v>
      </c>
      <c r="I1099" s="724">
        <v>0</v>
      </c>
      <c r="J1099" s="724">
        <v>0</v>
      </c>
      <c r="K1099" s="724">
        <v>0</v>
      </c>
      <c r="L1099" s="724">
        <v>96.664099969398777</v>
      </c>
    </row>
    <row r="1100" spans="1:12">
      <c r="A1100" s="722" t="s">
        <v>578</v>
      </c>
      <c r="B1100" s="722">
        <v>315</v>
      </c>
      <c r="C1100" s="723">
        <v>1</v>
      </c>
      <c r="D1100" s="723">
        <v>0</v>
      </c>
      <c r="E1100" s="723">
        <v>0</v>
      </c>
      <c r="F1100" s="723">
        <v>0</v>
      </c>
      <c r="G1100" s="723">
        <v>1</v>
      </c>
      <c r="H1100" s="724">
        <v>96.664099969398777</v>
      </c>
      <c r="I1100" s="724">
        <v>0</v>
      </c>
      <c r="J1100" s="724">
        <v>0</v>
      </c>
      <c r="K1100" s="724">
        <v>0</v>
      </c>
      <c r="L1100" s="724">
        <v>96.664099969398777</v>
      </c>
    </row>
    <row r="1101" spans="1:12">
      <c r="A1101" s="722" t="s">
        <v>578</v>
      </c>
      <c r="B1101" s="722">
        <v>370</v>
      </c>
      <c r="C1101" s="723">
        <v>47</v>
      </c>
      <c r="D1101" s="723">
        <v>14</v>
      </c>
      <c r="E1101" s="723">
        <v>0</v>
      </c>
      <c r="F1101" s="723">
        <v>0</v>
      </c>
      <c r="G1101" s="723">
        <v>61</v>
      </c>
      <c r="H1101" s="724">
        <v>4543.2126985617424</v>
      </c>
      <c r="I1101" s="724">
        <v>1353.2973995715829</v>
      </c>
      <c r="J1101" s="724">
        <v>0</v>
      </c>
      <c r="K1101" s="724">
        <v>0</v>
      </c>
      <c r="L1101" s="724">
        <v>5896.5100981333253</v>
      </c>
    </row>
    <row r="1102" spans="1:12">
      <c r="A1102" s="722" t="s">
        <v>578</v>
      </c>
      <c r="B1102" s="722">
        <v>430</v>
      </c>
      <c r="C1102" s="723">
        <v>3</v>
      </c>
      <c r="D1102" s="723">
        <v>0</v>
      </c>
      <c r="E1102" s="723">
        <v>0</v>
      </c>
      <c r="F1102" s="723">
        <v>0</v>
      </c>
      <c r="G1102" s="723">
        <v>3</v>
      </c>
      <c r="H1102" s="724">
        <v>289.99229990819634</v>
      </c>
      <c r="I1102" s="724">
        <v>0</v>
      </c>
      <c r="J1102" s="724">
        <v>0</v>
      </c>
      <c r="K1102" s="724">
        <v>0</v>
      </c>
      <c r="L1102" s="724">
        <v>289.99229990819634</v>
      </c>
    </row>
    <row r="1103" spans="1:12">
      <c r="A1103" s="722" t="s">
        <v>578</v>
      </c>
      <c r="B1103" s="722">
        <v>501</v>
      </c>
      <c r="C1103" s="723">
        <v>3</v>
      </c>
      <c r="D1103" s="723">
        <v>0</v>
      </c>
      <c r="E1103" s="723">
        <v>0</v>
      </c>
      <c r="F1103" s="723">
        <v>0</v>
      </c>
      <c r="G1103" s="723">
        <v>3</v>
      </c>
      <c r="H1103" s="724">
        <v>289.99229990819634</v>
      </c>
      <c r="I1103" s="724">
        <v>0</v>
      </c>
      <c r="J1103" s="724">
        <v>0</v>
      </c>
      <c r="K1103" s="724">
        <v>0</v>
      </c>
      <c r="L1103" s="724">
        <v>289.99229990819634</v>
      </c>
    </row>
    <row r="1104" spans="1:12">
      <c r="A1104" s="722" t="s">
        <v>578</v>
      </c>
      <c r="B1104" s="722">
        <v>502</v>
      </c>
      <c r="C1104" s="723">
        <v>42</v>
      </c>
      <c r="D1104" s="723">
        <v>30</v>
      </c>
      <c r="E1104" s="723">
        <v>0</v>
      </c>
      <c r="F1104" s="723">
        <v>0</v>
      </c>
      <c r="G1104" s="723">
        <v>72</v>
      </c>
      <c r="H1104" s="724">
        <v>4059.8921987147487</v>
      </c>
      <c r="I1104" s="724">
        <v>2899.9229990819636</v>
      </c>
      <c r="J1104" s="724">
        <v>0</v>
      </c>
      <c r="K1104" s="724">
        <v>0</v>
      </c>
      <c r="L1104" s="724">
        <v>6959.8151977967118</v>
      </c>
    </row>
    <row r="1105" spans="1:12">
      <c r="A1105" s="722" t="s">
        <v>578</v>
      </c>
      <c r="B1105" s="722">
        <v>503</v>
      </c>
      <c r="C1105" s="723">
        <v>9</v>
      </c>
      <c r="D1105" s="723">
        <v>5</v>
      </c>
      <c r="E1105" s="723">
        <v>0</v>
      </c>
      <c r="F1105" s="723">
        <v>0</v>
      </c>
      <c r="G1105" s="723">
        <v>14</v>
      </c>
      <c r="H1105" s="724">
        <v>869.97689972458909</v>
      </c>
      <c r="I1105" s="724">
        <v>483.32049984699387</v>
      </c>
      <c r="J1105" s="724">
        <v>0</v>
      </c>
      <c r="K1105" s="724">
        <v>0</v>
      </c>
      <c r="L1105" s="724">
        <v>1353.2973995715829</v>
      </c>
    </row>
    <row r="1106" spans="1:12">
      <c r="A1106" s="722" t="s">
        <v>578</v>
      </c>
      <c r="B1106" s="722">
        <v>800</v>
      </c>
      <c r="C1106" s="723">
        <v>19</v>
      </c>
      <c r="D1106" s="723">
        <v>7</v>
      </c>
      <c r="E1106" s="723">
        <v>0</v>
      </c>
      <c r="F1106" s="723">
        <v>0</v>
      </c>
      <c r="G1106" s="723">
        <v>26</v>
      </c>
      <c r="H1106" s="724">
        <v>1836.6178994185771</v>
      </c>
      <c r="I1106" s="724">
        <v>676.64869978579145</v>
      </c>
      <c r="J1106" s="724">
        <v>0</v>
      </c>
      <c r="K1106" s="724">
        <v>0</v>
      </c>
      <c r="L1106" s="724">
        <v>2513.2665992043685</v>
      </c>
    </row>
    <row r="1107" spans="1:12">
      <c r="A1107" s="722" t="s">
        <v>578</v>
      </c>
      <c r="B1107" s="722">
        <v>811</v>
      </c>
      <c r="C1107" s="723">
        <v>0</v>
      </c>
      <c r="D1107" s="723">
        <v>138</v>
      </c>
      <c r="E1107" s="723">
        <v>0</v>
      </c>
      <c r="F1107" s="723">
        <v>0</v>
      </c>
      <c r="G1107" s="723">
        <v>138</v>
      </c>
      <c r="H1107" s="724">
        <v>0</v>
      </c>
      <c r="I1107" s="724">
        <v>13339.645795777033</v>
      </c>
      <c r="J1107" s="724">
        <v>0</v>
      </c>
      <c r="K1107" s="724">
        <v>0</v>
      </c>
      <c r="L1107" s="724">
        <v>13339.645795777033</v>
      </c>
    </row>
    <row r="1108" spans="1:12">
      <c r="A1108" s="722" t="s">
        <v>578</v>
      </c>
      <c r="B1108" s="722">
        <v>812</v>
      </c>
      <c r="C1108" s="723">
        <v>392</v>
      </c>
      <c r="D1108" s="723">
        <v>67</v>
      </c>
      <c r="E1108" s="723">
        <v>0</v>
      </c>
      <c r="F1108" s="723">
        <v>0</v>
      </c>
      <c r="G1108" s="723">
        <v>459</v>
      </c>
      <c r="H1108" s="724">
        <v>37892.327188004318</v>
      </c>
      <c r="I1108" s="724">
        <v>6476.4946979497172</v>
      </c>
      <c r="J1108" s="724">
        <v>0</v>
      </c>
      <c r="K1108" s="724">
        <v>0</v>
      </c>
      <c r="L1108" s="724">
        <v>44368.821885954036</v>
      </c>
    </row>
    <row r="1109" spans="1:12">
      <c r="A1109" s="722" t="s">
        <v>628</v>
      </c>
      <c r="B1109" s="722">
        <v>100</v>
      </c>
      <c r="C1109" s="723">
        <v>1</v>
      </c>
      <c r="D1109" s="723">
        <v>0</v>
      </c>
      <c r="E1109" s="723">
        <v>0</v>
      </c>
      <c r="F1109" s="723">
        <v>0</v>
      </c>
      <c r="G1109" s="723">
        <v>1</v>
      </c>
      <c r="H1109" s="724">
        <v>120.23757330288875</v>
      </c>
      <c r="I1109" s="724">
        <v>0</v>
      </c>
      <c r="J1109" s="724">
        <v>0</v>
      </c>
      <c r="K1109" s="724">
        <v>0</v>
      </c>
      <c r="L1109" s="724">
        <v>120.23757330288875</v>
      </c>
    </row>
    <row r="1110" spans="1:12">
      <c r="A1110" s="722" t="s">
        <v>628</v>
      </c>
      <c r="B1110" s="722">
        <v>120</v>
      </c>
      <c r="C1110" s="723">
        <v>0</v>
      </c>
      <c r="D1110" s="723">
        <v>1</v>
      </c>
      <c r="E1110" s="723">
        <v>0</v>
      </c>
      <c r="F1110" s="723">
        <v>0</v>
      </c>
      <c r="G1110" s="723">
        <v>1</v>
      </c>
      <c r="H1110" s="724">
        <v>0</v>
      </c>
      <c r="I1110" s="724">
        <v>120.23757330288875</v>
      </c>
      <c r="J1110" s="724">
        <v>0</v>
      </c>
      <c r="K1110" s="724">
        <v>0</v>
      </c>
      <c r="L1110" s="724">
        <v>120.23757330288875</v>
      </c>
    </row>
    <row r="1111" spans="1:12">
      <c r="A1111" s="722" t="s">
        <v>628</v>
      </c>
      <c r="B1111" s="722">
        <v>300</v>
      </c>
      <c r="C1111" s="723">
        <v>0</v>
      </c>
      <c r="D1111" s="723">
        <v>2</v>
      </c>
      <c r="E1111" s="723">
        <v>0</v>
      </c>
      <c r="F1111" s="723">
        <v>0</v>
      </c>
      <c r="G1111" s="723">
        <v>2</v>
      </c>
      <c r="H1111" s="724">
        <v>0</v>
      </c>
      <c r="I1111" s="724">
        <v>240.4751466057775</v>
      </c>
      <c r="J1111" s="724">
        <v>0</v>
      </c>
      <c r="K1111" s="724">
        <v>0</v>
      </c>
      <c r="L1111" s="724">
        <v>240.4751466057775</v>
      </c>
    </row>
    <row r="1112" spans="1:12">
      <c r="A1112" s="722" t="s">
        <v>628</v>
      </c>
      <c r="B1112" s="722">
        <v>370</v>
      </c>
      <c r="C1112" s="723">
        <v>0</v>
      </c>
      <c r="D1112" s="723">
        <v>1</v>
      </c>
      <c r="E1112" s="723">
        <v>0</v>
      </c>
      <c r="F1112" s="723">
        <v>0</v>
      </c>
      <c r="G1112" s="723">
        <v>1</v>
      </c>
      <c r="H1112" s="724">
        <v>0</v>
      </c>
      <c r="I1112" s="724">
        <v>120.23757330288875</v>
      </c>
      <c r="J1112" s="724">
        <v>0</v>
      </c>
      <c r="K1112" s="724">
        <v>0</v>
      </c>
      <c r="L1112" s="724">
        <v>120.23757330288875</v>
      </c>
    </row>
    <row r="1113" spans="1:12">
      <c r="A1113" s="722" t="s">
        <v>628</v>
      </c>
      <c r="B1113" s="722">
        <v>502</v>
      </c>
      <c r="C1113" s="723">
        <v>1</v>
      </c>
      <c r="D1113" s="723">
        <v>0</v>
      </c>
      <c r="E1113" s="723">
        <v>0</v>
      </c>
      <c r="F1113" s="723">
        <v>0</v>
      </c>
      <c r="G1113" s="723">
        <v>1</v>
      </c>
      <c r="H1113" s="724">
        <v>120.23757330288875</v>
      </c>
      <c r="I1113" s="724">
        <v>0</v>
      </c>
      <c r="J1113" s="724">
        <v>0</v>
      </c>
      <c r="K1113" s="724">
        <v>0</v>
      </c>
      <c r="L1113" s="724">
        <v>120.23757330288875</v>
      </c>
    </row>
    <row r="1114" spans="1:12">
      <c r="A1114" s="722" t="s">
        <v>628</v>
      </c>
      <c r="B1114" s="722">
        <v>811</v>
      </c>
      <c r="C1114" s="723">
        <v>0</v>
      </c>
      <c r="D1114" s="723">
        <v>8</v>
      </c>
      <c r="E1114" s="723">
        <v>0</v>
      </c>
      <c r="F1114" s="723">
        <v>0</v>
      </c>
      <c r="G1114" s="723">
        <v>8</v>
      </c>
      <c r="H1114" s="724">
        <v>0</v>
      </c>
      <c r="I1114" s="724">
        <v>961.90058642310998</v>
      </c>
      <c r="J1114" s="724">
        <v>0</v>
      </c>
      <c r="K1114" s="724">
        <v>0</v>
      </c>
      <c r="L1114" s="724">
        <v>961.90058642310998</v>
      </c>
    </row>
    <row r="1115" spans="1:12">
      <c r="A1115" s="722" t="s">
        <v>628</v>
      </c>
      <c r="B1115" s="722">
        <v>812</v>
      </c>
      <c r="C1115" s="723">
        <v>2</v>
      </c>
      <c r="D1115" s="723">
        <v>0</v>
      </c>
      <c r="E1115" s="723">
        <v>0</v>
      </c>
      <c r="F1115" s="723">
        <v>0</v>
      </c>
      <c r="G1115" s="723">
        <v>2</v>
      </c>
      <c r="H1115" s="724">
        <v>240.4751466057775</v>
      </c>
      <c r="I1115" s="724">
        <v>0</v>
      </c>
      <c r="J1115" s="724">
        <v>0</v>
      </c>
      <c r="K1115" s="724">
        <v>0</v>
      </c>
      <c r="L1115" s="724">
        <v>240.4751466057775</v>
      </c>
    </row>
    <row r="1116" spans="1:12">
      <c r="A1116" s="722" t="s">
        <v>194</v>
      </c>
      <c r="B1116" s="722">
        <v>100</v>
      </c>
      <c r="C1116" s="723">
        <v>14</v>
      </c>
      <c r="D1116" s="723">
        <v>1</v>
      </c>
      <c r="E1116" s="723">
        <v>0</v>
      </c>
      <c r="F1116" s="723">
        <v>0</v>
      </c>
      <c r="G1116" s="723">
        <v>15</v>
      </c>
      <c r="H1116" s="724">
        <v>1887.2671034054781</v>
      </c>
      <c r="I1116" s="724">
        <v>134.80479310039129</v>
      </c>
      <c r="J1116" s="724">
        <v>0</v>
      </c>
      <c r="K1116" s="724">
        <v>0</v>
      </c>
      <c r="L1116" s="724">
        <v>2022.0718965058695</v>
      </c>
    </row>
    <row r="1117" spans="1:12">
      <c r="A1117" s="722" t="s">
        <v>194</v>
      </c>
      <c r="B1117" s="722">
        <v>104</v>
      </c>
      <c r="C1117" s="723">
        <v>0</v>
      </c>
      <c r="D1117" s="723">
        <v>1</v>
      </c>
      <c r="E1117" s="723">
        <v>0</v>
      </c>
      <c r="F1117" s="723">
        <v>0</v>
      </c>
      <c r="G1117" s="723">
        <v>1</v>
      </c>
      <c r="H1117" s="724">
        <v>0</v>
      </c>
      <c r="I1117" s="724">
        <v>134.80479310039129</v>
      </c>
      <c r="J1117" s="724">
        <v>0</v>
      </c>
      <c r="K1117" s="724">
        <v>0</v>
      </c>
      <c r="L1117" s="724">
        <v>134.80479310039129</v>
      </c>
    </row>
    <row r="1118" spans="1:12">
      <c r="A1118" s="722" t="s">
        <v>194</v>
      </c>
      <c r="B1118" s="722">
        <v>106</v>
      </c>
      <c r="C1118" s="723">
        <v>2</v>
      </c>
      <c r="D1118" s="723">
        <v>1</v>
      </c>
      <c r="E1118" s="723">
        <v>0</v>
      </c>
      <c r="F1118" s="723">
        <v>0</v>
      </c>
      <c r="G1118" s="723">
        <v>3</v>
      </c>
      <c r="H1118" s="724">
        <v>269.60958620078264</v>
      </c>
      <c r="I1118" s="724">
        <v>134.80479310039132</v>
      </c>
      <c r="J1118" s="724">
        <v>0</v>
      </c>
      <c r="K1118" s="724">
        <v>0</v>
      </c>
      <c r="L1118" s="724">
        <v>404.41437930117394</v>
      </c>
    </row>
    <row r="1119" spans="1:12">
      <c r="A1119" s="722" t="s">
        <v>194</v>
      </c>
      <c r="B1119" s="722">
        <v>110</v>
      </c>
      <c r="C1119" s="723">
        <v>0</v>
      </c>
      <c r="D1119" s="723">
        <v>1</v>
      </c>
      <c r="E1119" s="723">
        <v>0</v>
      </c>
      <c r="F1119" s="723">
        <v>0</v>
      </c>
      <c r="G1119" s="723">
        <v>1</v>
      </c>
      <c r="H1119" s="724">
        <v>0</v>
      </c>
      <c r="I1119" s="724">
        <v>134.80479310039129</v>
      </c>
      <c r="J1119" s="724">
        <v>0</v>
      </c>
      <c r="K1119" s="724">
        <v>0</v>
      </c>
      <c r="L1119" s="724">
        <v>134.80479310039129</v>
      </c>
    </row>
    <row r="1120" spans="1:12">
      <c r="A1120" s="722" t="s">
        <v>194</v>
      </c>
      <c r="B1120" s="722">
        <v>320</v>
      </c>
      <c r="C1120" s="723">
        <v>1</v>
      </c>
      <c r="D1120" s="723">
        <v>0</v>
      </c>
      <c r="E1120" s="723">
        <v>0</v>
      </c>
      <c r="F1120" s="723">
        <v>0</v>
      </c>
      <c r="G1120" s="723">
        <v>1</v>
      </c>
      <c r="H1120" s="724">
        <v>134.80479310039129</v>
      </c>
      <c r="I1120" s="724">
        <v>0</v>
      </c>
      <c r="J1120" s="724">
        <v>0</v>
      </c>
      <c r="K1120" s="724">
        <v>0</v>
      </c>
      <c r="L1120" s="724">
        <v>134.80479310039129</v>
      </c>
    </row>
    <row r="1121" spans="1:12">
      <c r="A1121" s="722" t="s">
        <v>194</v>
      </c>
      <c r="B1121" s="722">
        <v>410</v>
      </c>
      <c r="C1121" s="723">
        <v>0</v>
      </c>
      <c r="D1121" s="723">
        <v>1</v>
      </c>
      <c r="E1121" s="723">
        <v>0</v>
      </c>
      <c r="F1121" s="723">
        <v>0</v>
      </c>
      <c r="G1121" s="723">
        <v>1</v>
      </c>
      <c r="H1121" s="724">
        <v>0</v>
      </c>
      <c r="I1121" s="724">
        <v>134.80479310039129</v>
      </c>
      <c r="J1121" s="724">
        <v>0</v>
      </c>
      <c r="K1121" s="724">
        <v>0</v>
      </c>
      <c r="L1121" s="724">
        <v>134.80479310039129</v>
      </c>
    </row>
    <row r="1122" spans="1:12">
      <c r="A1122" s="722" t="s">
        <v>194</v>
      </c>
      <c r="B1122" s="722">
        <v>502</v>
      </c>
      <c r="C1122" s="723">
        <v>0</v>
      </c>
      <c r="D1122" s="723">
        <v>1</v>
      </c>
      <c r="E1122" s="723">
        <v>0</v>
      </c>
      <c r="F1122" s="723">
        <v>0</v>
      </c>
      <c r="G1122" s="723">
        <v>1</v>
      </c>
      <c r="H1122" s="724">
        <v>0</v>
      </c>
      <c r="I1122" s="724">
        <v>134.80479310039129</v>
      </c>
      <c r="J1122" s="724">
        <v>0</v>
      </c>
      <c r="K1122" s="724">
        <v>0</v>
      </c>
      <c r="L1122" s="724">
        <v>134.80479310039129</v>
      </c>
    </row>
    <row r="1123" spans="1:12">
      <c r="A1123" s="722" t="s">
        <v>527</v>
      </c>
      <c r="B1123" s="722">
        <v>171</v>
      </c>
      <c r="C1123" s="723">
        <v>1</v>
      </c>
      <c r="D1123" s="723">
        <v>0</v>
      </c>
      <c r="E1123" s="723">
        <v>0</v>
      </c>
      <c r="F1123" s="723">
        <v>0</v>
      </c>
      <c r="G1123" s="723">
        <v>1</v>
      </c>
      <c r="H1123" s="724">
        <v>209.04789653717299</v>
      </c>
      <c r="I1123" s="724">
        <v>0</v>
      </c>
      <c r="J1123" s="724">
        <v>0</v>
      </c>
      <c r="K1123" s="724">
        <v>0</v>
      </c>
      <c r="L1123" s="724">
        <v>209.04789653717299</v>
      </c>
    </row>
    <row r="1124" spans="1:12">
      <c r="A1124" s="722" t="s">
        <v>195</v>
      </c>
      <c r="B1124" s="722">
        <v>100</v>
      </c>
      <c r="C1124" s="723">
        <v>25</v>
      </c>
      <c r="D1124" s="723">
        <v>6</v>
      </c>
      <c r="E1124" s="723">
        <v>0</v>
      </c>
      <c r="F1124" s="723">
        <v>0</v>
      </c>
      <c r="G1124" s="723">
        <v>31</v>
      </c>
      <c r="H1124" s="724">
        <v>2755.4470551933382</v>
      </c>
      <c r="I1124" s="724">
        <v>661.30729324640129</v>
      </c>
      <c r="J1124" s="724">
        <v>0</v>
      </c>
      <c r="K1124" s="724">
        <v>0</v>
      </c>
      <c r="L1124" s="724">
        <v>3416.7543484397397</v>
      </c>
    </row>
    <row r="1125" spans="1:12">
      <c r="A1125" s="722" t="s">
        <v>195</v>
      </c>
      <c r="B1125" s="722">
        <v>101</v>
      </c>
      <c r="C1125" s="723">
        <v>1</v>
      </c>
      <c r="D1125" s="723">
        <v>0</v>
      </c>
      <c r="E1125" s="723">
        <v>0</v>
      </c>
      <c r="F1125" s="723">
        <v>0</v>
      </c>
      <c r="G1125" s="723">
        <v>1</v>
      </c>
      <c r="H1125" s="724">
        <v>110.21788220773352</v>
      </c>
      <c r="I1125" s="724">
        <v>0</v>
      </c>
      <c r="J1125" s="724">
        <v>0</v>
      </c>
      <c r="K1125" s="724">
        <v>0</v>
      </c>
      <c r="L1125" s="724">
        <v>110.21788220773352</v>
      </c>
    </row>
    <row r="1126" spans="1:12">
      <c r="A1126" s="722" t="s">
        <v>195</v>
      </c>
      <c r="B1126" s="722">
        <v>106</v>
      </c>
      <c r="C1126" s="723">
        <v>5</v>
      </c>
      <c r="D1126" s="723">
        <v>1</v>
      </c>
      <c r="E1126" s="723">
        <v>0</v>
      </c>
      <c r="F1126" s="723">
        <v>0</v>
      </c>
      <c r="G1126" s="723">
        <v>6</v>
      </c>
      <c r="H1126" s="724">
        <v>551.08941103866766</v>
      </c>
      <c r="I1126" s="724">
        <v>110.21788220773352</v>
      </c>
      <c r="J1126" s="724">
        <v>0</v>
      </c>
      <c r="K1126" s="724">
        <v>0</v>
      </c>
      <c r="L1126" s="724">
        <v>661.30729324640117</v>
      </c>
    </row>
    <row r="1127" spans="1:12">
      <c r="A1127" s="722" t="s">
        <v>195</v>
      </c>
      <c r="B1127" s="722">
        <v>110</v>
      </c>
      <c r="C1127" s="723">
        <v>1</v>
      </c>
      <c r="D1127" s="723">
        <v>2</v>
      </c>
      <c r="E1127" s="723">
        <v>0</v>
      </c>
      <c r="F1127" s="723">
        <v>0</v>
      </c>
      <c r="G1127" s="723">
        <v>3</v>
      </c>
      <c r="H1127" s="724">
        <v>110.21788220773352</v>
      </c>
      <c r="I1127" s="724">
        <v>220.43576441546705</v>
      </c>
      <c r="J1127" s="724">
        <v>0</v>
      </c>
      <c r="K1127" s="724">
        <v>0</v>
      </c>
      <c r="L1127" s="724">
        <v>330.65364662320059</v>
      </c>
    </row>
    <row r="1128" spans="1:12">
      <c r="A1128" s="722" t="s">
        <v>195</v>
      </c>
      <c r="B1128" s="722">
        <v>120</v>
      </c>
      <c r="C1128" s="723">
        <v>0</v>
      </c>
      <c r="D1128" s="723">
        <v>1</v>
      </c>
      <c r="E1128" s="723">
        <v>0</v>
      </c>
      <c r="F1128" s="723">
        <v>0</v>
      </c>
      <c r="G1128" s="723">
        <v>1</v>
      </c>
      <c r="H1128" s="724">
        <v>0</v>
      </c>
      <c r="I1128" s="724">
        <v>110.21788220773352</v>
      </c>
      <c r="J1128" s="724">
        <v>0</v>
      </c>
      <c r="K1128" s="724">
        <v>0</v>
      </c>
      <c r="L1128" s="724">
        <v>110.21788220773352</v>
      </c>
    </row>
    <row r="1129" spans="1:12">
      <c r="A1129" s="722" t="s">
        <v>195</v>
      </c>
      <c r="B1129" s="722">
        <v>130</v>
      </c>
      <c r="C1129" s="723">
        <v>1</v>
      </c>
      <c r="D1129" s="723">
        <v>0</v>
      </c>
      <c r="E1129" s="723">
        <v>0</v>
      </c>
      <c r="F1129" s="723">
        <v>0</v>
      </c>
      <c r="G1129" s="723">
        <v>1</v>
      </c>
      <c r="H1129" s="724">
        <v>110.21788220773352</v>
      </c>
      <c r="I1129" s="724">
        <v>0</v>
      </c>
      <c r="J1129" s="724">
        <v>0</v>
      </c>
      <c r="K1129" s="724">
        <v>0</v>
      </c>
      <c r="L1129" s="724">
        <v>110.21788220773352</v>
      </c>
    </row>
    <row r="1130" spans="1:12">
      <c r="A1130" s="722" t="s">
        <v>195</v>
      </c>
      <c r="B1130" s="722">
        <v>160</v>
      </c>
      <c r="C1130" s="723">
        <v>5</v>
      </c>
      <c r="D1130" s="723">
        <v>2</v>
      </c>
      <c r="E1130" s="723">
        <v>0</v>
      </c>
      <c r="F1130" s="723">
        <v>0</v>
      </c>
      <c r="G1130" s="723">
        <v>7</v>
      </c>
      <c r="H1130" s="724">
        <v>551.08941103866755</v>
      </c>
      <c r="I1130" s="724">
        <v>220.43576441546702</v>
      </c>
      <c r="J1130" s="724">
        <v>0</v>
      </c>
      <c r="K1130" s="724">
        <v>0</v>
      </c>
      <c r="L1130" s="724">
        <v>771.52517545413457</v>
      </c>
    </row>
    <row r="1131" spans="1:12">
      <c r="A1131" s="722" t="s">
        <v>195</v>
      </c>
      <c r="B1131" s="722">
        <v>320</v>
      </c>
      <c r="C1131" s="723">
        <v>3</v>
      </c>
      <c r="D1131" s="723">
        <v>0</v>
      </c>
      <c r="E1131" s="723">
        <v>0</v>
      </c>
      <c r="F1131" s="723">
        <v>0</v>
      </c>
      <c r="G1131" s="723">
        <v>3</v>
      </c>
      <c r="H1131" s="724">
        <v>330.65364662320059</v>
      </c>
      <c r="I1131" s="724">
        <v>0</v>
      </c>
      <c r="J1131" s="724">
        <v>0</v>
      </c>
      <c r="K1131" s="724">
        <v>0</v>
      </c>
      <c r="L1131" s="724">
        <v>330.65364662320059</v>
      </c>
    </row>
    <row r="1132" spans="1:12">
      <c r="A1132" s="722" t="s">
        <v>195</v>
      </c>
      <c r="B1132" s="722">
        <v>502</v>
      </c>
      <c r="C1132" s="723">
        <v>0</v>
      </c>
      <c r="D1132" s="723">
        <v>1</v>
      </c>
      <c r="E1132" s="723">
        <v>0</v>
      </c>
      <c r="F1132" s="723">
        <v>0</v>
      </c>
      <c r="G1132" s="723">
        <v>1</v>
      </c>
      <c r="H1132" s="724">
        <v>0</v>
      </c>
      <c r="I1132" s="724">
        <v>110.21788220773352</v>
      </c>
      <c r="J1132" s="724">
        <v>0</v>
      </c>
      <c r="K1132" s="724">
        <v>0</v>
      </c>
      <c r="L1132" s="724">
        <v>110.21788220773352</v>
      </c>
    </row>
    <row r="1133" spans="1:12">
      <c r="A1133" s="722" t="s">
        <v>612</v>
      </c>
      <c r="B1133" s="722">
        <v>103</v>
      </c>
      <c r="C1133" s="723">
        <v>0</v>
      </c>
      <c r="D1133" s="723">
        <v>1</v>
      </c>
      <c r="E1133" s="723">
        <v>0</v>
      </c>
      <c r="F1133" s="723">
        <v>0</v>
      </c>
      <c r="G1133" s="723">
        <v>1</v>
      </c>
      <c r="H1133" s="724">
        <v>0</v>
      </c>
      <c r="I1133" s="724">
        <v>284.44086008903253</v>
      </c>
      <c r="J1133" s="724">
        <v>0</v>
      </c>
      <c r="K1133" s="724">
        <v>0</v>
      </c>
      <c r="L1133" s="724">
        <v>284.44086008903253</v>
      </c>
    </row>
    <row r="1134" spans="1:12">
      <c r="A1134" s="722" t="s">
        <v>612</v>
      </c>
      <c r="B1134" s="722">
        <v>171</v>
      </c>
      <c r="C1134" s="723">
        <v>3</v>
      </c>
      <c r="D1134" s="723">
        <v>0</v>
      </c>
      <c r="E1134" s="723">
        <v>0</v>
      </c>
      <c r="F1134" s="723">
        <v>0</v>
      </c>
      <c r="G1134" s="723">
        <v>3</v>
      </c>
      <c r="H1134" s="724">
        <v>853.32258026709758</v>
      </c>
      <c r="I1134" s="724">
        <v>0</v>
      </c>
      <c r="J1134" s="724">
        <v>0</v>
      </c>
      <c r="K1134" s="724">
        <v>0</v>
      </c>
      <c r="L1134" s="724">
        <v>853.32258026709758</v>
      </c>
    </row>
    <row r="1135" spans="1:12">
      <c r="A1135" s="722" t="s">
        <v>550</v>
      </c>
      <c r="B1135" s="722">
        <v>171</v>
      </c>
      <c r="C1135" s="723">
        <v>4</v>
      </c>
      <c r="D1135" s="723">
        <v>1</v>
      </c>
      <c r="E1135" s="723">
        <v>0</v>
      </c>
      <c r="F1135" s="723">
        <v>0</v>
      </c>
      <c r="G1135" s="723">
        <v>5</v>
      </c>
      <c r="H1135" s="724">
        <v>542.51667939890604</v>
      </c>
      <c r="I1135" s="724">
        <v>135.62916984972651</v>
      </c>
      <c r="J1135" s="724">
        <v>0</v>
      </c>
      <c r="K1135" s="724">
        <v>0</v>
      </c>
      <c r="L1135" s="724">
        <v>678.14584924863254</v>
      </c>
    </row>
    <row r="1136" spans="1:12">
      <c r="A1136" s="722" t="s">
        <v>550</v>
      </c>
      <c r="B1136" s="722">
        <v>211</v>
      </c>
      <c r="C1136" s="723">
        <v>1</v>
      </c>
      <c r="D1136" s="723">
        <v>0</v>
      </c>
      <c r="E1136" s="723">
        <v>0</v>
      </c>
      <c r="F1136" s="723">
        <v>0</v>
      </c>
      <c r="G1136" s="723">
        <v>1</v>
      </c>
      <c r="H1136" s="724">
        <v>135.62916984972651</v>
      </c>
      <c r="I1136" s="724">
        <v>0</v>
      </c>
      <c r="J1136" s="724">
        <v>0</v>
      </c>
      <c r="K1136" s="724">
        <v>0</v>
      </c>
      <c r="L1136" s="724">
        <v>135.62916984972651</v>
      </c>
    </row>
    <row r="1137" spans="1:12">
      <c r="A1137" s="722" t="s">
        <v>660</v>
      </c>
      <c r="B1137" s="722">
        <v>160</v>
      </c>
      <c r="C1137" s="723">
        <v>1</v>
      </c>
      <c r="D1137" s="723">
        <v>0</v>
      </c>
      <c r="E1137" s="723">
        <v>0</v>
      </c>
      <c r="F1137" s="723">
        <v>0</v>
      </c>
      <c r="G1137" s="723">
        <v>1</v>
      </c>
      <c r="H1137" s="724">
        <v>170.56581813010749</v>
      </c>
      <c r="I1137" s="724">
        <v>0</v>
      </c>
      <c r="J1137" s="724">
        <v>0</v>
      </c>
      <c r="K1137" s="724">
        <v>0</v>
      </c>
      <c r="L1137" s="724">
        <v>170.56581813010749</v>
      </c>
    </row>
    <row r="1138" spans="1:12">
      <c r="A1138" s="722" t="s">
        <v>660</v>
      </c>
      <c r="B1138" s="722">
        <v>171</v>
      </c>
      <c r="C1138" s="723">
        <v>3</v>
      </c>
      <c r="D1138" s="723">
        <v>0</v>
      </c>
      <c r="E1138" s="723">
        <v>0</v>
      </c>
      <c r="F1138" s="723">
        <v>0</v>
      </c>
      <c r="G1138" s="723">
        <v>3</v>
      </c>
      <c r="H1138" s="724">
        <v>511.69745439032249</v>
      </c>
      <c r="I1138" s="724">
        <v>0</v>
      </c>
      <c r="J1138" s="724">
        <v>0</v>
      </c>
      <c r="K1138" s="724">
        <v>0</v>
      </c>
      <c r="L1138" s="724">
        <v>511.69745439032249</v>
      </c>
    </row>
    <row r="1139" spans="1:12">
      <c r="A1139" s="722" t="s">
        <v>598</v>
      </c>
      <c r="B1139" s="722">
        <v>171</v>
      </c>
      <c r="C1139" s="723">
        <v>1</v>
      </c>
      <c r="D1139" s="723">
        <v>0</v>
      </c>
      <c r="E1139" s="723">
        <v>0</v>
      </c>
      <c r="F1139" s="723">
        <v>0</v>
      </c>
      <c r="G1139" s="723">
        <v>1</v>
      </c>
      <c r="H1139" s="724">
        <v>80.753048502450753</v>
      </c>
      <c r="I1139" s="724">
        <v>0</v>
      </c>
      <c r="J1139" s="724">
        <v>0</v>
      </c>
      <c r="K1139" s="724">
        <v>0</v>
      </c>
      <c r="L1139" s="724">
        <v>80.753048502450753</v>
      </c>
    </row>
    <row r="1140" spans="1:12">
      <c r="A1140" s="722" t="s">
        <v>598</v>
      </c>
      <c r="B1140" s="722">
        <v>211</v>
      </c>
      <c r="C1140" s="723">
        <v>2</v>
      </c>
      <c r="D1140" s="723">
        <v>0</v>
      </c>
      <c r="E1140" s="723">
        <v>0</v>
      </c>
      <c r="F1140" s="723">
        <v>0</v>
      </c>
      <c r="G1140" s="723">
        <v>2</v>
      </c>
      <c r="H1140" s="724">
        <v>161.50609700490151</v>
      </c>
      <c r="I1140" s="724">
        <v>0</v>
      </c>
      <c r="J1140" s="724">
        <v>0</v>
      </c>
      <c r="K1140" s="724">
        <v>0</v>
      </c>
      <c r="L1140" s="724">
        <v>161.50609700490151</v>
      </c>
    </row>
    <row r="1141" spans="1:12">
      <c r="A1141" s="722" t="s">
        <v>598</v>
      </c>
      <c r="B1141" s="722">
        <v>422</v>
      </c>
      <c r="C1141" s="723">
        <v>1</v>
      </c>
      <c r="D1141" s="723">
        <v>0</v>
      </c>
      <c r="E1141" s="723">
        <v>0</v>
      </c>
      <c r="F1141" s="723">
        <v>0</v>
      </c>
      <c r="G1141" s="723">
        <v>1</v>
      </c>
      <c r="H1141" s="724">
        <v>80.753048502450753</v>
      </c>
      <c r="I1141" s="724">
        <v>0</v>
      </c>
      <c r="J1141" s="724">
        <v>0</v>
      </c>
      <c r="K1141" s="724">
        <v>0</v>
      </c>
      <c r="L1141" s="724">
        <v>80.753048502450753</v>
      </c>
    </row>
    <row r="1142" spans="1:12">
      <c r="A1142" s="722" t="s">
        <v>196</v>
      </c>
      <c r="B1142" s="722">
        <v>100</v>
      </c>
      <c r="C1142" s="723">
        <v>6</v>
      </c>
      <c r="D1142" s="723">
        <v>0</v>
      </c>
      <c r="E1142" s="723">
        <v>0</v>
      </c>
      <c r="F1142" s="723">
        <v>0</v>
      </c>
      <c r="G1142" s="723">
        <v>6</v>
      </c>
      <c r="H1142" s="724">
        <v>234.02307028349045</v>
      </c>
      <c r="I1142" s="724">
        <v>0</v>
      </c>
      <c r="J1142" s="724">
        <v>0</v>
      </c>
      <c r="K1142" s="724">
        <v>0</v>
      </c>
      <c r="L1142" s="724">
        <v>234.02307028349043</v>
      </c>
    </row>
    <row r="1143" spans="1:12">
      <c r="A1143" s="722" t="s">
        <v>196</v>
      </c>
      <c r="B1143" s="722">
        <v>104</v>
      </c>
      <c r="C1143" s="723">
        <v>0</v>
      </c>
      <c r="D1143" s="723">
        <v>1</v>
      </c>
      <c r="E1143" s="723">
        <v>0</v>
      </c>
      <c r="F1143" s="723">
        <v>0</v>
      </c>
      <c r="G1143" s="723">
        <v>1</v>
      </c>
      <c r="H1143" s="724">
        <v>0</v>
      </c>
      <c r="I1143" s="724">
        <v>39.003845047248404</v>
      </c>
      <c r="J1143" s="724">
        <v>0</v>
      </c>
      <c r="K1143" s="724">
        <v>0</v>
      </c>
      <c r="L1143" s="724">
        <v>39.003845047248404</v>
      </c>
    </row>
    <row r="1144" spans="1:12">
      <c r="A1144" s="722" t="s">
        <v>196</v>
      </c>
      <c r="B1144" s="722">
        <v>130</v>
      </c>
      <c r="C1144" s="723">
        <v>3</v>
      </c>
      <c r="D1144" s="723">
        <v>5</v>
      </c>
      <c r="E1144" s="723">
        <v>0</v>
      </c>
      <c r="F1144" s="723">
        <v>0</v>
      </c>
      <c r="G1144" s="723">
        <v>8</v>
      </c>
      <c r="H1144" s="724">
        <v>117.01153514174521</v>
      </c>
      <c r="I1144" s="724">
        <v>195.01922523624202</v>
      </c>
      <c r="J1144" s="724">
        <v>0</v>
      </c>
      <c r="K1144" s="724">
        <v>0</v>
      </c>
      <c r="L1144" s="724">
        <v>312.03076037798724</v>
      </c>
    </row>
    <row r="1145" spans="1:12">
      <c r="A1145" s="722" t="s">
        <v>539</v>
      </c>
      <c r="B1145" s="722">
        <v>130</v>
      </c>
      <c r="C1145" s="723">
        <v>1</v>
      </c>
      <c r="D1145" s="723">
        <v>1</v>
      </c>
      <c r="E1145" s="723">
        <v>0</v>
      </c>
      <c r="F1145" s="723">
        <v>0</v>
      </c>
      <c r="G1145" s="723">
        <v>2</v>
      </c>
      <c r="H1145" s="724">
        <v>114.148722570681</v>
      </c>
      <c r="I1145" s="724">
        <v>114.148722570681</v>
      </c>
      <c r="J1145" s="724">
        <v>0</v>
      </c>
      <c r="K1145" s="724">
        <v>0</v>
      </c>
      <c r="L1145" s="724">
        <v>228.297445141362</v>
      </c>
    </row>
    <row r="1146" spans="1:12">
      <c r="A1146" s="722" t="s">
        <v>539</v>
      </c>
      <c r="B1146" s="722">
        <v>171</v>
      </c>
      <c r="C1146" s="723">
        <v>3</v>
      </c>
      <c r="D1146" s="723">
        <v>0</v>
      </c>
      <c r="E1146" s="723">
        <v>0</v>
      </c>
      <c r="F1146" s="723">
        <v>0</v>
      </c>
      <c r="G1146" s="723">
        <v>3</v>
      </c>
      <c r="H1146" s="724">
        <v>342.44616771204301</v>
      </c>
      <c r="I1146" s="724">
        <v>0</v>
      </c>
      <c r="J1146" s="724">
        <v>0</v>
      </c>
      <c r="K1146" s="724">
        <v>0</v>
      </c>
      <c r="L1146" s="724">
        <v>342.44616771204301</v>
      </c>
    </row>
    <row r="1147" spans="1:12">
      <c r="A1147" s="722" t="s">
        <v>539</v>
      </c>
      <c r="B1147" s="722">
        <v>211</v>
      </c>
      <c r="C1147" s="723">
        <v>1</v>
      </c>
      <c r="D1147" s="723">
        <v>0</v>
      </c>
      <c r="E1147" s="723">
        <v>0</v>
      </c>
      <c r="F1147" s="723">
        <v>0</v>
      </c>
      <c r="G1147" s="723">
        <v>1</v>
      </c>
      <c r="H1147" s="724">
        <v>114.148722570681</v>
      </c>
      <c r="I1147" s="724">
        <v>0</v>
      </c>
      <c r="J1147" s="724">
        <v>0</v>
      </c>
      <c r="K1147" s="724">
        <v>0</v>
      </c>
      <c r="L1147" s="724">
        <v>114.148722570681</v>
      </c>
    </row>
    <row r="1148" spans="1:12">
      <c r="A1148" s="722" t="s">
        <v>613</v>
      </c>
      <c r="B1148" s="722">
        <v>100</v>
      </c>
      <c r="C1148" s="723">
        <v>403</v>
      </c>
      <c r="D1148" s="723">
        <v>72</v>
      </c>
      <c r="E1148" s="723">
        <v>0</v>
      </c>
      <c r="F1148" s="723">
        <v>0</v>
      </c>
      <c r="G1148" s="723">
        <v>475</v>
      </c>
      <c r="H1148" s="724">
        <v>4830.5508000540185</v>
      </c>
      <c r="I1148" s="724">
        <v>863.02644566721915</v>
      </c>
      <c r="J1148" s="724">
        <v>0</v>
      </c>
      <c r="K1148" s="724">
        <v>0</v>
      </c>
      <c r="L1148" s="724">
        <v>5693.5772457212379</v>
      </c>
    </row>
    <row r="1149" spans="1:12">
      <c r="A1149" s="722" t="s">
        <v>613</v>
      </c>
      <c r="B1149" s="722">
        <v>101</v>
      </c>
      <c r="C1149" s="723">
        <v>1</v>
      </c>
      <c r="D1149" s="723">
        <v>2</v>
      </c>
      <c r="E1149" s="723">
        <v>0</v>
      </c>
      <c r="F1149" s="723">
        <v>0</v>
      </c>
      <c r="G1149" s="723">
        <v>3</v>
      </c>
      <c r="H1149" s="724">
        <v>11.986478412044711</v>
      </c>
      <c r="I1149" s="724">
        <v>23.972956824089422</v>
      </c>
      <c r="J1149" s="724">
        <v>0</v>
      </c>
      <c r="K1149" s="724">
        <v>0</v>
      </c>
      <c r="L1149" s="724">
        <v>35.959435236134134</v>
      </c>
    </row>
    <row r="1150" spans="1:12">
      <c r="A1150" s="722" t="s">
        <v>613</v>
      </c>
      <c r="B1150" s="722">
        <v>103</v>
      </c>
      <c r="C1150" s="723">
        <v>0</v>
      </c>
      <c r="D1150" s="723">
        <v>1</v>
      </c>
      <c r="E1150" s="723">
        <v>0</v>
      </c>
      <c r="F1150" s="723">
        <v>0</v>
      </c>
      <c r="G1150" s="723">
        <v>1</v>
      </c>
      <c r="H1150" s="724">
        <v>0</v>
      </c>
      <c r="I1150" s="724">
        <v>11.986478412044711</v>
      </c>
      <c r="J1150" s="724">
        <v>0</v>
      </c>
      <c r="K1150" s="724">
        <v>0</v>
      </c>
      <c r="L1150" s="724">
        <v>11.986478412044711</v>
      </c>
    </row>
    <row r="1151" spans="1:12">
      <c r="A1151" s="722" t="s">
        <v>613</v>
      </c>
      <c r="B1151" s="722">
        <v>104</v>
      </c>
      <c r="C1151" s="723">
        <v>145</v>
      </c>
      <c r="D1151" s="723">
        <v>36</v>
      </c>
      <c r="E1151" s="723">
        <v>0</v>
      </c>
      <c r="F1151" s="723">
        <v>0</v>
      </c>
      <c r="G1151" s="723">
        <v>181</v>
      </c>
      <c r="H1151" s="724">
        <v>1738.0393697464831</v>
      </c>
      <c r="I1151" s="724">
        <v>431.51322283360957</v>
      </c>
      <c r="J1151" s="724">
        <v>0</v>
      </c>
      <c r="K1151" s="724">
        <v>0</v>
      </c>
      <c r="L1151" s="724">
        <v>2169.5525925800926</v>
      </c>
    </row>
    <row r="1152" spans="1:12">
      <c r="A1152" s="722" t="s">
        <v>613</v>
      </c>
      <c r="B1152" s="722">
        <v>107</v>
      </c>
      <c r="C1152" s="723">
        <v>3</v>
      </c>
      <c r="D1152" s="723">
        <v>1</v>
      </c>
      <c r="E1152" s="723">
        <v>0</v>
      </c>
      <c r="F1152" s="723">
        <v>0</v>
      </c>
      <c r="G1152" s="723">
        <v>4</v>
      </c>
      <c r="H1152" s="724">
        <v>35.959435236134134</v>
      </c>
      <c r="I1152" s="724">
        <v>11.986478412044711</v>
      </c>
      <c r="J1152" s="724">
        <v>0</v>
      </c>
      <c r="K1152" s="724">
        <v>0</v>
      </c>
      <c r="L1152" s="724">
        <v>47.945913648178845</v>
      </c>
    </row>
    <row r="1153" spans="1:12">
      <c r="A1153" s="722" t="s">
        <v>613</v>
      </c>
      <c r="B1153" s="722">
        <v>110</v>
      </c>
      <c r="C1153" s="723">
        <v>9</v>
      </c>
      <c r="D1153" s="723">
        <v>2</v>
      </c>
      <c r="E1153" s="723">
        <v>0</v>
      </c>
      <c r="F1153" s="723">
        <v>0</v>
      </c>
      <c r="G1153" s="723">
        <v>11</v>
      </c>
      <c r="H1153" s="724">
        <v>107.87830570840238</v>
      </c>
      <c r="I1153" s="724">
        <v>23.972956824089419</v>
      </c>
      <c r="J1153" s="724">
        <v>0</v>
      </c>
      <c r="K1153" s="724">
        <v>0</v>
      </c>
      <c r="L1153" s="724">
        <v>131.8512625324918</v>
      </c>
    </row>
    <row r="1154" spans="1:12">
      <c r="A1154" s="722" t="s">
        <v>613</v>
      </c>
      <c r="B1154" s="722">
        <v>120</v>
      </c>
      <c r="C1154" s="723">
        <v>5</v>
      </c>
      <c r="D1154" s="723">
        <v>1</v>
      </c>
      <c r="E1154" s="723">
        <v>0</v>
      </c>
      <c r="F1154" s="723">
        <v>0</v>
      </c>
      <c r="G1154" s="723">
        <v>6</v>
      </c>
      <c r="H1154" s="724">
        <v>59.932392060223556</v>
      </c>
      <c r="I1154" s="724">
        <v>11.986478412044711</v>
      </c>
      <c r="J1154" s="724">
        <v>0</v>
      </c>
      <c r="K1154" s="724">
        <v>0</v>
      </c>
      <c r="L1154" s="724">
        <v>71.918870472268267</v>
      </c>
    </row>
    <row r="1155" spans="1:12">
      <c r="A1155" s="722" t="s">
        <v>613</v>
      </c>
      <c r="B1155" s="722">
        <v>130</v>
      </c>
      <c r="C1155" s="723">
        <v>22</v>
      </c>
      <c r="D1155" s="723">
        <v>5</v>
      </c>
      <c r="E1155" s="723">
        <v>0</v>
      </c>
      <c r="F1155" s="723">
        <v>0</v>
      </c>
      <c r="G1155" s="723">
        <v>27</v>
      </c>
      <c r="H1155" s="724">
        <v>263.7025250649836</v>
      </c>
      <c r="I1155" s="724">
        <v>59.932392060223549</v>
      </c>
      <c r="J1155" s="724">
        <v>0</v>
      </c>
      <c r="K1155" s="724">
        <v>0</v>
      </c>
      <c r="L1155" s="724">
        <v>323.63491712520715</v>
      </c>
    </row>
    <row r="1156" spans="1:12">
      <c r="A1156" s="722" t="s">
        <v>613</v>
      </c>
      <c r="B1156" s="722">
        <v>140</v>
      </c>
      <c r="C1156" s="723">
        <v>4</v>
      </c>
      <c r="D1156" s="723">
        <v>0</v>
      </c>
      <c r="E1156" s="723">
        <v>0</v>
      </c>
      <c r="F1156" s="723">
        <v>0</v>
      </c>
      <c r="G1156" s="723">
        <v>4</v>
      </c>
      <c r="H1156" s="724">
        <v>47.945913648178845</v>
      </c>
      <c r="I1156" s="724">
        <v>0</v>
      </c>
      <c r="J1156" s="724">
        <v>0</v>
      </c>
      <c r="K1156" s="724">
        <v>0</v>
      </c>
      <c r="L1156" s="724">
        <v>47.945913648178845</v>
      </c>
    </row>
    <row r="1157" spans="1:12">
      <c r="A1157" s="722" t="s">
        <v>613</v>
      </c>
      <c r="B1157" s="722">
        <v>141</v>
      </c>
      <c r="C1157" s="723">
        <v>2</v>
      </c>
      <c r="D1157" s="723">
        <v>1</v>
      </c>
      <c r="E1157" s="723">
        <v>0</v>
      </c>
      <c r="F1157" s="723">
        <v>0</v>
      </c>
      <c r="G1157" s="723">
        <v>3</v>
      </c>
      <c r="H1157" s="724">
        <v>23.972956824089422</v>
      </c>
      <c r="I1157" s="724">
        <v>11.986478412044711</v>
      </c>
      <c r="J1157" s="724">
        <v>0</v>
      </c>
      <c r="K1157" s="724">
        <v>0</v>
      </c>
      <c r="L1157" s="724">
        <v>35.959435236134134</v>
      </c>
    </row>
    <row r="1158" spans="1:12">
      <c r="A1158" s="722" t="s">
        <v>613</v>
      </c>
      <c r="B1158" s="722">
        <v>143</v>
      </c>
      <c r="C1158" s="723">
        <v>1</v>
      </c>
      <c r="D1158" s="723">
        <v>0</v>
      </c>
      <c r="E1158" s="723">
        <v>0</v>
      </c>
      <c r="F1158" s="723">
        <v>0</v>
      </c>
      <c r="G1158" s="723">
        <v>1</v>
      </c>
      <c r="H1158" s="724">
        <v>11.986478412044711</v>
      </c>
      <c r="I1158" s="724">
        <v>0</v>
      </c>
      <c r="J1158" s="724">
        <v>0</v>
      </c>
      <c r="K1158" s="724">
        <v>0</v>
      </c>
      <c r="L1158" s="724">
        <v>11.986478412044711</v>
      </c>
    </row>
    <row r="1159" spans="1:12">
      <c r="A1159" s="722" t="s">
        <v>613</v>
      </c>
      <c r="B1159" s="722">
        <v>150</v>
      </c>
      <c r="C1159" s="723">
        <v>1</v>
      </c>
      <c r="D1159" s="723">
        <v>0</v>
      </c>
      <c r="E1159" s="723">
        <v>0</v>
      </c>
      <c r="F1159" s="723">
        <v>0</v>
      </c>
      <c r="G1159" s="723">
        <v>1</v>
      </c>
      <c r="H1159" s="724">
        <v>11.986478412044711</v>
      </c>
      <c r="I1159" s="724">
        <v>0</v>
      </c>
      <c r="J1159" s="724">
        <v>0</v>
      </c>
      <c r="K1159" s="724">
        <v>0</v>
      </c>
      <c r="L1159" s="724">
        <v>11.986478412044711</v>
      </c>
    </row>
    <row r="1160" spans="1:12">
      <c r="A1160" s="722" t="s">
        <v>613</v>
      </c>
      <c r="B1160" s="722">
        <v>160</v>
      </c>
      <c r="C1160" s="723">
        <v>2</v>
      </c>
      <c r="D1160" s="723">
        <v>2</v>
      </c>
      <c r="E1160" s="723">
        <v>0</v>
      </c>
      <c r="F1160" s="723">
        <v>0</v>
      </c>
      <c r="G1160" s="723">
        <v>4</v>
      </c>
      <c r="H1160" s="724">
        <v>23.972956824089422</v>
      </c>
      <c r="I1160" s="724">
        <v>23.972956824089422</v>
      </c>
      <c r="J1160" s="724">
        <v>0</v>
      </c>
      <c r="K1160" s="724">
        <v>0</v>
      </c>
      <c r="L1160" s="724">
        <v>47.945913648178845</v>
      </c>
    </row>
    <row r="1161" spans="1:12">
      <c r="A1161" s="722" t="s">
        <v>613</v>
      </c>
      <c r="B1161" s="722">
        <v>190</v>
      </c>
      <c r="C1161" s="723">
        <v>1</v>
      </c>
      <c r="D1161" s="723">
        <v>0</v>
      </c>
      <c r="E1161" s="723">
        <v>0</v>
      </c>
      <c r="F1161" s="723">
        <v>0</v>
      </c>
      <c r="G1161" s="723">
        <v>1</v>
      </c>
      <c r="H1161" s="724">
        <v>11.986478412044711</v>
      </c>
      <c r="I1161" s="724">
        <v>0</v>
      </c>
      <c r="J1161" s="724">
        <v>0</v>
      </c>
      <c r="K1161" s="724">
        <v>0</v>
      </c>
      <c r="L1161" s="724">
        <v>11.986478412044711</v>
      </c>
    </row>
    <row r="1162" spans="1:12">
      <c r="A1162" s="722" t="s">
        <v>613</v>
      </c>
      <c r="B1162" s="722">
        <v>191</v>
      </c>
      <c r="C1162" s="723">
        <v>1</v>
      </c>
      <c r="D1162" s="723">
        <v>0</v>
      </c>
      <c r="E1162" s="723">
        <v>0</v>
      </c>
      <c r="F1162" s="723">
        <v>0</v>
      </c>
      <c r="G1162" s="723">
        <v>1</v>
      </c>
      <c r="H1162" s="724">
        <v>11.986478412044711</v>
      </c>
      <c r="I1162" s="724">
        <v>0</v>
      </c>
      <c r="J1162" s="724">
        <v>0</v>
      </c>
      <c r="K1162" s="724">
        <v>0</v>
      </c>
      <c r="L1162" s="724">
        <v>11.986478412044711</v>
      </c>
    </row>
    <row r="1163" spans="1:12">
      <c r="A1163" s="722" t="s">
        <v>613</v>
      </c>
      <c r="B1163" s="722">
        <v>300</v>
      </c>
      <c r="C1163" s="723">
        <v>0</v>
      </c>
      <c r="D1163" s="723">
        <v>1</v>
      </c>
      <c r="E1163" s="723">
        <v>0</v>
      </c>
      <c r="F1163" s="723">
        <v>0</v>
      </c>
      <c r="G1163" s="723">
        <v>1</v>
      </c>
      <c r="H1163" s="724">
        <v>0</v>
      </c>
      <c r="I1163" s="724">
        <v>11.986478412044711</v>
      </c>
      <c r="J1163" s="724">
        <v>0</v>
      </c>
      <c r="K1163" s="724">
        <v>0</v>
      </c>
      <c r="L1163" s="724">
        <v>11.986478412044711</v>
      </c>
    </row>
    <row r="1164" spans="1:12">
      <c r="A1164" s="722" t="s">
        <v>613</v>
      </c>
      <c r="B1164" s="722">
        <v>301</v>
      </c>
      <c r="C1164" s="723">
        <v>3</v>
      </c>
      <c r="D1164" s="723">
        <v>0</v>
      </c>
      <c r="E1164" s="723">
        <v>0</v>
      </c>
      <c r="F1164" s="723">
        <v>0</v>
      </c>
      <c r="G1164" s="723">
        <v>3</v>
      </c>
      <c r="H1164" s="724">
        <v>35.959435236134134</v>
      </c>
      <c r="I1164" s="724">
        <v>0</v>
      </c>
      <c r="J1164" s="724">
        <v>0</v>
      </c>
      <c r="K1164" s="724">
        <v>0</v>
      </c>
      <c r="L1164" s="724">
        <v>35.959435236134134</v>
      </c>
    </row>
    <row r="1165" spans="1:12">
      <c r="A1165" s="722" t="s">
        <v>613</v>
      </c>
      <c r="B1165" s="722">
        <v>302</v>
      </c>
      <c r="C1165" s="723">
        <v>2</v>
      </c>
      <c r="D1165" s="723">
        <v>0</v>
      </c>
      <c r="E1165" s="723">
        <v>0</v>
      </c>
      <c r="F1165" s="723">
        <v>0</v>
      </c>
      <c r="G1165" s="723">
        <v>2</v>
      </c>
      <c r="H1165" s="724">
        <v>23.972956824089422</v>
      </c>
      <c r="I1165" s="724">
        <v>0</v>
      </c>
      <c r="J1165" s="724">
        <v>0</v>
      </c>
      <c r="K1165" s="724">
        <v>0</v>
      </c>
      <c r="L1165" s="724">
        <v>23.972956824089422</v>
      </c>
    </row>
    <row r="1166" spans="1:12">
      <c r="A1166" s="722" t="s">
        <v>613</v>
      </c>
      <c r="B1166" s="722">
        <v>303</v>
      </c>
      <c r="C1166" s="723">
        <v>1</v>
      </c>
      <c r="D1166" s="723">
        <v>2</v>
      </c>
      <c r="E1166" s="723">
        <v>0</v>
      </c>
      <c r="F1166" s="723">
        <v>0</v>
      </c>
      <c r="G1166" s="723">
        <v>3</v>
      </c>
      <c r="H1166" s="724">
        <v>11.986478412044711</v>
      </c>
      <c r="I1166" s="724">
        <v>23.972956824089422</v>
      </c>
      <c r="J1166" s="724">
        <v>0</v>
      </c>
      <c r="K1166" s="724">
        <v>0</v>
      </c>
      <c r="L1166" s="724">
        <v>35.959435236134134</v>
      </c>
    </row>
    <row r="1167" spans="1:12">
      <c r="A1167" s="722" t="s">
        <v>613</v>
      </c>
      <c r="B1167" s="722">
        <v>306</v>
      </c>
      <c r="C1167" s="723">
        <v>1</v>
      </c>
      <c r="D1167" s="723">
        <v>1</v>
      </c>
      <c r="E1167" s="723">
        <v>0</v>
      </c>
      <c r="F1167" s="723">
        <v>0</v>
      </c>
      <c r="G1167" s="723">
        <v>2</v>
      </c>
      <c r="H1167" s="724">
        <v>11.986478412044711</v>
      </c>
      <c r="I1167" s="724">
        <v>11.986478412044711</v>
      </c>
      <c r="J1167" s="724">
        <v>0</v>
      </c>
      <c r="K1167" s="724">
        <v>0</v>
      </c>
      <c r="L1167" s="724">
        <v>23.972956824089422</v>
      </c>
    </row>
    <row r="1168" spans="1:12">
      <c r="A1168" s="722" t="s">
        <v>613</v>
      </c>
      <c r="B1168" s="722">
        <v>307</v>
      </c>
      <c r="C1168" s="723">
        <v>2</v>
      </c>
      <c r="D1168" s="723">
        <v>0</v>
      </c>
      <c r="E1168" s="723">
        <v>0</v>
      </c>
      <c r="F1168" s="723">
        <v>0</v>
      </c>
      <c r="G1168" s="723">
        <v>2</v>
      </c>
      <c r="H1168" s="724">
        <v>23.972956824089422</v>
      </c>
      <c r="I1168" s="724">
        <v>0</v>
      </c>
      <c r="J1168" s="724">
        <v>0</v>
      </c>
      <c r="K1168" s="724">
        <v>0</v>
      </c>
      <c r="L1168" s="724">
        <v>23.972956824089422</v>
      </c>
    </row>
    <row r="1169" spans="1:12">
      <c r="A1169" s="722" t="s">
        <v>613</v>
      </c>
      <c r="B1169" s="722">
        <v>313</v>
      </c>
      <c r="C1169" s="723">
        <v>2</v>
      </c>
      <c r="D1169" s="723">
        <v>0</v>
      </c>
      <c r="E1169" s="723">
        <v>0</v>
      </c>
      <c r="F1169" s="723">
        <v>0</v>
      </c>
      <c r="G1169" s="723">
        <v>2</v>
      </c>
      <c r="H1169" s="724">
        <v>23.972956824089422</v>
      </c>
      <c r="I1169" s="724">
        <v>0</v>
      </c>
      <c r="J1169" s="724">
        <v>0</v>
      </c>
      <c r="K1169" s="724">
        <v>0</v>
      </c>
      <c r="L1169" s="724">
        <v>23.972956824089422</v>
      </c>
    </row>
    <row r="1170" spans="1:12">
      <c r="A1170" s="722" t="s">
        <v>613</v>
      </c>
      <c r="B1170" s="722">
        <v>320</v>
      </c>
      <c r="C1170" s="723">
        <v>2</v>
      </c>
      <c r="D1170" s="723">
        <v>1</v>
      </c>
      <c r="E1170" s="723">
        <v>0</v>
      </c>
      <c r="F1170" s="723">
        <v>0</v>
      </c>
      <c r="G1170" s="723">
        <v>3</v>
      </c>
      <c r="H1170" s="724">
        <v>23.972956824089422</v>
      </c>
      <c r="I1170" s="724">
        <v>11.986478412044711</v>
      </c>
      <c r="J1170" s="724">
        <v>0</v>
      </c>
      <c r="K1170" s="724">
        <v>0</v>
      </c>
      <c r="L1170" s="724">
        <v>35.959435236134134</v>
      </c>
    </row>
    <row r="1171" spans="1:12">
      <c r="A1171" s="722" t="s">
        <v>613</v>
      </c>
      <c r="B1171" s="722">
        <v>330</v>
      </c>
      <c r="C1171" s="723">
        <v>4</v>
      </c>
      <c r="D1171" s="723">
        <v>1</v>
      </c>
      <c r="E1171" s="723">
        <v>0</v>
      </c>
      <c r="F1171" s="723">
        <v>0</v>
      </c>
      <c r="G1171" s="723">
        <v>5</v>
      </c>
      <c r="H1171" s="724">
        <v>47.945913648178845</v>
      </c>
      <c r="I1171" s="724">
        <v>11.986478412044711</v>
      </c>
      <c r="J1171" s="724">
        <v>0</v>
      </c>
      <c r="K1171" s="724">
        <v>0</v>
      </c>
      <c r="L1171" s="724">
        <v>59.932392060223556</v>
      </c>
    </row>
    <row r="1172" spans="1:12">
      <c r="A1172" s="722" t="s">
        <v>613</v>
      </c>
      <c r="B1172" s="722">
        <v>340</v>
      </c>
      <c r="C1172" s="723">
        <v>7</v>
      </c>
      <c r="D1172" s="723">
        <v>1</v>
      </c>
      <c r="E1172" s="723">
        <v>0</v>
      </c>
      <c r="F1172" s="723">
        <v>0</v>
      </c>
      <c r="G1172" s="723">
        <v>8</v>
      </c>
      <c r="H1172" s="724">
        <v>83.905348884312986</v>
      </c>
      <c r="I1172" s="724">
        <v>11.986478412044711</v>
      </c>
      <c r="J1172" s="724">
        <v>0</v>
      </c>
      <c r="K1172" s="724">
        <v>0</v>
      </c>
      <c r="L1172" s="724">
        <v>95.89182729635769</v>
      </c>
    </row>
    <row r="1173" spans="1:12">
      <c r="A1173" s="722" t="s">
        <v>613</v>
      </c>
      <c r="B1173" s="722">
        <v>350</v>
      </c>
      <c r="C1173" s="723">
        <v>1</v>
      </c>
      <c r="D1173" s="723">
        <v>1</v>
      </c>
      <c r="E1173" s="723">
        <v>0</v>
      </c>
      <c r="F1173" s="723">
        <v>0</v>
      </c>
      <c r="G1173" s="723">
        <v>2</v>
      </c>
      <c r="H1173" s="724">
        <v>11.986478412044711</v>
      </c>
      <c r="I1173" s="724">
        <v>11.986478412044711</v>
      </c>
      <c r="J1173" s="724">
        <v>0</v>
      </c>
      <c r="K1173" s="724">
        <v>0</v>
      </c>
      <c r="L1173" s="724">
        <v>23.972956824089422</v>
      </c>
    </row>
    <row r="1174" spans="1:12">
      <c r="A1174" s="722" t="s">
        <v>613</v>
      </c>
      <c r="B1174" s="722">
        <v>360</v>
      </c>
      <c r="C1174" s="723">
        <v>1</v>
      </c>
      <c r="D1174" s="723">
        <v>0</v>
      </c>
      <c r="E1174" s="723">
        <v>0</v>
      </c>
      <c r="F1174" s="723">
        <v>0</v>
      </c>
      <c r="G1174" s="723">
        <v>1</v>
      </c>
      <c r="H1174" s="724">
        <v>11.986478412044711</v>
      </c>
      <c r="I1174" s="724">
        <v>0</v>
      </c>
      <c r="J1174" s="724">
        <v>0</v>
      </c>
      <c r="K1174" s="724">
        <v>0</v>
      </c>
      <c r="L1174" s="724">
        <v>11.986478412044711</v>
      </c>
    </row>
    <row r="1175" spans="1:12">
      <c r="A1175" s="722" t="s">
        <v>613</v>
      </c>
      <c r="B1175" s="722">
        <v>361</v>
      </c>
      <c r="C1175" s="723">
        <v>2</v>
      </c>
      <c r="D1175" s="723">
        <v>0</v>
      </c>
      <c r="E1175" s="723">
        <v>0</v>
      </c>
      <c r="F1175" s="723">
        <v>0</v>
      </c>
      <c r="G1175" s="723">
        <v>2</v>
      </c>
      <c r="H1175" s="724">
        <v>23.972956824089422</v>
      </c>
      <c r="I1175" s="724">
        <v>0</v>
      </c>
      <c r="J1175" s="724">
        <v>0</v>
      </c>
      <c r="K1175" s="724">
        <v>0</v>
      </c>
      <c r="L1175" s="724">
        <v>23.972956824089422</v>
      </c>
    </row>
    <row r="1176" spans="1:12">
      <c r="A1176" s="722" t="s">
        <v>613</v>
      </c>
      <c r="B1176" s="722">
        <v>370</v>
      </c>
      <c r="C1176" s="723">
        <v>2</v>
      </c>
      <c r="D1176" s="723">
        <v>0</v>
      </c>
      <c r="E1176" s="723">
        <v>0</v>
      </c>
      <c r="F1176" s="723">
        <v>0</v>
      </c>
      <c r="G1176" s="723">
        <v>2</v>
      </c>
      <c r="H1176" s="724">
        <v>23.972956824089422</v>
      </c>
      <c r="I1176" s="724">
        <v>0</v>
      </c>
      <c r="J1176" s="724">
        <v>0</v>
      </c>
      <c r="K1176" s="724">
        <v>0</v>
      </c>
      <c r="L1176" s="724">
        <v>23.972956824089422</v>
      </c>
    </row>
    <row r="1177" spans="1:12">
      <c r="A1177" s="722" t="s">
        <v>613</v>
      </c>
      <c r="B1177" s="722">
        <v>400</v>
      </c>
      <c r="C1177" s="723">
        <v>0</v>
      </c>
      <c r="D1177" s="723">
        <v>3</v>
      </c>
      <c r="E1177" s="723">
        <v>0</v>
      </c>
      <c r="F1177" s="723">
        <v>0</v>
      </c>
      <c r="G1177" s="723">
        <v>3</v>
      </c>
      <c r="H1177" s="724">
        <v>0</v>
      </c>
      <c r="I1177" s="724">
        <v>35.959435236134134</v>
      </c>
      <c r="J1177" s="724">
        <v>0</v>
      </c>
      <c r="K1177" s="724">
        <v>0</v>
      </c>
      <c r="L1177" s="724">
        <v>35.959435236134134</v>
      </c>
    </row>
    <row r="1178" spans="1:12">
      <c r="A1178" s="722" t="s">
        <v>613</v>
      </c>
      <c r="B1178" s="722">
        <v>410</v>
      </c>
      <c r="C1178" s="723">
        <v>4</v>
      </c>
      <c r="D1178" s="723">
        <v>0</v>
      </c>
      <c r="E1178" s="723">
        <v>0</v>
      </c>
      <c r="F1178" s="723">
        <v>0</v>
      </c>
      <c r="G1178" s="723">
        <v>4</v>
      </c>
      <c r="H1178" s="724">
        <v>47.945913648178845</v>
      </c>
      <c r="I1178" s="724">
        <v>0</v>
      </c>
      <c r="J1178" s="724">
        <v>0</v>
      </c>
      <c r="K1178" s="724">
        <v>0</v>
      </c>
      <c r="L1178" s="724">
        <v>47.945913648178845</v>
      </c>
    </row>
    <row r="1179" spans="1:12">
      <c r="A1179" s="722" t="s">
        <v>613</v>
      </c>
      <c r="B1179" s="722">
        <v>501</v>
      </c>
      <c r="C1179" s="723">
        <v>1</v>
      </c>
      <c r="D1179" s="723">
        <v>1</v>
      </c>
      <c r="E1179" s="723">
        <v>0</v>
      </c>
      <c r="F1179" s="723">
        <v>0</v>
      </c>
      <c r="G1179" s="723">
        <v>2</v>
      </c>
      <c r="H1179" s="724">
        <v>11.986478412044711</v>
      </c>
      <c r="I1179" s="724">
        <v>11.986478412044711</v>
      </c>
      <c r="J1179" s="724">
        <v>0</v>
      </c>
      <c r="K1179" s="724">
        <v>0</v>
      </c>
      <c r="L1179" s="724">
        <v>23.972956824089422</v>
      </c>
    </row>
    <row r="1180" spans="1:12">
      <c r="A1180" s="722" t="s">
        <v>613</v>
      </c>
      <c r="B1180" s="722">
        <v>502</v>
      </c>
      <c r="C1180" s="723">
        <v>2</v>
      </c>
      <c r="D1180" s="723">
        <v>1</v>
      </c>
      <c r="E1180" s="723">
        <v>0</v>
      </c>
      <c r="F1180" s="723">
        <v>0</v>
      </c>
      <c r="G1180" s="723">
        <v>3</v>
      </c>
      <c r="H1180" s="724">
        <v>23.972956824089422</v>
      </c>
      <c r="I1180" s="724">
        <v>11.986478412044711</v>
      </c>
      <c r="J1180" s="724">
        <v>0</v>
      </c>
      <c r="K1180" s="724">
        <v>0</v>
      </c>
      <c r="L1180" s="724">
        <v>35.959435236134134</v>
      </c>
    </row>
    <row r="1181" spans="1:12">
      <c r="A1181" s="722" t="s">
        <v>613</v>
      </c>
      <c r="B1181" s="722">
        <v>560</v>
      </c>
      <c r="C1181" s="723">
        <v>1</v>
      </c>
      <c r="D1181" s="723">
        <v>0</v>
      </c>
      <c r="E1181" s="723">
        <v>0</v>
      </c>
      <c r="F1181" s="723">
        <v>0</v>
      </c>
      <c r="G1181" s="723">
        <v>1</v>
      </c>
      <c r="H1181" s="724">
        <v>11.986478412044711</v>
      </c>
      <c r="I1181" s="724">
        <v>0</v>
      </c>
      <c r="J1181" s="724">
        <v>0</v>
      </c>
      <c r="K1181" s="724">
        <v>0</v>
      </c>
      <c r="L1181" s="724">
        <v>11.986478412044711</v>
      </c>
    </row>
    <row r="1182" spans="1:12">
      <c r="A1182" s="722" t="s">
        <v>613</v>
      </c>
      <c r="B1182" s="722">
        <v>650</v>
      </c>
      <c r="C1182" s="723">
        <v>0</v>
      </c>
      <c r="D1182" s="723">
        <v>1</v>
      </c>
      <c r="E1182" s="723">
        <v>0</v>
      </c>
      <c r="F1182" s="723">
        <v>0</v>
      </c>
      <c r="G1182" s="723">
        <v>1</v>
      </c>
      <c r="H1182" s="724">
        <v>0</v>
      </c>
      <c r="I1182" s="724">
        <v>11.986478412044711</v>
      </c>
      <c r="J1182" s="724">
        <v>0</v>
      </c>
      <c r="K1182" s="724">
        <v>0</v>
      </c>
      <c r="L1182" s="724">
        <v>11.986478412044711</v>
      </c>
    </row>
    <row r="1183" spans="1:12">
      <c r="A1183" s="722" t="s">
        <v>613</v>
      </c>
      <c r="B1183" s="722">
        <v>800</v>
      </c>
      <c r="C1183" s="723">
        <v>2</v>
      </c>
      <c r="D1183" s="723">
        <v>0</v>
      </c>
      <c r="E1183" s="723">
        <v>0</v>
      </c>
      <c r="F1183" s="723">
        <v>0</v>
      </c>
      <c r="G1183" s="723">
        <v>2</v>
      </c>
      <c r="H1183" s="724">
        <v>23.972956824089422</v>
      </c>
      <c r="I1183" s="724">
        <v>0</v>
      </c>
      <c r="J1183" s="724">
        <v>0</v>
      </c>
      <c r="K1183" s="724">
        <v>0</v>
      </c>
      <c r="L1183" s="724">
        <v>23.972956824089422</v>
      </c>
    </row>
    <row r="1184" spans="1:12">
      <c r="A1184" s="722" t="s">
        <v>197</v>
      </c>
      <c r="B1184" s="722">
        <v>100</v>
      </c>
      <c r="C1184" s="723">
        <v>2</v>
      </c>
      <c r="D1184" s="723">
        <v>1</v>
      </c>
      <c r="E1184" s="723">
        <v>0</v>
      </c>
      <c r="F1184" s="723">
        <v>0</v>
      </c>
      <c r="G1184" s="723">
        <v>3</v>
      </c>
      <c r="H1184" s="724">
        <v>343.05456962297717</v>
      </c>
      <c r="I1184" s="724">
        <v>171.52728481148858</v>
      </c>
      <c r="J1184" s="724">
        <v>0</v>
      </c>
      <c r="K1184" s="724">
        <v>0</v>
      </c>
      <c r="L1184" s="724">
        <v>514.58185443446575</v>
      </c>
    </row>
    <row r="1185" spans="1:12">
      <c r="A1185" s="722" t="s">
        <v>197</v>
      </c>
      <c r="B1185" s="722">
        <v>104</v>
      </c>
      <c r="C1185" s="723">
        <v>1</v>
      </c>
      <c r="D1185" s="723">
        <v>0</v>
      </c>
      <c r="E1185" s="723">
        <v>0</v>
      </c>
      <c r="F1185" s="723">
        <v>0</v>
      </c>
      <c r="G1185" s="723">
        <v>1</v>
      </c>
      <c r="H1185" s="724">
        <v>171.52728481148856</v>
      </c>
      <c r="I1185" s="724">
        <v>0</v>
      </c>
      <c r="J1185" s="724">
        <v>0</v>
      </c>
      <c r="K1185" s="724">
        <v>0</v>
      </c>
      <c r="L1185" s="724">
        <v>171.52728481148856</v>
      </c>
    </row>
    <row r="1186" spans="1:12">
      <c r="A1186" s="722" t="s">
        <v>197</v>
      </c>
      <c r="B1186" s="722">
        <v>171</v>
      </c>
      <c r="C1186" s="723">
        <v>1</v>
      </c>
      <c r="D1186" s="723">
        <v>0</v>
      </c>
      <c r="E1186" s="723">
        <v>0</v>
      </c>
      <c r="F1186" s="723">
        <v>0</v>
      </c>
      <c r="G1186" s="723">
        <v>1</v>
      </c>
      <c r="H1186" s="724">
        <v>171.52728481148856</v>
      </c>
      <c r="I1186" s="724">
        <v>0</v>
      </c>
      <c r="J1186" s="724">
        <v>0</v>
      </c>
      <c r="K1186" s="724">
        <v>0</v>
      </c>
      <c r="L1186" s="724">
        <v>171.52728481148856</v>
      </c>
    </row>
    <row r="1187" spans="1:12">
      <c r="A1187" s="722" t="s">
        <v>197</v>
      </c>
      <c r="B1187" s="722">
        <v>301</v>
      </c>
      <c r="C1187" s="723">
        <v>0</v>
      </c>
      <c r="D1187" s="723">
        <v>1</v>
      </c>
      <c r="E1187" s="723">
        <v>0</v>
      </c>
      <c r="F1187" s="723">
        <v>0</v>
      </c>
      <c r="G1187" s="723">
        <v>1</v>
      </c>
      <c r="H1187" s="724">
        <v>0</v>
      </c>
      <c r="I1187" s="724">
        <v>171.52728481148856</v>
      </c>
      <c r="J1187" s="724">
        <v>0</v>
      </c>
      <c r="K1187" s="724">
        <v>0</v>
      </c>
      <c r="L1187" s="724">
        <v>171.52728481148856</v>
      </c>
    </row>
    <row r="1188" spans="1:12">
      <c r="A1188" s="722" t="s">
        <v>197</v>
      </c>
      <c r="B1188" s="722">
        <v>420</v>
      </c>
      <c r="C1188" s="723">
        <v>0</v>
      </c>
      <c r="D1188" s="723">
        <v>1</v>
      </c>
      <c r="E1188" s="723">
        <v>0</v>
      </c>
      <c r="F1188" s="723">
        <v>0</v>
      </c>
      <c r="G1188" s="723">
        <v>1</v>
      </c>
      <c r="H1188" s="724">
        <v>0</v>
      </c>
      <c r="I1188" s="724">
        <v>171.52728481148856</v>
      </c>
      <c r="J1188" s="724">
        <v>0</v>
      </c>
      <c r="K1188" s="724">
        <v>0</v>
      </c>
      <c r="L1188" s="724">
        <v>171.52728481148856</v>
      </c>
    </row>
    <row r="1189" spans="1:12">
      <c r="A1189" s="722" t="s">
        <v>634</v>
      </c>
      <c r="B1189" s="722">
        <v>100</v>
      </c>
      <c r="C1189" s="723">
        <v>3501</v>
      </c>
      <c r="D1189" s="723">
        <v>5695</v>
      </c>
      <c r="E1189" s="723">
        <v>0</v>
      </c>
      <c r="F1189" s="723">
        <v>0</v>
      </c>
      <c r="G1189" s="723">
        <v>9196</v>
      </c>
      <c r="H1189" s="724">
        <v>573957.59962279885</v>
      </c>
      <c r="I1189" s="724">
        <v>933644.25302823179</v>
      </c>
      <c r="J1189" s="724">
        <v>0</v>
      </c>
      <c r="K1189" s="724">
        <v>0</v>
      </c>
      <c r="L1189" s="724">
        <v>1507601.8526510305</v>
      </c>
    </row>
    <row r="1190" spans="1:12">
      <c r="A1190" s="722" t="s">
        <v>634</v>
      </c>
      <c r="B1190" s="722">
        <v>101</v>
      </c>
      <c r="C1190" s="723">
        <v>1</v>
      </c>
      <c r="D1190" s="723">
        <v>5</v>
      </c>
      <c r="E1190" s="723">
        <v>0</v>
      </c>
      <c r="F1190" s="723">
        <v>0</v>
      </c>
      <c r="G1190" s="723">
        <v>6</v>
      </c>
      <c r="H1190" s="724">
        <v>163.94104530785458</v>
      </c>
      <c r="I1190" s="724">
        <v>819.70522653927276</v>
      </c>
      <c r="J1190" s="724">
        <v>0</v>
      </c>
      <c r="K1190" s="724">
        <v>0</v>
      </c>
      <c r="L1190" s="724">
        <v>983.64627184712742</v>
      </c>
    </row>
    <row r="1191" spans="1:12">
      <c r="A1191" s="722" t="s">
        <v>634</v>
      </c>
      <c r="B1191" s="722">
        <v>103</v>
      </c>
      <c r="C1191" s="723">
        <v>0</v>
      </c>
      <c r="D1191" s="723">
        <v>3</v>
      </c>
      <c r="E1191" s="723">
        <v>0</v>
      </c>
      <c r="F1191" s="723">
        <v>0</v>
      </c>
      <c r="G1191" s="723">
        <v>3</v>
      </c>
      <c r="H1191" s="724">
        <v>0</v>
      </c>
      <c r="I1191" s="724">
        <v>491.82313592356371</v>
      </c>
      <c r="J1191" s="724">
        <v>0</v>
      </c>
      <c r="K1191" s="724">
        <v>0</v>
      </c>
      <c r="L1191" s="724">
        <v>491.82313592356371</v>
      </c>
    </row>
    <row r="1192" spans="1:12">
      <c r="A1192" s="722" t="s">
        <v>634</v>
      </c>
      <c r="B1192" s="722">
        <v>104</v>
      </c>
      <c r="C1192" s="723">
        <v>2163</v>
      </c>
      <c r="D1192" s="723">
        <v>4592</v>
      </c>
      <c r="E1192" s="723">
        <v>0</v>
      </c>
      <c r="F1192" s="723">
        <v>0</v>
      </c>
      <c r="G1192" s="723">
        <v>6755</v>
      </c>
      <c r="H1192" s="724">
        <v>354604.48100088938</v>
      </c>
      <c r="I1192" s="724">
        <v>752817.28005366819</v>
      </c>
      <c r="J1192" s="724">
        <v>0</v>
      </c>
      <c r="K1192" s="724">
        <v>0</v>
      </c>
      <c r="L1192" s="724">
        <v>1107421.7610545575</v>
      </c>
    </row>
    <row r="1193" spans="1:12">
      <c r="A1193" s="722" t="s">
        <v>634</v>
      </c>
      <c r="B1193" s="722">
        <v>106</v>
      </c>
      <c r="C1193" s="723">
        <v>69</v>
      </c>
      <c r="D1193" s="723">
        <v>120</v>
      </c>
      <c r="E1193" s="723">
        <v>0</v>
      </c>
      <c r="F1193" s="723">
        <v>0</v>
      </c>
      <c r="G1193" s="723">
        <v>189</v>
      </c>
      <c r="H1193" s="724">
        <v>11311.932126241965</v>
      </c>
      <c r="I1193" s="724">
        <v>19672.925436942547</v>
      </c>
      <c r="J1193" s="724">
        <v>0</v>
      </c>
      <c r="K1193" s="724">
        <v>0</v>
      </c>
      <c r="L1193" s="724">
        <v>30984.857563184512</v>
      </c>
    </row>
    <row r="1194" spans="1:12">
      <c r="A1194" s="722" t="s">
        <v>634</v>
      </c>
      <c r="B1194" s="722">
        <v>107</v>
      </c>
      <c r="C1194" s="723">
        <v>4</v>
      </c>
      <c r="D1194" s="723">
        <v>28</v>
      </c>
      <c r="E1194" s="723">
        <v>0</v>
      </c>
      <c r="F1194" s="723">
        <v>0</v>
      </c>
      <c r="G1194" s="723">
        <v>32</v>
      </c>
      <c r="H1194" s="724">
        <v>655.76418123141821</v>
      </c>
      <c r="I1194" s="724">
        <v>4590.3492686199279</v>
      </c>
      <c r="J1194" s="724">
        <v>0</v>
      </c>
      <c r="K1194" s="724">
        <v>0</v>
      </c>
      <c r="L1194" s="724">
        <v>5246.1134498513456</v>
      </c>
    </row>
    <row r="1195" spans="1:12">
      <c r="A1195" s="722" t="s">
        <v>634</v>
      </c>
      <c r="B1195" s="722">
        <v>110</v>
      </c>
      <c r="C1195" s="723">
        <v>0</v>
      </c>
      <c r="D1195" s="723">
        <v>1</v>
      </c>
      <c r="E1195" s="723">
        <v>0</v>
      </c>
      <c r="F1195" s="723">
        <v>0</v>
      </c>
      <c r="G1195" s="723">
        <v>1</v>
      </c>
      <c r="H1195" s="724">
        <v>0</v>
      </c>
      <c r="I1195" s="724">
        <v>163.94104530785455</v>
      </c>
      <c r="J1195" s="724">
        <v>0</v>
      </c>
      <c r="K1195" s="724">
        <v>0</v>
      </c>
      <c r="L1195" s="724">
        <v>163.94104530785455</v>
      </c>
    </row>
    <row r="1196" spans="1:12">
      <c r="A1196" s="722" t="s">
        <v>634</v>
      </c>
      <c r="B1196" s="722">
        <v>120</v>
      </c>
      <c r="C1196" s="723">
        <v>2</v>
      </c>
      <c r="D1196" s="723">
        <v>1</v>
      </c>
      <c r="E1196" s="723">
        <v>0</v>
      </c>
      <c r="F1196" s="723">
        <v>0</v>
      </c>
      <c r="G1196" s="723">
        <v>3</v>
      </c>
      <c r="H1196" s="724">
        <v>327.88209061570916</v>
      </c>
      <c r="I1196" s="724">
        <v>163.94104530785458</v>
      </c>
      <c r="J1196" s="724">
        <v>0</v>
      </c>
      <c r="K1196" s="724">
        <v>0</v>
      </c>
      <c r="L1196" s="724">
        <v>491.82313592356371</v>
      </c>
    </row>
    <row r="1197" spans="1:12">
      <c r="A1197" s="722" t="s">
        <v>634</v>
      </c>
      <c r="B1197" s="722">
        <v>130</v>
      </c>
      <c r="C1197" s="723">
        <v>1</v>
      </c>
      <c r="D1197" s="723">
        <v>0</v>
      </c>
      <c r="E1197" s="723">
        <v>0</v>
      </c>
      <c r="F1197" s="723">
        <v>0</v>
      </c>
      <c r="G1197" s="723">
        <v>1</v>
      </c>
      <c r="H1197" s="724">
        <v>163.94104530785455</v>
      </c>
      <c r="I1197" s="724">
        <v>0</v>
      </c>
      <c r="J1197" s="724">
        <v>0</v>
      </c>
      <c r="K1197" s="724">
        <v>0</v>
      </c>
      <c r="L1197" s="724">
        <v>163.94104530785455</v>
      </c>
    </row>
    <row r="1198" spans="1:12">
      <c r="A1198" s="722" t="s">
        <v>634</v>
      </c>
      <c r="B1198" s="722">
        <v>140</v>
      </c>
      <c r="C1198" s="723">
        <v>3</v>
      </c>
      <c r="D1198" s="723">
        <v>0</v>
      </c>
      <c r="E1198" s="723">
        <v>0</v>
      </c>
      <c r="F1198" s="723">
        <v>0</v>
      </c>
      <c r="G1198" s="723">
        <v>3</v>
      </c>
      <c r="H1198" s="724">
        <v>491.82313592356371</v>
      </c>
      <c r="I1198" s="724">
        <v>0</v>
      </c>
      <c r="J1198" s="724">
        <v>0</v>
      </c>
      <c r="K1198" s="724">
        <v>0</v>
      </c>
      <c r="L1198" s="724">
        <v>491.82313592356371</v>
      </c>
    </row>
    <row r="1199" spans="1:12">
      <c r="A1199" s="722" t="s">
        <v>634</v>
      </c>
      <c r="B1199" s="722">
        <v>160</v>
      </c>
      <c r="C1199" s="723">
        <v>2</v>
      </c>
      <c r="D1199" s="723">
        <v>0</v>
      </c>
      <c r="E1199" s="723">
        <v>0</v>
      </c>
      <c r="F1199" s="723">
        <v>0</v>
      </c>
      <c r="G1199" s="723">
        <v>2</v>
      </c>
      <c r="H1199" s="724">
        <v>327.8820906157091</v>
      </c>
      <c r="I1199" s="724">
        <v>0</v>
      </c>
      <c r="J1199" s="724">
        <v>0</v>
      </c>
      <c r="K1199" s="724">
        <v>0</v>
      </c>
      <c r="L1199" s="724">
        <v>327.8820906157091</v>
      </c>
    </row>
    <row r="1200" spans="1:12">
      <c r="A1200" s="722" t="s">
        <v>634</v>
      </c>
      <c r="B1200" s="722">
        <v>191</v>
      </c>
      <c r="C1200" s="723">
        <v>2</v>
      </c>
      <c r="D1200" s="723">
        <v>0</v>
      </c>
      <c r="E1200" s="723">
        <v>0</v>
      </c>
      <c r="F1200" s="723">
        <v>0</v>
      </c>
      <c r="G1200" s="723">
        <v>2</v>
      </c>
      <c r="H1200" s="724">
        <v>327.8820906157091</v>
      </c>
      <c r="I1200" s="724">
        <v>0</v>
      </c>
      <c r="J1200" s="724">
        <v>0</v>
      </c>
      <c r="K1200" s="724">
        <v>0</v>
      </c>
      <c r="L1200" s="724">
        <v>327.8820906157091</v>
      </c>
    </row>
    <row r="1201" spans="1:12">
      <c r="A1201" s="722" t="s">
        <v>634</v>
      </c>
      <c r="B1201" s="722">
        <v>300</v>
      </c>
      <c r="C1201" s="723">
        <v>12</v>
      </c>
      <c r="D1201" s="723">
        <v>5</v>
      </c>
      <c r="E1201" s="723">
        <v>0</v>
      </c>
      <c r="F1201" s="723">
        <v>0</v>
      </c>
      <c r="G1201" s="723">
        <v>17</v>
      </c>
      <c r="H1201" s="724">
        <v>1967.2925436942546</v>
      </c>
      <c r="I1201" s="724">
        <v>819.70522653927276</v>
      </c>
      <c r="J1201" s="724">
        <v>0</v>
      </c>
      <c r="K1201" s="724">
        <v>0</v>
      </c>
      <c r="L1201" s="724">
        <v>2786.9977702335273</v>
      </c>
    </row>
    <row r="1202" spans="1:12">
      <c r="A1202" s="722" t="s">
        <v>634</v>
      </c>
      <c r="B1202" s="722">
        <v>301</v>
      </c>
      <c r="C1202" s="723">
        <v>23</v>
      </c>
      <c r="D1202" s="723">
        <v>19</v>
      </c>
      <c r="E1202" s="723">
        <v>0</v>
      </c>
      <c r="F1202" s="723">
        <v>0</v>
      </c>
      <c r="G1202" s="723">
        <v>42</v>
      </c>
      <c r="H1202" s="724">
        <v>3770.6440420806548</v>
      </c>
      <c r="I1202" s="724">
        <v>3114.879860849237</v>
      </c>
      <c r="J1202" s="724">
        <v>0</v>
      </c>
      <c r="K1202" s="724">
        <v>0</v>
      </c>
      <c r="L1202" s="724">
        <v>6885.5239029298918</v>
      </c>
    </row>
    <row r="1203" spans="1:12">
      <c r="A1203" s="722" t="s">
        <v>634</v>
      </c>
      <c r="B1203" s="722">
        <v>320</v>
      </c>
      <c r="C1203" s="723">
        <v>0</v>
      </c>
      <c r="D1203" s="723">
        <v>2</v>
      </c>
      <c r="E1203" s="723">
        <v>0</v>
      </c>
      <c r="F1203" s="723">
        <v>0</v>
      </c>
      <c r="G1203" s="723">
        <v>2</v>
      </c>
      <c r="H1203" s="724">
        <v>0</v>
      </c>
      <c r="I1203" s="724">
        <v>327.8820906157091</v>
      </c>
      <c r="J1203" s="724">
        <v>0</v>
      </c>
      <c r="K1203" s="724">
        <v>0</v>
      </c>
      <c r="L1203" s="724">
        <v>327.8820906157091</v>
      </c>
    </row>
    <row r="1204" spans="1:12">
      <c r="A1204" s="722" t="s">
        <v>634</v>
      </c>
      <c r="B1204" s="722">
        <v>323</v>
      </c>
      <c r="C1204" s="723">
        <v>6</v>
      </c>
      <c r="D1204" s="723">
        <v>0</v>
      </c>
      <c r="E1204" s="723">
        <v>0</v>
      </c>
      <c r="F1204" s="723">
        <v>0</v>
      </c>
      <c r="G1204" s="723">
        <v>6</v>
      </c>
      <c r="H1204" s="724">
        <v>983.64627184712742</v>
      </c>
      <c r="I1204" s="724">
        <v>0</v>
      </c>
      <c r="J1204" s="724">
        <v>0</v>
      </c>
      <c r="K1204" s="724">
        <v>0</v>
      </c>
      <c r="L1204" s="724">
        <v>983.64627184712742</v>
      </c>
    </row>
    <row r="1205" spans="1:12">
      <c r="A1205" s="722" t="s">
        <v>634</v>
      </c>
      <c r="B1205" s="722">
        <v>330</v>
      </c>
      <c r="C1205" s="723">
        <v>5</v>
      </c>
      <c r="D1205" s="723">
        <v>2</v>
      </c>
      <c r="E1205" s="723">
        <v>0</v>
      </c>
      <c r="F1205" s="723">
        <v>0</v>
      </c>
      <c r="G1205" s="723">
        <v>7</v>
      </c>
      <c r="H1205" s="724">
        <v>819.70522653927287</v>
      </c>
      <c r="I1205" s="724">
        <v>327.88209061570916</v>
      </c>
      <c r="J1205" s="724">
        <v>0</v>
      </c>
      <c r="K1205" s="724">
        <v>0</v>
      </c>
      <c r="L1205" s="724">
        <v>1147.587317154982</v>
      </c>
    </row>
    <row r="1206" spans="1:12">
      <c r="A1206" s="722" t="s">
        <v>634</v>
      </c>
      <c r="B1206" s="722">
        <v>340</v>
      </c>
      <c r="C1206" s="723">
        <v>1</v>
      </c>
      <c r="D1206" s="723">
        <v>1</v>
      </c>
      <c r="E1206" s="723">
        <v>0</v>
      </c>
      <c r="F1206" s="723">
        <v>0</v>
      </c>
      <c r="G1206" s="723">
        <v>2</v>
      </c>
      <c r="H1206" s="724">
        <v>163.94104530785455</v>
      </c>
      <c r="I1206" s="724">
        <v>163.94104530785455</v>
      </c>
      <c r="J1206" s="724">
        <v>0</v>
      </c>
      <c r="K1206" s="724">
        <v>0</v>
      </c>
      <c r="L1206" s="724">
        <v>327.8820906157091</v>
      </c>
    </row>
    <row r="1207" spans="1:12">
      <c r="A1207" s="722" t="s">
        <v>634</v>
      </c>
      <c r="B1207" s="722">
        <v>410</v>
      </c>
      <c r="C1207" s="723">
        <v>2</v>
      </c>
      <c r="D1207" s="723">
        <v>0</v>
      </c>
      <c r="E1207" s="723">
        <v>0</v>
      </c>
      <c r="F1207" s="723">
        <v>0</v>
      </c>
      <c r="G1207" s="723">
        <v>2</v>
      </c>
      <c r="H1207" s="724">
        <v>327.8820906157091</v>
      </c>
      <c r="I1207" s="724">
        <v>0</v>
      </c>
      <c r="J1207" s="724">
        <v>0</v>
      </c>
      <c r="K1207" s="724">
        <v>0</v>
      </c>
      <c r="L1207" s="724">
        <v>327.8820906157091</v>
      </c>
    </row>
    <row r="1208" spans="1:12">
      <c r="A1208" s="722" t="s">
        <v>634</v>
      </c>
      <c r="B1208" s="722">
        <v>502</v>
      </c>
      <c r="C1208" s="723">
        <v>3</v>
      </c>
      <c r="D1208" s="723">
        <v>5</v>
      </c>
      <c r="E1208" s="723">
        <v>0</v>
      </c>
      <c r="F1208" s="723">
        <v>0</v>
      </c>
      <c r="G1208" s="723">
        <v>8</v>
      </c>
      <c r="H1208" s="724">
        <v>491.82313592356365</v>
      </c>
      <c r="I1208" s="724">
        <v>819.70522653927276</v>
      </c>
      <c r="J1208" s="724">
        <v>0</v>
      </c>
      <c r="K1208" s="724">
        <v>0</v>
      </c>
      <c r="L1208" s="724">
        <v>1311.5283624628364</v>
      </c>
    </row>
    <row r="1209" spans="1:12">
      <c r="A1209" s="722" t="s">
        <v>634</v>
      </c>
      <c r="B1209" s="722">
        <v>560</v>
      </c>
      <c r="C1209" s="723">
        <v>1</v>
      </c>
      <c r="D1209" s="723">
        <v>0</v>
      </c>
      <c r="E1209" s="723">
        <v>0</v>
      </c>
      <c r="F1209" s="723">
        <v>0</v>
      </c>
      <c r="G1209" s="723">
        <v>1</v>
      </c>
      <c r="H1209" s="724">
        <v>163.94104530785455</v>
      </c>
      <c r="I1209" s="724">
        <v>0</v>
      </c>
      <c r="J1209" s="724">
        <v>0</v>
      </c>
      <c r="K1209" s="724">
        <v>0</v>
      </c>
      <c r="L1209" s="724">
        <v>163.94104530785455</v>
      </c>
    </row>
    <row r="1210" spans="1:12">
      <c r="A1210" s="722" t="s">
        <v>634</v>
      </c>
      <c r="B1210" s="722">
        <v>800</v>
      </c>
      <c r="C1210" s="723">
        <v>1</v>
      </c>
      <c r="D1210" s="723">
        <v>0</v>
      </c>
      <c r="E1210" s="723">
        <v>0</v>
      </c>
      <c r="F1210" s="723">
        <v>0</v>
      </c>
      <c r="G1210" s="723">
        <v>1</v>
      </c>
      <c r="H1210" s="724">
        <v>163.94104530785455</v>
      </c>
      <c r="I1210" s="724">
        <v>0</v>
      </c>
      <c r="J1210" s="724">
        <v>0</v>
      </c>
      <c r="K1210" s="724">
        <v>0</v>
      </c>
      <c r="L1210" s="724">
        <v>163.94104530785455</v>
      </c>
    </row>
    <row r="1211" spans="1:12">
      <c r="A1211" s="722" t="s">
        <v>556</v>
      </c>
      <c r="B1211" s="722">
        <v>100</v>
      </c>
      <c r="C1211" s="723">
        <v>9</v>
      </c>
      <c r="D1211" s="723">
        <v>13</v>
      </c>
      <c r="E1211" s="723">
        <v>0</v>
      </c>
      <c r="F1211" s="723">
        <v>0</v>
      </c>
      <c r="G1211" s="723">
        <v>22</v>
      </c>
      <c r="H1211" s="724">
        <v>1324.3121634990653</v>
      </c>
      <c r="I1211" s="724">
        <v>1912.8953472764274</v>
      </c>
      <c r="J1211" s="724">
        <v>0</v>
      </c>
      <c r="K1211" s="724">
        <v>0</v>
      </c>
      <c r="L1211" s="724">
        <v>3237.2075107754927</v>
      </c>
    </row>
    <row r="1212" spans="1:12">
      <c r="A1212" s="722" t="s">
        <v>556</v>
      </c>
      <c r="B1212" s="722">
        <v>104</v>
      </c>
      <c r="C1212" s="723">
        <v>1</v>
      </c>
      <c r="D1212" s="723">
        <v>11</v>
      </c>
      <c r="E1212" s="723">
        <v>0</v>
      </c>
      <c r="F1212" s="723">
        <v>0</v>
      </c>
      <c r="G1212" s="723">
        <v>12</v>
      </c>
      <c r="H1212" s="724">
        <v>147.14579594434056</v>
      </c>
      <c r="I1212" s="724">
        <v>1618.6037553877461</v>
      </c>
      <c r="J1212" s="724">
        <v>0</v>
      </c>
      <c r="K1212" s="724">
        <v>0</v>
      </c>
      <c r="L1212" s="724">
        <v>1765.7495513320869</v>
      </c>
    </row>
    <row r="1213" spans="1:12">
      <c r="A1213" s="722" t="s">
        <v>556</v>
      </c>
      <c r="B1213" s="722">
        <v>110</v>
      </c>
      <c r="C1213" s="723">
        <v>0</v>
      </c>
      <c r="D1213" s="723">
        <v>2</v>
      </c>
      <c r="E1213" s="723">
        <v>0</v>
      </c>
      <c r="F1213" s="723">
        <v>0</v>
      </c>
      <c r="G1213" s="723">
        <v>2</v>
      </c>
      <c r="H1213" s="724">
        <v>0</v>
      </c>
      <c r="I1213" s="724">
        <v>294.29159188868113</v>
      </c>
      <c r="J1213" s="724">
        <v>0</v>
      </c>
      <c r="K1213" s="724">
        <v>0</v>
      </c>
      <c r="L1213" s="724">
        <v>294.29159188868113</v>
      </c>
    </row>
    <row r="1214" spans="1:12">
      <c r="A1214" s="722" t="s">
        <v>556</v>
      </c>
      <c r="B1214" s="722">
        <v>130</v>
      </c>
      <c r="C1214" s="723">
        <v>6</v>
      </c>
      <c r="D1214" s="723">
        <v>2</v>
      </c>
      <c r="E1214" s="723">
        <v>0</v>
      </c>
      <c r="F1214" s="723">
        <v>0</v>
      </c>
      <c r="G1214" s="723">
        <v>8</v>
      </c>
      <c r="H1214" s="724">
        <v>882.87477566604343</v>
      </c>
      <c r="I1214" s="724">
        <v>294.29159188868113</v>
      </c>
      <c r="J1214" s="724">
        <v>0</v>
      </c>
      <c r="K1214" s="724">
        <v>0</v>
      </c>
      <c r="L1214" s="724">
        <v>1177.1663675547245</v>
      </c>
    </row>
    <row r="1215" spans="1:12">
      <c r="A1215" s="722" t="s">
        <v>556</v>
      </c>
      <c r="B1215" s="722">
        <v>171</v>
      </c>
      <c r="C1215" s="723">
        <v>20</v>
      </c>
      <c r="D1215" s="723">
        <v>2</v>
      </c>
      <c r="E1215" s="723">
        <v>0</v>
      </c>
      <c r="F1215" s="723">
        <v>0</v>
      </c>
      <c r="G1215" s="723">
        <v>22</v>
      </c>
      <c r="H1215" s="724">
        <v>2942.9159188868116</v>
      </c>
      <c r="I1215" s="724">
        <v>294.29159188868113</v>
      </c>
      <c r="J1215" s="724">
        <v>0</v>
      </c>
      <c r="K1215" s="724">
        <v>0</v>
      </c>
      <c r="L1215" s="724">
        <v>3237.2075107754927</v>
      </c>
    </row>
    <row r="1216" spans="1:12">
      <c r="A1216" s="722" t="s">
        <v>556</v>
      </c>
      <c r="B1216" s="722">
        <v>213</v>
      </c>
      <c r="C1216" s="723">
        <v>1</v>
      </c>
      <c r="D1216" s="723">
        <v>0</v>
      </c>
      <c r="E1216" s="723">
        <v>0</v>
      </c>
      <c r="F1216" s="723">
        <v>0</v>
      </c>
      <c r="G1216" s="723">
        <v>1</v>
      </c>
      <c r="H1216" s="724">
        <v>147.14579594434056</v>
      </c>
      <c r="I1216" s="724">
        <v>0</v>
      </c>
      <c r="J1216" s="724">
        <v>0</v>
      </c>
      <c r="K1216" s="724">
        <v>0</v>
      </c>
      <c r="L1216" s="724">
        <v>147.14579594434056</v>
      </c>
    </row>
    <row r="1217" spans="1:12">
      <c r="A1217" s="722" t="s">
        <v>556</v>
      </c>
      <c r="B1217" s="722">
        <v>251</v>
      </c>
      <c r="C1217" s="723">
        <v>1</v>
      </c>
      <c r="D1217" s="723">
        <v>0</v>
      </c>
      <c r="E1217" s="723">
        <v>0</v>
      </c>
      <c r="F1217" s="723">
        <v>0</v>
      </c>
      <c r="G1217" s="723">
        <v>1</v>
      </c>
      <c r="H1217" s="724">
        <v>147.14579594434056</v>
      </c>
      <c r="I1217" s="724">
        <v>0</v>
      </c>
      <c r="J1217" s="724">
        <v>0</v>
      </c>
      <c r="K1217" s="724">
        <v>0</v>
      </c>
      <c r="L1217" s="724">
        <v>147.14579594434056</v>
      </c>
    </row>
    <row r="1218" spans="1:12">
      <c r="A1218" s="722" t="s">
        <v>556</v>
      </c>
      <c r="B1218" s="722">
        <v>301</v>
      </c>
      <c r="C1218" s="723">
        <v>0</v>
      </c>
      <c r="D1218" s="723">
        <v>1</v>
      </c>
      <c r="E1218" s="723">
        <v>0</v>
      </c>
      <c r="F1218" s="723">
        <v>0</v>
      </c>
      <c r="G1218" s="723">
        <v>1</v>
      </c>
      <c r="H1218" s="724">
        <v>0</v>
      </c>
      <c r="I1218" s="724">
        <v>147.14579594434056</v>
      </c>
      <c r="J1218" s="724">
        <v>0</v>
      </c>
      <c r="K1218" s="724">
        <v>0</v>
      </c>
      <c r="L1218" s="724">
        <v>147.14579594434056</v>
      </c>
    </row>
    <row r="1219" spans="1:12">
      <c r="A1219" s="722" t="s">
        <v>198</v>
      </c>
      <c r="B1219" s="722">
        <v>100</v>
      </c>
      <c r="C1219" s="723">
        <v>8</v>
      </c>
      <c r="D1219" s="723">
        <v>7</v>
      </c>
      <c r="E1219" s="723">
        <v>0</v>
      </c>
      <c r="F1219" s="723">
        <v>0</v>
      </c>
      <c r="G1219" s="723">
        <v>15</v>
      </c>
      <c r="H1219" s="724">
        <v>950.72538798524624</v>
      </c>
      <c r="I1219" s="724">
        <v>831.88471448709049</v>
      </c>
      <c r="J1219" s="724">
        <v>0</v>
      </c>
      <c r="K1219" s="724">
        <v>0</v>
      </c>
      <c r="L1219" s="724">
        <v>1782.6101024723366</v>
      </c>
    </row>
    <row r="1220" spans="1:12">
      <c r="A1220" s="722" t="s">
        <v>198</v>
      </c>
      <c r="B1220" s="722">
        <v>104</v>
      </c>
      <c r="C1220" s="723">
        <v>1</v>
      </c>
      <c r="D1220" s="723">
        <v>4</v>
      </c>
      <c r="E1220" s="723">
        <v>0</v>
      </c>
      <c r="F1220" s="723">
        <v>0</v>
      </c>
      <c r="G1220" s="723">
        <v>5</v>
      </c>
      <c r="H1220" s="724">
        <v>118.84067349815579</v>
      </c>
      <c r="I1220" s="724">
        <v>475.36269399262318</v>
      </c>
      <c r="J1220" s="724">
        <v>0</v>
      </c>
      <c r="K1220" s="724">
        <v>0</v>
      </c>
      <c r="L1220" s="724">
        <v>594.20336749077899</v>
      </c>
    </row>
    <row r="1221" spans="1:12">
      <c r="A1221" s="722" t="s">
        <v>198</v>
      </c>
      <c r="B1221" s="722">
        <v>120</v>
      </c>
      <c r="C1221" s="723">
        <v>0</v>
      </c>
      <c r="D1221" s="723">
        <v>4</v>
      </c>
      <c r="E1221" s="723">
        <v>0</v>
      </c>
      <c r="F1221" s="723">
        <v>0</v>
      </c>
      <c r="G1221" s="723">
        <v>4</v>
      </c>
      <c r="H1221" s="724">
        <v>0</v>
      </c>
      <c r="I1221" s="724">
        <v>475.36269399262312</v>
      </c>
      <c r="J1221" s="724">
        <v>0</v>
      </c>
      <c r="K1221" s="724">
        <v>0</v>
      </c>
      <c r="L1221" s="724">
        <v>475.36269399262312</v>
      </c>
    </row>
    <row r="1222" spans="1:12">
      <c r="A1222" s="722" t="s">
        <v>198</v>
      </c>
      <c r="B1222" s="722">
        <v>141</v>
      </c>
      <c r="C1222" s="723">
        <v>1</v>
      </c>
      <c r="D1222" s="723">
        <v>0</v>
      </c>
      <c r="E1222" s="723">
        <v>0</v>
      </c>
      <c r="F1222" s="723">
        <v>0</v>
      </c>
      <c r="G1222" s="723">
        <v>1</v>
      </c>
      <c r="H1222" s="724">
        <v>118.84067349815578</v>
      </c>
      <c r="I1222" s="724">
        <v>0</v>
      </c>
      <c r="J1222" s="724">
        <v>0</v>
      </c>
      <c r="K1222" s="724">
        <v>0</v>
      </c>
      <c r="L1222" s="724">
        <v>118.84067349815578</v>
      </c>
    </row>
    <row r="1223" spans="1:12">
      <c r="A1223" s="722" t="s">
        <v>198</v>
      </c>
      <c r="B1223" s="722">
        <v>143</v>
      </c>
      <c r="C1223" s="723">
        <v>3</v>
      </c>
      <c r="D1223" s="723">
        <v>0</v>
      </c>
      <c r="E1223" s="723">
        <v>0</v>
      </c>
      <c r="F1223" s="723">
        <v>0</v>
      </c>
      <c r="G1223" s="723">
        <v>3</v>
      </c>
      <c r="H1223" s="724">
        <v>356.52202049446731</v>
      </c>
      <c r="I1223" s="724">
        <v>0</v>
      </c>
      <c r="J1223" s="724">
        <v>0</v>
      </c>
      <c r="K1223" s="724">
        <v>0</v>
      </c>
      <c r="L1223" s="724">
        <v>356.52202049446731</v>
      </c>
    </row>
    <row r="1224" spans="1:12">
      <c r="A1224" s="722" t="s">
        <v>198</v>
      </c>
      <c r="B1224" s="722">
        <v>300</v>
      </c>
      <c r="C1224" s="723">
        <v>1</v>
      </c>
      <c r="D1224" s="723">
        <v>11</v>
      </c>
      <c r="E1224" s="723">
        <v>0</v>
      </c>
      <c r="F1224" s="723">
        <v>0</v>
      </c>
      <c r="G1224" s="723">
        <v>12</v>
      </c>
      <c r="H1224" s="724">
        <v>118.84067349815577</v>
      </c>
      <c r="I1224" s="724">
        <v>1307.2474084797134</v>
      </c>
      <c r="J1224" s="724">
        <v>0</v>
      </c>
      <c r="K1224" s="724">
        <v>0</v>
      </c>
      <c r="L1224" s="724">
        <v>1426.0880819778693</v>
      </c>
    </row>
    <row r="1225" spans="1:12">
      <c r="A1225" s="722" t="s">
        <v>198</v>
      </c>
      <c r="B1225" s="722">
        <v>301</v>
      </c>
      <c r="C1225" s="723">
        <v>6</v>
      </c>
      <c r="D1225" s="723">
        <v>16</v>
      </c>
      <c r="E1225" s="723">
        <v>0</v>
      </c>
      <c r="F1225" s="723">
        <v>0</v>
      </c>
      <c r="G1225" s="723">
        <v>22</v>
      </c>
      <c r="H1225" s="724">
        <v>713.04404098893474</v>
      </c>
      <c r="I1225" s="724">
        <v>1901.4507759704925</v>
      </c>
      <c r="J1225" s="724">
        <v>0</v>
      </c>
      <c r="K1225" s="724">
        <v>0</v>
      </c>
      <c r="L1225" s="724">
        <v>2614.4948169594272</v>
      </c>
    </row>
    <row r="1226" spans="1:12">
      <c r="A1226" s="722" t="s">
        <v>198</v>
      </c>
      <c r="B1226" s="722">
        <v>330</v>
      </c>
      <c r="C1226" s="723">
        <v>0</v>
      </c>
      <c r="D1226" s="723">
        <v>1</v>
      </c>
      <c r="E1226" s="723">
        <v>0</v>
      </c>
      <c r="F1226" s="723">
        <v>0</v>
      </c>
      <c r="G1226" s="723">
        <v>1</v>
      </c>
      <c r="H1226" s="724">
        <v>0</v>
      </c>
      <c r="I1226" s="724">
        <v>118.84067349815578</v>
      </c>
      <c r="J1226" s="724">
        <v>0</v>
      </c>
      <c r="K1226" s="724">
        <v>0</v>
      </c>
      <c r="L1226" s="724">
        <v>118.84067349815578</v>
      </c>
    </row>
    <row r="1227" spans="1:12">
      <c r="A1227" s="722" t="s">
        <v>198</v>
      </c>
      <c r="B1227" s="722">
        <v>502</v>
      </c>
      <c r="C1227" s="723">
        <v>1</v>
      </c>
      <c r="D1227" s="723">
        <v>0</v>
      </c>
      <c r="E1227" s="723">
        <v>0</v>
      </c>
      <c r="F1227" s="723">
        <v>0</v>
      </c>
      <c r="G1227" s="723">
        <v>1</v>
      </c>
      <c r="H1227" s="724">
        <v>118.84067349815578</v>
      </c>
      <c r="I1227" s="724">
        <v>0</v>
      </c>
      <c r="J1227" s="724">
        <v>0</v>
      </c>
      <c r="K1227" s="724">
        <v>0</v>
      </c>
      <c r="L1227" s="724">
        <v>118.84067349815578</v>
      </c>
    </row>
    <row r="1228" spans="1:12">
      <c r="A1228" s="722" t="s">
        <v>198</v>
      </c>
      <c r="B1228" s="722">
        <v>812</v>
      </c>
      <c r="C1228" s="723">
        <v>28</v>
      </c>
      <c r="D1228" s="723">
        <v>3</v>
      </c>
      <c r="E1228" s="723">
        <v>0</v>
      </c>
      <c r="F1228" s="723">
        <v>0</v>
      </c>
      <c r="G1228" s="723">
        <v>31</v>
      </c>
      <c r="H1228" s="724">
        <v>3327.538857948362</v>
      </c>
      <c r="I1228" s="724">
        <v>356.52202049446737</v>
      </c>
      <c r="J1228" s="724">
        <v>0</v>
      </c>
      <c r="K1228" s="724">
        <v>0</v>
      </c>
      <c r="L1228" s="724">
        <v>3684.0608784428296</v>
      </c>
    </row>
    <row r="1229" spans="1:12">
      <c r="A1229" s="722" t="s">
        <v>574</v>
      </c>
      <c r="B1229" s="722">
        <v>120</v>
      </c>
      <c r="C1229" s="723">
        <v>0</v>
      </c>
      <c r="D1229" s="723">
        <v>1</v>
      </c>
      <c r="E1229" s="723">
        <v>0</v>
      </c>
      <c r="F1229" s="723">
        <v>0</v>
      </c>
      <c r="G1229" s="723">
        <v>1</v>
      </c>
      <c r="H1229" s="724">
        <v>0</v>
      </c>
      <c r="I1229" s="724">
        <v>176.61413609554501</v>
      </c>
      <c r="J1229" s="724">
        <v>0</v>
      </c>
      <c r="K1229" s="724">
        <v>0</v>
      </c>
      <c r="L1229" s="724">
        <v>176.61413609554501</v>
      </c>
    </row>
    <row r="1230" spans="1:12">
      <c r="A1230" s="722" t="s">
        <v>574</v>
      </c>
      <c r="B1230" s="722">
        <v>143</v>
      </c>
      <c r="C1230" s="723">
        <v>9</v>
      </c>
      <c r="D1230" s="723">
        <v>0</v>
      </c>
      <c r="E1230" s="723">
        <v>0</v>
      </c>
      <c r="F1230" s="723">
        <v>0</v>
      </c>
      <c r="G1230" s="723">
        <v>9</v>
      </c>
      <c r="H1230" s="724">
        <v>1589.5272248599049</v>
      </c>
      <c r="I1230" s="724">
        <v>0</v>
      </c>
      <c r="J1230" s="724">
        <v>0</v>
      </c>
      <c r="K1230" s="724">
        <v>0</v>
      </c>
      <c r="L1230" s="724">
        <v>1589.5272248599049</v>
      </c>
    </row>
    <row r="1231" spans="1:12">
      <c r="A1231" s="722" t="s">
        <v>199</v>
      </c>
      <c r="B1231" s="722">
        <v>100</v>
      </c>
      <c r="C1231" s="723">
        <v>41</v>
      </c>
      <c r="D1231" s="723">
        <v>8</v>
      </c>
      <c r="E1231" s="723">
        <v>0</v>
      </c>
      <c r="F1231" s="723">
        <v>0</v>
      </c>
      <c r="G1231" s="723">
        <v>49</v>
      </c>
      <c r="H1231" s="724">
        <v>20999.847137304125</v>
      </c>
      <c r="I1231" s="724">
        <v>4097.5311487422687</v>
      </c>
      <c r="J1231" s="724">
        <v>0</v>
      </c>
      <c r="K1231" s="724">
        <v>0</v>
      </c>
      <c r="L1231" s="724">
        <v>25097.378286046394</v>
      </c>
    </row>
    <row r="1232" spans="1:12">
      <c r="A1232" s="722" t="s">
        <v>199</v>
      </c>
      <c r="B1232" s="722">
        <v>101</v>
      </c>
      <c r="C1232" s="723">
        <v>1</v>
      </c>
      <c r="D1232" s="723">
        <v>0</v>
      </c>
      <c r="E1232" s="723">
        <v>0</v>
      </c>
      <c r="F1232" s="723">
        <v>0</v>
      </c>
      <c r="G1232" s="723">
        <v>1</v>
      </c>
      <c r="H1232" s="724">
        <v>512.19139359278358</v>
      </c>
      <c r="I1232" s="724">
        <v>0</v>
      </c>
      <c r="J1232" s="724">
        <v>0</v>
      </c>
      <c r="K1232" s="724">
        <v>0</v>
      </c>
      <c r="L1232" s="724">
        <v>512.19139359278358</v>
      </c>
    </row>
    <row r="1233" spans="1:12">
      <c r="A1233" s="722" t="s">
        <v>199</v>
      </c>
      <c r="B1233" s="722">
        <v>103</v>
      </c>
      <c r="C1233" s="723">
        <v>1</v>
      </c>
      <c r="D1233" s="723">
        <v>0</v>
      </c>
      <c r="E1233" s="723">
        <v>0</v>
      </c>
      <c r="F1233" s="723">
        <v>0</v>
      </c>
      <c r="G1233" s="723">
        <v>1</v>
      </c>
      <c r="H1233" s="724">
        <v>512.19139359278358</v>
      </c>
      <c r="I1233" s="724">
        <v>0</v>
      </c>
      <c r="J1233" s="724">
        <v>0</v>
      </c>
      <c r="K1233" s="724">
        <v>0</v>
      </c>
      <c r="L1233" s="724">
        <v>512.19139359278358</v>
      </c>
    </row>
    <row r="1234" spans="1:12">
      <c r="A1234" s="722" t="s">
        <v>199</v>
      </c>
      <c r="B1234" s="722">
        <v>104</v>
      </c>
      <c r="C1234" s="723">
        <v>5</v>
      </c>
      <c r="D1234" s="723">
        <v>1</v>
      </c>
      <c r="E1234" s="723">
        <v>0</v>
      </c>
      <c r="F1234" s="723">
        <v>0</v>
      </c>
      <c r="G1234" s="723">
        <v>6</v>
      </c>
      <c r="H1234" s="724">
        <v>2560.9569679639176</v>
      </c>
      <c r="I1234" s="724">
        <v>512.19139359278358</v>
      </c>
      <c r="J1234" s="724">
        <v>0</v>
      </c>
      <c r="K1234" s="724">
        <v>0</v>
      </c>
      <c r="L1234" s="724">
        <v>3073.1483615567013</v>
      </c>
    </row>
    <row r="1235" spans="1:12">
      <c r="A1235" s="722" t="s">
        <v>199</v>
      </c>
      <c r="B1235" s="722">
        <v>105</v>
      </c>
      <c r="C1235" s="723">
        <v>3</v>
      </c>
      <c r="D1235" s="723">
        <v>1</v>
      </c>
      <c r="E1235" s="723">
        <v>0</v>
      </c>
      <c r="F1235" s="723">
        <v>0</v>
      </c>
      <c r="G1235" s="723">
        <v>4</v>
      </c>
      <c r="H1235" s="724">
        <v>1536.5741807783506</v>
      </c>
      <c r="I1235" s="724">
        <v>512.19139359278358</v>
      </c>
      <c r="J1235" s="724">
        <v>0</v>
      </c>
      <c r="K1235" s="724">
        <v>0</v>
      </c>
      <c r="L1235" s="724">
        <v>2048.7655743711343</v>
      </c>
    </row>
    <row r="1236" spans="1:12">
      <c r="A1236" s="722" t="s">
        <v>199</v>
      </c>
      <c r="B1236" s="722">
        <v>107</v>
      </c>
      <c r="C1236" s="723">
        <v>1</v>
      </c>
      <c r="D1236" s="723">
        <v>0</v>
      </c>
      <c r="E1236" s="723">
        <v>0</v>
      </c>
      <c r="F1236" s="723">
        <v>0</v>
      </c>
      <c r="G1236" s="723">
        <v>1</v>
      </c>
      <c r="H1236" s="724">
        <v>512.19139359278358</v>
      </c>
      <c r="I1236" s="724">
        <v>0</v>
      </c>
      <c r="J1236" s="724">
        <v>0</v>
      </c>
      <c r="K1236" s="724">
        <v>0</v>
      </c>
      <c r="L1236" s="724">
        <v>512.19139359278358</v>
      </c>
    </row>
    <row r="1237" spans="1:12">
      <c r="A1237" s="722" t="s">
        <v>199</v>
      </c>
      <c r="B1237" s="722">
        <v>160</v>
      </c>
      <c r="C1237" s="723">
        <v>5</v>
      </c>
      <c r="D1237" s="723">
        <v>1</v>
      </c>
      <c r="E1237" s="723">
        <v>0</v>
      </c>
      <c r="F1237" s="723">
        <v>0</v>
      </c>
      <c r="G1237" s="723">
        <v>6</v>
      </c>
      <c r="H1237" s="724">
        <v>2560.9569679639176</v>
      </c>
      <c r="I1237" s="724">
        <v>512.19139359278358</v>
      </c>
      <c r="J1237" s="724">
        <v>0</v>
      </c>
      <c r="K1237" s="724">
        <v>0</v>
      </c>
      <c r="L1237" s="724">
        <v>3073.1483615567013</v>
      </c>
    </row>
    <row r="1238" spans="1:12">
      <c r="A1238" s="722" t="s">
        <v>199</v>
      </c>
      <c r="B1238" s="722">
        <v>190</v>
      </c>
      <c r="C1238" s="723">
        <v>1</v>
      </c>
      <c r="D1238" s="723">
        <v>0</v>
      </c>
      <c r="E1238" s="723">
        <v>0</v>
      </c>
      <c r="F1238" s="723">
        <v>0</v>
      </c>
      <c r="G1238" s="723">
        <v>1</v>
      </c>
      <c r="H1238" s="724">
        <v>512.19139359278358</v>
      </c>
      <c r="I1238" s="724">
        <v>0</v>
      </c>
      <c r="J1238" s="724">
        <v>0</v>
      </c>
      <c r="K1238" s="724">
        <v>0</v>
      </c>
      <c r="L1238" s="724">
        <v>512.19139359278358</v>
      </c>
    </row>
    <row r="1239" spans="1:12">
      <c r="A1239" s="722" t="s">
        <v>199</v>
      </c>
      <c r="B1239" s="722">
        <v>191</v>
      </c>
      <c r="C1239" s="723">
        <v>0</v>
      </c>
      <c r="D1239" s="723">
        <v>2</v>
      </c>
      <c r="E1239" s="723">
        <v>0</v>
      </c>
      <c r="F1239" s="723">
        <v>0</v>
      </c>
      <c r="G1239" s="723">
        <v>2</v>
      </c>
      <c r="H1239" s="724">
        <v>0</v>
      </c>
      <c r="I1239" s="724">
        <v>1024.3827871855672</v>
      </c>
      <c r="J1239" s="724">
        <v>0</v>
      </c>
      <c r="K1239" s="724">
        <v>0</v>
      </c>
      <c r="L1239" s="724">
        <v>1024.3827871855672</v>
      </c>
    </row>
    <row r="1240" spans="1:12">
      <c r="A1240" s="722" t="s">
        <v>199</v>
      </c>
      <c r="B1240" s="722">
        <v>300</v>
      </c>
      <c r="C1240" s="723">
        <v>1</v>
      </c>
      <c r="D1240" s="723">
        <v>1</v>
      </c>
      <c r="E1240" s="723">
        <v>0</v>
      </c>
      <c r="F1240" s="723">
        <v>0</v>
      </c>
      <c r="G1240" s="723">
        <v>2</v>
      </c>
      <c r="H1240" s="724">
        <v>512.19139359278358</v>
      </c>
      <c r="I1240" s="724">
        <v>512.19139359278358</v>
      </c>
      <c r="J1240" s="724">
        <v>0</v>
      </c>
      <c r="K1240" s="724">
        <v>0</v>
      </c>
      <c r="L1240" s="724">
        <v>1024.3827871855672</v>
      </c>
    </row>
    <row r="1241" spans="1:12">
      <c r="A1241" s="722" t="s">
        <v>199</v>
      </c>
      <c r="B1241" s="722">
        <v>303</v>
      </c>
      <c r="C1241" s="723">
        <v>1</v>
      </c>
      <c r="D1241" s="723">
        <v>0</v>
      </c>
      <c r="E1241" s="723">
        <v>0</v>
      </c>
      <c r="F1241" s="723">
        <v>0</v>
      </c>
      <c r="G1241" s="723">
        <v>1</v>
      </c>
      <c r="H1241" s="724">
        <v>512.19139359278358</v>
      </c>
      <c r="I1241" s="724">
        <v>0</v>
      </c>
      <c r="J1241" s="724">
        <v>0</v>
      </c>
      <c r="K1241" s="724">
        <v>0</v>
      </c>
      <c r="L1241" s="724">
        <v>512.19139359278358</v>
      </c>
    </row>
    <row r="1242" spans="1:12">
      <c r="A1242" s="722" t="s">
        <v>199</v>
      </c>
      <c r="B1242" s="722">
        <v>330</v>
      </c>
      <c r="C1242" s="723">
        <v>10</v>
      </c>
      <c r="D1242" s="723">
        <v>2</v>
      </c>
      <c r="E1242" s="723">
        <v>0</v>
      </c>
      <c r="F1242" s="723">
        <v>0</v>
      </c>
      <c r="G1242" s="723">
        <v>12</v>
      </c>
      <c r="H1242" s="724">
        <v>5121.9139359278352</v>
      </c>
      <c r="I1242" s="724">
        <v>1024.3827871855672</v>
      </c>
      <c r="J1242" s="724">
        <v>0</v>
      </c>
      <c r="K1242" s="724">
        <v>0</v>
      </c>
      <c r="L1242" s="724">
        <v>6146.2967231134025</v>
      </c>
    </row>
    <row r="1243" spans="1:12">
      <c r="A1243" s="722" t="s">
        <v>199</v>
      </c>
      <c r="B1243" s="722">
        <v>370</v>
      </c>
      <c r="C1243" s="723">
        <v>2</v>
      </c>
      <c r="D1243" s="723">
        <v>0</v>
      </c>
      <c r="E1243" s="723">
        <v>0</v>
      </c>
      <c r="F1243" s="723">
        <v>0</v>
      </c>
      <c r="G1243" s="723">
        <v>2</v>
      </c>
      <c r="H1243" s="724">
        <v>1024.3827871855672</v>
      </c>
      <c r="I1243" s="724">
        <v>0</v>
      </c>
      <c r="J1243" s="724">
        <v>0</v>
      </c>
      <c r="K1243" s="724">
        <v>0</v>
      </c>
      <c r="L1243" s="724">
        <v>1024.3827871855672</v>
      </c>
    </row>
    <row r="1244" spans="1:12">
      <c r="A1244" s="722" t="s">
        <v>199</v>
      </c>
      <c r="B1244" s="722">
        <v>400</v>
      </c>
      <c r="C1244" s="723">
        <v>5</v>
      </c>
      <c r="D1244" s="723">
        <v>0</v>
      </c>
      <c r="E1244" s="723">
        <v>0</v>
      </c>
      <c r="F1244" s="723">
        <v>0</v>
      </c>
      <c r="G1244" s="723">
        <v>5</v>
      </c>
      <c r="H1244" s="724">
        <v>2560.956967963918</v>
      </c>
      <c r="I1244" s="724">
        <v>0</v>
      </c>
      <c r="J1244" s="724">
        <v>0</v>
      </c>
      <c r="K1244" s="724">
        <v>0</v>
      </c>
      <c r="L1244" s="724">
        <v>2560.956967963918</v>
      </c>
    </row>
    <row r="1245" spans="1:12">
      <c r="A1245" s="722" t="s">
        <v>199</v>
      </c>
      <c r="B1245" s="722">
        <v>501</v>
      </c>
      <c r="C1245" s="723">
        <v>4</v>
      </c>
      <c r="D1245" s="723">
        <v>0</v>
      </c>
      <c r="E1245" s="723">
        <v>0</v>
      </c>
      <c r="F1245" s="723">
        <v>0</v>
      </c>
      <c r="G1245" s="723">
        <v>4</v>
      </c>
      <c r="H1245" s="724">
        <v>2048.7655743711343</v>
      </c>
      <c r="I1245" s="724">
        <v>0</v>
      </c>
      <c r="J1245" s="724">
        <v>0</v>
      </c>
      <c r="K1245" s="724">
        <v>0</v>
      </c>
      <c r="L1245" s="724">
        <v>2048.7655743711343</v>
      </c>
    </row>
    <row r="1246" spans="1:12">
      <c r="A1246" s="722" t="s">
        <v>199</v>
      </c>
      <c r="B1246" s="722">
        <v>502</v>
      </c>
      <c r="C1246" s="723">
        <v>23</v>
      </c>
      <c r="D1246" s="723">
        <v>0</v>
      </c>
      <c r="E1246" s="723">
        <v>0</v>
      </c>
      <c r="F1246" s="723">
        <v>0</v>
      </c>
      <c r="G1246" s="723">
        <v>23</v>
      </c>
      <c r="H1246" s="724">
        <v>11780.402052634023</v>
      </c>
      <c r="I1246" s="724">
        <v>0</v>
      </c>
      <c r="J1246" s="724">
        <v>0</v>
      </c>
      <c r="K1246" s="724">
        <v>0</v>
      </c>
      <c r="L1246" s="724">
        <v>11780.402052634023</v>
      </c>
    </row>
    <row r="1247" spans="1:12">
      <c r="A1247" s="722" t="s">
        <v>199</v>
      </c>
      <c r="B1247" s="722">
        <v>812</v>
      </c>
      <c r="C1247" s="723">
        <v>2</v>
      </c>
      <c r="D1247" s="723">
        <v>0</v>
      </c>
      <c r="E1247" s="723">
        <v>0</v>
      </c>
      <c r="F1247" s="723">
        <v>0</v>
      </c>
      <c r="G1247" s="723">
        <v>2</v>
      </c>
      <c r="H1247" s="724">
        <v>1024.3827871855672</v>
      </c>
      <c r="I1247" s="724">
        <v>0</v>
      </c>
      <c r="J1247" s="724">
        <v>0</v>
      </c>
      <c r="K1247" s="724">
        <v>0</v>
      </c>
      <c r="L1247" s="724">
        <v>1024.3827871855672</v>
      </c>
    </row>
    <row r="1248" spans="1:12">
      <c r="A1248" s="722" t="s">
        <v>200</v>
      </c>
      <c r="B1248" s="722">
        <v>100</v>
      </c>
      <c r="C1248" s="723">
        <v>1</v>
      </c>
      <c r="D1248" s="723">
        <v>0</v>
      </c>
      <c r="E1248" s="723">
        <v>0</v>
      </c>
      <c r="F1248" s="723">
        <v>0</v>
      </c>
      <c r="G1248" s="723">
        <v>1</v>
      </c>
      <c r="H1248" s="724">
        <v>214.02604747045501</v>
      </c>
      <c r="I1248" s="724">
        <v>0</v>
      </c>
      <c r="J1248" s="724">
        <v>0</v>
      </c>
      <c r="K1248" s="724">
        <v>0</v>
      </c>
      <c r="L1248" s="724">
        <v>214.02604747045501</v>
      </c>
    </row>
    <row r="1249" spans="1:12">
      <c r="A1249" s="722" t="s">
        <v>200</v>
      </c>
      <c r="B1249" s="722">
        <v>160</v>
      </c>
      <c r="C1249" s="723">
        <v>1</v>
      </c>
      <c r="D1249" s="723">
        <v>0</v>
      </c>
      <c r="E1249" s="723">
        <v>0</v>
      </c>
      <c r="F1249" s="723">
        <v>0</v>
      </c>
      <c r="G1249" s="723">
        <v>1</v>
      </c>
      <c r="H1249" s="724">
        <v>214.02604747045501</v>
      </c>
      <c r="I1249" s="724">
        <v>0</v>
      </c>
      <c r="J1249" s="724">
        <v>0</v>
      </c>
      <c r="K1249" s="724">
        <v>0</v>
      </c>
      <c r="L1249" s="724">
        <v>214.02604747045501</v>
      </c>
    </row>
    <row r="1250" spans="1:12">
      <c r="A1250" s="722" t="s">
        <v>200</v>
      </c>
      <c r="B1250" s="722">
        <v>171</v>
      </c>
      <c r="C1250" s="723">
        <v>3</v>
      </c>
      <c r="D1250" s="723">
        <v>7</v>
      </c>
      <c r="E1250" s="723">
        <v>0</v>
      </c>
      <c r="F1250" s="723">
        <v>0</v>
      </c>
      <c r="G1250" s="723">
        <v>10</v>
      </c>
      <c r="H1250" s="724">
        <v>642.07814241136498</v>
      </c>
      <c r="I1250" s="724">
        <v>1498.1823322931848</v>
      </c>
      <c r="J1250" s="724">
        <v>0</v>
      </c>
      <c r="K1250" s="724">
        <v>0</v>
      </c>
      <c r="L1250" s="724">
        <v>2140.2604747045498</v>
      </c>
    </row>
    <row r="1251" spans="1:12">
      <c r="A1251" s="722" t="s">
        <v>200</v>
      </c>
      <c r="B1251" s="722">
        <v>215</v>
      </c>
      <c r="C1251" s="723">
        <v>1</v>
      </c>
      <c r="D1251" s="723">
        <v>0</v>
      </c>
      <c r="E1251" s="723">
        <v>0</v>
      </c>
      <c r="F1251" s="723">
        <v>0</v>
      </c>
      <c r="G1251" s="723">
        <v>1</v>
      </c>
      <c r="H1251" s="724">
        <v>214.02604747045501</v>
      </c>
      <c r="I1251" s="724">
        <v>0</v>
      </c>
      <c r="J1251" s="724">
        <v>0</v>
      </c>
      <c r="K1251" s="724">
        <v>0</v>
      </c>
      <c r="L1251" s="724">
        <v>214.02604747045501</v>
      </c>
    </row>
    <row r="1252" spans="1:12">
      <c r="A1252" s="722" t="s">
        <v>200</v>
      </c>
      <c r="B1252" s="722">
        <v>257</v>
      </c>
      <c r="C1252" s="723">
        <v>1</v>
      </c>
      <c r="D1252" s="723">
        <v>0</v>
      </c>
      <c r="E1252" s="723">
        <v>0</v>
      </c>
      <c r="F1252" s="723">
        <v>0</v>
      </c>
      <c r="G1252" s="723">
        <v>1</v>
      </c>
      <c r="H1252" s="724">
        <v>214.02604747045501</v>
      </c>
      <c r="I1252" s="724">
        <v>0</v>
      </c>
      <c r="J1252" s="724">
        <v>0</v>
      </c>
      <c r="K1252" s="724">
        <v>0</v>
      </c>
      <c r="L1252" s="724">
        <v>214.02604747045501</v>
      </c>
    </row>
    <row r="1253" spans="1:12">
      <c r="A1253" s="722" t="s">
        <v>200</v>
      </c>
      <c r="B1253" s="722">
        <v>330</v>
      </c>
      <c r="C1253" s="723">
        <v>1</v>
      </c>
      <c r="D1253" s="723">
        <v>0</v>
      </c>
      <c r="E1253" s="723">
        <v>0</v>
      </c>
      <c r="F1253" s="723">
        <v>0</v>
      </c>
      <c r="G1253" s="723">
        <v>1</v>
      </c>
      <c r="H1253" s="724">
        <v>214.02604747045501</v>
      </c>
      <c r="I1253" s="724">
        <v>0</v>
      </c>
      <c r="J1253" s="724">
        <v>0</v>
      </c>
      <c r="K1253" s="724">
        <v>0</v>
      </c>
      <c r="L1253" s="724">
        <v>214.02604747045501</v>
      </c>
    </row>
    <row r="1254" spans="1:12">
      <c r="A1254" s="722" t="s">
        <v>200</v>
      </c>
      <c r="B1254" s="722">
        <v>420</v>
      </c>
      <c r="C1254" s="723">
        <v>1</v>
      </c>
      <c r="D1254" s="723">
        <v>10</v>
      </c>
      <c r="E1254" s="723">
        <v>0</v>
      </c>
      <c r="F1254" s="723">
        <v>0</v>
      </c>
      <c r="G1254" s="723">
        <v>11</v>
      </c>
      <c r="H1254" s="724">
        <v>214.02604747045498</v>
      </c>
      <c r="I1254" s="724">
        <v>2140.2604747045498</v>
      </c>
      <c r="J1254" s="724">
        <v>0</v>
      </c>
      <c r="K1254" s="724">
        <v>0</v>
      </c>
      <c r="L1254" s="724">
        <v>2354.2865221750048</v>
      </c>
    </row>
    <row r="1255" spans="1:12">
      <c r="A1255" s="722" t="s">
        <v>532</v>
      </c>
      <c r="B1255" s="722">
        <v>100</v>
      </c>
      <c r="C1255" s="723">
        <v>5</v>
      </c>
      <c r="D1255" s="723">
        <v>0</v>
      </c>
      <c r="E1255" s="723">
        <v>0</v>
      </c>
      <c r="F1255" s="723">
        <v>0</v>
      </c>
      <c r="G1255" s="723">
        <v>5</v>
      </c>
      <c r="H1255" s="724">
        <v>2743.8347285371301</v>
      </c>
      <c r="I1255" s="724">
        <v>0</v>
      </c>
      <c r="J1255" s="724">
        <v>0</v>
      </c>
      <c r="K1255" s="724">
        <v>0</v>
      </c>
      <c r="L1255" s="724">
        <v>2743.8347285371301</v>
      </c>
    </row>
    <row r="1256" spans="1:12">
      <c r="A1256" s="722" t="s">
        <v>532</v>
      </c>
      <c r="B1256" s="722">
        <v>300</v>
      </c>
      <c r="C1256" s="723">
        <v>2</v>
      </c>
      <c r="D1256" s="723">
        <v>0</v>
      </c>
      <c r="E1256" s="723">
        <v>0</v>
      </c>
      <c r="F1256" s="723">
        <v>0</v>
      </c>
      <c r="G1256" s="723">
        <v>2</v>
      </c>
      <c r="H1256" s="724">
        <v>1097.533891414852</v>
      </c>
      <c r="I1256" s="724">
        <v>0</v>
      </c>
      <c r="J1256" s="724">
        <v>0</v>
      </c>
      <c r="K1256" s="724">
        <v>0</v>
      </c>
      <c r="L1256" s="724">
        <v>1097.533891414852</v>
      </c>
    </row>
    <row r="1257" spans="1:12">
      <c r="A1257" s="722" t="s">
        <v>532</v>
      </c>
      <c r="B1257" s="722">
        <v>301</v>
      </c>
      <c r="C1257" s="723">
        <v>153</v>
      </c>
      <c r="D1257" s="723">
        <v>229</v>
      </c>
      <c r="E1257" s="723">
        <v>0</v>
      </c>
      <c r="F1257" s="723">
        <v>0</v>
      </c>
      <c r="G1257" s="723">
        <v>382</v>
      </c>
      <c r="H1257" s="724">
        <v>83961.342693236176</v>
      </c>
      <c r="I1257" s="724">
        <v>125667.63056700054</v>
      </c>
      <c r="J1257" s="724">
        <v>0</v>
      </c>
      <c r="K1257" s="724">
        <v>0</v>
      </c>
      <c r="L1257" s="724">
        <v>209628.97326023673</v>
      </c>
    </row>
    <row r="1258" spans="1:12">
      <c r="A1258" s="722" t="s">
        <v>532</v>
      </c>
      <c r="B1258" s="722">
        <v>303</v>
      </c>
      <c r="C1258" s="723">
        <v>1</v>
      </c>
      <c r="D1258" s="723">
        <v>0</v>
      </c>
      <c r="E1258" s="723">
        <v>0</v>
      </c>
      <c r="F1258" s="723">
        <v>0</v>
      </c>
      <c r="G1258" s="723">
        <v>1</v>
      </c>
      <c r="H1258" s="724">
        <v>548.76694570742598</v>
      </c>
      <c r="I1258" s="724">
        <v>0</v>
      </c>
      <c r="J1258" s="724">
        <v>0</v>
      </c>
      <c r="K1258" s="724">
        <v>0</v>
      </c>
      <c r="L1258" s="724">
        <v>548.76694570742598</v>
      </c>
    </row>
    <row r="1259" spans="1:12">
      <c r="A1259" s="722" t="s">
        <v>532</v>
      </c>
      <c r="B1259" s="722">
        <v>306</v>
      </c>
      <c r="C1259" s="723">
        <v>3</v>
      </c>
      <c r="D1259" s="723">
        <v>0</v>
      </c>
      <c r="E1259" s="723">
        <v>0</v>
      </c>
      <c r="F1259" s="723">
        <v>0</v>
      </c>
      <c r="G1259" s="723">
        <v>3</v>
      </c>
      <c r="H1259" s="724">
        <v>1646.3008371222779</v>
      </c>
      <c r="I1259" s="724">
        <v>0</v>
      </c>
      <c r="J1259" s="724">
        <v>0</v>
      </c>
      <c r="K1259" s="724">
        <v>0</v>
      </c>
      <c r="L1259" s="724">
        <v>1646.3008371222782</v>
      </c>
    </row>
    <row r="1260" spans="1:12">
      <c r="A1260" s="722" t="s">
        <v>532</v>
      </c>
      <c r="B1260" s="722">
        <v>811</v>
      </c>
      <c r="C1260" s="723">
        <v>11</v>
      </c>
      <c r="D1260" s="723">
        <v>38</v>
      </c>
      <c r="E1260" s="723">
        <v>0</v>
      </c>
      <c r="F1260" s="723">
        <v>0</v>
      </c>
      <c r="G1260" s="723">
        <v>49</v>
      </c>
      <c r="H1260" s="724">
        <v>6036.4364027816873</v>
      </c>
      <c r="I1260" s="724">
        <v>20853.143936882188</v>
      </c>
      <c r="J1260" s="724">
        <v>0</v>
      </c>
      <c r="K1260" s="724">
        <v>0</v>
      </c>
      <c r="L1260" s="724">
        <v>26889.580339663877</v>
      </c>
    </row>
    <row r="1261" spans="1:12">
      <c r="A1261" s="722" t="s">
        <v>532</v>
      </c>
      <c r="B1261" s="722">
        <v>812</v>
      </c>
      <c r="C1261" s="723">
        <v>2</v>
      </c>
      <c r="D1261" s="723">
        <v>2</v>
      </c>
      <c r="E1261" s="723">
        <v>0</v>
      </c>
      <c r="F1261" s="723">
        <v>0</v>
      </c>
      <c r="G1261" s="723">
        <v>4</v>
      </c>
      <c r="H1261" s="724">
        <v>1097.533891414852</v>
      </c>
      <c r="I1261" s="724">
        <v>1097.533891414852</v>
      </c>
      <c r="J1261" s="724">
        <v>0</v>
      </c>
      <c r="K1261" s="724">
        <v>0</v>
      </c>
      <c r="L1261" s="724">
        <v>2195.0677828297039</v>
      </c>
    </row>
    <row r="1262" spans="1:12">
      <c r="A1262" s="722" t="s">
        <v>638</v>
      </c>
      <c r="B1262" s="722">
        <v>251</v>
      </c>
      <c r="C1262" s="723">
        <v>2</v>
      </c>
      <c r="D1262" s="723">
        <v>0</v>
      </c>
      <c r="E1262" s="723">
        <v>0</v>
      </c>
      <c r="F1262" s="723">
        <v>0</v>
      </c>
      <c r="G1262" s="723">
        <v>2</v>
      </c>
      <c r="H1262" s="724">
        <v>1967.6494951984166</v>
      </c>
      <c r="I1262" s="724">
        <v>0</v>
      </c>
      <c r="J1262" s="724">
        <v>0</v>
      </c>
      <c r="K1262" s="724">
        <v>0</v>
      </c>
      <c r="L1262" s="724">
        <v>1967.6494951984166</v>
      </c>
    </row>
    <row r="1263" spans="1:12">
      <c r="A1263" s="722" t="s">
        <v>638</v>
      </c>
      <c r="B1263" s="722">
        <v>253</v>
      </c>
      <c r="C1263" s="723">
        <v>1</v>
      </c>
      <c r="D1263" s="723">
        <v>0</v>
      </c>
      <c r="E1263" s="723">
        <v>0</v>
      </c>
      <c r="F1263" s="723">
        <v>0</v>
      </c>
      <c r="G1263" s="723">
        <v>1</v>
      </c>
      <c r="H1263" s="724">
        <v>983.82474759920831</v>
      </c>
      <c r="I1263" s="724">
        <v>0</v>
      </c>
      <c r="J1263" s="724">
        <v>0</v>
      </c>
      <c r="K1263" s="724">
        <v>0</v>
      </c>
      <c r="L1263" s="724">
        <v>983.82474759920831</v>
      </c>
    </row>
    <row r="1264" spans="1:12">
      <c r="A1264" s="722" t="s">
        <v>638</v>
      </c>
      <c r="B1264" s="722">
        <v>301</v>
      </c>
      <c r="C1264" s="723">
        <v>6</v>
      </c>
      <c r="D1264" s="723">
        <v>12</v>
      </c>
      <c r="E1264" s="723">
        <v>0</v>
      </c>
      <c r="F1264" s="723">
        <v>0</v>
      </c>
      <c r="G1264" s="723">
        <v>18</v>
      </c>
      <c r="H1264" s="724">
        <v>5902.9484855952496</v>
      </c>
      <c r="I1264" s="724">
        <v>11805.896971190499</v>
      </c>
      <c r="J1264" s="724">
        <v>0</v>
      </c>
      <c r="K1264" s="724">
        <v>0</v>
      </c>
      <c r="L1264" s="724">
        <v>17708.845456785748</v>
      </c>
    </row>
    <row r="1265" spans="1:12">
      <c r="A1265" s="722" t="s">
        <v>638</v>
      </c>
      <c r="B1265" s="722">
        <v>811</v>
      </c>
      <c r="C1265" s="723">
        <v>0</v>
      </c>
      <c r="D1265" s="723">
        <v>1</v>
      </c>
      <c r="E1265" s="723">
        <v>0</v>
      </c>
      <c r="F1265" s="723">
        <v>0</v>
      </c>
      <c r="G1265" s="723">
        <v>1</v>
      </c>
      <c r="H1265" s="724">
        <v>0</v>
      </c>
      <c r="I1265" s="724">
        <v>983.82474759920831</v>
      </c>
      <c r="J1265" s="724">
        <v>0</v>
      </c>
      <c r="K1265" s="724">
        <v>0</v>
      </c>
      <c r="L1265" s="724">
        <v>983.82474759920831</v>
      </c>
    </row>
    <row r="1266" spans="1:12">
      <c r="A1266" s="722" t="s">
        <v>638</v>
      </c>
      <c r="B1266" s="722">
        <v>812</v>
      </c>
      <c r="C1266" s="723">
        <v>1</v>
      </c>
      <c r="D1266" s="723">
        <v>1</v>
      </c>
      <c r="E1266" s="723">
        <v>0</v>
      </c>
      <c r="F1266" s="723">
        <v>0</v>
      </c>
      <c r="G1266" s="723">
        <v>2</v>
      </c>
      <c r="H1266" s="724">
        <v>983.82474759920831</v>
      </c>
      <c r="I1266" s="724">
        <v>983.82474759920831</v>
      </c>
      <c r="J1266" s="724">
        <v>0</v>
      </c>
      <c r="K1266" s="724">
        <v>0</v>
      </c>
      <c r="L1266" s="724">
        <v>1967.6494951984166</v>
      </c>
    </row>
    <row r="1267" spans="1:12">
      <c r="A1267" s="722" t="s">
        <v>201</v>
      </c>
      <c r="B1267" s="722">
        <v>100</v>
      </c>
      <c r="C1267" s="723">
        <v>214</v>
      </c>
      <c r="D1267" s="723">
        <v>205</v>
      </c>
      <c r="E1267" s="723">
        <v>0</v>
      </c>
      <c r="F1267" s="723">
        <v>0</v>
      </c>
      <c r="G1267" s="723">
        <v>419</v>
      </c>
      <c r="H1267" s="724">
        <v>48312.444796576601</v>
      </c>
      <c r="I1267" s="724">
        <v>46280.613006066371</v>
      </c>
      <c r="J1267" s="724">
        <v>0</v>
      </c>
      <c r="K1267" s="724">
        <v>0</v>
      </c>
      <c r="L1267" s="724">
        <v>94593.057802642972</v>
      </c>
    </row>
    <row r="1268" spans="1:12">
      <c r="A1268" s="722" t="s">
        <v>201</v>
      </c>
      <c r="B1268" s="722">
        <v>101</v>
      </c>
      <c r="C1268" s="723">
        <v>2</v>
      </c>
      <c r="D1268" s="723">
        <v>0</v>
      </c>
      <c r="E1268" s="723">
        <v>0</v>
      </c>
      <c r="F1268" s="723">
        <v>0</v>
      </c>
      <c r="G1268" s="723">
        <v>2</v>
      </c>
      <c r="H1268" s="724">
        <v>451.51817566894016</v>
      </c>
      <c r="I1268" s="724">
        <v>0</v>
      </c>
      <c r="J1268" s="724">
        <v>0</v>
      </c>
      <c r="K1268" s="724">
        <v>0</v>
      </c>
      <c r="L1268" s="724">
        <v>451.51817566894016</v>
      </c>
    </row>
    <row r="1269" spans="1:12">
      <c r="A1269" s="722" t="s">
        <v>201</v>
      </c>
      <c r="B1269" s="722">
        <v>103</v>
      </c>
      <c r="C1269" s="723">
        <v>4</v>
      </c>
      <c r="D1269" s="723">
        <v>2</v>
      </c>
      <c r="E1269" s="723">
        <v>0</v>
      </c>
      <c r="F1269" s="723">
        <v>0</v>
      </c>
      <c r="G1269" s="723">
        <v>6</v>
      </c>
      <c r="H1269" s="724">
        <v>903.03635133788021</v>
      </c>
      <c r="I1269" s="724">
        <v>451.5181756689401</v>
      </c>
      <c r="J1269" s="724">
        <v>0</v>
      </c>
      <c r="K1269" s="724">
        <v>0</v>
      </c>
      <c r="L1269" s="724">
        <v>1354.5545270068203</v>
      </c>
    </row>
    <row r="1270" spans="1:12">
      <c r="A1270" s="722" t="s">
        <v>201</v>
      </c>
      <c r="B1270" s="722">
        <v>104</v>
      </c>
      <c r="C1270" s="723">
        <v>138</v>
      </c>
      <c r="D1270" s="723">
        <v>300</v>
      </c>
      <c r="E1270" s="723">
        <v>0</v>
      </c>
      <c r="F1270" s="723">
        <v>0</v>
      </c>
      <c r="G1270" s="723">
        <v>438</v>
      </c>
      <c r="H1270" s="724">
        <v>31154.754121156868</v>
      </c>
      <c r="I1270" s="724">
        <v>67727.726350341021</v>
      </c>
      <c r="J1270" s="724">
        <v>0</v>
      </c>
      <c r="K1270" s="724">
        <v>0</v>
      </c>
      <c r="L1270" s="724">
        <v>98882.480471497882</v>
      </c>
    </row>
    <row r="1271" spans="1:12">
      <c r="A1271" s="722" t="s">
        <v>201</v>
      </c>
      <c r="B1271" s="722">
        <v>130</v>
      </c>
      <c r="C1271" s="723">
        <v>1</v>
      </c>
      <c r="D1271" s="723">
        <v>1</v>
      </c>
      <c r="E1271" s="723">
        <v>0</v>
      </c>
      <c r="F1271" s="723">
        <v>0</v>
      </c>
      <c r="G1271" s="723">
        <v>2</v>
      </c>
      <c r="H1271" s="724">
        <v>225.75908783447008</v>
      </c>
      <c r="I1271" s="724">
        <v>225.75908783447008</v>
      </c>
      <c r="J1271" s="724">
        <v>0</v>
      </c>
      <c r="K1271" s="724">
        <v>0</v>
      </c>
      <c r="L1271" s="724">
        <v>451.51817566894016</v>
      </c>
    </row>
    <row r="1272" spans="1:12">
      <c r="A1272" s="722" t="s">
        <v>201</v>
      </c>
      <c r="B1272" s="722">
        <v>300</v>
      </c>
      <c r="C1272" s="723">
        <v>40</v>
      </c>
      <c r="D1272" s="723">
        <v>164</v>
      </c>
      <c r="E1272" s="723">
        <v>0</v>
      </c>
      <c r="F1272" s="723">
        <v>0</v>
      </c>
      <c r="G1272" s="723">
        <v>204</v>
      </c>
      <c r="H1272" s="724">
        <v>9030.3635133788048</v>
      </c>
      <c r="I1272" s="724">
        <v>37024.490404853095</v>
      </c>
      <c r="J1272" s="724">
        <v>0</v>
      </c>
      <c r="K1272" s="724">
        <v>0</v>
      </c>
      <c r="L1272" s="724">
        <v>46054.8539182319</v>
      </c>
    </row>
    <row r="1273" spans="1:12">
      <c r="A1273" s="722" t="s">
        <v>201</v>
      </c>
      <c r="B1273" s="722">
        <v>301</v>
      </c>
      <c r="C1273" s="723">
        <v>183</v>
      </c>
      <c r="D1273" s="723">
        <v>309</v>
      </c>
      <c r="E1273" s="723">
        <v>0</v>
      </c>
      <c r="F1273" s="723">
        <v>0</v>
      </c>
      <c r="G1273" s="723">
        <v>492</v>
      </c>
      <c r="H1273" s="724">
        <v>41313.91307370802</v>
      </c>
      <c r="I1273" s="724">
        <v>69759.558140851252</v>
      </c>
      <c r="J1273" s="724">
        <v>0</v>
      </c>
      <c r="K1273" s="724">
        <v>0</v>
      </c>
      <c r="L1273" s="724">
        <v>111073.47121455928</v>
      </c>
    </row>
    <row r="1274" spans="1:12">
      <c r="A1274" s="722" t="s">
        <v>201</v>
      </c>
      <c r="B1274" s="722">
        <v>320</v>
      </c>
      <c r="C1274" s="723">
        <v>4</v>
      </c>
      <c r="D1274" s="723">
        <v>2</v>
      </c>
      <c r="E1274" s="723">
        <v>0</v>
      </c>
      <c r="F1274" s="723">
        <v>0</v>
      </c>
      <c r="G1274" s="723">
        <v>6</v>
      </c>
      <c r="H1274" s="724">
        <v>903.03635133788021</v>
      </c>
      <c r="I1274" s="724">
        <v>451.5181756689401</v>
      </c>
      <c r="J1274" s="724">
        <v>0</v>
      </c>
      <c r="K1274" s="724">
        <v>0</v>
      </c>
      <c r="L1274" s="724">
        <v>1354.5545270068203</v>
      </c>
    </row>
    <row r="1275" spans="1:12">
      <c r="A1275" s="722" t="s">
        <v>201</v>
      </c>
      <c r="B1275" s="722">
        <v>460</v>
      </c>
      <c r="C1275" s="723">
        <v>1</v>
      </c>
      <c r="D1275" s="723">
        <v>0</v>
      </c>
      <c r="E1275" s="723">
        <v>0</v>
      </c>
      <c r="F1275" s="723">
        <v>0</v>
      </c>
      <c r="G1275" s="723">
        <v>1</v>
      </c>
      <c r="H1275" s="724">
        <v>225.75908783447008</v>
      </c>
      <c r="I1275" s="724">
        <v>0</v>
      </c>
      <c r="J1275" s="724">
        <v>0</v>
      </c>
      <c r="K1275" s="724">
        <v>0</v>
      </c>
      <c r="L1275" s="724">
        <v>225.75908783447008</v>
      </c>
    </row>
    <row r="1276" spans="1:12">
      <c r="A1276" s="722" t="s">
        <v>202</v>
      </c>
      <c r="B1276" s="722">
        <v>100</v>
      </c>
      <c r="C1276" s="723">
        <v>172</v>
      </c>
      <c r="D1276" s="723">
        <v>68</v>
      </c>
      <c r="E1276" s="723">
        <v>0</v>
      </c>
      <c r="F1276" s="723">
        <v>0</v>
      </c>
      <c r="G1276" s="723">
        <v>240</v>
      </c>
      <c r="H1276" s="724">
        <v>38971.444135835649</v>
      </c>
      <c r="I1276" s="724">
        <v>15407.315123469909</v>
      </c>
      <c r="J1276" s="724">
        <v>0</v>
      </c>
      <c r="K1276" s="724">
        <v>0</v>
      </c>
      <c r="L1276" s="724">
        <v>54378.75925930556</v>
      </c>
    </row>
    <row r="1277" spans="1:12">
      <c r="A1277" s="722" t="s">
        <v>202</v>
      </c>
      <c r="B1277" s="722">
        <v>103</v>
      </c>
      <c r="C1277" s="723">
        <v>0</v>
      </c>
      <c r="D1277" s="723">
        <v>1</v>
      </c>
      <c r="E1277" s="723">
        <v>0</v>
      </c>
      <c r="F1277" s="723">
        <v>0</v>
      </c>
      <c r="G1277" s="723">
        <v>1</v>
      </c>
      <c r="H1277" s="724">
        <v>0</v>
      </c>
      <c r="I1277" s="724">
        <v>226.57816358043982</v>
      </c>
      <c r="J1277" s="724">
        <v>0</v>
      </c>
      <c r="K1277" s="724">
        <v>0</v>
      </c>
      <c r="L1277" s="724">
        <v>226.57816358043982</v>
      </c>
    </row>
    <row r="1278" spans="1:12">
      <c r="A1278" s="722" t="s">
        <v>202</v>
      </c>
      <c r="B1278" s="722">
        <v>104</v>
      </c>
      <c r="C1278" s="723">
        <v>17</v>
      </c>
      <c r="D1278" s="723">
        <v>34</v>
      </c>
      <c r="E1278" s="723">
        <v>0</v>
      </c>
      <c r="F1278" s="723">
        <v>0</v>
      </c>
      <c r="G1278" s="723">
        <v>51</v>
      </c>
      <c r="H1278" s="724">
        <v>3851.8287808674772</v>
      </c>
      <c r="I1278" s="724">
        <v>7703.6575617349545</v>
      </c>
      <c r="J1278" s="724">
        <v>0</v>
      </c>
      <c r="K1278" s="724">
        <v>0</v>
      </c>
      <c r="L1278" s="724">
        <v>11555.486342602431</v>
      </c>
    </row>
    <row r="1279" spans="1:12">
      <c r="A1279" s="722" t="s">
        <v>202</v>
      </c>
      <c r="B1279" s="722">
        <v>120</v>
      </c>
      <c r="C1279" s="723">
        <v>1</v>
      </c>
      <c r="D1279" s="723">
        <v>1</v>
      </c>
      <c r="E1279" s="723">
        <v>0</v>
      </c>
      <c r="F1279" s="723">
        <v>0</v>
      </c>
      <c r="G1279" s="723">
        <v>2</v>
      </c>
      <c r="H1279" s="724">
        <v>226.57816358043982</v>
      </c>
      <c r="I1279" s="724">
        <v>226.57816358043982</v>
      </c>
      <c r="J1279" s="724">
        <v>0</v>
      </c>
      <c r="K1279" s="724">
        <v>0</v>
      </c>
      <c r="L1279" s="724">
        <v>453.15632716087964</v>
      </c>
    </row>
    <row r="1280" spans="1:12">
      <c r="A1280" s="722" t="s">
        <v>202</v>
      </c>
      <c r="B1280" s="722">
        <v>300</v>
      </c>
      <c r="C1280" s="723">
        <v>22</v>
      </c>
      <c r="D1280" s="723">
        <v>13</v>
      </c>
      <c r="E1280" s="723">
        <v>0</v>
      </c>
      <c r="F1280" s="723">
        <v>0</v>
      </c>
      <c r="G1280" s="723">
        <v>35</v>
      </c>
      <c r="H1280" s="724">
        <v>4984.7195987696759</v>
      </c>
      <c r="I1280" s="724">
        <v>2945.5161265457177</v>
      </c>
      <c r="J1280" s="724">
        <v>0</v>
      </c>
      <c r="K1280" s="724">
        <v>0</v>
      </c>
      <c r="L1280" s="724">
        <v>7930.2357253153941</v>
      </c>
    </row>
    <row r="1281" spans="1:12">
      <c r="A1281" s="722" t="s">
        <v>202</v>
      </c>
      <c r="B1281" s="722">
        <v>301</v>
      </c>
      <c r="C1281" s="723">
        <v>62</v>
      </c>
      <c r="D1281" s="723">
        <v>64</v>
      </c>
      <c r="E1281" s="723">
        <v>0</v>
      </c>
      <c r="F1281" s="723">
        <v>0</v>
      </c>
      <c r="G1281" s="723">
        <v>126</v>
      </c>
      <c r="H1281" s="724">
        <v>14047.846141987269</v>
      </c>
      <c r="I1281" s="724">
        <v>14501.002469148149</v>
      </c>
      <c r="J1281" s="724">
        <v>0</v>
      </c>
      <c r="K1281" s="724">
        <v>0</v>
      </c>
      <c r="L1281" s="724">
        <v>28548.848611135418</v>
      </c>
    </row>
    <row r="1282" spans="1:12">
      <c r="A1282" s="722" t="s">
        <v>202</v>
      </c>
      <c r="B1282" s="722">
        <v>306</v>
      </c>
      <c r="C1282" s="723">
        <v>1</v>
      </c>
      <c r="D1282" s="723">
        <v>0</v>
      </c>
      <c r="E1282" s="723">
        <v>0</v>
      </c>
      <c r="F1282" s="723">
        <v>0</v>
      </c>
      <c r="G1282" s="723">
        <v>1</v>
      </c>
      <c r="H1282" s="724">
        <v>226.57816358043982</v>
      </c>
      <c r="I1282" s="724">
        <v>0</v>
      </c>
      <c r="J1282" s="724">
        <v>0</v>
      </c>
      <c r="K1282" s="724">
        <v>0</v>
      </c>
      <c r="L1282" s="724">
        <v>226.57816358043982</v>
      </c>
    </row>
    <row r="1283" spans="1:12">
      <c r="A1283" s="722" t="s">
        <v>202</v>
      </c>
      <c r="B1283" s="722">
        <v>460</v>
      </c>
      <c r="C1283" s="723">
        <v>1</v>
      </c>
      <c r="D1283" s="723">
        <v>0</v>
      </c>
      <c r="E1283" s="723">
        <v>0</v>
      </c>
      <c r="F1283" s="723">
        <v>0</v>
      </c>
      <c r="G1283" s="723">
        <v>1</v>
      </c>
      <c r="H1283" s="724">
        <v>226.57816358043982</v>
      </c>
      <c r="I1283" s="724">
        <v>0</v>
      </c>
      <c r="J1283" s="724">
        <v>0</v>
      </c>
      <c r="K1283" s="724">
        <v>0</v>
      </c>
      <c r="L1283" s="724">
        <v>226.57816358043982</v>
      </c>
    </row>
    <row r="1284" spans="1:12">
      <c r="A1284" s="722" t="s">
        <v>616</v>
      </c>
      <c r="B1284" s="722">
        <v>100</v>
      </c>
      <c r="C1284" s="723">
        <v>42</v>
      </c>
      <c r="D1284" s="723">
        <v>233</v>
      </c>
      <c r="E1284" s="723">
        <v>0</v>
      </c>
      <c r="F1284" s="723">
        <v>0</v>
      </c>
      <c r="G1284" s="723">
        <v>275</v>
      </c>
      <c r="H1284" s="724">
        <v>6457.4280014494661</v>
      </c>
      <c r="I1284" s="724">
        <v>35823.350579469661</v>
      </c>
      <c r="J1284" s="724">
        <v>0</v>
      </c>
      <c r="K1284" s="724">
        <v>0</v>
      </c>
      <c r="L1284" s="724">
        <v>42280.778580919126</v>
      </c>
    </row>
    <row r="1285" spans="1:12">
      <c r="A1285" s="722" t="s">
        <v>616</v>
      </c>
      <c r="B1285" s="722">
        <v>101</v>
      </c>
      <c r="C1285" s="723">
        <v>1</v>
      </c>
      <c r="D1285" s="723">
        <v>1</v>
      </c>
      <c r="E1285" s="723">
        <v>0</v>
      </c>
      <c r="F1285" s="723">
        <v>0</v>
      </c>
      <c r="G1285" s="723">
        <v>2</v>
      </c>
      <c r="H1285" s="724">
        <v>153.74828574879683</v>
      </c>
      <c r="I1285" s="724">
        <v>153.74828574879683</v>
      </c>
      <c r="J1285" s="724">
        <v>0</v>
      </c>
      <c r="K1285" s="724">
        <v>0</v>
      </c>
      <c r="L1285" s="724">
        <v>307.49657149759366</v>
      </c>
    </row>
    <row r="1286" spans="1:12">
      <c r="A1286" s="722" t="s">
        <v>616</v>
      </c>
      <c r="B1286" s="722">
        <v>103</v>
      </c>
      <c r="C1286" s="723">
        <v>0</v>
      </c>
      <c r="D1286" s="723">
        <v>1</v>
      </c>
      <c r="E1286" s="723">
        <v>0</v>
      </c>
      <c r="F1286" s="723">
        <v>0</v>
      </c>
      <c r="G1286" s="723">
        <v>1</v>
      </c>
      <c r="H1286" s="724">
        <v>0</v>
      </c>
      <c r="I1286" s="724">
        <v>153.74828574879683</v>
      </c>
      <c r="J1286" s="724">
        <v>0</v>
      </c>
      <c r="K1286" s="724">
        <v>0</v>
      </c>
      <c r="L1286" s="724">
        <v>153.74828574879683</v>
      </c>
    </row>
    <row r="1287" spans="1:12">
      <c r="A1287" s="722" t="s">
        <v>616</v>
      </c>
      <c r="B1287" s="722">
        <v>104</v>
      </c>
      <c r="C1287" s="723">
        <v>18</v>
      </c>
      <c r="D1287" s="723">
        <v>151</v>
      </c>
      <c r="E1287" s="723">
        <v>0</v>
      </c>
      <c r="F1287" s="723">
        <v>0</v>
      </c>
      <c r="G1287" s="723">
        <v>169</v>
      </c>
      <c r="H1287" s="724">
        <v>2767.4691434783426</v>
      </c>
      <c r="I1287" s="724">
        <v>23215.991148068322</v>
      </c>
      <c r="J1287" s="724">
        <v>0</v>
      </c>
      <c r="K1287" s="724">
        <v>0</v>
      </c>
      <c r="L1287" s="724">
        <v>25983.460291546664</v>
      </c>
    </row>
    <row r="1288" spans="1:12">
      <c r="A1288" s="722" t="s">
        <v>616</v>
      </c>
      <c r="B1288" s="722">
        <v>106</v>
      </c>
      <c r="C1288" s="723">
        <v>0</v>
      </c>
      <c r="D1288" s="723">
        <v>3</v>
      </c>
      <c r="E1288" s="723">
        <v>0</v>
      </c>
      <c r="F1288" s="723">
        <v>0</v>
      </c>
      <c r="G1288" s="723">
        <v>3</v>
      </c>
      <c r="H1288" s="724">
        <v>0</v>
      </c>
      <c r="I1288" s="724">
        <v>461.2448572463905</v>
      </c>
      <c r="J1288" s="724">
        <v>0</v>
      </c>
      <c r="K1288" s="724">
        <v>0</v>
      </c>
      <c r="L1288" s="724">
        <v>461.2448572463905</v>
      </c>
    </row>
    <row r="1289" spans="1:12">
      <c r="A1289" s="722" t="s">
        <v>616</v>
      </c>
      <c r="B1289" s="722">
        <v>110</v>
      </c>
      <c r="C1289" s="723">
        <v>0</v>
      </c>
      <c r="D1289" s="723">
        <v>1</v>
      </c>
      <c r="E1289" s="723">
        <v>0</v>
      </c>
      <c r="F1289" s="723">
        <v>0</v>
      </c>
      <c r="G1289" s="723">
        <v>1</v>
      </c>
      <c r="H1289" s="724">
        <v>0</v>
      </c>
      <c r="I1289" s="724">
        <v>153.74828574879683</v>
      </c>
      <c r="J1289" s="724">
        <v>0</v>
      </c>
      <c r="K1289" s="724">
        <v>0</v>
      </c>
      <c r="L1289" s="724">
        <v>153.74828574879683</v>
      </c>
    </row>
    <row r="1290" spans="1:12">
      <c r="A1290" s="722" t="s">
        <v>616</v>
      </c>
      <c r="B1290" s="722">
        <v>120</v>
      </c>
      <c r="C1290" s="723">
        <v>0</v>
      </c>
      <c r="D1290" s="723">
        <v>7</v>
      </c>
      <c r="E1290" s="723">
        <v>0</v>
      </c>
      <c r="F1290" s="723">
        <v>0</v>
      </c>
      <c r="G1290" s="723">
        <v>7</v>
      </c>
      <c r="H1290" s="724">
        <v>0</v>
      </c>
      <c r="I1290" s="724">
        <v>1076.2380002415778</v>
      </c>
      <c r="J1290" s="724">
        <v>0</v>
      </c>
      <c r="K1290" s="724">
        <v>0</v>
      </c>
      <c r="L1290" s="724">
        <v>1076.2380002415778</v>
      </c>
    </row>
    <row r="1291" spans="1:12">
      <c r="A1291" s="722" t="s">
        <v>616</v>
      </c>
      <c r="B1291" s="722">
        <v>130</v>
      </c>
      <c r="C1291" s="723">
        <v>1</v>
      </c>
      <c r="D1291" s="723">
        <v>0</v>
      </c>
      <c r="E1291" s="723">
        <v>0</v>
      </c>
      <c r="F1291" s="723">
        <v>0</v>
      </c>
      <c r="G1291" s="723">
        <v>1</v>
      </c>
      <c r="H1291" s="724">
        <v>153.74828574879683</v>
      </c>
      <c r="I1291" s="724">
        <v>0</v>
      </c>
      <c r="J1291" s="724">
        <v>0</v>
      </c>
      <c r="K1291" s="724">
        <v>0</v>
      </c>
      <c r="L1291" s="724">
        <v>153.74828574879683</v>
      </c>
    </row>
    <row r="1292" spans="1:12">
      <c r="A1292" s="722" t="s">
        <v>616</v>
      </c>
      <c r="B1292" s="722">
        <v>143</v>
      </c>
      <c r="C1292" s="723">
        <v>0</v>
      </c>
      <c r="D1292" s="723">
        <v>1</v>
      </c>
      <c r="E1292" s="723">
        <v>0</v>
      </c>
      <c r="F1292" s="723">
        <v>0</v>
      </c>
      <c r="G1292" s="723">
        <v>1</v>
      </c>
      <c r="H1292" s="724">
        <v>0</v>
      </c>
      <c r="I1292" s="724">
        <v>153.74828574879683</v>
      </c>
      <c r="J1292" s="724">
        <v>0</v>
      </c>
      <c r="K1292" s="724">
        <v>0</v>
      </c>
      <c r="L1292" s="724">
        <v>153.74828574879683</v>
      </c>
    </row>
    <row r="1293" spans="1:12">
      <c r="A1293" s="722" t="s">
        <v>616</v>
      </c>
      <c r="B1293" s="722">
        <v>160</v>
      </c>
      <c r="C1293" s="723">
        <v>2</v>
      </c>
      <c r="D1293" s="723">
        <v>0</v>
      </c>
      <c r="E1293" s="723">
        <v>0</v>
      </c>
      <c r="F1293" s="723">
        <v>0</v>
      </c>
      <c r="G1293" s="723">
        <v>2</v>
      </c>
      <c r="H1293" s="724">
        <v>307.49657149759366</v>
      </c>
      <c r="I1293" s="724">
        <v>0</v>
      </c>
      <c r="J1293" s="724">
        <v>0</v>
      </c>
      <c r="K1293" s="724">
        <v>0</v>
      </c>
      <c r="L1293" s="724">
        <v>307.49657149759366</v>
      </c>
    </row>
    <row r="1294" spans="1:12">
      <c r="A1294" s="722" t="s">
        <v>616</v>
      </c>
      <c r="B1294" s="722">
        <v>171</v>
      </c>
      <c r="C1294" s="723">
        <v>3</v>
      </c>
      <c r="D1294" s="723">
        <v>3</v>
      </c>
      <c r="E1294" s="723">
        <v>0</v>
      </c>
      <c r="F1294" s="723">
        <v>0</v>
      </c>
      <c r="G1294" s="723">
        <v>6</v>
      </c>
      <c r="H1294" s="724">
        <v>461.2448572463905</v>
      </c>
      <c r="I1294" s="724">
        <v>461.2448572463905</v>
      </c>
      <c r="J1294" s="724">
        <v>0</v>
      </c>
      <c r="K1294" s="724">
        <v>0</v>
      </c>
      <c r="L1294" s="724">
        <v>922.48971449278099</v>
      </c>
    </row>
    <row r="1295" spans="1:12">
      <c r="A1295" s="722" t="s">
        <v>616</v>
      </c>
      <c r="B1295" s="722">
        <v>213</v>
      </c>
      <c r="C1295" s="723">
        <v>0</v>
      </c>
      <c r="D1295" s="723">
        <v>2</v>
      </c>
      <c r="E1295" s="723">
        <v>0</v>
      </c>
      <c r="F1295" s="723">
        <v>0</v>
      </c>
      <c r="G1295" s="723">
        <v>2</v>
      </c>
      <c r="H1295" s="724">
        <v>0</v>
      </c>
      <c r="I1295" s="724">
        <v>307.49657149759366</v>
      </c>
      <c r="J1295" s="724">
        <v>0</v>
      </c>
      <c r="K1295" s="724">
        <v>0</v>
      </c>
      <c r="L1295" s="724">
        <v>307.49657149759366</v>
      </c>
    </row>
    <row r="1296" spans="1:12">
      <c r="A1296" s="722" t="s">
        <v>616</v>
      </c>
      <c r="B1296" s="722">
        <v>214</v>
      </c>
      <c r="C1296" s="723">
        <v>2</v>
      </c>
      <c r="D1296" s="723">
        <v>2</v>
      </c>
      <c r="E1296" s="723">
        <v>0</v>
      </c>
      <c r="F1296" s="723">
        <v>0</v>
      </c>
      <c r="G1296" s="723">
        <v>4</v>
      </c>
      <c r="H1296" s="724">
        <v>307.49657149759366</v>
      </c>
      <c r="I1296" s="724">
        <v>307.49657149759366</v>
      </c>
      <c r="J1296" s="724">
        <v>0</v>
      </c>
      <c r="K1296" s="724">
        <v>0</v>
      </c>
      <c r="L1296" s="724">
        <v>614.99314299518733</v>
      </c>
    </row>
    <row r="1297" spans="1:12">
      <c r="A1297" s="722" t="s">
        <v>616</v>
      </c>
      <c r="B1297" s="722">
        <v>215</v>
      </c>
      <c r="C1297" s="723">
        <v>1</v>
      </c>
      <c r="D1297" s="723">
        <v>1</v>
      </c>
      <c r="E1297" s="723">
        <v>0</v>
      </c>
      <c r="F1297" s="723">
        <v>0</v>
      </c>
      <c r="G1297" s="723">
        <v>2</v>
      </c>
      <c r="H1297" s="724">
        <v>153.74828574879683</v>
      </c>
      <c r="I1297" s="724">
        <v>153.74828574879683</v>
      </c>
      <c r="J1297" s="724">
        <v>0</v>
      </c>
      <c r="K1297" s="724">
        <v>0</v>
      </c>
      <c r="L1297" s="724">
        <v>307.49657149759366</v>
      </c>
    </row>
    <row r="1298" spans="1:12">
      <c r="A1298" s="722" t="s">
        <v>616</v>
      </c>
      <c r="B1298" s="722">
        <v>251</v>
      </c>
      <c r="C1298" s="723">
        <v>4</v>
      </c>
      <c r="D1298" s="723">
        <v>5</v>
      </c>
      <c r="E1298" s="723">
        <v>0</v>
      </c>
      <c r="F1298" s="723">
        <v>0</v>
      </c>
      <c r="G1298" s="723">
        <v>9</v>
      </c>
      <c r="H1298" s="724">
        <v>614.99314299518733</v>
      </c>
      <c r="I1298" s="724">
        <v>768.74142874398422</v>
      </c>
      <c r="J1298" s="724">
        <v>0</v>
      </c>
      <c r="K1298" s="724">
        <v>0</v>
      </c>
      <c r="L1298" s="724">
        <v>1383.7345717391715</v>
      </c>
    </row>
    <row r="1299" spans="1:12">
      <c r="A1299" s="722" t="s">
        <v>616</v>
      </c>
      <c r="B1299" s="722">
        <v>300</v>
      </c>
      <c r="C1299" s="723">
        <v>2</v>
      </c>
      <c r="D1299" s="723">
        <v>8</v>
      </c>
      <c r="E1299" s="723">
        <v>0</v>
      </c>
      <c r="F1299" s="723">
        <v>0</v>
      </c>
      <c r="G1299" s="723">
        <v>10</v>
      </c>
      <c r="H1299" s="724">
        <v>307.49657149759366</v>
      </c>
      <c r="I1299" s="724">
        <v>1229.9862859903747</v>
      </c>
      <c r="J1299" s="724">
        <v>0</v>
      </c>
      <c r="K1299" s="724">
        <v>0</v>
      </c>
      <c r="L1299" s="724">
        <v>1537.4828574879682</v>
      </c>
    </row>
    <row r="1300" spans="1:12">
      <c r="A1300" s="722" t="s">
        <v>616</v>
      </c>
      <c r="B1300" s="722">
        <v>301</v>
      </c>
      <c r="C1300" s="723">
        <v>62</v>
      </c>
      <c r="D1300" s="723">
        <v>98</v>
      </c>
      <c r="E1300" s="723">
        <v>0</v>
      </c>
      <c r="F1300" s="723">
        <v>0</v>
      </c>
      <c r="G1300" s="723">
        <v>160</v>
      </c>
      <c r="H1300" s="724">
        <v>9532.3937164254039</v>
      </c>
      <c r="I1300" s="724">
        <v>15067.332003382087</v>
      </c>
      <c r="J1300" s="724">
        <v>0</v>
      </c>
      <c r="K1300" s="724">
        <v>0</v>
      </c>
      <c r="L1300" s="724">
        <v>24599.725719807491</v>
      </c>
    </row>
    <row r="1301" spans="1:12">
      <c r="A1301" s="722" t="s">
        <v>616</v>
      </c>
      <c r="B1301" s="722">
        <v>309</v>
      </c>
      <c r="C1301" s="723">
        <v>1</v>
      </c>
      <c r="D1301" s="723">
        <v>0</v>
      </c>
      <c r="E1301" s="723">
        <v>0</v>
      </c>
      <c r="F1301" s="723">
        <v>0</v>
      </c>
      <c r="G1301" s="723">
        <v>1</v>
      </c>
      <c r="H1301" s="724">
        <v>153.74828574879683</v>
      </c>
      <c r="I1301" s="724">
        <v>0</v>
      </c>
      <c r="J1301" s="724">
        <v>0</v>
      </c>
      <c r="K1301" s="724">
        <v>0</v>
      </c>
      <c r="L1301" s="724">
        <v>153.74828574879683</v>
      </c>
    </row>
    <row r="1302" spans="1:12">
      <c r="A1302" s="722" t="s">
        <v>616</v>
      </c>
      <c r="B1302" s="722">
        <v>400</v>
      </c>
      <c r="C1302" s="723">
        <v>1</v>
      </c>
      <c r="D1302" s="723">
        <v>0</v>
      </c>
      <c r="E1302" s="723">
        <v>0</v>
      </c>
      <c r="F1302" s="723">
        <v>0</v>
      </c>
      <c r="G1302" s="723">
        <v>1</v>
      </c>
      <c r="H1302" s="724">
        <v>153.74828574879683</v>
      </c>
      <c r="I1302" s="724">
        <v>0</v>
      </c>
      <c r="J1302" s="724">
        <v>0</v>
      </c>
      <c r="K1302" s="724">
        <v>0</v>
      </c>
      <c r="L1302" s="724">
        <v>153.74828574879683</v>
      </c>
    </row>
    <row r="1303" spans="1:12">
      <c r="A1303" s="722" t="s">
        <v>616</v>
      </c>
      <c r="B1303" s="722">
        <v>420</v>
      </c>
      <c r="C1303" s="723">
        <v>23</v>
      </c>
      <c r="D1303" s="723">
        <v>5</v>
      </c>
      <c r="E1303" s="723">
        <v>0</v>
      </c>
      <c r="F1303" s="723">
        <v>0</v>
      </c>
      <c r="G1303" s="723">
        <v>28</v>
      </c>
      <c r="H1303" s="724">
        <v>3536.2105722223268</v>
      </c>
      <c r="I1303" s="724">
        <v>768.7414287439841</v>
      </c>
      <c r="J1303" s="724">
        <v>0</v>
      </c>
      <c r="K1303" s="724">
        <v>0</v>
      </c>
      <c r="L1303" s="724">
        <v>4304.9520009663111</v>
      </c>
    </row>
    <row r="1304" spans="1:12">
      <c r="A1304" s="722" t="s">
        <v>616</v>
      </c>
      <c r="B1304" s="722">
        <v>421</v>
      </c>
      <c r="C1304" s="723">
        <v>2</v>
      </c>
      <c r="D1304" s="723">
        <v>0</v>
      </c>
      <c r="E1304" s="723">
        <v>0</v>
      </c>
      <c r="F1304" s="723">
        <v>0</v>
      </c>
      <c r="G1304" s="723">
        <v>2</v>
      </c>
      <c r="H1304" s="724">
        <v>307.49657149759366</v>
      </c>
      <c r="I1304" s="724">
        <v>0</v>
      </c>
      <c r="J1304" s="724">
        <v>0</v>
      </c>
      <c r="K1304" s="724">
        <v>0</v>
      </c>
      <c r="L1304" s="724">
        <v>307.49657149759366</v>
      </c>
    </row>
    <row r="1305" spans="1:12">
      <c r="A1305" s="722" t="s">
        <v>616</v>
      </c>
      <c r="B1305" s="722">
        <v>430</v>
      </c>
      <c r="C1305" s="723">
        <v>1</v>
      </c>
      <c r="D1305" s="723">
        <v>0</v>
      </c>
      <c r="E1305" s="723">
        <v>0</v>
      </c>
      <c r="F1305" s="723">
        <v>0</v>
      </c>
      <c r="G1305" s="723">
        <v>1</v>
      </c>
      <c r="H1305" s="724">
        <v>153.74828574879683</v>
      </c>
      <c r="I1305" s="724">
        <v>0</v>
      </c>
      <c r="J1305" s="724">
        <v>0</v>
      </c>
      <c r="K1305" s="724">
        <v>0</v>
      </c>
      <c r="L1305" s="724">
        <v>153.74828574879683</v>
      </c>
    </row>
    <row r="1306" spans="1:12">
      <c r="A1306" s="722" t="s">
        <v>616</v>
      </c>
      <c r="B1306" s="722">
        <v>502</v>
      </c>
      <c r="C1306" s="723">
        <v>0</v>
      </c>
      <c r="D1306" s="723">
        <v>3</v>
      </c>
      <c r="E1306" s="723">
        <v>0</v>
      </c>
      <c r="F1306" s="723">
        <v>0</v>
      </c>
      <c r="G1306" s="723">
        <v>3</v>
      </c>
      <c r="H1306" s="724">
        <v>0</v>
      </c>
      <c r="I1306" s="724">
        <v>461.2448572463905</v>
      </c>
      <c r="J1306" s="724">
        <v>0</v>
      </c>
      <c r="K1306" s="724">
        <v>0</v>
      </c>
      <c r="L1306" s="724">
        <v>461.2448572463905</v>
      </c>
    </row>
    <row r="1307" spans="1:12">
      <c r="A1307" s="722" t="s">
        <v>616</v>
      </c>
      <c r="B1307" s="722">
        <v>654</v>
      </c>
      <c r="C1307" s="723">
        <v>1</v>
      </c>
      <c r="D1307" s="723">
        <v>0</v>
      </c>
      <c r="E1307" s="723">
        <v>0</v>
      </c>
      <c r="F1307" s="723">
        <v>0</v>
      </c>
      <c r="G1307" s="723">
        <v>1</v>
      </c>
      <c r="H1307" s="724">
        <v>153.74828574879683</v>
      </c>
      <c r="I1307" s="724">
        <v>0</v>
      </c>
      <c r="J1307" s="724">
        <v>0</v>
      </c>
      <c r="K1307" s="724">
        <v>0</v>
      </c>
      <c r="L1307" s="724">
        <v>153.74828574879683</v>
      </c>
    </row>
    <row r="1308" spans="1:12">
      <c r="A1308" s="722" t="s">
        <v>616</v>
      </c>
      <c r="B1308" s="722">
        <v>812</v>
      </c>
      <c r="C1308" s="723">
        <v>0</v>
      </c>
      <c r="D1308" s="723">
        <v>2</v>
      </c>
      <c r="E1308" s="723">
        <v>0</v>
      </c>
      <c r="F1308" s="723">
        <v>0</v>
      </c>
      <c r="G1308" s="723">
        <v>2</v>
      </c>
      <c r="H1308" s="724">
        <v>0</v>
      </c>
      <c r="I1308" s="724">
        <v>307.49657149759366</v>
      </c>
      <c r="J1308" s="724">
        <v>0</v>
      </c>
      <c r="K1308" s="724">
        <v>0</v>
      </c>
      <c r="L1308" s="724">
        <v>307.49657149759366</v>
      </c>
    </row>
    <row r="1309" spans="1:12">
      <c r="A1309" s="722" t="s">
        <v>620</v>
      </c>
      <c r="B1309" s="722">
        <v>100</v>
      </c>
      <c r="C1309" s="723">
        <v>0</v>
      </c>
      <c r="D1309" s="723">
        <v>2</v>
      </c>
      <c r="E1309" s="723">
        <v>0</v>
      </c>
      <c r="F1309" s="723">
        <v>0</v>
      </c>
      <c r="G1309" s="723">
        <v>2</v>
      </c>
      <c r="H1309" s="724">
        <v>0</v>
      </c>
      <c r="I1309" s="724">
        <v>717.13748086768226</v>
      </c>
      <c r="J1309" s="724">
        <v>0</v>
      </c>
      <c r="K1309" s="724">
        <v>0</v>
      </c>
      <c r="L1309" s="724">
        <v>717.13748086768226</v>
      </c>
    </row>
    <row r="1310" spans="1:12">
      <c r="A1310" s="722" t="s">
        <v>620</v>
      </c>
      <c r="B1310" s="722">
        <v>120</v>
      </c>
      <c r="C1310" s="723">
        <v>1</v>
      </c>
      <c r="D1310" s="723">
        <v>0</v>
      </c>
      <c r="E1310" s="723">
        <v>0</v>
      </c>
      <c r="F1310" s="723">
        <v>0</v>
      </c>
      <c r="G1310" s="723">
        <v>1</v>
      </c>
      <c r="H1310" s="724">
        <v>358.56874043384113</v>
      </c>
      <c r="I1310" s="724">
        <v>0</v>
      </c>
      <c r="J1310" s="724">
        <v>0</v>
      </c>
      <c r="K1310" s="724">
        <v>0</v>
      </c>
      <c r="L1310" s="724">
        <v>358.56874043384113</v>
      </c>
    </row>
    <row r="1311" spans="1:12">
      <c r="A1311" s="722" t="s">
        <v>620</v>
      </c>
      <c r="B1311" s="722">
        <v>171</v>
      </c>
      <c r="C1311" s="723">
        <v>4</v>
      </c>
      <c r="D1311" s="723">
        <v>0</v>
      </c>
      <c r="E1311" s="723">
        <v>0</v>
      </c>
      <c r="F1311" s="723">
        <v>0</v>
      </c>
      <c r="G1311" s="723">
        <v>4</v>
      </c>
      <c r="H1311" s="724">
        <v>1434.2749617353645</v>
      </c>
      <c r="I1311" s="724">
        <v>0</v>
      </c>
      <c r="J1311" s="724">
        <v>0</v>
      </c>
      <c r="K1311" s="724">
        <v>0</v>
      </c>
      <c r="L1311" s="724">
        <v>1434.2749617353645</v>
      </c>
    </row>
    <row r="1312" spans="1:12">
      <c r="A1312" s="722" t="s">
        <v>620</v>
      </c>
      <c r="B1312" s="722">
        <v>215</v>
      </c>
      <c r="C1312" s="723">
        <v>0</v>
      </c>
      <c r="D1312" s="723">
        <v>2</v>
      </c>
      <c r="E1312" s="723">
        <v>0</v>
      </c>
      <c r="F1312" s="723">
        <v>0</v>
      </c>
      <c r="G1312" s="723">
        <v>2</v>
      </c>
      <c r="H1312" s="724">
        <v>0</v>
      </c>
      <c r="I1312" s="724">
        <v>717.13748086768226</v>
      </c>
      <c r="J1312" s="724">
        <v>0</v>
      </c>
      <c r="K1312" s="724">
        <v>0</v>
      </c>
      <c r="L1312" s="724">
        <v>717.13748086768226</v>
      </c>
    </row>
    <row r="1313" spans="1:12">
      <c r="A1313" s="722" t="s">
        <v>651</v>
      </c>
      <c r="B1313" s="722">
        <v>100</v>
      </c>
      <c r="C1313" s="723">
        <v>4</v>
      </c>
      <c r="D1313" s="723">
        <v>20</v>
      </c>
      <c r="E1313" s="723">
        <v>0</v>
      </c>
      <c r="F1313" s="723">
        <v>0</v>
      </c>
      <c r="G1313" s="723">
        <v>24</v>
      </c>
      <c r="H1313" s="724">
        <v>319.92428287941885</v>
      </c>
      <c r="I1313" s="724">
        <v>1599.621414397094</v>
      </c>
      <c r="J1313" s="724">
        <v>0</v>
      </c>
      <c r="K1313" s="724">
        <v>0</v>
      </c>
      <c r="L1313" s="724">
        <v>1919.545697276513</v>
      </c>
    </row>
    <row r="1314" spans="1:12">
      <c r="A1314" s="722" t="s">
        <v>651</v>
      </c>
      <c r="B1314" s="722">
        <v>104</v>
      </c>
      <c r="C1314" s="723">
        <v>2</v>
      </c>
      <c r="D1314" s="723">
        <v>9</v>
      </c>
      <c r="E1314" s="723">
        <v>0</v>
      </c>
      <c r="F1314" s="723">
        <v>0</v>
      </c>
      <c r="G1314" s="723">
        <v>11</v>
      </c>
      <c r="H1314" s="724">
        <v>159.9621414397094</v>
      </c>
      <c r="I1314" s="724">
        <v>719.82963647869235</v>
      </c>
      <c r="J1314" s="724">
        <v>0</v>
      </c>
      <c r="K1314" s="724">
        <v>0</v>
      </c>
      <c r="L1314" s="724">
        <v>879.79177791840175</v>
      </c>
    </row>
    <row r="1315" spans="1:12">
      <c r="A1315" s="722" t="s">
        <v>651</v>
      </c>
      <c r="B1315" s="722">
        <v>106</v>
      </c>
      <c r="C1315" s="723">
        <v>3</v>
      </c>
      <c r="D1315" s="723">
        <v>18</v>
      </c>
      <c r="E1315" s="723">
        <v>0</v>
      </c>
      <c r="F1315" s="723">
        <v>0</v>
      </c>
      <c r="G1315" s="723">
        <v>21</v>
      </c>
      <c r="H1315" s="724">
        <v>239.94321215956413</v>
      </c>
      <c r="I1315" s="724">
        <v>1439.6592729573847</v>
      </c>
      <c r="J1315" s="724">
        <v>0</v>
      </c>
      <c r="K1315" s="724">
        <v>0</v>
      </c>
      <c r="L1315" s="724">
        <v>1679.6024851169489</v>
      </c>
    </row>
    <row r="1316" spans="1:12">
      <c r="A1316" s="722" t="s">
        <v>651</v>
      </c>
      <c r="B1316" s="722">
        <v>120</v>
      </c>
      <c r="C1316" s="723">
        <v>3</v>
      </c>
      <c r="D1316" s="723">
        <v>2</v>
      </c>
      <c r="E1316" s="723">
        <v>0</v>
      </c>
      <c r="F1316" s="723">
        <v>0</v>
      </c>
      <c r="G1316" s="723">
        <v>5</v>
      </c>
      <c r="H1316" s="724">
        <v>239.9432121595641</v>
      </c>
      <c r="I1316" s="724">
        <v>159.9621414397094</v>
      </c>
      <c r="J1316" s="724">
        <v>0</v>
      </c>
      <c r="K1316" s="724">
        <v>0</v>
      </c>
      <c r="L1316" s="724">
        <v>399.9053535992735</v>
      </c>
    </row>
    <row r="1317" spans="1:12">
      <c r="A1317" s="722" t="s">
        <v>651</v>
      </c>
      <c r="B1317" s="722">
        <v>140</v>
      </c>
      <c r="C1317" s="723">
        <v>0</v>
      </c>
      <c r="D1317" s="723">
        <v>1</v>
      </c>
      <c r="E1317" s="723">
        <v>0</v>
      </c>
      <c r="F1317" s="723">
        <v>0</v>
      </c>
      <c r="G1317" s="723">
        <v>1</v>
      </c>
      <c r="H1317" s="724">
        <v>0</v>
      </c>
      <c r="I1317" s="724">
        <v>79.981070719854699</v>
      </c>
      <c r="J1317" s="724">
        <v>0</v>
      </c>
      <c r="K1317" s="724">
        <v>0</v>
      </c>
      <c r="L1317" s="724">
        <v>79.981070719854699</v>
      </c>
    </row>
    <row r="1318" spans="1:12">
      <c r="A1318" s="722" t="s">
        <v>651</v>
      </c>
      <c r="B1318" s="722">
        <v>142</v>
      </c>
      <c r="C1318" s="723">
        <v>1</v>
      </c>
      <c r="D1318" s="723">
        <v>2</v>
      </c>
      <c r="E1318" s="723">
        <v>0</v>
      </c>
      <c r="F1318" s="723">
        <v>0</v>
      </c>
      <c r="G1318" s="723">
        <v>3</v>
      </c>
      <c r="H1318" s="724">
        <v>79.981070719854714</v>
      </c>
      <c r="I1318" s="724">
        <v>159.96214143970943</v>
      </c>
      <c r="J1318" s="724">
        <v>0</v>
      </c>
      <c r="K1318" s="724">
        <v>0</v>
      </c>
      <c r="L1318" s="724">
        <v>239.94321215956413</v>
      </c>
    </row>
    <row r="1319" spans="1:12">
      <c r="A1319" s="722" t="s">
        <v>651</v>
      </c>
      <c r="B1319" s="722">
        <v>143</v>
      </c>
      <c r="C1319" s="723">
        <v>4</v>
      </c>
      <c r="D1319" s="723">
        <v>1</v>
      </c>
      <c r="E1319" s="723">
        <v>0</v>
      </c>
      <c r="F1319" s="723">
        <v>0</v>
      </c>
      <c r="G1319" s="723">
        <v>5</v>
      </c>
      <c r="H1319" s="724">
        <v>319.9242828794188</v>
      </c>
      <c r="I1319" s="724">
        <v>79.981070719854699</v>
      </c>
      <c r="J1319" s="724">
        <v>0</v>
      </c>
      <c r="K1319" s="724">
        <v>0</v>
      </c>
      <c r="L1319" s="724">
        <v>399.9053535992735</v>
      </c>
    </row>
    <row r="1320" spans="1:12">
      <c r="A1320" s="722" t="s">
        <v>651</v>
      </c>
      <c r="B1320" s="722">
        <v>171</v>
      </c>
      <c r="C1320" s="723">
        <v>23</v>
      </c>
      <c r="D1320" s="723">
        <v>0</v>
      </c>
      <c r="E1320" s="723">
        <v>0</v>
      </c>
      <c r="F1320" s="723">
        <v>0</v>
      </c>
      <c r="G1320" s="723">
        <v>23</v>
      </c>
      <c r="H1320" s="724">
        <v>1839.5646265566581</v>
      </c>
      <c r="I1320" s="724">
        <v>0</v>
      </c>
      <c r="J1320" s="724">
        <v>0</v>
      </c>
      <c r="K1320" s="724">
        <v>0</v>
      </c>
      <c r="L1320" s="724">
        <v>1839.5646265566581</v>
      </c>
    </row>
    <row r="1321" spans="1:12">
      <c r="A1321" s="722" t="s">
        <v>651</v>
      </c>
      <c r="B1321" s="722">
        <v>173</v>
      </c>
      <c r="C1321" s="723">
        <v>6</v>
      </c>
      <c r="D1321" s="723">
        <v>10</v>
      </c>
      <c r="E1321" s="723">
        <v>0</v>
      </c>
      <c r="F1321" s="723">
        <v>0</v>
      </c>
      <c r="G1321" s="723">
        <v>16</v>
      </c>
      <c r="H1321" s="724">
        <v>479.8864243191282</v>
      </c>
      <c r="I1321" s="724">
        <v>799.81070719854699</v>
      </c>
      <c r="J1321" s="724">
        <v>0</v>
      </c>
      <c r="K1321" s="724">
        <v>0</v>
      </c>
      <c r="L1321" s="724">
        <v>1279.6971315176752</v>
      </c>
    </row>
    <row r="1322" spans="1:12">
      <c r="A1322" s="722" t="s">
        <v>651</v>
      </c>
      <c r="B1322" s="722">
        <v>215</v>
      </c>
      <c r="C1322" s="723">
        <v>0</v>
      </c>
      <c r="D1322" s="723">
        <v>1</v>
      </c>
      <c r="E1322" s="723">
        <v>0</v>
      </c>
      <c r="F1322" s="723">
        <v>0</v>
      </c>
      <c r="G1322" s="723">
        <v>1</v>
      </c>
      <c r="H1322" s="724">
        <v>0</v>
      </c>
      <c r="I1322" s="724">
        <v>79.981070719854699</v>
      </c>
      <c r="J1322" s="724">
        <v>0</v>
      </c>
      <c r="K1322" s="724">
        <v>0</v>
      </c>
      <c r="L1322" s="724">
        <v>79.981070719854699</v>
      </c>
    </row>
    <row r="1323" spans="1:12">
      <c r="A1323" s="722" t="s">
        <v>651</v>
      </c>
      <c r="B1323" s="722">
        <v>251</v>
      </c>
      <c r="C1323" s="723">
        <v>3</v>
      </c>
      <c r="D1323" s="723">
        <v>1</v>
      </c>
      <c r="E1323" s="723">
        <v>0</v>
      </c>
      <c r="F1323" s="723">
        <v>0</v>
      </c>
      <c r="G1323" s="723">
        <v>4</v>
      </c>
      <c r="H1323" s="724">
        <v>239.9432121595641</v>
      </c>
      <c r="I1323" s="724">
        <v>79.981070719854699</v>
      </c>
      <c r="J1323" s="724">
        <v>0</v>
      </c>
      <c r="K1323" s="724">
        <v>0</v>
      </c>
      <c r="L1323" s="724">
        <v>319.9242828794188</v>
      </c>
    </row>
    <row r="1324" spans="1:12">
      <c r="A1324" s="722" t="s">
        <v>651</v>
      </c>
      <c r="B1324" s="722">
        <v>253</v>
      </c>
      <c r="C1324" s="723">
        <v>2</v>
      </c>
      <c r="D1324" s="723">
        <v>0</v>
      </c>
      <c r="E1324" s="723">
        <v>0</v>
      </c>
      <c r="F1324" s="723">
        <v>0</v>
      </c>
      <c r="G1324" s="723">
        <v>2</v>
      </c>
      <c r="H1324" s="724">
        <v>159.9621414397094</v>
      </c>
      <c r="I1324" s="724">
        <v>0</v>
      </c>
      <c r="J1324" s="724">
        <v>0</v>
      </c>
      <c r="K1324" s="724">
        <v>0</v>
      </c>
      <c r="L1324" s="724">
        <v>159.9621414397094</v>
      </c>
    </row>
    <row r="1325" spans="1:12">
      <c r="A1325" s="722" t="s">
        <v>651</v>
      </c>
      <c r="B1325" s="722">
        <v>260</v>
      </c>
      <c r="C1325" s="723">
        <v>22</v>
      </c>
      <c r="D1325" s="723">
        <v>1</v>
      </c>
      <c r="E1325" s="723">
        <v>0</v>
      </c>
      <c r="F1325" s="723">
        <v>0</v>
      </c>
      <c r="G1325" s="723">
        <v>23</v>
      </c>
      <c r="H1325" s="724">
        <v>1759.5835558368035</v>
      </c>
      <c r="I1325" s="724">
        <v>79.981070719854699</v>
      </c>
      <c r="J1325" s="724">
        <v>0</v>
      </c>
      <c r="K1325" s="724">
        <v>0</v>
      </c>
      <c r="L1325" s="724">
        <v>1839.5646265566581</v>
      </c>
    </row>
    <row r="1326" spans="1:12">
      <c r="A1326" s="722" t="s">
        <v>651</v>
      </c>
      <c r="B1326" s="722">
        <v>290</v>
      </c>
      <c r="C1326" s="723">
        <v>199</v>
      </c>
      <c r="D1326" s="723">
        <v>2</v>
      </c>
      <c r="E1326" s="723">
        <v>0</v>
      </c>
      <c r="F1326" s="723">
        <v>0</v>
      </c>
      <c r="G1326" s="723">
        <v>201</v>
      </c>
      <c r="H1326" s="724">
        <v>15916.233073251085</v>
      </c>
      <c r="I1326" s="724">
        <v>159.9621414397094</v>
      </c>
      <c r="J1326" s="724">
        <v>0</v>
      </c>
      <c r="K1326" s="724">
        <v>0</v>
      </c>
      <c r="L1326" s="724">
        <v>16076.195214690795</v>
      </c>
    </row>
    <row r="1327" spans="1:12">
      <c r="A1327" s="722" t="s">
        <v>651</v>
      </c>
      <c r="B1327" s="722">
        <v>300</v>
      </c>
      <c r="C1327" s="723">
        <v>2</v>
      </c>
      <c r="D1327" s="723">
        <v>9</v>
      </c>
      <c r="E1327" s="723">
        <v>0</v>
      </c>
      <c r="F1327" s="723">
        <v>0</v>
      </c>
      <c r="G1327" s="723">
        <v>11</v>
      </c>
      <c r="H1327" s="724">
        <v>159.9621414397094</v>
      </c>
      <c r="I1327" s="724">
        <v>719.82963647869235</v>
      </c>
      <c r="J1327" s="724">
        <v>0</v>
      </c>
      <c r="K1327" s="724">
        <v>0</v>
      </c>
      <c r="L1327" s="724">
        <v>879.79177791840175</v>
      </c>
    </row>
    <row r="1328" spans="1:12">
      <c r="A1328" s="722" t="s">
        <v>651</v>
      </c>
      <c r="B1328" s="722">
        <v>301</v>
      </c>
      <c r="C1328" s="723">
        <v>16</v>
      </c>
      <c r="D1328" s="723">
        <v>30</v>
      </c>
      <c r="E1328" s="723">
        <v>0</v>
      </c>
      <c r="F1328" s="723">
        <v>0</v>
      </c>
      <c r="G1328" s="723">
        <v>46</v>
      </c>
      <c r="H1328" s="724">
        <v>1279.6971315176752</v>
      </c>
      <c r="I1328" s="724">
        <v>2399.4321215956411</v>
      </c>
      <c r="J1328" s="724">
        <v>0</v>
      </c>
      <c r="K1328" s="724">
        <v>0</v>
      </c>
      <c r="L1328" s="724">
        <v>3679.1292531133163</v>
      </c>
    </row>
    <row r="1329" spans="1:12">
      <c r="A1329" s="722" t="s">
        <v>651</v>
      </c>
      <c r="B1329" s="722">
        <v>302</v>
      </c>
      <c r="C1329" s="723">
        <v>1</v>
      </c>
      <c r="D1329" s="723">
        <v>0</v>
      </c>
      <c r="E1329" s="723">
        <v>0</v>
      </c>
      <c r="F1329" s="723">
        <v>0</v>
      </c>
      <c r="G1329" s="723">
        <v>1</v>
      </c>
      <c r="H1329" s="724">
        <v>79.981070719854699</v>
      </c>
      <c r="I1329" s="724">
        <v>0</v>
      </c>
      <c r="J1329" s="724">
        <v>0</v>
      </c>
      <c r="K1329" s="724">
        <v>0</v>
      </c>
      <c r="L1329" s="724">
        <v>79.981070719854699</v>
      </c>
    </row>
    <row r="1330" spans="1:12">
      <c r="A1330" s="722" t="s">
        <v>651</v>
      </c>
      <c r="B1330" s="722">
        <v>308</v>
      </c>
      <c r="C1330" s="723">
        <v>2</v>
      </c>
      <c r="D1330" s="723">
        <v>0</v>
      </c>
      <c r="E1330" s="723">
        <v>0</v>
      </c>
      <c r="F1330" s="723">
        <v>0</v>
      </c>
      <c r="G1330" s="723">
        <v>2</v>
      </c>
      <c r="H1330" s="724">
        <v>159.9621414397094</v>
      </c>
      <c r="I1330" s="724">
        <v>0</v>
      </c>
      <c r="J1330" s="724">
        <v>0</v>
      </c>
      <c r="K1330" s="724">
        <v>0</v>
      </c>
      <c r="L1330" s="724">
        <v>159.9621414397094</v>
      </c>
    </row>
    <row r="1331" spans="1:12">
      <c r="A1331" s="722" t="s">
        <v>651</v>
      </c>
      <c r="B1331" s="722">
        <v>340</v>
      </c>
      <c r="C1331" s="723">
        <v>1</v>
      </c>
      <c r="D1331" s="723">
        <v>0</v>
      </c>
      <c r="E1331" s="723">
        <v>0</v>
      </c>
      <c r="F1331" s="723">
        <v>0</v>
      </c>
      <c r="G1331" s="723">
        <v>1</v>
      </c>
      <c r="H1331" s="724">
        <v>79.981070719854699</v>
      </c>
      <c r="I1331" s="724">
        <v>0</v>
      </c>
      <c r="J1331" s="724">
        <v>0</v>
      </c>
      <c r="K1331" s="724">
        <v>0</v>
      </c>
      <c r="L1331" s="724">
        <v>79.981070719854699</v>
      </c>
    </row>
    <row r="1332" spans="1:12">
      <c r="A1332" s="722" t="s">
        <v>651</v>
      </c>
      <c r="B1332" s="722">
        <v>343</v>
      </c>
      <c r="C1332" s="723">
        <v>1</v>
      </c>
      <c r="D1332" s="723">
        <v>0</v>
      </c>
      <c r="E1332" s="723">
        <v>0</v>
      </c>
      <c r="F1332" s="723">
        <v>0</v>
      </c>
      <c r="G1332" s="723">
        <v>1</v>
      </c>
      <c r="H1332" s="724">
        <v>79.981070719854699</v>
      </c>
      <c r="I1332" s="724">
        <v>0</v>
      </c>
      <c r="J1332" s="724">
        <v>0</v>
      </c>
      <c r="K1332" s="724">
        <v>0</v>
      </c>
      <c r="L1332" s="724">
        <v>79.981070719854699</v>
      </c>
    </row>
    <row r="1333" spans="1:12">
      <c r="A1333" s="722" t="s">
        <v>651</v>
      </c>
      <c r="B1333" s="722">
        <v>420</v>
      </c>
      <c r="C1333" s="723">
        <v>285</v>
      </c>
      <c r="D1333" s="723">
        <v>35</v>
      </c>
      <c r="E1333" s="723">
        <v>0</v>
      </c>
      <c r="F1333" s="723">
        <v>0</v>
      </c>
      <c r="G1333" s="723">
        <v>320</v>
      </c>
      <c r="H1333" s="724">
        <v>22794.605155158592</v>
      </c>
      <c r="I1333" s="724">
        <v>2799.3374751949145</v>
      </c>
      <c r="J1333" s="724">
        <v>0</v>
      </c>
      <c r="K1333" s="724">
        <v>0</v>
      </c>
      <c r="L1333" s="724">
        <v>25593.942630353504</v>
      </c>
    </row>
    <row r="1334" spans="1:12">
      <c r="A1334" s="722" t="s">
        <v>651</v>
      </c>
      <c r="B1334" s="722">
        <v>654</v>
      </c>
      <c r="C1334" s="723">
        <v>1</v>
      </c>
      <c r="D1334" s="723">
        <v>0</v>
      </c>
      <c r="E1334" s="723">
        <v>0</v>
      </c>
      <c r="F1334" s="723">
        <v>0</v>
      </c>
      <c r="G1334" s="723">
        <v>1</v>
      </c>
      <c r="H1334" s="724">
        <v>79.981070719854699</v>
      </c>
      <c r="I1334" s="724">
        <v>0</v>
      </c>
      <c r="J1334" s="724">
        <v>0</v>
      </c>
      <c r="K1334" s="724">
        <v>0</v>
      </c>
      <c r="L1334" s="724">
        <v>79.981070719854699</v>
      </c>
    </row>
    <row r="1335" spans="1:12">
      <c r="A1335" s="722" t="s">
        <v>651</v>
      </c>
      <c r="B1335" s="722">
        <v>812</v>
      </c>
      <c r="C1335" s="723">
        <v>13</v>
      </c>
      <c r="D1335" s="723">
        <v>8</v>
      </c>
      <c r="E1335" s="723">
        <v>0</v>
      </c>
      <c r="F1335" s="723">
        <v>0</v>
      </c>
      <c r="G1335" s="723">
        <v>21</v>
      </c>
      <c r="H1335" s="724">
        <v>1039.7539193581113</v>
      </c>
      <c r="I1335" s="724">
        <v>639.84856575883771</v>
      </c>
      <c r="J1335" s="724">
        <v>0</v>
      </c>
      <c r="K1335" s="724">
        <v>0</v>
      </c>
      <c r="L1335" s="724">
        <v>1679.6024851169489</v>
      </c>
    </row>
    <row r="1336" spans="1:12">
      <c r="A1336" s="722" t="s">
        <v>626</v>
      </c>
      <c r="B1336" s="722">
        <v>106</v>
      </c>
      <c r="C1336" s="723">
        <v>4</v>
      </c>
      <c r="D1336" s="723">
        <v>50</v>
      </c>
      <c r="E1336" s="723">
        <v>0</v>
      </c>
      <c r="F1336" s="723">
        <v>0</v>
      </c>
      <c r="G1336" s="723">
        <v>54</v>
      </c>
      <c r="H1336" s="724">
        <v>318.19769578996232</v>
      </c>
      <c r="I1336" s="724">
        <v>3977.4711973745289</v>
      </c>
      <c r="J1336" s="724">
        <v>0</v>
      </c>
      <c r="K1336" s="724">
        <v>0</v>
      </c>
      <c r="L1336" s="724">
        <v>4295.6688931644912</v>
      </c>
    </row>
    <row r="1337" spans="1:12">
      <c r="A1337" s="722" t="s">
        <v>626</v>
      </c>
      <c r="B1337" s="722">
        <v>171</v>
      </c>
      <c r="C1337" s="723">
        <v>8</v>
      </c>
      <c r="D1337" s="723">
        <v>0</v>
      </c>
      <c r="E1337" s="723">
        <v>0</v>
      </c>
      <c r="F1337" s="723">
        <v>0</v>
      </c>
      <c r="G1337" s="723">
        <v>8</v>
      </c>
      <c r="H1337" s="724">
        <v>636.39539157992454</v>
      </c>
      <c r="I1337" s="724">
        <v>0</v>
      </c>
      <c r="J1337" s="724">
        <v>0</v>
      </c>
      <c r="K1337" s="724">
        <v>0</v>
      </c>
      <c r="L1337" s="724">
        <v>636.39539157992454</v>
      </c>
    </row>
    <row r="1338" spans="1:12">
      <c r="A1338" s="722" t="s">
        <v>626</v>
      </c>
      <c r="B1338" s="722">
        <v>173</v>
      </c>
      <c r="C1338" s="723">
        <v>21</v>
      </c>
      <c r="D1338" s="723">
        <v>22</v>
      </c>
      <c r="E1338" s="723">
        <v>0</v>
      </c>
      <c r="F1338" s="723">
        <v>0</v>
      </c>
      <c r="G1338" s="723">
        <v>43</v>
      </c>
      <c r="H1338" s="724">
        <v>1670.537902897302</v>
      </c>
      <c r="I1338" s="724">
        <v>1750.0873268447926</v>
      </c>
      <c r="J1338" s="724">
        <v>0</v>
      </c>
      <c r="K1338" s="724">
        <v>0</v>
      </c>
      <c r="L1338" s="724">
        <v>3420.6252297420947</v>
      </c>
    </row>
    <row r="1339" spans="1:12">
      <c r="A1339" s="722" t="s">
        <v>626</v>
      </c>
      <c r="B1339" s="722">
        <v>260</v>
      </c>
      <c r="C1339" s="723">
        <v>8</v>
      </c>
      <c r="D1339" s="723">
        <v>0</v>
      </c>
      <c r="E1339" s="723">
        <v>0</v>
      </c>
      <c r="F1339" s="723">
        <v>0</v>
      </c>
      <c r="G1339" s="723">
        <v>8</v>
      </c>
      <c r="H1339" s="724">
        <v>636.39539157992454</v>
      </c>
      <c r="I1339" s="724">
        <v>0</v>
      </c>
      <c r="J1339" s="724">
        <v>0</v>
      </c>
      <c r="K1339" s="724">
        <v>0</v>
      </c>
      <c r="L1339" s="724">
        <v>636.39539157992454</v>
      </c>
    </row>
    <row r="1340" spans="1:12">
      <c r="A1340" s="722" t="s">
        <v>626</v>
      </c>
      <c r="B1340" s="722">
        <v>290</v>
      </c>
      <c r="C1340" s="723">
        <v>210</v>
      </c>
      <c r="D1340" s="723">
        <v>2</v>
      </c>
      <c r="E1340" s="723">
        <v>0</v>
      </c>
      <c r="F1340" s="723">
        <v>0</v>
      </c>
      <c r="G1340" s="723">
        <v>212</v>
      </c>
      <c r="H1340" s="724">
        <v>16705.37902897302</v>
      </c>
      <c r="I1340" s="724">
        <v>159.09884789498113</v>
      </c>
      <c r="J1340" s="724">
        <v>0</v>
      </c>
      <c r="K1340" s="724">
        <v>0</v>
      </c>
      <c r="L1340" s="724">
        <v>16864.477876868001</v>
      </c>
    </row>
    <row r="1341" spans="1:12">
      <c r="A1341" s="722" t="s">
        <v>626</v>
      </c>
      <c r="B1341" s="722">
        <v>311</v>
      </c>
      <c r="C1341" s="723">
        <v>1</v>
      </c>
      <c r="D1341" s="723">
        <v>0</v>
      </c>
      <c r="E1341" s="723">
        <v>0</v>
      </c>
      <c r="F1341" s="723">
        <v>0</v>
      </c>
      <c r="G1341" s="723">
        <v>1</v>
      </c>
      <c r="H1341" s="724">
        <v>79.549423947490567</v>
      </c>
      <c r="I1341" s="724">
        <v>0</v>
      </c>
      <c r="J1341" s="724">
        <v>0</v>
      </c>
      <c r="K1341" s="724">
        <v>0</v>
      </c>
      <c r="L1341" s="724">
        <v>79.549423947490567</v>
      </c>
    </row>
    <row r="1342" spans="1:12">
      <c r="A1342" s="722" t="s">
        <v>626</v>
      </c>
      <c r="B1342" s="722">
        <v>420</v>
      </c>
      <c r="C1342" s="723">
        <v>355</v>
      </c>
      <c r="D1342" s="723">
        <v>89</v>
      </c>
      <c r="E1342" s="723">
        <v>0</v>
      </c>
      <c r="F1342" s="723">
        <v>0</v>
      </c>
      <c r="G1342" s="723">
        <v>444</v>
      </c>
      <c r="H1342" s="724">
        <v>28240.045501359153</v>
      </c>
      <c r="I1342" s="724">
        <v>7079.8987313266598</v>
      </c>
      <c r="J1342" s="724">
        <v>0</v>
      </c>
      <c r="K1342" s="724">
        <v>0</v>
      </c>
      <c r="L1342" s="724">
        <v>35319.944232685812</v>
      </c>
    </row>
    <row r="1343" spans="1:12">
      <c r="A1343" s="722" t="s">
        <v>626</v>
      </c>
      <c r="B1343" s="722">
        <v>654</v>
      </c>
      <c r="C1343" s="723">
        <v>1</v>
      </c>
      <c r="D1343" s="723">
        <v>0</v>
      </c>
      <c r="E1343" s="723">
        <v>0</v>
      </c>
      <c r="F1343" s="723">
        <v>0</v>
      </c>
      <c r="G1343" s="723">
        <v>1</v>
      </c>
      <c r="H1343" s="724">
        <v>79.549423947490567</v>
      </c>
      <c r="I1343" s="724">
        <v>0</v>
      </c>
      <c r="J1343" s="724">
        <v>0</v>
      </c>
      <c r="K1343" s="724">
        <v>0</v>
      </c>
      <c r="L1343" s="724">
        <v>79.549423947490567</v>
      </c>
    </row>
    <row r="1344" spans="1:12">
      <c r="A1344" s="722" t="s">
        <v>626</v>
      </c>
      <c r="B1344" s="722">
        <v>812</v>
      </c>
      <c r="C1344" s="723">
        <v>3</v>
      </c>
      <c r="D1344" s="723">
        <v>0</v>
      </c>
      <c r="E1344" s="723">
        <v>0</v>
      </c>
      <c r="F1344" s="723">
        <v>0</v>
      </c>
      <c r="G1344" s="723">
        <v>3</v>
      </c>
      <c r="H1344" s="724">
        <v>238.6482718424717</v>
      </c>
      <c r="I1344" s="724">
        <v>0</v>
      </c>
      <c r="J1344" s="724">
        <v>0</v>
      </c>
      <c r="K1344" s="724">
        <v>0</v>
      </c>
      <c r="L1344" s="724">
        <v>238.6482718424717</v>
      </c>
    </row>
    <row r="1345" spans="1:12">
      <c r="A1345" s="722" t="s">
        <v>203</v>
      </c>
      <c r="B1345" s="722">
        <v>100</v>
      </c>
      <c r="C1345" s="723">
        <v>4</v>
      </c>
      <c r="D1345" s="723">
        <v>7</v>
      </c>
      <c r="E1345" s="723">
        <v>0</v>
      </c>
      <c r="F1345" s="723">
        <v>0</v>
      </c>
      <c r="G1345" s="723">
        <v>11</v>
      </c>
      <c r="H1345" s="724">
        <v>6726.7862124886733</v>
      </c>
      <c r="I1345" s="724">
        <v>11771.875871855178</v>
      </c>
      <c r="J1345" s="724">
        <v>0</v>
      </c>
      <c r="K1345" s="724">
        <v>0</v>
      </c>
      <c r="L1345" s="724">
        <v>18498.66208434385</v>
      </c>
    </row>
    <row r="1346" spans="1:12">
      <c r="A1346" s="722" t="s">
        <v>203</v>
      </c>
      <c r="B1346" s="722">
        <v>104</v>
      </c>
      <c r="C1346" s="723">
        <v>1</v>
      </c>
      <c r="D1346" s="723">
        <v>6</v>
      </c>
      <c r="E1346" s="723">
        <v>0</v>
      </c>
      <c r="F1346" s="723">
        <v>0</v>
      </c>
      <c r="G1346" s="723">
        <v>7</v>
      </c>
      <c r="H1346" s="724">
        <v>1681.6965531221683</v>
      </c>
      <c r="I1346" s="724">
        <v>10090.179318733009</v>
      </c>
      <c r="J1346" s="724">
        <v>0</v>
      </c>
      <c r="K1346" s="724">
        <v>0</v>
      </c>
      <c r="L1346" s="724">
        <v>11771.875871855178</v>
      </c>
    </row>
    <row r="1347" spans="1:12">
      <c r="A1347" s="722" t="s">
        <v>203</v>
      </c>
      <c r="B1347" s="722">
        <v>300</v>
      </c>
      <c r="C1347" s="723">
        <v>1</v>
      </c>
      <c r="D1347" s="723">
        <v>5</v>
      </c>
      <c r="E1347" s="723">
        <v>0</v>
      </c>
      <c r="F1347" s="723">
        <v>0</v>
      </c>
      <c r="G1347" s="723">
        <v>6</v>
      </c>
      <c r="H1347" s="724">
        <v>1681.6965531221679</v>
      </c>
      <c r="I1347" s="724">
        <v>8408.4827656108391</v>
      </c>
      <c r="J1347" s="724">
        <v>0</v>
      </c>
      <c r="K1347" s="724">
        <v>0</v>
      </c>
      <c r="L1347" s="724">
        <v>10090.179318733008</v>
      </c>
    </row>
    <row r="1348" spans="1:12">
      <c r="A1348" s="722" t="s">
        <v>203</v>
      </c>
      <c r="B1348" s="722">
        <v>301</v>
      </c>
      <c r="C1348" s="723">
        <v>11</v>
      </c>
      <c r="D1348" s="723">
        <v>54</v>
      </c>
      <c r="E1348" s="723">
        <v>0</v>
      </c>
      <c r="F1348" s="723">
        <v>0</v>
      </c>
      <c r="G1348" s="723">
        <v>65</v>
      </c>
      <c r="H1348" s="724">
        <v>18498.66208434385</v>
      </c>
      <c r="I1348" s="724">
        <v>90811.61386859708</v>
      </c>
      <c r="J1348" s="724">
        <v>0</v>
      </c>
      <c r="K1348" s="724">
        <v>0</v>
      </c>
      <c r="L1348" s="724">
        <v>109310.27595294092</v>
      </c>
    </row>
    <row r="1349" spans="1:12">
      <c r="A1349" s="722" t="s">
        <v>203</v>
      </c>
      <c r="B1349" s="722">
        <v>812</v>
      </c>
      <c r="C1349" s="723">
        <v>0</v>
      </c>
      <c r="D1349" s="723">
        <v>18</v>
      </c>
      <c r="E1349" s="723">
        <v>0</v>
      </c>
      <c r="F1349" s="723">
        <v>0</v>
      </c>
      <c r="G1349" s="723">
        <v>18</v>
      </c>
      <c r="H1349" s="724">
        <v>0</v>
      </c>
      <c r="I1349" s="724">
        <v>30270.537956199027</v>
      </c>
      <c r="J1349" s="724">
        <v>0</v>
      </c>
      <c r="K1349" s="724">
        <v>0</v>
      </c>
      <c r="L1349" s="724">
        <v>30270.537956199027</v>
      </c>
    </row>
    <row r="1350" spans="1:12">
      <c r="A1350" s="722" t="s">
        <v>655</v>
      </c>
      <c r="B1350" s="722">
        <v>100</v>
      </c>
      <c r="C1350" s="723">
        <v>48</v>
      </c>
      <c r="D1350" s="723">
        <v>182</v>
      </c>
      <c r="E1350" s="723">
        <v>0</v>
      </c>
      <c r="F1350" s="723">
        <v>0</v>
      </c>
      <c r="G1350" s="723">
        <v>230</v>
      </c>
      <c r="H1350" s="724">
        <v>10201.956408847725</v>
      </c>
      <c r="I1350" s="724">
        <v>38682.418050214284</v>
      </c>
      <c r="J1350" s="724">
        <v>0</v>
      </c>
      <c r="K1350" s="724">
        <v>0</v>
      </c>
      <c r="L1350" s="724">
        <v>48884.374459062012</v>
      </c>
    </row>
    <row r="1351" spans="1:12">
      <c r="A1351" s="722" t="s">
        <v>655</v>
      </c>
      <c r="B1351" s="722">
        <v>104</v>
      </c>
      <c r="C1351" s="723">
        <v>11</v>
      </c>
      <c r="D1351" s="723">
        <v>28</v>
      </c>
      <c r="E1351" s="723">
        <v>0</v>
      </c>
      <c r="F1351" s="723">
        <v>0</v>
      </c>
      <c r="G1351" s="723">
        <v>39</v>
      </c>
      <c r="H1351" s="724">
        <v>2337.9483436942705</v>
      </c>
      <c r="I1351" s="724">
        <v>5951.141238494507</v>
      </c>
      <c r="J1351" s="724">
        <v>0</v>
      </c>
      <c r="K1351" s="724">
        <v>0</v>
      </c>
      <c r="L1351" s="724">
        <v>8289.0895821887771</v>
      </c>
    </row>
    <row r="1352" spans="1:12">
      <c r="A1352" s="722" t="s">
        <v>655</v>
      </c>
      <c r="B1352" s="722">
        <v>300</v>
      </c>
      <c r="C1352" s="723">
        <v>8</v>
      </c>
      <c r="D1352" s="723">
        <v>113</v>
      </c>
      <c r="E1352" s="723">
        <v>0</v>
      </c>
      <c r="F1352" s="723">
        <v>0</v>
      </c>
      <c r="G1352" s="723">
        <v>121</v>
      </c>
      <c r="H1352" s="724">
        <v>1700.3260681412874</v>
      </c>
      <c r="I1352" s="724">
        <v>24017.105712495686</v>
      </c>
      <c r="J1352" s="724">
        <v>0</v>
      </c>
      <c r="K1352" s="724">
        <v>0</v>
      </c>
      <c r="L1352" s="724">
        <v>25717.431780636973</v>
      </c>
    </row>
    <row r="1353" spans="1:12">
      <c r="A1353" s="722" t="s">
        <v>655</v>
      </c>
      <c r="B1353" s="722">
        <v>301</v>
      </c>
      <c r="C1353" s="723">
        <v>118</v>
      </c>
      <c r="D1353" s="723">
        <v>73</v>
      </c>
      <c r="E1353" s="723">
        <v>0</v>
      </c>
      <c r="F1353" s="723">
        <v>0</v>
      </c>
      <c r="G1353" s="723">
        <v>191</v>
      </c>
      <c r="H1353" s="724">
        <v>25079.809505083987</v>
      </c>
      <c r="I1353" s="724">
        <v>15515.475371789249</v>
      </c>
      <c r="J1353" s="724">
        <v>0</v>
      </c>
      <c r="K1353" s="724">
        <v>0</v>
      </c>
      <c r="L1353" s="724">
        <v>40595.284876873236</v>
      </c>
    </row>
    <row r="1354" spans="1:12">
      <c r="A1354" s="722" t="s">
        <v>601</v>
      </c>
      <c r="B1354" s="722">
        <v>100</v>
      </c>
      <c r="C1354" s="723">
        <v>0</v>
      </c>
      <c r="D1354" s="723">
        <v>3</v>
      </c>
      <c r="E1354" s="723">
        <v>0</v>
      </c>
      <c r="F1354" s="723">
        <v>0</v>
      </c>
      <c r="G1354" s="723">
        <v>3</v>
      </c>
      <c r="H1354" s="724">
        <v>0</v>
      </c>
      <c r="I1354" s="724">
        <v>650.33541913834722</v>
      </c>
      <c r="J1354" s="724">
        <v>0</v>
      </c>
      <c r="K1354" s="724">
        <v>0</v>
      </c>
      <c r="L1354" s="724">
        <v>650.33541913834722</v>
      </c>
    </row>
    <row r="1355" spans="1:12">
      <c r="A1355" s="722" t="s">
        <v>601</v>
      </c>
      <c r="B1355" s="722">
        <v>301</v>
      </c>
      <c r="C1355" s="723">
        <v>1</v>
      </c>
      <c r="D1355" s="723">
        <v>0</v>
      </c>
      <c r="E1355" s="723">
        <v>0</v>
      </c>
      <c r="F1355" s="723">
        <v>0</v>
      </c>
      <c r="G1355" s="723">
        <v>1</v>
      </c>
      <c r="H1355" s="724">
        <v>216.77847304611575</v>
      </c>
      <c r="I1355" s="724">
        <v>0</v>
      </c>
      <c r="J1355" s="724">
        <v>0</v>
      </c>
      <c r="K1355" s="724">
        <v>0</v>
      </c>
      <c r="L1355" s="724">
        <v>216.77847304611575</v>
      </c>
    </row>
    <row r="1356" spans="1:12">
      <c r="A1356" s="722" t="s">
        <v>204</v>
      </c>
      <c r="B1356" s="722">
        <v>100</v>
      </c>
      <c r="C1356" s="723">
        <v>20</v>
      </c>
      <c r="D1356" s="723">
        <v>13</v>
      </c>
      <c r="E1356" s="723">
        <v>0</v>
      </c>
      <c r="F1356" s="723">
        <v>0</v>
      </c>
      <c r="G1356" s="723">
        <v>33</v>
      </c>
      <c r="H1356" s="724">
        <v>7172.8542143646564</v>
      </c>
      <c r="I1356" s="724">
        <v>4662.3552393370273</v>
      </c>
      <c r="J1356" s="724">
        <v>0</v>
      </c>
      <c r="K1356" s="724">
        <v>0</v>
      </c>
      <c r="L1356" s="724">
        <v>11835.209453701684</v>
      </c>
    </row>
    <row r="1357" spans="1:12">
      <c r="A1357" s="722" t="s">
        <v>204</v>
      </c>
      <c r="B1357" s="722">
        <v>104</v>
      </c>
      <c r="C1357" s="723">
        <v>2</v>
      </c>
      <c r="D1357" s="723">
        <v>4</v>
      </c>
      <c r="E1357" s="723">
        <v>0</v>
      </c>
      <c r="F1357" s="723">
        <v>0</v>
      </c>
      <c r="G1357" s="723">
        <v>6</v>
      </c>
      <c r="H1357" s="724">
        <v>717.28542143646564</v>
      </c>
      <c r="I1357" s="724">
        <v>1434.5708428729313</v>
      </c>
      <c r="J1357" s="724">
        <v>0</v>
      </c>
      <c r="K1357" s="724">
        <v>0</v>
      </c>
      <c r="L1357" s="724">
        <v>2151.8562643093969</v>
      </c>
    </row>
    <row r="1358" spans="1:12">
      <c r="A1358" s="722" t="s">
        <v>204</v>
      </c>
      <c r="B1358" s="722">
        <v>300</v>
      </c>
      <c r="C1358" s="723">
        <v>11</v>
      </c>
      <c r="D1358" s="723">
        <v>50</v>
      </c>
      <c r="E1358" s="723">
        <v>0</v>
      </c>
      <c r="F1358" s="723">
        <v>0</v>
      </c>
      <c r="G1358" s="723">
        <v>61</v>
      </c>
      <c r="H1358" s="724">
        <v>3945.0698179005608</v>
      </c>
      <c r="I1358" s="724">
        <v>17932.135535911642</v>
      </c>
      <c r="J1358" s="724">
        <v>0</v>
      </c>
      <c r="K1358" s="724">
        <v>0</v>
      </c>
      <c r="L1358" s="724">
        <v>21877.205353812202</v>
      </c>
    </row>
    <row r="1359" spans="1:12">
      <c r="A1359" s="722" t="s">
        <v>204</v>
      </c>
      <c r="B1359" s="722">
        <v>301</v>
      </c>
      <c r="C1359" s="723">
        <v>15</v>
      </c>
      <c r="D1359" s="723">
        <v>13</v>
      </c>
      <c r="E1359" s="723">
        <v>0</v>
      </c>
      <c r="F1359" s="723">
        <v>0</v>
      </c>
      <c r="G1359" s="723">
        <v>28</v>
      </c>
      <c r="H1359" s="724">
        <v>5379.6406607734925</v>
      </c>
      <c r="I1359" s="724">
        <v>4662.3552393370273</v>
      </c>
      <c r="J1359" s="724">
        <v>0</v>
      </c>
      <c r="K1359" s="724">
        <v>0</v>
      </c>
      <c r="L1359" s="724">
        <v>10041.99590011052</v>
      </c>
    </row>
    <row r="1360" spans="1:12">
      <c r="A1360" s="722" t="s">
        <v>205</v>
      </c>
      <c r="B1360" s="722">
        <v>103</v>
      </c>
      <c r="C1360" s="723">
        <v>1</v>
      </c>
      <c r="D1360" s="723">
        <v>0</v>
      </c>
      <c r="E1360" s="723">
        <v>0</v>
      </c>
      <c r="F1360" s="723">
        <v>0</v>
      </c>
      <c r="G1360" s="723">
        <v>1</v>
      </c>
      <c r="H1360" s="724">
        <v>72.383493052247502</v>
      </c>
      <c r="I1360" s="724">
        <v>0</v>
      </c>
      <c r="J1360" s="724">
        <v>0</v>
      </c>
      <c r="K1360" s="724">
        <v>0</v>
      </c>
      <c r="L1360" s="724">
        <v>72.383493052247502</v>
      </c>
    </row>
    <row r="1361" spans="1:12">
      <c r="A1361" s="722" t="s">
        <v>205</v>
      </c>
      <c r="B1361" s="722">
        <v>104</v>
      </c>
      <c r="C1361" s="723">
        <v>1</v>
      </c>
      <c r="D1361" s="723">
        <v>1</v>
      </c>
      <c r="E1361" s="723">
        <v>0</v>
      </c>
      <c r="F1361" s="723">
        <v>0</v>
      </c>
      <c r="G1361" s="723">
        <v>2</v>
      </c>
      <c r="H1361" s="724">
        <v>72.383493052247502</v>
      </c>
      <c r="I1361" s="724">
        <v>72.383493052247502</v>
      </c>
      <c r="J1361" s="724">
        <v>0</v>
      </c>
      <c r="K1361" s="724">
        <v>0</v>
      </c>
      <c r="L1361" s="724">
        <v>144.766986104495</v>
      </c>
    </row>
    <row r="1362" spans="1:12">
      <c r="A1362" s="722" t="s">
        <v>205</v>
      </c>
      <c r="B1362" s="722">
        <v>106</v>
      </c>
      <c r="C1362" s="723">
        <v>1</v>
      </c>
      <c r="D1362" s="723">
        <v>0</v>
      </c>
      <c r="E1362" s="723">
        <v>0</v>
      </c>
      <c r="F1362" s="723">
        <v>0</v>
      </c>
      <c r="G1362" s="723">
        <v>1</v>
      </c>
      <c r="H1362" s="724">
        <v>72.383493052247502</v>
      </c>
      <c r="I1362" s="724">
        <v>0</v>
      </c>
      <c r="J1362" s="724">
        <v>0</v>
      </c>
      <c r="K1362" s="724">
        <v>0</v>
      </c>
      <c r="L1362" s="724">
        <v>72.383493052247502</v>
      </c>
    </row>
    <row r="1363" spans="1:12">
      <c r="A1363" s="722" t="s">
        <v>205</v>
      </c>
      <c r="B1363" s="722">
        <v>130</v>
      </c>
      <c r="C1363" s="723">
        <v>1</v>
      </c>
      <c r="D1363" s="723">
        <v>0</v>
      </c>
      <c r="E1363" s="723">
        <v>0</v>
      </c>
      <c r="F1363" s="723">
        <v>0</v>
      </c>
      <c r="G1363" s="723">
        <v>1</v>
      </c>
      <c r="H1363" s="724">
        <v>72.383493052247502</v>
      </c>
      <c r="I1363" s="724">
        <v>0</v>
      </c>
      <c r="J1363" s="724">
        <v>0</v>
      </c>
      <c r="K1363" s="724">
        <v>0</v>
      </c>
      <c r="L1363" s="724">
        <v>72.383493052247502</v>
      </c>
    </row>
    <row r="1364" spans="1:12">
      <c r="A1364" s="722" t="s">
        <v>205</v>
      </c>
      <c r="B1364" s="722">
        <v>501</v>
      </c>
      <c r="C1364" s="723">
        <v>10</v>
      </c>
      <c r="D1364" s="723">
        <v>1</v>
      </c>
      <c r="E1364" s="723">
        <v>0</v>
      </c>
      <c r="F1364" s="723">
        <v>0</v>
      </c>
      <c r="G1364" s="723">
        <v>11</v>
      </c>
      <c r="H1364" s="724">
        <v>723.83493052247513</v>
      </c>
      <c r="I1364" s="724">
        <v>72.383493052247502</v>
      </c>
      <c r="J1364" s="724">
        <v>0</v>
      </c>
      <c r="K1364" s="724">
        <v>0</v>
      </c>
      <c r="L1364" s="724">
        <v>796.21842357472258</v>
      </c>
    </row>
    <row r="1365" spans="1:12">
      <c r="A1365" s="722" t="s">
        <v>205</v>
      </c>
      <c r="B1365" s="722">
        <v>560</v>
      </c>
      <c r="C1365" s="723">
        <v>5</v>
      </c>
      <c r="D1365" s="723">
        <v>1</v>
      </c>
      <c r="E1365" s="723">
        <v>0</v>
      </c>
      <c r="F1365" s="723">
        <v>0</v>
      </c>
      <c r="G1365" s="723">
        <v>6</v>
      </c>
      <c r="H1365" s="724">
        <v>361.91746526123757</v>
      </c>
      <c r="I1365" s="724">
        <v>72.383493052247516</v>
      </c>
      <c r="J1365" s="724">
        <v>0</v>
      </c>
      <c r="K1365" s="724">
        <v>0</v>
      </c>
      <c r="L1365" s="724">
        <v>434.30095831348507</v>
      </c>
    </row>
    <row r="1366" spans="1:12">
      <c r="A1366" s="722" t="s">
        <v>205</v>
      </c>
      <c r="B1366" s="722">
        <v>800</v>
      </c>
      <c r="C1366" s="723">
        <v>0</v>
      </c>
      <c r="D1366" s="723">
        <v>1</v>
      </c>
      <c r="E1366" s="723">
        <v>0</v>
      </c>
      <c r="F1366" s="723">
        <v>0</v>
      </c>
      <c r="G1366" s="723">
        <v>1</v>
      </c>
      <c r="H1366" s="724">
        <v>0</v>
      </c>
      <c r="I1366" s="724">
        <v>72.383493052247502</v>
      </c>
      <c r="J1366" s="724">
        <v>0</v>
      </c>
      <c r="K1366" s="724">
        <v>0</v>
      </c>
      <c r="L1366" s="724">
        <v>72.383493052247502</v>
      </c>
    </row>
    <row r="1367" spans="1:12">
      <c r="A1367" s="722" t="s">
        <v>205</v>
      </c>
      <c r="B1367" s="722">
        <v>812</v>
      </c>
      <c r="C1367" s="723">
        <v>0</v>
      </c>
      <c r="D1367" s="723">
        <v>1</v>
      </c>
      <c r="E1367" s="723">
        <v>0</v>
      </c>
      <c r="F1367" s="723">
        <v>0</v>
      </c>
      <c r="G1367" s="723">
        <v>1</v>
      </c>
      <c r="H1367" s="724">
        <v>0</v>
      </c>
      <c r="I1367" s="724">
        <v>72.383493052247502</v>
      </c>
      <c r="J1367" s="724">
        <v>0</v>
      </c>
      <c r="K1367" s="724">
        <v>0</v>
      </c>
      <c r="L1367" s="724">
        <v>72.383493052247502</v>
      </c>
    </row>
    <row r="1368" spans="1:12">
      <c r="A1368" s="722" t="s">
        <v>206</v>
      </c>
      <c r="B1368" s="722">
        <v>100</v>
      </c>
      <c r="C1368" s="723">
        <v>10</v>
      </c>
      <c r="D1368" s="723">
        <v>1</v>
      </c>
      <c r="E1368" s="723">
        <v>0</v>
      </c>
      <c r="F1368" s="723">
        <v>0</v>
      </c>
      <c r="G1368" s="723">
        <v>11</v>
      </c>
      <c r="H1368" s="724">
        <v>1342.7319567304583</v>
      </c>
      <c r="I1368" s="724">
        <v>134.27319567304582</v>
      </c>
      <c r="J1368" s="724">
        <v>0</v>
      </c>
      <c r="K1368" s="724">
        <v>0</v>
      </c>
      <c r="L1368" s="724">
        <v>1477.0051524035039</v>
      </c>
    </row>
    <row r="1369" spans="1:12">
      <c r="A1369" s="722" t="s">
        <v>206</v>
      </c>
      <c r="B1369" s="722">
        <v>104</v>
      </c>
      <c r="C1369" s="723">
        <v>354</v>
      </c>
      <c r="D1369" s="723">
        <v>34</v>
      </c>
      <c r="E1369" s="723">
        <v>0</v>
      </c>
      <c r="F1369" s="723">
        <v>0</v>
      </c>
      <c r="G1369" s="723">
        <v>388</v>
      </c>
      <c r="H1369" s="724">
        <v>47532.711268258216</v>
      </c>
      <c r="I1369" s="724">
        <v>4565.2886528835579</v>
      </c>
      <c r="J1369" s="724">
        <v>0</v>
      </c>
      <c r="K1369" s="724">
        <v>0</v>
      </c>
      <c r="L1369" s="724">
        <v>52097.999921141774</v>
      </c>
    </row>
    <row r="1370" spans="1:12">
      <c r="A1370" s="722" t="s">
        <v>206</v>
      </c>
      <c r="B1370" s="722">
        <v>106</v>
      </c>
      <c r="C1370" s="723">
        <v>3</v>
      </c>
      <c r="D1370" s="723">
        <v>0</v>
      </c>
      <c r="E1370" s="723">
        <v>0</v>
      </c>
      <c r="F1370" s="723">
        <v>0</v>
      </c>
      <c r="G1370" s="723">
        <v>3</v>
      </c>
      <c r="H1370" s="724">
        <v>402.81958701913737</v>
      </c>
      <c r="I1370" s="724">
        <v>0</v>
      </c>
      <c r="J1370" s="724">
        <v>0</v>
      </c>
      <c r="K1370" s="724">
        <v>0</v>
      </c>
      <c r="L1370" s="724">
        <v>402.81958701913737</v>
      </c>
    </row>
    <row r="1371" spans="1:12">
      <c r="A1371" s="722" t="s">
        <v>206</v>
      </c>
      <c r="B1371" s="722">
        <v>140</v>
      </c>
      <c r="C1371" s="723">
        <v>4</v>
      </c>
      <c r="D1371" s="723">
        <v>1</v>
      </c>
      <c r="E1371" s="723">
        <v>0</v>
      </c>
      <c r="F1371" s="723">
        <v>0</v>
      </c>
      <c r="G1371" s="723">
        <v>5</v>
      </c>
      <c r="H1371" s="724">
        <v>537.09278269218316</v>
      </c>
      <c r="I1371" s="724">
        <v>134.27319567304579</v>
      </c>
      <c r="J1371" s="724">
        <v>0</v>
      </c>
      <c r="K1371" s="724">
        <v>0</v>
      </c>
      <c r="L1371" s="724">
        <v>671.36597836522901</v>
      </c>
    </row>
    <row r="1372" spans="1:12">
      <c r="A1372" s="722" t="s">
        <v>206</v>
      </c>
      <c r="B1372" s="722">
        <v>141</v>
      </c>
      <c r="C1372" s="723">
        <v>4</v>
      </c>
      <c r="D1372" s="723">
        <v>0</v>
      </c>
      <c r="E1372" s="723">
        <v>0</v>
      </c>
      <c r="F1372" s="723">
        <v>0</v>
      </c>
      <c r="G1372" s="723">
        <v>4</v>
      </c>
      <c r="H1372" s="724">
        <v>537.09278269218328</v>
      </c>
      <c r="I1372" s="724">
        <v>0</v>
      </c>
      <c r="J1372" s="724">
        <v>0</v>
      </c>
      <c r="K1372" s="724">
        <v>0</v>
      </c>
      <c r="L1372" s="724">
        <v>537.09278269218328</v>
      </c>
    </row>
    <row r="1373" spans="1:12">
      <c r="A1373" s="722" t="s">
        <v>206</v>
      </c>
      <c r="B1373" s="722">
        <v>150</v>
      </c>
      <c r="C1373" s="723">
        <v>1</v>
      </c>
      <c r="D1373" s="723">
        <v>0</v>
      </c>
      <c r="E1373" s="723">
        <v>0</v>
      </c>
      <c r="F1373" s="723">
        <v>0</v>
      </c>
      <c r="G1373" s="723">
        <v>1</v>
      </c>
      <c r="H1373" s="724">
        <v>134.27319567304582</v>
      </c>
      <c r="I1373" s="724">
        <v>0</v>
      </c>
      <c r="J1373" s="724">
        <v>0</v>
      </c>
      <c r="K1373" s="724">
        <v>0</v>
      </c>
      <c r="L1373" s="724">
        <v>134.27319567304582</v>
      </c>
    </row>
    <row r="1374" spans="1:12">
      <c r="A1374" s="722" t="s">
        <v>206</v>
      </c>
      <c r="B1374" s="722">
        <v>301</v>
      </c>
      <c r="C1374" s="723">
        <v>0</v>
      </c>
      <c r="D1374" s="723">
        <v>1</v>
      </c>
      <c r="E1374" s="723">
        <v>0</v>
      </c>
      <c r="F1374" s="723">
        <v>0</v>
      </c>
      <c r="G1374" s="723">
        <v>1</v>
      </c>
      <c r="H1374" s="724">
        <v>0</v>
      </c>
      <c r="I1374" s="724">
        <v>134.27319567304582</v>
      </c>
      <c r="J1374" s="724">
        <v>0</v>
      </c>
      <c r="K1374" s="724">
        <v>0</v>
      </c>
      <c r="L1374" s="724">
        <v>134.27319567304582</v>
      </c>
    </row>
    <row r="1375" spans="1:12">
      <c r="A1375" s="722" t="s">
        <v>206</v>
      </c>
      <c r="B1375" s="722">
        <v>330</v>
      </c>
      <c r="C1375" s="723">
        <v>7</v>
      </c>
      <c r="D1375" s="723">
        <v>1</v>
      </c>
      <c r="E1375" s="723">
        <v>0</v>
      </c>
      <c r="F1375" s="723">
        <v>0</v>
      </c>
      <c r="G1375" s="723">
        <v>8</v>
      </c>
      <c r="H1375" s="724">
        <v>939.91236971132071</v>
      </c>
      <c r="I1375" s="724">
        <v>134.27319567304582</v>
      </c>
      <c r="J1375" s="724">
        <v>0</v>
      </c>
      <c r="K1375" s="724">
        <v>0</v>
      </c>
      <c r="L1375" s="724">
        <v>1074.1855653843666</v>
      </c>
    </row>
    <row r="1376" spans="1:12">
      <c r="A1376" s="722" t="s">
        <v>206</v>
      </c>
      <c r="B1376" s="722">
        <v>501</v>
      </c>
      <c r="C1376" s="723">
        <v>7</v>
      </c>
      <c r="D1376" s="723">
        <v>1</v>
      </c>
      <c r="E1376" s="723">
        <v>0</v>
      </c>
      <c r="F1376" s="723">
        <v>0</v>
      </c>
      <c r="G1376" s="723">
        <v>8</v>
      </c>
      <c r="H1376" s="724">
        <v>939.91236971132071</v>
      </c>
      <c r="I1376" s="724">
        <v>134.27319567304582</v>
      </c>
      <c r="J1376" s="724">
        <v>0</v>
      </c>
      <c r="K1376" s="724">
        <v>0</v>
      </c>
      <c r="L1376" s="724">
        <v>1074.1855653843666</v>
      </c>
    </row>
    <row r="1377" spans="1:12">
      <c r="A1377" s="722" t="s">
        <v>206</v>
      </c>
      <c r="B1377" s="722">
        <v>812</v>
      </c>
      <c r="C1377" s="723">
        <v>12</v>
      </c>
      <c r="D1377" s="723">
        <v>0</v>
      </c>
      <c r="E1377" s="723">
        <v>0</v>
      </c>
      <c r="F1377" s="723">
        <v>0</v>
      </c>
      <c r="G1377" s="723">
        <v>12</v>
      </c>
      <c r="H1377" s="724">
        <v>1611.2783480765495</v>
      </c>
      <c r="I1377" s="724">
        <v>0</v>
      </c>
      <c r="J1377" s="724">
        <v>0</v>
      </c>
      <c r="K1377" s="724">
        <v>0</v>
      </c>
      <c r="L1377" s="724">
        <v>1611.2783480765495</v>
      </c>
    </row>
    <row r="1378" spans="1:12">
      <c r="A1378" s="722" t="s">
        <v>625</v>
      </c>
      <c r="B1378" s="722">
        <v>100</v>
      </c>
      <c r="C1378" s="723">
        <v>2</v>
      </c>
      <c r="D1378" s="723">
        <v>0</v>
      </c>
      <c r="E1378" s="723">
        <v>0</v>
      </c>
      <c r="F1378" s="723">
        <v>0</v>
      </c>
      <c r="G1378" s="723">
        <v>2</v>
      </c>
      <c r="H1378" s="724">
        <v>107.92157158822273</v>
      </c>
      <c r="I1378" s="724">
        <v>0</v>
      </c>
      <c r="J1378" s="724">
        <v>0</v>
      </c>
      <c r="K1378" s="724">
        <v>0</v>
      </c>
      <c r="L1378" s="724">
        <v>107.92157158822273</v>
      </c>
    </row>
    <row r="1379" spans="1:12">
      <c r="A1379" s="722" t="s">
        <v>625</v>
      </c>
      <c r="B1379" s="722">
        <v>104</v>
      </c>
      <c r="C1379" s="723">
        <v>11</v>
      </c>
      <c r="D1379" s="723">
        <v>0</v>
      </c>
      <c r="E1379" s="723">
        <v>0</v>
      </c>
      <c r="F1379" s="723">
        <v>0</v>
      </c>
      <c r="G1379" s="723">
        <v>11</v>
      </c>
      <c r="H1379" s="724">
        <v>593.56864373522501</v>
      </c>
      <c r="I1379" s="724">
        <v>0</v>
      </c>
      <c r="J1379" s="724">
        <v>0</v>
      </c>
      <c r="K1379" s="724">
        <v>0</v>
      </c>
      <c r="L1379" s="724">
        <v>593.56864373522501</v>
      </c>
    </row>
    <row r="1380" spans="1:12">
      <c r="A1380" s="722" t="s">
        <v>625</v>
      </c>
      <c r="B1380" s="722">
        <v>171</v>
      </c>
      <c r="C1380" s="723">
        <v>1</v>
      </c>
      <c r="D1380" s="723">
        <v>0</v>
      </c>
      <c r="E1380" s="723">
        <v>0</v>
      </c>
      <c r="F1380" s="723">
        <v>0</v>
      </c>
      <c r="G1380" s="723">
        <v>1</v>
      </c>
      <c r="H1380" s="724">
        <v>53.960785794111366</v>
      </c>
      <c r="I1380" s="724">
        <v>0</v>
      </c>
      <c r="J1380" s="724">
        <v>0</v>
      </c>
      <c r="K1380" s="724">
        <v>0</v>
      </c>
      <c r="L1380" s="724">
        <v>53.960785794111366</v>
      </c>
    </row>
    <row r="1381" spans="1:12">
      <c r="A1381" s="722" t="s">
        <v>625</v>
      </c>
      <c r="B1381" s="722">
        <v>420</v>
      </c>
      <c r="C1381" s="723">
        <v>2</v>
      </c>
      <c r="D1381" s="723">
        <v>0</v>
      </c>
      <c r="E1381" s="723">
        <v>0</v>
      </c>
      <c r="F1381" s="723">
        <v>0</v>
      </c>
      <c r="G1381" s="723">
        <v>2</v>
      </c>
      <c r="H1381" s="724">
        <v>107.92157158822273</v>
      </c>
      <c r="I1381" s="724">
        <v>0</v>
      </c>
      <c r="J1381" s="724">
        <v>0</v>
      </c>
      <c r="K1381" s="724">
        <v>0</v>
      </c>
      <c r="L1381" s="724">
        <v>107.92157158822273</v>
      </c>
    </row>
    <row r="1382" spans="1:12">
      <c r="A1382" s="722" t="s">
        <v>625</v>
      </c>
      <c r="B1382" s="722">
        <v>501</v>
      </c>
      <c r="C1382" s="723">
        <v>1</v>
      </c>
      <c r="D1382" s="723">
        <v>0</v>
      </c>
      <c r="E1382" s="723">
        <v>0</v>
      </c>
      <c r="F1382" s="723">
        <v>0</v>
      </c>
      <c r="G1382" s="723">
        <v>1</v>
      </c>
      <c r="H1382" s="724">
        <v>53.960785794111366</v>
      </c>
      <c r="I1382" s="724">
        <v>0</v>
      </c>
      <c r="J1382" s="724">
        <v>0</v>
      </c>
      <c r="K1382" s="724">
        <v>0</v>
      </c>
      <c r="L1382" s="724">
        <v>53.960785794111366</v>
      </c>
    </row>
    <row r="1383" spans="1:12">
      <c r="A1383" s="722" t="s">
        <v>625</v>
      </c>
      <c r="B1383" s="722">
        <v>560</v>
      </c>
      <c r="C1383" s="723">
        <v>1</v>
      </c>
      <c r="D1383" s="723">
        <v>0</v>
      </c>
      <c r="E1383" s="723">
        <v>0</v>
      </c>
      <c r="F1383" s="723">
        <v>0</v>
      </c>
      <c r="G1383" s="723">
        <v>1</v>
      </c>
      <c r="H1383" s="724">
        <v>53.960785794111366</v>
      </c>
      <c r="I1383" s="724">
        <v>0</v>
      </c>
      <c r="J1383" s="724">
        <v>0</v>
      </c>
      <c r="K1383" s="724">
        <v>0</v>
      </c>
      <c r="L1383" s="724">
        <v>53.960785794111366</v>
      </c>
    </row>
    <row r="1384" spans="1:12">
      <c r="A1384" s="722" t="s">
        <v>625</v>
      </c>
      <c r="B1384" s="722">
        <v>812</v>
      </c>
      <c r="C1384" s="723">
        <v>4</v>
      </c>
      <c r="D1384" s="723">
        <v>0</v>
      </c>
      <c r="E1384" s="723">
        <v>0</v>
      </c>
      <c r="F1384" s="723">
        <v>0</v>
      </c>
      <c r="G1384" s="723">
        <v>4</v>
      </c>
      <c r="H1384" s="724">
        <v>215.84314317644547</v>
      </c>
      <c r="I1384" s="724">
        <v>0</v>
      </c>
      <c r="J1384" s="724">
        <v>0</v>
      </c>
      <c r="K1384" s="724">
        <v>0</v>
      </c>
      <c r="L1384" s="724">
        <v>215.84314317644547</v>
      </c>
    </row>
    <row r="1385" spans="1:12">
      <c r="A1385" s="722" t="s">
        <v>537</v>
      </c>
      <c r="B1385" s="722">
        <v>104</v>
      </c>
      <c r="C1385" s="723">
        <v>1</v>
      </c>
      <c r="D1385" s="723">
        <v>0</v>
      </c>
      <c r="E1385" s="723">
        <v>0</v>
      </c>
      <c r="F1385" s="723">
        <v>0</v>
      </c>
      <c r="G1385" s="723">
        <v>1</v>
      </c>
      <c r="H1385" s="724">
        <v>20.507271526923152</v>
      </c>
      <c r="I1385" s="724">
        <v>0</v>
      </c>
      <c r="J1385" s="724">
        <v>0</v>
      </c>
      <c r="K1385" s="724">
        <v>0</v>
      </c>
      <c r="L1385" s="724">
        <v>20.507271526923152</v>
      </c>
    </row>
    <row r="1386" spans="1:12">
      <c r="A1386" s="722" t="s">
        <v>537</v>
      </c>
      <c r="B1386" s="722">
        <v>420</v>
      </c>
      <c r="C1386" s="723">
        <v>3</v>
      </c>
      <c r="D1386" s="723">
        <v>0</v>
      </c>
      <c r="E1386" s="723">
        <v>0</v>
      </c>
      <c r="F1386" s="723">
        <v>0</v>
      </c>
      <c r="G1386" s="723">
        <v>3</v>
      </c>
      <c r="H1386" s="724">
        <v>61.521814580769465</v>
      </c>
      <c r="I1386" s="724">
        <v>0</v>
      </c>
      <c r="J1386" s="724">
        <v>0</v>
      </c>
      <c r="K1386" s="724">
        <v>0</v>
      </c>
      <c r="L1386" s="724">
        <v>61.521814580769458</v>
      </c>
    </row>
    <row r="1387" spans="1:12">
      <c r="A1387" s="722" t="s">
        <v>546</v>
      </c>
      <c r="B1387" s="722">
        <v>100</v>
      </c>
      <c r="C1387" s="723">
        <v>36</v>
      </c>
      <c r="D1387" s="723">
        <v>10</v>
      </c>
      <c r="E1387" s="723">
        <v>0</v>
      </c>
      <c r="F1387" s="723">
        <v>0</v>
      </c>
      <c r="G1387" s="723">
        <v>46</v>
      </c>
      <c r="H1387" s="724">
        <v>9899.6471689392201</v>
      </c>
      <c r="I1387" s="724">
        <v>2749.9019913720053</v>
      </c>
      <c r="J1387" s="724">
        <v>0</v>
      </c>
      <c r="K1387" s="724">
        <v>0</v>
      </c>
      <c r="L1387" s="724">
        <v>12649.549160311224</v>
      </c>
    </row>
    <row r="1388" spans="1:12">
      <c r="A1388" s="722" t="s">
        <v>546</v>
      </c>
      <c r="B1388" s="722">
        <v>104</v>
      </c>
      <c r="C1388" s="723">
        <v>0</v>
      </c>
      <c r="D1388" s="723">
        <v>3</v>
      </c>
      <c r="E1388" s="723">
        <v>0</v>
      </c>
      <c r="F1388" s="723">
        <v>0</v>
      </c>
      <c r="G1388" s="723">
        <v>3</v>
      </c>
      <c r="H1388" s="724">
        <v>0</v>
      </c>
      <c r="I1388" s="724">
        <v>824.97059741160172</v>
      </c>
      <c r="J1388" s="724">
        <v>0</v>
      </c>
      <c r="K1388" s="724">
        <v>0</v>
      </c>
      <c r="L1388" s="724">
        <v>824.97059741160172</v>
      </c>
    </row>
    <row r="1389" spans="1:12">
      <c r="A1389" s="722" t="s">
        <v>546</v>
      </c>
      <c r="B1389" s="722">
        <v>110</v>
      </c>
      <c r="C1389" s="723">
        <v>2</v>
      </c>
      <c r="D1389" s="723">
        <v>0</v>
      </c>
      <c r="E1389" s="723">
        <v>0</v>
      </c>
      <c r="F1389" s="723">
        <v>0</v>
      </c>
      <c r="G1389" s="723">
        <v>2</v>
      </c>
      <c r="H1389" s="724">
        <v>549.98039827440107</v>
      </c>
      <c r="I1389" s="724">
        <v>0</v>
      </c>
      <c r="J1389" s="724">
        <v>0</v>
      </c>
      <c r="K1389" s="724">
        <v>0</v>
      </c>
      <c r="L1389" s="724">
        <v>549.98039827440107</v>
      </c>
    </row>
    <row r="1390" spans="1:12">
      <c r="A1390" s="722" t="s">
        <v>546</v>
      </c>
      <c r="B1390" s="722">
        <v>120</v>
      </c>
      <c r="C1390" s="723">
        <v>3</v>
      </c>
      <c r="D1390" s="723">
        <v>1</v>
      </c>
      <c r="E1390" s="723">
        <v>0</v>
      </c>
      <c r="F1390" s="723">
        <v>0</v>
      </c>
      <c r="G1390" s="723">
        <v>4</v>
      </c>
      <c r="H1390" s="724">
        <v>824.9705974116016</v>
      </c>
      <c r="I1390" s="724">
        <v>274.99019913720053</v>
      </c>
      <c r="J1390" s="724">
        <v>0</v>
      </c>
      <c r="K1390" s="724">
        <v>0</v>
      </c>
      <c r="L1390" s="724">
        <v>1099.9607965488021</v>
      </c>
    </row>
    <row r="1391" spans="1:12">
      <c r="A1391" s="722" t="s">
        <v>546</v>
      </c>
      <c r="B1391" s="722">
        <v>140</v>
      </c>
      <c r="C1391" s="723">
        <v>3</v>
      </c>
      <c r="D1391" s="723">
        <v>1</v>
      </c>
      <c r="E1391" s="723">
        <v>0</v>
      </c>
      <c r="F1391" s="723">
        <v>0</v>
      </c>
      <c r="G1391" s="723">
        <v>4</v>
      </c>
      <c r="H1391" s="724">
        <v>824.9705974116016</v>
      </c>
      <c r="I1391" s="724">
        <v>274.99019913720053</v>
      </c>
      <c r="J1391" s="724">
        <v>0</v>
      </c>
      <c r="K1391" s="724">
        <v>0</v>
      </c>
      <c r="L1391" s="724">
        <v>1099.9607965488021</v>
      </c>
    </row>
    <row r="1392" spans="1:12">
      <c r="A1392" s="722" t="s">
        <v>546</v>
      </c>
      <c r="B1392" s="722">
        <v>141</v>
      </c>
      <c r="C1392" s="723">
        <v>3</v>
      </c>
      <c r="D1392" s="723">
        <v>1</v>
      </c>
      <c r="E1392" s="723">
        <v>0</v>
      </c>
      <c r="F1392" s="723">
        <v>0</v>
      </c>
      <c r="G1392" s="723">
        <v>4</v>
      </c>
      <c r="H1392" s="724">
        <v>824.9705974116016</v>
      </c>
      <c r="I1392" s="724">
        <v>274.99019913720053</v>
      </c>
      <c r="J1392" s="724">
        <v>0</v>
      </c>
      <c r="K1392" s="724">
        <v>0</v>
      </c>
      <c r="L1392" s="724">
        <v>1099.9607965488021</v>
      </c>
    </row>
    <row r="1393" spans="1:12">
      <c r="A1393" s="722" t="s">
        <v>546</v>
      </c>
      <c r="B1393" s="722">
        <v>143</v>
      </c>
      <c r="C1393" s="723">
        <v>2</v>
      </c>
      <c r="D1393" s="723">
        <v>0</v>
      </c>
      <c r="E1393" s="723">
        <v>0</v>
      </c>
      <c r="F1393" s="723">
        <v>0</v>
      </c>
      <c r="G1393" s="723">
        <v>2</v>
      </c>
      <c r="H1393" s="724">
        <v>549.98039827440107</v>
      </c>
      <c r="I1393" s="724">
        <v>0</v>
      </c>
      <c r="J1393" s="724">
        <v>0</v>
      </c>
      <c r="K1393" s="724">
        <v>0</v>
      </c>
      <c r="L1393" s="724">
        <v>549.98039827440107</v>
      </c>
    </row>
    <row r="1394" spans="1:12">
      <c r="A1394" s="722" t="s">
        <v>546</v>
      </c>
      <c r="B1394" s="722">
        <v>144</v>
      </c>
      <c r="C1394" s="723">
        <v>0</v>
      </c>
      <c r="D1394" s="723">
        <v>2</v>
      </c>
      <c r="E1394" s="723">
        <v>0</v>
      </c>
      <c r="F1394" s="723">
        <v>0</v>
      </c>
      <c r="G1394" s="723">
        <v>2</v>
      </c>
      <c r="H1394" s="724">
        <v>0</v>
      </c>
      <c r="I1394" s="724">
        <v>549.98039827440107</v>
      </c>
      <c r="J1394" s="724">
        <v>0</v>
      </c>
      <c r="K1394" s="724">
        <v>0</v>
      </c>
      <c r="L1394" s="724">
        <v>549.98039827440107</v>
      </c>
    </row>
    <row r="1395" spans="1:12">
      <c r="A1395" s="722" t="s">
        <v>546</v>
      </c>
      <c r="B1395" s="722">
        <v>300</v>
      </c>
      <c r="C1395" s="723">
        <v>24</v>
      </c>
      <c r="D1395" s="723">
        <v>18</v>
      </c>
      <c r="E1395" s="723">
        <v>0</v>
      </c>
      <c r="F1395" s="723">
        <v>0</v>
      </c>
      <c r="G1395" s="723">
        <v>42</v>
      </c>
      <c r="H1395" s="724">
        <v>6599.7647792928146</v>
      </c>
      <c r="I1395" s="724">
        <v>4949.8235844696101</v>
      </c>
      <c r="J1395" s="724">
        <v>0</v>
      </c>
      <c r="K1395" s="724">
        <v>0</v>
      </c>
      <c r="L1395" s="724">
        <v>11549.588363762425</v>
      </c>
    </row>
    <row r="1396" spans="1:12">
      <c r="A1396" s="722" t="s">
        <v>546</v>
      </c>
      <c r="B1396" s="722">
        <v>301</v>
      </c>
      <c r="C1396" s="723">
        <v>139</v>
      </c>
      <c r="D1396" s="723">
        <v>110</v>
      </c>
      <c r="E1396" s="723">
        <v>0</v>
      </c>
      <c r="F1396" s="723">
        <v>0</v>
      </c>
      <c r="G1396" s="723">
        <v>249</v>
      </c>
      <c r="H1396" s="724">
        <v>38223.637680070868</v>
      </c>
      <c r="I1396" s="724">
        <v>30248.921905092058</v>
      </c>
      <c r="J1396" s="724">
        <v>0</v>
      </c>
      <c r="K1396" s="724">
        <v>0</v>
      </c>
      <c r="L1396" s="724">
        <v>68472.559585162933</v>
      </c>
    </row>
    <row r="1397" spans="1:12">
      <c r="A1397" s="722" t="s">
        <v>546</v>
      </c>
      <c r="B1397" s="722">
        <v>330</v>
      </c>
      <c r="C1397" s="723">
        <v>1</v>
      </c>
      <c r="D1397" s="723">
        <v>0</v>
      </c>
      <c r="E1397" s="723">
        <v>0</v>
      </c>
      <c r="F1397" s="723">
        <v>0</v>
      </c>
      <c r="G1397" s="723">
        <v>1</v>
      </c>
      <c r="H1397" s="724">
        <v>274.99019913720053</v>
      </c>
      <c r="I1397" s="724">
        <v>0</v>
      </c>
      <c r="J1397" s="724">
        <v>0</v>
      </c>
      <c r="K1397" s="724">
        <v>0</v>
      </c>
      <c r="L1397" s="724">
        <v>274.99019913720053</v>
      </c>
    </row>
    <row r="1398" spans="1:12">
      <c r="A1398" s="722" t="s">
        <v>546</v>
      </c>
      <c r="B1398" s="722">
        <v>450</v>
      </c>
      <c r="C1398" s="723">
        <v>0</v>
      </c>
      <c r="D1398" s="723">
        <v>1</v>
      </c>
      <c r="E1398" s="723">
        <v>0</v>
      </c>
      <c r="F1398" s="723">
        <v>0</v>
      </c>
      <c r="G1398" s="723">
        <v>1</v>
      </c>
      <c r="H1398" s="724">
        <v>0</v>
      </c>
      <c r="I1398" s="724">
        <v>274.99019913720053</v>
      </c>
      <c r="J1398" s="724">
        <v>0</v>
      </c>
      <c r="K1398" s="724">
        <v>0</v>
      </c>
      <c r="L1398" s="724">
        <v>274.99019913720053</v>
      </c>
    </row>
    <row r="1399" spans="1:12">
      <c r="A1399" s="722" t="s">
        <v>546</v>
      </c>
      <c r="B1399" s="722">
        <v>501</v>
      </c>
      <c r="C1399" s="723">
        <v>2</v>
      </c>
      <c r="D1399" s="723">
        <v>0</v>
      </c>
      <c r="E1399" s="723">
        <v>0</v>
      </c>
      <c r="F1399" s="723">
        <v>0</v>
      </c>
      <c r="G1399" s="723">
        <v>2</v>
      </c>
      <c r="H1399" s="724">
        <v>549.98039827440107</v>
      </c>
      <c r="I1399" s="724">
        <v>0</v>
      </c>
      <c r="J1399" s="724">
        <v>0</v>
      </c>
      <c r="K1399" s="724">
        <v>0</v>
      </c>
      <c r="L1399" s="724">
        <v>549.98039827440107</v>
      </c>
    </row>
    <row r="1400" spans="1:12">
      <c r="A1400" s="722" t="s">
        <v>546</v>
      </c>
      <c r="B1400" s="722">
        <v>812</v>
      </c>
      <c r="C1400" s="723">
        <v>17</v>
      </c>
      <c r="D1400" s="723">
        <v>0</v>
      </c>
      <c r="E1400" s="723">
        <v>0</v>
      </c>
      <c r="F1400" s="723">
        <v>0</v>
      </c>
      <c r="G1400" s="723">
        <v>17</v>
      </c>
      <c r="H1400" s="724">
        <v>4674.8333853324093</v>
      </c>
      <c r="I1400" s="724">
        <v>0</v>
      </c>
      <c r="J1400" s="724">
        <v>0</v>
      </c>
      <c r="K1400" s="724">
        <v>0</v>
      </c>
      <c r="L1400" s="724">
        <v>4674.8333853324093</v>
      </c>
    </row>
    <row r="1401" spans="1:12">
      <c r="A1401" s="722" t="s">
        <v>541</v>
      </c>
      <c r="B1401" s="722">
        <v>100</v>
      </c>
      <c r="C1401" s="723">
        <v>8</v>
      </c>
      <c r="D1401" s="723">
        <v>6</v>
      </c>
      <c r="E1401" s="723">
        <v>0</v>
      </c>
      <c r="F1401" s="723">
        <v>0</v>
      </c>
      <c r="G1401" s="723">
        <v>14</v>
      </c>
      <c r="H1401" s="724">
        <v>1367.0510230410309</v>
      </c>
      <c r="I1401" s="724">
        <v>1025.2882672807732</v>
      </c>
      <c r="J1401" s="724">
        <v>0</v>
      </c>
      <c r="K1401" s="724">
        <v>0</v>
      </c>
      <c r="L1401" s="724">
        <v>2392.3392903218041</v>
      </c>
    </row>
    <row r="1402" spans="1:12">
      <c r="A1402" s="722" t="s">
        <v>541</v>
      </c>
      <c r="B1402" s="722">
        <v>104</v>
      </c>
      <c r="C1402" s="723">
        <v>0</v>
      </c>
      <c r="D1402" s="723">
        <v>1</v>
      </c>
      <c r="E1402" s="723">
        <v>0</v>
      </c>
      <c r="F1402" s="723">
        <v>0</v>
      </c>
      <c r="G1402" s="723">
        <v>1</v>
      </c>
      <c r="H1402" s="724">
        <v>0</v>
      </c>
      <c r="I1402" s="724">
        <v>170.88137788012884</v>
      </c>
      <c r="J1402" s="724">
        <v>0</v>
      </c>
      <c r="K1402" s="724">
        <v>0</v>
      </c>
      <c r="L1402" s="724">
        <v>170.88137788012884</v>
      </c>
    </row>
    <row r="1403" spans="1:12">
      <c r="A1403" s="722" t="s">
        <v>541</v>
      </c>
      <c r="B1403" s="722">
        <v>143</v>
      </c>
      <c r="C1403" s="723">
        <v>2</v>
      </c>
      <c r="D1403" s="723">
        <v>0</v>
      </c>
      <c r="E1403" s="723">
        <v>0</v>
      </c>
      <c r="F1403" s="723">
        <v>0</v>
      </c>
      <c r="G1403" s="723">
        <v>2</v>
      </c>
      <c r="H1403" s="724">
        <v>341.76275576025768</v>
      </c>
      <c r="I1403" s="724">
        <v>0</v>
      </c>
      <c r="J1403" s="724">
        <v>0</v>
      </c>
      <c r="K1403" s="724">
        <v>0</v>
      </c>
      <c r="L1403" s="724">
        <v>341.76275576025768</v>
      </c>
    </row>
    <row r="1404" spans="1:12">
      <c r="A1404" s="722" t="s">
        <v>541</v>
      </c>
      <c r="B1404" s="722">
        <v>300</v>
      </c>
      <c r="C1404" s="723">
        <v>0</v>
      </c>
      <c r="D1404" s="723">
        <v>20</v>
      </c>
      <c r="E1404" s="723">
        <v>0</v>
      </c>
      <c r="F1404" s="723">
        <v>0</v>
      </c>
      <c r="G1404" s="723">
        <v>20</v>
      </c>
      <c r="H1404" s="724">
        <v>0</v>
      </c>
      <c r="I1404" s="724">
        <v>3417.6275576025773</v>
      </c>
      <c r="J1404" s="724">
        <v>0</v>
      </c>
      <c r="K1404" s="724">
        <v>0</v>
      </c>
      <c r="L1404" s="724">
        <v>3417.6275576025769</v>
      </c>
    </row>
    <row r="1405" spans="1:12">
      <c r="A1405" s="722" t="s">
        <v>541</v>
      </c>
      <c r="B1405" s="722">
        <v>301</v>
      </c>
      <c r="C1405" s="723">
        <v>18</v>
      </c>
      <c r="D1405" s="723">
        <v>18</v>
      </c>
      <c r="E1405" s="723">
        <v>0</v>
      </c>
      <c r="F1405" s="723">
        <v>0</v>
      </c>
      <c r="G1405" s="723">
        <v>36</v>
      </c>
      <c r="H1405" s="724">
        <v>3075.8648018423191</v>
      </c>
      <c r="I1405" s="724">
        <v>3075.8648018423191</v>
      </c>
      <c r="J1405" s="724">
        <v>0</v>
      </c>
      <c r="K1405" s="724">
        <v>0</v>
      </c>
      <c r="L1405" s="724">
        <v>6151.7296036846383</v>
      </c>
    </row>
    <row r="1406" spans="1:12">
      <c r="A1406" s="722" t="s">
        <v>541</v>
      </c>
      <c r="B1406" s="722">
        <v>812</v>
      </c>
      <c r="C1406" s="723">
        <v>29</v>
      </c>
      <c r="D1406" s="723">
        <v>2</v>
      </c>
      <c r="E1406" s="723">
        <v>0</v>
      </c>
      <c r="F1406" s="723">
        <v>0</v>
      </c>
      <c r="G1406" s="723">
        <v>31</v>
      </c>
      <c r="H1406" s="724">
        <v>4955.5599585237369</v>
      </c>
      <c r="I1406" s="724">
        <v>341.76275576025768</v>
      </c>
      <c r="J1406" s="724">
        <v>0</v>
      </c>
      <c r="K1406" s="724">
        <v>0</v>
      </c>
      <c r="L1406" s="724">
        <v>5297.3227142839942</v>
      </c>
    </row>
    <row r="1407" spans="1:12">
      <c r="A1407" s="722" t="s">
        <v>562</v>
      </c>
      <c r="B1407" s="722">
        <v>100</v>
      </c>
      <c r="C1407" s="723">
        <v>9</v>
      </c>
      <c r="D1407" s="723">
        <v>5</v>
      </c>
      <c r="E1407" s="723">
        <v>0</v>
      </c>
      <c r="F1407" s="723">
        <v>0</v>
      </c>
      <c r="G1407" s="723">
        <v>14</v>
      </c>
      <c r="H1407" s="724">
        <v>472.01398043069997</v>
      </c>
      <c r="I1407" s="724">
        <v>262.22998912816666</v>
      </c>
      <c r="J1407" s="724">
        <v>0</v>
      </c>
      <c r="K1407" s="724">
        <v>0</v>
      </c>
      <c r="L1407" s="724">
        <v>734.24396955886664</v>
      </c>
    </row>
    <row r="1408" spans="1:12">
      <c r="A1408" s="722" t="s">
        <v>562</v>
      </c>
      <c r="B1408" s="722">
        <v>104</v>
      </c>
      <c r="C1408" s="723">
        <v>272</v>
      </c>
      <c r="D1408" s="723">
        <v>24</v>
      </c>
      <c r="E1408" s="723">
        <v>0</v>
      </c>
      <c r="F1408" s="723">
        <v>0</v>
      </c>
      <c r="G1408" s="723">
        <v>296</v>
      </c>
      <c r="H1408" s="724">
        <v>14265.311408572266</v>
      </c>
      <c r="I1408" s="724">
        <v>1258.7039478152001</v>
      </c>
      <c r="J1408" s="724">
        <v>0</v>
      </c>
      <c r="K1408" s="724">
        <v>0</v>
      </c>
      <c r="L1408" s="724">
        <v>15524.015356387468</v>
      </c>
    </row>
    <row r="1409" spans="1:12">
      <c r="A1409" s="722" t="s">
        <v>562</v>
      </c>
      <c r="B1409" s="722">
        <v>106</v>
      </c>
      <c r="C1409" s="723">
        <v>0</v>
      </c>
      <c r="D1409" s="723">
        <v>2</v>
      </c>
      <c r="E1409" s="723">
        <v>0</v>
      </c>
      <c r="F1409" s="723">
        <v>0</v>
      </c>
      <c r="G1409" s="723">
        <v>2</v>
      </c>
      <c r="H1409" s="724">
        <v>0</v>
      </c>
      <c r="I1409" s="724">
        <v>104.89199565126667</v>
      </c>
      <c r="J1409" s="724">
        <v>0</v>
      </c>
      <c r="K1409" s="724">
        <v>0</v>
      </c>
      <c r="L1409" s="724">
        <v>104.89199565126667</v>
      </c>
    </row>
    <row r="1410" spans="1:12">
      <c r="A1410" s="722" t="s">
        <v>562</v>
      </c>
      <c r="B1410" s="722">
        <v>110</v>
      </c>
      <c r="C1410" s="723">
        <v>0</v>
      </c>
      <c r="D1410" s="723">
        <v>1</v>
      </c>
      <c r="E1410" s="723">
        <v>0</v>
      </c>
      <c r="F1410" s="723">
        <v>0</v>
      </c>
      <c r="G1410" s="723">
        <v>1</v>
      </c>
      <c r="H1410" s="724">
        <v>0</v>
      </c>
      <c r="I1410" s="724">
        <v>52.445997825633334</v>
      </c>
      <c r="J1410" s="724">
        <v>0</v>
      </c>
      <c r="K1410" s="724">
        <v>0</v>
      </c>
      <c r="L1410" s="724">
        <v>52.445997825633334</v>
      </c>
    </row>
    <row r="1411" spans="1:12">
      <c r="A1411" s="722" t="s">
        <v>562</v>
      </c>
      <c r="B1411" s="722">
        <v>130</v>
      </c>
      <c r="C1411" s="723">
        <v>1</v>
      </c>
      <c r="D1411" s="723">
        <v>2</v>
      </c>
      <c r="E1411" s="723">
        <v>0</v>
      </c>
      <c r="F1411" s="723">
        <v>0</v>
      </c>
      <c r="G1411" s="723">
        <v>3</v>
      </c>
      <c r="H1411" s="724">
        <v>52.445997825633334</v>
      </c>
      <c r="I1411" s="724">
        <v>104.89199565126667</v>
      </c>
      <c r="J1411" s="724">
        <v>0</v>
      </c>
      <c r="K1411" s="724">
        <v>0</v>
      </c>
      <c r="L1411" s="724">
        <v>157.33799347690001</v>
      </c>
    </row>
    <row r="1412" spans="1:12">
      <c r="A1412" s="722" t="s">
        <v>562</v>
      </c>
      <c r="B1412" s="722">
        <v>301</v>
      </c>
      <c r="C1412" s="723">
        <v>1</v>
      </c>
      <c r="D1412" s="723">
        <v>1</v>
      </c>
      <c r="E1412" s="723">
        <v>0</v>
      </c>
      <c r="F1412" s="723">
        <v>0</v>
      </c>
      <c r="G1412" s="723">
        <v>2</v>
      </c>
      <c r="H1412" s="724">
        <v>52.445997825633334</v>
      </c>
      <c r="I1412" s="724">
        <v>52.445997825633334</v>
      </c>
      <c r="J1412" s="724">
        <v>0</v>
      </c>
      <c r="K1412" s="724">
        <v>0</v>
      </c>
      <c r="L1412" s="724">
        <v>104.89199565126667</v>
      </c>
    </row>
    <row r="1413" spans="1:12">
      <c r="A1413" s="722" t="s">
        <v>562</v>
      </c>
      <c r="B1413" s="722">
        <v>304</v>
      </c>
      <c r="C1413" s="723">
        <v>1</v>
      </c>
      <c r="D1413" s="723">
        <v>1</v>
      </c>
      <c r="E1413" s="723">
        <v>0</v>
      </c>
      <c r="F1413" s="723">
        <v>0</v>
      </c>
      <c r="G1413" s="723">
        <v>2</v>
      </c>
      <c r="H1413" s="724">
        <v>52.445997825633334</v>
      </c>
      <c r="I1413" s="724">
        <v>52.445997825633334</v>
      </c>
      <c r="J1413" s="724">
        <v>0</v>
      </c>
      <c r="K1413" s="724">
        <v>0</v>
      </c>
      <c r="L1413" s="724">
        <v>104.89199565126667</v>
      </c>
    </row>
    <row r="1414" spans="1:12">
      <c r="A1414" s="722" t="s">
        <v>562</v>
      </c>
      <c r="B1414" s="722">
        <v>330</v>
      </c>
      <c r="C1414" s="723">
        <v>4</v>
      </c>
      <c r="D1414" s="723">
        <v>1</v>
      </c>
      <c r="E1414" s="723">
        <v>0</v>
      </c>
      <c r="F1414" s="723">
        <v>0</v>
      </c>
      <c r="G1414" s="723">
        <v>5</v>
      </c>
      <c r="H1414" s="724">
        <v>209.78399130253337</v>
      </c>
      <c r="I1414" s="724">
        <v>52.445997825633341</v>
      </c>
      <c r="J1414" s="724">
        <v>0</v>
      </c>
      <c r="K1414" s="724">
        <v>0</v>
      </c>
      <c r="L1414" s="724">
        <v>262.22998912816672</v>
      </c>
    </row>
    <row r="1415" spans="1:12">
      <c r="A1415" s="722" t="s">
        <v>562</v>
      </c>
      <c r="B1415" s="722">
        <v>502</v>
      </c>
      <c r="C1415" s="723">
        <v>1</v>
      </c>
      <c r="D1415" s="723">
        <v>0</v>
      </c>
      <c r="E1415" s="723">
        <v>0</v>
      </c>
      <c r="F1415" s="723">
        <v>0</v>
      </c>
      <c r="G1415" s="723">
        <v>1</v>
      </c>
      <c r="H1415" s="724">
        <v>52.445997825633334</v>
      </c>
      <c r="I1415" s="724">
        <v>0</v>
      </c>
      <c r="J1415" s="724">
        <v>0</v>
      </c>
      <c r="K1415" s="724">
        <v>0</v>
      </c>
      <c r="L1415" s="724">
        <v>52.445997825633334</v>
      </c>
    </row>
    <row r="1416" spans="1:12">
      <c r="A1416" s="722" t="s">
        <v>562</v>
      </c>
      <c r="B1416" s="722">
        <v>800</v>
      </c>
      <c r="C1416" s="723">
        <v>0</v>
      </c>
      <c r="D1416" s="723">
        <v>1</v>
      </c>
      <c r="E1416" s="723">
        <v>0</v>
      </c>
      <c r="F1416" s="723">
        <v>0</v>
      </c>
      <c r="G1416" s="723">
        <v>1</v>
      </c>
      <c r="H1416" s="724">
        <v>0</v>
      </c>
      <c r="I1416" s="724">
        <v>52.445997825633334</v>
      </c>
      <c r="J1416" s="724">
        <v>0</v>
      </c>
      <c r="K1416" s="724">
        <v>0</v>
      </c>
      <c r="L1416" s="724">
        <v>52.445997825633334</v>
      </c>
    </row>
    <row r="1417" spans="1:12">
      <c r="A1417" s="722" t="s">
        <v>594</v>
      </c>
      <c r="B1417" s="722">
        <v>100</v>
      </c>
      <c r="C1417" s="723">
        <v>1</v>
      </c>
      <c r="D1417" s="723">
        <v>3</v>
      </c>
      <c r="E1417" s="723">
        <v>0</v>
      </c>
      <c r="F1417" s="723">
        <v>0</v>
      </c>
      <c r="G1417" s="723">
        <v>4</v>
      </c>
      <c r="H1417" s="724">
        <v>112.024780641189</v>
      </c>
      <c r="I1417" s="724">
        <v>336.07434192356698</v>
      </c>
      <c r="J1417" s="724">
        <v>0</v>
      </c>
      <c r="K1417" s="724">
        <v>0</v>
      </c>
      <c r="L1417" s="724">
        <v>448.09912256475599</v>
      </c>
    </row>
    <row r="1418" spans="1:12">
      <c r="A1418" s="722" t="s">
        <v>594</v>
      </c>
      <c r="B1418" s="722">
        <v>104</v>
      </c>
      <c r="C1418" s="723">
        <v>0</v>
      </c>
      <c r="D1418" s="723">
        <v>2</v>
      </c>
      <c r="E1418" s="723">
        <v>0</v>
      </c>
      <c r="F1418" s="723">
        <v>0</v>
      </c>
      <c r="G1418" s="723">
        <v>2</v>
      </c>
      <c r="H1418" s="724">
        <v>0</v>
      </c>
      <c r="I1418" s="724">
        <v>224.04956128237799</v>
      </c>
      <c r="J1418" s="724">
        <v>0</v>
      </c>
      <c r="K1418" s="724">
        <v>0</v>
      </c>
      <c r="L1418" s="724">
        <v>224.04956128237799</v>
      </c>
    </row>
    <row r="1419" spans="1:12">
      <c r="A1419" s="722" t="s">
        <v>594</v>
      </c>
      <c r="B1419" s="722">
        <v>120</v>
      </c>
      <c r="C1419" s="723">
        <v>0</v>
      </c>
      <c r="D1419" s="723">
        <v>1</v>
      </c>
      <c r="E1419" s="723">
        <v>0</v>
      </c>
      <c r="F1419" s="723">
        <v>0</v>
      </c>
      <c r="G1419" s="723">
        <v>1</v>
      </c>
      <c r="H1419" s="724">
        <v>0</v>
      </c>
      <c r="I1419" s="724">
        <v>112.024780641189</v>
      </c>
      <c r="J1419" s="724">
        <v>0</v>
      </c>
      <c r="K1419" s="724">
        <v>0</v>
      </c>
      <c r="L1419" s="724">
        <v>112.024780641189</v>
      </c>
    </row>
    <row r="1420" spans="1:12">
      <c r="A1420" s="722" t="s">
        <v>594</v>
      </c>
      <c r="B1420" s="722">
        <v>130</v>
      </c>
      <c r="C1420" s="723">
        <v>0</v>
      </c>
      <c r="D1420" s="723">
        <v>1</v>
      </c>
      <c r="E1420" s="723">
        <v>0</v>
      </c>
      <c r="F1420" s="723">
        <v>0</v>
      </c>
      <c r="G1420" s="723">
        <v>1</v>
      </c>
      <c r="H1420" s="724">
        <v>0</v>
      </c>
      <c r="I1420" s="724">
        <v>112.024780641189</v>
      </c>
      <c r="J1420" s="724">
        <v>0</v>
      </c>
      <c r="K1420" s="724">
        <v>0</v>
      </c>
      <c r="L1420" s="724">
        <v>112.024780641189</v>
      </c>
    </row>
    <row r="1421" spans="1:12">
      <c r="A1421" s="722" t="s">
        <v>594</v>
      </c>
      <c r="B1421" s="722">
        <v>160</v>
      </c>
      <c r="C1421" s="723">
        <v>1</v>
      </c>
      <c r="D1421" s="723">
        <v>0</v>
      </c>
      <c r="E1421" s="723">
        <v>0</v>
      </c>
      <c r="F1421" s="723">
        <v>0</v>
      </c>
      <c r="G1421" s="723">
        <v>1</v>
      </c>
      <c r="H1421" s="724">
        <v>112.024780641189</v>
      </c>
      <c r="I1421" s="724">
        <v>0</v>
      </c>
      <c r="J1421" s="724">
        <v>0</v>
      </c>
      <c r="K1421" s="724">
        <v>0</v>
      </c>
      <c r="L1421" s="724">
        <v>112.024780641189</v>
      </c>
    </row>
    <row r="1422" spans="1:12">
      <c r="A1422" s="722" t="s">
        <v>594</v>
      </c>
      <c r="B1422" s="722">
        <v>301</v>
      </c>
      <c r="C1422" s="723">
        <v>1</v>
      </c>
      <c r="D1422" s="723">
        <v>0</v>
      </c>
      <c r="E1422" s="723">
        <v>0</v>
      </c>
      <c r="F1422" s="723">
        <v>0</v>
      </c>
      <c r="G1422" s="723">
        <v>1</v>
      </c>
      <c r="H1422" s="724">
        <v>112.024780641189</v>
      </c>
      <c r="I1422" s="724">
        <v>0</v>
      </c>
      <c r="J1422" s="724">
        <v>0</v>
      </c>
      <c r="K1422" s="724">
        <v>0</v>
      </c>
      <c r="L1422" s="724">
        <v>112.024780641189</v>
      </c>
    </row>
    <row r="1423" spans="1:12">
      <c r="A1423" s="722" t="s">
        <v>618</v>
      </c>
      <c r="B1423" s="722">
        <v>100</v>
      </c>
      <c r="C1423" s="723">
        <v>4</v>
      </c>
      <c r="D1423" s="723">
        <v>1</v>
      </c>
      <c r="E1423" s="723">
        <v>0</v>
      </c>
      <c r="F1423" s="723">
        <v>0</v>
      </c>
      <c r="G1423" s="723">
        <v>5</v>
      </c>
      <c r="H1423" s="724">
        <v>146.74846195685819</v>
      </c>
      <c r="I1423" s="724">
        <v>36.687115489214548</v>
      </c>
      <c r="J1423" s="724">
        <v>0</v>
      </c>
      <c r="K1423" s="724">
        <v>0</v>
      </c>
      <c r="L1423" s="724">
        <v>183.43557744607273</v>
      </c>
    </row>
    <row r="1424" spans="1:12">
      <c r="A1424" s="722" t="s">
        <v>618</v>
      </c>
      <c r="B1424" s="722">
        <v>104</v>
      </c>
      <c r="C1424" s="723">
        <v>3</v>
      </c>
      <c r="D1424" s="723">
        <v>0</v>
      </c>
      <c r="E1424" s="723">
        <v>0</v>
      </c>
      <c r="F1424" s="723">
        <v>0</v>
      </c>
      <c r="G1424" s="723">
        <v>3</v>
      </c>
      <c r="H1424" s="724">
        <v>110.06134646764365</v>
      </c>
      <c r="I1424" s="724">
        <v>0</v>
      </c>
      <c r="J1424" s="724">
        <v>0</v>
      </c>
      <c r="K1424" s="724">
        <v>0</v>
      </c>
      <c r="L1424" s="724">
        <v>110.06134646764363</v>
      </c>
    </row>
    <row r="1425" spans="1:12">
      <c r="A1425" s="722" t="s">
        <v>618</v>
      </c>
      <c r="B1425" s="722">
        <v>107</v>
      </c>
      <c r="C1425" s="723">
        <v>0</v>
      </c>
      <c r="D1425" s="723">
        <v>1</v>
      </c>
      <c r="E1425" s="723">
        <v>0</v>
      </c>
      <c r="F1425" s="723">
        <v>0</v>
      </c>
      <c r="G1425" s="723">
        <v>1</v>
      </c>
      <c r="H1425" s="724">
        <v>0</v>
      </c>
      <c r="I1425" s="724">
        <v>36.687115489214541</v>
      </c>
      <c r="J1425" s="724">
        <v>0</v>
      </c>
      <c r="K1425" s="724">
        <v>0</v>
      </c>
      <c r="L1425" s="724">
        <v>36.687115489214541</v>
      </c>
    </row>
    <row r="1426" spans="1:12">
      <c r="A1426" s="722" t="s">
        <v>618</v>
      </c>
      <c r="B1426" s="722">
        <v>120</v>
      </c>
      <c r="C1426" s="723">
        <v>15</v>
      </c>
      <c r="D1426" s="723">
        <v>7</v>
      </c>
      <c r="E1426" s="723">
        <v>0</v>
      </c>
      <c r="F1426" s="723">
        <v>0</v>
      </c>
      <c r="G1426" s="723">
        <v>22</v>
      </c>
      <c r="H1426" s="724">
        <v>550.30673233821824</v>
      </c>
      <c r="I1426" s="724">
        <v>256.80980842450185</v>
      </c>
      <c r="J1426" s="724">
        <v>0</v>
      </c>
      <c r="K1426" s="724">
        <v>0</v>
      </c>
      <c r="L1426" s="724">
        <v>807.11654076271998</v>
      </c>
    </row>
    <row r="1427" spans="1:12">
      <c r="A1427" s="722" t="s">
        <v>618</v>
      </c>
      <c r="B1427" s="722">
        <v>144</v>
      </c>
      <c r="C1427" s="723">
        <v>1</v>
      </c>
      <c r="D1427" s="723">
        <v>0</v>
      </c>
      <c r="E1427" s="723">
        <v>0</v>
      </c>
      <c r="F1427" s="723">
        <v>0</v>
      </c>
      <c r="G1427" s="723">
        <v>1</v>
      </c>
      <c r="H1427" s="724">
        <v>36.687115489214541</v>
      </c>
      <c r="I1427" s="724">
        <v>0</v>
      </c>
      <c r="J1427" s="724">
        <v>0</v>
      </c>
      <c r="K1427" s="724">
        <v>0</v>
      </c>
      <c r="L1427" s="724">
        <v>36.687115489214541</v>
      </c>
    </row>
    <row r="1428" spans="1:12">
      <c r="A1428" s="722" t="s">
        <v>618</v>
      </c>
      <c r="B1428" s="722">
        <v>160</v>
      </c>
      <c r="C1428" s="723">
        <v>3</v>
      </c>
      <c r="D1428" s="723">
        <v>0</v>
      </c>
      <c r="E1428" s="723">
        <v>0</v>
      </c>
      <c r="F1428" s="723">
        <v>0</v>
      </c>
      <c r="G1428" s="723">
        <v>3</v>
      </c>
      <c r="H1428" s="724">
        <v>110.06134646764365</v>
      </c>
      <c r="I1428" s="724">
        <v>0</v>
      </c>
      <c r="J1428" s="724">
        <v>0</v>
      </c>
      <c r="K1428" s="724">
        <v>0</v>
      </c>
      <c r="L1428" s="724">
        <v>110.06134646764363</v>
      </c>
    </row>
    <row r="1429" spans="1:12">
      <c r="A1429" s="722" t="s">
        <v>618</v>
      </c>
      <c r="B1429" s="722">
        <v>307</v>
      </c>
      <c r="C1429" s="723">
        <v>9</v>
      </c>
      <c r="D1429" s="723">
        <v>0</v>
      </c>
      <c r="E1429" s="723">
        <v>0</v>
      </c>
      <c r="F1429" s="723">
        <v>0</v>
      </c>
      <c r="G1429" s="723">
        <v>9</v>
      </c>
      <c r="H1429" s="724">
        <v>330.18403940293086</v>
      </c>
      <c r="I1429" s="724">
        <v>0</v>
      </c>
      <c r="J1429" s="724">
        <v>0</v>
      </c>
      <c r="K1429" s="724">
        <v>0</v>
      </c>
      <c r="L1429" s="724">
        <v>330.18403940293086</v>
      </c>
    </row>
    <row r="1430" spans="1:12">
      <c r="A1430" s="722" t="s">
        <v>637</v>
      </c>
      <c r="B1430" s="722">
        <v>100</v>
      </c>
      <c r="C1430" s="723">
        <v>20</v>
      </c>
      <c r="D1430" s="723">
        <v>39</v>
      </c>
      <c r="E1430" s="723">
        <v>0</v>
      </c>
      <c r="F1430" s="723">
        <v>0</v>
      </c>
      <c r="G1430" s="723">
        <v>59</v>
      </c>
      <c r="H1430" s="724">
        <v>1156.6879322383797</v>
      </c>
      <c r="I1430" s="724">
        <v>2255.5414678648408</v>
      </c>
      <c r="J1430" s="724">
        <v>0</v>
      </c>
      <c r="K1430" s="724">
        <v>0</v>
      </c>
      <c r="L1430" s="724">
        <v>3412.2294001032205</v>
      </c>
    </row>
    <row r="1431" spans="1:12">
      <c r="A1431" s="722" t="s">
        <v>637</v>
      </c>
      <c r="B1431" s="722">
        <v>101</v>
      </c>
      <c r="C1431" s="723">
        <v>1</v>
      </c>
      <c r="D1431" s="723">
        <v>0</v>
      </c>
      <c r="E1431" s="723">
        <v>0</v>
      </c>
      <c r="F1431" s="723">
        <v>0</v>
      </c>
      <c r="G1431" s="723">
        <v>1</v>
      </c>
      <c r="H1431" s="724">
        <v>57.834396611918997</v>
      </c>
      <c r="I1431" s="724">
        <v>0</v>
      </c>
      <c r="J1431" s="724">
        <v>0</v>
      </c>
      <c r="K1431" s="724">
        <v>0</v>
      </c>
      <c r="L1431" s="724">
        <v>57.834396611918997</v>
      </c>
    </row>
    <row r="1432" spans="1:12">
      <c r="A1432" s="722" t="s">
        <v>637</v>
      </c>
      <c r="B1432" s="722">
        <v>104</v>
      </c>
      <c r="C1432" s="723">
        <v>13</v>
      </c>
      <c r="D1432" s="723">
        <v>19</v>
      </c>
      <c r="E1432" s="723">
        <v>0</v>
      </c>
      <c r="F1432" s="723">
        <v>0</v>
      </c>
      <c r="G1432" s="723">
        <v>32</v>
      </c>
      <c r="H1432" s="724">
        <v>751.84715595494697</v>
      </c>
      <c r="I1432" s="724">
        <v>1098.8535356264611</v>
      </c>
      <c r="J1432" s="724">
        <v>0</v>
      </c>
      <c r="K1432" s="724">
        <v>0</v>
      </c>
      <c r="L1432" s="724">
        <v>1850.7006915814079</v>
      </c>
    </row>
    <row r="1433" spans="1:12">
      <c r="A1433" s="722" t="s">
        <v>637</v>
      </c>
      <c r="B1433" s="722">
        <v>110</v>
      </c>
      <c r="C1433" s="723">
        <v>3</v>
      </c>
      <c r="D1433" s="723">
        <v>0</v>
      </c>
      <c r="E1433" s="723">
        <v>0</v>
      </c>
      <c r="F1433" s="723">
        <v>0</v>
      </c>
      <c r="G1433" s="723">
        <v>3</v>
      </c>
      <c r="H1433" s="724">
        <v>173.50318983575698</v>
      </c>
      <c r="I1433" s="724">
        <v>0</v>
      </c>
      <c r="J1433" s="724">
        <v>0</v>
      </c>
      <c r="K1433" s="724">
        <v>0</v>
      </c>
      <c r="L1433" s="724">
        <v>173.50318983575698</v>
      </c>
    </row>
    <row r="1434" spans="1:12">
      <c r="A1434" s="722" t="s">
        <v>637</v>
      </c>
      <c r="B1434" s="722">
        <v>120</v>
      </c>
      <c r="C1434" s="723">
        <v>0</v>
      </c>
      <c r="D1434" s="723">
        <v>1</v>
      </c>
      <c r="E1434" s="723">
        <v>0</v>
      </c>
      <c r="F1434" s="723">
        <v>0</v>
      </c>
      <c r="G1434" s="723">
        <v>1</v>
      </c>
      <c r="H1434" s="724">
        <v>0</v>
      </c>
      <c r="I1434" s="724">
        <v>57.834396611918997</v>
      </c>
      <c r="J1434" s="724">
        <v>0</v>
      </c>
      <c r="K1434" s="724">
        <v>0</v>
      </c>
      <c r="L1434" s="724">
        <v>57.834396611918997</v>
      </c>
    </row>
    <row r="1435" spans="1:12">
      <c r="A1435" s="722" t="s">
        <v>637</v>
      </c>
      <c r="B1435" s="722">
        <v>130</v>
      </c>
      <c r="C1435" s="723">
        <v>44</v>
      </c>
      <c r="D1435" s="723">
        <v>30</v>
      </c>
      <c r="E1435" s="723">
        <v>0</v>
      </c>
      <c r="F1435" s="723">
        <v>0</v>
      </c>
      <c r="G1435" s="723">
        <v>74</v>
      </c>
      <c r="H1435" s="724">
        <v>2544.7134509244356</v>
      </c>
      <c r="I1435" s="724">
        <v>1735.0318983575696</v>
      </c>
      <c r="J1435" s="724">
        <v>0</v>
      </c>
      <c r="K1435" s="724">
        <v>0</v>
      </c>
      <c r="L1435" s="724">
        <v>4279.745349282005</v>
      </c>
    </row>
    <row r="1436" spans="1:12">
      <c r="A1436" s="722" t="s">
        <v>637</v>
      </c>
      <c r="B1436" s="722">
        <v>144</v>
      </c>
      <c r="C1436" s="723">
        <v>1</v>
      </c>
      <c r="D1436" s="723">
        <v>0</v>
      </c>
      <c r="E1436" s="723">
        <v>0</v>
      </c>
      <c r="F1436" s="723">
        <v>0</v>
      </c>
      <c r="G1436" s="723">
        <v>1</v>
      </c>
      <c r="H1436" s="724">
        <v>57.834396611918997</v>
      </c>
      <c r="I1436" s="724">
        <v>0</v>
      </c>
      <c r="J1436" s="724">
        <v>0</v>
      </c>
      <c r="K1436" s="724">
        <v>0</v>
      </c>
      <c r="L1436" s="724">
        <v>57.834396611918997</v>
      </c>
    </row>
    <row r="1437" spans="1:12">
      <c r="A1437" s="722" t="s">
        <v>637</v>
      </c>
      <c r="B1437" s="722">
        <v>300</v>
      </c>
      <c r="C1437" s="723">
        <v>0</v>
      </c>
      <c r="D1437" s="723">
        <v>1</v>
      </c>
      <c r="E1437" s="723">
        <v>0</v>
      </c>
      <c r="F1437" s="723">
        <v>0</v>
      </c>
      <c r="G1437" s="723">
        <v>1</v>
      </c>
      <c r="H1437" s="724">
        <v>0</v>
      </c>
      <c r="I1437" s="724">
        <v>57.834396611918997</v>
      </c>
      <c r="J1437" s="724">
        <v>0</v>
      </c>
      <c r="K1437" s="724">
        <v>0</v>
      </c>
      <c r="L1437" s="724">
        <v>57.834396611918997</v>
      </c>
    </row>
    <row r="1438" spans="1:12">
      <c r="A1438" s="722" t="s">
        <v>637</v>
      </c>
      <c r="B1438" s="722">
        <v>301</v>
      </c>
      <c r="C1438" s="723">
        <v>0</v>
      </c>
      <c r="D1438" s="723">
        <v>1</v>
      </c>
      <c r="E1438" s="723">
        <v>0</v>
      </c>
      <c r="F1438" s="723">
        <v>0</v>
      </c>
      <c r="G1438" s="723">
        <v>1</v>
      </c>
      <c r="H1438" s="724">
        <v>0</v>
      </c>
      <c r="I1438" s="724">
        <v>57.834396611918997</v>
      </c>
      <c r="J1438" s="724">
        <v>0</v>
      </c>
      <c r="K1438" s="724">
        <v>0</v>
      </c>
      <c r="L1438" s="724">
        <v>57.834396611918997</v>
      </c>
    </row>
    <row r="1439" spans="1:12">
      <c r="A1439" s="722" t="s">
        <v>637</v>
      </c>
      <c r="B1439" s="722">
        <v>302</v>
      </c>
      <c r="C1439" s="723">
        <v>1</v>
      </c>
      <c r="D1439" s="723">
        <v>0</v>
      </c>
      <c r="E1439" s="723">
        <v>0</v>
      </c>
      <c r="F1439" s="723">
        <v>0</v>
      </c>
      <c r="G1439" s="723">
        <v>1</v>
      </c>
      <c r="H1439" s="724">
        <v>57.834396611918997</v>
      </c>
      <c r="I1439" s="724">
        <v>0</v>
      </c>
      <c r="J1439" s="724">
        <v>0</v>
      </c>
      <c r="K1439" s="724">
        <v>0</v>
      </c>
      <c r="L1439" s="724">
        <v>57.834396611918997</v>
      </c>
    </row>
    <row r="1440" spans="1:12">
      <c r="A1440" s="722" t="s">
        <v>637</v>
      </c>
      <c r="B1440" s="722">
        <v>370</v>
      </c>
      <c r="C1440" s="723">
        <v>0</v>
      </c>
      <c r="D1440" s="723">
        <v>1</v>
      </c>
      <c r="E1440" s="723">
        <v>0</v>
      </c>
      <c r="F1440" s="723">
        <v>0</v>
      </c>
      <c r="G1440" s="723">
        <v>1</v>
      </c>
      <c r="H1440" s="724">
        <v>0</v>
      </c>
      <c r="I1440" s="724">
        <v>57.834396611918997</v>
      </c>
      <c r="J1440" s="724">
        <v>0</v>
      </c>
      <c r="K1440" s="724">
        <v>0</v>
      </c>
      <c r="L1440" s="724">
        <v>57.834396611918997</v>
      </c>
    </row>
    <row r="1441" spans="1:12">
      <c r="A1441" s="722" t="s">
        <v>637</v>
      </c>
      <c r="B1441" s="722">
        <v>430</v>
      </c>
      <c r="C1441" s="723">
        <v>0</v>
      </c>
      <c r="D1441" s="723">
        <v>1</v>
      </c>
      <c r="E1441" s="723">
        <v>0</v>
      </c>
      <c r="F1441" s="723">
        <v>0</v>
      </c>
      <c r="G1441" s="723">
        <v>1</v>
      </c>
      <c r="H1441" s="724">
        <v>0</v>
      </c>
      <c r="I1441" s="724">
        <v>57.834396611918997</v>
      </c>
      <c r="J1441" s="724">
        <v>0</v>
      </c>
      <c r="K1441" s="724">
        <v>0</v>
      </c>
      <c r="L1441" s="724">
        <v>57.834396611918997</v>
      </c>
    </row>
    <row r="1442" spans="1:12">
      <c r="A1442" s="722" t="s">
        <v>637</v>
      </c>
      <c r="B1442" s="722">
        <v>501</v>
      </c>
      <c r="C1442" s="723">
        <v>1</v>
      </c>
      <c r="D1442" s="723">
        <v>0</v>
      </c>
      <c r="E1442" s="723">
        <v>0</v>
      </c>
      <c r="F1442" s="723">
        <v>0</v>
      </c>
      <c r="G1442" s="723">
        <v>1</v>
      </c>
      <c r="H1442" s="724">
        <v>57.834396611918997</v>
      </c>
      <c r="I1442" s="724">
        <v>0</v>
      </c>
      <c r="J1442" s="724">
        <v>0</v>
      </c>
      <c r="K1442" s="724">
        <v>0</v>
      </c>
      <c r="L1442" s="724">
        <v>57.834396611918997</v>
      </c>
    </row>
    <row r="1443" spans="1:12">
      <c r="A1443" s="722" t="s">
        <v>637</v>
      </c>
      <c r="B1443" s="722">
        <v>502</v>
      </c>
      <c r="C1443" s="723">
        <v>0</v>
      </c>
      <c r="D1443" s="723">
        <v>1</v>
      </c>
      <c r="E1443" s="723">
        <v>0</v>
      </c>
      <c r="F1443" s="723">
        <v>0</v>
      </c>
      <c r="G1443" s="723">
        <v>1</v>
      </c>
      <c r="H1443" s="724">
        <v>0</v>
      </c>
      <c r="I1443" s="724">
        <v>57.834396611918997</v>
      </c>
      <c r="J1443" s="724">
        <v>0</v>
      </c>
      <c r="K1443" s="724">
        <v>0</v>
      </c>
      <c r="L1443" s="724">
        <v>57.834396611918997</v>
      </c>
    </row>
    <row r="1444" spans="1:12">
      <c r="A1444" s="722" t="s">
        <v>637</v>
      </c>
      <c r="B1444" s="722">
        <v>560</v>
      </c>
      <c r="C1444" s="723">
        <v>1</v>
      </c>
      <c r="D1444" s="723">
        <v>0</v>
      </c>
      <c r="E1444" s="723">
        <v>0</v>
      </c>
      <c r="F1444" s="723">
        <v>0</v>
      </c>
      <c r="G1444" s="723">
        <v>1</v>
      </c>
      <c r="H1444" s="724">
        <v>57.834396611918997</v>
      </c>
      <c r="I1444" s="724">
        <v>0</v>
      </c>
      <c r="J1444" s="724">
        <v>0</v>
      </c>
      <c r="K1444" s="724">
        <v>0</v>
      </c>
      <c r="L1444" s="724">
        <v>57.834396611918997</v>
      </c>
    </row>
    <row r="1445" spans="1:12">
      <c r="A1445" s="722" t="s">
        <v>557</v>
      </c>
      <c r="B1445" s="722">
        <v>100</v>
      </c>
      <c r="C1445" s="723">
        <v>0</v>
      </c>
      <c r="D1445" s="723">
        <v>1</v>
      </c>
      <c r="E1445" s="723">
        <v>0</v>
      </c>
      <c r="F1445" s="723">
        <v>0</v>
      </c>
      <c r="G1445" s="723">
        <v>1</v>
      </c>
      <c r="H1445" s="724">
        <v>0</v>
      </c>
      <c r="I1445" s="724">
        <v>55.574115091153253</v>
      </c>
      <c r="J1445" s="724">
        <v>0</v>
      </c>
      <c r="K1445" s="724">
        <v>0</v>
      </c>
      <c r="L1445" s="724">
        <v>55.574115091153253</v>
      </c>
    </row>
    <row r="1446" spans="1:12">
      <c r="A1446" s="722" t="s">
        <v>557</v>
      </c>
      <c r="B1446" s="722">
        <v>104</v>
      </c>
      <c r="C1446" s="723">
        <v>1</v>
      </c>
      <c r="D1446" s="723">
        <v>0</v>
      </c>
      <c r="E1446" s="723">
        <v>0</v>
      </c>
      <c r="F1446" s="723">
        <v>0</v>
      </c>
      <c r="G1446" s="723">
        <v>1</v>
      </c>
      <c r="H1446" s="724">
        <v>55.574115091153253</v>
      </c>
      <c r="I1446" s="724">
        <v>0</v>
      </c>
      <c r="J1446" s="724">
        <v>0</v>
      </c>
      <c r="K1446" s="724">
        <v>0</v>
      </c>
      <c r="L1446" s="724">
        <v>55.574115091153253</v>
      </c>
    </row>
    <row r="1447" spans="1:12">
      <c r="A1447" s="722" t="s">
        <v>557</v>
      </c>
      <c r="B1447" s="722">
        <v>110</v>
      </c>
      <c r="C1447" s="723">
        <v>1</v>
      </c>
      <c r="D1447" s="723">
        <v>0</v>
      </c>
      <c r="E1447" s="723">
        <v>0</v>
      </c>
      <c r="F1447" s="723">
        <v>0</v>
      </c>
      <c r="G1447" s="723">
        <v>1</v>
      </c>
      <c r="H1447" s="724">
        <v>55.574115091153253</v>
      </c>
      <c r="I1447" s="724">
        <v>0</v>
      </c>
      <c r="J1447" s="724">
        <v>0</v>
      </c>
      <c r="K1447" s="724">
        <v>0</v>
      </c>
      <c r="L1447" s="724">
        <v>55.574115091153253</v>
      </c>
    </row>
    <row r="1448" spans="1:12">
      <c r="A1448" s="722" t="s">
        <v>557</v>
      </c>
      <c r="B1448" s="722">
        <v>130</v>
      </c>
      <c r="C1448" s="723">
        <v>2</v>
      </c>
      <c r="D1448" s="723">
        <v>2</v>
      </c>
      <c r="E1448" s="723">
        <v>0</v>
      </c>
      <c r="F1448" s="723">
        <v>0</v>
      </c>
      <c r="G1448" s="723">
        <v>4</v>
      </c>
      <c r="H1448" s="724">
        <v>111.14823018230651</v>
      </c>
      <c r="I1448" s="724">
        <v>111.14823018230651</v>
      </c>
      <c r="J1448" s="724">
        <v>0</v>
      </c>
      <c r="K1448" s="724">
        <v>0</v>
      </c>
      <c r="L1448" s="724">
        <v>222.29646036461301</v>
      </c>
    </row>
    <row r="1449" spans="1:12">
      <c r="A1449" s="722" t="s">
        <v>557</v>
      </c>
      <c r="B1449" s="722">
        <v>251</v>
      </c>
      <c r="C1449" s="723">
        <v>0</v>
      </c>
      <c r="D1449" s="723">
        <v>1</v>
      </c>
      <c r="E1449" s="723">
        <v>0</v>
      </c>
      <c r="F1449" s="723">
        <v>0</v>
      </c>
      <c r="G1449" s="723">
        <v>1</v>
      </c>
      <c r="H1449" s="724">
        <v>0</v>
      </c>
      <c r="I1449" s="724">
        <v>55.574115091153253</v>
      </c>
      <c r="J1449" s="724">
        <v>0</v>
      </c>
      <c r="K1449" s="724">
        <v>0</v>
      </c>
      <c r="L1449" s="724">
        <v>55.574115091153253</v>
      </c>
    </row>
    <row r="1450" spans="1:12">
      <c r="A1450" s="722" t="s">
        <v>548</v>
      </c>
      <c r="B1450" s="722">
        <v>171</v>
      </c>
      <c r="C1450" s="723">
        <v>1</v>
      </c>
      <c r="D1450" s="723">
        <v>0</v>
      </c>
      <c r="E1450" s="723">
        <v>0</v>
      </c>
      <c r="F1450" s="723">
        <v>0</v>
      </c>
      <c r="G1450" s="723">
        <v>1</v>
      </c>
      <c r="H1450" s="724">
        <v>209.04789653717299</v>
      </c>
      <c r="I1450" s="724">
        <v>0</v>
      </c>
      <c r="J1450" s="724">
        <v>0</v>
      </c>
      <c r="K1450" s="724">
        <v>0</v>
      </c>
      <c r="L1450" s="724">
        <v>209.04789653717299</v>
      </c>
    </row>
    <row r="1451" spans="1:12">
      <c r="A1451" s="722" t="s">
        <v>617</v>
      </c>
      <c r="B1451" s="722">
        <v>100</v>
      </c>
      <c r="C1451" s="723">
        <v>42</v>
      </c>
      <c r="D1451" s="723">
        <v>1</v>
      </c>
      <c r="E1451" s="723">
        <v>0</v>
      </c>
      <c r="F1451" s="723">
        <v>0</v>
      </c>
      <c r="G1451" s="723">
        <v>43</v>
      </c>
      <c r="H1451" s="724">
        <v>4125.8864737264093</v>
      </c>
      <c r="I1451" s="724">
        <v>98.235392231581187</v>
      </c>
      <c r="J1451" s="724">
        <v>0</v>
      </c>
      <c r="K1451" s="724">
        <v>0</v>
      </c>
      <c r="L1451" s="724">
        <v>4224.1218659579908</v>
      </c>
    </row>
    <row r="1452" spans="1:12">
      <c r="A1452" s="722" t="s">
        <v>617</v>
      </c>
      <c r="B1452" s="722">
        <v>103</v>
      </c>
      <c r="C1452" s="723">
        <v>0</v>
      </c>
      <c r="D1452" s="723">
        <v>1</v>
      </c>
      <c r="E1452" s="723">
        <v>0</v>
      </c>
      <c r="F1452" s="723">
        <v>0</v>
      </c>
      <c r="G1452" s="723">
        <v>1</v>
      </c>
      <c r="H1452" s="724">
        <v>0</v>
      </c>
      <c r="I1452" s="724">
        <v>98.235392231581187</v>
      </c>
      <c r="J1452" s="724">
        <v>0</v>
      </c>
      <c r="K1452" s="724">
        <v>0</v>
      </c>
      <c r="L1452" s="724">
        <v>98.235392231581187</v>
      </c>
    </row>
    <row r="1453" spans="1:12">
      <c r="A1453" s="722" t="s">
        <v>617</v>
      </c>
      <c r="B1453" s="722">
        <v>104</v>
      </c>
      <c r="C1453" s="723">
        <v>1</v>
      </c>
      <c r="D1453" s="723">
        <v>4</v>
      </c>
      <c r="E1453" s="723">
        <v>0</v>
      </c>
      <c r="F1453" s="723">
        <v>0</v>
      </c>
      <c r="G1453" s="723">
        <v>5</v>
      </c>
      <c r="H1453" s="724">
        <v>98.235392231581187</v>
      </c>
      <c r="I1453" s="724">
        <v>392.94156892632475</v>
      </c>
      <c r="J1453" s="724">
        <v>0</v>
      </c>
      <c r="K1453" s="724">
        <v>0</v>
      </c>
      <c r="L1453" s="724">
        <v>491.17696115790596</v>
      </c>
    </row>
    <row r="1454" spans="1:12">
      <c r="A1454" s="722" t="s">
        <v>617</v>
      </c>
      <c r="B1454" s="722">
        <v>106</v>
      </c>
      <c r="C1454" s="723">
        <v>6</v>
      </c>
      <c r="D1454" s="723">
        <v>0</v>
      </c>
      <c r="E1454" s="723">
        <v>0</v>
      </c>
      <c r="F1454" s="723">
        <v>0</v>
      </c>
      <c r="G1454" s="723">
        <v>6</v>
      </c>
      <c r="H1454" s="724">
        <v>589.41235338948718</v>
      </c>
      <c r="I1454" s="724">
        <v>0</v>
      </c>
      <c r="J1454" s="724">
        <v>0</v>
      </c>
      <c r="K1454" s="724">
        <v>0</v>
      </c>
      <c r="L1454" s="724">
        <v>589.41235338948718</v>
      </c>
    </row>
    <row r="1455" spans="1:12">
      <c r="A1455" s="722" t="s">
        <v>617</v>
      </c>
      <c r="B1455" s="722">
        <v>140</v>
      </c>
      <c r="C1455" s="723">
        <v>1</v>
      </c>
      <c r="D1455" s="723">
        <v>0</v>
      </c>
      <c r="E1455" s="723">
        <v>0</v>
      </c>
      <c r="F1455" s="723">
        <v>0</v>
      </c>
      <c r="G1455" s="723">
        <v>1</v>
      </c>
      <c r="H1455" s="724">
        <v>98.235392231581187</v>
      </c>
      <c r="I1455" s="724">
        <v>0</v>
      </c>
      <c r="J1455" s="724">
        <v>0</v>
      </c>
      <c r="K1455" s="724">
        <v>0</v>
      </c>
      <c r="L1455" s="724">
        <v>98.235392231581187</v>
      </c>
    </row>
    <row r="1456" spans="1:12">
      <c r="A1456" s="722" t="s">
        <v>617</v>
      </c>
      <c r="B1456" s="722">
        <v>340</v>
      </c>
      <c r="C1456" s="723">
        <v>1</v>
      </c>
      <c r="D1456" s="723">
        <v>0</v>
      </c>
      <c r="E1456" s="723">
        <v>0</v>
      </c>
      <c r="F1456" s="723">
        <v>0</v>
      </c>
      <c r="G1456" s="723">
        <v>1</v>
      </c>
      <c r="H1456" s="724">
        <v>98.235392231581187</v>
      </c>
      <c r="I1456" s="724">
        <v>0</v>
      </c>
      <c r="J1456" s="724">
        <v>0</v>
      </c>
      <c r="K1456" s="724">
        <v>0</v>
      </c>
      <c r="L1456" s="724">
        <v>98.235392231581187</v>
      </c>
    </row>
    <row r="1457" spans="1:12">
      <c r="A1457" s="722" t="s">
        <v>617</v>
      </c>
      <c r="B1457" s="722">
        <v>400</v>
      </c>
      <c r="C1457" s="723">
        <v>1</v>
      </c>
      <c r="D1457" s="723">
        <v>0</v>
      </c>
      <c r="E1457" s="723">
        <v>0</v>
      </c>
      <c r="F1457" s="723">
        <v>0</v>
      </c>
      <c r="G1457" s="723">
        <v>1</v>
      </c>
      <c r="H1457" s="724">
        <v>98.235392231581187</v>
      </c>
      <c r="I1457" s="724">
        <v>0</v>
      </c>
      <c r="J1457" s="724">
        <v>0</v>
      </c>
      <c r="K1457" s="724">
        <v>0</v>
      </c>
      <c r="L1457" s="724">
        <v>98.235392231581187</v>
      </c>
    </row>
    <row r="1458" spans="1:12">
      <c r="A1458" s="722" t="s">
        <v>617</v>
      </c>
      <c r="B1458" s="722">
        <v>502</v>
      </c>
      <c r="C1458" s="723">
        <v>0</v>
      </c>
      <c r="D1458" s="723">
        <v>1</v>
      </c>
      <c r="E1458" s="723">
        <v>0</v>
      </c>
      <c r="F1458" s="723">
        <v>0</v>
      </c>
      <c r="G1458" s="723">
        <v>1</v>
      </c>
      <c r="H1458" s="724">
        <v>0</v>
      </c>
      <c r="I1458" s="724">
        <v>98.235392231581187</v>
      </c>
      <c r="J1458" s="724">
        <v>0</v>
      </c>
      <c r="K1458" s="724">
        <v>0</v>
      </c>
      <c r="L1458" s="724">
        <v>98.235392231581187</v>
      </c>
    </row>
    <row r="1459" spans="1:12">
      <c r="A1459" s="722" t="s">
        <v>551</v>
      </c>
      <c r="B1459" s="722">
        <v>100</v>
      </c>
      <c r="C1459" s="723">
        <v>3</v>
      </c>
      <c r="D1459" s="723">
        <v>0</v>
      </c>
      <c r="E1459" s="723">
        <v>0</v>
      </c>
      <c r="F1459" s="723">
        <v>0</v>
      </c>
      <c r="G1459" s="723">
        <v>3</v>
      </c>
      <c r="H1459" s="724">
        <v>349.96516481639475</v>
      </c>
      <c r="I1459" s="724">
        <v>0</v>
      </c>
      <c r="J1459" s="724">
        <v>0</v>
      </c>
      <c r="K1459" s="724">
        <v>0</v>
      </c>
      <c r="L1459" s="724">
        <v>349.9651648163948</v>
      </c>
    </row>
    <row r="1460" spans="1:12">
      <c r="A1460" s="722" t="s">
        <v>551</v>
      </c>
      <c r="B1460" s="722">
        <v>106</v>
      </c>
      <c r="C1460" s="723">
        <v>1</v>
      </c>
      <c r="D1460" s="723">
        <v>0</v>
      </c>
      <c r="E1460" s="723">
        <v>0</v>
      </c>
      <c r="F1460" s="723">
        <v>0</v>
      </c>
      <c r="G1460" s="723">
        <v>1</v>
      </c>
      <c r="H1460" s="724">
        <v>116.65505493879827</v>
      </c>
      <c r="I1460" s="724">
        <v>0</v>
      </c>
      <c r="J1460" s="724">
        <v>0</v>
      </c>
      <c r="K1460" s="724">
        <v>0</v>
      </c>
      <c r="L1460" s="724">
        <v>116.65505493879827</v>
      </c>
    </row>
    <row r="1461" spans="1:12">
      <c r="A1461" s="722" t="s">
        <v>551</v>
      </c>
      <c r="B1461" s="722">
        <v>140</v>
      </c>
      <c r="C1461" s="723">
        <v>1</v>
      </c>
      <c r="D1461" s="723">
        <v>1</v>
      </c>
      <c r="E1461" s="723">
        <v>0</v>
      </c>
      <c r="F1461" s="723">
        <v>0</v>
      </c>
      <c r="G1461" s="723">
        <v>2</v>
      </c>
      <c r="H1461" s="724">
        <v>116.65505493879827</v>
      </c>
      <c r="I1461" s="724">
        <v>116.65505493879827</v>
      </c>
      <c r="J1461" s="724">
        <v>0</v>
      </c>
      <c r="K1461" s="724">
        <v>0</v>
      </c>
      <c r="L1461" s="724">
        <v>233.31010987759655</v>
      </c>
    </row>
    <row r="1462" spans="1:12">
      <c r="A1462" s="722" t="s">
        <v>551</v>
      </c>
      <c r="B1462" s="722">
        <v>141</v>
      </c>
      <c r="C1462" s="723">
        <v>1</v>
      </c>
      <c r="D1462" s="723">
        <v>0</v>
      </c>
      <c r="E1462" s="723">
        <v>0</v>
      </c>
      <c r="F1462" s="723">
        <v>0</v>
      </c>
      <c r="G1462" s="723">
        <v>1</v>
      </c>
      <c r="H1462" s="724">
        <v>116.65505493879827</v>
      </c>
      <c r="I1462" s="724">
        <v>0</v>
      </c>
      <c r="J1462" s="724">
        <v>0</v>
      </c>
      <c r="K1462" s="724">
        <v>0</v>
      </c>
      <c r="L1462" s="724">
        <v>116.65505493879827</v>
      </c>
    </row>
    <row r="1463" spans="1:12">
      <c r="A1463" s="722" t="s">
        <v>551</v>
      </c>
      <c r="B1463" s="722">
        <v>142</v>
      </c>
      <c r="C1463" s="723">
        <v>4</v>
      </c>
      <c r="D1463" s="723">
        <v>1</v>
      </c>
      <c r="E1463" s="723">
        <v>0</v>
      </c>
      <c r="F1463" s="723">
        <v>0</v>
      </c>
      <c r="G1463" s="723">
        <v>5</v>
      </c>
      <c r="H1463" s="724">
        <v>466.62021975519309</v>
      </c>
      <c r="I1463" s="724">
        <v>116.65505493879827</v>
      </c>
      <c r="J1463" s="724">
        <v>0</v>
      </c>
      <c r="K1463" s="724">
        <v>0</v>
      </c>
      <c r="L1463" s="724">
        <v>583.27527469399138</v>
      </c>
    </row>
    <row r="1464" spans="1:12">
      <c r="A1464" s="722" t="s">
        <v>551</v>
      </c>
      <c r="B1464" s="722">
        <v>143</v>
      </c>
      <c r="C1464" s="723">
        <v>7</v>
      </c>
      <c r="D1464" s="723">
        <v>0</v>
      </c>
      <c r="E1464" s="723">
        <v>0</v>
      </c>
      <c r="F1464" s="723">
        <v>0</v>
      </c>
      <c r="G1464" s="723">
        <v>7</v>
      </c>
      <c r="H1464" s="724">
        <v>816.58538457158772</v>
      </c>
      <c r="I1464" s="724">
        <v>0</v>
      </c>
      <c r="J1464" s="724">
        <v>0</v>
      </c>
      <c r="K1464" s="724">
        <v>0</v>
      </c>
      <c r="L1464" s="724">
        <v>816.58538457158784</v>
      </c>
    </row>
    <row r="1465" spans="1:12">
      <c r="A1465" s="722" t="s">
        <v>551</v>
      </c>
      <c r="B1465" s="722">
        <v>300</v>
      </c>
      <c r="C1465" s="723">
        <v>1</v>
      </c>
      <c r="D1465" s="723">
        <v>0</v>
      </c>
      <c r="E1465" s="723">
        <v>0</v>
      </c>
      <c r="F1465" s="723">
        <v>0</v>
      </c>
      <c r="G1465" s="723">
        <v>1</v>
      </c>
      <c r="H1465" s="724">
        <v>116.65505493879827</v>
      </c>
      <c r="I1465" s="724">
        <v>0</v>
      </c>
      <c r="J1465" s="724">
        <v>0</v>
      </c>
      <c r="K1465" s="724">
        <v>0</v>
      </c>
      <c r="L1465" s="724">
        <v>116.65505493879827</v>
      </c>
    </row>
    <row r="1466" spans="1:12">
      <c r="A1466" s="722" t="s">
        <v>551</v>
      </c>
      <c r="B1466" s="722">
        <v>420</v>
      </c>
      <c r="C1466" s="723">
        <v>1</v>
      </c>
      <c r="D1466" s="723">
        <v>0</v>
      </c>
      <c r="E1466" s="723">
        <v>0</v>
      </c>
      <c r="F1466" s="723">
        <v>0</v>
      </c>
      <c r="G1466" s="723">
        <v>1</v>
      </c>
      <c r="H1466" s="724">
        <v>116.65505493879827</v>
      </c>
      <c r="I1466" s="724">
        <v>0</v>
      </c>
      <c r="J1466" s="724">
        <v>0</v>
      </c>
      <c r="K1466" s="724">
        <v>0</v>
      </c>
      <c r="L1466" s="724">
        <v>116.65505493879827</v>
      </c>
    </row>
    <row r="1467" spans="1:12">
      <c r="A1467" s="722" t="s">
        <v>551</v>
      </c>
      <c r="B1467" s="722">
        <v>421</v>
      </c>
      <c r="C1467" s="723">
        <v>4</v>
      </c>
      <c r="D1467" s="723">
        <v>1</v>
      </c>
      <c r="E1467" s="723">
        <v>0</v>
      </c>
      <c r="F1467" s="723">
        <v>0</v>
      </c>
      <c r="G1467" s="723">
        <v>5</v>
      </c>
      <c r="H1467" s="724">
        <v>466.62021975519309</v>
      </c>
      <c r="I1467" s="724">
        <v>116.65505493879827</v>
      </c>
      <c r="J1467" s="724">
        <v>0</v>
      </c>
      <c r="K1467" s="724">
        <v>0</v>
      </c>
      <c r="L1467" s="724">
        <v>583.27527469399138</v>
      </c>
    </row>
    <row r="1468" spans="1:12">
      <c r="A1468" s="722" t="s">
        <v>551</v>
      </c>
      <c r="B1468" s="722">
        <v>811</v>
      </c>
      <c r="C1468" s="723">
        <v>1</v>
      </c>
      <c r="D1468" s="723">
        <v>2</v>
      </c>
      <c r="E1468" s="723">
        <v>0</v>
      </c>
      <c r="F1468" s="723">
        <v>0</v>
      </c>
      <c r="G1468" s="723">
        <v>3</v>
      </c>
      <c r="H1468" s="724">
        <v>116.65505493879827</v>
      </c>
      <c r="I1468" s="724">
        <v>233.31010987759655</v>
      </c>
      <c r="J1468" s="724">
        <v>0</v>
      </c>
      <c r="K1468" s="724">
        <v>0</v>
      </c>
      <c r="L1468" s="724">
        <v>349.9651648163948</v>
      </c>
    </row>
    <row r="1469" spans="1:12">
      <c r="A1469" s="722" t="s">
        <v>538</v>
      </c>
      <c r="B1469" s="722">
        <v>171</v>
      </c>
      <c r="C1469" s="723">
        <v>1</v>
      </c>
      <c r="D1469" s="723">
        <v>0</v>
      </c>
      <c r="E1469" s="723">
        <v>0</v>
      </c>
      <c r="F1469" s="723">
        <v>0</v>
      </c>
      <c r="G1469" s="723">
        <v>1</v>
      </c>
      <c r="H1469" s="724">
        <v>98.683529199003999</v>
      </c>
      <c r="I1469" s="724">
        <v>0</v>
      </c>
      <c r="J1469" s="724">
        <v>0</v>
      </c>
      <c r="K1469" s="724">
        <v>0</v>
      </c>
      <c r="L1469" s="724">
        <v>98.683529199003999</v>
      </c>
    </row>
    <row r="1470" spans="1:12">
      <c r="A1470" s="722" t="s">
        <v>538</v>
      </c>
      <c r="B1470" s="722">
        <v>420</v>
      </c>
      <c r="C1470" s="723">
        <v>4</v>
      </c>
      <c r="D1470" s="723">
        <v>0</v>
      </c>
      <c r="E1470" s="723">
        <v>0</v>
      </c>
      <c r="F1470" s="723">
        <v>0</v>
      </c>
      <c r="G1470" s="723">
        <v>4</v>
      </c>
      <c r="H1470" s="724">
        <v>394.734116796016</v>
      </c>
      <c r="I1470" s="724">
        <v>0</v>
      </c>
      <c r="J1470" s="724">
        <v>0</v>
      </c>
      <c r="K1470" s="724">
        <v>0</v>
      </c>
      <c r="L1470" s="724">
        <v>394.734116796016</v>
      </c>
    </row>
    <row r="1471" spans="1:12">
      <c r="A1471" s="722" t="s">
        <v>659</v>
      </c>
      <c r="B1471" s="722">
        <v>100</v>
      </c>
      <c r="C1471" s="723">
        <v>5</v>
      </c>
      <c r="D1471" s="723">
        <v>0</v>
      </c>
      <c r="E1471" s="723">
        <v>0</v>
      </c>
      <c r="F1471" s="723">
        <v>0</v>
      </c>
      <c r="G1471" s="723">
        <v>5</v>
      </c>
      <c r="H1471" s="724">
        <v>277.25953966028698</v>
      </c>
      <c r="I1471" s="724">
        <v>0</v>
      </c>
      <c r="J1471" s="724">
        <v>0</v>
      </c>
      <c r="K1471" s="724">
        <v>0</v>
      </c>
      <c r="L1471" s="724">
        <v>277.25953966028698</v>
      </c>
    </row>
    <row r="1472" spans="1:12">
      <c r="A1472" s="722" t="s">
        <v>549</v>
      </c>
      <c r="B1472" s="722">
        <v>100</v>
      </c>
      <c r="C1472" s="723">
        <v>0</v>
      </c>
      <c r="D1472" s="723">
        <v>1</v>
      </c>
      <c r="E1472" s="723">
        <v>0</v>
      </c>
      <c r="F1472" s="723">
        <v>0</v>
      </c>
      <c r="G1472" s="723">
        <v>1</v>
      </c>
      <c r="H1472" s="724">
        <v>0</v>
      </c>
      <c r="I1472" s="724">
        <v>111.26248065619944</v>
      </c>
      <c r="J1472" s="724">
        <v>0</v>
      </c>
      <c r="K1472" s="724">
        <v>0</v>
      </c>
      <c r="L1472" s="724">
        <v>111.26248065619944</v>
      </c>
    </row>
    <row r="1473" spans="1:12">
      <c r="A1473" s="722" t="s">
        <v>549</v>
      </c>
      <c r="B1473" s="722">
        <v>101</v>
      </c>
      <c r="C1473" s="723">
        <v>2</v>
      </c>
      <c r="D1473" s="723">
        <v>2</v>
      </c>
      <c r="E1473" s="723">
        <v>0</v>
      </c>
      <c r="F1473" s="723">
        <v>0</v>
      </c>
      <c r="G1473" s="723">
        <v>4</v>
      </c>
      <c r="H1473" s="724">
        <v>222.52496131239889</v>
      </c>
      <c r="I1473" s="724">
        <v>222.52496131239889</v>
      </c>
      <c r="J1473" s="724">
        <v>0</v>
      </c>
      <c r="K1473" s="724">
        <v>0</v>
      </c>
      <c r="L1473" s="724">
        <v>445.04992262479777</v>
      </c>
    </row>
    <row r="1474" spans="1:12">
      <c r="A1474" s="722" t="s">
        <v>549</v>
      </c>
      <c r="B1474" s="722">
        <v>103</v>
      </c>
      <c r="C1474" s="723">
        <v>0</v>
      </c>
      <c r="D1474" s="723">
        <v>2</v>
      </c>
      <c r="E1474" s="723">
        <v>0</v>
      </c>
      <c r="F1474" s="723">
        <v>0</v>
      </c>
      <c r="G1474" s="723">
        <v>2</v>
      </c>
      <c r="H1474" s="724">
        <v>0</v>
      </c>
      <c r="I1474" s="724">
        <v>222.52496131239889</v>
      </c>
      <c r="J1474" s="724">
        <v>0</v>
      </c>
      <c r="K1474" s="724">
        <v>0</v>
      </c>
      <c r="L1474" s="724">
        <v>222.52496131239889</v>
      </c>
    </row>
    <row r="1475" spans="1:12">
      <c r="A1475" s="722" t="s">
        <v>549</v>
      </c>
      <c r="B1475" s="722">
        <v>106</v>
      </c>
      <c r="C1475" s="723">
        <v>1</v>
      </c>
      <c r="D1475" s="723">
        <v>0</v>
      </c>
      <c r="E1475" s="723">
        <v>0</v>
      </c>
      <c r="F1475" s="723">
        <v>0</v>
      </c>
      <c r="G1475" s="723">
        <v>1</v>
      </c>
      <c r="H1475" s="724">
        <v>111.26248065619944</v>
      </c>
      <c r="I1475" s="724">
        <v>0</v>
      </c>
      <c r="J1475" s="724">
        <v>0</v>
      </c>
      <c r="K1475" s="724">
        <v>0</v>
      </c>
      <c r="L1475" s="724">
        <v>111.26248065619944</v>
      </c>
    </row>
    <row r="1476" spans="1:12">
      <c r="A1476" s="722" t="s">
        <v>549</v>
      </c>
      <c r="B1476" s="722">
        <v>110</v>
      </c>
      <c r="C1476" s="723">
        <v>3</v>
      </c>
      <c r="D1476" s="723">
        <v>0</v>
      </c>
      <c r="E1476" s="723">
        <v>0</v>
      </c>
      <c r="F1476" s="723">
        <v>0</v>
      </c>
      <c r="G1476" s="723">
        <v>3</v>
      </c>
      <c r="H1476" s="724">
        <v>333.78744196859839</v>
      </c>
      <c r="I1476" s="724">
        <v>0</v>
      </c>
      <c r="J1476" s="724">
        <v>0</v>
      </c>
      <c r="K1476" s="724">
        <v>0</v>
      </c>
      <c r="L1476" s="724">
        <v>333.78744196859839</v>
      </c>
    </row>
    <row r="1477" spans="1:12">
      <c r="A1477" s="722" t="s">
        <v>549</v>
      </c>
      <c r="B1477" s="722">
        <v>120</v>
      </c>
      <c r="C1477" s="723">
        <v>3</v>
      </c>
      <c r="D1477" s="723">
        <v>0</v>
      </c>
      <c r="E1477" s="723">
        <v>0</v>
      </c>
      <c r="F1477" s="723">
        <v>0</v>
      </c>
      <c r="G1477" s="723">
        <v>3</v>
      </c>
      <c r="H1477" s="724">
        <v>333.78744196859839</v>
      </c>
      <c r="I1477" s="724">
        <v>0</v>
      </c>
      <c r="J1477" s="724">
        <v>0</v>
      </c>
      <c r="K1477" s="724">
        <v>0</v>
      </c>
      <c r="L1477" s="724">
        <v>333.78744196859839</v>
      </c>
    </row>
    <row r="1478" spans="1:12">
      <c r="A1478" s="722" t="s">
        <v>549</v>
      </c>
      <c r="B1478" s="722">
        <v>130</v>
      </c>
      <c r="C1478" s="723">
        <v>1</v>
      </c>
      <c r="D1478" s="723">
        <v>0</v>
      </c>
      <c r="E1478" s="723">
        <v>0</v>
      </c>
      <c r="F1478" s="723">
        <v>0</v>
      </c>
      <c r="G1478" s="723">
        <v>1</v>
      </c>
      <c r="H1478" s="724">
        <v>111.26248065619944</v>
      </c>
      <c r="I1478" s="724">
        <v>0</v>
      </c>
      <c r="J1478" s="724">
        <v>0</v>
      </c>
      <c r="K1478" s="724">
        <v>0</v>
      </c>
      <c r="L1478" s="724">
        <v>111.26248065619944</v>
      </c>
    </row>
    <row r="1479" spans="1:12">
      <c r="A1479" s="722" t="s">
        <v>549</v>
      </c>
      <c r="B1479" s="722">
        <v>171</v>
      </c>
      <c r="C1479" s="723">
        <v>1</v>
      </c>
      <c r="D1479" s="723">
        <v>0</v>
      </c>
      <c r="E1479" s="723">
        <v>0</v>
      </c>
      <c r="F1479" s="723">
        <v>0</v>
      </c>
      <c r="G1479" s="723">
        <v>1</v>
      </c>
      <c r="H1479" s="724">
        <v>111.26248065619944</v>
      </c>
      <c r="I1479" s="724">
        <v>0</v>
      </c>
      <c r="J1479" s="724">
        <v>0</v>
      </c>
      <c r="K1479" s="724">
        <v>0</v>
      </c>
      <c r="L1479" s="724">
        <v>111.26248065619944</v>
      </c>
    </row>
    <row r="1480" spans="1:12">
      <c r="A1480" s="722" t="s">
        <v>549</v>
      </c>
      <c r="B1480" s="722">
        <v>320</v>
      </c>
      <c r="C1480" s="723">
        <v>0</v>
      </c>
      <c r="D1480" s="723">
        <v>1</v>
      </c>
      <c r="E1480" s="723">
        <v>0</v>
      </c>
      <c r="F1480" s="723">
        <v>0</v>
      </c>
      <c r="G1480" s="723">
        <v>1</v>
      </c>
      <c r="H1480" s="724">
        <v>0</v>
      </c>
      <c r="I1480" s="724">
        <v>111.26248065619944</v>
      </c>
      <c r="J1480" s="724">
        <v>0</v>
      </c>
      <c r="K1480" s="724">
        <v>0</v>
      </c>
      <c r="L1480" s="724">
        <v>111.26248065619944</v>
      </c>
    </row>
    <row r="1481" spans="1:12">
      <c r="A1481" s="722" t="s">
        <v>549</v>
      </c>
      <c r="B1481" s="722">
        <v>430</v>
      </c>
      <c r="C1481" s="723">
        <v>1</v>
      </c>
      <c r="D1481" s="723">
        <v>0</v>
      </c>
      <c r="E1481" s="723">
        <v>0</v>
      </c>
      <c r="F1481" s="723">
        <v>0</v>
      </c>
      <c r="G1481" s="723">
        <v>1</v>
      </c>
      <c r="H1481" s="724">
        <v>111.26248065619944</v>
      </c>
      <c r="I1481" s="724">
        <v>0</v>
      </c>
      <c r="J1481" s="724">
        <v>0</v>
      </c>
      <c r="K1481" s="724">
        <v>0</v>
      </c>
      <c r="L1481" s="724">
        <v>111.26248065619944</v>
      </c>
    </row>
    <row r="1482" spans="1:12">
      <c r="A1482" s="722" t="s">
        <v>535</v>
      </c>
      <c r="B1482" s="722">
        <v>100</v>
      </c>
      <c r="C1482" s="723">
        <v>2</v>
      </c>
      <c r="D1482" s="723">
        <v>4</v>
      </c>
      <c r="E1482" s="723">
        <v>0</v>
      </c>
      <c r="F1482" s="723">
        <v>0</v>
      </c>
      <c r="G1482" s="723">
        <v>6</v>
      </c>
      <c r="H1482" s="724">
        <v>399.0570298469375</v>
      </c>
      <c r="I1482" s="724">
        <v>798.11405969387499</v>
      </c>
      <c r="J1482" s="724">
        <v>0</v>
      </c>
      <c r="K1482" s="724">
        <v>0</v>
      </c>
      <c r="L1482" s="724">
        <v>1197.1710895408125</v>
      </c>
    </row>
    <row r="1483" spans="1:12">
      <c r="A1483" s="722" t="s">
        <v>535</v>
      </c>
      <c r="B1483" s="722">
        <v>104</v>
      </c>
      <c r="C1483" s="723">
        <v>0</v>
      </c>
      <c r="D1483" s="723">
        <v>2</v>
      </c>
      <c r="E1483" s="723">
        <v>0</v>
      </c>
      <c r="F1483" s="723">
        <v>0</v>
      </c>
      <c r="G1483" s="723">
        <v>2</v>
      </c>
      <c r="H1483" s="724">
        <v>0</v>
      </c>
      <c r="I1483" s="724">
        <v>399.0570298469375</v>
      </c>
      <c r="J1483" s="724">
        <v>0</v>
      </c>
      <c r="K1483" s="724">
        <v>0</v>
      </c>
      <c r="L1483" s="724">
        <v>399.0570298469375</v>
      </c>
    </row>
    <row r="1484" spans="1:12">
      <c r="A1484" s="722" t="s">
        <v>535</v>
      </c>
      <c r="B1484" s="722">
        <v>300</v>
      </c>
      <c r="C1484" s="723">
        <v>3</v>
      </c>
      <c r="D1484" s="723">
        <v>9</v>
      </c>
      <c r="E1484" s="723">
        <v>0</v>
      </c>
      <c r="F1484" s="723">
        <v>0</v>
      </c>
      <c r="G1484" s="723">
        <v>12</v>
      </c>
      <c r="H1484" s="724">
        <v>598.58554477040627</v>
      </c>
      <c r="I1484" s="724">
        <v>1795.7566343112187</v>
      </c>
      <c r="J1484" s="724">
        <v>0</v>
      </c>
      <c r="K1484" s="724">
        <v>0</v>
      </c>
      <c r="L1484" s="724">
        <v>2394.3421790816251</v>
      </c>
    </row>
    <row r="1485" spans="1:12">
      <c r="A1485" s="722" t="s">
        <v>535</v>
      </c>
      <c r="B1485" s="722">
        <v>301</v>
      </c>
      <c r="C1485" s="723">
        <v>20</v>
      </c>
      <c r="D1485" s="723">
        <v>18</v>
      </c>
      <c r="E1485" s="723">
        <v>0</v>
      </c>
      <c r="F1485" s="723">
        <v>0</v>
      </c>
      <c r="G1485" s="723">
        <v>38</v>
      </c>
      <c r="H1485" s="724">
        <v>3990.5702984693748</v>
      </c>
      <c r="I1485" s="724">
        <v>3591.5132686224374</v>
      </c>
      <c r="J1485" s="724">
        <v>0</v>
      </c>
      <c r="K1485" s="724">
        <v>0</v>
      </c>
      <c r="L1485" s="724">
        <v>7582.0835670918123</v>
      </c>
    </row>
    <row r="1486" spans="1:12">
      <c r="A1486" s="722" t="s">
        <v>535</v>
      </c>
      <c r="B1486" s="722">
        <v>811</v>
      </c>
      <c r="C1486" s="723">
        <v>0</v>
      </c>
      <c r="D1486" s="723">
        <v>1</v>
      </c>
      <c r="E1486" s="723">
        <v>0</v>
      </c>
      <c r="F1486" s="723">
        <v>0</v>
      </c>
      <c r="G1486" s="723">
        <v>1</v>
      </c>
      <c r="H1486" s="724">
        <v>0</v>
      </c>
      <c r="I1486" s="724">
        <v>199.52851492346875</v>
      </c>
      <c r="J1486" s="724">
        <v>0</v>
      </c>
      <c r="K1486" s="724">
        <v>0</v>
      </c>
      <c r="L1486" s="724">
        <v>199.52851492346875</v>
      </c>
    </row>
    <row r="1487" spans="1:12">
      <c r="A1487" s="722" t="s">
        <v>535</v>
      </c>
      <c r="B1487" s="722">
        <v>812</v>
      </c>
      <c r="C1487" s="723">
        <v>5</v>
      </c>
      <c r="D1487" s="723">
        <v>0</v>
      </c>
      <c r="E1487" s="723">
        <v>0</v>
      </c>
      <c r="F1487" s="723">
        <v>0</v>
      </c>
      <c r="G1487" s="723">
        <v>5</v>
      </c>
      <c r="H1487" s="724">
        <v>997.64257461734383</v>
      </c>
      <c r="I1487" s="724">
        <v>0</v>
      </c>
      <c r="J1487" s="724">
        <v>0</v>
      </c>
      <c r="K1487" s="724">
        <v>0</v>
      </c>
      <c r="L1487" s="724">
        <v>997.64257461734371</v>
      </c>
    </row>
    <row r="1488" spans="1:12">
      <c r="A1488" s="722" t="s">
        <v>580</v>
      </c>
      <c r="B1488" s="722">
        <v>171</v>
      </c>
      <c r="C1488" s="723">
        <v>1</v>
      </c>
      <c r="D1488" s="723">
        <v>0</v>
      </c>
      <c r="E1488" s="723">
        <v>0</v>
      </c>
      <c r="F1488" s="723">
        <v>0</v>
      </c>
      <c r="G1488" s="723">
        <v>1</v>
      </c>
      <c r="H1488" s="724">
        <v>153.56750702137666</v>
      </c>
      <c r="I1488" s="724">
        <v>0</v>
      </c>
      <c r="J1488" s="724">
        <v>0</v>
      </c>
      <c r="K1488" s="724">
        <v>0</v>
      </c>
      <c r="L1488" s="724">
        <v>153.56750702137666</v>
      </c>
    </row>
    <row r="1489" spans="1:12">
      <c r="A1489" s="722" t="s">
        <v>580</v>
      </c>
      <c r="B1489" s="722">
        <v>300</v>
      </c>
      <c r="C1489" s="723">
        <v>0</v>
      </c>
      <c r="D1489" s="723">
        <v>1</v>
      </c>
      <c r="E1489" s="723">
        <v>0</v>
      </c>
      <c r="F1489" s="723">
        <v>0</v>
      </c>
      <c r="G1489" s="723">
        <v>1</v>
      </c>
      <c r="H1489" s="724">
        <v>0</v>
      </c>
      <c r="I1489" s="724">
        <v>153.56750702137666</v>
      </c>
      <c r="J1489" s="724">
        <v>0</v>
      </c>
      <c r="K1489" s="724">
        <v>0</v>
      </c>
      <c r="L1489" s="724">
        <v>153.56750702137666</v>
      </c>
    </row>
    <row r="1490" spans="1:12">
      <c r="A1490" s="722" t="s">
        <v>580</v>
      </c>
      <c r="B1490" s="722">
        <v>420</v>
      </c>
      <c r="C1490" s="723">
        <v>13</v>
      </c>
      <c r="D1490" s="723">
        <v>0</v>
      </c>
      <c r="E1490" s="723">
        <v>0</v>
      </c>
      <c r="F1490" s="723">
        <v>0</v>
      </c>
      <c r="G1490" s="723">
        <v>13</v>
      </c>
      <c r="H1490" s="724">
        <v>1996.3775912778967</v>
      </c>
      <c r="I1490" s="724">
        <v>0</v>
      </c>
      <c r="J1490" s="724">
        <v>0</v>
      </c>
      <c r="K1490" s="724">
        <v>0</v>
      </c>
      <c r="L1490" s="724">
        <v>1996.3775912778967</v>
      </c>
    </row>
    <row r="1491" spans="1:12">
      <c r="A1491" s="722" t="s">
        <v>207</v>
      </c>
      <c r="B1491" s="722">
        <v>105</v>
      </c>
      <c r="C1491" s="723">
        <v>2</v>
      </c>
      <c r="D1491" s="723">
        <v>2</v>
      </c>
      <c r="E1491" s="723">
        <v>0</v>
      </c>
      <c r="F1491" s="723">
        <v>0</v>
      </c>
      <c r="G1491" s="723">
        <v>4</v>
      </c>
      <c r="H1491" s="724">
        <v>491.28318605700849</v>
      </c>
      <c r="I1491" s="724">
        <v>491.28318605700849</v>
      </c>
      <c r="J1491" s="724">
        <v>0</v>
      </c>
      <c r="K1491" s="724">
        <v>0</v>
      </c>
      <c r="L1491" s="724">
        <v>982.56637211401699</v>
      </c>
    </row>
    <row r="1492" spans="1:12">
      <c r="A1492" s="722" t="s">
        <v>208</v>
      </c>
      <c r="B1492" s="722">
        <v>105</v>
      </c>
      <c r="C1492" s="723">
        <v>0</v>
      </c>
      <c r="D1492" s="723">
        <v>1</v>
      </c>
      <c r="E1492" s="723">
        <v>0</v>
      </c>
      <c r="F1492" s="723">
        <v>0</v>
      </c>
      <c r="G1492" s="723">
        <v>1</v>
      </c>
      <c r="H1492" s="724">
        <v>0</v>
      </c>
      <c r="I1492" s="724">
        <v>57.593262564205389</v>
      </c>
      <c r="J1492" s="724">
        <v>0</v>
      </c>
      <c r="K1492" s="724">
        <v>0</v>
      </c>
      <c r="L1492" s="724">
        <v>57.593262564205389</v>
      </c>
    </row>
    <row r="1493" spans="1:12">
      <c r="A1493" s="722" t="s">
        <v>208</v>
      </c>
      <c r="B1493" s="722">
        <v>110</v>
      </c>
      <c r="C1493" s="723">
        <v>7</v>
      </c>
      <c r="D1493" s="723">
        <v>4</v>
      </c>
      <c r="E1493" s="723">
        <v>0</v>
      </c>
      <c r="F1493" s="723">
        <v>0</v>
      </c>
      <c r="G1493" s="723">
        <v>11</v>
      </c>
      <c r="H1493" s="724">
        <v>403.1528379494377</v>
      </c>
      <c r="I1493" s="724">
        <v>230.37305025682153</v>
      </c>
      <c r="J1493" s="724">
        <v>0</v>
      </c>
      <c r="K1493" s="724">
        <v>0</v>
      </c>
      <c r="L1493" s="724">
        <v>633.5258882062592</v>
      </c>
    </row>
    <row r="1494" spans="1:12">
      <c r="A1494" s="722" t="s">
        <v>208</v>
      </c>
      <c r="B1494" s="722">
        <v>120</v>
      </c>
      <c r="C1494" s="723">
        <v>1</v>
      </c>
      <c r="D1494" s="723">
        <v>4</v>
      </c>
      <c r="E1494" s="723">
        <v>0</v>
      </c>
      <c r="F1494" s="723">
        <v>0</v>
      </c>
      <c r="G1494" s="723">
        <v>5</v>
      </c>
      <c r="H1494" s="724">
        <v>57.593262564205382</v>
      </c>
      <c r="I1494" s="724">
        <v>230.37305025682153</v>
      </c>
      <c r="J1494" s="724">
        <v>0</v>
      </c>
      <c r="K1494" s="724">
        <v>0</v>
      </c>
      <c r="L1494" s="724">
        <v>287.96631282102692</v>
      </c>
    </row>
    <row r="1495" spans="1:12">
      <c r="A1495" s="722" t="s">
        <v>208</v>
      </c>
      <c r="B1495" s="722">
        <v>143</v>
      </c>
      <c r="C1495" s="723">
        <v>1</v>
      </c>
      <c r="D1495" s="723">
        <v>0</v>
      </c>
      <c r="E1495" s="723">
        <v>0</v>
      </c>
      <c r="F1495" s="723">
        <v>0</v>
      </c>
      <c r="G1495" s="723">
        <v>1</v>
      </c>
      <c r="H1495" s="724">
        <v>57.593262564205389</v>
      </c>
      <c r="I1495" s="724">
        <v>0</v>
      </c>
      <c r="J1495" s="724">
        <v>0</v>
      </c>
      <c r="K1495" s="724">
        <v>0</v>
      </c>
      <c r="L1495" s="724">
        <v>57.593262564205389</v>
      </c>
    </row>
    <row r="1496" spans="1:12">
      <c r="A1496" s="722" t="s">
        <v>208</v>
      </c>
      <c r="B1496" s="722">
        <v>144</v>
      </c>
      <c r="C1496" s="723">
        <v>1</v>
      </c>
      <c r="D1496" s="723">
        <v>2</v>
      </c>
      <c r="E1496" s="723">
        <v>0</v>
      </c>
      <c r="F1496" s="723">
        <v>0</v>
      </c>
      <c r="G1496" s="723">
        <v>3</v>
      </c>
      <c r="H1496" s="724">
        <v>57.593262564205382</v>
      </c>
      <c r="I1496" s="724">
        <v>115.18652512841076</v>
      </c>
      <c r="J1496" s="724">
        <v>0</v>
      </c>
      <c r="K1496" s="724">
        <v>0</v>
      </c>
      <c r="L1496" s="724">
        <v>172.77978769261614</v>
      </c>
    </row>
    <row r="1497" spans="1:12">
      <c r="A1497" s="722" t="s">
        <v>208</v>
      </c>
      <c r="B1497" s="722">
        <v>300</v>
      </c>
      <c r="C1497" s="723">
        <v>1</v>
      </c>
      <c r="D1497" s="723">
        <v>1</v>
      </c>
      <c r="E1497" s="723">
        <v>0</v>
      </c>
      <c r="F1497" s="723">
        <v>0</v>
      </c>
      <c r="G1497" s="723">
        <v>2</v>
      </c>
      <c r="H1497" s="724">
        <v>57.593262564205389</v>
      </c>
      <c r="I1497" s="724">
        <v>57.593262564205389</v>
      </c>
      <c r="J1497" s="724">
        <v>0</v>
      </c>
      <c r="K1497" s="724">
        <v>0</v>
      </c>
      <c r="L1497" s="724">
        <v>115.18652512841078</v>
      </c>
    </row>
    <row r="1498" spans="1:12">
      <c r="A1498" s="722" t="s">
        <v>208</v>
      </c>
      <c r="B1498" s="722">
        <v>501</v>
      </c>
      <c r="C1498" s="723">
        <v>1</v>
      </c>
      <c r="D1498" s="723">
        <v>0</v>
      </c>
      <c r="E1498" s="723">
        <v>0</v>
      </c>
      <c r="F1498" s="723">
        <v>0</v>
      </c>
      <c r="G1498" s="723">
        <v>1</v>
      </c>
      <c r="H1498" s="724">
        <v>57.593262564205389</v>
      </c>
      <c r="I1498" s="724">
        <v>0</v>
      </c>
      <c r="J1498" s="724">
        <v>0</v>
      </c>
      <c r="K1498" s="724">
        <v>0</v>
      </c>
      <c r="L1498" s="724">
        <v>57.593262564205389</v>
      </c>
    </row>
    <row r="1499" spans="1:12">
      <c r="A1499" s="722" t="s">
        <v>208</v>
      </c>
      <c r="B1499" s="722">
        <v>800</v>
      </c>
      <c r="C1499" s="723">
        <v>2</v>
      </c>
      <c r="D1499" s="723">
        <v>0</v>
      </c>
      <c r="E1499" s="723">
        <v>0</v>
      </c>
      <c r="F1499" s="723">
        <v>0</v>
      </c>
      <c r="G1499" s="723">
        <v>2</v>
      </c>
      <c r="H1499" s="724">
        <v>115.18652512841078</v>
      </c>
      <c r="I1499" s="724">
        <v>0</v>
      </c>
      <c r="J1499" s="724">
        <v>0</v>
      </c>
      <c r="K1499" s="724">
        <v>0</v>
      </c>
      <c r="L1499" s="724">
        <v>115.18652512841078</v>
      </c>
    </row>
    <row r="1500" spans="1:12">
      <c r="A1500" s="722" t="s">
        <v>209</v>
      </c>
      <c r="B1500" s="722">
        <v>104</v>
      </c>
      <c r="C1500" s="723">
        <v>0</v>
      </c>
      <c r="D1500" s="723">
        <v>1</v>
      </c>
      <c r="E1500" s="723">
        <v>0</v>
      </c>
      <c r="F1500" s="723">
        <v>0</v>
      </c>
      <c r="G1500" s="723">
        <v>1</v>
      </c>
      <c r="H1500" s="724">
        <v>0</v>
      </c>
      <c r="I1500" s="724">
        <v>223.77366944092751</v>
      </c>
      <c r="J1500" s="724">
        <v>0</v>
      </c>
      <c r="K1500" s="724">
        <v>0</v>
      </c>
      <c r="L1500" s="724">
        <v>223.77366944092751</v>
      </c>
    </row>
    <row r="1501" spans="1:12">
      <c r="A1501" s="722" t="s">
        <v>209</v>
      </c>
      <c r="B1501" s="722">
        <v>130</v>
      </c>
      <c r="C1501" s="723">
        <v>2</v>
      </c>
      <c r="D1501" s="723">
        <v>0</v>
      </c>
      <c r="E1501" s="723">
        <v>0</v>
      </c>
      <c r="F1501" s="723">
        <v>0</v>
      </c>
      <c r="G1501" s="723">
        <v>2</v>
      </c>
      <c r="H1501" s="724">
        <v>447.54733888185501</v>
      </c>
      <c r="I1501" s="724">
        <v>0</v>
      </c>
      <c r="J1501" s="724">
        <v>0</v>
      </c>
      <c r="K1501" s="724">
        <v>0</v>
      </c>
      <c r="L1501" s="724">
        <v>447.54733888185501</v>
      </c>
    </row>
    <row r="1502" spans="1:12">
      <c r="A1502" s="722" t="s">
        <v>209</v>
      </c>
      <c r="B1502" s="722">
        <v>301</v>
      </c>
      <c r="C1502" s="723">
        <v>0</v>
      </c>
      <c r="D1502" s="723">
        <v>1</v>
      </c>
      <c r="E1502" s="723">
        <v>0</v>
      </c>
      <c r="F1502" s="723">
        <v>0</v>
      </c>
      <c r="G1502" s="723">
        <v>1</v>
      </c>
      <c r="H1502" s="724">
        <v>0</v>
      </c>
      <c r="I1502" s="724">
        <v>223.77366944092751</v>
      </c>
      <c r="J1502" s="724">
        <v>0</v>
      </c>
      <c r="K1502" s="724">
        <v>0</v>
      </c>
      <c r="L1502" s="724">
        <v>223.77366944092751</v>
      </c>
    </row>
    <row r="1503" spans="1:12">
      <c r="A1503" s="722" t="s">
        <v>210</v>
      </c>
      <c r="B1503" s="722">
        <v>100</v>
      </c>
      <c r="C1503" s="723">
        <v>1</v>
      </c>
      <c r="D1503" s="723">
        <v>1</v>
      </c>
      <c r="E1503" s="723">
        <v>0</v>
      </c>
      <c r="F1503" s="723">
        <v>0</v>
      </c>
      <c r="G1503" s="723">
        <v>2</v>
      </c>
      <c r="H1503" s="724">
        <v>194.59815930466843</v>
      </c>
      <c r="I1503" s="724">
        <v>194.59815930466843</v>
      </c>
      <c r="J1503" s="724">
        <v>0</v>
      </c>
      <c r="K1503" s="724">
        <v>0</v>
      </c>
      <c r="L1503" s="724">
        <v>389.19631860933686</v>
      </c>
    </row>
    <row r="1504" spans="1:12">
      <c r="A1504" s="722" t="s">
        <v>210</v>
      </c>
      <c r="B1504" s="722">
        <v>104</v>
      </c>
      <c r="C1504" s="723">
        <v>0</v>
      </c>
      <c r="D1504" s="723">
        <v>1</v>
      </c>
      <c r="E1504" s="723">
        <v>0</v>
      </c>
      <c r="F1504" s="723">
        <v>0</v>
      </c>
      <c r="G1504" s="723">
        <v>1</v>
      </c>
      <c r="H1504" s="724">
        <v>0</v>
      </c>
      <c r="I1504" s="724">
        <v>194.59815930466843</v>
      </c>
      <c r="J1504" s="724">
        <v>0</v>
      </c>
      <c r="K1504" s="724">
        <v>0</v>
      </c>
      <c r="L1504" s="724">
        <v>194.59815930466843</v>
      </c>
    </row>
    <row r="1505" spans="1:12">
      <c r="A1505" s="722" t="s">
        <v>210</v>
      </c>
      <c r="B1505" s="722">
        <v>106</v>
      </c>
      <c r="C1505" s="723">
        <v>0</v>
      </c>
      <c r="D1505" s="723">
        <v>1</v>
      </c>
      <c r="E1505" s="723">
        <v>0</v>
      </c>
      <c r="F1505" s="723">
        <v>0</v>
      </c>
      <c r="G1505" s="723">
        <v>1</v>
      </c>
      <c r="H1505" s="724">
        <v>0</v>
      </c>
      <c r="I1505" s="724">
        <v>194.59815930466843</v>
      </c>
      <c r="J1505" s="724">
        <v>0</v>
      </c>
      <c r="K1505" s="724">
        <v>0</v>
      </c>
      <c r="L1505" s="724">
        <v>194.59815930466843</v>
      </c>
    </row>
    <row r="1506" spans="1:12">
      <c r="A1506" s="722" t="s">
        <v>210</v>
      </c>
      <c r="B1506" s="722">
        <v>120</v>
      </c>
      <c r="C1506" s="723">
        <v>2</v>
      </c>
      <c r="D1506" s="723">
        <v>10</v>
      </c>
      <c r="E1506" s="723">
        <v>0</v>
      </c>
      <c r="F1506" s="723">
        <v>0</v>
      </c>
      <c r="G1506" s="723">
        <v>12</v>
      </c>
      <c r="H1506" s="724">
        <v>389.19631860933686</v>
      </c>
      <c r="I1506" s="724">
        <v>1945.9815930466841</v>
      </c>
      <c r="J1506" s="724">
        <v>0</v>
      </c>
      <c r="K1506" s="724">
        <v>0</v>
      </c>
      <c r="L1506" s="724">
        <v>2335.177911656021</v>
      </c>
    </row>
    <row r="1507" spans="1:12">
      <c r="A1507" s="722" t="s">
        <v>210</v>
      </c>
      <c r="B1507" s="722">
        <v>215</v>
      </c>
      <c r="C1507" s="723">
        <v>3</v>
      </c>
      <c r="D1507" s="723">
        <v>3</v>
      </c>
      <c r="E1507" s="723">
        <v>0</v>
      </c>
      <c r="F1507" s="723">
        <v>0</v>
      </c>
      <c r="G1507" s="723">
        <v>6</v>
      </c>
      <c r="H1507" s="724">
        <v>583.79447791400526</v>
      </c>
      <c r="I1507" s="724">
        <v>583.79447791400526</v>
      </c>
      <c r="J1507" s="724">
        <v>0</v>
      </c>
      <c r="K1507" s="724">
        <v>0</v>
      </c>
      <c r="L1507" s="724">
        <v>1167.5889558280105</v>
      </c>
    </row>
    <row r="1508" spans="1:12">
      <c r="A1508" s="722" t="s">
        <v>210</v>
      </c>
      <c r="B1508" s="722">
        <v>301</v>
      </c>
      <c r="C1508" s="723">
        <v>1</v>
      </c>
      <c r="D1508" s="723">
        <v>10</v>
      </c>
      <c r="E1508" s="723">
        <v>0</v>
      </c>
      <c r="F1508" s="723">
        <v>0</v>
      </c>
      <c r="G1508" s="723">
        <v>11</v>
      </c>
      <c r="H1508" s="724">
        <v>194.5981593046684</v>
      </c>
      <c r="I1508" s="724">
        <v>1945.9815930466839</v>
      </c>
      <c r="J1508" s="724">
        <v>0</v>
      </c>
      <c r="K1508" s="724">
        <v>0</v>
      </c>
      <c r="L1508" s="724">
        <v>2140.5797523513525</v>
      </c>
    </row>
    <row r="1509" spans="1:12">
      <c r="A1509" s="722" t="s">
        <v>210</v>
      </c>
      <c r="B1509" s="722">
        <v>811</v>
      </c>
      <c r="C1509" s="723">
        <v>1</v>
      </c>
      <c r="D1509" s="723">
        <v>4</v>
      </c>
      <c r="E1509" s="723">
        <v>0</v>
      </c>
      <c r="F1509" s="723">
        <v>0</v>
      </c>
      <c r="G1509" s="723">
        <v>5</v>
      </c>
      <c r="H1509" s="724">
        <v>194.59815930466843</v>
      </c>
      <c r="I1509" s="724">
        <v>778.39263721867371</v>
      </c>
      <c r="J1509" s="724">
        <v>0</v>
      </c>
      <c r="K1509" s="724">
        <v>0</v>
      </c>
      <c r="L1509" s="724">
        <v>972.99079652334217</v>
      </c>
    </row>
    <row r="1510" spans="1:12">
      <c r="A1510" s="722" t="s">
        <v>211</v>
      </c>
      <c r="B1510" s="722">
        <v>100</v>
      </c>
      <c r="C1510" s="723">
        <v>6</v>
      </c>
      <c r="D1510" s="723">
        <v>2</v>
      </c>
      <c r="E1510" s="723">
        <v>0</v>
      </c>
      <c r="F1510" s="723">
        <v>0</v>
      </c>
      <c r="G1510" s="723">
        <v>8</v>
      </c>
      <c r="H1510" s="724">
        <v>2688.7219406529998</v>
      </c>
      <c r="I1510" s="724">
        <v>896.24064688433327</v>
      </c>
      <c r="J1510" s="724">
        <v>0</v>
      </c>
      <c r="K1510" s="724">
        <v>0</v>
      </c>
      <c r="L1510" s="724">
        <v>3584.9625875373331</v>
      </c>
    </row>
    <row r="1511" spans="1:12">
      <c r="A1511" s="722" t="s">
        <v>211</v>
      </c>
      <c r="B1511" s="722">
        <v>101</v>
      </c>
      <c r="C1511" s="723">
        <v>1</v>
      </c>
      <c r="D1511" s="723">
        <v>0</v>
      </c>
      <c r="E1511" s="723">
        <v>0</v>
      </c>
      <c r="F1511" s="723">
        <v>0</v>
      </c>
      <c r="G1511" s="723">
        <v>1</v>
      </c>
      <c r="H1511" s="724">
        <v>448.12032344216664</v>
      </c>
      <c r="I1511" s="724">
        <v>0</v>
      </c>
      <c r="J1511" s="724">
        <v>0</v>
      </c>
      <c r="K1511" s="724">
        <v>0</v>
      </c>
      <c r="L1511" s="724">
        <v>448.12032344216664</v>
      </c>
    </row>
    <row r="1512" spans="1:12">
      <c r="A1512" s="722" t="s">
        <v>211</v>
      </c>
      <c r="B1512" s="722">
        <v>104</v>
      </c>
      <c r="C1512" s="723">
        <v>0</v>
      </c>
      <c r="D1512" s="723">
        <v>1</v>
      </c>
      <c r="E1512" s="723">
        <v>0</v>
      </c>
      <c r="F1512" s="723">
        <v>0</v>
      </c>
      <c r="G1512" s="723">
        <v>1</v>
      </c>
      <c r="H1512" s="724">
        <v>0</v>
      </c>
      <c r="I1512" s="724">
        <v>448.12032344216664</v>
      </c>
      <c r="J1512" s="724">
        <v>0</v>
      </c>
      <c r="K1512" s="724">
        <v>0</v>
      </c>
      <c r="L1512" s="724">
        <v>448.12032344216664</v>
      </c>
    </row>
    <row r="1513" spans="1:12">
      <c r="A1513" s="722" t="s">
        <v>211</v>
      </c>
      <c r="B1513" s="722">
        <v>106</v>
      </c>
      <c r="C1513" s="723">
        <v>1</v>
      </c>
      <c r="D1513" s="723">
        <v>2</v>
      </c>
      <c r="E1513" s="723">
        <v>0</v>
      </c>
      <c r="F1513" s="723">
        <v>0</v>
      </c>
      <c r="G1513" s="723">
        <v>3</v>
      </c>
      <c r="H1513" s="724">
        <v>448.12032344216664</v>
      </c>
      <c r="I1513" s="724">
        <v>896.24064688433327</v>
      </c>
      <c r="J1513" s="724">
        <v>0</v>
      </c>
      <c r="K1513" s="724">
        <v>0</v>
      </c>
      <c r="L1513" s="724">
        <v>1344.3609703264999</v>
      </c>
    </row>
    <row r="1514" spans="1:12">
      <c r="A1514" s="722" t="s">
        <v>211</v>
      </c>
      <c r="B1514" s="722">
        <v>301</v>
      </c>
      <c r="C1514" s="723">
        <v>1</v>
      </c>
      <c r="D1514" s="723">
        <v>0</v>
      </c>
      <c r="E1514" s="723">
        <v>0</v>
      </c>
      <c r="F1514" s="723">
        <v>0</v>
      </c>
      <c r="G1514" s="723">
        <v>1</v>
      </c>
      <c r="H1514" s="724">
        <v>448.12032344216664</v>
      </c>
      <c r="I1514" s="724">
        <v>0</v>
      </c>
      <c r="J1514" s="724">
        <v>0</v>
      </c>
      <c r="K1514" s="724">
        <v>0</v>
      </c>
      <c r="L1514" s="724">
        <v>448.12032344216664</v>
      </c>
    </row>
    <row r="1515" spans="1:12">
      <c r="A1515" s="722" t="s">
        <v>211</v>
      </c>
      <c r="B1515" s="722">
        <v>307</v>
      </c>
      <c r="C1515" s="723">
        <v>1</v>
      </c>
      <c r="D1515" s="723">
        <v>0</v>
      </c>
      <c r="E1515" s="723">
        <v>0</v>
      </c>
      <c r="F1515" s="723">
        <v>0</v>
      </c>
      <c r="G1515" s="723">
        <v>1</v>
      </c>
      <c r="H1515" s="724">
        <v>448.12032344216664</v>
      </c>
      <c r="I1515" s="724">
        <v>0</v>
      </c>
      <c r="J1515" s="724">
        <v>0</v>
      </c>
      <c r="K1515" s="724">
        <v>0</v>
      </c>
      <c r="L1515" s="724">
        <v>448.12032344216664</v>
      </c>
    </row>
    <row r="1516" spans="1:12">
      <c r="A1516" s="722" t="s">
        <v>212</v>
      </c>
      <c r="B1516" s="722">
        <v>100</v>
      </c>
      <c r="C1516" s="723">
        <v>54</v>
      </c>
      <c r="D1516" s="723">
        <v>0</v>
      </c>
      <c r="E1516" s="723">
        <v>0</v>
      </c>
      <c r="F1516" s="723">
        <v>0</v>
      </c>
      <c r="G1516" s="723">
        <v>54</v>
      </c>
      <c r="H1516" s="724">
        <v>6119.7730755626744</v>
      </c>
      <c r="I1516" s="724">
        <v>0</v>
      </c>
      <c r="J1516" s="724">
        <v>0</v>
      </c>
      <c r="K1516" s="724">
        <v>0</v>
      </c>
      <c r="L1516" s="724">
        <v>6119.7730755626744</v>
      </c>
    </row>
    <row r="1517" spans="1:12">
      <c r="A1517" s="722" t="s">
        <v>212</v>
      </c>
      <c r="B1517" s="722">
        <v>106</v>
      </c>
      <c r="C1517" s="723">
        <v>5</v>
      </c>
      <c r="D1517" s="723">
        <v>0</v>
      </c>
      <c r="E1517" s="723">
        <v>0</v>
      </c>
      <c r="F1517" s="723">
        <v>0</v>
      </c>
      <c r="G1517" s="723">
        <v>5</v>
      </c>
      <c r="H1517" s="724">
        <v>566.645655144692</v>
      </c>
      <c r="I1517" s="724">
        <v>0</v>
      </c>
      <c r="J1517" s="724">
        <v>0</v>
      </c>
      <c r="K1517" s="724">
        <v>0</v>
      </c>
      <c r="L1517" s="724">
        <v>566.645655144692</v>
      </c>
    </row>
    <row r="1518" spans="1:12">
      <c r="A1518" s="722" t="s">
        <v>212</v>
      </c>
      <c r="B1518" s="722">
        <v>190</v>
      </c>
      <c r="C1518" s="723">
        <v>17</v>
      </c>
      <c r="D1518" s="723">
        <v>0</v>
      </c>
      <c r="E1518" s="723">
        <v>0</v>
      </c>
      <c r="F1518" s="723">
        <v>0</v>
      </c>
      <c r="G1518" s="723">
        <v>17</v>
      </c>
      <c r="H1518" s="724">
        <v>1926.595227491953</v>
      </c>
      <c r="I1518" s="724">
        <v>0</v>
      </c>
      <c r="J1518" s="724">
        <v>0</v>
      </c>
      <c r="K1518" s="724">
        <v>0</v>
      </c>
      <c r="L1518" s="724">
        <v>1926.595227491953</v>
      </c>
    </row>
    <row r="1519" spans="1:12">
      <c r="A1519" s="722" t="s">
        <v>212</v>
      </c>
      <c r="B1519" s="722">
        <v>301</v>
      </c>
      <c r="C1519" s="723">
        <v>9</v>
      </c>
      <c r="D1519" s="723">
        <v>0</v>
      </c>
      <c r="E1519" s="723">
        <v>0</v>
      </c>
      <c r="F1519" s="723">
        <v>0</v>
      </c>
      <c r="G1519" s="723">
        <v>9</v>
      </c>
      <c r="H1519" s="724">
        <v>1019.9621792604456</v>
      </c>
      <c r="I1519" s="724">
        <v>0</v>
      </c>
      <c r="J1519" s="724">
        <v>0</v>
      </c>
      <c r="K1519" s="724">
        <v>0</v>
      </c>
      <c r="L1519" s="724">
        <v>1019.9621792604456</v>
      </c>
    </row>
    <row r="1520" spans="1:12">
      <c r="A1520" s="722" t="s">
        <v>212</v>
      </c>
      <c r="B1520" s="722">
        <v>303</v>
      </c>
      <c r="C1520" s="723">
        <v>2</v>
      </c>
      <c r="D1520" s="723">
        <v>0</v>
      </c>
      <c r="E1520" s="723">
        <v>0</v>
      </c>
      <c r="F1520" s="723">
        <v>0</v>
      </c>
      <c r="G1520" s="723">
        <v>2</v>
      </c>
      <c r="H1520" s="724">
        <v>226.65826205787681</v>
      </c>
      <c r="I1520" s="724">
        <v>0</v>
      </c>
      <c r="J1520" s="724">
        <v>0</v>
      </c>
      <c r="K1520" s="724">
        <v>0</v>
      </c>
      <c r="L1520" s="724">
        <v>226.65826205787681</v>
      </c>
    </row>
    <row r="1521" spans="1:12">
      <c r="A1521" s="722" t="s">
        <v>212</v>
      </c>
      <c r="B1521" s="722">
        <v>330</v>
      </c>
      <c r="C1521" s="723">
        <v>1</v>
      </c>
      <c r="D1521" s="723">
        <v>0</v>
      </c>
      <c r="E1521" s="723">
        <v>0</v>
      </c>
      <c r="F1521" s="723">
        <v>0</v>
      </c>
      <c r="G1521" s="723">
        <v>1</v>
      </c>
      <c r="H1521" s="724">
        <v>113.32913102893841</v>
      </c>
      <c r="I1521" s="724">
        <v>0</v>
      </c>
      <c r="J1521" s="724">
        <v>0</v>
      </c>
      <c r="K1521" s="724">
        <v>0</v>
      </c>
      <c r="L1521" s="724">
        <v>113.32913102893841</v>
      </c>
    </row>
    <row r="1522" spans="1:12">
      <c r="A1522" s="722" t="s">
        <v>566</v>
      </c>
      <c r="B1522" s="722">
        <v>100</v>
      </c>
      <c r="C1522" s="723">
        <v>1</v>
      </c>
      <c r="D1522" s="723">
        <v>0</v>
      </c>
      <c r="E1522" s="723">
        <v>0</v>
      </c>
      <c r="F1522" s="723">
        <v>0</v>
      </c>
      <c r="G1522" s="723">
        <v>1</v>
      </c>
      <c r="H1522" s="724">
        <v>204.68756362936301</v>
      </c>
      <c r="I1522" s="724">
        <v>0</v>
      </c>
      <c r="J1522" s="724">
        <v>0</v>
      </c>
      <c r="K1522" s="724">
        <v>0</v>
      </c>
      <c r="L1522" s="724">
        <v>204.68756362936301</v>
      </c>
    </row>
    <row r="1523" spans="1:12">
      <c r="A1523" s="722" t="s">
        <v>213</v>
      </c>
      <c r="B1523" s="722">
        <v>100</v>
      </c>
      <c r="C1523" s="723">
        <v>4</v>
      </c>
      <c r="D1523" s="723">
        <v>0</v>
      </c>
      <c r="E1523" s="723">
        <v>0</v>
      </c>
      <c r="F1523" s="723">
        <v>0</v>
      </c>
      <c r="G1523" s="723">
        <v>4</v>
      </c>
      <c r="H1523" s="724">
        <v>451.40608757298179</v>
      </c>
      <c r="I1523" s="724">
        <v>0</v>
      </c>
      <c r="J1523" s="724">
        <v>0</v>
      </c>
      <c r="K1523" s="724">
        <v>0</v>
      </c>
      <c r="L1523" s="724">
        <v>451.40608757298179</v>
      </c>
    </row>
    <row r="1524" spans="1:12">
      <c r="A1524" s="722" t="s">
        <v>213</v>
      </c>
      <c r="B1524" s="722">
        <v>321</v>
      </c>
      <c r="C1524" s="723">
        <v>1</v>
      </c>
      <c r="D1524" s="723">
        <v>0</v>
      </c>
      <c r="E1524" s="723">
        <v>0</v>
      </c>
      <c r="F1524" s="723">
        <v>0</v>
      </c>
      <c r="G1524" s="723">
        <v>1</v>
      </c>
      <c r="H1524" s="724">
        <v>112.85152189324545</v>
      </c>
      <c r="I1524" s="724">
        <v>0</v>
      </c>
      <c r="J1524" s="724">
        <v>0</v>
      </c>
      <c r="K1524" s="724">
        <v>0</v>
      </c>
      <c r="L1524" s="724">
        <v>112.85152189324545</v>
      </c>
    </row>
    <row r="1525" spans="1:12">
      <c r="A1525" s="722" t="s">
        <v>213</v>
      </c>
      <c r="B1525" s="722">
        <v>330</v>
      </c>
      <c r="C1525" s="723">
        <v>1</v>
      </c>
      <c r="D1525" s="723">
        <v>0</v>
      </c>
      <c r="E1525" s="723">
        <v>0</v>
      </c>
      <c r="F1525" s="723">
        <v>0</v>
      </c>
      <c r="G1525" s="723">
        <v>1</v>
      </c>
      <c r="H1525" s="724">
        <v>112.85152189324545</v>
      </c>
      <c r="I1525" s="724">
        <v>0</v>
      </c>
      <c r="J1525" s="724">
        <v>0</v>
      </c>
      <c r="K1525" s="724">
        <v>0</v>
      </c>
      <c r="L1525" s="724">
        <v>112.85152189324545</v>
      </c>
    </row>
    <row r="1526" spans="1:12">
      <c r="A1526" s="722" t="s">
        <v>213</v>
      </c>
      <c r="B1526" s="722">
        <v>420</v>
      </c>
      <c r="C1526" s="723">
        <v>0</v>
      </c>
      <c r="D1526" s="723">
        <v>1</v>
      </c>
      <c r="E1526" s="723">
        <v>0</v>
      </c>
      <c r="F1526" s="723">
        <v>0</v>
      </c>
      <c r="G1526" s="723">
        <v>1</v>
      </c>
      <c r="H1526" s="724">
        <v>0</v>
      </c>
      <c r="I1526" s="724">
        <v>112.85152189324545</v>
      </c>
      <c r="J1526" s="724">
        <v>0</v>
      </c>
      <c r="K1526" s="724">
        <v>0</v>
      </c>
      <c r="L1526" s="724">
        <v>112.85152189324545</v>
      </c>
    </row>
    <row r="1527" spans="1:12">
      <c r="A1527" s="722" t="s">
        <v>213</v>
      </c>
      <c r="B1527" s="722">
        <v>502</v>
      </c>
      <c r="C1527" s="723">
        <v>1</v>
      </c>
      <c r="D1527" s="723">
        <v>1</v>
      </c>
      <c r="E1527" s="723">
        <v>0</v>
      </c>
      <c r="F1527" s="723">
        <v>0</v>
      </c>
      <c r="G1527" s="723">
        <v>2</v>
      </c>
      <c r="H1527" s="724">
        <v>112.85152189324545</v>
      </c>
      <c r="I1527" s="724">
        <v>112.85152189324545</v>
      </c>
      <c r="J1527" s="724">
        <v>0</v>
      </c>
      <c r="K1527" s="724">
        <v>0</v>
      </c>
      <c r="L1527" s="724">
        <v>225.70304378649089</v>
      </c>
    </row>
    <row r="1528" spans="1:12">
      <c r="A1528" s="722" t="s">
        <v>213</v>
      </c>
      <c r="B1528" s="722">
        <v>812</v>
      </c>
      <c r="C1528" s="723">
        <v>0</v>
      </c>
      <c r="D1528" s="723">
        <v>2</v>
      </c>
      <c r="E1528" s="723">
        <v>0</v>
      </c>
      <c r="F1528" s="723">
        <v>0</v>
      </c>
      <c r="G1528" s="723">
        <v>2</v>
      </c>
      <c r="H1528" s="724">
        <v>0</v>
      </c>
      <c r="I1528" s="724">
        <v>225.70304378649089</v>
      </c>
      <c r="J1528" s="724">
        <v>0</v>
      </c>
      <c r="K1528" s="724">
        <v>0</v>
      </c>
      <c r="L1528" s="724">
        <v>225.70304378649089</v>
      </c>
    </row>
    <row r="1529" spans="1:12">
      <c r="A1529" s="722" t="s">
        <v>579</v>
      </c>
      <c r="B1529" s="722">
        <v>101</v>
      </c>
      <c r="C1529" s="723">
        <v>2</v>
      </c>
      <c r="D1529" s="723">
        <v>2</v>
      </c>
      <c r="E1529" s="723">
        <v>0</v>
      </c>
      <c r="F1529" s="723">
        <v>0</v>
      </c>
      <c r="G1529" s="723">
        <v>4</v>
      </c>
      <c r="H1529" s="724">
        <v>31.000220560882717</v>
      </c>
      <c r="I1529" s="724">
        <v>31.000220560882717</v>
      </c>
      <c r="J1529" s="724">
        <v>0</v>
      </c>
      <c r="K1529" s="724">
        <v>0</v>
      </c>
      <c r="L1529" s="724">
        <v>62.000441121765434</v>
      </c>
    </row>
    <row r="1530" spans="1:12">
      <c r="A1530" s="722" t="s">
        <v>579</v>
      </c>
      <c r="B1530" s="722">
        <v>300</v>
      </c>
      <c r="C1530" s="723">
        <v>0</v>
      </c>
      <c r="D1530" s="723">
        <v>3</v>
      </c>
      <c r="E1530" s="723">
        <v>0</v>
      </c>
      <c r="F1530" s="723">
        <v>0</v>
      </c>
      <c r="G1530" s="723">
        <v>3</v>
      </c>
      <c r="H1530" s="724">
        <v>0</v>
      </c>
      <c r="I1530" s="724">
        <v>46.500330841324079</v>
      </c>
      <c r="J1530" s="724">
        <v>0</v>
      </c>
      <c r="K1530" s="724">
        <v>0</v>
      </c>
      <c r="L1530" s="724">
        <v>46.500330841324072</v>
      </c>
    </row>
    <row r="1531" spans="1:12">
      <c r="A1531" s="722" t="s">
        <v>579</v>
      </c>
      <c r="B1531" s="722">
        <v>315</v>
      </c>
      <c r="C1531" s="723">
        <v>1</v>
      </c>
      <c r="D1531" s="723">
        <v>0</v>
      </c>
      <c r="E1531" s="723">
        <v>0</v>
      </c>
      <c r="F1531" s="723">
        <v>0</v>
      </c>
      <c r="G1531" s="723">
        <v>1</v>
      </c>
      <c r="H1531" s="724">
        <v>15.500110280441358</v>
      </c>
      <c r="I1531" s="724">
        <v>0</v>
      </c>
      <c r="J1531" s="724">
        <v>0</v>
      </c>
      <c r="K1531" s="724">
        <v>0</v>
      </c>
      <c r="L1531" s="724">
        <v>15.500110280441358</v>
      </c>
    </row>
    <row r="1532" spans="1:12">
      <c r="A1532" s="722" t="s">
        <v>579</v>
      </c>
      <c r="B1532" s="722">
        <v>330</v>
      </c>
      <c r="C1532" s="723">
        <v>1</v>
      </c>
      <c r="D1532" s="723">
        <v>0</v>
      </c>
      <c r="E1532" s="723">
        <v>0</v>
      </c>
      <c r="F1532" s="723">
        <v>0</v>
      </c>
      <c r="G1532" s="723">
        <v>1</v>
      </c>
      <c r="H1532" s="724">
        <v>15.500110280441358</v>
      </c>
      <c r="I1532" s="724">
        <v>0</v>
      </c>
      <c r="J1532" s="724">
        <v>0</v>
      </c>
      <c r="K1532" s="724">
        <v>0</v>
      </c>
      <c r="L1532" s="724">
        <v>15.500110280441358</v>
      </c>
    </row>
    <row r="1533" spans="1:12">
      <c r="A1533" s="722" t="s">
        <v>579</v>
      </c>
      <c r="B1533" s="722">
        <v>502</v>
      </c>
      <c r="C1533" s="723">
        <v>0</v>
      </c>
      <c r="D1533" s="723">
        <v>1</v>
      </c>
      <c r="E1533" s="723">
        <v>0</v>
      </c>
      <c r="F1533" s="723">
        <v>0</v>
      </c>
      <c r="G1533" s="723">
        <v>1</v>
      </c>
      <c r="H1533" s="724">
        <v>0</v>
      </c>
      <c r="I1533" s="724">
        <v>15.500110280441358</v>
      </c>
      <c r="J1533" s="724">
        <v>0</v>
      </c>
      <c r="K1533" s="724">
        <v>0</v>
      </c>
      <c r="L1533" s="724">
        <v>15.500110280441358</v>
      </c>
    </row>
    <row r="1534" spans="1:12">
      <c r="A1534" s="722" t="s">
        <v>579</v>
      </c>
      <c r="B1534" s="722">
        <v>811</v>
      </c>
      <c r="C1534" s="723">
        <v>1</v>
      </c>
      <c r="D1534" s="723">
        <v>14</v>
      </c>
      <c r="E1534" s="723">
        <v>0</v>
      </c>
      <c r="F1534" s="723">
        <v>0</v>
      </c>
      <c r="G1534" s="723">
        <v>15</v>
      </c>
      <c r="H1534" s="724">
        <v>15.500110280441358</v>
      </c>
      <c r="I1534" s="724">
        <v>217.00154392617904</v>
      </c>
      <c r="J1534" s="724">
        <v>0</v>
      </c>
      <c r="K1534" s="724">
        <v>0</v>
      </c>
      <c r="L1534" s="724">
        <v>232.50165420662037</v>
      </c>
    </row>
    <row r="1535" spans="1:12">
      <c r="A1535" s="722" t="s">
        <v>579</v>
      </c>
      <c r="B1535" s="722">
        <v>812</v>
      </c>
      <c r="C1535" s="723">
        <v>14</v>
      </c>
      <c r="D1535" s="723">
        <v>0</v>
      </c>
      <c r="E1535" s="723">
        <v>0</v>
      </c>
      <c r="F1535" s="723">
        <v>0</v>
      </c>
      <c r="G1535" s="723">
        <v>14</v>
      </c>
      <c r="H1535" s="724">
        <v>217.00154392617901</v>
      </c>
      <c r="I1535" s="724">
        <v>0</v>
      </c>
      <c r="J1535" s="724">
        <v>0</v>
      </c>
      <c r="K1535" s="724">
        <v>0</v>
      </c>
      <c r="L1535" s="724">
        <v>217.00154392617901</v>
      </c>
    </row>
    <row r="1536" spans="1:12">
      <c r="A1536" s="722" t="s">
        <v>214</v>
      </c>
      <c r="B1536" s="722">
        <v>100</v>
      </c>
      <c r="C1536" s="723">
        <v>1</v>
      </c>
      <c r="D1536" s="723">
        <v>0</v>
      </c>
      <c r="E1536" s="723">
        <v>0</v>
      </c>
      <c r="F1536" s="723">
        <v>0</v>
      </c>
      <c r="G1536" s="723">
        <v>1</v>
      </c>
      <c r="H1536" s="724">
        <v>28.432996132089208</v>
      </c>
      <c r="I1536" s="724">
        <v>0</v>
      </c>
      <c r="J1536" s="724">
        <v>0</v>
      </c>
      <c r="K1536" s="724">
        <v>0</v>
      </c>
      <c r="L1536" s="724">
        <v>28.432996132089208</v>
      </c>
    </row>
    <row r="1537" spans="1:12">
      <c r="A1537" s="722" t="s">
        <v>214</v>
      </c>
      <c r="B1537" s="722">
        <v>110</v>
      </c>
      <c r="C1537" s="723">
        <v>0</v>
      </c>
      <c r="D1537" s="723">
        <v>2</v>
      </c>
      <c r="E1537" s="723">
        <v>0</v>
      </c>
      <c r="F1537" s="723">
        <v>0</v>
      </c>
      <c r="G1537" s="723">
        <v>2</v>
      </c>
      <c r="H1537" s="724">
        <v>0</v>
      </c>
      <c r="I1537" s="724">
        <v>56.865992264178416</v>
      </c>
      <c r="J1537" s="724">
        <v>0</v>
      </c>
      <c r="K1537" s="724">
        <v>0</v>
      </c>
      <c r="L1537" s="724">
        <v>56.865992264178416</v>
      </c>
    </row>
    <row r="1538" spans="1:12">
      <c r="A1538" s="722" t="s">
        <v>214</v>
      </c>
      <c r="B1538" s="722">
        <v>330</v>
      </c>
      <c r="C1538" s="723">
        <v>1</v>
      </c>
      <c r="D1538" s="723">
        <v>0</v>
      </c>
      <c r="E1538" s="723">
        <v>0</v>
      </c>
      <c r="F1538" s="723">
        <v>0</v>
      </c>
      <c r="G1538" s="723">
        <v>1</v>
      </c>
      <c r="H1538" s="724">
        <v>28.432996132089208</v>
      </c>
      <c r="I1538" s="724">
        <v>0</v>
      </c>
      <c r="J1538" s="724">
        <v>0</v>
      </c>
      <c r="K1538" s="724">
        <v>0</v>
      </c>
      <c r="L1538" s="724">
        <v>28.432996132089208</v>
      </c>
    </row>
    <row r="1539" spans="1:12">
      <c r="A1539" s="722" t="s">
        <v>214</v>
      </c>
      <c r="B1539" s="722">
        <v>502</v>
      </c>
      <c r="C1539" s="723">
        <v>1</v>
      </c>
      <c r="D1539" s="723">
        <v>0</v>
      </c>
      <c r="E1539" s="723">
        <v>0</v>
      </c>
      <c r="F1539" s="723">
        <v>0</v>
      </c>
      <c r="G1539" s="723">
        <v>1</v>
      </c>
      <c r="H1539" s="724">
        <v>28.432996132089208</v>
      </c>
      <c r="I1539" s="724">
        <v>0</v>
      </c>
      <c r="J1539" s="724">
        <v>0</v>
      </c>
      <c r="K1539" s="724">
        <v>0</v>
      </c>
      <c r="L1539" s="724">
        <v>28.432996132089208</v>
      </c>
    </row>
    <row r="1540" spans="1:12">
      <c r="A1540" s="722" t="s">
        <v>214</v>
      </c>
      <c r="B1540" s="722">
        <v>812</v>
      </c>
      <c r="C1540" s="723">
        <v>33</v>
      </c>
      <c r="D1540" s="723">
        <v>0</v>
      </c>
      <c r="E1540" s="723">
        <v>0</v>
      </c>
      <c r="F1540" s="723">
        <v>0</v>
      </c>
      <c r="G1540" s="723">
        <v>33</v>
      </c>
      <c r="H1540" s="724">
        <v>938.28887235894388</v>
      </c>
      <c r="I1540" s="724">
        <v>0</v>
      </c>
      <c r="J1540" s="724">
        <v>0</v>
      </c>
      <c r="K1540" s="724">
        <v>0</v>
      </c>
      <c r="L1540" s="724">
        <v>938.28887235894388</v>
      </c>
    </row>
    <row r="1541" spans="1:12">
      <c r="A1541" s="722" t="s">
        <v>215</v>
      </c>
      <c r="B1541" s="722">
        <v>100</v>
      </c>
      <c r="C1541" s="723">
        <v>4</v>
      </c>
      <c r="D1541" s="723">
        <v>1</v>
      </c>
      <c r="E1541" s="723">
        <v>0</v>
      </c>
      <c r="F1541" s="723">
        <v>0</v>
      </c>
      <c r="G1541" s="723">
        <v>5</v>
      </c>
      <c r="H1541" s="724">
        <v>790.12434713849518</v>
      </c>
      <c r="I1541" s="724">
        <v>197.5310867846238</v>
      </c>
      <c r="J1541" s="724">
        <v>0</v>
      </c>
      <c r="K1541" s="724">
        <v>0</v>
      </c>
      <c r="L1541" s="724">
        <v>987.65543392311895</v>
      </c>
    </row>
    <row r="1542" spans="1:12">
      <c r="A1542" s="722" t="s">
        <v>215</v>
      </c>
      <c r="B1542" s="722">
        <v>103</v>
      </c>
      <c r="C1542" s="723">
        <v>1</v>
      </c>
      <c r="D1542" s="723">
        <v>0</v>
      </c>
      <c r="E1542" s="723">
        <v>0</v>
      </c>
      <c r="F1542" s="723">
        <v>0</v>
      </c>
      <c r="G1542" s="723">
        <v>1</v>
      </c>
      <c r="H1542" s="724">
        <v>197.53108678462377</v>
      </c>
      <c r="I1542" s="724">
        <v>0</v>
      </c>
      <c r="J1542" s="724">
        <v>0</v>
      </c>
      <c r="K1542" s="724">
        <v>0</v>
      </c>
      <c r="L1542" s="724">
        <v>197.53108678462377</v>
      </c>
    </row>
    <row r="1543" spans="1:12">
      <c r="A1543" s="722" t="s">
        <v>215</v>
      </c>
      <c r="B1543" s="722">
        <v>104</v>
      </c>
      <c r="C1543" s="723">
        <v>1</v>
      </c>
      <c r="D1543" s="723">
        <v>0</v>
      </c>
      <c r="E1543" s="723">
        <v>0</v>
      </c>
      <c r="F1543" s="723">
        <v>0</v>
      </c>
      <c r="G1543" s="723">
        <v>1</v>
      </c>
      <c r="H1543" s="724">
        <v>197.53108678462377</v>
      </c>
      <c r="I1543" s="724">
        <v>0</v>
      </c>
      <c r="J1543" s="724">
        <v>0</v>
      </c>
      <c r="K1543" s="724">
        <v>0</v>
      </c>
      <c r="L1543" s="724">
        <v>197.53108678462377</v>
      </c>
    </row>
    <row r="1544" spans="1:12">
      <c r="A1544" s="722" t="s">
        <v>215</v>
      </c>
      <c r="B1544" s="722">
        <v>140</v>
      </c>
      <c r="C1544" s="723">
        <v>1</v>
      </c>
      <c r="D1544" s="723">
        <v>0</v>
      </c>
      <c r="E1544" s="723">
        <v>0</v>
      </c>
      <c r="F1544" s="723">
        <v>0</v>
      </c>
      <c r="G1544" s="723">
        <v>1</v>
      </c>
      <c r="H1544" s="724">
        <v>197.53108678462377</v>
      </c>
      <c r="I1544" s="724">
        <v>0</v>
      </c>
      <c r="J1544" s="724">
        <v>0</v>
      </c>
      <c r="K1544" s="724">
        <v>0</v>
      </c>
      <c r="L1544" s="724">
        <v>197.53108678462377</v>
      </c>
    </row>
    <row r="1545" spans="1:12">
      <c r="A1545" s="722" t="s">
        <v>215</v>
      </c>
      <c r="B1545" s="722">
        <v>301</v>
      </c>
      <c r="C1545" s="723">
        <v>22</v>
      </c>
      <c r="D1545" s="723">
        <v>10</v>
      </c>
      <c r="E1545" s="723">
        <v>0</v>
      </c>
      <c r="F1545" s="723">
        <v>0</v>
      </c>
      <c r="G1545" s="723">
        <v>32</v>
      </c>
      <c r="H1545" s="724">
        <v>4345.6839092617229</v>
      </c>
      <c r="I1545" s="724">
        <v>1975.3108678462377</v>
      </c>
      <c r="J1545" s="724">
        <v>0</v>
      </c>
      <c r="K1545" s="724">
        <v>0</v>
      </c>
      <c r="L1545" s="724">
        <v>6320.9947771079605</v>
      </c>
    </row>
    <row r="1546" spans="1:12">
      <c r="A1546" s="722" t="s">
        <v>215</v>
      </c>
      <c r="B1546" s="722">
        <v>330</v>
      </c>
      <c r="C1546" s="723">
        <v>1</v>
      </c>
      <c r="D1546" s="723">
        <v>0</v>
      </c>
      <c r="E1546" s="723">
        <v>0</v>
      </c>
      <c r="F1546" s="723">
        <v>0</v>
      </c>
      <c r="G1546" s="723">
        <v>1</v>
      </c>
      <c r="H1546" s="724">
        <v>197.53108678462377</v>
      </c>
      <c r="I1546" s="724">
        <v>0</v>
      </c>
      <c r="J1546" s="724">
        <v>0</v>
      </c>
      <c r="K1546" s="724">
        <v>0</v>
      </c>
      <c r="L1546" s="724">
        <v>197.53108678462377</v>
      </c>
    </row>
    <row r="1547" spans="1:12">
      <c r="A1547" s="722" t="s">
        <v>215</v>
      </c>
      <c r="B1547" s="722">
        <v>430</v>
      </c>
      <c r="C1547" s="723">
        <v>0</v>
      </c>
      <c r="D1547" s="723">
        <v>1</v>
      </c>
      <c r="E1547" s="723">
        <v>0</v>
      </c>
      <c r="F1547" s="723">
        <v>0</v>
      </c>
      <c r="G1547" s="723">
        <v>1</v>
      </c>
      <c r="H1547" s="724">
        <v>0</v>
      </c>
      <c r="I1547" s="724">
        <v>197.53108678462377</v>
      </c>
      <c r="J1547" s="724">
        <v>0</v>
      </c>
      <c r="K1547" s="724">
        <v>0</v>
      </c>
      <c r="L1547" s="724">
        <v>197.53108678462377</v>
      </c>
    </row>
    <row r="1548" spans="1:12">
      <c r="A1548" s="722" t="s">
        <v>215</v>
      </c>
      <c r="B1548" s="722">
        <v>812</v>
      </c>
      <c r="C1548" s="723">
        <v>2</v>
      </c>
      <c r="D1548" s="723">
        <v>1</v>
      </c>
      <c r="E1548" s="723">
        <v>0</v>
      </c>
      <c r="F1548" s="723">
        <v>0</v>
      </c>
      <c r="G1548" s="723">
        <v>3</v>
      </c>
      <c r="H1548" s="724">
        <v>395.06217356924753</v>
      </c>
      <c r="I1548" s="724">
        <v>197.53108678462377</v>
      </c>
      <c r="J1548" s="724">
        <v>0</v>
      </c>
      <c r="K1548" s="724">
        <v>0</v>
      </c>
      <c r="L1548" s="724">
        <v>592.5932603538713</v>
      </c>
    </row>
    <row r="1549" spans="1:12">
      <c r="A1549" s="722" t="s">
        <v>611</v>
      </c>
      <c r="B1549" s="722">
        <v>100</v>
      </c>
      <c r="C1549" s="723">
        <v>1</v>
      </c>
      <c r="D1549" s="723">
        <v>2</v>
      </c>
      <c r="E1549" s="723">
        <v>0</v>
      </c>
      <c r="F1549" s="723">
        <v>0</v>
      </c>
      <c r="G1549" s="723">
        <v>3</v>
      </c>
      <c r="H1549" s="724">
        <v>175.6706195684003</v>
      </c>
      <c r="I1549" s="724">
        <v>351.3412391368006</v>
      </c>
      <c r="J1549" s="724">
        <v>0</v>
      </c>
      <c r="K1549" s="724">
        <v>0</v>
      </c>
      <c r="L1549" s="724">
        <v>527.01185870520089</v>
      </c>
    </row>
    <row r="1550" spans="1:12">
      <c r="A1550" s="722" t="s">
        <v>611</v>
      </c>
      <c r="B1550" s="722">
        <v>101</v>
      </c>
      <c r="C1550" s="723">
        <v>3</v>
      </c>
      <c r="D1550" s="723">
        <v>0</v>
      </c>
      <c r="E1550" s="723">
        <v>0</v>
      </c>
      <c r="F1550" s="723">
        <v>0</v>
      </c>
      <c r="G1550" s="723">
        <v>3</v>
      </c>
      <c r="H1550" s="724">
        <v>527.01185870520089</v>
      </c>
      <c r="I1550" s="724">
        <v>0</v>
      </c>
      <c r="J1550" s="724">
        <v>0</v>
      </c>
      <c r="K1550" s="724">
        <v>0</v>
      </c>
      <c r="L1550" s="724">
        <v>527.01185870520089</v>
      </c>
    </row>
    <row r="1551" spans="1:12">
      <c r="A1551" s="722" t="s">
        <v>611</v>
      </c>
      <c r="B1551" s="722">
        <v>103</v>
      </c>
      <c r="C1551" s="723">
        <v>0</v>
      </c>
      <c r="D1551" s="723">
        <v>1</v>
      </c>
      <c r="E1551" s="723">
        <v>0</v>
      </c>
      <c r="F1551" s="723">
        <v>0</v>
      </c>
      <c r="G1551" s="723">
        <v>1</v>
      </c>
      <c r="H1551" s="724">
        <v>0</v>
      </c>
      <c r="I1551" s="724">
        <v>175.67061956840027</v>
      </c>
      <c r="J1551" s="724">
        <v>0</v>
      </c>
      <c r="K1551" s="724">
        <v>0</v>
      </c>
      <c r="L1551" s="724">
        <v>175.67061956840027</v>
      </c>
    </row>
    <row r="1552" spans="1:12">
      <c r="A1552" s="722" t="s">
        <v>611</v>
      </c>
      <c r="B1552" s="722">
        <v>106</v>
      </c>
      <c r="C1552" s="723">
        <v>0</v>
      </c>
      <c r="D1552" s="723">
        <v>1</v>
      </c>
      <c r="E1552" s="723">
        <v>0</v>
      </c>
      <c r="F1552" s="723">
        <v>0</v>
      </c>
      <c r="G1552" s="723">
        <v>1</v>
      </c>
      <c r="H1552" s="724">
        <v>0</v>
      </c>
      <c r="I1552" s="724">
        <v>175.67061956840027</v>
      </c>
      <c r="J1552" s="724">
        <v>0</v>
      </c>
      <c r="K1552" s="724">
        <v>0</v>
      </c>
      <c r="L1552" s="724">
        <v>175.67061956840027</v>
      </c>
    </row>
    <row r="1553" spans="1:12">
      <c r="A1553" s="722" t="s">
        <v>611</v>
      </c>
      <c r="B1553" s="722">
        <v>300</v>
      </c>
      <c r="C1553" s="723">
        <v>10</v>
      </c>
      <c r="D1553" s="723">
        <v>7</v>
      </c>
      <c r="E1553" s="723">
        <v>0</v>
      </c>
      <c r="F1553" s="723">
        <v>0</v>
      </c>
      <c r="G1553" s="723">
        <v>17</v>
      </c>
      <c r="H1553" s="724">
        <v>1756.7061956840028</v>
      </c>
      <c r="I1553" s="724">
        <v>1229.6943369788021</v>
      </c>
      <c r="J1553" s="724">
        <v>0</v>
      </c>
      <c r="K1553" s="724">
        <v>0</v>
      </c>
      <c r="L1553" s="724">
        <v>2986.4005326628048</v>
      </c>
    </row>
    <row r="1554" spans="1:12">
      <c r="A1554" s="722" t="s">
        <v>611</v>
      </c>
      <c r="B1554" s="722">
        <v>301</v>
      </c>
      <c r="C1554" s="723">
        <v>48</v>
      </c>
      <c r="D1554" s="723">
        <v>16</v>
      </c>
      <c r="E1554" s="723">
        <v>0</v>
      </c>
      <c r="F1554" s="723">
        <v>0</v>
      </c>
      <c r="G1554" s="723">
        <v>64</v>
      </c>
      <c r="H1554" s="724">
        <v>8432.1897392832125</v>
      </c>
      <c r="I1554" s="724">
        <v>2810.7299130944043</v>
      </c>
      <c r="J1554" s="724">
        <v>0</v>
      </c>
      <c r="K1554" s="724">
        <v>0</v>
      </c>
      <c r="L1554" s="724">
        <v>11242.919652377617</v>
      </c>
    </row>
    <row r="1555" spans="1:12">
      <c r="A1555" s="722" t="s">
        <v>611</v>
      </c>
      <c r="B1555" s="722">
        <v>305</v>
      </c>
      <c r="C1555" s="723">
        <v>3</v>
      </c>
      <c r="D1555" s="723">
        <v>0</v>
      </c>
      <c r="E1555" s="723">
        <v>0</v>
      </c>
      <c r="F1555" s="723">
        <v>0</v>
      </c>
      <c r="G1555" s="723">
        <v>3</v>
      </c>
      <c r="H1555" s="724">
        <v>527.01185870520089</v>
      </c>
      <c r="I1555" s="724">
        <v>0</v>
      </c>
      <c r="J1555" s="724">
        <v>0</v>
      </c>
      <c r="K1555" s="724">
        <v>0</v>
      </c>
      <c r="L1555" s="724">
        <v>527.01185870520089</v>
      </c>
    </row>
    <row r="1556" spans="1:12">
      <c r="A1556" s="722" t="s">
        <v>611</v>
      </c>
      <c r="B1556" s="722">
        <v>306</v>
      </c>
      <c r="C1556" s="723">
        <v>8</v>
      </c>
      <c r="D1556" s="723">
        <v>0</v>
      </c>
      <c r="E1556" s="723">
        <v>0</v>
      </c>
      <c r="F1556" s="723">
        <v>0</v>
      </c>
      <c r="G1556" s="723">
        <v>8</v>
      </c>
      <c r="H1556" s="724">
        <v>1405.3649565472022</v>
      </c>
      <c r="I1556" s="724">
        <v>0</v>
      </c>
      <c r="J1556" s="724">
        <v>0</v>
      </c>
      <c r="K1556" s="724">
        <v>0</v>
      </c>
      <c r="L1556" s="724">
        <v>1405.3649565472022</v>
      </c>
    </row>
    <row r="1557" spans="1:12">
      <c r="A1557" s="722" t="s">
        <v>611</v>
      </c>
      <c r="B1557" s="722">
        <v>330</v>
      </c>
      <c r="C1557" s="723">
        <v>1</v>
      </c>
      <c r="D1557" s="723">
        <v>0</v>
      </c>
      <c r="E1557" s="723">
        <v>0</v>
      </c>
      <c r="F1557" s="723">
        <v>0</v>
      </c>
      <c r="G1557" s="723">
        <v>1</v>
      </c>
      <c r="H1557" s="724">
        <v>175.67061956840027</v>
      </c>
      <c r="I1557" s="724">
        <v>0</v>
      </c>
      <c r="J1557" s="724">
        <v>0</v>
      </c>
      <c r="K1557" s="724">
        <v>0</v>
      </c>
      <c r="L1557" s="724">
        <v>175.67061956840027</v>
      </c>
    </row>
    <row r="1558" spans="1:12">
      <c r="A1558" s="722" t="s">
        <v>611</v>
      </c>
      <c r="B1558" s="722">
        <v>340</v>
      </c>
      <c r="C1558" s="723">
        <v>1</v>
      </c>
      <c r="D1558" s="723">
        <v>2</v>
      </c>
      <c r="E1558" s="723">
        <v>0</v>
      </c>
      <c r="F1558" s="723">
        <v>0</v>
      </c>
      <c r="G1558" s="723">
        <v>3</v>
      </c>
      <c r="H1558" s="724">
        <v>175.6706195684003</v>
      </c>
      <c r="I1558" s="724">
        <v>351.3412391368006</v>
      </c>
      <c r="J1558" s="724">
        <v>0</v>
      </c>
      <c r="K1558" s="724">
        <v>0</v>
      </c>
      <c r="L1558" s="724">
        <v>527.01185870520089</v>
      </c>
    </row>
    <row r="1559" spans="1:12">
      <c r="A1559" s="722" t="s">
        <v>611</v>
      </c>
      <c r="B1559" s="722">
        <v>370</v>
      </c>
      <c r="C1559" s="723">
        <v>4</v>
      </c>
      <c r="D1559" s="723">
        <v>1</v>
      </c>
      <c r="E1559" s="723">
        <v>0</v>
      </c>
      <c r="F1559" s="723">
        <v>0</v>
      </c>
      <c r="G1559" s="723">
        <v>5</v>
      </c>
      <c r="H1559" s="724">
        <v>702.68247827360119</v>
      </c>
      <c r="I1559" s="724">
        <v>175.6706195684003</v>
      </c>
      <c r="J1559" s="724">
        <v>0</v>
      </c>
      <c r="K1559" s="724">
        <v>0</v>
      </c>
      <c r="L1559" s="724">
        <v>878.35309784200149</v>
      </c>
    </row>
    <row r="1560" spans="1:12">
      <c r="A1560" s="722" t="s">
        <v>611</v>
      </c>
      <c r="B1560" s="722">
        <v>400</v>
      </c>
      <c r="C1560" s="723">
        <v>3</v>
      </c>
      <c r="D1560" s="723">
        <v>0</v>
      </c>
      <c r="E1560" s="723">
        <v>0</v>
      </c>
      <c r="F1560" s="723">
        <v>0</v>
      </c>
      <c r="G1560" s="723">
        <v>3</v>
      </c>
      <c r="H1560" s="724">
        <v>527.01185870520089</v>
      </c>
      <c r="I1560" s="724">
        <v>0</v>
      </c>
      <c r="J1560" s="724">
        <v>0</v>
      </c>
      <c r="K1560" s="724">
        <v>0</v>
      </c>
      <c r="L1560" s="724">
        <v>527.01185870520089</v>
      </c>
    </row>
    <row r="1561" spans="1:12">
      <c r="A1561" s="722" t="s">
        <v>611</v>
      </c>
      <c r="B1561" s="722">
        <v>811</v>
      </c>
      <c r="C1561" s="723">
        <v>32</v>
      </c>
      <c r="D1561" s="723">
        <v>26</v>
      </c>
      <c r="E1561" s="723">
        <v>0</v>
      </c>
      <c r="F1561" s="723">
        <v>0</v>
      </c>
      <c r="G1561" s="723">
        <v>58</v>
      </c>
      <c r="H1561" s="724">
        <v>5621.4598261888086</v>
      </c>
      <c r="I1561" s="724">
        <v>4567.4361087784064</v>
      </c>
      <c r="J1561" s="724">
        <v>0</v>
      </c>
      <c r="K1561" s="724">
        <v>0</v>
      </c>
      <c r="L1561" s="724">
        <v>10188.895934967215</v>
      </c>
    </row>
    <row r="1562" spans="1:12">
      <c r="A1562" s="722" t="s">
        <v>611</v>
      </c>
      <c r="B1562" s="722">
        <v>812</v>
      </c>
      <c r="C1562" s="723">
        <v>108</v>
      </c>
      <c r="D1562" s="723">
        <v>66</v>
      </c>
      <c r="E1562" s="723">
        <v>0</v>
      </c>
      <c r="F1562" s="723">
        <v>0</v>
      </c>
      <c r="G1562" s="723">
        <v>174</v>
      </c>
      <c r="H1562" s="724">
        <v>18972.426913387229</v>
      </c>
      <c r="I1562" s="724">
        <v>11594.260891514417</v>
      </c>
      <c r="J1562" s="724">
        <v>0</v>
      </c>
      <c r="K1562" s="724">
        <v>0</v>
      </c>
      <c r="L1562" s="724">
        <v>30566.687804901649</v>
      </c>
    </row>
    <row r="1563" spans="1:12">
      <c r="A1563" s="722" t="s">
        <v>636</v>
      </c>
      <c r="B1563" s="722">
        <v>100</v>
      </c>
      <c r="C1563" s="723">
        <v>1</v>
      </c>
      <c r="D1563" s="723">
        <v>0</v>
      </c>
      <c r="E1563" s="723">
        <v>0</v>
      </c>
      <c r="F1563" s="723">
        <v>0</v>
      </c>
      <c r="G1563" s="723">
        <v>1</v>
      </c>
      <c r="H1563" s="724">
        <v>10788.390005659932</v>
      </c>
      <c r="I1563" s="724">
        <v>0</v>
      </c>
      <c r="J1563" s="724">
        <v>0</v>
      </c>
      <c r="K1563" s="724">
        <v>0</v>
      </c>
      <c r="L1563" s="724">
        <v>10788.390005659932</v>
      </c>
    </row>
    <row r="1564" spans="1:12">
      <c r="A1564" s="722" t="s">
        <v>636</v>
      </c>
      <c r="B1564" s="722">
        <v>301</v>
      </c>
      <c r="C1564" s="723">
        <v>0</v>
      </c>
      <c r="D1564" s="723">
        <v>1</v>
      </c>
      <c r="E1564" s="723">
        <v>0</v>
      </c>
      <c r="F1564" s="723">
        <v>0</v>
      </c>
      <c r="G1564" s="723">
        <v>1</v>
      </c>
      <c r="H1564" s="724">
        <v>0</v>
      </c>
      <c r="I1564" s="724">
        <v>10788.390005659932</v>
      </c>
      <c r="J1564" s="724">
        <v>0</v>
      </c>
      <c r="K1564" s="724">
        <v>0</v>
      </c>
      <c r="L1564" s="724">
        <v>10788.390005659932</v>
      </c>
    </row>
    <row r="1565" spans="1:12">
      <c r="A1565" s="722" t="s">
        <v>636</v>
      </c>
      <c r="B1565" s="722">
        <v>812</v>
      </c>
      <c r="C1565" s="723">
        <v>0</v>
      </c>
      <c r="D1565" s="723">
        <v>1</v>
      </c>
      <c r="E1565" s="723">
        <v>0</v>
      </c>
      <c r="F1565" s="723">
        <v>0</v>
      </c>
      <c r="G1565" s="723">
        <v>1</v>
      </c>
      <c r="H1565" s="724">
        <v>0</v>
      </c>
      <c r="I1565" s="724">
        <v>10788.390005659932</v>
      </c>
      <c r="J1565" s="724">
        <v>0</v>
      </c>
      <c r="K1565" s="724">
        <v>0</v>
      </c>
      <c r="L1565" s="724">
        <v>10788.390005659932</v>
      </c>
    </row>
    <row r="1566" spans="1:12">
      <c r="A1566" s="722" t="s">
        <v>629</v>
      </c>
      <c r="B1566" s="722">
        <v>130</v>
      </c>
      <c r="C1566" s="723">
        <v>1</v>
      </c>
      <c r="D1566" s="723">
        <v>0</v>
      </c>
      <c r="E1566" s="723">
        <v>0</v>
      </c>
      <c r="F1566" s="723">
        <v>0</v>
      </c>
      <c r="G1566" s="723">
        <v>1</v>
      </c>
      <c r="H1566" s="724">
        <v>771.71488609578796</v>
      </c>
      <c r="I1566" s="724">
        <v>0</v>
      </c>
      <c r="J1566" s="724">
        <v>0</v>
      </c>
      <c r="K1566" s="724">
        <v>0</v>
      </c>
      <c r="L1566" s="724">
        <v>771.71488609578796</v>
      </c>
    </row>
    <row r="1567" spans="1:12">
      <c r="A1567" s="722" t="s">
        <v>629</v>
      </c>
      <c r="B1567" s="722">
        <v>301</v>
      </c>
      <c r="C1567" s="723">
        <v>4</v>
      </c>
      <c r="D1567" s="723">
        <v>1</v>
      </c>
      <c r="E1567" s="723">
        <v>0</v>
      </c>
      <c r="F1567" s="723">
        <v>0</v>
      </c>
      <c r="G1567" s="723">
        <v>5</v>
      </c>
      <c r="H1567" s="724">
        <v>3086.8595443831518</v>
      </c>
      <c r="I1567" s="724">
        <v>771.71488609578796</v>
      </c>
      <c r="J1567" s="724">
        <v>0</v>
      </c>
      <c r="K1567" s="724">
        <v>0</v>
      </c>
      <c r="L1567" s="724">
        <v>3858.5744304789396</v>
      </c>
    </row>
    <row r="1568" spans="1:12">
      <c r="A1568" s="722" t="s">
        <v>629</v>
      </c>
      <c r="B1568" s="722">
        <v>306</v>
      </c>
      <c r="C1568" s="723">
        <v>4</v>
      </c>
      <c r="D1568" s="723">
        <v>0</v>
      </c>
      <c r="E1568" s="723">
        <v>0</v>
      </c>
      <c r="F1568" s="723">
        <v>0</v>
      </c>
      <c r="G1568" s="723">
        <v>4</v>
      </c>
      <c r="H1568" s="724">
        <v>3086.8595443831518</v>
      </c>
      <c r="I1568" s="724">
        <v>0</v>
      </c>
      <c r="J1568" s="724">
        <v>0</v>
      </c>
      <c r="K1568" s="724">
        <v>0</v>
      </c>
      <c r="L1568" s="724">
        <v>3086.8595443831518</v>
      </c>
    </row>
    <row r="1569" spans="1:12">
      <c r="A1569" s="722" t="s">
        <v>216</v>
      </c>
      <c r="B1569" s="722">
        <v>100</v>
      </c>
      <c r="C1569" s="723">
        <v>13</v>
      </c>
      <c r="D1569" s="723">
        <v>4</v>
      </c>
      <c r="E1569" s="723">
        <v>0</v>
      </c>
      <c r="F1569" s="723">
        <v>0</v>
      </c>
      <c r="G1569" s="723">
        <v>17</v>
      </c>
      <c r="H1569" s="724">
        <v>3594.9269341727895</v>
      </c>
      <c r="I1569" s="724">
        <v>1106.1313643608582</v>
      </c>
      <c r="J1569" s="724">
        <v>0</v>
      </c>
      <c r="K1569" s="724">
        <v>0</v>
      </c>
      <c r="L1569" s="724">
        <v>4701.0582985336478</v>
      </c>
    </row>
    <row r="1570" spans="1:12">
      <c r="A1570" s="722" t="s">
        <v>216</v>
      </c>
      <c r="B1570" s="722">
        <v>215</v>
      </c>
      <c r="C1570" s="723">
        <v>1</v>
      </c>
      <c r="D1570" s="723">
        <v>0</v>
      </c>
      <c r="E1570" s="723">
        <v>0</v>
      </c>
      <c r="F1570" s="723">
        <v>0</v>
      </c>
      <c r="G1570" s="723">
        <v>1</v>
      </c>
      <c r="H1570" s="724">
        <v>276.53284109021456</v>
      </c>
      <c r="I1570" s="724">
        <v>0</v>
      </c>
      <c r="J1570" s="724">
        <v>0</v>
      </c>
      <c r="K1570" s="724">
        <v>0</v>
      </c>
      <c r="L1570" s="724">
        <v>276.53284109021456</v>
      </c>
    </row>
    <row r="1571" spans="1:12">
      <c r="A1571" s="722" t="s">
        <v>216</v>
      </c>
      <c r="B1571" s="722">
        <v>301</v>
      </c>
      <c r="C1571" s="723">
        <v>106</v>
      </c>
      <c r="D1571" s="723">
        <v>54</v>
      </c>
      <c r="E1571" s="723">
        <v>0</v>
      </c>
      <c r="F1571" s="723">
        <v>0</v>
      </c>
      <c r="G1571" s="723">
        <v>160</v>
      </c>
      <c r="H1571" s="724">
        <v>29312.481155562746</v>
      </c>
      <c r="I1571" s="724">
        <v>14932.773418871588</v>
      </c>
      <c r="J1571" s="724">
        <v>0</v>
      </c>
      <c r="K1571" s="724">
        <v>0</v>
      </c>
      <c r="L1571" s="724">
        <v>44245.25457443433</v>
      </c>
    </row>
    <row r="1572" spans="1:12">
      <c r="A1572" s="722" t="s">
        <v>216</v>
      </c>
      <c r="B1572" s="722">
        <v>306</v>
      </c>
      <c r="C1572" s="723">
        <v>2</v>
      </c>
      <c r="D1572" s="723">
        <v>0</v>
      </c>
      <c r="E1572" s="723">
        <v>0</v>
      </c>
      <c r="F1572" s="723">
        <v>0</v>
      </c>
      <c r="G1572" s="723">
        <v>2</v>
      </c>
      <c r="H1572" s="724">
        <v>553.06568218042912</v>
      </c>
      <c r="I1572" s="724">
        <v>0</v>
      </c>
      <c r="J1572" s="724">
        <v>0</v>
      </c>
      <c r="K1572" s="724">
        <v>0</v>
      </c>
      <c r="L1572" s="724">
        <v>553.06568218042912</v>
      </c>
    </row>
    <row r="1573" spans="1:12">
      <c r="A1573" s="722" t="s">
        <v>216</v>
      </c>
      <c r="B1573" s="722">
        <v>370</v>
      </c>
      <c r="C1573" s="723">
        <v>1</v>
      </c>
      <c r="D1573" s="723">
        <v>0</v>
      </c>
      <c r="E1573" s="723">
        <v>0</v>
      </c>
      <c r="F1573" s="723">
        <v>0</v>
      </c>
      <c r="G1573" s="723">
        <v>1</v>
      </c>
      <c r="H1573" s="724">
        <v>276.53284109021456</v>
      </c>
      <c r="I1573" s="724">
        <v>0</v>
      </c>
      <c r="J1573" s="724">
        <v>0</v>
      </c>
      <c r="K1573" s="724">
        <v>0</v>
      </c>
      <c r="L1573" s="724">
        <v>276.53284109021456</v>
      </c>
    </row>
    <row r="1574" spans="1:12">
      <c r="A1574" s="722" t="s">
        <v>216</v>
      </c>
      <c r="B1574" s="722">
        <v>811</v>
      </c>
      <c r="C1574" s="723">
        <v>13</v>
      </c>
      <c r="D1574" s="723">
        <v>26</v>
      </c>
      <c r="E1574" s="723">
        <v>0</v>
      </c>
      <c r="F1574" s="723">
        <v>0</v>
      </c>
      <c r="G1574" s="723">
        <v>39</v>
      </c>
      <c r="H1574" s="724">
        <v>3594.9269341727891</v>
      </c>
      <c r="I1574" s="724">
        <v>7189.8538683455781</v>
      </c>
      <c r="J1574" s="724">
        <v>0</v>
      </c>
      <c r="K1574" s="724">
        <v>0</v>
      </c>
      <c r="L1574" s="724">
        <v>10784.780802518368</v>
      </c>
    </row>
    <row r="1575" spans="1:12">
      <c r="A1575" s="722" t="s">
        <v>593</v>
      </c>
      <c r="B1575" s="722">
        <v>100</v>
      </c>
      <c r="C1575" s="723">
        <v>10</v>
      </c>
      <c r="D1575" s="723">
        <v>5</v>
      </c>
      <c r="E1575" s="723">
        <v>0</v>
      </c>
      <c r="F1575" s="723">
        <v>0</v>
      </c>
      <c r="G1575" s="723">
        <v>15</v>
      </c>
      <c r="H1575" s="724">
        <v>1413.4317803089073</v>
      </c>
      <c r="I1575" s="724">
        <v>706.71589015445363</v>
      </c>
      <c r="J1575" s="724">
        <v>0</v>
      </c>
      <c r="K1575" s="724">
        <v>0</v>
      </c>
      <c r="L1575" s="724">
        <v>2120.147670463361</v>
      </c>
    </row>
    <row r="1576" spans="1:12">
      <c r="A1576" s="722" t="s">
        <v>593</v>
      </c>
      <c r="B1576" s="722">
        <v>101</v>
      </c>
      <c r="C1576" s="723">
        <v>0</v>
      </c>
      <c r="D1576" s="723">
        <v>1</v>
      </c>
      <c r="E1576" s="723">
        <v>0</v>
      </c>
      <c r="F1576" s="723">
        <v>0</v>
      </c>
      <c r="G1576" s="723">
        <v>1</v>
      </c>
      <c r="H1576" s="724">
        <v>0</v>
      </c>
      <c r="I1576" s="724">
        <v>141.34317803089073</v>
      </c>
      <c r="J1576" s="724">
        <v>0</v>
      </c>
      <c r="K1576" s="724">
        <v>0</v>
      </c>
      <c r="L1576" s="724">
        <v>141.34317803089073</v>
      </c>
    </row>
    <row r="1577" spans="1:12">
      <c r="A1577" s="722" t="s">
        <v>593</v>
      </c>
      <c r="B1577" s="722">
        <v>104</v>
      </c>
      <c r="C1577" s="723">
        <v>1</v>
      </c>
      <c r="D1577" s="723">
        <v>2</v>
      </c>
      <c r="E1577" s="723">
        <v>0</v>
      </c>
      <c r="F1577" s="723">
        <v>0</v>
      </c>
      <c r="G1577" s="723">
        <v>3</v>
      </c>
      <c r="H1577" s="724">
        <v>141.34317803089075</v>
      </c>
      <c r="I1577" s="724">
        <v>282.68635606178151</v>
      </c>
      <c r="J1577" s="724">
        <v>0</v>
      </c>
      <c r="K1577" s="724">
        <v>0</v>
      </c>
      <c r="L1577" s="724">
        <v>424.02953409267224</v>
      </c>
    </row>
    <row r="1578" spans="1:12">
      <c r="A1578" s="722" t="s">
        <v>593</v>
      </c>
      <c r="B1578" s="722">
        <v>106</v>
      </c>
      <c r="C1578" s="723">
        <v>4</v>
      </c>
      <c r="D1578" s="723">
        <v>12</v>
      </c>
      <c r="E1578" s="723">
        <v>0</v>
      </c>
      <c r="F1578" s="723">
        <v>0</v>
      </c>
      <c r="G1578" s="723">
        <v>16</v>
      </c>
      <c r="H1578" s="724">
        <v>565.37271212356291</v>
      </c>
      <c r="I1578" s="724">
        <v>1696.1181363706887</v>
      </c>
      <c r="J1578" s="724">
        <v>0</v>
      </c>
      <c r="K1578" s="724">
        <v>0</v>
      </c>
      <c r="L1578" s="724">
        <v>2261.4908484942516</v>
      </c>
    </row>
    <row r="1579" spans="1:12">
      <c r="A1579" s="722" t="s">
        <v>593</v>
      </c>
      <c r="B1579" s="722">
        <v>140</v>
      </c>
      <c r="C1579" s="723">
        <v>0</v>
      </c>
      <c r="D1579" s="723">
        <v>1</v>
      </c>
      <c r="E1579" s="723">
        <v>0</v>
      </c>
      <c r="F1579" s="723">
        <v>0</v>
      </c>
      <c r="G1579" s="723">
        <v>1</v>
      </c>
      <c r="H1579" s="724">
        <v>0</v>
      </c>
      <c r="I1579" s="724">
        <v>141.34317803089073</v>
      </c>
      <c r="J1579" s="724">
        <v>0</v>
      </c>
      <c r="K1579" s="724">
        <v>0</v>
      </c>
      <c r="L1579" s="724">
        <v>141.34317803089073</v>
      </c>
    </row>
    <row r="1580" spans="1:12">
      <c r="A1580" s="722" t="s">
        <v>593</v>
      </c>
      <c r="B1580" s="722">
        <v>142</v>
      </c>
      <c r="C1580" s="723">
        <v>11</v>
      </c>
      <c r="D1580" s="723">
        <v>14</v>
      </c>
      <c r="E1580" s="723">
        <v>0</v>
      </c>
      <c r="F1580" s="723">
        <v>0</v>
      </c>
      <c r="G1580" s="723">
        <v>25</v>
      </c>
      <c r="H1580" s="724">
        <v>1554.7749583397983</v>
      </c>
      <c r="I1580" s="724">
        <v>1978.8044924324706</v>
      </c>
      <c r="J1580" s="724">
        <v>0</v>
      </c>
      <c r="K1580" s="724">
        <v>0</v>
      </c>
      <c r="L1580" s="724">
        <v>3533.579450772269</v>
      </c>
    </row>
    <row r="1581" spans="1:12">
      <c r="A1581" s="722" t="s">
        <v>593</v>
      </c>
      <c r="B1581" s="722">
        <v>258</v>
      </c>
      <c r="C1581" s="723">
        <v>3</v>
      </c>
      <c r="D1581" s="723">
        <v>0</v>
      </c>
      <c r="E1581" s="723">
        <v>0</v>
      </c>
      <c r="F1581" s="723">
        <v>0</v>
      </c>
      <c r="G1581" s="723">
        <v>3</v>
      </c>
      <c r="H1581" s="724">
        <v>424.02953409267224</v>
      </c>
      <c r="I1581" s="724">
        <v>0</v>
      </c>
      <c r="J1581" s="724">
        <v>0</v>
      </c>
      <c r="K1581" s="724">
        <v>0</v>
      </c>
      <c r="L1581" s="724">
        <v>424.02953409267224</v>
      </c>
    </row>
    <row r="1582" spans="1:12">
      <c r="A1582" s="722" t="s">
        <v>593</v>
      </c>
      <c r="B1582" s="722">
        <v>300</v>
      </c>
      <c r="C1582" s="723">
        <v>9</v>
      </c>
      <c r="D1582" s="723">
        <v>19</v>
      </c>
      <c r="E1582" s="723">
        <v>0</v>
      </c>
      <c r="F1582" s="723">
        <v>0</v>
      </c>
      <c r="G1582" s="723">
        <v>28</v>
      </c>
      <c r="H1582" s="724">
        <v>1272.0886022780167</v>
      </c>
      <c r="I1582" s="724">
        <v>2685.5203825869244</v>
      </c>
      <c r="J1582" s="724">
        <v>0</v>
      </c>
      <c r="K1582" s="724">
        <v>0</v>
      </c>
      <c r="L1582" s="724">
        <v>3957.6089848649408</v>
      </c>
    </row>
    <row r="1583" spans="1:12">
      <c r="A1583" s="722" t="s">
        <v>593</v>
      </c>
      <c r="B1583" s="722">
        <v>301</v>
      </c>
      <c r="C1583" s="723">
        <v>45</v>
      </c>
      <c r="D1583" s="723">
        <v>49</v>
      </c>
      <c r="E1583" s="723">
        <v>0</v>
      </c>
      <c r="F1583" s="723">
        <v>0</v>
      </c>
      <c r="G1583" s="723">
        <v>94</v>
      </c>
      <c r="H1583" s="724">
        <v>6360.4430113900835</v>
      </c>
      <c r="I1583" s="724">
        <v>6925.8157235136459</v>
      </c>
      <c r="J1583" s="724">
        <v>0</v>
      </c>
      <c r="K1583" s="724">
        <v>0</v>
      </c>
      <c r="L1583" s="724">
        <v>13286.258734903729</v>
      </c>
    </row>
    <row r="1584" spans="1:12">
      <c r="A1584" s="722" t="s">
        <v>593</v>
      </c>
      <c r="B1584" s="722">
        <v>306</v>
      </c>
      <c r="C1584" s="723">
        <v>1</v>
      </c>
      <c r="D1584" s="723">
        <v>9</v>
      </c>
      <c r="E1584" s="723">
        <v>0</v>
      </c>
      <c r="F1584" s="723">
        <v>0</v>
      </c>
      <c r="G1584" s="723">
        <v>10</v>
      </c>
      <c r="H1584" s="724">
        <v>141.34317803089073</v>
      </c>
      <c r="I1584" s="724">
        <v>1272.0886022780164</v>
      </c>
      <c r="J1584" s="724">
        <v>0</v>
      </c>
      <c r="K1584" s="724">
        <v>0</v>
      </c>
      <c r="L1584" s="724">
        <v>1413.4317803089073</v>
      </c>
    </row>
    <row r="1585" spans="1:12">
      <c r="A1585" s="722" t="s">
        <v>593</v>
      </c>
      <c r="B1585" s="722">
        <v>340</v>
      </c>
      <c r="C1585" s="723">
        <v>26</v>
      </c>
      <c r="D1585" s="723">
        <v>9</v>
      </c>
      <c r="E1585" s="723">
        <v>0</v>
      </c>
      <c r="F1585" s="723">
        <v>0</v>
      </c>
      <c r="G1585" s="723">
        <v>35</v>
      </c>
      <c r="H1585" s="724">
        <v>3674.9226288031591</v>
      </c>
      <c r="I1585" s="724">
        <v>1272.0886022780167</v>
      </c>
      <c r="J1585" s="724">
        <v>0</v>
      </c>
      <c r="K1585" s="724">
        <v>0</v>
      </c>
      <c r="L1585" s="724">
        <v>4947.0112310811755</v>
      </c>
    </row>
    <row r="1586" spans="1:12">
      <c r="A1586" s="722" t="s">
        <v>593</v>
      </c>
      <c r="B1586" s="722">
        <v>341</v>
      </c>
      <c r="C1586" s="723">
        <v>2</v>
      </c>
      <c r="D1586" s="723">
        <v>0</v>
      </c>
      <c r="E1586" s="723">
        <v>0</v>
      </c>
      <c r="F1586" s="723">
        <v>0</v>
      </c>
      <c r="G1586" s="723">
        <v>2</v>
      </c>
      <c r="H1586" s="724">
        <v>282.68635606178145</v>
      </c>
      <c r="I1586" s="724">
        <v>0</v>
      </c>
      <c r="J1586" s="724">
        <v>0</v>
      </c>
      <c r="K1586" s="724">
        <v>0</v>
      </c>
      <c r="L1586" s="724">
        <v>282.68635606178145</v>
      </c>
    </row>
    <row r="1587" spans="1:12">
      <c r="A1587" s="722" t="s">
        <v>593</v>
      </c>
      <c r="B1587" s="722">
        <v>420</v>
      </c>
      <c r="C1587" s="723">
        <v>3</v>
      </c>
      <c r="D1587" s="723">
        <v>2</v>
      </c>
      <c r="E1587" s="723">
        <v>0</v>
      </c>
      <c r="F1587" s="723">
        <v>0</v>
      </c>
      <c r="G1587" s="723">
        <v>5</v>
      </c>
      <c r="H1587" s="724">
        <v>424.02953409267218</v>
      </c>
      <c r="I1587" s="724">
        <v>282.68635606178145</v>
      </c>
      <c r="J1587" s="724">
        <v>0</v>
      </c>
      <c r="K1587" s="724">
        <v>0</v>
      </c>
      <c r="L1587" s="724">
        <v>706.71589015445363</v>
      </c>
    </row>
    <row r="1588" spans="1:12">
      <c r="A1588" s="722" t="s">
        <v>593</v>
      </c>
      <c r="B1588" s="722">
        <v>502</v>
      </c>
      <c r="C1588" s="723">
        <v>0</v>
      </c>
      <c r="D1588" s="723">
        <v>2</v>
      </c>
      <c r="E1588" s="723">
        <v>0</v>
      </c>
      <c r="F1588" s="723">
        <v>0</v>
      </c>
      <c r="G1588" s="723">
        <v>2</v>
      </c>
      <c r="H1588" s="724">
        <v>0</v>
      </c>
      <c r="I1588" s="724">
        <v>282.68635606178145</v>
      </c>
      <c r="J1588" s="724">
        <v>0</v>
      </c>
      <c r="K1588" s="724">
        <v>0</v>
      </c>
      <c r="L1588" s="724">
        <v>282.68635606178145</v>
      </c>
    </row>
    <row r="1589" spans="1:12">
      <c r="A1589" s="722" t="s">
        <v>593</v>
      </c>
      <c r="B1589" s="722">
        <v>800</v>
      </c>
      <c r="C1589" s="723">
        <v>0</v>
      </c>
      <c r="D1589" s="723">
        <v>1</v>
      </c>
      <c r="E1589" s="723">
        <v>0</v>
      </c>
      <c r="F1589" s="723">
        <v>0</v>
      </c>
      <c r="G1589" s="723">
        <v>1</v>
      </c>
      <c r="H1589" s="724">
        <v>0</v>
      </c>
      <c r="I1589" s="724">
        <v>141.34317803089073</v>
      </c>
      <c r="J1589" s="724">
        <v>0</v>
      </c>
      <c r="K1589" s="724">
        <v>0</v>
      </c>
      <c r="L1589" s="724">
        <v>141.34317803089073</v>
      </c>
    </row>
    <row r="1590" spans="1:12">
      <c r="A1590" s="722" t="s">
        <v>593</v>
      </c>
      <c r="B1590" s="722">
        <v>811</v>
      </c>
      <c r="C1590" s="723">
        <v>27</v>
      </c>
      <c r="D1590" s="723">
        <v>46</v>
      </c>
      <c r="E1590" s="723">
        <v>0</v>
      </c>
      <c r="F1590" s="723">
        <v>0</v>
      </c>
      <c r="G1590" s="723">
        <v>73</v>
      </c>
      <c r="H1590" s="724">
        <v>3816.2658068340502</v>
      </c>
      <c r="I1590" s="724">
        <v>6501.7861894209736</v>
      </c>
      <c r="J1590" s="724">
        <v>0</v>
      </c>
      <c r="K1590" s="724">
        <v>0</v>
      </c>
      <c r="L1590" s="724">
        <v>10318.051996255024</v>
      </c>
    </row>
    <row r="1591" spans="1:12">
      <c r="A1591" s="722" t="s">
        <v>593</v>
      </c>
      <c r="B1591" s="722">
        <v>812</v>
      </c>
      <c r="C1591" s="723">
        <v>7</v>
      </c>
      <c r="D1591" s="723">
        <v>35</v>
      </c>
      <c r="E1591" s="723">
        <v>0</v>
      </c>
      <c r="F1591" s="723">
        <v>0</v>
      </c>
      <c r="G1591" s="723">
        <v>42</v>
      </c>
      <c r="H1591" s="724">
        <v>989.40224621623508</v>
      </c>
      <c r="I1591" s="724">
        <v>4947.0112310811746</v>
      </c>
      <c r="J1591" s="724">
        <v>0</v>
      </c>
      <c r="K1591" s="724">
        <v>0</v>
      </c>
      <c r="L1591" s="724">
        <v>5936.4134772974103</v>
      </c>
    </row>
    <row r="1592" spans="1:12">
      <c r="A1592" s="722" t="s">
        <v>586</v>
      </c>
      <c r="B1592" s="722">
        <v>100</v>
      </c>
      <c r="C1592" s="723">
        <v>1</v>
      </c>
      <c r="D1592" s="723">
        <v>0</v>
      </c>
      <c r="E1592" s="723">
        <v>0</v>
      </c>
      <c r="F1592" s="723">
        <v>0</v>
      </c>
      <c r="G1592" s="723">
        <v>1</v>
      </c>
      <c r="H1592" s="724">
        <v>320.27626780469802</v>
      </c>
      <c r="I1592" s="724">
        <v>0</v>
      </c>
      <c r="J1592" s="724">
        <v>0</v>
      </c>
      <c r="K1592" s="724">
        <v>0</v>
      </c>
      <c r="L1592" s="724">
        <v>320.27626780469802</v>
      </c>
    </row>
    <row r="1593" spans="1:12">
      <c r="A1593" s="722" t="s">
        <v>586</v>
      </c>
      <c r="B1593" s="722">
        <v>301</v>
      </c>
      <c r="C1593" s="723">
        <v>1</v>
      </c>
      <c r="D1593" s="723">
        <v>0</v>
      </c>
      <c r="E1593" s="723">
        <v>0</v>
      </c>
      <c r="F1593" s="723">
        <v>0</v>
      </c>
      <c r="G1593" s="723">
        <v>1</v>
      </c>
      <c r="H1593" s="724">
        <v>320.27626780469802</v>
      </c>
      <c r="I1593" s="724">
        <v>0</v>
      </c>
      <c r="J1593" s="724">
        <v>0</v>
      </c>
      <c r="K1593" s="724">
        <v>0</v>
      </c>
      <c r="L1593" s="724">
        <v>320.27626780469802</v>
      </c>
    </row>
    <row r="1594" spans="1:12">
      <c r="A1594" s="722" t="s">
        <v>586</v>
      </c>
      <c r="B1594" s="722">
        <v>370</v>
      </c>
      <c r="C1594" s="723">
        <v>2</v>
      </c>
      <c r="D1594" s="723">
        <v>0</v>
      </c>
      <c r="E1594" s="723">
        <v>0</v>
      </c>
      <c r="F1594" s="723">
        <v>0</v>
      </c>
      <c r="G1594" s="723">
        <v>2</v>
      </c>
      <c r="H1594" s="724">
        <v>640.55253560939605</v>
      </c>
      <c r="I1594" s="724">
        <v>0</v>
      </c>
      <c r="J1594" s="724">
        <v>0</v>
      </c>
      <c r="K1594" s="724">
        <v>0</v>
      </c>
      <c r="L1594" s="724">
        <v>640.55253560939605</v>
      </c>
    </row>
    <row r="1595" spans="1:12">
      <c r="A1595" s="722" t="s">
        <v>586</v>
      </c>
      <c r="B1595" s="722">
        <v>811</v>
      </c>
      <c r="C1595" s="723">
        <v>0</v>
      </c>
      <c r="D1595" s="723">
        <v>1</v>
      </c>
      <c r="E1595" s="723">
        <v>0</v>
      </c>
      <c r="F1595" s="723">
        <v>0</v>
      </c>
      <c r="G1595" s="723">
        <v>1</v>
      </c>
      <c r="H1595" s="724">
        <v>0</v>
      </c>
      <c r="I1595" s="724">
        <v>320.27626780469802</v>
      </c>
      <c r="J1595" s="724">
        <v>0</v>
      </c>
      <c r="K1595" s="724">
        <v>0</v>
      </c>
      <c r="L1595" s="724">
        <v>320.27626780469802</v>
      </c>
    </row>
    <row r="1596" spans="1:12">
      <c r="A1596" s="722" t="s">
        <v>572</v>
      </c>
      <c r="B1596" s="722">
        <v>110</v>
      </c>
      <c r="C1596" s="723">
        <v>5</v>
      </c>
      <c r="D1596" s="723">
        <v>0</v>
      </c>
      <c r="E1596" s="723">
        <v>0</v>
      </c>
      <c r="F1596" s="723">
        <v>0</v>
      </c>
      <c r="G1596" s="723">
        <v>5</v>
      </c>
      <c r="H1596" s="724">
        <v>243.61658279199816</v>
      </c>
      <c r="I1596" s="724">
        <v>0</v>
      </c>
      <c r="J1596" s="724">
        <v>0</v>
      </c>
      <c r="K1596" s="724">
        <v>0</v>
      </c>
      <c r="L1596" s="724">
        <v>243.61658279199813</v>
      </c>
    </row>
    <row r="1597" spans="1:12">
      <c r="A1597" s="722" t="s">
        <v>572</v>
      </c>
      <c r="B1597" s="722">
        <v>120</v>
      </c>
      <c r="C1597" s="723">
        <v>0</v>
      </c>
      <c r="D1597" s="723">
        <v>1</v>
      </c>
      <c r="E1597" s="723">
        <v>0</v>
      </c>
      <c r="F1597" s="723">
        <v>0</v>
      </c>
      <c r="G1597" s="723">
        <v>1</v>
      </c>
      <c r="H1597" s="724">
        <v>0</v>
      </c>
      <c r="I1597" s="724">
        <v>48.723316558399624</v>
      </c>
      <c r="J1597" s="724">
        <v>0</v>
      </c>
      <c r="K1597" s="724">
        <v>0</v>
      </c>
      <c r="L1597" s="724">
        <v>48.723316558399624</v>
      </c>
    </row>
    <row r="1598" spans="1:12">
      <c r="A1598" s="722" t="s">
        <v>572</v>
      </c>
      <c r="B1598" s="722">
        <v>812</v>
      </c>
      <c r="C1598" s="723">
        <v>0</v>
      </c>
      <c r="D1598" s="723">
        <v>2</v>
      </c>
      <c r="E1598" s="723">
        <v>0</v>
      </c>
      <c r="F1598" s="723">
        <v>0</v>
      </c>
      <c r="G1598" s="723">
        <v>2</v>
      </c>
      <c r="H1598" s="724">
        <v>0</v>
      </c>
      <c r="I1598" s="724">
        <v>97.446633116799248</v>
      </c>
      <c r="J1598" s="724">
        <v>0</v>
      </c>
      <c r="K1598" s="724">
        <v>0</v>
      </c>
      <c r="L1598" s="724">
        <v>97.446633116799248</v>
      </c>
    </row>
    <row r="1599" spans="1:12">
      <c r="A1599" s="722" t="s">
        <v>603</v>
      </c>
      <c r="B1599" s="722">
        <v>110</v>
      </c>
      <c r="C1599" s="723">
        <v>13</v>
      </c>
      <c r="D1599" s="723">
        <v>0</v>
      </c>
      <c r="E1599" s="723">
        <v>0</v>
      </c>
      <c r="F1599" s="723">
        <v>0</v>
      </c>
      <c r="G1599" s="723">
        <v>13</v>
      </c>
      <c r="H1599" s="724">
        <v>200.70398422198801</v>
      </c>
      <c r="I1599" s="724">
        <v>0</v>
      </c>
      <c r="J1599" s="724">
        <v>0</v>
      </c>
      <c r="K1599" s="724">
        <v>0</v>
      </c>
      <c r="L1599" s="724">
        <v>200.70398422198801</v>
      </c>
    </row>
    <row r="1600" spans="1:12">
      <c r="A1600" s="722" t="s">
        <v>217</v>
      </c>
      <c r="B1600" s="722">
        <v>110</v>
      </c>
      <c r="C1600" s="723">
        <v>3</v>
      </c>
      <c r="D1600" s="723">
        <v>1</v>
      </c>
      <c r="E1600" s="723">
        <v>0</v>
      </c>
      <c r="F1600" s="723">
        <v>0</v>
      </c>
      <c r="G1600" s="723">
        <v>4</v>
      </c>
      <c r="H1600" s="724">
        <v>322.80337972069725</v>
      </c>
      <c r="I1600" s="724">
        <v>107.60112657356575</v>
      </c>
      <c r="J1600" s="724">
        <v>0</v>
      </c>
      <c r="K1600" s="724">
        <v>0</v>
      </c>
      <c r="L1600" s="724">
        <v>430.404506294263</v>
      </c>
    </row>
    <row r="1601" spans="1:12">
      <c r="A1601" s="722" t="s">
        <v>649</v>
      </c>
      <c r="B1601" s="722">
        <v>110</v>
      </c>
      <c r="C1601" s="723">
        <v>0</v>
      </c>
      <c r="D1601" s="723">
        <v>1</v>
      </c>
      <c r="E1601" s="723">
        <v>0</v>
      </c>
      <c r="F1601" s="723">
        <v>0</v>
      </c>
      <c r="G1601" s="723">
        <v>1</v>
      </c>
      <c r="H1601" s="724">
        <v>0</v>
      </c>
      <c r="I1601" s="724">
        <v>391.92261466111671</v>
      </c>
      <c r="J1601" s="724">
        <v>0</v>
      </c>
      <c r="K1601" s="724">
        <v>0</v>
      </c>
      <c r="L1601" s="724">
        <v>391.92261466111671</v>
      </c>
    </row>
    <row r="1602" spans="1:12">
      <c r="A1602" s="722" t="s">
        <v>649</v>
      </c>
      <c r="B1602" s="722">
        <v>180</v>
      </c>
      <c r="C1602" s="723">
        <v>0</v>
      </c>
      <c r="D1602" s="723">
        <v>1</v>
      </c>
      <c r="E1602" s="723">
        <v>0</v>
      </c>
      <c r="F1602" s="723">
        <v>0</v>
      </c>
      <c r="G1602" s="723">
        <v>1</v>
      </c>
      <c r="H1602" s="724">
        <v>0</v>
      </c>
      <c r="I1602" s="724">
        <v>391.92261466111671</v>
      </c>
      <c r="J1602" s="724">
        <v>0</v>
      </c>
      <c r="K1602" s="724">
        <v>0</v>
      </c>
      <c r="L1602" s="724">
        <v>391.92261466111671</v>
      </c>
    </row>
    <row r="1603" spans="1:12">
      <c r="A1603" s="722" t="s">
        <v>649</v>
      </c>
      <c r="B1603" s="722">
        <v>214</v>
      </c>
      <c r="C1603" s="723">
        <v>0</v>
      </c>
      <c r="D1603" s="723">
        <v>1</v>
      </c>
      <c r="E1603" s="723">
        <v>0</v>
      </c>
      <c r="F1603" s="723">
        <v>0</v>
      </c>
      <c r="G1603" s="723">
        <v>1</v>
      </c>
      <c r="H1603" s="724">
        <v>0</v>
      </c>
      <c r="I1603" s="724">
        <v>391.92261466111671</v>
      </c>
      <c r="J1603" s="724">
        <v>0</v>
      </c>
      <c r="K1603" s="724">
        <v>0</v>
      </c>
      <c r="L1603" s="724">
        <v>391.92261466111671</v>
      </c>
    </row>
    <row r="1604" spans="1:12">
      <c r="A1604" s="722" t="s">
        <v>545</v>
      </c>
      <c r="B1604" s="722">
        <v>160</v>
      </c>
      <c r="C1604" s="723">
        <v>15</v>
      </c>
      <c r="D1604" s="723">
        <v>1</v>
      </c>
      <c r="E1604" s="723">
        <v>0</v>
      </c>
      <c r="F1604" s="723">
        <v>0</v>
      </c>
      <c r="G1604" s="723">
        <v>16</v>
      </c>
      <c r="H1604" s="724">
        <v>259.41821722993217</v>
      </c>
      <c r="I1604" s="724">
        <v>17.294547815328812</v>
      </c>
      <c r="J1604" s="724">
        <v>0</v>
      </c>
      <c r="K1604" s="724">
        <v>0</v>
      </c>
      <c r="L1604" s="724">
        <v>276.71276504526099</v>
      </c>
    </row>
    <row r="1605" spans="1:12">
      <c r="A1605" s="722" t="s">
        <v>605</v>
      </c>
      <c r="B1605" s="722">
        <v>101</v>
      </c>
      <c r="C1605" s="723">
        <v>1</v>
      </c>
      <c r="D1605" s="723">
        <v>0</v>
      </c>
      <c r="E1605" s="723">
        <v>0</v>
      </c>
      <c r="F1605" s="723">
        <v>0</v>
      </c>
      <c r="G1605" s="723">
        <v>1</v>
      </c>
      <c r="H1605" s="724">
        <v>25.188569740573143</v>
      </c>
      <c r="I1605" s="724">
        <v>0</v>
      </c>
      <c r="J1605" s="724">
        <v>0</v>
      </c>
      <c r="K1605" s="724">
        <v>0</v>
      </c>
      <c r="L1605" s="724">
        <v>25.188569740573143</v>
      </c>
    </row>
    <row r="1606" spans="1:12">
      <c r="A1606" s="722" t="s">
        <v>605</v>
      </c>
      <c r="B1606" s="722">
        <v>110</v>
      </c>
      <c r="C1606" s="723">
        <v>2</v>
      </c>
      <c r="D1606" s="723">
        <v>1</v>
      </c>
      <c r="E1606" s="723">
        <v>0</v>
      </c>
      <c r="F1606" s="723">
        <v>0</v>
      </c>
      <c r="G1606" s="723">
        <v>3</v>
      </c>
      <c r="H1606" s="724">
        <v>50.377139481146287</v>
      </c>
      <c r="I1606" s="724">
        <v>25.188569740573143</v>
      </c>
      <c r="J1606" s="724">
        <v>0</v>
      </c>
      <c r="K1606" s="724">
        <v>0</v>
      </c>
      <c r="L1606" s="724">
        <v>75.56570922171943</v>
      </c>
    </row>
    <row r="1607" spans="1:12">
      <c r="A1607" s="722" t="s">
        <v>605</v>
      </c>
      <c r="B1607" s="722">
        <v>160</v>
      </c>
      <c r="C1607" s="723">
        <v>8</v>
      </c>
      <c r="D1607" s="723">
        <v>0</v>
      </c>
      <c r="E1607" s="723">
        <v>0</v>
      </c>
      <c r="F1607" s="723">
        <v>0</v>
      </c>
      <c r="G1607" s="723">
        <v>8</v>
      </c>
      <c r="H1607" s="724">
        <v>201.50855792458515</v>
      </c>
      <c r="I1607" s="724">
        <v>0</v>
      </c>
      <c r="J1607" s="724">
        <v>0</v>
      </c>
      <c r="K1607" s="724">
        <v>0</v>
      </c>
      <c r="L1607" s="724">
        <v>201.50855792458515</v>
      </c>
    </row>
    <row r="1608" spans="1:12">
      <c r="A1608" s="722" t="s">
        <v>605</v>
      </c>
      <c r="B1608" s="722">
        <v>650</v>
      </c>
      <c r="C1608" s="723">
        <v>1</v>
      </c>
      <c r="D1608" s="723">
        <v>1</v>
      </c>
      <c r="E1608" s="723">
        <v>0</v>
      </c>
      <c r="F1608" s="723">
        <v>0</v>
      </c>
      <c r="G1608" s="723">
        <v>2</v>
      </c>
      <c r="H1608" s="724">
        <v>25.188569740573143</v>
      </c>
      <c r="I1608" s="724">
        <v>25.188569740573143</v>
      </c>
      <c r="J1608" s="724">
        <v>0</v>
      </c>
      <c r="K1608" s="724">
        <v>0</v>
      </c>
      <c r="L1608" s="724">
        <v>50.377139481146287</v>
      </c>
    </row>
    <row r="1609" spans="1:12">
      <c r="A1609" s="722" t="s">
        <v>642</v>
      </c>
      <c r="B1609" s="722">
        <v>110</v>
      </c>
      <c r="C1609" s="723">
        <v>0</v>
      </c>
      <c r="D1609" s="723">
        <v>8</v>
      </c>
      <c r="E1609" s="723">
        <v>0</v>
      </c>
      <c r="F1609" s="723">
        <v>0</v>
      </c>
      <c r="G1609" s="723">
        <v>8</v>
      </c>
      <c r="H1609" s="724">
        <v>0</v>
      </c>
      <c r="I1609" s="724">
        <v>891.65371445757592</v>
      </c>
      <c r="J1609" s="724">
        <v>0</v>
      </c>
      <c r="K1609" s="724">
        <v>0</v>
      </c>
      <c r="L1609" s="724">
        <v>891.65371445757592</v>
      </c>
    </row>
    <row r="1610" spans="1:12">
      <c r="A1610" s="722" t="s">
        <v>642</v>
      </c>
      <c r="B1610" s="722">
        <v>160</v>
      </c>
      <c r="C1610" s="723">
        <v>2</v>
      </c>
      <c r="D1610" s="723">
        <v>0</v>
      </c>
      <c r="E1610" s="723">
        <v>0</v>
      </c>
      <c r="F1610" s="723">
        <v>0</v>
      </c>
      <c r="G1610" s="723">
        <v>2</v>
      </c>
      <c r="H1610" s="724">
        <v>222.91342861439398</v>
      </c>
      <c r="I1610" s="724">
        <v>0</v>
      </c>
      <c r="J1610" s="724">
        <v>0</v>
      </c>
      <c r="K1610" s="724">
        <v>0</v>
      </c>
      <c r="L1610" s="724">
        <v>222.91342861439398</v>
      </c>
    </row>
    <row r="1611" spans="1:12">
      <c r="A1611" s="722" t="s">
        <v>533</v>
      </c>
      <c r="B1611" s="722">
        <v>110</v>
      </c>
      <c r="C1611" s="723">
        <v>2</v>
      </c>
      <c r="D1611" s="723">
        <v>10</v>
      </c>
      <c r="E1611" s="723">
        <v>0</v>
      </c>
      <c r="F1611" s="723">
        <v>0</v>
      </c>
      <c r="G1611" s="723">
        <v>12</v>
      </c>
      <c r="H1611" s="724">
        <v>283.49692235466432</v>
      </c>
      <c r="I1611" s="724">
        <v>1417.4846117733216</v>
      </c>
      <c r="J1611" s="724">
        <v>0</v>
      </c>
      <c r="K1611" s="724">
        <v>0</v>
      </c>
      <c r="L1611" s="724">
        <v>1700.9815341279859</v>
      </c>
    </row>
    <row r="1612" spans="1:12">
      <c r="A1612" s="722" t="s">
        <v>533</v>
      </c>
      <c r="B1612" s="722">
        <v>160</v>
      </c>
      <c r="C1612" s="723">
        <v>6</v>
      </c>
      <c r="D1612" s="723">
        <v>5</v>
      </c>
      <c r="E1612" s="723">
        <v>0</v>
      </c>
      <c r="F1612" s="723">
        <v>0</v>
      </c>
      <c r="G1612" s="723">
        <v>11</v>
      </c>
      <c r="H1612" s="724">
        <v>850.49076706399285</v>
      </c>
      <c r="I1612" s="724">
        <v>708.7423058866608</v>
      </c>
      <c r="J1612" s="724">
        <v>0</v>
      </c>
      <c r="K1612" s="724">
        <v>0</v>
      </c>
      <c r="L1612" s="724">
        <v>1559.2330729506536</v>
      </c>
    </row>
    <row r="1613" spans="1:12">
      <c r="A1613" s="722" t="s">
        <v>534</v>
      </c>
      <c r="B1613" s="722">
        <v>100</v>
      </c>
      <c r="C1613" s="723">
        <v>3</v>
      </c>
      <c r="D1613" s="723">
        <v>0</v>
      </c>
      <c r="E1613" s="723">
        <v>0</v>
      </c>
      <c r="F1613" s="723">
        <v>0</v>
      </c>
      <c r="G1613" s="723">
        <v>3</v>
      </c>
      <c r="H1613" s="724">
        <v>178.05448542852528</v>
      </c>
      <c r="I1613" s="724">
        <v>0</v>
      </c>
      <c r="J1613" s="724">
        <v>0</v>
      </c>
      <c r="K1613" s="724">
        <v>0</v>
      </c>
      <c r="L1613" s="724">
        <v>178.05448542852531</v>
      </c>
    </row>
    <row r="1614" spans="1:12">
      <c r="A1614" s="722" t="s">
        <v>534</v>
      </c>
      <c r="B1614" s="722">
        <v>110</v>
      </c>
      <c r="C1614" s="723">
        <v>9</v>
      </c>
      <c r="D1614" s="723">
        <v>3</v>
      </c>
      <c r="E1614" s="723">
        <v>0</v>
      </c>
      <c r="F1614" s="723">
        <v>0</v>
      </c>
      <c r="G1614" s="723">
        <v>12</v>
      </c>
      <c r="H1614" s="724">
        <v>534.16345628557599</v>
      </c>
      <c r="I1614" s="724">
        <v>178.05448542852528</v>
      </c>
      <c r="J1614" s="724">
        <v>0</v>
      </c>
      <c r="K1614" s="724">
        <v>0</v>
      </c>
      <c r="L1614" s="724">
        <v>712.21794171410124</v>
      </c>
    </row>
    <row r="1615" spans="1:12">
      <c r="A1615" s="722" t="s">
        <v>534</v>
      </c>
      <c r="B1615" s="722">
        <v>219</v>
      </c>
      <c r="C1615" s="723">
        <v>0</v>
      </c>
      <c r="D1615" s="723">
        <v>2</v>
      </c>
      <c r="E1615" s="723">
        <v>0</v>
      </c>
      <c r="F1615" s="723">
        <v>0</v>
      </c>
      <c r="G1615" s="723">
        <v>2</v>
      </c>
      <c r="H1615" s="724">
        <v>0</v>
      </c>
      <c r="I1615" s="724">
        <v>118.70299028568354</v>
      </c>
      <c r="J1615" s="724">
        <v>0</v>
      </c>
      <c r="K1615" s="724">
        <v>0</v>
      </c>
      <c r="L1615" s="724">
        <v>118.70299028568354</v>
      </c>
    </row>
    <row r="1616" spans="1:12">
      <c r="A1616" s="722" t="s">
        <v>569</v>
      </c>
      <c r="B1616" s="722">
        <v>110</v>
      </c>
      <c r="C1616" s="723">
        <v>5</v>
      </c>
      <c r="D1616" s="723">
        <v>1</v>
      </c>
      <c r="E1616" s="723">
        <v>0</v>
      </c>
      <c r="F1616" s="723">
        <v>0</v>
      </c>
      <c r="G1616" s="723">
        <v>6</v>
      </c>
      <c r="H1616" s="724">
        <v>87.548896485523315</v>
      </c>
      <c r="I1616" s="724">
        <v>17.509779297104664</v>
      </c>
      <c r="J1616" s="724">
        <v>0</v>
      </c>
      <c r="K1616" s="724">
        <v>0</v>
      </c>
      <c r="L1616" s="724">
        <v>105.05867578262799</v>
      </c>
    </row>
    <row r="1617" spans="1:12">
      <c r="A1617" s="722" t="s">
        <v>554</v>
      </c>
      <c r="B1617" s="722">
        <v>110</v>
      </c>
      <c r="C1617" s="723">
        <v>8</v>
      </c>
      <c r="D1617" s="723">
        <v>0</v>
      </c>
      <c r="E1617" s="723">
        <v>0</v>
      </c>
      <c r="F1617" s="723">
        <v>0</v>
      </c>
      <c r="G1617" s="723">
        <v>8</v>
      </c>
      <c r="H1617" s="724">
        <v>599.81128702357955</v>
      </c>
      <c r="I1617" s="724">
        <v>0</v>
      </c>
      <c r="J1617" s="724">
        <v>0</v>
      </c>
      <c r="K1617" s="724">
        <v>0</v>
      </c>
      <c r="L1617" s="724">
        <v>599.81128702357955</v>
      </c>
    </row>
    <row r="1618" spans="1:12">
      <c r="A1618" s="722" t="s">
        <v>554</v>
      </c>
      <c r="B1618" s="722">
        <v>214</v>
      </c>
      <c r="C1618" s="723">
        <v>0</v>
      </c>
      <c r="D1618" s="723">
        <v>1</v>
      </c>
      <c r="E1618" s="723">
        <v>0</v>
      </c>
      <c r="F1618" s="723">
        <v>0</v>
      </c>
      <c r="G1618" s="723">
        <v>1</v>
      </c>
      <c r="H1618" s="724">
        <v>0</v>
      </c>
      <c r="I1618" s="724">
        <v>74.976410877947444</v>
      </c>
      <c r="J1618" s="724">
        <v>0</v>
      </c>
      <c r="K1618" s="724">
        <v>0</v>
      </c>
      <c r="L1618" s="724">
        <v>74.976410877947444</v>
      </c>
    </row>
    <row r="1619" spans="1:12">
      <c r="A1619" s="722" t="s">
        <v>218</v>
      </c>
      <c r="B1619" s="722">
        <v>100</v>
      </c>
      <c r="C1619" s="723">
        <v>4</v>
      </c>
      <c r="D1619" s="723">
        <v>0</v>
      </c>
      <c r="E1619" s="723">
        <v>0</v>
      </c>
      <c r="F1619" s="723">
        <v>0</v>
      </c>
      <c r="G1619" s="723">
        <v>4</v>
      </c>
      <c r="H1619" s="724">
        <v>446.37876484106192</v>
      </c>
      <c r="I1619" s="724">
        <v>0</v>
      </c>
      <c r="J1619" s="724">
        <v>0</v>
      </c>
      <c r="K1619" s="724">
        <v>0</v>
      </c>
      <c r="L1619" s="724">
        <v>446.37876484106192</v>
      </c>
    </row>
    <row r="1620" spans="1:12">
      <c r="A1620" s="722" t="s">
        <v>218</v>
      </c>
      <c r="B1620" s="722">
        <v>101</v>
      </c>
      <c r="C1620" s="723">
        <v>1</v>
      </c>
      <c r="D1620" s="723">
        <v>0</v>
      </c>
      <c r="E1620" s="723">
        <v>0</v>
      </c>
      <c r="F1620" s="723">
        <v>0</v>
      </c>
      <c r="G1620" s="723">
        <v>1</v>
      </c>
      <c r="H1620" s="724">
        <v>111.59469121026548</v>
      </c>
      <c r="I1620" s="724">
        <v>0</v>
      </c>
      <c r="J1620" s="724">
        <v>0</v>
      </c>
      <c r="K1620" s="724">
        <v>0</v>
      </c>
      <c r="L1620" s="724">
        <v>111.59469121026548</v>
      </c>
    </row>
    <row r="1621" spans="1:12">
      <c r="A1621" s="722" t="s">
        <v>218</v>
      </c>
      <c r="B1621" s="722">
        <v>104</v>
      </c>
      <c r="C1621" s="723">
        <v>0</v>
      </c>
      <c r="D1621" s="723">
        <v>1</v>
      </c>
      <c r="E1621" s="723">
        <v>0</v>
      </c>
      <c r="F1621" s="723">
        <v>0</v>
      </c>
      <c r="G1621" s="723">
        <v>1</v>
      </c>
      <c r="H1621" s="724">
        <v>0</v>
      </c>
      <c r="I1621" s="724">
        <v>111.59469121026548</v>
      </c>
      <c r="J1621" s="724">
        <v>0</v>
      </c>
      <c r="K1621" s="724">
        <v>0</v>
      </c>
      <c r="L1621" s="724">
        <v>111.59469121026548</v>
      </c>
    </row>
    <row r="1622" spans="1:12">
      <c r="A1622" s="722" t="s">
        <v>218</v>
      </c>
      <c r="B1622" s="722">
        <v>110</v>
      </c>
      <c r="C1622" s="723">
        <v>412</v>
      </c>
      <c r="D1622" s="723">
        <v>815</v>
      </c>
      <c r="E1622" s="723">
        <v>0</v>
      </c>
      <c r="F1622" s="723">
        <v>0</v>
      </c>
      <c r="G1622" s="723">
        <v>1227</v>
      </c>
      <c r="H1622" s="724">
        <v>45977.012778629389</v>
      </c>
      <c r="I1622" s="724">
        <v>90949.673336366381</v>
      </c>
      <c r="J1622" s="724">
        <v>0</v>
      </c>
      <c r="K1622" s="724">
        <v>0</v>
      </c>
      <c r="L1622" s="724">
        <v>136926.68611499577</v>
      </c>
    </row>
    <row r="1623" spans="1:12">
      <c r="A1623" s="722" t="s">
        <v>218</v>
      </c>
      <c r="B1623" s="722">
        <v>120</v>
      </c>
      <c r="C1623" s="723">
        <v>3</v>
      </c>
      <c r="D1623" s="723">
        <v>9</v>
      </c>
      <c r="E1623" s="723">
        <v>0</v>
      </c>
      <c r="F1623" s="723">
        <v>0</v>
      </c>
      <c r="G1623" s="723">
        <v>12</v>
      </c>
      <c r="H1623" s="724">
        <v>334.78407363079646</v>
      </c>
      <c r="I1623" s="724">
        <v>1004.3522208923893</v>
      </c>
      <c r="J1623" s="724">
        <v>0</v>
      </c>
      <c r="K1623" s="724">
        <v>0</v>
      </c>
      <c r="L1623" s="724">
        <v>1339.1362945231858</v>
      </c>
    </row>
    <row r="1624" spans="1:12">
      <c r="A1624" s="722" t="s">
        <v>218</v>
      </c>
      <c r="B1624" s="722">
        <v>160</v>
      </c>
      <c r="C1624" s="723">
        <v>15</v>
      </c>
      <c r="D1624" s="723">
        <v>21</v>
      </c>
      <c r="E1624" s="723">
        <v>0</v>
      </c>
      <c r="F1624" s="723">
        <v>0</v>
      </c>
      <c r="G1624" s="723">
        <v>36</v>
      </c>
      <c r="H1624" s="724">
        <v>1673.9203681539823</v>
      </c>
      <c r="I1624" s="724">
        <v>2343.4885154155754</v>
      </c>
      <c r="J1624" s="724">
        <v>0</v>
      </c>
      <c r="K1624" s="724">
        <v>0</v>
      </c>
      <c r="L1624" s="724">
        <v>4017.4088835695575</v>
      </c>
    </row>
    <row r="1625" spans="1:12">
      <c r="A1625" s="722" t="s">
        <v>218</v>
      </c>
      <c r="B1625" s="722">
        <v>180</v>
      </c>
      <c r="C1625" s="723">
        <v>0</v>
      </c>
      <c r="D1625" s="723">
        <v>1</v>
      </c>
      <c r="E1625" s="723">
        <v>0</v>
      </c>
      <c r="F1625" s="723">
        <v>0</v>
      </c>
      <c r="G1625" s="723">
        <v>1</v>
      </c>
      <c r="H1625" s="724">
        <v>0</v>
      </c>
      <c r="I1625" s="724">
        <v>111.59469121026548</v>
      </c>
      <c r="J1625" s="724">
        <v>0</v>
      </c>
      <c r="K1625" s="724">
        <v>0</v>
      </c>
      <c r="L1625" s="724">
        <v>111.59469121026548</v>
      </c>
    </row>
    <row r="1626" spans="1:12">
      <c r="A1626" s="722" t="s">
        <v>218</v>
      </c>
      <c r="B1626" s="722">
        <v>214</v>
      </c>
      <c r="C1626" s="723">
        <v>4</v>
      </c>
      <c r="D1626" s="723">
        <v>3</v>
      </c>
      <c r="E1626" s="723">
        <v>0</v>
      </c>
      <c r="F1626" s="723">
        <v>0</v>
      </c>
      <c r="G1626" s="723">
        <v>7</v>
      </c>
      <c r="H1626" s="724">
        <v>446.37876484106192</v>
      </c>
      <c r="I1626" s="724">
        <v>334.7840736307964</v>
      </c>
      <c r="J1626" s="724">
        <v>0</v>
      </c>
      <c r="K1626" s="724">
        <v>0</v>
      </c>
      <c r="L1626" s="724">
        <v>781.16283847185832</v>
      </c>
    </row>
    <row r="1627" spans="1:12">
      <c r="A1627" s="722" t="s">
        <v>218</v>
      </c>
      <c r="B1627" s="722">
        <v>215</v>
      </c>
      <c r="C1627" s="723">
        <v>0</v>
      </c>
      <c r="D1627" s="723">
        <v>2</v>
      </c>
      <c r="E1627" s="723">
        <v>0</v>
      </c>
      <c r="F1627" s="723">
        <v>0</v>
      </c>
      <c r="G1627" s="723">
        <v>2</v>
      </c>
      <c r="H1627" s="724">
        <v>0</v>
      </c>
      <c r="I1627" s="724">
        <v>223.18938242053096</v>
      </c>
      <c r="J1627" s="724">
        <v>0</v>
      </c>
      <c r="K1627" s="724">
        <v>0</v>
      </c>
      <c r="L1627" s="724">
        <v>223.18938242053096</v>
      </c>
    </row>
    <row r="1628" spans="1:12">
      <c r="A1628" s="722" t="s">
        <v>218</v>
      </c>
      <c r="B1628" s="722">
        <v>301</v>
      </c>
      <c r="C1628" s="723">
        <v>0</v>
      </c>
      <c r="D1628" s="723">
        <v>1</v>
      </c>
      <c r="E1628" s="723">
        <v>0</v>
      </c>
      <c r="F1628" s="723">
        <v>0</v>
      </c>
      <c r="G1628" s="723">
        <v>1</v>
      </c>
      <c r="H1628" s="724">
        <v>0</v>
      </c>
      <c r="I1628" s="724">
        <v>111.59469121026548</v>
      </c>
      <c r="J1628" s="724">
        <v>0</v>
      </c>
      <c r="K1628" s="724">
        <v>0</v>
      </c>
      <c r="L1628" s="724">
        <v>111.59469121026548</v>
      </c>
    </row>
    <row r="1629" spans="1:12">
      <c r="A1629" s="722" t="s">
        <v>218</v>
      </c>
      <c r="B1629" s="722">
        <v>303</v>
      </c>
      <c r="C1629" s="723">
        <v>1</v>
      </c>
      <c r="D1629" s="723">
        <v>0</v>
      </c>
      <c r="E1629" s="723">
        <v>0</v>
      </c>
      <c r="F1629" s="723">
        <v>0</v>
      </c>
      <c r="G1629" s="723">
        <v>1</v>
      </c>
      <c r="H1629" s="724">
        <v>111.59469121026548</v>
      </c>
      <c r="I1629" s="724">
        <v>0</v>
      </c>
      <c r="J1629" s="724">
        <v>0</v>
      </c>
      <c r="K1629" s="724">
        <v>0</v>
      </c>
      <c r="L1629" s="724">
        <v>111.59469121026548</v>
      </c>
    </row>
    <row r="1630" spans="1:12">
      <c r="A1630" s="722" t="s">
        <v>218</v>
      </c>
      <c r="B1630" s="722">
        <v>320</v>
      </c>
      <c r="C1630" s="723">
        <v>0</v>
      </c>
      <c r="D1630" s="723">
        <v>2</v>
      </c>
      <c r="E1630" s="723">
        <v>0</v>
      </c>
      <c r="F1630" s="723">
        <v>0</v>
      </c>
      <c r="G1630" s="723">
        <v>2</v>
      </c>
      <c r="H1630" s="724">
        <v>0</v>
      </c>
      <c r="I1630" s="724">
        <v>223.18938242053096</v>
      </c>
      <c r="J1630" s="724">
        <v>0</v>
      </c>
      <c r="K1630" s="724">
        <v>0</v>
      </c>
      <c r="L1630" s="724">
        <v>223.18938242053096</v>
      </c>
    </row>
    <row r="1631" spans="1:12">
      <c r="A1631" s="722" t="s">
        <v>218</v>
      </c>
      <c r="B1631" s="722">
        <v>410</v>
      </c>
      <c r="C1631" s="723">
        <v>2</v>
      </c>
      <c r="D1631" s="723">
        <v>2</v>
      </c>
      <c r="E1631" s="723">
        <v>0</v>
      </c>
      <c r="F1631" s="723">
        <v>0</v>
      </c>
      <c r="G1631" s="723">
        <v>4</v>
      </c>
      <c r="H1631" s="724">
        <v>223.18938242053096</v>
      </c>
      <c r="I1631" s="724">
        <v>223.18938242053096</v>
      </c>
      <c r="J1631" s="724">
        <v>0</v>
      </c>
      <c r="K1631" s="724">
        <v>0</v>
      </c>
      <c r="L1631" s="724">
        <v>446.37876484106192</v>
      </c>
    </row>
    <row r="1632" spans="1:12">
      <c r="A1632" s="722" t="s">
        <v>218</v>
      </c>
      <c r="B1632" s="722">
        <v>502</v>
      </c>
      <c r="C1632" s="723">
        <v>0</v>
      </c>
      <c r="D1632" s="723">
        <v>1</v>
      </c>
      <c r="E1632" s="723">
        <v>0</v>
      </c>
      <c r="F1632" s="723">
        <v>0</v>
      </c>
      <c r="G1632" s="723">
        <v>1</v>
      </c>
      <c r="H1632" s="724">
        <v>0</v>
      </c>
      <c r="I1632" s="724">
        <v>111.59469121026548</v>
      </c>
      <c r="J1632" s="724">
        <v>0</v>
      </c>
      <c r="K1632" s="724">
        <v>0</v>
      </c>
      <c r="L1632" s="724">
        <v>111.59469121026548</v>
      </c>
    </row>
    <row r="1633" spans="1:12">
      <c r="A1633" s="722" t="s">
        <v>218</v>
      </c>
      <c r="B1633" s="722">
        <v>812</v>
      </c>
      <c r="C1633" s="723">
        <v>0</v>
      </c>
      <c r="D1633" s="723">
        <v>7</v>
      </c>
      <c r="E1633" s="723">
        <v>0</v>
      </c>
      <c r="F1633" s="723">
        <v>0</v>
      </c>
      <c r="G1633" s="723">
        <v>7</v>
      </c>
      <c r="H1633" s="724">
        <v>0</v>
      </c>
      <c r="I1633" s="724">
        <v>781.16283847185821</v>
      </c>
      <c r="J1633" s="724">
        <v>0</v>
      </c>
      <c r="K1633" s="724">
        <v>0</v>
      </c>
      <c r="L1633" s="724">
        <v>781.16283847185832</v>
      </c>
    </row>
    <row r="1634" spans="1:12">
      <c r="A1634" s="722" t="s">
        <v>219</v>
      </c>
      <c r="B1634" s="722">
        <v>110</v>
      </c>
      <c r="C1634" s="723">
        <v>19</v>
      </c>
      <c r="D1634" s="723">
        <v>3</v>
      </c>
      <c r="E1634" s="723">
        <v>0</v>
      </c>
      <c r="F1634" s="723">
        <v>0</v>
      </c>
      <c r="G1634" s="723">
        <v>22</v>
      </c>
      <c r="H1634" s="724">
        <v>1382.0541834795727</v>
      </c>
      <c r="I1634" s="724">
        <v>218.21908160203776</v>
      </c>
      <c r="J1634" s="724">
        <v>0</v>
      </c>
      <c r="K1634" s="724">
        <v>0</v>
      </c>
      <c r="L1634" s="724">
        <v>1600.2732650816104</v>
      </c>
    </row>
    <row r="1635" spans="1:12">
      <c r="A1635" s="722" t="s">
        <v>219</v>
      </c>
      <c r="B1635" s="722">
        <v>160</v>
      </c>
      <c r="C1635" s="723">
        <v>1</v>
      </c>
      <c r="D1635" s="723">
        <v>0</v>
      </c>
      <c r="E1635" s="723">
        <v>0</v>
      </c>
      <c r="F1635" s="723">
        <v>0</v>
      </c>
      <c r="G1635" s="723">
        <v>1</v>
      </c>
      <c r="H1635" s="724">
        <v>72.73969386734592</v>
      </c>
      <c r="I1635" s="724">
        <v>0</v>
      </c>
      <c r="J1635" s="724">
        <v>0</v>
      </c>
      <c r="K1635" s="724">
        <v>0</v>
      </c>
      <c r="L1635" s="724">
        <v>72.73969386734592</v>
      </c>
    </row>
    <row r="1636" spans="1:12">
      <c r="A1636" s="722" t="s">
        <v>219</v>
      </c>
      <c r="B1636" s="722">
        <v>262</v>
      </c>
      <c r="C1636" s="723">
        <v>1</v>
      </c>
      <c r="D1636" s="723">
        <v>0</v>
      </c>
      <c r="E1636" s="723">
        <v>0</v>
      </c>
      <c r="F1636" s="723">
        <v>0</v>
      </c>
      <c r="G1636" s="723">
        <v>1</v>
      </c>
      <c r="H1636" s="724">
        <v>72.73969386734592</v>
      </c>
      <c r="I1636" s="724">
        <v>0</v>
      </c>
      <c r="J1636" s="724">
        <v>0</v>
      </c>
      <c r="K1636" s="724">
        <v>0</v>
      </c>
      <c r="L1636" s="724">
        <v>72.73969386734592</v>
      </c>
    </row>
    <row r="1637" spans="1:12">
      <c r="A1637" s="722" t="s">
        <v>219</v>
      </c>
      <c r="B1637" s="722">
        <v>300</v>
      </c>
      <c r="C1637" s="723">
        <v>0</v>
      </c>
      <c r="D1637" s="723">
        <v>1</v>
      </c>
      <c r="E1637" s="723">
        <v>0</v>
      </c>
      <c r="F1637" s="723">
        <v>0</v>
      </c>
      <c r="G1637" s="723">
        <v>1</v>
      </c>
      <c r="H1637" s="724">
        <v>0</v>
      </c>
      <c r="I1637" s="724">
        <v>72.73969386734592</v>
      </c>
      <c r="J1637" s="724">
        <v>0</v>
      </c>
      <c r="K1637" s="724">
        <v>0</v>
      </c>
      <c r="L1637" s="724">
        <v>72.73969386734592</v>
      </c>
    </row>
    <row r="1638" spans="1:12">
      <c r="A1638" s="722" t="s">
        <v>219</v>
      </c>
      <c r="B1638" s="722">
        <v>340</v>
      </c>
      <c r="C1638" s="723">
        <v>1</v>
      </c>
      <c r="D1638" s="723">
        <v>0</v>
      </c>
      <c r="E1638" s="723">
        <v>0</v>
      </c>
      <c r="F1638" s="723">
        <v>0</v>
      </c>
      <c r="G1638" s="723">
        <v>1</v>
      </c>
      <c r="H1638" s="724">
        <v>72.73969386734592</v>
      </c>
      <c r="I1638" s="724">
        <v>0</v>
      </c>
      <c r="J1638" s="724">
        <v>0</v>
      </c>
      <c r="K1638" s="724">
        <v>0</v>
      </c>
      <c r="L1638" s="724">
        <v>72.73969386734592</v>
      </c>
    </row>
    <row r="1639" spans="1:12">
      <c r="A1639" s="722" t="s">
        <v>219</v>
      </c>
      <c r="B1639" s="722">
        <v>420</v>
      </c>
      <c r="C1639" s="723">
        <v>1</v>
      </c>
      <c r="D1639" s="723">
        <v>0</v>
      </c>
      <c r="E1639" s="723">
        <v>0</v>
      </c>
      <c r="F1639" s="723">
        <v>0</v>
      </c>
      <c r="G1639" s="723">
        <v>1</v>
      </c>
      <c r="H1639" s="724">
        <v>72.73969386734592</v>
      </c>
      <c r="I1639" s="724">
        <v>0</v>
      </c>
      <c r="J1639" s="724">
        <v>0</v>
      </c>
      <c r="K1639" s="724">
        <v>0</v>
      </c>
      <c r="L1639" s="724">
        <v>72.73969386734592</v>
      </c>
    </row>
    <row r="1640" spans="1:12">
      <c r="A1640" s="722" t="s">
        <v>220</v>
      </c>
      <c r="B1640" s="722">
        <v>100</v>
      </c>
      <c r="C1640" s="723">
        <v>11</v>
      </c>
      <c r="D1640" s="723">
        <v>0</v>
      </c>
      <c r="E1640" s="723">
        <v>0</v>
      </c>
      <c r="F1640" s="723">
        <v>0</v>
      </c>
      <c r="G1640" s="723">
        <v>11</v>
      </c>
      <c r="H1640" s="724">
        <v>818.91282735297875</v>
      </c>
      <c r="I1640" s="724">
        <v>0</v>
      </c>
      <c r="J1640" s="724">
        <v>0</v>
      </c>
      <c r="K1640" s="724">
        <v>0</v>
      </c>
      <c r="L1640" s="724">
        <v>818.91282735297875</v>
      </c>
    </row>
    <row r="1641" spans="1:12">
      <c r="A1641" s="722" t="s">
        <v>220</v>
      </c>
      <c r="B1641" s="722">
        <v>110</v>
      </c>
      <c r="C1641" s="723">
        <v>55</v>
      </c>
      <c r="D1641" s="723">
        <v>11</v>
      </c>
      <c r="E1641" s="723">
        <v>0</v>
      </c>
      <c r="F1641" s="723">
        <v>0</v>
      </c>
      <c r="G1641" s="723">
        <v>66</v>
      </c>
      <c r="H1641" s="724">
        <v>4094.5641367648946</v>
      </c>
      <c r="I1641" s="724">
        <v>818.91282735297898</v>
      </c>
      <c r="J1641" s="724">
        <v>0</v>
      </c>
      <c r="K1641" s="724">
        <v>0</v>
      </c>
      <c r="L1641" s="724">
        <v>4913.4769641178736</v>
      </c>
    </row>
    <row r="1642" spans="1:12">
      <c r="A1642" s="722" t="s">
        <v>220</v>
      </c>
      <c r="B1642" s="722">
        <v>130</v>
      </c>
      <c r="C1642" s="723">
        <v>1</v>
      </c>
      <c r="D1642" s="723">
        <v>0</v>
      </c>
      <c r="E1642" s="723">
        <v>0</v>
      </c>
      <c r="F1642" s="723">
        <v>0</v>
      </c>
      <c r="G1642" s="723">
        <v>1</v>
      </c>
      <c r="H1642" s="724">
        <v>74.446620668452624</v>
      </c>
      <c r="I1642" s="724">
        <v>0</v>
      </c>
      <c r="J1642" s="724">
        <v>0</v>
      </c>
      <c r="K1642" s="724">
        <v>0</v>
      </c>
      <c r="L1642" s="724">
        <v>74.446620668452624</v>
      </c>
    </row>
    <row r="1643" spans="1:12">
      <c r="A1643" s="722" t="s">
        <v>220</v>
      </c>
      <c r="B1643" s="722">
        <v>160</v>
      </c>
      <c r="C1643" s="723">
        <v>4</v>
      </c>
      <c r="D1643" s="723">
        <v>0</v>
      </c>
      <c r="E1643" s="723">
        <v>0</v>
      </c>
      <c r="F1643" s="723">
        <v>0</v>
      </c>
      <c r="G1643" s="723">
        <v>4</v>
      </c>
      <c r="H1643" s="724">
        <v>297.7864826738105</v>
      </c>
      <c r="I1643" s="724">
        <v>0</v>
      </c>
      <c r="J1643" s="724">
        <v>0</v>
      </c>
      <c r="K1643" s="724">
        <v>0</v>
      </c>
      <c r="L1643" s="724">
        <v>297.7864826738105</v>
      </c>
    </row>
    <row r="1644" spans="1:12">
      <c r="A1644" s="722" t="s">
        <v>220</v>
      </c>
      <c r="B1644" s="722">
        <v>214</v>
      </c>
      <c r="C1644" s="723">
        <v>2</v>
      </c>
      <c r="D1644" s="723">
        <v>0</v>
      </c>
      <c r="E1644" s="723">
        <v>0</v>
      </c>
      <c r="F1644" s="723">
        <v>0</v>
      </c>
      <c r="G1644" s="723">
        <v>2</v>
      </c>
      <c r="H1644" s="724">
        <v>148.89324133690525</v>
      </c>
      <c r="I1644" s="724">
        <v>0</v>
      </c>
      <c r="J1644" s="724">
        <v>0</v>
      </c>
      <c r="K1644" s="724">
        <v>0</v>
      </c>
      <c r="L1644" s="724">
        <v>148.89324133690525</v>
      </c>
    </row>
    <row r="1645" spans="1:12">
      <c r="A1645" s="722" t="s">
        <v>220</v>
      </c>
      <c r="B1645" s="722">
        <v>291</v>
      </c>
      <c r="C1645" s="723">
        <v>2</v>
      </c>
      <c r="D1645" s="723">
        <v>0</v>
      </c>
      <c r="E1645" s="723">
        <v>0</v>
      </c>
      <c r="F1645" s="723">
        <v>0</v>
      </c>
      <c r="G1645" s="723">
        <v>2</v>
      </c>
      <c r="H1645" s="724">
        <v>148.89324133690525</v>
      </c>
      <c r="I1645" s="724">
        <v>0</v>
      </c>
      <c r="J1645" s="724">
        <v>0</v>
      </c>
      <c r="K1645" s="724">
        <v>0</v>
      </c>
      <c r="L1645" s="724">
        <v>148.89324133690525</v>
      </c>
    </row>
    <row r="1646" spans="1:12">
      <c r="A1646" s="722" t="s">
        <v>220</v>
      </c>
      <c r="B1646" s="722">
        <v>300</v>
      </c>
      <c r="C1646" s="723">
        <v>0</v>
      </c>
      <c r="D1646" s="723">
        <v>2</v>
      </c>
      <c r="E1646" s="723">
        <v>0</v>
      </c>
      <c r="F1646" s="723">
        <v>0</v>
      </c>
      <c r="G1646" s="723">
        <v>2</v>
      </c>
      <c r="H1646" s="724">
        <v>0</v>
      </c>
      <c r="I1646" s="724">
        <v>148.89324133690525</v>
      </c>
      <c r="J1646" s="724">
        <v>0</v>
      </c>
      <c r="K1646" s="724">
        <v>0</v>
      </c>
      <c r="L1646" s="724">
        <v>148.89324133690525</v>
      </c>
    </row>
    <row r="1647" spans="1:12">
      <c r="A1647" s="722" t="s">
        <v>220</v>
      </c>
      <c r="B1647" s="722">
        <v>340</v>
      </c>
      <c r="C1647" s="723">
        <v>1</v>
      </c>
      <c r="D1647" s="723">
        <v>0</v>
      </c>
      <c r="E1647" s="723">
        <v>0</v>
      </c>
      <c r="F1647" s="723">
        <v>0</v>
      </c>
      <c r="G1647" s="723">
        <v>1</v>
      </c>
      <c r="H1647" s="724">
        <v>74.446620668452624</v>
      </c>
      <c r="I1647" s="724">
        <v>0</v>
      </c>
      <c r="J1647" s="724">
        <v>0</v>
      </c>
      <c r="K1647" s="724">
        <v>0</v>
      </c>
      <c r="L1647" s="724">
        <v>74.446620668452624</v>
      </c>
    </row>
    <row r="1648" spans="1:12">
      <c r="A1648" s="722" t="s">
        <v>220</v>
      </c>
      <c r="B1648" s="722">
        <v>410</v>
      </c>
      <c r="C1648" s="723">
        <v>12</v>
      </c>
      <c r="D1648" s="723">
        <v>2</v>
      </c>
      <c r="E1648" s="723">
        <v>0</v>
      </c>
      <c r="F1648" s="723">
        <v>0</v>
      </c>
      <c r="G1648" s="723">
        <v>14</v>
      </c>
      <c r="H1648" s="724">
        <v>893.35944802143149</v>
      </c>
      <c r="I1648" s="724">
        <v>148.89324133690525</v>
      </c>
      <c r="J1648" s="724">
        <v>0</v>
      </c>
      <c r="K1648" s="724">
        <v>0</v>
      </c>
      <c r="L1648" s="724">
        <v>1042.2526893583367</v>
      </c>
    </row>
    <row r="1649" spans="1:12">
      <c r="A1649" s="722" t="s">
        <v>221</v>
      </c>
      <c r="B1649" s="722">
        <v>130</v>
      </c>
      <c r="C1649" s="723">
        <v>7</v>
      </c>
      <c r="D1649" s="723">
        <v>0</v>
      </c>
      <c r="E1649" s="723">
        <v>0</v>
      </c>
      <c r="F1649" s="723">
        <v>0</v>
      </c>
      <c r="G1649" s="723">
        <v>7</v>
      </c>
      <c r="H1649" s="724">
        <v>965.64212307841262</v>
      </c>
      <c r="I1649" s="724">
        <v>0</v>
      </c>
      <c r="J1649" s="724">
        <v>0</v>
      </c>
      <c r="K1649" s="724">
        <v>0</v>
      </c>
      <c r="L1649" s="724">
        <v>965.64212307841262</v>
      </c>
    </row>
    <row r="1650" spans="1:12">
      <c r="A1650" s="722" t="s">
        <v>221</v>
      </c>
      <c r="B1650" s="722">
        <v>300</v>
      </c>
      <c r="C1650" s="723">
        <v>4</v>
      </c>
      <c r="D1650" s="723">
        <v>1</v>
      </c>
      <c r="E1650" s="723">
        <v>0</v>
      </c>
      <c r="F1650" s="723">
        <v>0</v>
      </c>
      <c r="G1650" s="723">
        <v>5</v>
      </c>
      <c r="H1650" s="724">
        <v>551.79549890195005</v>
      </c>
      <c r="I1650" s="724">
        <v>137.94887472548751</v>
      </c>
      <c r="J1650" s="724">
        <v>0</v>
      </c>
      <c r="K1650" s="724">
        <v>0</v>
      </c>
      <c r="L1650" s="724">
        <v>689.74437362743754</v>
      </c>
    </row>
    <row r="1651" spans="1:12">
      <c r="A1651" s="722" t="s">
        <v>221</v>
      </c>
      <c r="B1651" s="722">
        <v>361</v>
      </c>
      <c r="C1651" s="723">
        <v>4</v>
      </c>
      <c r="D1651" s="723">
        <v>0</v>
      </c>
      <c r="E1651" s="723">
        <v>0</v>
      </c>
      <c r="F1651" s="723">
        <v>0</v>
      </c>
      <c r="G1651" s="723">
        <v>4</v>
      </c>
      <c r="H1651" s="724">
        <v>551.79549890195005</v>
      </c>
      <c r="I1651" s="724">
        <v>0</v>
      </c>
      <c r="J1651" s="724">
        <v>0</v>
      </c>
      <c r="K1651" s="724">
        <v>0</v>
      </c>
      <c r="L1651" s="724">
        <v>551.79549890195005</v>
      </c>
    </row>
    <row r="1652" spans="1:12">
      <c r="A1652" s="722" t="s">
        <v>222</v>
      </c>
      <c r="B1652" s="722">
        <v>100</v>
      </c>
      <c r="C1652" s="723">
        <v>1</v>
      </c>
      <c r="D1652" s="723">
        <v>0</v>
      </c>
      <c r="E1652" s="723">
        <v>0</v>
      </c>
      <c r="F1652" s="723">
        <v>0</v>
      </c>
      <c r="G1652" s="723">
        <v>1</v>
      </c>
      <c r="H1652" s="724">
        <v>92.963865847432501</v>
      </c>
      <c r="I1652" s="724">
        <v>0</v>
      </c>
      <c r="J1652" s="724">
        <v>0</v>
      </c>
      <c r="K1652" s="724">
        <v>0</v>
      </c>
      <c r="L1652" s="724">
        <v>92.963865847432501</v>
      </c>
    </row>
    <row r="1653" spans="1:12">
      <c r="A1653" s="722" t="s">
        <v>222</v>
      </c>
      <c r="B1653" s="722">
        <v>110</v>
      </c>
      <c r="C1653" s="723">
        <v>14</v>
      </c>
      <c r="D1653" s="723">
        <v>1</v>
      </c>
      <c r="E1653" s="723">
        <v>0</v>
      </c>
      <c r="F1653" s="723">
        <v>0</v>
      </c>
      <c r="G1653" s="723">
        <v>15</v>
      </c>
      <c r="H1653" s="724">
        <v>1301.4941218640549</v>
      </c>
      <c r="I1653" s="724">
        <v>92.963865847432501</v>
      </c>
      <c r="J1653" s="724">
        <v>0</v>
      </c>
      <c r="K1653" s="724">
        <v>0</v>
      </c>
      <c r="L1653" s="724">
        <v>1394.4579877114875</v>
      </c>
    </row>
    <row r="1654" spans="1:12">
      <c r="A1654" s="722" t="s">
        <v>222</v>
      </c>
      <c r="B1654" s="722">
        <v>191</v>
      </c>
      <c r="C1654" s="723">
        <v>8</v>
      </c>
      <c r="D1654" s="723">
        <v>0</v>
      </c>
      <c r="E1654" s="723">
        <v>0</v>
      </c>
      <c r="F1654" s="723">
        <v>0</v>
      </c>
      <c r="G1654" s="723">
        <v>8</v>
      </c>
      <c r="H1654" s="724">
        <v>743.71092677946001</v>
      </c>
      <c r="I1654" s="724">
        <v>0</v>
      </c>
      <c r="J1654" s="724">
        <v>0</v>
      </c>
      <c r="K1654" s="724">
        <v>0</v>
      </c>
      <c r="L1654" s="724">
        <v>743.71092677946001</v>
      </c>
    </row>
    <row r="1655" spans="1:12">
      <c r="A1655" s="722" t="s">
        <v>222</v>
      </c>
      <c r="B1655" s="722">
        <v>291</v>
      </c>
      <c r="C1655" s="723">
        <v>2</v>
      </c>
      <c r="D1655" s="723">
        <v>0</v>
      </c>
      <c r="E1655" s="723">
        <v>0</v>
      </c>
      <c r="F1655" s="723">
        <v>0</v>
      </c>
      <c r="G1655" s="723">
        <v>2</v>
      </c>
      <c r="H1655" s="724">
        <v>185.927731694865</v>
      </c>
      <c r="I1655" s="724">
        <v>0</v>
      </c>
      <c r="J1655" s="724">
        <v>0</v>
      </c>
      <c r="K1655" s="724">
        <v>0</v>
      </c>
      <c r="L1655" s="724">
        <v>185.927731694865</v>
      </c>
    </row>
    <row r="1656" spans="1:12">
      <c r="A1656" s="722" t="s">
        <v>222</v>
      </c>
      <c r="B1656" s="722">
        <v>410</v>
      </c>
      <c r="C1656" s="723">
        <v>21</v>
      </c>
      <c r="D1656" s="723">
        <v>5</v>
      </c>
      <c r="E1656" s="723">
        <v>0</v>
      </c>
      <c r="F1656" s="723">
        <v>0</v>
      </c>
      <c r="G1656" s="723">
        <v>26</v>
      </c>
      <c r="H1656" s="724">
        <v>1952.2411827960823</v>
      </c>
      <c r="I1656" s="724">
        <v>464.81932923716244</v>
      </c>
      <c r="J1656" s="724">
        <v>0</v>
      </c>
      <c r="K1656" s="724">
        <v>0</v>
      </c>
      <c r="L1656" s="724">
        <v>2417.0605120332448</v>
      </c>
    </row>
    <row r="1657" spans="1:12">
      <c r="A1657" s="722" t="s">
        <v>222</v>
      </c>
      <c r="B1657" s="722">
        <v>811</v>
      </c>
      <c r="C1657" s="723">
        <v>0</v>
      </c>
      <c r="D1657" s="723">
        <v>16</v>
      </c>
      <c r="E1657" s="723">
        <v>0</v>
      </c>
      <c r="F1657" s="723">
        <v>0</v>
      </c>
      <c r="G1657" s="723">
        <v>16</v>
      </c>
      <c r="H1657" s="724">
        <v>0</v>
      </c>
      <c r="I1657" s="724">
        <v>1487.42185355892</v>
      </c>
      <c r="J1657" s="724">
        <v>0</v>
      </c>
      <c r="K1657" s="724">
        <v>0</v>
      </c>
      <c r="L1657" s="724">
        <v>1487.42185355892</v>
      </c>
    </row>
    <row r="1658" spans="1:12">
      <c r="A1658" s="722" t="s">
        <v>223</v>
      </c>
      <c r="B1658" s="722">
        <v>101</v>
      </c>
      <c r="C1658" s="723">
        <v>0</v>
      </c>
      <c r="D1658" s="723">
        <v>1</v>
      </c>
      <c r="E1658" s="723">
        <v>0</v>
      </c>
      <c r="F1658" s="723">
        <v>0</v>
      </c>
      <c r="G1658" s="723">
        <v>1</v>
      </c>
      <c r="H1658" s="724">
        <v>0</v>
      </c>
      <c r="I1658" s="724">
        <v>94.40549039792279</v>
      </c>
      <c r="J1658" s="724">
        <v>0</v>
      </c>
      <c r="K1658" s="724">
        <v>0</v>
      </c>
      <c r="L1658" s="724">
        <v>94.40549039792279</v>
      </c>
    </row>
    <row r="1659" spans="1:12">
      <c r="A1659" s="722" t="s">
        <v>223</v>
      </c>
      <c r="B1659" s="722">
        <v>110</v>
      </c>
      <c r="C1659" s="723">
        <v>8</v>
      </c>
      <c r="D1659" s="723">
        <v>5</v>
      </c>
      <c r="E1659" s="723">
        <v>0</v>
      </c>
      <c r="F1659" s="723">
        <v>0</v>
      </c>
      <c r="G1659" s="723">
        <v>13</v>
      </c>
      <c r="H1659" s="724">
        <v>755.24392318338221</v>
      </c>
      <c r="I1659" s="724">
        <v>472.02745198961389</v>
      </c>
      <c r="J1659" s="724">
        <v>0</v>
      </c>
      <c r="K1659" s="724">
        <v>0</v>
      </c>
      <c r="L1659" s="724">
        <v>1227.2713751729962</v>
      </c>
    </row>
    <row r="1660" spans="1:12">
      <c r="A1660" s="722" t="s">
        <v>223</v>
      </c>
      <c r="B1660" s="722">
        <v>191</v>
      </c>
      <c r="C1660" s="723">
        <v>7</v>
      </c>
      <c r="D1660" s="723">
        <v>2</v>
      </c>
      <c r="E1660" s="723">
        <v>0</v>
      </c>
      <c r="F1660" s="723">
        <v>0</v>
      </c>
      <c r="G1660" s="723">
        <v>9</v>
      </c>
      <c r="H1660" s="724">
        <v>660.83843278545953</v>
      </c>
      <c r="I1660" s="724">
        <v>188.81098079584558</v>
      </c>
      <c r="J1660" s="724">
        <v>0</v>
      </c>
      <c r="K1660" s="724">
        <v>0</v>
      </c>
      <c r="L1660" s="724">
        <v>849.64941358130511</v>
      </c>
    </row>
    <row r="1661" spans="1:12">
      <c r="A1661" s="722" t="s">
        <v>223</v>
      </c>
      <c r="B1661" s="722">
        <v>314</v>
      </c>
      <c r="C1661" s="723">
        <v>1</v>
      </c>
      <c r="D1661" s="723">
        <v>0</v>
      </c>
      <c r="E1661" s="723">
        <v>0</v>
      </c>
      <c r="F1661" s="723">
        <v>0</v>
      </c>
      <c r="G1661" s="723">
        <v>1</v>
      </c>
      <c r="H1661" s="724">
        <v>94.40549039792279</v>
      </c>
      <c r="I1661" s="724">
        <v>0</v>
      </c>
      <c r="J1661" s="724">
        <v>0</v>
      </c>
      <c r="K1661" s="724">
        <v>0</v>
      </c>
      <c r="L1661" s="724">
        <v>94.40549039792279</v>
      </c>
    </row>
    <row r="1662" spans="1:12">
      <c r="A1662" s="722" t="s">
        <v>223</v>
      </c>
      <c r="B1662" s="722">
        <v>410</v>
      </c>
      <c r="C1662" s="723">
        <v>18</v>
      </c>
      <c r="D1662" s="723">
        <v>3</v>
      </c>
      <c r="E1662" s="723">
        <v>0</v>
      </c>
      <c r="F1662" s="723">
        <v>0</v>
      </c>
      <c r="G1662" s="723">
        <v>21</v>
      </c>
      <c r="H1662" s="724">
        <v>1699.2988271626102</v>
      </c>
      <c r="I1662" s="724">
        <v>283.21647119376837</v>
      </c>
      <c r="J1662" s="724">
        <v>0</v>
      </c>
      <c r="K1662" s="724">
        <v>0</v>
      </c>
      <c r="L1662" s="724">
        <v>1982.5152983563785</v>
      </c>
    </row>
    <row r="1663" spans="1:12">
      <c r="A1663" s="722" t="s">
        <v>223</v>
      </c>
      <c r="B1663" s="722">
        <v>811</v>
      </c>
      <c r="C1663" s="723">
        <v>3</v>
      </c>
      <c r="D1663" s="723">
        <v>433</v>
      </c>
      <c r="E1663" s="723">
        <v>0</v>
      </c>
      <c r="F1663" s="723">
        <v>0</v>
      </c>
      <c r="G1663" s="723">
        <v>436</v>
      </c>
      <c r="H1663" s="724">
        <v>283.21647119376837</v>
      </c>
      <c r="I1663" s="724">
        <v>40877.577342300574</v>
      </c>
      <c r="J1663" s="724">
        <v>0</v>
      </c>
      <c r="K1663" s="724">
        <v>0</v>
      </c>
      <c r="L1663" s="724">
        <v>41160.79381349434</v>
      </c>
    </row>
    <row r="1664" spans="1:12">
      <c r="A1664" s="722" t="s">
        <v>223</v>
      </c>
      <c r="B1664" s="722">
        <v>812</v>
      </c>
      <c r="C1664" s="723">
        <v>0</v>
      </c>
      <c r="D1664" s="723">
        <v>6</v>
      </c>
      <c r="E1664" s="723">
        <v>0</v>
      </c>
      <c r="F1664" s="723">
        <v>0</v>
      </c>
      <c r="G1664" s="723">
        <v>6</v>
      </c>
      <c r="H1664" s="724">
        <v>0</v>
      </c>
      <c r="I1664" s="724">
        <v>566.43294238753674</v>
      </c>
      <c r="J1664" s="724">
        <v>0</v>
      </c>
      <c r="K1664" s="724">
        <v>0</v>
      </c>
      <c r="L1664" s="724">
        <v>566.43294238753674</v>
      </c>
    </row>
    <row r="1665" spans="1:12">
      <c r="A1665" s="722" t="s">
        <v>224</v>
      </c>
      <c r="B1665" s="722">
        <v>110</v>
      </c>
      <c r="C1665" s="723">
        <v>4</v>
      </c>
      <c r="D1665" s="723">
        <v>2</v>
      </c>
      <c r="E1665" s="723">
        <v>0</v>
      </c>
      <c r="F1665" s="723">
        <v>0</v>
      </c>
      <c r="G1665" s="723">
        <v>6</v>
      </c>
      <c r="H1665" s="724">
        <v>293.63259464809335</v>
      </c>
      <c r="I1665" s="724">
        <v>146.81629732404667</v>
      </c>
      <c r="J1665" s="724">
        <v>0</v>
      </c>
      <c r="K1665" s="724">
        <v>0</v>
      </c>
      <c r="L1665" s="724">
        <v>440.44889197214002</v>
      </c>
    </row>
    <row r="1666" spans="1:12">
      <c r="A1666" s="722" t="s">
        <v>224</v>
      </c>
      <c r="B1666" s="722">
        <v>291</v>
      </c>
      <c r="C1666" s="723">
        <v>1</v>
      </c>
      <c r="D1666" s="723">
        <v>0</v>
      </c>
      <c r="E1666" s="723">
        <v>0</v>
      </c>
      <c r="F1666" s="723">
        <v>0</v>
      </c>
      <c r="G1666" s="723">
        <v>1</v>
      </c>
      <c r="H1666" s="724">
        <v>73.408148662023336</v>
      </c>
      <c r="I1666" s="724">
        <v>0</v>
      </c>
      <c r="J1666" s="724">
        <v>0</v>
      </c>
      <c r="K1666" s="724">
        <v>0</v>
      </c>
      <c r="L1666" s="724">
        <v>73.408148662023336</v>
      </c>
    </row>
    <row r="1667" spans="1:12">
      <c r="A1667" s="722" t="s">
        <v>224</v>
      </c>
      <c r="B1667" s="722">
        <v>811</v>
      </c>
      <c r="C1667" s="723">
        <v>0</v>
      </c>
      <c r="D1667" s="723">
        <v>35</v>
      </c>
      <c r="E1667" s="723">
        <v>0</v>
      </c>
      <c r="F1667" s="723">
        <v>0</v>
      </c>
      <c r="G1667" s="723">
        <v>35</v>
      </c>
      <c r="H1667" s="724">
        <v>0</v>
      </c>
      <c r="I1667" s="724">
        <v>2569.2852031708162</v>
      </c>
      <c r="J1667" s="724">
        <v>0</v>
      </c>
      <c r="K1667" s="724">
        <v>0</v>
      </c>
      <c r="L1667" s="724">
        <v>2569.2852031708162</v>
      </c>
    </row>
    <row r="1668" spans="1:12">
      <c r="A1668" s="722" t="s">
        <v>225</v>
      </c>
      <c r="B1668" s="722">
        <v>100</v>
      </c>
      <c r="C1668" s="723">
        <v>1</v>
      </c>
      <c r="D1668" s="723">
        <v>0</v>
      </c>
      <c r="E1668" s="723">
        <v>0</v>
      </c>
      <c r="F1668" s="723">
        <v>0</v>
      </c>
      <c r="G1668" s="723">
        <v>1</v>
      </c>
      <c r="H1668" s="724">
        <v>1099.1453311860453</v>
      </c>
      <c r="I1668" s="724">
        <v>0</v>
      </c>
      <c r="J1668" s="724">
        <v>0</v>
      </c>
      <c r="K1668" s="724">
        <v>0</v>
      </c>
      <c r="L1668" s="724">
        <v>1099.1453311860453</v>
      </c>
    </row>
    <row r="1669" spans="1:12">
      <c r="A1669" s="722" t="s">
        <v>225</v>
      </c>
      <c r="B1669" s="722">
        <v>101</v>
      </c>
      <c r="C1669" s="723">
        <v>1</v>
      </c>
      <c r="D1669" s="723">
        <v>0</v>
      </c>
      <c r="E1669" s="723">
        <v>0</v>
      </c>
      <c r="F1669" s="723">
        <v>0</v>
      </c>
      <c r="G1669" s="723">
        <v>1</v>
      </c>
      <c r="H1669" s="724">
        <v>1099.1453311860453</v>
      </c>
      <c r="I1669" s="724">
        <v>0</v>
      </c>
      <c r="J1669" s="724">
        <v>0</v>
      </c>
      <c r="K1669" s="724">
        <v>0</v>
      </c>
      <c r="L1669" s="724">
        <v>1099.1453311860453</v>
      </c>
    </row>
    <row r="1670" spans="1:12">
      <c r="A1670" s="722" t="s">
        <v>225</v>
      </c>
      <c r="B1670" s="722">
        <v>110</v>
      </c>
      <c r="C1670" s="723">
        <v>7</v>
      </c>
      <c r="D1670" s="723">
        <v>0</v>
      </c>
      <c r="E1670" s="723">
        <v>0</v>
      </c>
      <c r="F1670" s="723">
        <v>0</v>
      </c>
      <c r="G1670" s="723">
        <v>7</v>
      </c>
      <c r="H1670" s="724">
        <v>7694.0173183023171</v>
      </c>
      <c r="I1670" s="724">
        <v>0</v>
      </c>
      <c r="J1670" s="724">
        <v>0</v>
      </c>
      <c r="K1670" s="724">
        <v>0</v>
      </c>
      <c r="L1670" s="724">
        <v>7694.0173183023171</v>
      </c>
    </row>
    <row r="1671" spans="1:12">
      <c r="A1671" s="722" t="s">
        <v>225</v>
      </c>
      <c r="B1671" s="722">
        <v>191</v>
      </c>
      <c r="C1671" s="723">
        <v>1</v>
      </c>
      <c r="D1671" s="723">
        <v>1</v>
      </c>
      <c r="E1671" s="723">
        <v>0</v>
      </c>
      <c r="F1671" s="723">
        <v>0</v>
      </c>
      <c r="G1671" s="723">
        <v>2</v>
      </c>
      <c r="H1671" s="724">
        <v>1099.1453311860453</v>
      </c>
      <c r="I1671" s="724">
        <v>1099.1453311860453</v>
      </c>
      <c r="J1671" s="724">
        <v>0</v>
      </c>
      <c r="K1671" s="724">
        <v>0</v>
      </c>
      <c r="L1671" s="724">
        <v>2198.2906623720905</v>
      </c>
    </row>
    <row r="1672" spans="1:12">
      <c r="A1672" s="722" t="s">
        <v>225</v>
      </c>
      <c r="B1672" s="722">
        <v>303</v>
      </c>
      <c r="C1672" s="723">
        <v>21</v>
      </c>
      <c r="D1672" s="723">
        <v>2</v>
      </c>
      <c r="E1672" s="723">
        <v>0</v>
      </c>
      <c r="F1672" s="723">
        <v>0</v>
      </c>
      <c r="G1672" s="723">
        <v>23</v>
      </c>
      <c r="H1672" s="724">
        <v>23082.05195490695</v>
      </c>
      <c r="I1672" s="724">
        <v>2198.2906623720905</v>
      </c>
      <c r="J1672" s="724">
        <v>0</v>
      </c>
      <c r="K1672" s="724">
        <v>0</v>
      </c>
      <c r="L1672" s="724">
        <v>25280.342617279039</v>
      </c>
    </row>
    <row r="1673" spans="1:12">
      <c r="A1673" s="722" t="s">
        <v>225</v>
      </c>
      <c r="B1673" s="722">
        <v>410</v>
      </c>
      <c r="C1673" s="723">
        <v>3</v>
      </c>
      <c r="D1673" s="723">
        <v>1</v>
      </c>
      <c r="E1673" s="723">
        <v>0</v>
      </c>
      <c r="F1673" s="723">
        <v>0</v>
      </c>
      <c r="G1673" s="723">
        <v>4</v>
      </c>
      <c r="H1673" s="724">
        <v>3297.435993558136</v>
      </c>
      <c r="I1673" s="724">
        <v>1099.1453311860453</v>
      </c>
      <c r="J1673" s="724">
        <v>0</v>
      </c>
      <c r="K1673" s="724">
        <v>0</v>
      </c>
      <c r="L1673" s="724">
        <v>4396.5813247441811</v>
      </c>
    </row>
    <row r="1674" spans="1:12">
      <c r="A1674" s="722" t="s">
        <v>225</v>
      </c>
      <c r="B1674" s="722">
        <v>421</v>
      </c>
      <c r="C1674" s="723">
        <v>1</v>
      </c>
      <c r="D1674" s="723">
        <v>0</v>
      </c>
      <c r="E1674" s="723">
        <v>0</v>
      </c>
      <c r="F1674" s="723">
        <v>0</v>
      </c>
      <c r="G1674" s="723">
        <v>1</v>
      </c>
      <c r="H1674" s="724">
        <v>1099.1453311860453</v>
      </c>
      <c r="I1674" s="724">
        <v>0</v>
      </c>
      <c r="J1674" s="724">
        <v>0</v>
      </c>
      <c r="K1674" s="724">
        <v>0</v>
      </c>
      <c r="L1674" s="724">
        <v>1099.1453311860453</v>
      </c>
    </row>
    <row r="1675" spans="1:12">
      <c r="A1675" s="722" t="s">
        <v>225</v>
      </c>
      <c r="B1675" s="722">
        <v>811</v>
      </c>
      <c r="C1675" s="723">
        <v>0</v>
      </c>
      <c r="D1675" s="723">
        <v>34</v>
      </c>
      <c r="E1675" s="723">
        <v>0</v>
      </c>
      <c r="F1675" s="723">
        <v>0</v>
      </c>
      <c r="G1675" s="723">
        <v>34</v>
      </c>
      <c r="H1675" s="724">
        <v>0</v>
      </c>
      <c r="I1675" s="724">
        <v>37370.94126032554</v>
      </c>
      <c r="J1675" s="724">
        <v>0</v>
      </c>
      <c r="K1675" s="724">
        <v>0</v>
      </c>
      <c r="L1675" s="724">
        <v>37370.94126032554</v>
      </c>
    </row>
    <row r="1676" spans="1:12">
      <c r="A1676" s="722" t="s">
        <v>653</v>
      </c>
      <c r="B1676" s="722">
        <v>100</v>
      </c>
      <c r="C1676" s="723">
        <v>8</v>
      </c>
      <c r="D1676" s="723">
        <v>3</v>
      </c>
      <c r="E1676" s="723">
        <v>0</v>
      </c>
      <c r="F1676" s="723">
        <v>0</v>
      </c>
      <c r="G1676" s="723">
        <v>11</v>
      </c>
      <c r="H1676" s="724">
        <v>947.29200093656755</v>
      </c>
      <c r="I1676" s="724">
        <v>355.23450035121283</v>
      </c>
      <c r="J1676" s="724">
        <v>0</v>
      </c>
      <c r="K1676" s="724">
        <v>0</v>
      </c>
      <c r="L1676" s="724">
        <v>1302.5265012877803</v>
      </c>
    </row>
    <row r="1677" spans="1:12">
      <c r="A1677" s="722" t="s">
        <v>653</v>
      </c>
      <c r="B1677" s="722">
        <v>110</v>
      </c>
      <c r="C1677" s="723">
        <v>2307</v>
      </c>
      <c r="D1677" s="723">
        <v>1370</v>
      </c>
      <c r="E1677" s="723">
        <v>0</v>
      </c>
      <c r="F1677" s="723">
        <v>0</v>
      </c>
      <c r="G1677" s="723">
        <v>3677</v>
      </c>
      <c r="H1677" s="724">
        <v>273175.33077008266</v>
      </c>
      <c r="I1677" s="724">
        <v>162223.75516038717</v>
      </c>
      <c r="J1677" s="724">
        <v>0</v>
      </c>
      <c r="K1677" s="724">
        <v>0</v>
      </c>
      <c r="L1677" s="724">
        <v>435399.0859304698</v>
      </c>
    </row>
    <row r="1678" spans="1:12">
      <c r="A1678" s="722" t="s">
        <v>653</v>
      </c>
      <c r="B1678" s="722">
        <v>180</v>
      </c>
      <c r="C1678" s="723">
        <v>3</v>
      </c>
      <c r="D1678" s="723">
        <v>15</v>
      </c>
      <c r="E1678" s="723">
        <v>0</v>
      </c>
      <c r="F1678" s="723">
        <v>0</v>
      </c>
      <c r="G1678" s="723">
        <v>18</v>
      </c>
      <c r="H1678" s="724">
        <v>355.23450035121277</v>
      </c>
      <c r="I1678" s="724">
        <v>1776.1725017560639</v>
      </c>
      <c r="J1678" s="724">
        <v>0</v>
      </c>
      <c r="K1678" s="724">
        <v>0</v>
      </c>
      <c r="L1678" s="724">
        <v>2131.4070021072766</v>
      </c>
    </row>
    <row r="1679" spans="1:12">
      <c r="A1679" s="722" t="s">
        <v>653</v>
      </c>
      <c r="B1679" s="722">
        <v>190</v>
      </c>
      <c r="C1679" s="723">
        <v>1</v>
      </c>
      <c r="D1679" s="723">
        <v>0</v>
      </c>
      <c r="E1679" s="723">
        <v>0</v>
      </c>
      <c r="F1679" s="723">
        <v>0</v>
      </c>
      <c r="G1679" s="723">
        <v>1</v>
      </c>
      <c r="H1679" s="724">
        <v>118.41150011707093</v>
      </c>
      <c r="I1679" s="724">
        <v>0</v>
      </c>
      <c r="J1679" s="724">
        <v>0</v>
      </c>
      <c r="K1679" s="724">
        <v>0</v>
      </c>
      <c r="L1679" s="724">
        <v>118.41150011707093</v>
      </c>
    </row>
    <row r="1680" spans="1:12">
      <c r="A1680" s="722" t="s">
        <v>653</v>
      </c>
      <c r="B1680" s="722">
        <v>191</v>
      </c>
      <c r="C1680" s="723">
        <v>154</v>
      </c>
      <c r="D1680" s="723">
        <v>156</v>
      </c>
      <c r="E1680" s="723">
        <v>0</v>
      </c>
      <c r="F1680" s="723">
        <v>0</v>
      </c>
      <c r="G1680" s="723">
        <v>310</v>
      </c>
      <c r="H1680" s="724">
        <v>18235.37101802892</v>
      </c>
      <c r="I1680" s="724">
        <v>18472.194018263064</v>
      </c>
      <c r="J1680" s="724">
        <v>0</v>
      </c>
      <c r="K1680" s="724">
        <v>0</v>
      </c>
      <c r="L1680" s="724">
        <v>36707.565036291984</v>
      </c>
    </row>
    <row r="1681" spans="1:12">
      <c r="A1681" s="722" t="s">
        <v>653</v>
      </c>
      <c r="B1681" s="722">
        <v>214</v>
      </c>
      <c r="C1681" s="723">
        <v>21</v>
      </c>
      <c r="D1681" s="723">
        <v>17</v>
      </c>
      <c r="E1681" s="723">
        <v>0</v>
      </c>
      <c r="F1681" s="723">
        <v>0</v>
      </c>
      <c r="G1681" s="723">
        <v>38</v>
      </c>
      <c r="H1681" s="724">
        <v>2486.6415024584894</v>
      </c>
      <c r="I1681" s="724">
        <v>2012.9955019902056</v>
      </c>
      <c r="J1681" s="724">
        <v>0</v>
      </c>
      <c r="K1681" s="724">
        <v>0</v>
      </c>
      <c r="L1681" s="724">
        <v>4499.6370044486948</v>
      </c>
    </row>
    <row r="1682" spans="1:12">
      <c r="A1682" s="722" t="s">
        <v>653</v>
      </c>
      <c r="B1682" s="722">
        <v>300</v>
      </c>
      <c r="C1682" s="723">
        <v>12</v>
      </c>
      <c r="D1682" s="723">
        <v>1</v>
      </c>
      <c r="E1682" s="723">
        <v>0</v>
      </c>
      <c r="F1682" s="723">
        <v>0</v>
      </c>
      <c r="G1682" s="723">
        <v>13</v>
      </c>
      <c r="H1682" s="724">
        <v>1420.9380014048511</v>
      </c>
      <c r="I1682" s="724">
        <v>118.41150011707093</v>
      </c>
      <c r="J1682" s="724">
        <v>0</v>
      </c>
      <c r="K1682" s="724">
        <v>0</v>
      </c>
      <c r="L1682" s="724">
        <v>1539.3495015219221</v>
      </c>
    </row>
    <row r="1683" spans="1:12">
      <c r="A1683" s="722" t="s">
        <v>653</v>
      </c>
      <c r="B1683" s="722">
        <v>314</v>
      </c>
      <c r="C1683" s="723">
        <v>6</v>
      </c>
      <c r="D1683" s="723">
        <v>4</v>
      </c>
      <c r="E1683" s="723">
        <v>0</v>
      </c>
      <c r="F1683" s="723">
        <v>0</v>
      </c>
      <c r="G1683" s="723">
        <v>10</v>
      </c>
      <c r="H1683" s="724">
        <v>710.46900070242543</v>
      </c>
      <c r="I1683" s="724">
        <v>473.64600046828366</v>
      </c>
      <c r="J1683" s="724">
        <v>0</v>
      </c>
      <c r="K1683" s="724">
        <v>0</v>
      </c>
      <c r="L1683" s="724">
        <v>1184.1150011707091</v>
      </c>
    </row>
    <row r="1684" spans="1:12">
      <c r="A1684" s="722" t="s">
        <v>653</v>
      </c>
      <c r="B1684" s="722">
        <v>320</v>
      </c>
      <c r="C1684" s="723">
        <v>0</v>
      </c>
      <c r="D1684" s="723">
        <v>1</v>
      </c>
      <c r="E1684" s="723">
        <v>0</v>
      </c>
      <c r="F1684" s="723">
        <v>0</v>
      </c>
      <c r="G1684" s="723">
        <v>1</v>
      </c>
      <c r="H1684" s="724">
        <v>0</v>
      </c>
      <c r="I1684" s="724">
        <v>118.41150011707093</v>
      </c>
      <c r="J1684" s="724">
        <v>0</v>
      </c>
      <c r="K1684" s="724">
        <v>0</v>
      </c>
      <c r="L1684" s="724">
        <v>118.41150011707093</v>
      </c>
    </row>
    <row r="1685" spans="1:12">
      <c r="A1685" s="722" t="s">
        <v>653</v>
      </c>
      <c r="B1685" s="722">
        <v>341</v>
      </c>
      <c r="C1685" s="723">
        <v>0</v>
      </c>
      <c r="D1685" s="723">
        <v>1</v>
      </c>
      <c r="E1685" s="723">
        <v>0</v>
      </c>
      <c r="F1685" s="723">
        <v>0</v>
      </c>
      <c r="G1685" s="723">
        <v>1</v>
      </c>
      <c r="H1685" s="724">
        <v>0</v>
      </c>
      <c r="I1685" s="724">
        <v>118.41150011707093</v>
      </c>
      <c r="J1685" s="724">
        <v>0</v>
      </c>
      <c r="K1685" s="724">
        <v>0</v>
      </c>
      <c r="L1685" s="724">
        <v>118.41150011707093</v>
      </c>
    </row>
    <row r="1686" spans="1:12">
      <c r="A1686" s="722" t="s">
        <v>653</v>
      </c>
      <c r="B1686" s="722">
        <v>410</v>
      </c>
      <c r="C1686" s="723">
        <v>577</v>
      </c>
      <c r="D1686" s="723">
        <v>212</v>
      </c>
      <c r="E1686" s="723">
        <v>0</v>
      </c>
      <c r="F1686" s="723">
        <v>0</v>
      </c>
      <c r="G1686" s="723">
        <v>789</v>
      </c>
      <c r="H1686" s="724">
        <v>68323.435567549925</v>
      </c>
      <c r="I1686" s="724">
        <v>25103.238024819038</v>
      </c>
      <c r="J1686" s="724">
        <v>0</v>
      </c>
      <c r="K1686" s="724">
        <v>0</v>
      </c>
      <c r="L1686" s="724">
        <v>93426.67359236897</v>
      </c>
    </row>
    <row r="1687" spans="1:12">
      <c r="A1687" s="722" t="s">
        <v>653</v>
      </c>
      <c r="B1687" s="722">
        <v>650</v>
      </c>
      <c r="C1687" s="723">
        <v>3</v>
      </c>
      <c r="D1687" s="723">
        <v>7</v>
      </c>
      <c r="E1687" s="723">
        <v>0</v>
      </c>
      <c r="F1687" s="723">
        <v>0</v>
      </c>
      <c r="G1687" s="723">
        <v>10</v>
      </c>
      <c r="H1687" s="724">
        <v>355.23450035121272</v>
      </c>
      <c r="I1687" s="724">
        <v>828.88050081949643</v>
      </c>
      <c r="J1687" s="724">
        <v>0</v>
      </c>
      <c r="K1687" s="724">
        <v>0</v>
      </c>
      <c r="L1687" s="724">
        <v>1184.1150011707091</v>
      </c>
    </row>
    <row r="1688" spans="1:12">
      <c r="A1688" s="722" t="s">
        <v>653</v>
      </c>
      <c r="B1688" s="722">
        <v>653</v>
      </c>
      <c r="C1688" s="723">
        <v>0</v>
      </c>
      <c r="D1688" s="723">
        <v>1</v>
      </c>
      <c r="E1688" s="723">
        <v>0</v>
      </c>
      <c r="F1688" s="723">
        <v>0</v>
      </c>
      <c r="G1688" s="723">
        <v>1</v>
      </c>
      <c r="H1688" s="724">
        <v>0</v>
      </c>
      <c r="I1688" s="724">
        <v>118.41150011707093</v>
      </c>
      <c r="J1688" s="724">
        <v>0</v>
      </c>
      <c r="K1688" s="724">
        <v>0</v>
      </c>
      <c r="L1688" s="724">
        <v>118.41150011707093</v>
      </c>
    </row>
    <row r="1689" spans="1:12">
      <c r="A1689" s="722" t="s">
        <v>653</v>
      </c>
      <c r="B1689" s="722">
        <v>811</v>
      </c>
      <c r="C1689" s="723">
        <v>5</v>
      </c>
      <c r="D1689" s="723">
        <v>1191</v>
      </c>
      <c r="E1689" s="723">
        <v>0</v>
      </c>
      <c r="F1689" s="723">
        <v>0</v>
      </c>
      <c r="G1689" s="723">
        <v>1196</v>
      </c>
      <c r="H1689" s="724">
        <v>592.05750058535455</v>
      </c>
      <c r="I1689" s="724">
        <v>141028.09663943146</v>
      </c>
      <c r="J1689" s="724">
        <v>0</v>
      </c>
      <c r="K1689" s="724">
        <v>0</v>
      </c>
      <c r="L1689" s="724">
        <v>141620.15414001682</v>
      </c>
    </row>
    <row r="1690" spans="1:12">
      <c r="A1690" s="722" t="s">
        <v>653</v>
      </c>
      <c r="B1690" s="722">
        <v>812</v>
      </c>
      <c r="C1690" s="723">
        <v>0</v>
      </c>
      <c r="D1690" s="723">
        <v>1</v>
      </c>
      <c r="E1690" s="723">
        <v>0</v>
      </c>
      <c r="F1690" s="723">
        <v>0</v>
      </c>
      <c r="G1690" s="723">
        <v>1</v>
      </c>
      <c r="H1690" s="724">
        <v>0</v>
      </c>
      <c r="I1690" s="724">
        <v>118.41150011707093</v>
      </c>
      <c r="J1690" s="724">
        <v>0</v>
      </c>
      <c r="K1690" s="724">
        <v>0</v>
      </c>
      <c r="L1690" s="724">
        <v>118.41150011707093</v>
      </c>
    </row>
    <row r="1691" spans="1:12">
      <c r="A1691" s="722" t="s">
        <v>226</v>
      </c>
      <c r="B1691" s="722">
        <v>100</v>
      </c>
      <c r="C1691" s="723">
        <v>35</v>
      </c>
      <c r="D1691" s="723">
        <v>0</v>
      </c>
      <c r="E1691" s="723">
        <v>0</v>
      </c>
      <c r="F1691" s="723">
        <v>0</v>
      </c>
      <c r="G1691" s="723">
        <v>35</v>
      </c>
      <c r="H1691" s="724">
        <v>1568.4130469070685</v>
      </c>
      <c r="I1691" s="724">
        <v>0</v>
      </c>
      <c r="J1691" s="724">
        <v>0</v>
      </c>
      <c r="K1691" s="724">
        <v>0</v>
      </c>
      <c r="L1691" s="724">
        <v>1568.4130469070685</v>
      </c>
    </row>
    <row r="1692" spans="1:12">
      <c r="A1692" s="722" t="s">
        <v>226</v>
      </c>
      <c r="B1692" s="722">
        <v>103</v>
      </c>
      <c r="C1692" s="723">
        <v>0</v>
      </c>
      <c r="D1692" s="723">
        <v>1</v>
      </c>
      <c r="E1692" s="723">
        <v>0</v>
      </c>
      <c r="F1692" s="723">
        <v>0</v>
      </c>
      <c r="G1692" s="723">
        <v>1</v>
      </c>
      <c r="H1692" s="724">
        <v>0</v>
      </c>
      <c r="I1692" s="724">
        <v>44.81180134020196</v>
      </c>
      <c r="J1692" s="724">
        <v>0</v>
      </c>
      <c r="K1692" s="724">
        <v>0</v>
      </c>
      <c r="L1692" s="724">
        <v>44.81180134020196</v>
      </c>
    </row>
    <row r="1693" spans="1:12">
      <c r="A1693" s="722" t="s">
        <v>226</v>
      </c>
      <c r="B1693" s="722">
        <v>110</v>
      </c>
      <c r="C1693" s="723">
        <v>49</v>
      </c>
      <c r="D1693" s="723">
        <v>0</v>
      </c>
      <c r="E1693" s="723">
        <v>0</v>
      </c>
      <c r="F1693" s="723">
        <v>0</v>
      </c>
      <c r="G1693" s="723">
        <v>49</v>
      </c>
      <c r="H1693" s="724">
        <v>2195.778265669896</v>
      </c>
      <c r="I1693" s="724">
        <v>0</v>
      </c>
      <c r="J1693" s="724">
        <v>0</v>
      </c>
      <c r="K1693" s="724">
        <v>0</v>
      </c>
      <c r="L1693" s="724">
        <v>2195.778265669896</v>
      </c>
    </row>
    <row r="1694" spans="1:12">
      <c r="A1694" s="722" t="s">
        <v>226</v>
      </c>
      <c r="B1694" s="722">
        <v>160</v>
      </c>
      <c r="C1694" s="723">
        <v>1</v>
      </c>
      <c r="D1694" s="723">
        <v>0</v>
      </c>
      <c r="E1694" s="723">
        <v>0</v>
      </c>
      <c r="F1694" s="723">
        <v>0</v>
      </c>
      <c r="G1694" s="723">
        <v>1</v>
      </c>
      <c r="H1694" s="724">
        <v>44.81180134020196</v>
      </c>
      <c r="I1694" s="724">
        <v>0</v>
      </c>
      <c r="J1694" s="724">
        <v>0</v>
      </c>
      <c r="K1694" s="724">
        <v>0</v>
      </c>
      <c r="L1694" s="724">
        <v>44.81180134020196</v>
      </c>
    </row>
    <row r="1695" spans="1:12">
      <c r="A1695" s="722" t="s">
        <v>226</v>
      </c>
      <c r="B1695" s="722">
        <v>300</v>
      </c>
      <c r="C1695" s="723">
        <v>2</v>
      </c>
      <c r="D1695" s="723">
        <v>0</v>
      </c>
      <c r="E1695" s="723">
        <v>0</v>
      </c>
      <c r="F1695" s="723">
        <v>0</v>
      </c>
      <c r="G1695" s="723">
        <v>2</v>
      </c>
      <c r="H1695" s="724">
        <v>89.62360268040392</v>
      </c>
      <c r="I1695" s="724">
        <v>0</v>
      </c>
      <c r="J1695" s="724">
        <v>0</v>
      </c>
      <c r="K1695" s="724">
        <v>0</v>
      </c>
      <c r="L1695" s="724">
        <v>89.62360268040392</v>
      </c>
    </row>
    <row r="1696" spans="1:12">
      <c r="A1696" s="722" t="s">
        <v>226</v>
      </c>
      <c r="B1696" s="722">
        <v>307</v>
      </c>
      <c r="C1696" s="723">
        <v>2</v>
      </c>
      <c r="D1696" s="723">
        <v>0</v>
      </c>
      <c r="E1696" s="723">
        <v>0</v>
      </c>
      <c r="F1696" s="723">
        <v>0</v>
      </c>
      <c r="G1696" s="723">
        <v>2</v>
      </c>
      <c r="H1696" s="724">
        <v>89.62360268040392</v>
      </c>
      <c r="I1696" s="724">
        <v>0</v>
      </c>
      <c r="J1696" s="724">
        <v>0</v>
      </c>
      <c r="K1696" s="724">
        <v>0</v>
      </c>
      <c r="L1696" s="724">
        <v>89.62360268040392</v>
      </c>
    </row>
    <row r="1697" spans="1:12">
      <c r="A1697" s="722" t="s">
        <v>226</v>
      </c>
      <c r="B1697" s="722">
        <v>650</v>
      </c>
      <c r="C1697" s="723">
        <v>0</v>
      </c>
      <c r="D1697" s="723">
        <v>2</v>
      </c>
      <c r="E1697" s="723">
        <v>0</v>
      </c>
      <c r="F1697" s="723">
        <v>0</v>
      </c>
      <c r="G1697" s="723">
        <v>2</v>
      </c>
      <c r="H1697" s="724">
        <v>0</v>
      </c>
      <c r="I1697" s="724">
        <v>89.62360268040392</v>
      </c>
      <c r="J1697" s="724">
        <v>0</v>
      </c>
      <c r="K1697" s="724">
        <v>0</v>
      </c>
      <c r="L1697" s="724">
        <v>89.62360268040392</v>
      </c>
    </row>
    <row r="1698" spans="1:12">
      <c r="A1698" s="722" t="s">
        <v>227</v>
      </c>
      <c r="B1698" s="722">
        <v>110</v>
      </c>
      <c r="C1698" s="723">
        <v>11</v>
      </c>
      <c r="D1698" s="723">
        <v>0</v>
      </c>
      <c r="E1698" s="723">
        <v>0</v>
      </c>
      <c r="F1698" s="723">
        <v>0</v>
      </c>
      <c r="G1698" s="723">
        <v>11</v>
      </c>
      <c r="H1698" s="724">
        <v>397.25195683584678</v>
      </c>
      <c r="I1698" s="724">
        <v>0</v>
      </c>
      <c r="J1698" s="724">
        <v>0</v>
      </c>
      <c r="K1698" s="724">
        <v>0</v>
      </c>
      <c r="L1698" s="724">
        <v>397.25195683584678</v>
      </c>
    </row>
    <row r="1699" spans="1:12">
      <c r="A1699" s="722" t="s">
        <v>227</v>
      </c>
      <c r="B1699" s="722">
        <v>410</v>
      </c>
      <c r="C1699" s="723">
        <v>1</v>
      </c>
      <c r="D1699" s="723">
        <v>0</v>
      </c>
      <c r="E1699" s="723">
        <v>0</v>
      </c>
      <c r="F1699" s="723">
        <v>0</v>
      </c>
      <c r="G1699" s="723">
        <v>1</v>
      </c>
      <c r="H1699" s="724">
        <v>36.11381425780425</v>
      </c>
      <c r="I1699" s="724">
        <v>0</v>
      </c>
      <c r="J1699" s="724">
        <v>0</v>
      </c>
      <c r="K1699" s="724">
        <v>0</v>
      </c>
      <c r="L1699" s="724">
        <v>36.11381425780425</v>
      </c>
    </row>
    <row r="1700" spans="1:12">
      <c r="A1700" s="722" t="s">
        <v>228</v>
      </c>
      <c r="B1700" s="722">
        <v>100</v>
      </c>
      <c r="C1700" s="723">
        <v>2</v>
      </c>
      <c r="D1700" s="723">
        <v>0</v>
      </c>
      <c r="E1700" s="723">
        <v>0</v>
      </c>
      <c r="F1700" s="723">
        <v>0</v>
      </c>
      <c r="G1700" s="723">
        <v>2</v>
      </c>
      <c r="H1700" s="724">
        <v>325.23381585796625</v>
      </c>
      <c r="I1700" s="724">
        <v>0</v>
      </c>
      <c r="J1700" s="724">
        <v>0</v>
      </c>
      <c r="K1700" s="724">
        <v>0</v>
      </c>
      <c r="L1700" s="724">
        <v>325.23381585796625</v>
      </c>
    </row>
    <row r="1701" spans="1:12">
      <c r="A1701" s="722" t="s">
        <v>228</v>
      </c>
      <c r="B1701" s="722">
        <v>110</v>
      </c>
      <c r="C1701" s="723">
        <v>91</v>
      </c>
      <c r="D1701" s="723">
        <v>26</v>
      </c>
      <c r="E1701" s="723">
        <v>0</v>
      </c>
      <c r="F1701" s="723">
        <v>0</v>
      </c>
      <c r="G1701" s="723">
        <v>117</v>
      </c>
      <c r="H1701" s="724">
        <v>14798.138621537462</v>
      </c>
      <c r="I1701" s="724">
        <v>4228.0396061535612</v>
      </c>
      <c r="J1701" s="724">
        <v>0</v>
      </c>
      <c r="K1701" s="724">
        <v>0</v>
      </c>
      <c r="L1701" s="724">
        <v>19026.178227691023</v>
      </c>
    </row>
    <row r="1702" spans="1:12">
      <c r="A1702" s="722" t="s">
        <v>228</v>
      </c>
      <c r="B1702" s="722">
        <v>160</v>
      </c>
      <c r="C1702" s="723">
        <v>1</v>
      </c>
      <c r="D1702" s="723">
        <v>0</v>
      </c>
      <c r="E1702" s="723">
        <v>0</v>
      </c>
      <c r="F1702" s="723">
        <v>0</v>
      </c>
      <c r="G1702" s="723">
        <v>1</v>
      </c>
      <c r="H1702" s="724">
        <v>162.61690792898312</v>
      </c>
      <c r="I1702" s="724">
        <v>0</v>
      </c>
      <c r="J1702" s="724">
        <v>0</v>
      </c>
      <c r="K1702" s="724">
        <v>0</v>
      </c>
      <c r="L1702" s="724">
        <v>162.61690792898312</v>
      </c>
    </row>
    <row r="1703" spans="1:12">
      <c r="A1703" s="722" t="s">
        <v>228</v>
      </c>
      <c r="B1703" s="722">
        <v>191</v>
      </c>
      <c r="C1703" s="723">
        <v>14</v>
      </c>
      <c r="D1703" s="723">
        <v>0</v>
      </c>
      <c r="E1703" s="723">
        <v>0</v>
      </c>
      <c r="F1703" s="723">
        <v>0</v>
      </c>
      <c r="G1703" s="723">
        <v>14</v>
      </c>
      <c r="H1703" s="724">
        <v>2276.6367110057636</v>
      </c>
      <c r="I1703" s="724">
        <v>0</v>
      </c>
      <c r="J1703" s="724">
        <v>0</v>
      </c>
      <c r="K1703" s="724">
        <v>0</v>
      </c>
      <c r="L1703" s="724">
        <v>2276.6367110057636</v>
      </c>
    </row>
    <row r="1704" spans="1:12">
      <c r="A1704" s="722" t="s">
        <v>228</v>
      </c>
      <c r="B1704" s="722">
        <v>262</v>
      </c>
      <c r="C1704" s="723">
        <v>1</v>
      </c>
      <c r="D1704" s="723">
        <v>0</v>
      </c>
      <c r="E1704" s="723">
        <v>0</v>
      </c>
      <c r="F1704" s="723">
        <v>0</v>
      </c>
      <c r="G1704" s="723">
        <v>1</v>
      </c>
      <c r="H1704" s="724">
        <v>162.61690792898312</v>
      </c>
      <c r="I1704" s="724">
        <v>0</v>
      </c>
      <c r="J1704" s="724">
        <v>0</v>
      </c>
      <c r="K1704" s="724">
        <v>0</v>
      </c>
      <c r="L1704" s="724">
        <v>162.61690792898312</v>
      </c>
    </row>
    <row r="1705" spans="1:12">
      <c r="A1705" s="722" t="s">
        <v>228</v>
      </c>
      <c r="B1705" s="722">
        <v>300</v>
      </c>
      <c r="C1705" s="723">
        <v>2</v>
      </c>
      <c r="D1705" s="723">
        <v>1</v>
      </c>
      <c r="E1705" s="723">
        <v>0</v>
      </c>
      <c r="F1705" s="723">
        <v>0</v>
      </c>
      <c r="G1705" s="723">
        <v>3</v>
      </c>
      <c r="H1705" s="724">
        <v>325.23381585796625</v>
      </c>
      <c r="I1705" s="724">
        <v>162.61690792898312</v>
      </c>
      <c r="J1705" s="724">
        <v>0</v>
      </c>
      <c r="K1705" s="724">
        <v>0</v>
      </c>
      <c r="L1705" s="724">
        <v>487.85072378694935</v>
      </c>
    </row>
    <row r="1706" spans="1:12">
      <c r="A1706" s="722" t="s">
        <v>228</v>
      </c>
      <c r="B1706" s="722">
        <v>320</v>
      </c>
      <c r="C1706" s="723">
        <v>1</v>
      </c>
      <c r="D1706" s="723">
        <v>0</v>
      </c>
      <c r="E1706" s="723">
        <v>0</v>
      </c>
      <c r="F1706" s="723">
        <v>0</v>
      </c>
      <c r="G1706" s="723">
        <v>1</v>
      </c>
      <c r="H1706" s="724">
        <v>162.61690792898312</v>
      </c>
      <c r="I1706" s="724">
        <v>0</v>
      </c>
      <c r="J1706" s="724">
        <v>0</v>
      </c>
      <c r="K1706" s="724">
        <v>0</v>
      </c>
      <c r="L1706" s="724">
        <v>162.61690792898312</v>
      </c>
    </row>
    <row r="1707" spans="1:12">
      <c r="A1707" s="722" t="s">
        <v>228</v>
      </c>
      <c r="B1707" s="722">
        <v>410</v>
      </c>
      <c r="C1707" s="723">
        <v>139</v>
      </c>
      <c r="D1707" s="723">
        <v>24</v>
      </c>
      <c r="E1707" s="723">
        <v>0</v>
      </c>
      <c r="F1707" s="723">
        <v>0</v>
      </c>
      <c r="G1707" s="723">
        <v>163</v>
      </c>
      <c r="H1707" s="724">
        <v>22603.750202128653</v>
      </c>
      <c r="I1707" s="724">
        <v>3902.8057902955943</v>
      </c>
      <c r="J1707" s="724">
        <v>0</v>
      </c>
      <c r="K1707" s="724">
        <v>0</v>
      </c>
      <c r="L1707" s="724">
        <v>26506.555992424248</v>
      </c>
    </row>
    <row r="1708" spans="1:12">
      <c r="A1708" s="722" t="s">
        <v>228</v>
      </c>
      <c r="B1708" s="722">
        <v>650</v>
      </c>
      <c r="C1708" s="723">
        <v>1</v>
      </c>
      <c r="D1708" s="723">
        <v>0</v>
      </c>
      <c r="E1708" s="723">
        <v>0</v>
      </c>
      <c r="F1708" s="723">
        <v>0</v>
      </c>
      <c r="G1708" s="723">
        <v>1</v>
      </c>
      <c r="H1708" s="724">
        <v>162.61690792898312</v>
      </c>
      <c r="I1708" s="724">
        <v>0</v>
      </c>
      <c r="J1708" s="724">
        <v>0</v>
      </c>
      <c r="K1708" s="724">
        <v>0</v>
      </c>
      <c r="L1708" s="724">
        <v>162.61690792898312</v>
      </c>
    </row>
    <row r="1709" spans="1:12">
      <c r="A1709" s="722" t="s">
        <v>228</v>
      </c>
      <c r="B1709" s="722">
        <v>811</v>
      </c>
      <c r="C1709" s="723">
        <v>2</v>
      </c>
      <c r="D1709" s="723">
        <v>3</v>
      </c>
      <c r="E1709" s="723">
        <v>0</v>
      </c>
      <c r="F1709" s="723">
        <v>0</v>
      </c>
      <c r="G1709" s="723">
        <v>5</v>
      </c>
      <c r="H1709" s="724">
        <v>325.23381585796631</v>
      </c>
      <c r="I1709" s="724">
        <v>487.8507237869494</v>
      </c>
      <c r="J1709" s="724">
        <v>0</v>
      </c>
      <c r="K1709" s="724">
        <v>0</v>
      </c>
      <c r="L1709" s="724">
        <v>813.08453964491571</v>
      </c>
    </row>
    <row r="1710" spans="1:12">
      <c r="A1710" s="722" t="s">
        <v>229</v>
      </c>
      <c r="B1710" s="722">
        <v>100</v>
      </c>
      <c r="C1710" s="723">
        <v>1</v>
      </c>
      <c r="D1710" s="723">
        <v>0</v>
      </c>
      <c r="E1710" s="723">
        <v>0</v>
      </c>
      <c r="F1710" s="723">
        <v>0</v>
      </c>
      <c r="G1710" s="723">
        <v>1</v>
      </c>
      <c r="H1710" s="724">
        <v>298.00980032299714</v>
      </c>
      <c r="I1710" s="724">
        <v>0</v>
      </c>
      <c r="J1710" s="724">
        <v>0</v>
      </c>
      <c r="K1710" s="724">
        <v>0</v>
      </c>
      <c r="L1710" s="724">
        <v>298.00980032299714</v>
      </c>
    </row>
    <row r="1711" spans="1:12">
      <c r="A1711" s="722" t="s">
        <v>229</v>
      </c>
      <c r="B1711" s="722">
        <v>110</v>
      </c>
      <c r="C1711" s="723">
        <v>100</v>
      </c>
      <c r="D1711" s="723">
        <v>89</v>
      </c>
      <c r="E1711" s="723">
        <v>0</v>
      </c>
      <c r="F1711" s="723">
        <v>0</v>
      </c>
      <c r="G1711" s="723">
        <v>189</v>
      </c>
      <c r="H1711" s="724">
        <v>29800.980032299714</v>
      </c>
      <c r="I1711" s="724">
        <v>26522.872228746746</v>
      </c>
      <c r="J1711" s="724">
        <v>0</v>
      </c>
      <c r="K1711" s="724">
        <v>0</v>
      </c>
      <c r="L1711" s="724">
        <v>56323.852261046457</v>
      </c>
    </row>
    <row r="1712" spans="1:12">
      <c r="A1712" s="722" t="s">
        <v>229</v>
      </c>
      <c r="B1712" s="722">
        <v>144</v>
      </c>
      <c r="C1712" s="723">
        <v>1</v>
      </c>
      <c r="D1712" s="723">
        <v>0</v>
      </c>
      <c r="E1712" s="723">
        <v>0</v>
      </c>
      <c r="F1712" s="723">
        <v>0</v>
      </c>
      <c r="G1712" s="723">
        <v>1</v>
      </c>
      <c r="H1712" s="724">
        <v>298.00980032299714</v>
      </c>
      <c r="I1712" s="724">
        <v>0</v>
      </c>
      <c r="J1712" s="724">
        <v>0</v>
      </c>
      <c r="K1712" s="724">
        <v>0</v>
      </c>
      <c r="L1712" s="724">
        <v>298.00980032299714</v>
      </c>
    </row>
    <row r="1713" spans="1:12">
      <c r="A1713" s="722" t="s">
        <v>229</v>
      </c>
      <c r="B1713" s="722">
        <v>180</v>
      </c>
      <c r="C1713" s="723">
        <v>1</v>
      </c>
      <c r="D1713" s="723">
        <v>2</v>
      </c>
      <c r="E1713" s="723">
        <v>0</v>
      </c>
      <c r="F1713" s="723">
        <v>0</v>
      </c>
      <c r="G1713" s="723">
        <v>3</v>
      </c>
      <c r="H1713" s="724">
        <v>298.00980032299714</v>
      </c>
      <c r="I1713" s="724">
        <v>596.01960064599427</v>
      </c>
      <c r="J1713" s="724">
        <v>0</v>
      </c>
      <c r="K1713" s="724">
        <v>0</v>
      </c>
      <c r="L1713" s="724">
        <v>894.02940096899147</v>
      </c>
    </row>
    <row r="1714" spans="1:12">
      <c r="A1714" s="722" t="s">
        <v>229</v>
      </c>
      <c r="B1714" s="722">
        <v>300</v>
      </c>
      <c r="C1714" s="723">
        <v>0</v>
      </c>
      <c r="D1714" s="723">
        <v>3</v>
      </c>
      <c r="E1714" s="723">
        <v>0</v>
      </c>
      <c r="F1714" s="723">
        <v>0</v>
      </c>
      <c r="G1714" s="723">
        <v>3</v>
      </c>
      <c r="H1714" s="724">
        <v>0</v>
      </c>
      <c r="I1714" s="724">
        <v>894.02940096899147</v>
      </c>
      <c r="J1714" s="724">
        <v>0</v>
      </c>
      <c r="K1714" s="724">
        <v>0</v>
      </c>
      <c r="L1714" s="724">
        <v>894.02940096899147</v>
      </c>
    </row>
    <row r="1715" spans="1:12">
      <c r="A1715" s="722" t="s">
        <v>229</v>
      </c>
      <c r="B1715" s="722">
        <v>301</v>
      </c>
      <c r="C1715" s="723">
        <v>0</v>
      </c>
      <c r="D1715" s="723">
        <v>1</v>
      </c>
      <c r="E1715" s="723">
        <v>0</v>
      </c>
      <c r="F1715" s="723">
        <v>0</v>
      </c>
      <c r="G1715" s="723">
        <v>1</v>
      </c>
      <c r="H1715" s="724">
        <v>0</v>
      </c>
      <c r="I1715" s="724">
        <v>298.00980032299714</v>
      </c>
      <c r="J1715" s="724">
        <v>0</v>
      </c>
      <c r="K1715" s="724">
        <v>0</v>
      </c>
      <c r="L1715" s="724">
        <v>298.00980032299714</v>
      </c>
    </row>
    <row r="1716" spans="1:12">
      <c r="A1716" s="722" t="s">
        <v>229</v>
      </c>
      <c r="B1716" s="722">
        <v>400</v>
      </c>
      <c r="C1716" s="723">
        <v>1</v>
      </c>
      <c r="D1716" s="723">
        <v>0</v>
      </c>
      <c r="E1716" s="723">
        <v>0</v>
      </c>
      <c r="F1716" s="723">
        <v>0</v>
      </c>
      <c r="G1716" s="723">
        <v>1</v>
      </c>
      <c r="H1716" s="724">
        <v>298.00980032299714</v>
      </c>
      <c r="I1716" s="724">
        <v>0</v>
      </c>
      <c r="J1716" s="724">
        <v>0</v>
      </c>
      <c r="K1716" s="724">
        <v>0</v>
      </c>
      <c r="L1716" s="724">
        <v>298.00980032299714</v>
      </c>
    </row>
    <row r="1717" spans="1:12">
      <c r="A1717" s="722" t="s">
        <v>229</v>
      </c>
      <c r="B1717" s="722">
        <v>410</v>
      </c>
      <c r="C1717" s="723">
        <v>63</v>
      </c>
      <c r="D1717" s="723">
        <v>22</v>
      </c>
      <c r="E1717" s="723">
        <v>0</v>
      </c>
      <c r="F1717" s="723">
        <v>0</v>
      </c>
      <c r="G1717" s="723">
        <v>85</v>
      </c>
      <c r="H1717" s="724">
        <v>18774.617420348819</v>
      </c>
      <c r="I1717" s="724">
        <v>6556.2156071059362</v>
      </c>
      <c r="J1717" s="724">
        <v>0</v>
      </c>
      <c r="K1717" s="724">
        <v>0</v>
      </c>
      <c r="L1717" s="724">
        <v>25330.833027454755</v>
      </c>
    </row>
    <row r="1718" spans="1:12">
      <c r="A1718" s="722" t="s">
        <v>229</v>
      </c>
      <c r="B1718" s="722">
        <v>811</v>
      </c>
      <c r="C1718" s="723">
        <v>0</v>
      </c>
      <c r="D1718" s="723">
        <v>68</v>
      </c>
      <c r="E1718" s="723">
        <v>0</v>
      </c>
      <c r="F1718" s="723">
        <v>0</v>
      </c>
      <c r="G1718" s="723">
        <v>68</v>
      </c>
      <c r="H1718" s="724">
        <v>0</v>
      </c>
      <c r="I1718" s="724">
        <v>20264.666421963808</v>
      </c>
      <c r="J1718" s="724">
        <v>0</v>
      </c>
      <c r="K1718" s="724">
        <v>0</v>
      </c>
      <c r="L1718" s="724">
        <v>20264.666421963808</v>
      </c>
    </row>
    <row r="1719" spans="1:12">
      <c r="A1719" s="722" t="s">
        <v>230</v>
      </c>
      <c r="B1719" s="722">
        <v>110</v>
      </c>
      <c r="C1719" s="723">
        <v>13</v>
      </c>
      <c r="D1719" s="723">
        <v>1</v>
      </c>
      <c r="E1719" s="723">
        <v>0</v>
      </c>
      <c r="F1719" s="723">
        <v>0</v>
      </c>
      <c r="G1719" s="723">
        <v>14</v>
      </c>
      <c r="H1719" s="724">
        <v>38958.530547558861</v>
      </c>
      <c r="I1719" s="724">
        <v>2996.8100421199124</v>
      </c>
      <c r="J1719" s="724">
        <v>0</v>
      </c>
      <c r="K1719" s="724">
        <v>0</v>
      </c>
      <c r="L1719" s="724">
        <v>41955.340589678774</v>
      </c>
    </row>
    <row r="1720" spans="1:12">
      <c r="A1720" s="722" t="s">
        <v>230</v>
      </c>
      <c r="B1720" s="722">
        <v>811</v>
      </c>
      <c r="C1720" s="723">
        <v>0</v>
      </c>
      <c r="D1720" s="723">
        <v>2</v>
      </c>
      <c r="E1720" s="723">
        <v>0</v>
      </c>
      <c r="F1720" s="723">
        <v>0</v>
      </c>
      <c r="G1720" s="723">
        <v>2</v>
      </c>
      <c r="H1720" s="724">
        <v>0</v>
      </c>
      <c r="I1720" s="724">
        <v>5993.6200842398248</v>
      </c>
      <c r="J1720" s="724">
        <v>0</v>
      </c>
      <c r="K1720" s="724">
        <v>0</v>
      </c>
      <c r="L1720" s="724">
        <v>5993.6200842398248</v>
      </c>
    </row>
    <row r="1721" spans="1:12">
      <c r="A1721" s="722" t="s">
        <v>231</v>
      </c>
      <c r="B1721" s="722">
        <v>100</v>
      </c>
      <c r="C1721" s="723">
        <v>1</v>
      </c>
      <c r="D1721" s="723">
        <v>0</v>
      </c>
      <c r="E1721" s="723">
        <v>0</v>
      </c>
      <c r="F1721" s="723">
        <v>0</v>
      </c>
      <c r="G1721" s="723">
        <v>1</v>
      </c>
      <c r="H1721" s="724">
        <v>15109.96290463892</v>
      </c>
      <c r="I1721" s="724">
        <v>0</v>
      </c>
      <c r="J1721" s="724">
        <v>0</v>
      </c>
      <c r="K1721" s="724">
        <v>0</v>
      </c>
      <c r="L1721" s="724">
        <v>15109.96290463892</v>
      </c>
    </row>
    <row r="1722" spans="1:12">
      <c r="A1722" s="722" t="s">
        <v>231</v>
      </c>
      <c r="B1722" s="722">
        <v>110</v>
      </c>
      <c r="C1722" s="723">
        <v>9</v>
      </c>
      <c r="D1722" s="723">
        <v>0</v>
      </c>
      <c r="E1722" s="723">
        <v>0</v>
      </c>
      <c r="F1722" s="723">
        <v>0</v>
      </c>
      <c r="G1722" s="723">
        <v>9</v>
      </c>
      <c r="H1722" s="724">
        <v>135989.66614175029</v>
      </c>
      <c r="I1722" s="724">
        <v>0</v>
      </c>
      <c r="J1722" s="724">
        <v>0</v>
      </c>
      <c r="K1722" s="724">
        <v>0</v>
      </c>
      <c r="L1722" s="724">
        <v>135989.66614175029</v>
      </c>
    </row>
    <row r="1723" spans="1:12">
      <c r="A1723" s="722" t="s">
        <v>231</v>
      </c>
      <c r="B1723" s="722">
        <v>120</v>
      </c>
      <c r="C1723" s="723">
        <v>5</v>
      </c>
      <c r="D1723" s="723">
        <v>1</v>
      </c>
      <c r="E1723" s="723">
        <v>0</v>
      </c>
      <c r="F1723" s="723">
        <v>0</v>
      </c>
      <c r="G1723" s="723">
        <v>6</v>
      </c>
      <c r="H1723" s="724">
        <v>75549.814523194611</v>
      </c>
      <c r="I1723" s="724">
        <v>15109.962904638922</v>
      </c>
      <c r="J1723" s="724">
        <v>0</v>
      </c>
      <c r="K1723" s="724">
        <v>0</v>
      </c>
      <c r="L1723" s="724">
        <v>90659.777427833527</v>
      </c>
    </row>
    <row r="1724" spans="1:12">
      <c r="A1724" s="722" t="s">
        <v>231</v>
      </c>
      <c r="B1724" s="722">
        <v>140</v>
      </c>
      <c r="C1724" s="723">
        <v>0</v>
      </c>
      <c r="D1724" s="723">
        <v>1</v>
      </c>
      <c r="E1724" s="723">
        <v>0</v>
      </c>
      <c r="F1724" s="723">
        <v>0</v>
      </c>
      <c r="G1724" s="723">
        <v>1</v>
      </c>
      <c r="H1724" s="724">
        <v>0</v>
      </c>
      <c r="I1724" s="724">
        <v>15109.96290463892</v>
      </c>
      <c r="J1724" s="724">
        <v>0</v>
      </c>
      <c r="K1724" s="724">
        <v>0</v>
      </c>
      <c r="L1724" s="724">
        <v>15109.96290463892</v>
      </c>
    </row>
    <row r="1725" spans="1:12">
      <c r="A1725" s="722" t="s">
        <v>231</v>
      </c>
      <c r="B1725" s="722">
        <v>161</v>
      </c>
      <c r="C1725" s="723">
        <v>1</v>
      </c>
      <c r="D1725" s="723">
        <v>0</v>
      </c>
      <c r="E1725" s="723">
        <v>0</v>
      </c>
      <c r="F1725" s="723">
        <v>0</v>
      </c>
      <c r="G1725" s="723">
        <v>1</v>
      </c>
      <c r="H1725" s="724">
        <v>15109.96290463892</v>
      </c>
      <c r="I1725" s="724">
        <v>0</v>
      </c>
      <c r="J1725" s="724">
        <v>0</v>
      </c>
      <c r="K1725" s="724">
        <v>0</v>
      </c>
      <c r="L1725" s="724">
        <v>15109.96290463892</v>
      </c>
    </row>
    <row r="1726" spans="1:12">
      <c r="A1726" s="722" t="s">
        <v>231</v>
      </c>
      <c r="B1726" s="722">
        <v>301</v>
      </c>
      <c r="C1726" s="723">
        <v>1</v>
      </c>
      <c r="D1726" s="723">
        <v>0</v>
      </c>
      <c r="E1726" s="723">
        <v>0</v>
      </c>
      <c r="F1726" s="723">
        <v>0</v>
      </c>
      <c r="G1726" s="723">
        <v>1</v>
      </c>
      <c r="H1726" s="724">
        <v>15109.96290463892</v>
      </c>
      <c r="I1726" s="724">
        <v>0</v>
      </c>
      <c r="J1726" s="724">
        <v>0</v>
      </c>
      <c r="K1726" s="724">
        <v>0</v>
      </c>
      <c r="L1726" s="724">
        <v>15109.96290463892</v>
      </c>
    </row>
    <row r="1727" spans="1:12">
      <c r="A1727" s="722" t="s">
        <v>231</v>
      </c>
      <c r="B1727" s="722">
        <v>302</v>
      </c>
      <c r="C1727" s="723">
        <v>1</v>
      </c>
      <c r="D1727" s="723">
        <v>0</v>
      </c>
      <c r="E1727" s="723">
        <v>0</v>
      </c>
      <c r="F1727" s="723">
        <v>0</v>
      </c>
      <c r="G1727" s="723">
        <v>1</v>
      </c>
      <c r="H1727" s="724">
        <v>15109.96290463892</v>
      </c>
      <c r="I1727" s="724">
        <v>0</v>
      </c>
      <c r="J1727" s="724">
        <v>0</v>
      </c>
      <c r="K1727" s="724">
        <v>0</v>
      </c>
      <c r="L1727" s="724">
        <v>15109.96290463892</v>
      </c>
    </row>
    <row r="1728" spans="1:12">
      <c r="A1728" s="722" t="s">
        <v>231</v>
      </c>
      <c r="B1728" s="722">
        <v>307</v>
      </c>
      <c r="C1728" s="723">
        <v>2</v>
      </c>
      <c r="D1728" s="723">
        <v>0</v>
      </c>
      <c r="E1728" s="723">
        <v>0</v>
      </c>
      <c r="F1728" s="723">
        <v>0</v>
      </c>
      <c r="G1728" s="723">
        <v>2</v>
      </c>
      <c r="H1728" s="724">
        <v>30219.92580927784</v>
      </c>
      <c r="I1728" s="724">
        <v>0</v>
      </c>
      <c r="J1728" s="724">
        <v>0</v>
      </c>
      <c r="K1728" s="724">
        <v>0</v>
      </c>
      <c r="L1728" s="724">
        <v>30219.92580927784</v>
      </c>
    </row>
    <row r="1729" spans="1:12">
      <c r="A1729" s="722" t="s">
        <v>231</v>
      </c>
      <c r="B1729" s="722">
        <v>410</v>
      </c>
      <c r="C1729" s="723">
        <v>0</v>
      </c>
      <c r="D1729" s="723">
        <v>2</v>
      </c>
      <c r="E1729" s="723">
        <v>0</v>
      </c>
      <c r="F1729" s="723">
        <v>0</v>
      </c>
      <c r="G1729" s="723">
        <v>2</v>
      </c>
      <c r="H1729" s="724">
        <v>0</v>
      </c>
      <c r="I1729" s="724">
        <v>30219.92580927784</v>
      </c>
      <c r="J1729" s="724">
        <v>0</v>
      </c>
      <c r="K1729" s="724">
        <v>0</v>
      </c>
      <c r="L1729" s="724">
        <v>30219.92580927784</v>
      </c>
    </row>
    <row r="1730" spans="1:12">
      <c r="A1730" s="722" t="s">
        <v>231</v>
      </c>
      <c r="B1730" s="722">
        <v>502</v>
      </c>
      <c r="C1730" s="723">
        <v>0</v>
      </c>
      <c r="D1730" s="723">
        <v>1</v>
      </c>
      <c r="E1730" s="723">
        <v>0</v>
      </c>
      <c r="F1730" s="723">
        <v>0</v>
      </c>
      <c r="G1730" s="723">
        <v>1</v>
      </c>
      <c r="H1730" s="724">
        <v>0</v>
      </c>
      <c r="I1730" s="724">
        <v>15109.96290463892</v>
      </c>
      <c r="J1730" s="724">
        <v>0</v>
      </c>
      <c r="K1730" s="724">
        <v>0</v>
      </c>
      <c r="L1730" s="724">
        <v>15109.96290463892</v>
      </c>
    </row>
    <row r="1731" spans="1:12">
      <c r="A1731" s="722" t="s">
        <v>232</v>
      </c>
      <c r="B1731" s="722">
        <v>100</v>
      </c>
      <c r="C1731" s="723">
        <v>1</v>
      </c>
      <c r="D1731" s="723">
        <v>0</v>
      </c>
      <c r="E1731" s="723">
        <v>0</v>
      </c>
      <c r="F1731" s="723">
        <v>0</v>
      </c>
      <c r="G1731" s="723">
        <v>1</v>
      </c>
      <c r="H1731" s="724">
        <v>14298.056843674483</v>
      </c>
      <c r="I1731" s="724">
        <v>0</v>
      </c>
      <c r="J1731" s="724">
        <v>0</v>
      </c>
      <c r="K1731" s="724">
        <v>0</v>
      </c>
      <c r="L1731" s="724">
        <v>14298.056843674483</v>
      </c>
    </row>
    <row r="1732" spans="1:12">
      <c r="A1732" s="722" t="s">
        <v>232</v>
      </c>
      <c r="B1732" s="722">
        <v>110</v>
      </c>
      <c r="C1732" s="723">
        <v>16</v>
      </c>
      <c r="D1732" s="723">
        <v>0</v>
      </c>
      <c r="E1732" s="723">
        <v>0</v>
      </c>
      <c r="F1732" s="723">
        <v>0</v>
      </c>
      <c r="G1732" s="723">
        <v>16</v>
      </c>
      <c r="H1732" s="724">
        <v>228768.90949879173</v>
      </c>
      <c r="I1732" s="724">
        <v>0</v>
      </c>
      <c r="J1732" s="724">
        <v>0</v>
      </c>
      <c r="K1732" s="724">
        <v>0</v>
      </c>
      <c r="L1732" s="724">
        <v>228768.90949879173</v>
      </c>
    </row>
    <row r="1733" spans="1:12">
      <c r="A1733" s="722" t="s">
        <v>232</v>
      </c>
      <c r="B1733" s="722">
        <v>120</v>
      </c>
      <c r="C1733" s="723">
        <v>1</v>
      </c>
      <c r="D1733" s="723">
        <v>0</v>
      </c>
      <c r="E1733" s="723">
        <v>0</v>
      </c>
      <c r="F1733" s="723">
        <v>0</v>
      </c>
      <c r="G1733" s="723">
        <v>1</v>
      </c>
      <c r="H1733" s="724">
        <v>14298.056843674483</v>
      </c>
      <c r="I1733" s="724">
        <v>0</v>
      </c>
      <c r="J1733" s="724">
        <v>0</v>
      </c>
      <c r="K1733" s="724">
        <v>0</v>
      </c>
      <c r="L1733" s="724">
        <v>14298.056843674483</v>
      </c>
    </row>
    <row r="1734" spans="1:12">
      <c r="A1734" s="722" t="s">
        <v>232</v>
      </c>
      <c r="B1734" s="722">
        <v>302</v>
      </c>
      <c r="C1734" s="723">
        <v>1</v>
      </c>
      <c r="D1734" s="723">
        <v>0</v>
      </c>
      <c r="E1734" s="723">
        <v>0</v>
      </c>
      <c r="F1734" s="723">
        <v>0</v>
      </c>
      <c r="G1734" s="723">
        <v>1</v>
      </c>
      <c r="H1734" s="724">
        <v>14298.056843674483</v>
      </c>
      <c r="I1734" s="724">
        <v>0</v>
      </c>
      <c r="J1734" s="724">
        <v>0</v>
      </c>
      <c r="K1734" s="724">
        <v>0</v>
      </c>
      <c r="L1734" s="724">
        <v>14298.056843674483</v>
      </c>
    </row>
    <row r="1735" spans="1:12">
      <c r="A1735" s="722" t="s">
        <v>232</v>
      </c>
      <c r="B1735" s="722">
        <v>330</v>
      </c>
      <c r="C1735" s="723">
        <v>2</v>
      </c>
      <c r="D1735" s="723">
        <v>2</v>
      </c>
      <c r="E1735" s="723">
        <v>0</v>
      </c>
      <c r="F1735" s="723">
        <v>0</v>
      </c>
      <c r="G1735" s="723">
        <v>4</v>
      </c>
      <c r="H1735" s="724">
        <v>28596.113687348967</v>
      </c>
      <c r="I1735" s="724">
        <v>28596.113687348967</v>
      </c>
      <c r="J1735" s="724">
        <v>0</v>
      </c>
      <c r="K1735" s="724">
        <v>0</v>
      </c>
      <c r="L1735" s="724">
        <v>57192.227374697934</v>
      </c>
    </row>
    <row r="1736" spans="1:12">
      <c r="A1736" s="722" t="s">
        <v>232</v>
      </c>
      <c r="B1736" s="722">
        <v>361</v>
      </c>
      <c r="C1736" s="723">
        <v>1</v>
      </c>
      <c r="D1736" s="723">
        <v>0</v>
      </c>
      <c r="E1736" s="723">
        <v>0</v>
      </c>
      <c r="F1736" s="723">
        <v>0</v>
      </c>
      <c r="G1736" s="723">
        <v>1</v>
      </c>
      <c r="H1736" s="724">
        <v>14298.056843674483</v>
      </c>
      <c r="I1736" s="724">
        <v>0</v>
      </c>
      <c r="J1736" s="724">
        <v>0</v>
      </c>
      <c r="K1736" s="724">
        <v>0</v>
      </c>
      <c r="L1736" s="724">
        <v>14298.056843674483</v>
      </c>
    </row>
    <row r="1737" spans="1:12">
      <c r="A1737" s="722" t="s">
        <v>232</v>
      </c>
      <c r="B1737" s="722">
        <v>400</v>
      </c>
      <c r="C1737" s="723">
        <v>2</v>
      </c>
      <c r="D1737" s="723">
        <v>0</v>
      </c>
      <c r="E1737" s="723">
        <v>0</v>
      </c>
      <c r="F1737" s="723">
        <v>0</v>
      </c>
      <c r="G1737" s="723">
        <v>2</v>
      </c>
      <c r="H1737" s="724">
        <v>28596.113687348967</v>
      </c>
      <c r="I1737" s="724">
        <v>0</v>
      </c>
      <c r="J1737" s="724">
        <v>0</v>
      </c>
      <c r="K1737" s="724">
        <v>0</v>
      </c>
      <c r="L1737" s="724">
        <v>28596.113687348967</v>
      </c>
    </row>
    <row r="1738" spans="1:12">
      <c r="A1738" s="722" t="s">
        <v>232</v>
      </c>
      <c r="B1738" s="722">
        <v>410</v>
      </c>
      <c r="C1738" s="723">
        <v>1</v>
      </c>
      <c r="D1738" s="723">
        <v>0</v>
      </c>
      <c r="E1738" s="723">
        <v>0</v>
      </c>
      <c r="F1738" s="723">
        <v>0</v>
      </c>
      <c r="G1738" s="723">
        <v>1</v>
      </c>
      <c r="H1738" s="724">
        <v>14298.056843674483</v>
      </c>
      <c r="I1738" s="724">
        <v>0</v>
      </c>
      <c r="J1738" s="724">
        <v>0</v>
      </c>
      <c r="K1738" s="724">
        <v>0</v>
      </c>
      <c r="L1738" s="724">
        <v>14298.056843674483</v>
      </c>
    </row>
    <row r="1739" spans="1:12">
      <c r="A1739" s="722" t="s">
        <v>232</v>
      </c>
      <c r="B1739" s="722">
        <v>430</v>
      </c>
      <c r="C1739" s="723">
        <v>0</v>
      </c>
      <c r="D1739" s="723">
        <v>1</v>
      </c>
      <c r="E1739" s="723">
        <v>0</v>
      </c>
      <c r="F1739" s="723">
        <v>0</v>
      </c>
      <c r="G1739" s="723">
        <v>1</v>
      </c>
      <c r="H1739" s="724">
        <v>0</v>
      </c>
      <c r="I1739" s="724">
        <v>14298.056843674483</v>
      </c>
      <c r="J1739" s="724">
        <v>0</v>
      </c>
      <c r="K1739" s="724">
        <v>0</v>
      </c>
      <c r="L1739" s="724">
        <v>14298.056843674483</v>
      </c>
    </row>
    <row r="1740" spans="1:12">
      <c r="A1740" s="722" t="s">
        <v>232</v>
      </c>
      <c r="B1740" s="722">
        <v>502</v>
      </c>
      <c r="C1740" s="723">
        <v>0</v>
      </c>
      <c r="D1740" s="723">
        <v>1</v>
      </c>
      <c r="E1740" s="723">
        <v>0</v>
      </c>
      <c r="F1740" s="723">
        <v>0</v>
      </c>
      <c r="G1740" s="723">
        <v>1</v>
      </c>
      <c r="H1740" s="724">
        <v>0</v>
      </c>
      <c r="I1740" s="724">
        <v>14298.056843674483</v>
      </c>
      <c r="J1740" s="724">
        <v>0</v>
      </c>
      <c r="K1740" s="724">
        <v>0</v>
      </c>
      <c r="L1740" s="724">
        <v>14298.056843674483</v>
      </c>
    </row>
    <row r="1741" spans="1:12">
      <c r="A1741" s="722" t="s">
        <v>233</v>
      </c>
      <c r="B1741" s="722">
        <v>120</v>
      </c>
      <c r="C1741" s="723">
        <v>0</v>
      </c>
      <c r="D1741" s="723">
        <v>1</v>
      </c>
      <c r="E1741" s="723">
        <v>0</v>
      </c>
      <c r="F1741" s="723">
        <v>0</v>
      </c>
      <c r="G1741" s="723">
        <v>1</v>
      </c>
      <c r="H1741" s="724">
        <v>0</v>
      </c>
      <c r="I1741" s="724">
        <v>112.08773657231475</v>
      </c>
      <c r="J1741" s="724">
        <v>0</v>
      </c>
      <c r="K1741" s="724">
        <v>0</v>
      </c>
      <c r="L1741" s="724">
        <v>112.08773657231475</v>
      </c>
    </row>
    <row r="1742" spans="1:12">
      <c r="A1742" s="722" t="s">
        <v>233</v>
      </c>
      <c r="B1742" s="722">
        <v>140</v>
      </c>
      <c r="C1742" s="723">
        <v>0</v>
      </c>
      <c r="D1742" s="723">
        <v>1</v>
      </c>
      <c r="E1742" s="723">
        <v>0</v>
      </c>
      <c r="F1742" s="723">
        <v>0</v>
      </c>
      <c r="G1742" s="723">
        <v>1</v>
      </c>
      <c r="H1742" s="724">
        <v>0</v>
      </c>
      <c r="I1742" s="724">
        <v>112.08773657231475</v>
      </c>
      <c r="J1742" s="724">
        <v>0</v>
      </c>
      <c r="K1742" s="724">
        <v>0</v>
      </c>
      <c r="L1742" s="724">
        <v>112.08773657231475</v>
      </c>
    </row>
    <row r="1743" spans="1:12">
      <c r="A1743" s="722" t="s">
        <v>233</v>
      </c>
      <c r="B1743" s="722">
        <v>143</v>
      </c>
      <c r="C1743" s="723">
        <v>0</v>
      </c>
      <c r="D1743" s="723">
        <v>2</v>
      </c>
      <c r="E1743" s="723">
        <v>0</v>
      </c>
      <c r="F1743" s="723">
        <v>0</v>
      </c>
      <c r="G1743" s="723">
        <v>2</v>
      </c>
      <c r="H1743" s="724">
        <v>0</v>
      </c>
      <c r="I1743" s="724">
        <v>224.17547314462951</v>
      </c>
      <c r="J1743" s="724">
        <v>0</v>
      </c>
      <c r="K1743" s="724">
        <v>0</v>
      </c>
      <c r="L1743" s="724">
        <v>224.17547314462951</v>
      </c>
    </row>
    <row r="1744" spans="1:12">
      <c r="A1744" s="722" t="s">
        <v>234</v>
      </c>
      <c r="B1744" s="722">
        <v>100</v>
      </c>
      <c r="C1744" s="723">
        <v>1</v>
      </c>
      <c r="D1744" s="723">
        <v>0</v>
      </c>
      <c r="E1744" s="723">
        <v>0</v>
      </c>
      <c r="F1744" s="723">
        <v>0</v>
      </c>
      <c r="G1744" s="723">
        <v>1</v>
      </c>
      <c r="H1744" s="724">
        <v>8163.2877000770341</v>
      </c>
      <c r="I1744" s="724">
        <v>0</v>
      </c>
      <c r="J1744" s="724">
        <v>0</v>
      </c>
      <c r="K1744" s="724">
        <v>0</v>
      </c>
      <c r="L1744" s="724">
        <v>8163.2877000770341</v>
      </c>
    </row>
    <row r="1745" spans="1:12">
      <c r="A1745" s="722" t="s">
        <v>234</v>
      </c>
      <c r="B1745" s="722">
        <v>107</v>
      </c>
      <c r="C1745" s="723">
        <v>1</v>
      </c>
      <c r="D1745" s="723">
        <v>1</v>
      </c>
      <c r="E1745" s="723">
        <v>0</v>
      </c>
      <c r="F1745" s="723">
        <v>0</v>
      </c>
      <c r="G1745" s="723">
        <v>2</v>
      </c>
      <c r="H1745" s="724">
        <v>8163.2877000770341</v>
      </c>
      <c r="I1745" s="724">
        <v>8163.2877000770341</v>
      </c>
      <c r="J1745" s="724">
        <v>0</v>
      </c>
      <c r="K1745" s="724">
        <v>0</v>
      </c>
      <c r="L1745" s="724">
        <v>16326.575400154068</v>
      </c>
    </row>
    <row r="1746" spans="1:12">
      <c r="A1746" s="722" t="s">
        <v>234</v>
      </c>
      <c r="B1746" s="722">
        <v>110</v>
      </c>
      <c r="C1746" s="723">
        <v>34</v>
      </c>
      <c r="D1746" s="723">
        <v>1</v>
      </c>
      <c r="E1746" s="723">
        <v>0</v>
      </c>
      <c r="F1746" s="723">
        <v>0</v>
      </c>
      <c r="G1746" s="723">
        <v>35</v>
      </c>
      <c r="H1746" s="724">
        <v>277551.78180261917</v>
      </c>
      <c r="I1746" s="724">
        <v>8163.287700077035</v>
      </c>
      <c r="J1746" s="724">
        <v>0</v>
      </c>
      <c r="K1746" s="724">
        <v>0</v>
      </c>
      <c r="L1746" s="724">
        <v>285715.06950269622</v>
      </c>
    </row>
    <row r="1747" spans="1:12">
      <c r="A1747" s="722" t="s">
        <v>234</v>
      </c>
      <c r="B1747" s="722">
        <v>120</v>
      </c>
      <c r="C1747" s="723">
        <v>0</v>
      </c>
      <c r="D1747" s="723">
        <v>2</v>
      </c>
      <c r="E1747" s="723">
        <v>0</v>
      </c>
      <c r="F1747" s="723">
        <v>0</v>
      </c>
      <c r="G1747" s="723">
        <v>2</v>
      </c>
      <c r="H1747" s="724">
        <v>0</v>
      </c>
      <c r="I1747" s="724">
        <v>16326.575400154068</v>
      </c>
      <c r="J1747" s="724">
        <v>0</v>
      </c>
      <c r="K1747" s="724">
        <v>0</v>
      </c>
      <c r="L1747" s="724">
        <v>16326.575400154068</v>
      </c>
    </row>
    <row r="1748" spans="1:12">
      <c r="A1748" s="722" t="s">
        <v>234</v>
      </c>
      <c r="B1748" s="722">
        <v>160</v>
      </c>
      <c r="C1748" s="723">
        <v>2</v>
      </c>
      <c r="D1748" s="723">
        <v>0</v>
      </c>
      <c r="E1748" s="723">
        <v>0</v>
      </c>
      <c r="F1748" s="723">
        <v>0</v>
      </c>
      <c r="G1748" s="723">
        <v>2</v>
      </c>
      <c r="H1748" s="724">
        <v>16326.575400154068</v>
      </c>
      <c r="I1748" s="724">
        <v>0</v>
      </c>
      <c r="J1748" s="724">
        <v>0</v>
      </c>
      <c r="K1748" s="724">
        <v>0</v>
      </c>
      <c r="L1748" s="724">
        <v>16326.575400154068</v>
      </c>
    </row>
    <row r="1749" spans="1:12">
      <c r="A1749" s="722" t="s">
        <v>234</v>
      </c>
      <c r="B1749" s="722">
        <v>300</v>
      </c>
      <c r="C1749" s="723">
        <v>1</v>
      </c>
      <c r="D1749" s="723">
        <v>1</v>
      </c>
      <c r="E1749" s="723">
        <v>0</v>
      </c>
      <c r="F1749" s="723">
        <v>0</v>
      </c>
      <c r="G1749" s="723">
        <v>2</v>
      </c>
      <c r="H1749" s="724">
        <v>8163.2877000770341</v>
      </c>
      <c r="I1749" s="724">
        <v>8163.2877000770341</v>
      </c>
      <c r="J1749" s="724">
        <v>0</v>
      </c>
      <c r="K1749" s="724">
        <v>0</v>
      </c>
      <c r="L1749" s="724">
        <v>16326.575400154068</v>
      </c>
    </row>
    <row r="1750" spans="1:12">
      <c r="A1750" s="722" t="s">
        <v>234</v>
      </c>
      <c r="B1750" s="722">
        <v>307</v>
      </c>
      <c r="C1750" s="723">
        <v>4</v>
      </c>
      <c r="D1750" s="723">
        <v>2</v>
      </c>
      <c r="E1750" s="723">
        <v>0</v>
      </c>
      <c r="F1750" s="723">
        <v>0</v>
      </c>
      <c r="G1750" s="723">
        <v>6</v>
      </c>
      <c r="H1750" s="724">
        <v>32653.150800308136</v>
      </c>
      <c r="I1750" s="724">
        <v>16326.575400154068</v>
      </c>
      <c r="J1750" s="724">
        <v>0</v>
      </c>
      <c r="K1750" s="724">
        <v>0</v>
      </c>
      <c r="L1750" s="724">
        <v>48979.726200462203</v>
      </c>
    </row>
    <row r="1751" spans="1:12">
      <c r="A1751" s="722" t="s">
        <v>234</v>
      </c>
      <c r="B1751" s="722">
        <v>320</v>
      </c>
      <c r="C1751" s="723">
        <v>1</v>
      </c>
      <c r="D1751" s="723">
        <v>0</v>
      </c>
      <c r="E1751" s="723">
        <v>0</v>
      </c>
      <c r="F1751" s="723">
        <v>0</v>
      </c>
      <c r="G1751" s="723">
        <v>1</v>
      </c>
      <c r="H1751" s="724">
        <v>8163.2877000770341</v>
      </c>
      <c r="I1751" s="724">
        <v>0</v>
      </c>
      <c r="J1751" s="724">
        <v>0</v>
      </c>
      <c r="K1751" s="724">
        <v>0</v>
      </c>
      <c r="L1751" s="724">
        <v>8163.2877000770341</v>
      </c>
    </row>
    <row r="1752" spans="1:12">
      <c r="A1752" s="722" t="s">
        <v>234</v>
      </c>
      <c r="B1752" s="722">
        <v>330</v>
      </c>
      <c r="C1752" s="723">
        <v>0</v>
      </c>
      <c r="D1752" s="723">
        <v>1</v>
      </c>
      <c r="E1752" s="723">
        <v>0</v>
      </c>
      <c r="F1752" s="723">
        <v>0</v>
      </c>
      <c r="G1752" s="723">
        <v>1</v>
      </c>
      <c r="H1752" s="724">
        <v>0</v>
      </c>
      <c r="I1752" s="724">
        <v>8163.2877000770341</v>
      </c>
      <c r="J1752" s="724">
        <v>0</v>
      </c>
      <c r="K1752" s="724">
        <v>0</v>
      </c>
      <c r="L1752" s="724">
        <v>8163.2877000770341</v>
      </c>
    </row>
    <row r="1753" spans="1:12">
      <c r="A1753" s="722" t="s">
        <v>234</v>
      </c>
      <c r="B1753" s="722">
        <v>410</v>
      </c>
      <c r="C1753" s="723">
        <v>7</v>
      </c>
      <c r="D1753" s="723">
        <v>0</v>
      </c>
      <c r="E1753" s="723">
        <v>0</v>
      </c>
      <c r="F1753" s="723">
        <v>0</v>
      </c>
      <c r="G1753" s="723">
        <v>7</v>
      </c>
      <c r="H1753" s="724">
        <v>57143.013900539234</v>
      </c>
      <c r="I1753" s="724">
        <v>0</v>
      </c>
      <c r="J1753" s="724">
        <v>0</v>
      </c>
      <c r="K1753" s="724">
        <v>0</v>
      </c>
      <c r="L1753" s="724">
        <v>57143.013900539234</v>
      </c>
    </row>
    <row r="1754" spans="1:12">
      <c r="A1754" s="722" t="s">
        <v>234</v>
      </c>
      <c r="B1754" s="722">
        <v>502</v>
      </c>
      <c r="C1754" s="723">
        <v>0</v>
      </c>
      <c r="D1754" s="723">
        <v>1</v>
      </c>
      <c r="E1754" s="723">
        <v>0</v>
      </c>
      <c r="F1754" s="723">
        <v>0</v>
      </c>
      <c r="G1754" s="723">
        <v>1</v>
      </c>
      <c r="H1754" s="724">
        <v>0</v>
      </c>
      <c r="I1754" s="724">
        <v>8163.2877000770341</v>
      </c>
      <c r="J1754" s="724">
        <v>0</v>
      </c>
      <c r="K1754" s="724">
        <v>0</v>
      </c>
      <c r="L1754" s="724">
        <v>8163.2877000770341</v>
      </c>
    </row>
    <row r="1755" spans="1:12">
      <c r="A1755" s="722" t="s">
        <v>235</v>
      </c>
      <c r="B1755" s="722">
        <v>110</v>
      </c>
      <c r="C1755" s="723">
        <v>1</v>
      </c>
      <c r="D1755" s="723">
        <v>0</v>
      </c>
      <c r="E1755" s="723">
        <v>0</v>
      </c>
      <c r="F1755" s="723">
        <v>0</v>
      </c>
      <c r="G1755" s="723">
        <v>1</v>
      </c>
      <c r="H1755" s="724">
        <v>78.494014693739402</v>
      </c>
      <c r="I1755" s="724">
        <v>0</v>
      </c>
      <c r="J1755" s="724">
        <v>0</v>
      </c>
      <c r="K1755" s="724">
        <v>0</v>
      </c>
      <c r="L1755" s="724">
        <v>78.494014693739402</v>
      </c>
    </row>
    <row r="1756" spans="1:12">
      <c r="A1756" s="722" t="s">
        <v>235</v>
      </c>
      <c r="B1756" s="722">
        <v>120</v>
      </c>
      <c r="C1756" s="723">
        <v>0</v>
      </c>
      <c r="D1756" s="723">
        <v>3</v>
      </c>
      <c r="E1756" s="723">
        <v>0</v>
      </c>
      <c r="F1756" s="723">
        <v>0</v>
      </c>
      <c r="G1756" s="723">
        <v>3</v>
      </c>
      <c r="H1756" s="724">
        <v>0</v>
      </c>
      <c r="I1756" s="724">
        <v>235.48204408121819</v>
      </c>
      <c r="J1756" s="724">
        <v>0</v>
      </c>
      <c r="K1756" s="724">
        <v>0</v>
      </c>
      <c r="L1756" s="724">
        <v>235.48204408121819</v>
      </c>
    </row>
    <row r="1757" spans="1:12">
      <c r="A1757" s="722" t="s">
        <v>235</v>
      </c>
      <c r="B1757" s="722">
        <v>650</v>
      </c>
      <c r="C1757" s="723">
        <v>0</v>
      </c>
      <c r="D1757" s="723">
        <v>1</v>
      </c>
      <c r="E1757" s="723">
        <v>0</v>
      </c>
      <c r="F1757" s="723">
        <v>0</v>
      </c>
      <c r="G1757" s="723">
        <v>1</v>
      </c>
      <c r="H1757" s="724">
        <v>0</v>
      </c>
      <c r="I1757" s="724">
        <v>78.494014693739402</v>
      </c>
      <c r="J1757" s="724">
        <v>0</v>
      </c>
      <c r="K1757" s="724">
        <v>0</v>
      </c>
      <c r="L1757" s="724">
        <v>78.494014693739402</v>
      </c>
    </row>
    <row r="1758" spans="1:12">
      <c r="A1758" s="722" t="s">
        <v>236</v>
      </c>
      <c r="B1758" s="722">
        <v>107</v>
      </c>
      <c r="C1758" s="723">
        <v>1</v>
      </c>
      <c r="D1758" s="723">
        <v>0</v>
      </c>
      <c r="E1758" s="723">
        <v>0</v>
      </c>
      <c r="F1758" s="723">
        <v>0</v>
      </c>
      <c r="G1758" s="723">
        <v>1</v>
      </c>
      <c r="H1758" s="724">
        <v>790.49527666032157</v>
      </c>
      <c r="I1758" s="724">
        <v>0</v>
      </c>
      <c r="J1758" s="724">
        <v>0</v>
      </c>
      <c r="K1758" s="724">
        <v>0</v>
      </c>
      <c r="L1758" s="724">
        <v>790.49527666032157</v>
      </c>
    </row>
    <row r="1759" spans="1:12">
      <c r="A1759" s="722" t="s">
        <v>236</v>
      </c>
      <c r="B1759" s="722">
        <v>110</v>
      </c>
      <c r="C1759" s="723">
        <v>175</v>
      </c>
      <c r="D1759" s="723">
        <v>18</v>
      </c>
      <c r="E1759" s="723">
        <v>0</v>
      </c>
      <c r="F1759" s="723">
        <v>0</v>
      </c>
      <c r="G1759" s="723">
        <v>193</v>
      </c>
      <c r="H1759" s="724">
        <v>138336.67341555626</v>
      </c>
      <c r="I1759" s="724">
        <v>14228.914979885789</v>
      </c>
      <c r="J1759" s="724">
        <v>0</v>
      </c>
      <c r="K1759" s="724">
        <v>0</v>
      </c>
      <c r="L1759" s="724">
        <v>152565.58839544206</v>
      </c>
    </row>
    <row r="1760" spans="1:12">
      <c r="A1760" s="722" t="s">
        <v>236</v>
      </c>
      <c r="B1760" s="722">
        <v>130</v>
      </c>
      <c r="C1760" s="723">
        <v>1</v>
      </c>
      <c r="D1760" s="723">
        <v>1</v>
      </c>
      <c r="E1760" s="723">
        <v>0</v>
      </c>
      <c r="F1760" s="723">
        <v>0</v>
      </c>
      <c r="G1760" s="723">
        <v>2</v>
      </c>
      <c r="H1760" s="724">
        <v>790.49527666032157</v>
      </c>
      <c r="I1760" s="724">
        <v>790.49527666032157</v>
      </c>
      <c r="J1760" s="724">
        <v>0</v>
      </c>
      <c r="K1760" s="724">
        <v>0</v>
      </c>
      <c r="L1760" s="724">
        <v>1580.9905533206431</v>
      </c>
    </row>
    <row r="1761" spans="1:12">
      <c r="A1761" s="722" t="s">
        <v>236</v>
      </c>
      <c r="B1761" s="722">
        <v>160</v>
      </c>
      <c r="C1761" s="723">
        <v>1</v>
      </c>
      <c r="D1761" s="723">
        <v>0</v>
      </c>
      <c r="E1761" s="723">
        <v>0</v>
      </c>
      <c r="F1761" s="723">
        <v>0</v>
      </c>
      <c r="G1761" s="723">
        <v>1</v>
      </c>
      <c r="H1761" s="724">
        <v>790.49527666032157</v>
      </c>
      <c r="I1761" s="724">
        <v>0</v>
      </c>
      <c r="J1761" s="724">
        <v>0</v>
      </c>
      <c r="K1761" s="724">
        <v>0</v>
      </c>
      <c r="L1761" s="724">
        <v>790.49527666032157</v>
      </c>
    </row>
    <row r="1762" spans="1:12">
      <c r="A1762" s="722" t="s">
        <v>236</v>
      </c>
      <c r="B1762" s="722">
        <v>300</v>
      </c>
      <c r="C1762" s="723">
        <v>51</v>
      </c>
      <c r="D1762" s="723">
        <v>5</v>
      </c>
      <c r="E1762" s="723">
        <v>0</v>
      </c>
      <c r="F1762" s="723">
        <v>0</v>
      </c>
      <c r="G1762" s="723">
        <v>56</v>
      </c>
      <c r="H1762" s="724">
        <v>40315.259109676401</v>
      </c>
      <c r="I1762" s="724">
        <v>3952.4763833016077</v>
      </c>
      <c r="J1762" s="724">
        <v>0</v>
      </c>
      <c r="K1762" s="724">
        <v>0</v>
      </c>
      <c r="L1762" s="724">
        <v>44267.735492978005</v>
      </c>
    </row>
    <row r="1763" spans="1:12">
      <c r="A1763" s="722" t="s">
        <v>236</v>
      </c>
      <c r="B1763" s="722">
        <v>307</v>
      </c>
      <c r="C1763" s="723">
        <v>4</v>
      </c>
      <c r="D1763" s="723">
        <v>1</v>
      </c>
      <c r="E1763" s="723">
        <v>0</v>
      </c>
      <c r="F1763" s="723">
        <v>0</v>
      </c>
      <c r="G1763" s="723">
        <v>5</v>
      </c>
      <c r="H1763" s="724">
        <v>3161.9811066412867</v>
      </c>
      <c r="I1763" s="724">
        <v>790.49527666032168</v>
      </c>
      <c r="J1763" s="724">
        <v>0</v>
      </c>
      <c r="K1763" s="724">
        <v>0</v>
      </c>
      <c r="L1763" s="724">
        <v>3952.4763833016082</v>
      </c>
    </row>
    <row r="1764" spans="1:12">
      <c r="A1764" s="722" t="s">
        <v>236</v>
      </c>
      <c r="B1764" s="722">
        <v>314</v>
      </c>
      <c r="C1764" s="723">
        <v>1</v>
      </c>
      <c r="D1764" s="723">
        <v>0</v>
      </c>
      <c r="E1764" s="723">
        <v>0</v>
      </c>
      <c r="F1764" s="723">
        <v>0</v>
      </c>
      <c r="G1764" s="723">
        <v>1</v>
      </c>
      <c r="H1764" s="724">
        <v>790.49527666032157</v>
      </c>
      <c r="I1764" s="724">
        <v>0</v>
      </c>
      <c r="J1764" s="724">
        <v>0</v>
      </c>
      <c r="K1764" s="724">
        <v>0</v>
      </c>
      <c r="L1764" s="724">
        <v>790.49527666032157</v>
      </c>
    </row>
    <row r="1765" spans="1:12">
      <c r="A1765" s="722" t="s">
        <v>236</v>
      </c>
      <c r="B1765" s="722">
        <v>316</v>
      </c>
      <c r="C1765" s="723">
        <v>1</v>
      </c>
      <c r="D1765" s="723">
        <v>0</v>
      </c>
      <c r="E1765" s="723">
        <v>0</v>
      </c>
      <c r="F1765" s="723">
        <v>0</v>
      </c>
      <c r="G1765" s="723">
        <v>1</v>
      </c>
      <c r="H1765" s="724">
        <v>790.49527666032157</v>
      </c>
      <c r="I1765" s="724">
        <v>0</v>
      </c>
      <c r="J1765" s="724">
        <v>0</v>
      </c>
      <c r="K1765" s="724">
        <v>0</v>
      </c>
      <c r="L1765" s="724">
        <v>790.49527666032157</v>
      </c>
    </row>
    <row r="1766" spans="1:12">
      <c r="A1766" s="722" t="s">
        <v>236</v>
      </c>
      <c r="B1766" s="722">
        <v>330</v>
      </c>
      <c r="C1766" s="723">
        <v>5</v>
      </c>
      <c r="D1766" s="723">
        <v>2</v>
      </c>
      <c r="E1766" s="723">
        <v>0</v>
      </c>
      <c r="F1766" s="723">
        <v>0</v>
      </c>
      <c r="G1766" s="723">
        <v>7</v>
      </c>
      <c r="H1766" s="724">
        <v>3952.4763833016077</v>
      </c>
      <c r="I1766" s="724">
        <v>1580.9905533206431</v>
      </c>
      <c r="J1766" s="724">
        <v>0</v>
      </c>
      <c r="K1766" s="724">
        <v>0</v>
      </c>
      <c r="L1766" s="724">
        <v>5533.4669366222506</v>
      </c>
    </row>
    <row r="1767" spans="1:12">
      <c r="A1767" s="722" t="s">
        <v>236</v>
      </c>
      <c r="B1767" s="722">
        <v>410</v>
      </c>
      <c r="C1767" s="723">
        <v>39</v>
      </c>
      <c r="D1767" s="723">
        <v>19</v>
      </c>
      <c r="E1767" s="723">
        <v>0</v>
      </c>
      <c r="F1767" s="723">
        <v>0</v>
      </c>
      <c r="G1767" s="723">
        <v>58</v>
      </c>
      <c r="H1767" s="724">
        <v>30829.315789752545</v>
      </c>
      <c r="I1767" s="724">
        <v>15019.410256546111</v>
      </c>
      <c r="J1767" s="724">
        <v>0</v>
      </c>
      <c r="K1767" s="724">
        <v>0</v>
      </c>
      <c r="L1767" s="724">
        <v>45848.726046298652</v>
      </c>
    </row>
    <row r="1768" spans="1:12">
      <c r="A1768" s="722" t="s">
        <v>236</v>
      </c>
      <c r="B1768" s="722">
        <v>502</v>
      </c>
      <c r="C1768" s="723">
        <v>1</v>
      </c>
      <c r="D1768" s="723">
        <v>0</v>
      </c>
      <c r="E1768" s="723">
        <v>0</v>
      </c>
      <c r="F1768" s="723">
        <v>0</v>
      </c>
      <c r="G1768" s="723">
        <v>1</v>
      </c>
      <c r="H1768" s="724">
        <v>790.49527666032157</v>
      </c>
      <c r="I1768" s="724">
        <v>0</v>
      </c>
      <c r="J1768" s="724">
        <v>0</v>
      </c>
      <c r="K1768" s="724">
        <v>0</v>
      </c>
      <c r="L1768" s="724">
        <v>790.49527666032157</v>
      </c>
    </row>
    <row r="1769" spans="1:12">
      <c r="A1769" s="722" t="s">
        <v>236</v>
      </c>
      <c r="B1769" s="722">
        <v>655</v>
      </c>
      <c r="C1769" s="723">
        <v>0</v>
      </c>
      <c r="D1769" s="723">
        <v>1</v>
      </c>
      <c r="E1769" s="723">
        <v>0</v>
      </c>
      <c r="F1769" s="723">
        <v>0</v>
      </c>
      <c r="G1769" s="723">
        <v>1</v>
      </c>
      <c r="H1769" s="724">
        <v>0</v>
      </c>
      <c r="I1769" s="724">
        <v>790.49527666032157</v>
      </c>
      <c r="J1769" s="724">
        <v>0</v>
      </c>
      <c r="K1769" s="724">
        <v>0</v>
      </c>
      <c r="L1769" s="724">
        <v>790.49527666032157</v>
      </c>
    </row>
    <row r="1770" spans="1:12">
      <c r="A1770" s="722" t="s">
        <v>236</v>
      </c>
      <c r="B1770" s="722">
        <v>811</v>
      </c>
      <c r="C1770" s="723">
        <v>0</v>
      </c>
      <c r="D1770" s="723">
        <v>8</v>
      </c>
      <c r="E1770" s="723">
        <v>0</v>
      </c>
      <c r="F1770" s="723">
        <v>0</v>
      </c>
      <c r="G1770" s="723">
        <v>8</v>
      </c>
      <c r="H1770" s="724">
        <v>0</v>
      </c>
      <c r="I1770" s="724">
        <v>6323.9622132825725</v>
      </c>
      <c r="J1770" s="724">
        <v>0</v>
      </c>
      <c r="K1770" s="724">
        <v>0</v>
      </c>
      <c r="L1770" s="724">
        <v>6323.9622132825725</v>
      </c>
    </row>
    <row r="1771" spans="1:12">
      <c r="A1771" s="722" t="s">
        <v>236</v>
      </c>
      <c r="B1771" s="722">
        <v>812</v>
      </c>
      <c r="C1771" s="723">
        <v>0</v>
      </c>
      <c r="D1771" s="723">
        <v>4</v>
      </c>
      <c r="E1771" s="723">
        <v>0</v>
      </c>
      <c r="F1771" s="723">
        <v>0</v>
      </c>
      <c r="G1771" s="723">
        <v>4</v>
      </c>
      <c r="H1771" s="724">
        <v>0</v>
      </c>
      <c r="I1771" s="724">
        <v>3161.9811066412863</v>
      </c>
      <c r="J1771" s="724">
        <v>0</v>
      </c>
      <c r="K1771" s="724">
        <v>0</v>
      </c>
      <c r="L1771" s="724">
        <v>3161.9811066412863</v>
      </c>
    </row>
    <row r="1772" spans="1:12">
      <c r="A1772" s="722" t="s">
        <v>237</v>
      </c>
      <c r="B1772" s="722">
        <v>110</v>
      </c>
      <c r="C1772" s="723">
        <v>233</v>
      </c>
      <c r="D1772" s="723">
        <v>29</v>
      </c>
      <c r="E1772" s="723">
        <v>0</v>
      </c>
      <c r="F1772" s="723">
        <v>0</v>
      </c>
      <c r="G1772" s="723">
        <v>262</v>
      </c>
      <c r="H1772" s="724">
        <v>16421.887311337166</v>
      </c>
      <c r="I1772" s="724">
        <v>2043.9258885355271</v>
      </c>
      <c r="J1772" s="724">
        <v>0</v>
      </c>
      <c r="K1772" s="724">
        <v>0</v>
      </c>
      <c r="L1772" s="724">
        <v>18465.813199872693</v>
      </c>
    </row>
    <row r="1773" spans="1:12">
      <c r="A1773" s="722" t="s">
        <v>237</v>
      </c>
      <c r="B1773" s="722">
        <v>171</v>
      </c>
      <c r="C1773" s="723">
        <v>4</v>
      </c>
      <c r="D1773" s="723">
        <v>1</v>
      </c>
      <c r="E1773" s="723">
        <v>0</v>
      </c>
      <c r="F1773" s="723">
        <v>0</v>
      </c>
      <c r="G1773" s="723">
        <v>5</v>
      </c>
      <c r="H1773" s="724">
        <v>281.92081221179689</v>
      </c>
      <c r="I1773" s="724">
        <v>70.480203052949221</v>
      </c>
      <c r="J1773" s="724">
        <v>0</v>
      </c>
      <c r="K1773" s="724">
        <v>0</v>
      </c>
      <c r="L1773" s="724">
        <v>352.40101526474609</v>
      </c>
    </row>
    <row r="1774" spans="1:12">
      <c r="A1774" s="722" t="s">
        <v>237</v>
      </c>
      <c r="B1774" s="722">
        <v>214</v>
      </c>
      <c r="C1774" s="723">
        <v>145</v>
      </c>
      <c r="D1774" s="723">
        <v>30</v>
      </c>
      <c r="E1774" s="723">
        <v>0</v>
      </c>
      <c r="F1774" s="723">
        <v>0</v>
      </c>
      <c r="G1774" s="723">
        <v>175</v>
      </c>
      <c r="H1774" s="724">
        <v>10219.629442677637</v>
      </c>
      <c r="I1774" s="724">
        <v>2114.4060915884766</v>
      </c>
      <c r="J1774" s="724">
        <v>0</v>
      </c>
      <c r="K1774" s="724">
        <v>0</v>
      </c>
      <c r="L1774" s="724">
        <v>12334.035534266113</v>
      </c>
    </row>
    <row r="1775" spans="1:12">
      <c r="A1775" s="722" t="s">
        <v>237</v>
      </c>
      <c r="B1775" s="722">
        <v>330</v>
      </c>
      <c r="C1775" s="723">
        <v>2</v>
      </c>
      <c r="D1775" s="723">
        <v>0</v>
      </c>
      <c r="E1775" s="723">
        <v>0</v>
      </c>
      <c r="F1775" s="723">
        <v>0</v>
      </c>
      <c r="G1775" s="723">
        <v>2</v>
      </c>
      <c r="H1775" s="724">
        <v>140.96040610589841</v>
      </c>
      <c r="I1775" s="724">
        <v>0</v>
      </c>
      <c r="J1775" s="724">
        <v>0</v>
      </c>
      <c r="K1775" s="724">
        <v>0</v>
      </c>
      <c r="L1775" s="724">
        <v>140.96040610589841</v>
      </c>
    </row>
    <row r="1776" spans="1:12">
      <c r="A1776" s="722" t="s">
        <v>237</v>
      </c>
      <c r="B1776" s="722">
        <v>650</v>
      </c>
      <c r="C1776" s="723">
        <v>1</v>
      </c>
      <c r="D1776" s="723">
        <v>0</v>
      </c>
      <c r="E1776" s="723">
        <v>0</v>
      </c>
      <c r="F1776" s="723">
        <v>0</v>
      </c>
      <c r="G1776" s="723">
        <v>1</v>
      </c>
      <c r="H1776" s="724">
        <v>70.480203052949207</v>
      </c>
      <c r="I1776" s="724">
        <v>0</v>
      </c>
      <c r="J1776" s="724">
        <v>0</v>
      </c>
      <c r="K1776" s="724">
        <v>0</v>
      </c>
      <c r="L1776" s="724">
        <v>70.480203052949207</v>
      </c>
    </row>
    <row r="1777" spans="1:12">
      <c r="A1777" s="722" t="s">
        <v>561</v>
      </c>
      <c r="B1777" s="722">
        <v>100</v>
      </c>
      <c r="C1777" s="723">
        <v>0</v>
      </c>
      <c r="D1777" s="723">
        <v>1</v>
      </c>
      <c r="E1777" s="723">
        <v>0</v>
      </c>
      <c r="F1777" s="723">
        <v>0</v>
      </c>
      <c r="G1777" s="723">
        <v>1</v>
      </c>
      <c r="H1777" s="724">
        <v>0</v>
      </c>
      <c r="I1777" s="724">
        <v>78.620574947913241</v>
      </c>
      <c r="J1777" s="724">
        <v>0</v>
      </c>
      <c r="K1777" s="724">
        <v>0</v>
      </c>
      <c r="L1777" s="724">
        <v>78.620574947913241</v>
      </c>
    </row>
    <row r="1778" spans="1:12">
      <c r="A1778" s="722" t="s">
        <v>561</v>
      </c>
      <c r="B1778" s="722">
        <v>110</v>
      </c>
      <c r="C1778" s="723">
        <v>1954</v>
      </c>
      <c r="D1778" s="723">
        <v>1792</v>
      </c>
      <c r="E1778" s="723">
        <v>0</v>
      </c>
      <c r="F1778" s="723">
        <v>0</v>
      </c>
      <c r="G1778" s="723">
        <v>3746</v>
      </c>
      <c r="H1778" s="724">
        <v>153624.60344822248</v>
      </c>
      <c r="I1778" s="724">
        <v>140888.07030666055</v>
      </c>
      <c r="J1778" s="724">
        <v>0</v>
      </c>
      <c r="K1778" s="724">
        <v>0</v>
      </c>
      <c r="L1778" s="724">
        <v>294512.67375488306</v>
      </c>
    </row>
    <row r="1779" spans="1:12">
      <c r="A1779" s="722" t="s">
        <v>561</v>
      </c>
      <c r="B1779" s="722">
        <v>130</v>
      </c>
      <c r="C1779" s="723">
        <v>0</v>
      </c>
      <c r="D1779" s="723">
        <v>1</v>
      </c>
      <c r="E1779" s="723">
        <v>0</v>
      </c>
      <c r="F1779" s="723">
        <v>0</v>
      </c>
      <c r="G1779" s="723">
        <v>1</v>
      </c>
      <c r="H1779" s="724">
        <v>0</v>
      </c>
      <c r="I1779" s="724">
        <v>78.620574947913241</v>
      </c>
      <c r="J1779" s="724">
        <v>0</v>
      </c>
      <c r="K1779" s="724">
        <v>0</v>
      </c>
      <c r="L1779" s="724">
        <v>78.620574947913241</v>
      </c>
    </row>
    <row r="1780" spans="1:12">
      <c r="A1780" s="722" t="s">
        <v>561</v>
      </c>
      <c r="B1780" s="722">
        <v>180</v>
      </c>
      <c r="C1780" s="723">
        <v>8</v>
      </c>
      <c r="D1780" s="723">
        <v>21</v>
      </c>
      <c r="E1780" s="723">
        <v>0</v>
      </c>
      <c r="F1780" s="723">
        <v>0</v>
      </c>
      <c r="G1780" s="723">
        <v>29</v>
      </c>
      <c r="H1780" s="724">
        <v>628.96459958330604</v>
      </c>
      <c r="I1780" s="724">
        <v>1651.0320739061783</v>
      </c>
      <c r="J1780" s="724">
        <v>0</v>
      </c>
      <c r="K1780" s="724">
        <v>0</v>
      </c>
      <c r="L1780" s="724">
        <v>2279.9966734894842</v>
      </c>
    </row>
    <row r="1781" spans="1:12">
      <c r="A1781" s="722" t="s">
        <v>561</v>
      </c>
      <c r="B1781" s="722">
        <v>191</v>
      </c>
      <c r="C1781" s="723">
        <v>2</v>
      </c>
      <c r="D1781" s="723">
        <v>0</v>
      </c>
      <c r="E1781" s="723">
        <v>0</v>
      </c>
      <c r="F1781" s="723">
        <v>0</v>
      </c>
      <c r="G1781" s="723">
        <v>2</v>
      </c>
      <c r="H1781" s="724">
        <v>157.24114989582648</v>
      </c>
      <c r="I1781" s="724">
        <v>0</v>
      </c>
      <c r="J1781" s="724">
        <v>0</v>
      </c>
      <c r="K1781" s="724">
        <v>0</v>
      </c>
      <c r="L1781" s="724">
        <v>157.24114989582648</v>
      </c>
    </row>
    <row r="1782" spans="1:12">
      <c r="A1782" s="722" t="s">
        <v>561</v>
      </c>
      <c r="B1782" s="722">
        <v>214</v>
      </c>
      <c r="C1782" s="723">
        <v>29</v>
      </c>
      <c r="D1782" s="723">
        <v>21</v>
      </c>
      <c r="E1782" s="723">
        <v>0</v>
      </c>
      <c r="F1782" s="723">
        <v>0</v>
      </c>
      <c r="G1782" s="723">
        <v>50</v>
      </c>
      <c r="H1782" s="724">
        <v>2279.9966734894842</v>
      </c>
      <c r="I1782" s="724">
        <v>1651.0320739061781</v>
      </c>
      <c r="J1782" s="724">
        <v>0</v>
      </c>
      <c r="K1782" s="724">
        <v>0</v>
      </c>
      <c r="L1782" s="724">
        <v>3931.0287473956623</v>
      </c>
    </row>
    <row r="1783" spans="1:12">
      <c r="A1783" s="722" t="s">
        <v>561</v>
      </c>
      <c r="B1783" s="722">
        <v>300</v>
      </c>
      <c r="C1783" s="723">
        <v>6</v>
      </c>
      <c r="D1783" s="723">
        <v>2</v>
      </c>
      <c r="E1783" s="723">
        <v>0</v>
      </c>
      <c r="F1783" s="723">
        <v>0</v>
      </c>
      <c r="G1783" s="723">
        <v>8</v>
      </c>
      <c r="H1783" s="724">
        <v>471.72344968747944</v>
      </c>
      <c r="I1783" s="724">
        <v>157.24114989582648</v>
      </c>
      <c r="J1783" s="724">
        <v>0</v>
      </c>
      <c r="K1783" s="724">
        <v>0</v>
      </c>
      <c r="L1783" s="724">
        <v>628.96459958330593</v>
      </c>
    </row>
    <row r="1784" spans="1:12">
      <c r="A1784" s="722" t="s">
        <v>561</v>
      </c>
      <c r="B1784" s="722">
        <v>314</v>
      </c>
      <c r="C1784" s="723">
        <v>0</v>
      </c>
      <c r="D1784" s="723">
        <v>2</v>
      </c>
      <c r="E1784" s="723">
        <v>0</v>
      </c>
      <c r="F1784" s="723">
        <v>0</v>
      </c>
      <c r="G1784" s="723">
        <v>2</v>
      </c>
      <c r="H1784" s="724">
        <v>0</v>
      </c>
      <c r="I1784" s="724">
        <v>157.24114989582648</v>
      </c>
      <c r="J1784" s="724">
        <v>0</v>
      </c>
      <c r="K1784" s="724">
        <v>0</v>
      </c>
      <c r="L1784" s="724">
        <v>157.24114989582648</v>
      </c>
    </row>
    <row r="1785" spans="1:12">
      <c r="A1785" s="722" t="s">
        <v>561</v>
      </c>
      <c r="B1785" s="722">
        <v>400</v>
      </c>
      <c r="C1785" s="723">
        <v>1</v>
      </c>
      <c r="D1785" s="723">
        <v>1</v>
      </c>
      <c r="E1785" s="723">
        <v>0</v>
      </c>
      <c r="F1785" s="723">
        <v>0</v>
      </c>
      <c r="G1785" s="723">
        <v>2</v>
      </c>
      <c r="H1785" s="724">
        <v>78.620574947913241</v>
      </c>
      <c r="I1785" s="724">
        <v>78.620574947913241</v>
      </c>
      <c r="J1785" s="724">
        <v>0</v>
      </c>
      <c r="K1785" s="724">
        <v>0</v>
      </c>
      <c r="L1785" s="724">
        <v>157.24114989582648</v>
      </c>
    </row>
    <row r="1786" spans="1:12">
      <c r="A1786" s="722" t="s">
        <v>561</v>
      </c>
      <c r="B1786" s="722">
        <v>410</v>
      </c>
      <c r="C1786" s="723">
        <v>458</v>
      </c>
      <c r="D1786" s="723">
        <v>112</v>
      </c>
      <c r="E1786" s="723">
        <v>0</v>
      </c>
      <c r="F1786" s="723">
        <v>0</v>
      </c>
      <c r="G1786" s="723">
        <v>570</v>
      </c>
      <c r="H1786" s="724">
        <v>36008.223326144267</v>
      </c>
      <c r="I1786" s="724">
        <v>8805.5043941662843</v>
      </c>
      <c r="J1786" s="724">
        <v>0</v>
      </c>
      <c r="K1786" s="724">
        <v>0</v>
      </c>
      <c r="L1786" s="724">
        <v>44813.727720310555</v>
      </c>
    </row>
    <row r="1787" spans="1:12">
      <c r="A1787" s="722" t="s">
        <v>561</v>
      </c>
      <c r="B1787" s="722">
        <v>420</v>
      </c>
      <c r="C1787" s="723">
        <v>1</v>
      </c>
      <c r="D1787" s="723">
        <v>0</v>
      </c>
      <c r="E1787" s="723">
        <v>0</v>
      </c>
      <c r="F1787" s="723">
        <v>0</v>
      </c>
      <c r="G1787" s="723">
        <v>1</v>
      </c>
      <c r="H1787" s="724">
        <v>78.620574947913241</v>
      </c>
      <c r="I1787" s="724">
        <v>0</v>
      </c>
      <c r="J1787" s="724">
        <v>0</v>
      </c>
      <c r="K1787" s="724">
        <v>0</v>
      </c>
      <c r="L1787" s="724">
        <v>78.620574947913241</v>
      </c>
    </row>
    <row r="1788" spans="1:12">
      <c r="A1788" s="722" t="s">
        <v>561</v>
      </c>
      <c r="B1788" s="722">
        <v>650</v>
      </c>
      <c r="C1788" s="723">
        <v>1</v>
      </c>
      <c r="D1788" s="723">
        <v>3</v>
      </c>
      <c r="E1788" s="723">
        <v>0</v>
      </c>
      <c r="F1788" s="723">
        <v>0</v>
      </c>
      <c r="G1788" s="723">
        <v>4</v>
      </c>
      <c r="H1788" s="724">
        <v>78.620574947913241</v>
      </c>
      <c r="I1788" s="724">
        <v>235.86172484373972</v>
      </c>
      <c r="J1788" s="724">
        <v>0</v>
      </c>
      <c r="K1788" s="724">
        <v>0</v>
      </c>
      <c r="L1788" s="724">
        <v>314.48229979165296</v>
      </c>
    </row>
    <row r="1789" spans="1:12">
      <c r="A1789" s="722" t="s">
        <v>561</v>
      </c>
      <c r="B1789" s="722">
        <v>651</v>
      </c>
      <c r="C1789" s="723">
        <v>1</v>
      </c>
      <c r="D1789" s="723">
        <v>3</v>
      </c>
      <c r="E1789" s="723">
        <v>0</v>
      </c>
      <c r="F1789" s="723">
        <v>0</v>
      </c>
      <c r="G1789" s="723">
        <v>4</v>
      </c>
      <c r="H1789" s="724">
        <v>78.620574947913241</v>
      </c>
      <c r="I1789" s="724">
        <v>235.86172484373972</v>
      </c>
      <c r="J1789" s="724">
        <v>0</v>
      </c>
      <c r="K1789" s="724">
        <v>0</v>
      </c>
      <c r="L1789" s="724">
        <v>314.48229979165296</v>
      </c>
    </row>
    <row r="1790" spans="1:12">
      <c r="A1790" s="722" t="s">
        <v>561</v>
      </c>
      <c r="B1790" s="722">
        <v>653</v>
      </c>
      <c r="C1790" s="723">
        <v>2</v>
      </c>
      <c r="D1790" s="723">
        <v>1</v>
      </c>
      <c r="E1790" s="723">
        <v>0</v>
      </c>
      <c r="F1790" s="723">
        <v>0</v>
      </c>
      <c r="G1790" s="723">
        <v>3</v>
      </c>
      <c r="H1790" s="724">
        <v>157.24114989582651</v>
      </c>
      <c r="I1790" s="724">
        <v>78.620574947913255</v>
      </c>
      <c r="J1790" s="724">
        <v>0</v>
      </c>
      <c r="K1790" s="724">
        <v>0</v>
      </c>
      <c r="L1790" s="724">
        <v>235.86172484373975</v>
      </c>
    </row>
    <row r="1791" spans="1:12">
      <c r="A1791" s="722" t="s">
        <v>561</v>
      </c>
      <c r="B1791" s="722">
        <v>713</v>
      </c>
      <c r="C1791" s="723">
        <v>1</v>
      </c>
      <c r="D1791" s="723">
        <v>0</v>
      </c>
      <c r="E1791" s="723">
        <v>0</v>
      </c>
      <c r="F1791" s="723">
        <v>0</v>
      </c>
      <c r="G1791" s="723">
        <v>1</v>
      </c>
      <c r="H1791" s="724">
        <v>78.620574947913241</v>
      </c>
      <c r="I1791" s="724">
        <v>0</v>
      </c>
      <c r="J1791" s="724">
        <v>0</v>
      </c>
      <c r="K1791" s="724">
        <v>0</v>
      </c>
      <c r="L1791" s="724">
        <v>78.620574947913241</v>
      </c>
    </row>
    <row r="1792" spans="1:12">
      <c r="A1792" s="722" t="s">
        <v>561</v>
      </c>
      <c r="B1792" s="722">
        <v>811</v>
      </c>
      <c r="C1792" s="723">
        <v>2</v>
      </c>
      <c r="D1792" s="723">
        <v>1267</v>
      </c>
      <c r="E1792" s="723">
        <v>0</v>
      </c>
      <c r="F1792" s="723">
        <v>0</v>
      </c>
      <c r="G1792" s="723">
        <v>1269</v>
      </c>
      <c r="H1792" s="724">
        <v>157.24114989582648</v>
      </c>
      <c r="I1792" s="724">
        <v>99612.268459006082</v>
      </c>
      <c r="J1792" s="724">
        <v>0</v>
      </c>
      <c r="K1792" s="724">
        <v>0</v>
      </c>
      <c r="L1792" s="724">
        <v>99769.509608901906</v>
      </c>
    </row>
    <row r="1793" spans="1:12">
      <c r="A1793" s="722" t="s">
        <v>561</v>
      </c>
      <c r="B1793" s="722">
        <v>812</v>
      </c>
      <c r="C1793" s="723">
        <v>0</v>
      </c>
      <c r="D1793" s="723">
        <v>13</v>
      </c>
      <c r="E1793" s="723">
        <v>0</v>
      </c>
      <c r="F1793" s="723">
        <v>0</v>
      </c>
      <c r="G1793" s="723">
        <v>13</v>
      </c>
      <c r="H1793" s="724">
        <v>0</v>
      </c>
      <c r="I1793" s="724">
        <v>1022.0674743228722</v>
      </c>
      <c r="J1793" s="724">
        <v>0</v>
      </c>
      <c r="K1793" s="724">
        <v>0</v>
      </c>
      <c r="L1793" s="724">
        <v>1022.0674743228723</v>
      </c>
    </row>
    <row r="1794" spans="1:12">
      <c r="A1794" s="722" t="s">
        <v>238</v>
      </c>
      <c r="B1794" s="722">
        <v>110</v>
      </c>
      <c r="C1794" s="723">
        <v>4</v>
      </c>
      <c r="D1794" s="723">
        <v>0</v>
      </c>
      <c r="E1794" s="723">
        <v>0</v>
      </c>
      <c r="F1794" s="723">
        <v>0</v>
      </c>
      <c r="G1794" s="723">
        <v>4</v>
      </c>
      <c r="H1794" s="724">
        <v>392.85836267950856</v>
      </c>
      <c r="I1794" s="724">
        <v>0</v>
      </c>
      <c r="J1794" s="724">
        <v>0</v>
      </c>
      <c r="K1794" s="724">
        <v>0</v>
      </c>
      <c r="L1794" s="724">
        <v>392.85836267950856</v>
      </c>
    </row>
    <row r="1795" spans="1:12">
      <c r="A1795" s="722" t="s">
        <v>238</v>
      </c>
      <c r="B1795" s="722">
        <v>160</v>
      </c>
      <c r="C1795" s="723">
        <v>7</v>
      </c>
      <c r="D1795" s="723">
        <v>0</v>
      </c>
      <c r="E1795" s="723">
        <v>0</v>
      </c>
      <c r="F1795" s="723">
        <v>0</v>
      </c>
      <c r="G1795" s="723">
        <v>7</v>
      </c>
      <c r="H1795" s="724">
        <v>687.50213468914001</v>
      </c>
      <c r="I1795" s="724">
        <v>0</v>
      </c>
      <c r="J1795" s="724">
        <v>0</v>
      </c>
      <c r="K1795" s="724">
        <v>0</v>
      </c>
      <c r="L1795" s="724">
        <v>687.50213468914001</v>
      </c>
    </row>
    <row r="1796" spans="1:12">
      <c r="A1796" s="722" t="s">
        <v>238</v>
      </c>
      <c r="B1796" s="722">
        <v>420</v>
      </c>
      <c r="C1796" s="723">
        <v>1</v>
      </c>
      <c r="D1796" s="723">
        <v>0</v>
      </c>
      <c r="E1796" s="723">
        <v>0</v>
      </c>
      <c r="F1796" s="723">
        <v>0</v>
      </c>
      <c r="G1796" s="723">
        <v>1</v>
      </c>
      <c r="H1796" s="724">
        <v>98.21459066987714</v>
      </c>
      <c r="I1796" s="724">
        <v>0</v>
      </c>
      <c r="J1796" s="724">
        <v>0</v>
      </c>
      <c r="K1796" s="724">
        <v>0</v>
      </c>
      <c r="L1796" s="724">
        <v>98.21459066987714</v>
      </c>
    </row>
    <row r="1797" spans="1:12">
      <c r="A1797" s="722" t="s">
        <v>238</v>
      </c>
      <c r="B1797" s="722">
        <v>502</v>
      </c>
      <c r="C1797" s="723">
        <v>0</v>
      </c>
      <c r="D1797" s="723">
        <v>2</v>
      </c>
      <c r="E1797" s="723">
        <v>0</v>
      </c>
      <c r="F1797" s="723">
        <v>0</v>
      </c>
      <c r="G1797" s="723">
        <v>2</v>
      </c>
      <c r="H1797" s="724">
        <v>0</v>
      </c>
      <c r="I1797" s="724">
        <v>196.42918133975428</v>
      </c>
      <c r="J1797" s="724">
        <v>0</v>
      </c>
      <c r="K1797" s="724">
        <v>0</v>
      </c>
      <c r="L1797" s="724">
        <v>196.42918133975428</v>
      </c>
    </row>
    <row r="1798" spans="1:12">
      <c r="A1798" s="722" t="s">
        <v>239</v>
      </c>
      <c r="B1798" s="722">
        <v>110</v>
      </c>
      <c r="C1798" s="723">
        <v>1</v>
      </c>
      <c r="D1798" s="723">
        <v>0</v>
      </c>
      <c r="E1798" s="723">
        <v>0</v>
      </c>
      <c r="F1798" s="723">
        <v>0</v>
      </c>
      <c r="G1798" s="723">
        <v>1</v>
      </c>
      <c r="H1798" s="724">
        <v>132.60764455746767</v>
      </c>
      <c r="I1798" s="724">
        <v>0</v>
      </c>
      <c r="J1798" s="724">
        <v>0</v>
      </c>
      <c r="K1798" s="724">
        <v>0</v>
      </c>
      <c r="L1798" s="724">
        <v>132.60764455746767</v>
      </c>
    </row>
    <row r="1799" spans="1:12">
      <c r="A1799" s="722" t="s">
        <v>239</v>
      </c>
      <c r="B1799" s="722">
        <v>160</v>
      </c>
      <c r="C1799" s="723">
        <v>1</v>
      </c>
      <c r="D1799" s="723">
        <v>1</v>
      </c>
      <c r="E1799" s="723">
        <v>0</v>
      </c>
      <c r="F1799" s="723">
        <v>0</v>
      </c>
      <c r="G1799" s="723">
        <v>2</v>
      </c>
      <c r="H1799" s="724">
        <v>132.60764455746767</v>
      </c>
      <c r="I1799" s="724">
        <v>132.60764455746767</v>
      </c>
      <c r="J1799" s="724">
        <v>0</v>
      </c>
      <c r="K1799" s="724">
        <v>0</v>
      </c>
      <c r="L1799" s="724">
        <v>265.21528911493533</v>
      </c>
    </row>
    <row r="1800" spans="1:12">
      <c r="A1800" s="722" t="s">
        <v>240</v>
      </c>
      <c r="B1800" s="722">
        <v>100</v>
      </c>
      <c r="C1800" s="723">
        <v>4</v>
      </c>
      <c r="D1800" s="723">
        <v>0</v>
      </c>
      <c r="E1800" s="723">
        <v>0</v>
      </c>
      <c r="F1800" s="723">
        <v>0</v>
      </c>
      <c r="G1800" s="723">
        <v>4</v>
      </c>
      <c r="H1800" s="724">
        <v>625.72403478279602</v>
      </c>
      <c r="I1800" s="724">
        <v>0</v>
      </c>
      <c r="J1800" s="724">
        <v>0</v>
      </c>
      <c r="K1800" s="724">
        <v>0</v>
      </c>
      <c r="L1800" s="724">
        <v>625.72403478279602</v>
      </c>
    </row>
    <row r="1801" spans="1:12">
      <c r="A1801" s="722" t="s">
        <v>240</v>
      </c>
      <c r="B1801" s="722">
        <v>110</v>
      </c>
      <c r="C1801" s="723">
        <v>1</v>
      </c>
      <c r="D1801" s="723">
        <v>3</v>
      </c>
      <c r="E1801" s="723">
        <v>0</v>
      </c>
      <c r="F1801" s="723">
        <v>0</v>
      </c>
      <c r="G1801" s="723">
        <v>4</v>
      </c>
      <c r="H1801" s="724">
        <v>156.43100869569901</v>
      </c>
      <c r="I1801" s="724">
        <v>469.29302608709702</v>
      </c>
      <c r="J1801" s="724">
        <v>0</v>
      </c>
      <c r="K1801" s="724">
        <v>0</v>
      </c>
      <c r="L1801" s="724">
        <v>625.72403478279602</v>
      </c>
    </row>
    <row r="1802" spans="1:12">
      <c r="A1802" s="722" t="s">
        <v>240</v>
      </c>
      <c r="B1802" s="722">
        <v>160</v>
      </c>
      <c r="C1802" s="723">
        <v>24</v>
      </c>
      <c r="D1802" s="723">
        <v>4</v>
      </c>
      <c r="E1802" s="723">
        <v>0</v>
      </c>
      <c r="F1802" s="723">
        <v>0</v>
      </c>
      <c r="G1802" s="723">
        <v>28</v>
      </c>
      <c r="H1802" s="724">
        <v>3754.3442086967761</v>
      </c>
      <c r="I1802" s="724">
        <v>625.72403478279591</v>
      </c>
      <c r="J1802" s="724">
        <v>0</v>
      </c>
      <c r="K1802" s="724">
        <v>0</v>
      </c>
      <c r="L1802" s="724">
        <v>4380.0682434795717</v>
      </c>
    </row>
    <row r="1803" spans="1:12">
      <c r="A1803" s="722" t="s">
        <v>240</v>
      </c>
      <c r="B1803" s="722">
        <v>219</v>
      </c>
      <c r="C1803" s="723">
        <v>0</v>
      </c>
      <c r="D1803" s="723">
        <v>1</v>
      </c>
      <c r="E1803" s="723">
        <v>0</v>
      </c>
      <c r="F1803" s="723">
        <v>0</v>
      </c>
      <c r="G1803" s="723">
        <v>1</v>
      </c>
      <c r="H1803" s="724">
        <v>0</v>
      </c>
      <c r="I1803" s="724">
        <v>156.43100869569901</v>
      </c>
      <c r="J1803" s="724">
        <v>0</v>
      </c>
      <c r="K1803" s="724">
        <v>0</v>
      </c>
      <c r="L1803" s="724">
        <v>156.43100869569901</v>
      </c>
    </row>
    <row r="1804" spans="1:12">
      <c r="A1804" s="722" t="s">
        <v>240</v>
      </c>
      <c r="B1804" s="722">
        <v>330</v>
      </c>
      <c r="C1804" s="723">
        <v>3</v>
      </c>
      <c r="D1804" s="723">
        <v>2</v>
      </c>
      <c r="E1804" s="723">
        <v>0</v>
      </c>
      <c r="F1804" s="723">
        <v>0</v>
      </c>
      <c r="G1804" s="723">
        <v>5</v>
      </c>
      <c r="H1804" s="724">
        <v>469.29302608709702</v>
      </c>
      <c r="I1804" s="724">
        <v>312.86201739139801</v>
      </c>
      <c r="J1804" s="724">
        <v>0</v>
      </c>
      <c r="K1804" s="724">
        <v>0</v>
      </c>
      <c r="L1804" s="724">
        <v>782.15504347849503</v>
      </c>
    </row>
    <row r="1805" spans="1:12">
      <c r="A1805" s="722" t="s">
        <v>240</v>
      </c>
      <c r="B1805" s="722">
        <v>361</v>
      </c>
      <c r="C1805" s="723">
        <v>5</v>
      </c>
      <c r="D1805" s="723">
        <v>0</v>
      </c>
      <c r="E1805" s="723">
        <v>0</v>
      </c>
      <c r="F1805" s="723">
        <v>0</v>
      </c>
      <c r="G1805" s="723">
        <v>5</v>
      </c>
      <c r="H1805" s="724">
        <v>782.15504347849503</v>
      </c>
      <c r="I1805" s="724">
        <v>0</v>
      </c>
      <c r="J1805" s="724">
        <v>0</v>
      </c>
      <c r="K1805" s="724">
        <v>0</v>
      </c>
      <c r="L1805" s="724">
        <v>782.15504347849503</v>
      </c>
    </row>
    <row r="1806" spans="1:12">
      <c r="A1806" s="722" t="s">
        <v>240</v>
      </c>
      <c r="B1806" s="722">
        <v>501</v>
      </c>
      <c r="C1806" s="723">
        <v>1</v>
      </c>
      <c r="D1806" s="723">
        <v>0</v>
      </c>
      <c r="E1806" s="723">
        <v>0</v>
      </c>
      <c r="F1806" s="723">
        <v>0</v>
      </c>
      <c r="G1806" s="723">
        <v>1</v>
      </c>
      <c r="H1806" s="724">
        <v>156.43100869569901</v>
      </c>
      <c r="I1806" s="724">
        <v>0</v>
      </c>
      <c r="J1806" s="724">
        <v>0</v>
      </c>
      <c r="K1806" s="724">
        <v>0</v>
      </c>
      <c r="L1806" s="724">
        <v>156.43100869569901</v>
      </c>
    </row>
    <row r="1807" spans="1:12">
      <c r="A1807" s="722" t="s">
        <v>240</v>
      </c>
      <c r="B1807" s="722">
        <v>502</v>
      </c>
      <c r="C1807" s="723">
        <v>0</v>
      </c>
      <c r="D1807" s="723">
        <v>1</v>
      </c>
      <c r="E1807" s="723">
        <v>0</v>
      </c>
      <c r="F1807" s="723">
        <v>0</v>
      </c>
      <c r="G1807" s="723">
        <v>1</v>
      </c>
      <c r="H1807" s="724">
        <v>0</v>
      </c>
      <c r="I1807" s="724">
        <v>156.43100869569901</v>
      </c>
      <c r="J1807" s="724">
        <v>0</v>
      </c>
      <c r="K1807" s="724">
        <v>0</v>
      </c>
      <c r="L1807" s="724">
        <v>156.43100869569901</v>
      </c>
    </row>
    <row r="1808" spans="1:12">
      <c r="A1808" s="722" t="s">
        <v>240</v>
      </c>
      <c r="B1808" s="722">
        <v>560</v>
      </c>
      <c r="C1808" s="723">
        <v>1</v>
      </c>
      <c r="D1808" s="723">
        <v>0</v>
      </c>
      <c r="E1808" s="723">
        <v>0</v>
      </c>
      <c r="F1808" s="723">
        <v>0</v>
      </c>
      <c r="G1808" s="723">
        <v>1</v>
      </c>
      <c r="H1808" s="724">
        <v>156.43100869569901</v>
      </c>
      <c r="I1808" s="724">
        <v>0</v>
      </c>
      <c r="J1808" s="724">
        <v>0</v>
      </c>
      <c r="K1808" s="724">
        <v>0</v>
      </c>
      <c r="L1808" s="724">
        <v>156.43100869569901</v>
      </c>
    </row>
    <row r="1809" spans="1:12">
      <c r="A1809" s="722" t="s">
        <v>241</v>
      </c>
      <c r="B1809" s="722">
        <v>100</v>
      </c>
      <c r="C1809" s="723">
        <v>1</v>
      </c>
      <c r="D1809" s="723">
        <v>0</v>
      </c>
      <c r="E1809" s="723">
        <v>0</v>
      </c>
      <c r="F1809" s="723">
        <v>0</v>
      </c>
      <c r="G1809" s="723">
        <v>1</v>
      </c>
      <c r="H1809" s="724">
        <v>164.07555161952831</v>
      </c>
      <c r="I1809" s="724">
        <v>0</v>
      </c>
      <c r="J1809" s="724">
        <v>0</v>
      </c>
      <c r="K1809" s="724">
        <v>0</v>
      </c>
      <c r="L1809" s="724">
        <v>164.07555161952831</v>
      </c>
    </row>
    <row r="1810" spans="1:12">
      <c r="A1810" s="722" t="s">
        <v>241</v>
      </c>
      <c r="B1810" s="722">
        <v>110</v>
      </c>
      <c r="C1810" s="723">
        <v>88</v>
      </c>
      <c r="D1810" s="723">
        <v>9</v>
      </c>
      <c r="E1810" s="723">
        <v>0</v>
      </c>
      <c r="F1810" s="723">
        <v>0</v>
      </c>
      <c r="G1810" s="723">
        <v>97</v>
      </c>
      <c r="H1810" s="724">
        <v>14438.648542518489</v>
      </c>
      <c r="I1810" s="724">
        <v>1476.6799645757549</v>
      </c>
      <c r="J1810" s="724">
        <v>0</v>
      </c>
      <c r="K1810" s="724">
        <v>0</v>
      </c>
      <c r="L1810" s="724">
        <v>15915.328507094246</v>
      </c>
    </row>
    <row r="1811" spans="1:12">
      <c r="A1811" s="722" t="s">
        <v>241</v>
      </c>
      <c r="B1811" s="722">
        <v>160</v>
      </c>
      <c r="C1811" s="723">
        <v>12</v>
      </c>
      <c r="D1811" s="723">
        <v>20</v>
      </c>
      <c r="E1811" s="723">
        <v>0</v>
      </c>
      <c r="F1811" s="723">
        <v>0</v>
      </c>
      <c r="G1811" s="723">
        <v>32</v>
      </c>
      <c r="H1811" s="724">
        <v>1968.9066194343397</v>
      </c>
      <c r="I1811" s="724">
        <v>3281.5110323905665</v>
      </c>
      <c r="J1811" s="724">
        <v>0</v>
      </c>
      <c r="K1811" s="724">
        <v>0</v>
      </c>
      <c r="L1811" s="724">
        <v>5250.417651824906</v>
      </c>
    </row>
    <row r="1812" spans="1:12">
      <c r="A1812" s="722" t="s">
        <v>241</v>
      </c>
      <c r="B1812" s="722">
        <v>330</v>
      </c>
      <c r="C1812" s="723">
        <v>1</v>
      </c>
      <c r="D1812" s="723">
        <v>0</v>
      </c>
      <c r="E1812" s="723">
        <v>0</v>
      </c>
      <c r="F1812" s="723">
        <v>0</v>
      </c>
      <c r="G1812" s="723">
        <v>1</v>
      </c>
      <c r="H1812" s="724">
        <v>164.07555161952831</v>
      </c>
      <c r="I1812" s="724">
        <v>0</v>
      </c>
      <c r="J1812" s="724">
        <v>0</v>
      </c>
      <c r="K1812" s="724">
        <v>0</v>
      </c>
      <c r="L1812" s="724">
        <v>164.07555161952831</v>
      </c>
    </row>
    <row r="1813" spans="1:12">
      <c r="A1813" s="722" t="s">
        <v>241</v>
      </c>
      <c r="B1813" s="722">
        <v>410</v>
      </c>
      <c r="C1813" s="723">
        <v>60</v>
      </c>
      <c r="D1813" s="723">
        <v>26</v>
      </c>
      <c r="E1813" s="723">
        <v>0</v>
      </c>
      <c r="F1813" s="723">
        <v>0</v>
      </c>
      <c r="G1813" s="723">
        <v>86</v>
      </c>
      <c r="H1813" s="724">
        <v>9844.5330971716994</v>
      </c>
      <c r="I1813" s="724">
        <v>4265.9643421077362</v>
      </c>
      <c r="J1813" s="724">
        <v>0</v>
      </c>
      <c r="K1813" s="724">
        <v>0</v>
      </c>
      <c r="L1813" s="724">
        <v>14110.497439279436</v>
      </c>
    </row>
    <row r="1814" spans="1:12">
      <c r="A1814" s="722" t="s">
        <v>241</v>
      </c>
      <c r="B1814" s="722">
        <v>420</v>
      </c>
      <c r="C1814" s="723">
        <v>1</v>
      </c>
      <c r="D1814" s="723">
        <v>0</v>
      </c>
      <c r="E1814" s="723">
        <v>0</v>
      </c>
      <c r="F1814" s="723">
        <v>0</v>
      </c>
      <c r="G1814" s="723">
        <v>1</v>
      </c>
      <c r="H1814" s="724">
        <v>164.07555161952831</v>
      </c>
      <c r="I1814" s="724">
        <v>0</v>
      </c>
      <c r="J1814" s="724">
        <v>0</v>
      </c>
      <c r="K1814" s="724">
        <v>0</v>
      </c>
      <c r="L1814" s="724">
        <v>164.07555161952831</v>
      </c>
    </row>
    <row r="1815" spans="1:12">
      <c r="A1815" s="722" t="s">
        <v>241</v>
      </c>
      <c r="B1815" s="722">
        <v>811</v>
      </c>
      <c r="C1815" s="723">
        <v>0</v>
      </c>
      <c r="D1815" s="723">
        <v>1</v>
      </c>
      <c r="E1815" s="723">
        <v>0</v>
      </c>
      <c r="F1815" s="723">
        <v>0</v>
      </c>
      <c r="G1815" s="723">
        <v>1</v>
      </c>
      <c r="H1815" s="724">
        <v>0</v>
      </c>
      <c r="I1815" s="724">
        <v>164.07555161952831</v>
      </c>
      <c r="J1815" s="724">
        <v>0</v>
      </c>
      <c r="K1815" s="724">
        <v>0</v>
      </c>
      <c r="L1815" s="724">
        <v>164.07555161952831</v>
      </c>
    </row>
    <row r="1816" spans="1:12">
      <c r="A1816" s="722" t="s">
        <v>242</v>
      </c>
      <c r="B1816" s="722">
        <v>100</v>
      </c>
      <c r="C1816" s="723">
        <v>11</v>
      </c>
      <c r="D1816" s="723">
        <v>1</v>
      </c>
      <c r="E1816" s="723">
        <v>0</v>
      </c>
      <c r="F1816" s="723">
        <v>0</v>
      </c>
      <c r="G1816" s="723">
        <v>12</v>
      </c>
      <c r="H1816" s="724">
        <v>1446.6175022648642</v>
      </c>
      <c r="I1816" s="724">
        <v>131.51068202407856</v>
      </c>
      <c r="J1816" s="724">
        <v>0</v>
      </c>
      <c r="K1816" s="724">
        <v>0</v>
      </c>
      <c r="L1816" s="724">
        <v>1578.1281842889427</v>
      </c>
    </row>
    <row r="1817" spans="1:12">
      <c r="A1817" s="722" t="s">
        <v>242</v>
      </c>
      <c r="B1817" s="722">
        <v>103</v>
      </c>
      <c r="C1817" s="723">
        <v>1</v>
      </c>
      <c r="D1817" s="723">
        <v>2</v>
      </c>
      <c r="E1817" s="723">
        <v>0</v>
      </c>
      <c r="F1817" s="723">
        <v>0</v>
      </c>
      <c r="G1817" s="723">
        <v>3</v>
      </c>
      <c r="H1817" s="724">
        <v>131.51068202407856</v>
      </c>
      <c r="I1817" s="724">
        <v>263.02136404815712</v>
      </c>
      <c r="J1817" s="724">
        <v>0</v>
      </c>
      <c r="K1817" s="724">
        <v>0</v>
      </c>
      <c r="L1817" s="724">
        <v>394.53204607223569</v>
      </c>
    </row>
    <row r="1818" spans="1:12">
      <c r="A1818" s="722" t="s">
        <v>242</v>
      </c>
      <c r="B1818" s="722">
        <v>110</v>
      </c>
      <c r="C1818" s="723">
        <v>249</v>
      </c>
      <c r="D1818" s="723">
        <v>179</v>
      </c>
      <c r="E1818" s="723">
        <v>0</v>
      </c>
      <c r="F1818" s="723">
        <v>0</v>
      </c>
      <c r="G1818" s="723">
        <v>428</v>
      </c>
      <c r="H1818" s="724">
        <v>32746.159823995567</v>
      </c>
      <c r="I1818" s="724">
        <v>23540.412082310064</v>
      </c>
      <c r="J1818" s="724">
        <v>0</v>
      </c>
      <c r="K1818" s="724">
        <v>0</v>
      </c>
      <c r="L1818" s="724">
        <v>56286.571906305631</v>
      </c>
    </row>
    <row r="1819" spans="1:12">
      <c r="A1819" s="722" t="s">
        <v>242</v>
      </c>
      <c r="B1819" s="722">
        <v>160</v>
      </c>
      <c r="C1819" s="723">
        <v>187</v>
      </c>
      <c r="D1819" s="723">
        <v>13</v>
      </c>
      <c r="E1819" s="723">
        <v>0</v>
      </c>
      <c r="F1819" s="723">
        <v>0</v>
      </c>
      <c r="G1819" s="723">
        <v>200</v>
      </c>
      <c r="H1819" s="724">
        <v>24592.497538502696</v>
      </c>
      <c r="I1819" s="724">
        <v>1709.6388663130215</v>
      </c>
      <c r="J1819" s="724">
        <v>0</v>
      </c>
      <c r="K1819" s="724">
        <v>0</v>
      </c>
      <c r="L1819" s="724">
        <v>26302.136404815716</v>
      </c>
    </row>
    <row r="1820" spans="1:12">
      <c r="A1820" s="722" t="s">
        <v>242</v>
      </c>
      <c r="B1820" s="722">
        <v>214</v>
      </c>
      <c r="C1820" s="723">
        <v>1</v>
      </c>
      <c r="D1820" s="723">
        <v>0</v>
      </c>
      <c r="E1820" s="723">
        <v>0</v>
      </c>
      <c r="F1820" s="723">
        <v>0</v>
      </c>
      <c r="G1820" s="723">
        <v>1</v>
      </c>
      <c r="H1820" s="724">
        <v>131.51068202407856</v>
      </c>
      <c r="I1820" s="724">
        <v>0</v>
      </c>
      <c r="J1820" s="724">
        <v>0</v>
      </c>
      <c r="K1820" s="724">
        <v>0</v>
      </c>
      <c r="L1820" s="724">
        <v>131.51068202407856</v>
      </c>
    </row>
    <row r="1821" spans="1:12">
      <c r="A1821" s="722" t="s">
        <v>242</v>
      </c>
      <c r="B1821" s="722">
        <v>219</v>
      </c>
      <c r="C1821" s="723">
        <v>8</v>
      </c>
      <c r="D1821" s="723">
        <v>0</v>
      </c>
      <c r="E1821" s="723">
        <v>0</v>
      </c>
      <c r="F1821" s="723">
        <v>0</v>
      </c>
      <c r="G1821" s="723">
        <v>8</v>
      </c>
      <c r="H1821" s="724">
        <v>1052.0854561926285</v>
      </c>
      <c r="I1821" s="724">
        <v>0</v>
      </c>
      <c r="J1821" s="724">
        <v>0</v>
      </c>
      <c r="K1821" s="724">
        <v>0</v>
      </c>
      <c r="L1821" s="724">
        <v>1052.0854561926285</v>
      </c>
    </row>
    <row r="1822" spans="1:12">
      <c r="A1822" s="722" t="s">
        <v>242</v>
      </c>
      <c r="B1822" s="722">
        <v>400</v>
      </c>
      <c r="C1822" s="723">
        <v>1</v>
      </c>
      <c r="D1822" s="723">
        <v>0</v>
      </c>
      <c r="E1822" s="723">
        <v>0</v>
      </c>
      <c r="F1822" s="723">
        <v>0</v>
      </c>
      <c r="G1822" s="723">
        <v>1</v>
      </c>
      <c r="H1822" s="724">
        <v>131.51068202407856</v>
      </c>
      <c r="I1822" s="724">
        <v>0</v>
      </c>
      <c r="J1822" s="724">
        <v>0</v>
      </c>
      <c r="K1822" s="724">
        <v>0</v>
      </c>
      <c r="L1822" s="724">
        <v>131.51068202407856</v>
      </c>
    </row>
    <row r="1823" spans="1:12">
      <c r="A1823" s="722" t="s">
        <v>242</v>
      </c>
      <c r="B1823" s="722">
        <v>410</v>
      </c>
      <c r="C1823" s="723">
        <v>23</v>
      </c>
      <c r="D1823" s="723">
        <v>4</v>
      </c>
      <c r="E1823" s="723">
        <v>0</v>
      </c>
      <c r="F1823" s="723">
        <v>0</v>
      </c>
      <c r="G1823" s="723">
        <v>27</v>
      </c>
      <c r="H1823" s="724">
        <v>3024.7456865538074</v>
      </c>
      <c r="I1823" s="724">
        <v>526.04272809631425</v>
      </c>
      <c r="J1823" s="724">
        <v>0</v>
      </c>
      <c r="K1823" s="724">
        <v>0</v>
      </c>
      <c r="L1823" s="724">
        <v>3550.7884146501215</v>
      </c>
    </row>
    <row r="1824" spans="1:12">
      <c r="A1824" s="722" t="s">
        <v>242</v>
      </c>
      <c r="B1824" s="722">
        <v>420</v>
      </c>
      <c r="C1824" s="723">
        <v>0</v>
      </c>
      <c r="D1824" s="723">
        <v>2</v>
      </c>
      <c r="E1824" s="723">
        <v>0</v>
      </c>
      <c r="F1824" s="723">
        <v>0</v>
      </c>
      <c r="G1824" s="723">
        <v>2</v>
      </c>
      <c r="H1824" s="724">
        <v>0</v>
      </c>
      <c r="I1824" s="724">
        <v>263.02136404815712</v>
      </c>
      <c r="J1824" s="724">
        <v>0</v>
      </c>
      <c r="K1824" s="724">
        <v>0</v>
      </c>
      <c r="L1824" s="724">
        <v>263.02136404815712</v>
      </c>
    </row>
    <row r="1825" spans="1:12">
      <c r="A1825" s="722" t="s">
        <v>242</v>
      </c>
      <c r="B1825" s="722">
        <v>650</v>
      </c>
      <c r="C1825" s="723">
        <v>4</v>
      </c>
      <c r="D1825" s="723">
        <v>2</v>
      </c>
      <c r="E1825" s="723">
        <v>0</v>
      </c>
      <c r="F1825" s="723">
        <v>0</v>
      </c>
      <c r="G1825" s="723">
        <v>6</v>
      </c>
      <c r="H1825" s="724">
        <v>526.04272809631425</v>
      </c>
      <c r="I1825" s="724">
        <v>263.02136404815712</v>
      </c>
      <c r="J1825" s="724">
        <v>0</v>
      </c>
      <c r="K1825" s="724">
        <v>0</v>
      </c>
      <c r="L1825" s="724">
        <v>789.06409214447137</v>
      </c>
    </row>
    <row r="1826" spans="1:12">
      <c r="A1826" s="722" t="s">
        <v>242</v>
      </c>
      <c r="B1826" s="722">
        <v>651</v>
      </c>
      <c r="C1826" s="723">
        <v>3</v>
      </c>
      <c r="D1826" s="723">
        <v>1</v>
      </c>
      <c r="E1826" s="723">
        <v>0</v>
      </c>
      <c r="F1826" s="723">
        <v>0</v>
      </c>
      <c r="G1826" s="723">
        <v>4</v>
      </c>
      <c r="H1826" s="724">
        <v>394.53204607223569</v>
      </c>
      <c r="I1826" s="724">
        <v>131.51068202407856</v>
      </c>
      <c r="J1826" s="724">
        <v>0</v>
      </c>
      <c r="K1826" s="724">
        <v>0</v>
      </c>
      <c r="L1826" s="724">
        <v>526.04272809631425</v>
      </c>
    </row>
    <row r="1827" spans="1:12">
      <c r="A1827" s="722" t="s">
        <v>242</v>
      </c>
      <c r="B1827" s="722">
        <v>811</v>
      </c>
      <c r="C1827" s="723">
        <v>0</v>
      </c>
      <c r="D1827" s="723">
        <v>142</v>
      </c>
      <c r="E1827" s="723">
        <v>0</v>
      </c>
      <c r="F1827" s="723">
        <v>0</v>
      </c>
      <c r="G1827" s="723">
        <v>142</v>
      </c>
      <c r="H1827" s="724">
        <v>0</v>
      </c>
      <c r="I1827" s="724">
        <v>18674.51684741916</v>
      </c>
      <c r="J1827" s="724">
        <v>0</v>
      </c>
      <c r="K1827" s="724">
        <v>0</v>
      </c>
      <c r="L1827" s="724">
        <v>18674.51684741916</v>
      </c>
    </row>
    <row r="1828" spans="1:12">
      <c r="A1828" s="722" t="s">
        <v>242</v>
      </c>
      <c r="B1828" s="722">
        <v>812</v>
      </c>
      <c r="C1828" s="723">
        <v>0</v>
      </c>
      <c r="D1828" s="723">
        <v>6</v>
      </c>
      <c r="E1828" s="723">
        <v>0</v>
      </c>
      <c r="F1828" s="723">
        <v>0</v>
      </c>
      <c r="G1828" s="723">
        <v>6</v>
      </c>
      <c r="H1828" s="724">
        <v>0</v>
      </c>
      <c r="I1828" s="724">
        <v>789.06409214447137</v>
      </c>
      <c r="J1828" s="724">
        <v>0</v>
      </c>
      <c r="K1828" s="724">
        <v>0</v>
      </c>
      <c r="L1828" s="724">
        <v>789.06409214447137</v>
      </c>
    </row>
    <row r="1829" spans="1:12">
      <c r="A1829" s="722" t="s">
        <v>591</v>
      </c>
      <c r="B1829" s="722">
        <v>100</v>
      </c>
      <c r="C1829" s="723">
        <v>0</v>
      </c>
      <c r="D1829" s="723">
        <v>1</v>
      </c>
      <c r="E1829" s="723">
        <v>0</v>
      </c>
      <c r="F1829" s="723">
        <v>0</v>
      </c>
      <c r="G1829" s="723">
        <v>1</v>
      </c>
      <c r="H1829" s="724">
        <v>0</v>
      </c>
      <c r="I1829" s="724">
        <v>100.01511655114545</v>
      </c>
      <c r="J1829" s="724">
        <v>0</v>
      </c>
      <c r="K1829" s="724">
        <v>0</v>
      </c>
      <c r="L1829" s="724">
        <v>100.01511655114545</v>
      </c>
    </row>
    <row r="1830" spans="1:12">
      <c r="A1830" s="722" t="s">
        <v>591</v>
      </c>
      <c r="B1830" s="722">
        <v>110</v>
      </c>
      <c r="C1830" s="723">
        <v>3157</v>
      </c>
      <c r="D1830" s="723">
        <v>3209</v>
      </c>
      <c r="E1830" s="723">
        <v>0</v>
      </c>
      <c r="F1830" s="723">
        <v>0</v>
      </c>
      <c r="G1830" s="723">
        <v>6366</v>
      </c>
      <c r="H1830" s="724">
        <v>315747.72295196616</v>
      </c>
      <c r="I1830" s="724">
        <v>320948.50901262573</v>
      </c>
      <c r="J1830" s="724">
        <v>0</v>
      </c>
      <c r="K1830" s="724">
        <v>0</v>
      </c>
      <c r="L1830" s="724">
        <v>636696.23196459189</v>
      </c>
    </row>
    <row r="1831" spans="1:12">
      <c r="A1831" s="722" t="s">
        <v>591</v>
      </c>
      <c r="B1831" s="722">
        <v>130</v>
      </c>
      <c r="C1831" s="723">
        <v>0</v>
      </c>
      <c r="D1831" s="723">
        <v>1</v>
      </c>
      <c r="E1831" s="723">
        <v>0</v>
      </c>
      <c r="F1831" s="723">
        <v>0</v>
      </c>
      <c r="G1831" s="723">
        <v>1</v>
      </c>
      <c r="H1831" s="724">
        <v>0</v>
      </c>
      <c r="I1831" s="724">
        <v>100.01511655114545</v>
      </c>
      <c r="J1831" s="724">
        <v>0</v>
      </c>
      <c r="K1831" s="724">
        <v>0</v>
      </c>
      <c r="L1831" s="724">
        <v>100.01511655114545</v>
      </c>
    </row>
    <row r="1832" spans="1:12">
      <c r="A1832" s="722" t="s">
        <v>591</v>
      </c>
      <c r="B1832" s="722">
        <v>160</v>
      </c>
      <c r="C1832" s="723">
        <v>24</v>
      </c>
      <c r="D1832" s="723">
        <v>41</v>
      </c>
      <c r="E1832" s="723">
        <v>0</v>
      </c>
      <c r="F1832" s="723">
        <v>0</v>
      </c>
      <c r="G1832" s="723">
        <v>65</v>
      </c>
      <c r="H1832" s="724">
        <v>2400.3627972274908</v>
      </c>
      <c r="I1832" s="724">
        <v>4100.6197785969634</v>
      </c>
      <c r="J1832" s="724">
        <v>0</v>
      </c>
      <c r="K1832" s="724">
        <v>0</v>
      </c>
      <c r="L1832" s="724">
        <v>6500.9825758244542</v>
      </c>
    </row>
    <row r="1833" spans="1:12">
      <c r="A1833" s="722" t="s">
        <v>591</v>
      </c>
      <c r="B1833" s="722">
        <v>180</v>
      </c>
      <c r="C1833" s="723">
        <v>24</v>
      </c>
      <c r="D1833" s="723">
        <v>84</v>
      </c>
      <c r="E1833" s="723">
        <v>0</v>
      </c>
      <c r="F1833" s="723">
        <v>0</v>
      </c>
      <c r="G1833" s="723">
        <v>108</v>
      </c>
      <c r="H1833" s="724">
        <v>2400.3627972274908</v>
      </c>
      <c r="I1833" s="724">
        <v>8401.2697902962191</v>
      </c>
      <c r="J1833" s="724">
        <v>0</v>
      </c>
      <c r="K1833" s="724">
        <v>0</v>
      </c>
      <c r="L1833" s="724">
        <v>10801.632587523709</v>
      </c>
    </row>
    <row r="1834" spans="1:12">
      <c r="A1834" s="722" t="s">
        <v>591</v>
      </c>
      <c r="B1834" s="722">
        <v>191</v>
      </c>
      <c r="C1834" s="723">
        <v>5</v>
      </c>
      <c r="D1834" s="723">
        <v>1</v>
      </c>
      <c r="E1834" s="723">
        <v>0</v>
      </c>
      <c r="F1834" s="723">
        <v>0</v>
      </c>
      <c r="G1834" s="723">
        <v>6</v>
      </c>
      <c r="H1834" s="724">
        <v>500.07558275572728</v>
      </c>
      <c r="I1834" s="724">
        <v>100.01511655114545</v>
      </c>
      <c r="J1834" s="724">
        <v>0</v>
      </c>
      <c r="K1834" s="724">
        <v>0</v>
      </c>
      <c r="L1834" s="724">
        <v>600.09069930687269</v>
      </c>
    </row>
    <row r="1835" spans="1:12">
      <c r="A1835" s="722" t="s">
        <v>591</v>
      </c>
      <c r="B1835" s="722">
        <v>214</v>
      </c>
      <c r="C1835" s="723">
        <v>7</v>
      </c>
      <c r="D1835" s="723">
        <v>15</v>
      </c>
      <c r="E1835" s="723">
        <v>0</v>
      </c>
      <c r="F1835" s="723">
        <v>0</v>
      </c>
      <c r="G1835" s="723">
        <v>22</v>
      </c>
      <c r="H1835" s="724">
        <v>700.10581585801799</v>
      </c>
      <c r="I1835" s="724">
        <v>1500.2267482671814</v>
      </c>
      <c r="J1835" s="724">
        <v>0</v>
      </c>
      <c r="K1835" s="724">
        <v>0</v>
      </c>
      <c r="L1835" s="724">
        <v>2200.3325641251995</v>
      </c>
    </row>
    <row r="1836" spans="1:12">
      <c r="A1836" s="722" t="s">
        <v>591</v>
      </c>
      <c r="B1836" s="722">
        <v>300</v>
      </c>
      <c r="C1836" s="723">
        <v>6</v>
      </c>
      <c r="D1836" s="723">
        <v>3</v>
      </c>
      <c r="E1836" s="723">
        <v>0</v>
      </c>
      <c r="F1836" s="723">
        <v>0</v>
      </c>
      <c r="G1836" s="723">
        <v>9</v>
      </c>
      <c r="H1836" s="724">
        <v>600.09069930687269</v>
      </c>
      <c r="I1836" s="724">
        <v>300.04534965343635</v>
      </c>
      <c r="J1836" s="724">
        <v>0</v>
      </c>
      <c r="K1836" s="724">
        <v>0</v>
      </c>
      <c r="L1836" s="724">
        <v>900.13604896030904</v>
      </c>
    </row>
    <row r="1837" spans="1:12">
      <c r="A1837" s="722" t="s">
        <v>591</v>
      </c>
      <c r="B1837" s="722">
        <v>314</v>
      </c>
      <c r="C1837" s="723">
        <v>1</v>
      </c>
      <c r="D1837" s="723">
        <v>1</v>
      </c>
      <c r="E1837" s="723">
        <v>0</v>
      </c>
      <c r="F1837" s="723">
        <v>0</v>
      </c>
      <c r="G1837" s="723">
        <v>2</v>
      </c>
      <c r="H1837" s="724">
        <v>100.01511655114545</v>
      </c>
      <c r="I1837" s="724">
        <v>100.01511655114545</v>
      </c>
      <c r="J1837" s="724">
        <v>0</v>
      </c>
      <c r="K1837" s="724">
        <v>0</v>
      </c>
      <c r="L1837" s="724">
        <v>200.03023310229091</v>
      </c>
    </row>
    <row r="1838" spans="1:12">
      <c r="A1838" s="722" t="s">
        <v>591</v>
      </c>
      <c r="B1838" s="722">
        <v>330</v>
      </c>
      <c r="C1838" s="723">
        <v>2</v>
      </c>
      <c r="D1838" s="723">
        <v>0</v>
      </c>
      <c r="E1838" s="723">
        <v>0</v>
      </c>
      <c r="F1838" s="723">
        <v>0</v>
      </c>
      <c r="G1838" s="723">
        <v>2</v>
      </c>
      <c r="H1838" s="724">
        <v>200.03023310229091</v>
      </c>
      <c r="I1838" s="724">
        <v>0</v>
      </c>
      <c r="J1838" s="724">
        <v>0</v>
      </c>
      <c r="K1838" s="724">
        <v>0</v>
      </c>
      <c r="L1838" s="724">
        <v>200.03023310229091</v>
      </c>
    </row>
    <row r="1839" spans="1:12">
      <c r="A1839" s="722" t="s">
        <v>591</v>
      </c>
      <c r="B1839" s="722">
        <v>340</v>
      </c>
      <c r="C1839" s="723">
        <v>1</v>
      </c>
      <c r="D1839" s="723">
        <v>0</v>
      </c>
      <c r="E1839" s="723">
        <v>0</v>
      </c>
      <c r="F1839" s="723">
        <v>0</v>
      </c>
      <c r="G1839" s="723">
        <v>1</v>
      </c>
      <c r="H1839" s="724">
        <v>100.01511655114545</v>
      </c>
      <c r="I1839" s="724">
        <v>0</v>
      </c>
      <c r="J1839" s="724">
        <v>0</v>
      </c>
      <c r="K1839" s="724">
        <v>0</v>
      </c>
      <c r="L1839" s="724">
        <v>100.01511655114545</v>
      </c>
    </row>
    <row r="1840" spans="1:12">
      <c r="A1840" s="722" t="s">
        <v>591</v>
      </c>
      <c r="B1840" s="722">
        <v>400</v>
      </c>
      <c r="C1840" s="723">
        <v>0</v>
      </c>
      <c r="D1840" s="723">
        <v>1</v>
      </c>
      <c r="E1840" s="723">
        <v>0</v>
      </c>
      <c r="F1840" s="723">
        <v>0</v>
      </c>
      <c r="G1840" s="723">
        <v>1</v>
      </c>
      <c r="H1840" s="724">
        <v>0</v>
      </c>
      <c r="I1840" s="724">
        <v>100.01511655114545</v>
      </c>
      <c r="J1840" s="724">
        <v>0</v>
      </c>
      <c r="K1840" s="724">
        <v>0</v>
      </c>
      <c r="L1840" s="724">
        <v>100.01511655114545</v>
      </c>
    </row>
    <row r="1841" spans="1:12">
      <c r="A1841" s="722" t="s">
        <v>591</v>
      </c>
      <c r="B1841" s="722">
        <v>410</v>
      </c>
      <c r="C1841" s="723">
        <v>1250</v>
      </c>
      <c r="D1841" s="723">
        <v>433</v>
      </c>
      <c r="E1841" s="723">
        <v>0</v>
      </c>
      <c r="F1841" s="723">
        <v>0</v>
      </c>
      <c r="G1841" s="723">
        <v>1683</v>
      </c>
      <c r="H1841" s="724">
        <v>125018.89568893181</v>
      </c>
      <c r="I1841" s="724">
        <v>43306.545466645977</v>
      </c>
      <c r="J1841" s="724">
        <v>0</v>
      </c>
      <c r="K1841" s="724">
        <v>0</v>
      </c>
      <c r="L1841" s="724">
        <v>168325.44115557778</v>
      </c>
    </row>
    <row r="1842" spans="1:12">
      <c r="A1842" s="722" t="s">
        <v>591</v>
      </c>
      <c r="B1842" s="722">
        <v>650</v>
      </c>
      <c r="C1842" s="723">
        <v>9</v>
      </c>
      <c r="D1842" s="723">
        <v>9</v>
      </c>
      <c r="E1842" s="723">
        <v>0</v>
      </c>
      <c r="F1842" s="723">
        <v>0</v>
      </c>
      <c r="G1842" s="723">
        <v>18</v>
      </c>
      <c r="H1842" s="724">
        <v>900.13604896030904</v>
      </c>
      <c r="I1842" s="724">
        <v>900.13604896030904</v>
      </c>
      <c r="J1842" s="724">
        <v>0</v>
      </c>
      <c r="K1842" s="724">
        <v>0</v>
      </c>
      <c r="L1842" s="724">
        <v>1800.2720979206181</v>
      </c>
    </row>
    <row r="1843" spans="1:12">
      <c r="A1843" s="722" t="s">
        <v>591</v>
      </c>
      <c r="B1843" s="722">
        <v>651</v>
      </c>
      <c r="C1843" s="723">
        <v>216</v>
      </c>
      <c r="D1843" s="723">
        <v>247</v>
      </c>
      <c r="E1843" s="723">
        <v>0</v>
      </c>
      <c r="F1843" s="723">
        <v>0</v>
      </c>
      <c r="G1843" s="723">
        <v>463</v>
      </c>
      <c r="H1843" s="724">
        <v>21603.265175047418</v>
      </c>
      <c r="I1843" s="724">
        <v>24703.733788132926</v>
      </c>
      <c r="J1843" s="724">
        <v>0</v>
      </c>
      <c r="K1843" s="724">
        <v>0</v>
      </c>
      <c r="L1843" s="724">
        <v>46306.99896318034</v>
      </c>
    </row>
    <row r="1844" spans="1:12">
      <c r="A1844" s="722" t="s">
        <v>591</v>
      </c>
      <c r="B1844" s="722">
        <v>811</v>
      </c>
      <c r="C1844" s="723">
        <v>3</v>
      </c>
      <c r="D1844" s="723">
        <v>382</v>
      </c>
      <c r="E1844" s="723">
        <v>0</v>
      </c>
      <c r="F1844" s="723">
        <v>0</v>
      </c>
      <c r="G1844" s="723">
        <v>385</v>
      </c>
      <c r="H1844" s="724">
        <v>300.04534965343635</v>
      </c>
      <c r="I1844" s="724">
        <v>38205.774522537562</v>
      </c>
      <c r="J1844" s="724">
        <v>0</v>
      </c>
      <c r="K1844" s="724">
        <v>0</v>
      </c>
      <c r="L1844" s="724">
        <v>38505.819872191001</v>
      </c>
    </row>
    <row r="1845" spans="1:12">
      <c r="A1845" s="722" t="s">
        <v>591</v>
      </c>
      <c r="B1845" s="722">
        <v>812</v>
      </c>
      <c r="C1845" s="723">
        <v>0</v>
      </c>
      <c r="D1845" s="723">
        <v>11</v>
      </c>
      <c r="E1845" s="723">
        <v>0</v>
      </c>
      <c r="F1845" s="723">
        <v>0</v>
      </c>
      <c r="G1845" s="723">
        <v>11</v>
      </c>
      <c r="H1845" s="724">
        <v>0</v>
      </c>
      <c r="I1845" s="724">
        <v>1100.1662820625997</v>
      </c>
      <c r="J1845" s="724">
        <v>0</v>
      </c>
      <c r="K1845" s="724">
        <v>0</v>
      </c>
      <c r="L1845" s="724">
        <v>1100.1662820625997</v>
      </c>
    </row>
    <row r="1846" spans="1:12">
      <c r="A1846" s="722" t="s">
        <v>243</v>
      </c>
      <c r="B1846" s="722">
        <v>100</v>
      </c>
      <c r="C1846" s="723">
        <v>2</v>
      </c>
      <c r="D1846" s="723">
        <v>0</v>
      </c>
      <c r="E1846" s="723">
        <v>0</v>
      </c>
      <c r="F1846" s="723">
        <v>0</v>
      </c>
      <c r="G1846" s="723">
        <v>2</v>
      </c>
      <c r="H1846" s="724">
        <v>243.0398530436118</v>
      </c>
      <c r="I1846" s="724">
        <v>0</v>
      </c>
      <c r="J1846" s="724">
        <v>0</v>
      </c>
      <c r="K1846" s="724">
        <v>0</v>
      </c>
      <c r="L1846" s="724">
        <v>243.0398530436118</v>
      </c>
    </row>
    <row r="1847" spans="1:12">
      <c r="A1847" s="722" t="s">
        <v>243</v>
      </c>
      <c r="B1847" s="722">
        <v>101</v>
      </c>
      <c r="C1847" s="723">
        <v>0</v>
      </c>
      <c r="D1847" s="723">
        <v>1</v>
      </c>
      <c r="E1847" s="723">
        <v>0</v>
      </c>
      <c r="F1847" s="723">
        <v>0</v>
      </c>
      <c r="G1847" s="723">
        <v>1</v>
      </c>
      <c r="H1847" s="724">
        <v>0</v>
      </c>
      <c r="I1847" s="724">
        <v>121.5199265218059</v>
      </c>
      <c r="J1847" s="724">
        <v>0</v>
      </c>
      <c r="K1847" s="724">
        <v>0</v>
      </c>
      <c r="L1847" s="724">
        <v>121.5199265218059</v>
      </c>
    </row>
    <row r="1848" spans="1:12">
      <c r="A1848" s="722" t="s">
        <v>243</v>
      </c>
      <c r="B1848" s="722">
        <v>102</v>
      </c>
      <c r="C1848" s="723">
        <v>1</v>
      </c>
      <c r="D1848" s="723">
        <v>0</v>
      </c>
      <c r="E1848" s="723">
        <v>0</v>
      </c>
      <c r="F1848" s="723">
        <v>0</v>
      </c>
      <c r="G1848" s="723">
        <v>1</v>
      </c>
      <c r="H1848" s="724">
        <v>121.5199265218059</v>
      </c>
      <c r="I1848" s="724">
        <v>0</v>
      </c>
      <c r="J1848" s="724">
        <v>0</v>
      </c>
      <c r="K1848" s="724">
        <v>0</v>
      </c>
      <c r="L1848" s="724">
        <v>121.5199265218059</v>
      </c>
    </row>
    <row r="1849" spans="1:12">
      <c r="A1849" s="722" t="s">
        <v>243</v>
      </c>
      <c r="B1849" s="722">
        <v>110</v>
      </c>
      <c r="C1849" s="723">
        <v>18</v>
      </c>
      <c r="D1849" s="723">
        <v>4</v>
      </c>
      <c r="E1849" s="723">
        <v>0</v>
      </c>
      <c r="F1849" s="723">
        <v>0</v>
      </c>
      <c r="G1849" s="723">
        <v>22</v>
      </c>
      <c r="H1849" s="724">
        <v>2187.3586773925063</v>
      </c>
      <c r="I1849" s="724">
        <v>486.07970608722366</v>
      </c>
      <c r="J1849" s="724">
        <v>0</v>
      </c>
      <c r="K1849" s="724">
        <v>0</v>
      </c>
      <c r="L1849" s="724">
        <v>2673.43838347973</v>
      </c>
    </row>
    <row r="1850" spans="1:12">
      <c r="A1850" s="722" t="s">
        <v>243</v>
      </c>
      <c r="B1850" s="722">
        <v>130</v>
      </c>
      <c r="C1850" s="723">
        <v>3</v>
      </c>
      <c r="D1850" s="723">
        <v>0</v>
      </c>
      <c r="E1850" s="723">
        <v>0</v>
      </c>
      <c r="F1850" s="723">
        <v>0</v>
      </c>
      <c r="G1850" s="723">
        <v>3</v>
      </c>
      <c r="H1850" s="724">
        <v>364.55977956541773</v>
      </c>
      <c r="I1850" s="724">
        <v>0</v>
      </c>
      <c r="J1850" s="724">
        <v>0</v>
      </c>
      <c r="K1850" s="724">
        <v>0</v>
      </c>
      <c r="L1850" s="724">
        <v>364.55977956541767</v>
      </c>
    </row>
    <row r="1851" spans="1:12">
      <c r="A1851" s="722" t="s">
        <v>243</v>
      </c>
      <c r="B1851" s="722">
        <v>180</v>
      </c>
      <c r="C1851" s="723">
        <v>1</v>
      </c>
      <c r="D1851" s="723">
        <v>0</v>
      </c>
      <c r="E1851" s="723">
        <v>0</v>
      </c>
      <c r="F1851" s="723">
        <v>0</v>
      </c>
      <c r="G1851" s="723">
        <v>1</v>
      </c>
      <c r="H1851" s="724">
        <v>121.5199265218059</v>
      </c>
      <c r="I1851" s="724">
        <v>0</v>
      </c>
      <c r="J1851" s="724">
        <v>0</v>
      </c>
      <c r="K1851" s="724">
        <v>0</v>
      </c>
      <c r="L1851" s="724">
        <v>121.5199265218059</v>
      </c>
    </row>
    <row r="1852" spans="1:12">
      <c r="A1852" s="722" t="s">
        <v>243</v>
      </c>
      <c r="B1852" s="722">
        <v>300</v>
      </c>
      <c r="C1852" s="723">
        <v>0</v>
      </c>
      <c r="D1852" s="723">
        <v>1</v>
      </c>
      <c r="E1852" s="723">
        <v>0</v>
      </c>
      <c r="F1852" s="723">
        <v>0</v>
      </c>
      <c r="G1852" s="723">
        <v>1</v>
      </c>
      <c r="H1852" s="724">
        <v>0</v>
      </c>
      <c r="I1852" s="724">
        <v>121.5199265218059</v>
      </c>
      <c r="J1852" s="724">
        <v>0</v>
      </c>
      <c r="K1852" s="724">
        <v>0</v>
      </c>
      <c r="L1852" s="724">
        <v>121.5199265218059</v>
      </c>
    </row>
    <row r="1853" spans="1:12">
      <c r="A1853" s="722" t="s">
        <v>243</v>
      </c>
      <c r="B1853" s="722">
        <v>320</v>
      </c>
      <c r="C1853" s="723">
        <v>0</v>
      </c>
      <c r="D1853" s="723">
        <v>2</v>
      </c>
      <c r="E1853" s="723">
        <v>0</v>
      </c>
      <c r="F1853" s="723">
        <v>0</v>
      </c>
      <c r="G1853" s="723">
        <v>2</v>
      </c>
      <c r="H1853" s="724">
        <v>0</v>
      </c>
      <c r="I1853" s="724">
        <v>243.0398530436118</v>
      </c>
      <c r="J1853" s="724">
        <v>0</v>
      </c>
      <c r="K1853" s="724">
        <v>0</v>
      </c>
      <c r="L1853" s="724">
        <v>243.0398530436118</v>
      </c>
    </row>
    <row r="1854" spans="1:12">
      <c r="A1854" s="722" t="s">
        <v>243</v>
      </c>
      <c r="B1854" s="722">
        <v>321</v>
      </c>
      <c r="C1854" s="723">
        <v>1</v>
      </c>
      <c r="D1854" s="723">
        <v>0</v>
      </c>
      <c r="E1854" s="723">
        <v>0</v>
      </c>
      <c r="F1854" s="723">
        <v>0</v>
      </c>
      <c r="G1854" s="723">
        <v>1</v>
      </c>
      <c r="H1854" s="724">
        <v>121.5199265218059</v>
      </c>
      <c r="I1854" s="724">
        <v>0</v>
      </c>
      <c r="J1854" s="724">
        <v>0</v>
      </c>
      <c r="K1854" s="724">
        <v>0</v>
      </c>
      <c r="L1854" s="724">
        <v>121.5199265218059</v>
      </c>
    </row>
    <row r="1855" spans="1:12">
      <c r="A1855" s="722" t="s">
        <v>243</v>
      </c>
      <c r="B1855" s="722">
        <v>410</v>
      </c>
      <c r="C1855" s="723">
        <v>1</v>
      </c>
      <c r="D1855" s="723">
        <v>0</v>
      </c>
      <c r="E1855" s="723">
        <v>0</v>
      </c>
      <c r="F1855" s="723">
        <v>0</v>
      </c>
      <c r="G1855" s="723">
        <v>1</v>
      </c>
      <c r="H1855" s="724">
        <v>121.5199265218059</v>
      </c>
      <c r="I1855" s="724">
        <v>0</v>
      </c>
      <c r="J1855" s="724">
        <v>0</v>
      </c>
      <c r="K1855" s="724">
        <v>0</v>
      </c>
      <c r="L1855" s="724">
        <v>121.5199265218059</v>
      </c>
    </row>
    <row r="1856" spans="1:12">
      <c r="A1856" s="722" t="s">
        <v>243</v>
      </c>
      <c r="B1856" s="722">
        <v>502</v>
      </c>
      <c r="C1856" s="723">
        <v>0</v>
      </c>
      <c r="D1856" s="723">
        <v>2</v>
      </c>
      <c r="E1856" s="723">
        <v>0</v>
      </c>
      <c r="F1856" s="723">
        <v>0</v>
      </c>
      <c r="G1856" s="723">
        <v>2</v>
      </c>
      <c r="H1856" s="724">
        <v>0</v>
      </c>
      <c r="I1856" s="724">
        <v>243.0398530436118</v>
      </c>
      <c r="J1856" s="724">
        <v>0</v>
      </c>
      <c r="K1856" s="724">
        <v>0</v>
      </c>
      <c r="L1856" s="724">
        <v>243.0398530436118</v>
      </c>
    </row>
    <row r="1857" spans="1:12">
      <c r="A1857" s="722" t="s">
        <v>243</v>
      </c>
      <c r="B1857" s="722">
        <v>503</v>
      </c>
      <c r="C1857" s="723">
        <v>1</v>
      </c>
      <c r="D1857" s="723">
        <v>0</v>
      </c>
      <c r="E1857" s="723">
        <v>0</v>
      </c>
      <c r="F1857" s="723">
        <v>0</v>
      </c>
      <c r="G1857" s="723">
        <v>1</v>
      </c>
      <c r="H1857" s="724">
        <v>121.5199265218059</v>
      </c>
      <c r="I1857" s="724">
        <v>0</v>
      </c>
      <c r="J1857" s="724">
        <v>0</v>
      </c>
      <c r="K1857" s="724">
        <v>0</v>
      </c>
      <c r="L1857" s="724">
        <v>121.5199265218059</v>
      </c>
    </row>
    <row r="1858" spans="1:12">
      <c r="A1858" s="722" t="s">
        <v>243</v>
      </c>
      <c r="B1858" s="722">
        <v>650</v>
      </c>
      <c r="C1858" s="723">
        <v>1</v>
      </c>
      <c r="D1858" s="723">
        <v>0</v>
      </c>
      <c r="E1858" s="723">
        <v>0</v>
      </c>
      <c r="F1858" s="723">
        <v>0</v>
      </c>
      <c r="G1858" s="723">
        <v>1</v>
      </c>
      <c r="H1858" s="724">
        <v>121.5199265218059</v>
      </c>
      <c r="I1858" s="724">
        <v>0</v>
      </c>
      <c r="J1858" s="724">
        <v>0</v>
      </c>
      <c r="K1858" s="724">
        <v>0</v>
      </c>
      <c r="L1858" s="724">
        <v>121.5199265218059</v>
      </c>
    </row>
    <row r="1859" spans="1:12">
      <c r="A1859" s="722" t="s">
        <v>244</v>
      </c>
      <c r="B1859" s="722">
        <v>110</v>
      </c>
      <c r="C1859" s="723">
        <v>44</v>
      </c>
      <c r="D1859" s="723">
        <v>4</v>
      </c>
      <c r="E1859" s="723">
        <v>0</v>
      </c>
      <c r="F1859" s="723">
        <v>0</v>
      </c>
      <c r="G1859" s="723">
        <v>48</v>
      </c>
      <c r="H1859" s="724">
        <v>81770.568921833212</v>
      </c>
      <c r="I1859" s="724">
        <v>7433.6880838030193</v>
      </c>
      <c r="J1859" s="724">
        <v>0</v>
      </c>
      <c r="K1859" s="724">
        <v>0</v>
      </c>
      <c r="L1859" s="724">
        <v>89204.257005636231</v>
      </c>
    </row>
    <row r="1860" spans="1:12">
      <c r="A1860" s="722" t="s">
        <v>244</v>
      </c>
      <c r="B1860" s="722">
        <v>160</v>
      </c>
      <c r="C1860" s="723">
        <v>3</v>
      </c>
      <c r="D1860" s="723">
        <v>0</v>
      </c>
      <c r="E1860" s="723">
        <v>0</v>
      </c>
      <c r="F1860" s="723">
        <v>0</v>
      </c>
      <c r="G1860" s="723">
        <v>3</v>
      </c>
      <c r="H1860" s="724">
        <v>5575.2660628522644</v>
      </c>
      <c r="I1860" s="724">
        <v>0</v>
      </c>
      <c r="J1860" s="724">
        <v>0</v>
      </c>
      <c r="K1860" s="724">
        <v>0</v>
      </c>
      <c r="L1860" s="724">
        <v>5575.2660628522644</v>
      </c>
    </row>
    <row r="1861" spans="1:12">
      <c r="A1861" s="722" t="s">
        <v>244</v>
      </c>
      <c r="B1861" s="722">
        <v>410</v>
      </c>
      <c r="C1861" s="723">
        <v>35</v>
      </c>
      <c r="D1861" s="723">
        <v>18</v>
      </c>
      <c r="E1861" s="723">
        <v>0</v>
      </c>
      <c r="F1861" s="723">
        <v>0</v>
      </c>
      <c r="G1861" s="723">
        <v>53</v>
      </c>
      <c r="H1861" s="724">
        <v>65044.770733276426</v>
      </c>
      <c r="I1861" s="724">
        <v>33451.596377113587</v>
      </c>
      <c r="J1861" s="724">
        <v>0</v>
      </c>
      <c r="K1861" s="724">
        <v>0</v>
      </c>
      <c r="L1861" s="724">
        <v>98496.367110390012</v>
      </c>
    </row>
    <row r="1862" spans="1:12">
      <c r="A1862" s="722" t="s">
        <v>244</v>
      </c>
      <c r="B1862" s="722">
        <v>811</v>
      </c>
      <c r="C1862" s="723">
        <v>0</v>
      </c>
      <c r="D1862" s="723">
        <v>2</v>
      </c>
      <c r="E1862" s="723">
        <v>0</v>
      </c>
      <c r="F1862" s="723">
        <v>0</v>
      </c>
      <c r="G1862" s="723">
        <v>2</v>
      </c>
      <c r="H1862" s="724">
        <v>0</v>
      </c>
      <c r="I1862" s="724">
        <v>3716.8440419015092</v>
      </c>
      <c r="J1862" s="724">
        <v>0</v>
      </c>
      <c r="K1862" s="724">
        <v>0</v>
      </c>
      <c r="L1862" s="724">
        <v>3716.8440419015092</v>
      </c>
    </row>
    <row r="1863" spans="1:12">
      <c r="A1863" s="722" t="s">
        <v>245</v>
      </c>
      <c r="B1863" s="722">
        <v>100</v>
      </c>
      <c r="C1863" s="723">
        <v>1</v>
      </c>
      <c r="D1863" s="723">
        <v>0</v>
      </c>
      <c r="E1863" s="723">
        <v>0</v>
      </c>
      <c r="F1863" s="723">
        <v>0</v>
      </c>
      <c r="G1863" s="723">
        <v>1</v>
      </c>
      <c r="H1863" s="724">
        <v>648.56990335990088</v>
      </c>
      <c r="I1863" s="724">
        <v>0</v>
      </c>
      <c r="J1863" s="724">
        <v>0</v>
      </c>
      <c r="K1863" s="724">
        <v>0</v>
      </c>
      <c r="L1863" s="724">
        <v>648.56990335990088</v>
      </c>
    </row>
    <row r="1864" spans="1:12">
      <c r="A1864" s="722" t="s">
        <v>245</v>
      </c>
      <c r="B1864" s="722">
        <v>110</v>
      </c>
      <c r="C1864" s="723">
        <v>100</v>
      </c>
      <c r="D1864" s="723">
        <v>90</v>
      </c>
      <c r="E1864" s="723">
        <v>0</v>
      </c>
      <c r="F1864" s="723">
        <v>0</v>
      </c>
      <c r="G1864" s="723">
        <v>190</v>
      </c>
      <c r="H1864" s="724">
        <v>64856.990335990085</v>
      </c>
      <c r="I1864" s="724">
        <v>58371.291302391081</v>
      </c>
      <c r="J1864" s="724">
        <v>0</v>
      </c>
      <c r="K1864" s="724">
        <v>0</v>
      </c>
      <c r="L1864" s="724">
        <v>123228.28163838117</v>
      </c>
    </row>
    <row r="1865" spans="1:12">
      <c r="A1865" s="722" t="s">
        <v>245</v>
      </c>
      <c r="B1865" s="722">
        <v>160</v>
      </c>
      <c r="C1865" s="723">
        <v>3</v>
      </c>
      <c r="D1865" s="723">
        <v>0</v>
      </c>
      <c r="E1865" s="723">
        <v>0</v>
      </c>
      <c r="F1865" s="723">
        <v>0</v>
      </c>
      <c r="G1865" s="723">
        <v>3</v>
      </c>
      <c r="H1865" s="724">
        <v>1945.709710079703</v>
      </c>
      <c r="I1865" s="724">
        <v>0</v>
      </c>
      <c r="J1865" s="724">
        <v>0</v>
      </c>
      <c r="K1865" s="724">
        <v>0</v>
      </c>
      <c r="L1865" s="724">
        <v>1945.709710079703</v>
      </c>
    </row>
    <row r="1866" spans="1:12">
      <c r="A1866" s="722" t="s">
        <v>245</v>
      </c>
      <c r="B1866" s="722">
        <v>191</v>
      </c>
      <c r="C1866" s="723">
        <v>9</v>
      </c>
      <c r="D1866" s="723">
        <v>0</v>
      </c>
      <c r="E1866" s="723">
        <v>0</v>
      </c>
      <c r="F1866" s="723">
        <v>0</v>
      </c>
      <c r="G1866" s="723">
        <v>9</v>
      </c>
      <c r="H1866" s="724">
        <v>5837.1291302391082</v>
      </c>
      <c r="I1866" s="724">
        <v>0</v>
      </c>
      <c r="J1866" s="724">
        <v>0</v>
      </c>
      <c r="K1866" s="724">
        <v>0</v>
      </c>
      <c r="L1866" s="724">
        <v>5837.1291302391082</v>
      </c>
    </row>
    <row r="1867" spans="1:12">
      <c r="A1867" s="722" t="s">
        <v>245</v>
      </c>
      <c r="B1867" s="722">
        <v>410</v>
      </c>
      <c r="C1867" s="723">
        <v>23</v>
      </c>
      <c r="D1867" s="723">
        <v>4</v>
      </c>
      <c r="E1867" s="723">
        <v>0</v>
      </c>
      <c r="F1867" s="723">
        <v>0</v>
      </c>
      <c r="G1867" s="723">
        <v>27</v>
      </c>
      <c r="H1867" s="724">
        <v>14917.107777277721</v>
      </c>
      <c r="I1867" s="724">
        <v>2594.279613439604</v>
      </c>
      <c r="J1867" s="724">
        <v>0</v>
      </c>
      <c r="K1867" s="724">
        <v>0</v>
      </c>
      <c r="L1867" s="724">
        <v>17511.387390717326</v>
      </c>
    </row>
    <row r="1868" spans="1:12">
      <c r="A1868" s="722" t="s">
        <v>245</v>
      </c>
      <c r="B1868" s="722">
        <v>811</v>
      </c>
      <c r="C1868" s="723">
        <v>20</v>
      </c>
      <c r="D1868" s="723">
        <v>146</v>
      </c>
      <c r="E1868" s="723">
        <v>0</v>
      </c>
      <c r="F1868" s="723">
        <v>0</v>
      </c>
      <c r="G1868" s="723">
        <v>166</v>
      </c>
      <c r="H1868" s="724">
        <v>12971.398067198021</v>
      </c>
      <c r="I1868" s="724">
        <v>94691.205890545549</v>
      </c>
      <c r="J1868" s="724">
        <v>0</v>
      </c>
      <c r="K1868" s="724">
        <v>0</v>
      </c>
      <c r="L1868" s="724">
        <v>107662.60395774356</v>
      </c>
    </row>
    <row r="1869" spans="1:12">
      <c r="A1869" s="722" t="s">
        <v>245</v>
      </c>
      <c r="B1869" s="722">
        <v>812</v>
      </c>
      <c r="C1869" s="723">
        <v>0</v>
      </c>
      <c r="D1869" s="723">
        <v>38</v>
      </c>
      <c r="E1869" s="723">
        <v>0</v>
      </c>
      <c r="F1869" s="723">
        <v>0</v>
      </c>
      <c r="G1869" s="723">
        <v>38</v>
      </c>
      <c r="H1869" s="724">
        <v>0</v>
      </c>
      <c r="I1869" s="724">
        <v>24645.656327676235</v>
      </c>
      <c r="J1869" s="724">
        <v>0</v>
      </c>
      <c r="K1869" s="724">
        <v>0</v>
      </c>
      <c r="L1869" s="724">
        <v>24645.656327676235</v>
      </c>
    </row>
    <row r="1870" spans="1:12">
      <c r="A1870" s="722" t="s">
        <v>246</v>
      </c>
      <c r="B1870" s="722">
        <v>101</v>
      </c>
      <c r="C1870" s="723">
        <v>1</v>
      </c>
      <c r="D1870" s="723">
        <v>2</v>
      </c>
      <c r="E1870" s="723">
        <v>0</v>
      </c>
      <c r="F1870" s="723">
        <v>0</v>
      </c>
      <c r="G1870" s="723">
        <v>3</v>
      </c>
      <c r="H1870" s="724">
        <v>10.748037698009533</v>
      </c>
      <c r="I1870" s="724">
        <v>21.496075396019066</v>
      </c>
      <c r="J1870" s="724">
        <v>0</v>
      </c>
      <c r="K1870" s="724">
        <v>0</v>
      </c>
      <c r="L1870" s="724">
        <v>32.244113094028599</v>
      </c>
    </row>
    <row r="1871" spans="1:12">
      <c r="A1871" s="722" t="s">
        <v>246</v>
      </c>
      <c r="B1871" s="722">
        <v>110</v>
      </c>
      <c r="C1871" s="723">
        <v>1</v>
      </c>
      <c r="D1871" s="723">
        <v>0</v>
      </c>
      <c r="E1871" s="723">
        <v>0</v>
      </c>
      <c r="F1871" s="723">
        <v>0</v>
      </c>
      <c r="G1871" s="723">
        <v>1</v>
      </c>
      <c r="H1871" s="724">
        <v>10.748037698009533</v>
      </c>
      <c r="I1871" s="724">
        <v>0</v>
      </c>
      <c r="J1871" s="724">
        <v>0</v>
      </c>
      <c r="K1871" s="724">
        <v>0</v>
      </c>
      <c r="L1871" s="724">
        <v>10.748037698009533</v>
      </c>
    </row>
    <row r="1872" spans="1:12">
      <c r="A1872" s="722" t="s">
        <v>246</v>
      </c>
      <c r="B1872" s="722">
        <v>120</v>
      </c>
      <c r="C1872" s="723">
        <v>1</v>
      </c>
      <c r="D1872" s="723">
        <v>1</v>
      </c>
      <c r="E1872" s="723">
        <v>0</v>
      </c>
      <c r="F1872" s="723">
        <v>0</v>
      </c>
      <c r="G1872" s="723">
        <v>2</v>
      </c>
      <c r="H1872" s="724">
        <v>10.748037698009533</v>
      </c>
      <c r="I1872" s="724">
        <v>10.748037698009533</v>
      </c>
      <c r="J1872" s="724">
        <v>0</v>
      </c>
      <c r="K1872" s="724">
        <v>0</v>
      </c>
      <c r="L1872" s="724">
        <v>21.496075396019066</v>
      </c>
    </row>
    <row r="1873" spans="1:12">
      <c r="A1873" s="722" t="s">
        <v>246</v>
      </c>
      <c r="B1873" s="722">
        <v>501</v>
      </c>
      <c r="C1873" s="723">
        <v>0</v>
      </c>
      <c r="D1873" s="723">
        <v>1</v>
      </c>
      <c r="E1873" s="723">
        <v>0</v>
      </c>
      <c r="F1873" s="723">
        <v>0</v>
      </c>
      <c r="G1873" s="723">
        <v>1</v>
      </c>
      <c r="H1873" s="724">
        <v>0</v>
      </c>
      <c r="I1873" s="724">
        <v>10.748037698009533</v>
      </c>
      <c r="J1873" s="724">
        <v>0</v>
      </c>
      <c r="K1873" s="724">
        <v>0</v>
      </c>
      <c r="L1873" s="724">
        <v>10.748037698009533</v>
      </c>
    </row>
    <row r="1874" spans="1:12">
      <c r="A1874" s="722" t="s">
        <v>246</v>
      </c>
      <c r="B1874" s="722">
        <v>502</v>
      </c>
      <c r="C1874" s="723">
        <v>4</v>
      </c>
      <c r="D1874" s="723">
        <v>8</v>
      </c>
      <c r="E1874" s="723">
        <v>0</v>
      </c>
      <c r="F1874" s="723">
        <v>0</v>
      </c>
      <c r="G1874" s="723">
        <v>12</v>
      </c>
      <c r="H1874" s="724">
        <v>42.992150792038132</v>
      </c>
      <c r="I1874" s="724">
        <v>85.984301584076263</v>
      </c>
      <c r="J1874" s="724">
        <v>0</v>
      </c>
      <c r="K1874" s="724">
        <v>0</v>
      </c>
      <c r="L1874" s="724">
        <v>128.97645237611439</v>
      </c>
    </row>
    <row r="1875" spans="1:12">
      <c r="A1875" s="722" t="s">
        <v>246</v>
      </c>
      <c r="B1875" s="722">
        <v>560</v>
      </c>
      <c r="C1875" s="723">
        <v>185</v>
      </c>
      <c r="D1875" s="723">
        <v>10</v>
      </c>
      <c r="E1875" s="723">
        <v>0</v>
      </c>
      <c r="F1875" s="723">
        <v>0</v>
      </c>
      <c r="G1875" s="723">
        <v>195</v>
      </c>
      <c r="H1875" s="724">
        <v>1988.3869741317635</v>
      </c>
      <c r="I1875" s="724">
        <v>107.4803769800953</v>
      </c>
      <c r="J1875" s="724">
        <v>0</v>
      </c>
      <c r="K1875" s="724">
        <v>0</v>
      </c>
      <c r="L1875" s="724">
        <v>2095.8673511118586</v>
      </c>
    </row>
    <row r="1876" spans="1:12">
      <c r="A1876" s="722" t="s">
        <v>247</v>
      </c>
      <c r="B1876" s="722">
        <v>110</v>
      </c>
      <c r="C1876" s="723">
        <v>60</v>
      </c>
      <c r="D1876" s="723">
        <v>8</v>
      </c>
      <c r="E1876" s="723">
        <v>0</v>
      </c>
      <c r="F1876" s="723">
        <v>0</v>
      </c>
      <c r="G1876" s="723">
        <v>68</v>
      </c>
      <c r="H1876" s="724">
        <v>9683.8715886811369</v>
      </c>
      <c r="I1876" s="724">
        <v>1291.1828784908182</v>
      </c>
      <c r="J1876" s="724">
        <v>0</v>
      </c>
      <c r="K1876" s="724">
        <v>0</v>
      </c>
      <c r="L1876" s="724">
        <v>10975.054467171954</v>
      </c>
    </row>
    <row r="1877" spans="1:12">
      <c r="A1877" s="722" t="s">
        <v>247</v>
      </c>
      <c r="B1877" s="722">
        <v>160</v>
      </c>
      <c r="C1877" s="723">
        <v>4</v>
      </c>
      <c r="D1877" s="723">
        <v>0</v>
      </c>
      <c r="E1877" s="723">
        <v>0</v>
      </c>
      <c r="F1877" s="723">
        <v>0</v>
      </c>
      <c r="G1877" s="723">
        <v>4</v>
      </c>
      <c r="H1877" s="724">
        <v>645.59143924540911</v>
      </c>
      <c r="I1877" s="724">
        <v>0</v>
      </c>
      <c r="J1877" s="724">
        <v>0</v>
      </c>
      <c r="K1877" s="724">
        <v>0</v>
      </c>
      <c r="L1877" s="724">
        <v>645.59143924540911</v>
      </c>
    </row>
    <row r="1878" spans="1:12">
      <c r="A1878" s="722" t="s">
        <v>247</v>
      </c>
      <c r="B1878" s="722">
        <v>300</v>
      </c>
      <c r="C1878" s="723">
        <v>1</v>
      </c>
      <c r="D1878" s="723">
        <v>0</v>
      </c>
      <c r="E1878" s="723">
        <v>0</v>
      </c>
      <c r="F1878" s="723">
        <v>0</v>
      </c>
      <c r="G1878" s="723">
        <v>1</v>
      </c>
      <c r="H1878" s="724">
        <v>161.39785981135228</v>
      </c>
      <c r="I1878" s="724">
        <v>0</v>
      </c>
      <c r="J1878" s="724">
        <v>0</v>
      </c>
      <c r="K1878" s="724">
        <v>0</v>
      </c>
      <c r="L1878" s="724">
        <v>161.39785981135228</v>
      </c>
    </row>
    <row r="1879" spans="1:12">
      <c r="A1879" s="722" t="s">
        <v>247</v>
      </c>
      <c r="B1879" s="722">
        <v>320</v>
      </c>
      <c r="C1879" s="723">
        <v>1</v>
      </c>
      <c r="D1879" s="723">
        <v>0</v>
      </c>
      <c r="E1879" s="723">
        <v>0</v>
      </c>
      <c r="F1879" s="723">
        <v>0</v>
      </c>
      <c r="G1879" s="723">
        <v>1</v>
      </c>
      <c r="H1879" s="724">
        <v>161.39785981135228</v>
      </c>
      <c r="I1879" s="724">
        <v>0</v>
      </c>
      <c r="J1879" s="724">
        <v>0</v>
      </c>
      <c r="K1879" s="724">
        <v>0</v>
      </c>
      <c r="L1879" s="724">
        <v>161.39785981135228</v>
      </c>
    </row>
    <row r="1880" spans="1:12">
      <c r="A1880" s="722" t="s">
        <v>247</v>
      </c>
      <c r="B1880" s="722">
        <v>350</v>
      </c>
      <c r="C1880" s="723">
        <v>1</v>
      </c>
      <c r="D1880" s="723">
        <v>0</v>
      </c>
      <c r="E1880" s="723">
        <v>0</v>
      </c>
      <c r="F1880" s="723">
        <v>0</v>
      </c>
      <c r="G1880" s="723">
        <v>1</v>
      </c>
      <c r="H1880" s="724">
        <v>161.39785981135228</v>
      </c>
      <c r="I1880" s="724">
        <v>0</v>
      </c>
      <c r="J1880" s="724">
        <v>0</v>
      </c>
      <c r="K1880" s="724">
        <v>0</v>
      </c>
      <c r="L1880" s="724">
        <v>161.39785981135228</v>
      </c>
    </row>
    <row r="1881" spans="1:12">
      <c r="A1881" s="722" t="s">
        <v>247</v>
      </c>
      <c r="B1881" s="722">
        <v>410</v>
      </c>
      <c r="C1881" s="723">
        <v>8</v>
      </c>
      <c r="D1881" s="723">
        <v>2</v>
      </c>
      <c r="E1881" s="723">
        <v>0</v>
      </c>
      <c r="F1881" s="723">
        <v>0</v>
      </c>
      <c r="G1881" s="723">
        <v>10</v>
      </c>
      <c r="H1881" s="724">
        <v>1291.182878490818</v>
      </c>
      <c r="I1881" s="724">
        <v>322.7957196227045</v>
      </c>
      <c r="J1881" s="724">
        <v>0</v>
      </c>
      <c r="K1881" s="724">
        <v>0</v>
      </c>
      <c r="L1881" s="724">
        <v>1613.9785981135226</v>
      </c>
    </row>
    <row r="1882" spans="1:12">
      <c r="A1882" s="722" t="s">
        <v>247</v>
      </c>
      <c r="B1882" s="722">
        <v>650</v>
      </c>
      <c r="C1882" s="723">
        <v>0</v>
      </c>
      <c r="D1882" s="723">
        <v>2</v>
      </c>
      <c r="E1882" s="723">
        <v>0</v>
      </c>
      <c r="F1882" s="723">
        <v>0</v>
      </c>
      <c r="G1882" s="723">
        <v>2</v>
      </c>
      <c r="H1882" s="724">
        <v>0</v>
      </c>
      <c r="I1882" s="724">
        <v>322.79571962270455</v>
      </c>
      <c r="J1882" s="724">
        <v>0</v>
      </c>
      <c r="K1882" s="724">
        <v>0</v>
      </c>
      <c r="L1882" s="724">
        <v>322.79571962270455</v>
      </c>
    </row>
    <row r="1883" spans="1:12">
      <c r="A1883" s="722" t="s">
        <v>247</v>
      </c>
      <c r="B1883" s="722">
        <v>811</v>
      </c>
      <c r="C1883" s="723">
        <v>0</v>
      </c>
      <c r="D1883" s="723">
        <v>1</v>
      </c>
      <c r="E1883" s="723">
        <v>0</v>
      </c>
      <c r="F1883" s="723">
        <v>0</v>
      </c>
      <c r="G1883" s="723">
        <v>1</v>
      </c>
      <c r="H1883" s="724">
        <v>0</v>
      </c>
      <c r="I1883" s="724">
        <v>161.39785981135228</v>
      </c>
      <c r="J1883" s="724">
        <v>0</v>
      </c>
      <c r="K1883" s="724">
        <v>0</v>
      </c>
      <c r="L1883" s="724">
        <v>161.39785981135228</v>
      </c>
    </row>
    <row r="1884" spans="1:12">
      <c r="A1884" s="722" t="s">
        <v>248</v>
      </c>
      <c r="B1884" s="722">
        <v>110</v>
      </c>
      <c r="C1884" s="723">
        <v>20</v>
      </c>
      <c r="D1884" s="723">
        <v>24</v>
      </c>
      <c r="E1884" s="723">
        <v>0</v>
      </c>
      <c r="F1884" s="723">
        <v>0</v>
      </c>
      <c r="G1884" s="723">
        <v>44</v>
      </c>
      <c r="H1884" s="724">
        <v>26089.89722710706</v>
      </c>
      <c r="I1884" s="724">
        <v>31307.876672528473</v>
      </c>
      <c r="J1884" s="724">
        <v>0</v>
      </c>
      <c r="K1884" s="724">
        <v>0</v>
      </c>
      <c r="L1884" s="724">
        <v>57397.773899635533</v>
      </c>
    </row>
    <row r="1885" spans="1:12">
      <c r="A1885" s="722" t="s">
        <v>248</v>
      </c>
      <c r="B1885" s="722">
        <v>160</v>
      </c>
      <c r="C1885" s="723">
        <v>2</v>
      </c>
      <c r="D1885" s="723">
        <v>0</v>
      </c>
      <c r="E1885" s="723">
        <v>0</v>
      </c>
      <c r="F1885" s="723">
        <v>0</v>
      </c>
      <c r="G1885" s="723">
        <v>2</v>
      </c>
      <c r="H1885" s="724">
        <v>2608.9897227107058</v>
      </c>
      <c r="I1885" s="724">
        <v>0</v>
      </c>
      <c r="J1885" s="724">
        <v>0</v>
      </c>
      <c r="K1885" s="724">
        <v>0</v>
      </c>
      <c r="L1885" s="724">
        <v>2608.9897227107058</v>
      </c>
    </row>
    <row r="1886" spans="1:12">
      <c r="A1886" s="722" t="s">
        <v>248</v>
      </c>
      <c r="B1886" s="722">
        <v>410</v>
      </c>
      <c r="C1886" s="723">
        <v>11</v>
      </c>
      <c r="D1886" s="723">
        <v>1</v>
      </c>
      <c r="E1886" s="723">
        <v>0</v>
      </c>
      <c r="F1886" s="723">
        <v>0</v>
      </c>
      <c r="G1886" s="723">
        <v>12</v>
      </c>
      <c r="H1886" s="724">
        <v>14349.443474908881</v>
      </c>
      <c r="I1886" s="724">
        <v>1304.4948613553529</v>
      </c>
      <c r="J1886" s="724">
        <v>0</v>
      </c>
      <c r="K1886" s="724">
        <v>0</v>
      </c>
      <c r="L1886" s="724">
        <v>15653.938336264235</v>
      </c>
    </row>
    <row r="1887" spans="1:12">
      <c r="A1887" s="722" t="s">
        <v>248</v>
      </c>
      <c r="B1887" s="722">
        <v>811</v>
      </c>
      <c r="C1887" s="723">
        <v>0</v>
      </c>
      <c r="D1887" s="723">
        <v>27</v>
      </c>
      <c r="E1887" s="723">
        <v>0</v>
      </c>
      <c r="F1887" s="723">
        <v>0</v>
      </c>
      <c r="G1887" s="723">
        <v>27</v>
      </c>
      <c r="H1887" s="724">
        <v>0</v>
      </c>
      <c r="I1887" s="724">
        <v>35221.36125659453</v>
      </c>
      <c r="J1887" s="724">
        <v>0</v>
      </c>
      <c r="K1887" s="724">
        <v>0</v>
      </c>
      <c r="L1887" s="724">
        <v>35221.36125659453</v>
      </c>
    </row>
    <row r="1888" spans="1:12">
      <c r="A1888" s="722" t="s">
        <v>249</v>
      </c>
      <c r="B1888" s="722">
        <v>100</v>
      </c>
      <c r="C1888" s="723">
        <v>370</v>
      </c>
      <c r="D1888" s="723">
        <v>27</v>
      </c>
      <c r="E1888" s="723">
        <v>0</v>
      </c>
      <c r="F1888" s="723">
        <v>0</v>
      </c>
      <c r="G1888" s="723">
        <v>397</v>
      </c>
      <c r="H1888" s="724">
        <v>102815.22801298984</v>
      </c>
      <c r="I1888" s="724">
        <v>7502.732855001962</v>
      </c>
      <c r="J1888" s="724">
        <v>0</v>
      </c>
      <c r="K1888" s="724">
        <v>0</v>
      </c>
      <c r="L1888" s="724">
        <v>110317.9608679918</v>
      </c>
    </row>
    <row r="1889" spans="1:12">
      <c r="A1889" s="722" t="s">
        <v>249</v>
      </c>
      <c r="B1889" s="722">
        <v>101</v>
      </c>
      <c r="C1889" s="723">
        <v>3</v>
      </c>
      <c r="D1889" s="723">
        <v>3</v>
      </c>
      <c r="E1889" s="723">
        <v>0</v>
      </c>
      <c r="F1889" s="723">
        <v>0</v>
      </c>
      <c r="G1889" s="723">
        <v>6</v>
      </c>
      <c r="H1889" s="724">
        <v>833.63698388910677</v>
      </c>
      <c r="I1889" s="724">
        <v>833.63698388910677</v>
      </c>
      <c r="J1889" s="724">
        <v>0</v>
      </c>
      <c r="K1889" s="724">
        <v>0</v>
      </c>
      <c r="L1889" s="724">
        <v>1667.2739677782135</v>
      </c>
    </row>
    <row r="1890" spans="1:12">
      <c r="A1890" s="722" t="s">
        <v>249</v>
      </c>
      <c r="B1890" s="722">
        <v>103</v>
      </c>
      <c r="C1890" s="723">
        <v>821</v>
      </c>
      <c r="D1890" s="723">
        <v>45</v>
      </c>
      <c r="E1890" s="723">
        <v>0</v>
      </c>
      <c r="F1890" s="723">
        <v>0</v>
      </c>
      <c r="G1890" s="723">
        <v>866</v>
      </c>
      <c r="H1890" s="724">
        <v>228138.65459098556</v>
      </c>
      <c r="I1890" s="724">
        <v>12504.554758336602</v>
      </c>
      <c r="J1890" s="724">
        <v>0</v>
      </c>
      <c r="K1890" s="724">
        <v>0</v>
      </c>
      <c r="L1890" s="724">
        <v>240643.20934932216</v>
      </c>
    </row>
    <row r="1891" spans="1:12">
      <c r="A1891" s="722" t="s">
        <v>249</v>
      </c>
      <c r="B1891" s="722">
        <v>104</v>
      </c>
      <c r="C1891" s="723">
        <v>3</v>
      </c>
      <c r="D1891" s="723">
        <v>3</v>
      </c>
      <c r="E1891" s="723">
        <v>0</v>
      </c>
      <c r="F1891" s="723">
        <v>0</v>
      </c>
      <c r="G1891" s="723">
        <v>6</v>
      </c>
      <c r="H1891" s="724">
        <v>833.63698388910677</v>
      </c>
      <c r="I1891" s="724">
        <v>833.63698388910677</v>
      </c>
      <c r="J1891" s="724">
        <v>0</v>
      </c>
      <c r="K1891" s="724">
        <v>0</v>
      </c>
      <c r="L1891" s="724">
        <v>1667.2739677782135</v>
      </c>
    </row>
    <row r="1892" spans="1:12">
      <c r="A1892" s="722" t="s">
        <v>249</v>
      </c>
      <c r="B1892" s="722">
        <v>106</v>
      </c>
      <c r="C1892" s="723">
        <v>6</v>
      </c>
      <c r="D1892" s="723">
        <v>1</v>
      </c>
      <c r="E1892" s="723">
        <v>0</v>
      </c>
      <c r="F1892" s="723">
        <v>0</v>
      </c>
      <c r="G1892" s="723">
        <v>7</v>
      </c>
      <c r="H1892" s="724">
        <v>1667.2739677782138</v>
      </c>
      <c r="I1892" s="724">
        <v>277.87899462970228</v>
      </c>
      <c r="J1892" s="724">
        <v>0</v>
      </c>
      <c r="K1892" s="724">
        <v>0</v>
      </c>
      <c r="L1892" s="724">
        <v>1945.152962407916</v>
      </c>
    </row>
    <row r="1893" spans="1:12">
      <c r="A1893" s="722" t="s">
        <v>249</v>
      </c>
      <c r="B1893" s="722">
        <v>107</v>
      </c>
      <c r="C1893" s="723">
        <v>19</v>
      </c>
      <c r="D1893" s="723">
        <v>3</v>
      </c>
      <c r="E1893" s="723">
        <v>0</v>
      </c>
      <c r="F1893" s="723">
        <v>0</v>
      </c>
      <c r="G1893" s="723">
        <v>22</v>
      </c>
      <c r="H1893" s="724">
        <v>5279.7008979643433</v>
      </c>
      <c r="I1893" s="724">
        <v>833.63698388910677</v>
      </c>
      <c r="J1893" s="724">
        <v>0</v>
      </c>
      <c r="K1893" s="724">
        <v>0</v>
      </c>
      <c r="L1893" s="724">
        <v>6113.3378818534502</v>
      </c>
    </row>
    <row r="1894" spans="1:12">
      <c r="A1894" s="722" t="s">
        <v>249</v>
      </c>
      <c r="B1894" s="722">
        <v>110</v>
      </c>
      <c r="C1894" s="723">
        <v>17296</v>
      </c>
      <c r="D1894" s="723">
        <v>7826</v>
      </c>
      <c r="E1894" s="723">
        <v>0</v>
      </c>
      <c r="F1894" s="723">
        <v>0</v>
      </c>
      <c r="G1894" s="723">
        <v>25122</v>
      </c>
      <c r="H1894" s="724">
        <v>4806195.0911153303</v>
      </c>
      <c r="I1894" s="724">
        <v>2174681.0119720502</v>
      </c>
      <c r="J1894" s="724">
        <v>0</v>
      </c>
      <c r="K1894" s="724">
        <v>0</v>
      </c>
      <c r="L1894" s="724">
        <v>6980876.1030873805</v>
      </c>
    </row>
    <row r="1895" spans="1:12">
      <c r="A1895" s="722" t="s">
        <v>249</v>
      </c>
      <c r="B1895" s="722">
        <v>120</v>
      </c>
      <c r="C1895" s="723">
        <v>111</v>
      </c>
      <c r="D1895" s="723">
        <v>109</v>
      </c>
      <c r="E1895" s="723">
        <v>0</v>
      </c>
      <c r="F1895" s="723">
        <v>0</v>
      </c>
      <c r="G1895" s="723">
        <v>220</v>
      </c>
      <c r="H1895" s="724">
        <v>30844.568403896956</v>
      </c>
      <c r="I1895" s="724">
        <v>30288.810414637548</v>
      </c>
      <c r="J1895" s="724">
        <v>0</v>
      </c>
      <c r="K1895" s="724">
        <v>0</v>
      </c>
      <c r="L1895" s="724">
        <v>61133.378818534504</v>
      </c>
    </row>
    <row r="1896" spans="1:12">
      <c r="A1896" s="722" t="s">
        <v>249</v>
      </c>
      <c r="B1896" s="722">
        <v>130</v>
      </c>
      <c r="C1896" s="723">
        <v>7</v>
      </c>
      <c r="D1896" s="723">
        <v>5</v>
      </c>
      <c r="E1896" s="723">
        <v>0</v>
      </c>
      <c r="F1896" s="723">
        <v>0</v>
      </c>
      <c r="G1896" s="723">
        <v>12</v>
      </c>
      <c r="H1896" s="724">
        <v>1945.1529624079158</v>
      </c>
      <c r="I1896" s="724">
        <v>1389.3949731485111</v>
      </c>
      <c r="J1896" s="724">
        <v>0</v>
      </c>
      <c r="K1896" s="724">
        <v>0</v>
      </c>
      <c r="L1896" s="724">
        <v>3334.5479355564271</v>
      </c>
    </row>
    <row r="1897" spans="1:12">
      <c r="A1897" s="722" t="s">
        <v>249</v>
      </c>
      <c r="B1897" s="722">
        <v>140</v>
      </c>
      <c r="C1897" s="723">
        <v>56</v>
      </c>
      <c r="D1897" s="723">
        <v>14</v>
      </c>
      <c r="E1897" s="723">
        <v>0</v>
      </c>
      <c r="F1897" s="723">
        <v>0</v>
      </c>
      <c r="G1897" s="723">
        <v>70</v>
      </c>
      <c r="H1897" s="724">
        <v>15561.22369926333</v>
      </c>
      <c r="I1897" s="724">
        <v>3890.3059248158324</v>
      </c>
      <c r="J1897" s="724">
        <v>0</v>
      </c>
      <c r="K1897" s="724">
        <v>0</v>
      </c>
      <c r="L1897" s="724">
        <v>19451.529624079161</v>
      </c>
    </row>
    <row r="1898" spans="1:12">
      <c r="A1898" s="722" t="s">
        <v>249</v>
      </c>
      <c r="B1898" s="722">
        <v>144</v>
      </c>
      <c r="C1898" s="723">
        <v>31</v>
      </c>
      <c r="D1898" s="723">
        <v>1</v>
      </c>
      <c r="E1898" s="723">
        <v>0</v>
      </c>
      <c r="F1898" s="723">
        <v>0</v>
      </c>
      <c r="G1898" s="723">
        <v>32</v>
      </c>
      <c r="H1898" s="724">
        <v>8614.2488335207709</v>
      </c>
      <c r="I1898" s="724">
        <v>277.87899462970228</v>
      </c>
      <c r="J1898" s="724">
        <v>0</v>
      </c>
      <c r="K1898" s="724">
        <v>0</v>
      </c>
      <c r="L1898" s="724">
        <v>8892.1278281504729</v>
      </c>
    </row>
    <row r="1899" spans="1:12">
      <c r="A1899" s="722" t="s">
        <v>249</v>
      </c>
      <c r="B1899" s="722">
        <v>150</v>
      </c>
      <c r="C1899" s="723">
        <v>1</v>
      </c>
      <c r="D1899" s="723">
        <v>2</v>
      </c>
      <c r="E1899" s="723">
        <v>0</v>
      </c>
      <c r="F1899" s="723">
        <v>0</v>
      </c>
      <c r="G1899" s="723">
        <v>3</v>
      </c>
      <c r="H1899" s="724">
        <v>277.87899462970228</v>
      </c>
      <c r="I1899" s="724">
        <v>555.75798925940455</v>
      </c>
      <c r="J1899" s="724">
        <v>0</v>
      </c>
      <c r="K1899" s="724">
        <v>0</v>
      </c>
      <c r="L1899" s="724">
        <v>833.63698388910677</v>
      </c>
    </row>
    <row r="1900" spans="1:12">
      <c r="A1900" s="722" t="s">
        <v>249</v>
      </c>
      <c r="B1900" s="722">
        <v>160</v>
      </c>
      <c r="C1900" s="723">
        <v>1215</v>
      </c>
      <c r="D1900" s="723">
        <v>157</v>
      </c>
      <c r="E1900" s="723">
        <v>0</v>
      </c>
      <c r="F1900" s="723">
        <v>0</v>
      </c>
      <c r="G1900" s="723">
        <v>1372</v>
      </c>
      <c r="H1900" s="724">
        <v>337622.97847508825</v>
      </c>
      <c r="I1900" s="724">
        <v>43627.002156863258</v>
      </c>
      <c r="J1900" s="724">
        <v>0</v>
      </c>
      <c r="K1900" s="724">
        <v>0</v>
      </c>
      <c r="L1900" s="724">
        <v>381249.98063195153</v>
      </c>
    </row>
    <row r="1901" spans="1:12">
      <c r="A1901" s="722" t="s">
        <v>249</v>
      </c>
      <c r="B1901" s="722">
        <v>161</v>
      </c>
      <c r="C1901" s="723">
        <v>3</v>
      </c>
      <c r="D1901" s="723">
        <v>1</v>
      </c>
      <c r="E1901" s="723">
        <v>0</v>
      </c>
      <c r="F1901" s="723">
        <v>0</v>
      </c>
      <c r="G1901" s="723">
        <v>4</v>
      </c>
      <c r="H1901" s="724">
        <v>833.63698388910689</v>
      </c>
      <c r="I1901" s="724">
        <v>277.87899462970228</v>
      </c>
      <c r="J1901" s="724">
        <v>0</v>
      </c>
      <c r="K1901" s="724">
        <v>0</v>
      </c>
      <c r="L1901" s="724">
        <v>1111.5159785188091</v>
      </c>
    </row>
    <row r="1902" spans="1:12">
      <c r="A1902" s="722" t="s">
        <v>249</v>
      </c>
      <c r="B1902" s="722">
        <v>180</v>
      </c>
      <c r="C1902" s="723">
        <v>21</v>
      </c>
      <c r="D1902" s="723">
        <v>21</v>
      </c>
      <c r="E1902" s="723">
        <v>0</v>
      </c>
      <c r="F1902" s="723">
        <v>0</v>
      </c>
      <c r="G1902" s="723">
        <v>42</v>
      </c>
      <c r="H1902" s="724">
        <v>5835.4588872237473</v>
      </c>
      <c r="I1902" s="724">
        <v>5835.4588872237473</v>
      </c>
      <c r="J1902" s="724">
        <v>0</v>
      </c>
      <c r="K1902" s="724">
        <v>0</v>
      </c>
      <c r="L1902" s="724">
        <v>11670.917774447495</v>
      </c>
    </row>
    <row r="1903" spans="1:12">
      <c r="A1903" s="722" t="s">
        <v>249</v>
      </c>
      <c r="B1903" s="722">
        <v>190</v>
      </c>
      <c r="C1903" s="723">
        <v>1</v>
      </c>
      <c r="D1903" s="723">
        <v>0</v>
      </c>
      <c r="E1903" s="723">
        <v>0</v>
      </c>
      <c r="F1903" s="723">
        <v>0</v>
      </c>
      <c r="G1903" s="723">
        <v>1</v>
      </c>
      <c r="H1903" s="724">
        <v>277.87899462970228</v>
      </c>
      <c r="I1903" s="724">
        <v>0</v>
      </c>
      <c r="J1903" s="724">
        <v>0</v>
      </c>
      <c r="K1903" s="724">
        <v>0</v>
      </c>
      <c r="L1903" s="724">
        <v>277.87899462970228</v>
      </c>
    </row>
    <row r="1904" spans="1:12">
      <c r="A1904" s="722" t="s">
        <v>249</v>
      </c>
      <c r="B1904" s="722">
        <v>191</v>
      </c>
      <c r="C1904" s="723">
        <v>544</v>
      </c>
      <c r="D1904" s="723">
        <v>61</v>
      </c>
      <c r="E1904" s="723">
        <v>0</v>
      </c>
      <c r="F1904" s="723">
        <v>0</v>
      </c>
      <c r="G1904" s="723">
        <v>605</v>
      </c>
      <c r="H1904" s="724">
        <v>151166.17307855806</v>
      </c>
      <c r="I1904" s="724">
        <v>16950.618672411838</v>
      </c>
      <c r="J1904" s="724">
        <v>0</v>
      </c>
      <c r="K1904" s="724">
        <v>0</v>
      </c>
      <c r="L1904" s="724">
        <v>168116.79175096989</v>
      </c>
    </row>
    <row r="1905" spans="1:12">
      <c r="A1905" s="722" t="s">
        <v>249</v>
      </c>
      <c r="B1905" s="722">
        <v>214</v>
      </c>
      <c r="C1905" s="723">
        <v>512</v>
      </c>
      <c r="D1905" s="723">
        <v>53</v>
      </c>
      <c r="E1905" s="723">
        <v>0</v>
      </c>
      <c r="F1905" s="723">
        <v>0</v>
      </c>
      <c r="G1905" s="723">
        <v>565</v>
      </c>
      <c r="H1905" s="724">
        <v>142274.04525040757</v>
      </c>
      <c r="I1905" s="724">
        <v>14727.58671537422</v>
      </c>
      <c r="J1905" s="724">
        <v>0</v>
      </c>
      <c r="K1905" s="724">
        <v>0</v>
      </c>
      <c r="L1905" s="724">
        <v>157001.63196578179</v>
      </c>
    </row>
    <row r="1906" spans="1:12">
      <c r="A1906" s="722" t="s">
        <v>249</v>
      </c>
      <c r="B1906" s="722">
        <v>215</v>
      </c>
      <c r="C1906" s="723">
        <v>1</v>
      </c>
      <c r="D1906" s="723">
        <v>0</v>
      </c>
      <c r="E1906" s="723">
        <v>0</v>
      </c>
      <c r="F1906" s="723">
        <v>0</v>
      </c>
      <c r="G1906" s="723">
        <v>1</v>
      </c>
      <c r="H1906" s="724">
        <v>277.87899462970228</v>
      </c>
      <c r="I1906" s="724">
        <v>0</v>
      </c>
      <c r="J1906" s="724">
        <v>0</v>
      </c>
      <c r="K1906" s="724">
        <v>0</v>
      </c>
      <c r="L1906" s="724">
        <v>277.87899462970228</v>
      </c>
    </row>
    <row r="1907" spans="1:12">
      <c r="A1907" s="722" t="s">
        <v>249</v>
      </c>
      <c r="B1907" s="722">
        <v>217</v>
      </c>
      <c r="C1907" s="723">
        <v>1</v>
      </c>
      <c r="D1907" s="723">
        <v>0</v>
      </c>
      <c r="E1907" s="723">
        <v>0</v>
      </c>
      <c r="F1907" s="723">
        <v>0</v>
      </c>
      <c r="G1907" s="723">
        <v>1</v>
      </c>
      <c r="H1907" s="724">
        <v>277.87899462970228</v>
      </c>
      <c r="I1907" s="724">
        <v>0</v>
      </c>
      <c r="J1907" s="724">
        <v>0</v>
      </c>
      <c r="K1907" s="724">
        <v>0</v>
      </c>
      <c r="L1907" s="724">
        <v>277.87899462970228</v>
      </c>
    </row>
    <row r="1908" spans="1:12">
      <c r="A1908" s="722" t="s">
        <v>249</v>
      </c>
      <c r="B1908" s="722">
        <v>219</v>
      </c>
      <c r="C1908" s="723">
        <v>56</v>
      </c>
      <c r="D1908" s="723">
        <v>3</v>
      </c>
      <c r="E1908" s="723">
        <v>0</v>
      </c>
      <c r="F1908" s="723">
        <v>0</v>
      </c>
      <c r="G1908" s="723">
        <v>59</v>
      </c>
      <c r="H1908" s="724">
        <v>15561.223699263326</v>
      </c>
      <c r="I1908" s="724">
        <v>833.63698388910677</v>
      </c>
      <c r="J1908" s="724">
        <v>0</v>
      </c>
      <c r="K1908" s="724">
        <v>0</v>
      </c>
      <c r="L1908" s="724">
        <v>16394.860683152434</v>
      </c>
    </row>
    <row r="1909" spans="1:12">
      <c r="A1909" s="722" t="s">
        <v>249</v>
      </c>
      <c r="B1909" s="722">
        <v>252</v>
      </c>
      <c r="C1909" s="723">
        <v>0</v>
      </c>
      <c r="D1909" s="723">
        <v>1</v>
      </c>
      <c r="E1909" s="723">
        <v>0</v>
      </c>
      <c r="F1909" s="723">
        <v>0</v>
      </c>
      <c r="G1909" s="723">
        <v>1</v>
      </c>
      <c r="H1909" s="724">
        <v>0</v>
      </c>
      <c r="I1909" s="724">
        <v>277.87899462970228</v>
      </c>
      <c r="J1909" s="724">
        <v>0</v>
      </c>
      <c r="K1909" s="724">
        <v>0</v>
      </c>
      <c r="L1909" s="724">
        <v>277.87899462970228</v>
      </c>
    </row>
    <row r="1910" spans="1:12">
      <c r="A1910" s="722" t="s">
        <v>249</v>
      </c>
      <c r="B1910" s="722">
        <v>258</v>
      </c>
      <c r="C1910" s="723">
        <v>1</v>
      </c>
      <c r="D1910" s="723">
        <v>0</v>
      </c>
      <c r="E1910" s="723">
        <v>0</v>
      </c>
      <c r="F1910" s="723">
        <v>0</v>
      </c>
      <c r="G1910" s="723">
        <v>1</v>
      </c>
      <c r="H1910" s="724">
        <v>277.87899462970228</v>
      </c>
      <c r="I1910" s="724">
        <v>0</v>
      </c>
      <c r="J1910" s="724">
        <v>0</v>
      </c>
      <c r="K1910" s="724">
        <v>0</v>
      </c>
      <c r="L1910" s="724">
        <v>277.87899462970228</v>
      </c>
    </row>
    <row r="1911" spans="1:12">
      <c r="A1911" s="722" t="s">
        <v>249</v>
      </c>
      <c r="B1911" s="722">
        <v>262</v>
      </c>
      <c r="C1911" s="723">
        <v>357</v>
      </c>
      <c r="D1911" s="723">
        <v>65</v>
      </c>
      <c r="E1911" s="723">
        <v>0</v>
      </c>
      <c r="F1911" s="723">
        <v>0</v>
      </c>
      <c r="G1911" s="723">
        <v>422</v>
      </c>
      <c r="H1911" s="724">
        <v>99202.801082803722</v>
      </c>
      <c r="I1911" s="724">
        <v>18062.13465093065</v>
      </c>
      <c r="J1911" s="724">
        <v>0</v>
      </c>
      <c r="K1911" s="724">
        <v>0</v>
      </c>
      <c r="L1911" s="724">
        <v>117264.93573373437</v>
      </c>
    </row>
    <row r="1912" spans="1:12">
      <c r="A1912" s="722" t="s">
        <v>249</v>
      </c>
      <c r="B1912" s="722">
        <v>300</v>
      </c>
      <c r="C1912" s="723">
        <v>100</v>
      </c>
      <c r="D1912" s="723">
        <v>22</v>
      </c>
      <c r="E1912" s="723">
        <v>0</v>
      </c>
      <c r="F1912" s="723">
        <v>0</v>
      </c>
      <c r="G1912" s="723">
        <v>122</v>
      </c>
      <c r="H1912" s="724">
        <v>27787.899462970225</v>
      </c>
      <c r="I1912" s="724">
        <v>6113.3378818534502</v>
      </c>
      <c r="J1912" s="724">
        <v>0</v>
      </c>
      <c r="K1912" s="724">
        <v>0</v>
      </c>
      <c r="L1912" s="724">
        <v>33901.237344823676</v>
      </c>
    </row>
    <row r="1913" spans="1:12">
      <c r="A1913" s="722" t="s">
        <v>249</v>
      </c>
      <c r="B1913" s="722">
        <v>301</v>
      </c>
      <c r="C1913" s="723">
        <v>1</v>
      </c>
      <c r="D1913" s="723">
        <v>3</v>
      </c>
      <c r="E1913" s="723">
        <v>0</v>
      </c>
      <c r="F1913" s="723">
        <v>0</v>
      </c>
      <c r="G1913" s="723">
        <v>4</v>
      </c>
      <c r="H1913" s="724">
        <v>277.87899462970228</v>
      </c>
      <c r="I1913" s="724">
        <v>833.63698388910689</v>
      </c>
      <c r="J1913" s="724">
        <v>0</v>
      </c>
      <c r="K1913" s="724">
        <v>0</v>
      </c>
      <c r="L1913" s="724">
        <v>1111.5159785188091</v>
      </c>
    </row>
    <row r="1914" spans="1:12">
      <c r="A1914" s="722" t="s">
        <v>249</v>
      </c>
      <c r="B1914" s="722">
        <v>302</v>
      </c>
      <c r="C1914" s="723">
        <v>23</v>
      </c>
      <c r="D1914" s="723">
        <v>3</v>
      </c>
      <c r="E1914" s="723">
        <v>0</v>
      </c>
      <c r="F1914" s="723">
        <v>0</v>
      </c>
      <c r="G1914" s="723">
        <v>26</v>
      </c>
      <c r="H1914" s="724">
        <v>6391.2168764831522</v>
      </c>
      <c r="I1914" s="724">
        <v>833.63698388910677</v>
      </c>
      <c r="J1914" s="724">
        <v>0</v>
      </c>
      <c r="K1914" s="724">
        <v>0</v>
      </c>
      <c r="L1914" s="724">
        <v>7224.8538603722591</v>
      </c>
    </row>
    <row r="1915" spans="1:12">
      <c r="A1915" s="722" t="s">
        <v>249</v>
      </c>
      <c r="B1915" s="722">
        <v>303</v>
      </c>
      <c r="C1915" s="723">
        <v>749</v>
      </c>
      <c r="D1915" s="723">
        <v>144</v>
      </c>
      <c r="E1915" s="723">
        <v>0</v>
      </c>
      <c r="F1915" s="723">
        <v>0</v>
      </c>
      <c r="G1915" s="723">
        <v>893</v>
      </c>
      <c r="H1915" s="724">
        <v>208131.36697764701</v>
      </c>
      <c r="I1915" s="724">
        <v>40014.575226677123</v>
      </c>
      <c r="J1915" s="724">
        <v>0</v>
      </c>
      <c r="K1915" s="724">
        <v>0</v>
      </c>
      <c r="L1915" s="724">
        <v>248145.94220432412</v>
      </c>
    </row>
    <row r="1916" spans="1:12">
      <c r="A1916" s="722" t="s">
        <v>249</v>
      </c>
      <c r="B1916" s="722">
        <v>306</v>
      </c>
      <c r="C1916" s="723">
        <v>1</v>
      </c>
      <c r="D1916" s="723">
        <v>0</v>
      </c>
      <c r="E1916" s="723">
        <v>0</v>
      </c>
      <c r="F1916" s="723">
        <v>0</v>
      </c>
      <c r="G1916" s="723">
        <v>1</v>
      </c>
      <c r="H1916" s="724">
        <v>277.87899462970228</v>
      </c>
      <c r="I1916" s="724">
        <v>0</v>
      </c>
      <c r="J1916" s="724">
        <v>0</v>
      </c>
      <c r="K1916" s="724">
        <v>0</v>
      </c>
      <c r="L1916" s="724">
        <v>277.87899462970228</v>
      </c>
    </row>
    <row r="1917" spans="1:12">
      <c r="A1917" s="722" t="s">
        <v>249</v>
      </c>
      <c r="B1917" s="722">
        <v>307</v>
      </c>
      <c r="C1917" s="723">
        <v>21</v>
      </c>
      <c r="D1917" s="723">
        <v>0</v>
      </c>
      <c r="E1917" s="723">
        <v>0</v>
      </c>
      <c r="F1917" s="723">
        <v>0</v>
      </c>
      <c r="G1917" s="723">
        <v>21</v>
      </c>
      <c r="H1917" s="724">
        <v>5835.4588872237473</v>
      </c>
      <c r="I1917" s="724">
        <v>0</v>
      </c>
      <c r="J1917" s="724">
        <v>0</v>
      </c>
      <c r="K1917" s="724">
        <v>0</v>
      </c>
      <c r="L1917" s="724">
        <v>5835.4588872237473</v>
      </c>
    </row>
    <row r="1918" spans="1:12">
      <c r="A1918" s="722" t="s">
        <v>249</v>
      </c>
      <c r="B1918" s="722">
        <v>310</v>
      </c>
      <c r="C1918" s="723">
        <v>1</v>
      </c>
      <c r="D1918" s="723">
        <v>0</v>
      </c>
      <c r="E1918" s="723">
        <v>0</v>
      </c>
      <c r="F1918" s="723">
        <v>0</v>
      </c>
      <c r="G1918" s="723">
        <v>1</v>
      </c>
      <c r="H1918" s="724">
        <v>277.87899462970228</v>
      </c>
      <c r="I1918" s="724">
        <v>0</v>
      </c>
      <c r="J1918" s="724">
        <v>0</v>
      </c>
      <c r="K1918" s="724">
        <v>0</v>
      </c>
      <c r="L1918" s="724">
        <v>277.87899462970228</v>
      </c>
    </row>
    <row r="1919" spans="1:12">
      <c r="A1919" s="722" t="s">
        <v>249</v>
      </c>
      <c r="B1919" s="722">
        <v>314</v>
      </c>
      <c r="C1919" s="723">
        <v>38</v>
      </c>
      <c r="D1919" s="723">
        <v>15</v>
      </c>
      <c r="E1919" s="723">
        <v>0</v>
      </c>
      <c r="F1919" s="723">
        <v>0</v>
      </c>
      <c r="G1919" s="723">
        <v>53</v>
      </c>
      <c r="H1919" s="724">
        <v>10559.401795928687</v>
      </c>
      <c r="I1919" s="724">
        <v>4168.1849194455335</v>
      </c>
      <c r="J1919" s="724">
        <v>0</v>
      </c>
      <c r="K1919" s="724">
        <v>0</v>
      </c>
      <c r="L1919" s="724">
        <v>14727.58671537422</v>
      </c>
    </row>
    <row r="1920" spans="1:12">
      <c r="A1920" s="722" t="s">
        <v>249</v>
      </c>
      <c r="B1920" s="722">
        <v>320</v>
      </c>
      <c r="C1920" s="723">
        <v>2</v>
      </c>
      <c r="D1920" s="723">
        <v>6</v>
      </c>
      <c r="E1920" s="723">
        <v>0</v>
      </c>
      <c r="F1920" s="723">
        <v>0</v>
      </c>
      <c r="G1920" s="723">
        <v>8</v>
      </c>
      <c r="H1920" s="724">
        <v>555.75798925940455</v>
      </c>
      <c r="I1920" s="724">
        <v>1667.2739677782138</v>
      </c>
      <c r="J1920" s="724">
        <v>0</v>
      </c>
      <c r="K1920" s="724">
        <v>0</v>
      </c>
      <c r="L1920" s="724">
        <v>2223.0319570376182</v>
      </c>
    </row>
    <row r="1921" spans="1:12">
      <c r="A1921" s="722" t="s">
        <v>249</v>
      </c>
      <c r="B1921" s="722">
        <v>323</v>
      </c>
      <c r="C1921" s="723">
        <v>1</v>
      </c>
      <c r="D1921" s="723">
        <v>0</v>
      </c>
      <c r="E1921" s="723">
        <v>0</v>
      </c>
      <c r="F1921" s="723">
        <v>0</v>
      </c>
      <c r="G1921" s="723">
        <v>1</v>
      </c>
      <c r="H1921" s="724">
        <v>277.87899462970228</v>
      </c>
      <c r="I1921" s="724">
        <v>0</v>
      </c>
      <c r="J1921" s="724">
        <v>0</v>
      </c>
      <c r="K1921" s="724">
        <v>0</v>
      </c>
      <c r="L1921" s="724">
        <v>277.87899462970228</v>
      </c>
    </row>
    <row r="1922" spans="1:12">
      <c r="A1922" s="722" t="s">
        <v>249</v>
      </c>
      <c r="B1922" s="722">
        <v>324</v>
      </c>
      <c r="C1922" s="723">
        <v>4</v>
      </c>
      <c r="D1922" s="723">
        <v>0</v>
      </c>
      <c r="E1922" s="723">
        <v>0</v>
      </c>
      <c r="F1922" s="723">
        <v>0</v>
      </c>
      <c r="G1922" s="723">
        <v>4</v>
      </c>
      <c r="H1922" s="724">
        <v>1111.5159785188091</v>
      </c>
      <c r="I1922" s="724">
        <v>0</v>
      </c>
      <c r="J1922" s="724">
        <v>0</v>
      </c>
      <c r="K1922" s="724">
        <v>0</v>
      </c>
      <c r="L1922" s="724">
        <v>1111.5159785188091</v>
      </c>
    </row>
    <row r="1923" spans="1:12">
      <c r="A1923" s="722" t="s">
        <v>249</v>
      </c>
      <c r="B1923" s="722">
        <v>330</v>
      </c>
      <c r="C1923" s="723">
        <v>72</v>
      </c>
      <c r="D1923" s="723">
        <v>17</v>
      </c>
      <c r="E1923" s="723">
        <v>0</v>
      </c>
      <c r="F1923" s="723">
        <v>0</v>
      </c>
      <c r="G1923" s="723">
        <v>89</v>
      </c>
      <c r="H1923" s="724">
        <v>20007.287613338562</v>
      </c>
      <c r="I1923" s="724">
        <v>4723.9429087049384</v>
      </c>
      <c r="J1923" s="724">
        <v>0</v>
      </c>
      <c r="K1923" s="724">
        <v>0</v>
      </c>
      <c r="L1923" s="724">
        <v>24731.230522043501</v>
      </c>
    </row>
    <row r="1924" spans="1:12">
      <c r="A1924" s="722" t="s">
        <v>249</v>
      </c>
      <c r="B1924" s="722">
        <v>340</v>
      </c>
      <c r="C1924" s="723">
        <v>6</v>
      </c>
      <c r="D1924" s="723">
        <v>4</v>
      </c>
      <c r="E1924" s="723">
        <v>0</v>
      </c>
      <c r="F1924" s="723">
        <v>0</v>
      </c>
      <c r="G1924" s="723">
        <v>10</v>
      </c>
      <c r="H1924" s="724">
        <v>1667.2739677782133</v>
      </c>
      <c r="I1924" s="724">
        <v>1111.5159785188091</v>
      </c>
      <c r="J1924" s="724">
        <v>0</v>
      </c>
      <c r="K1924" s="724">
        <v>0</v>
      </c>
      <c r="L1924" s="724">
        <v>2778.7899462970227</v>
      </c>
    </row>
    <row r="1925" spans="1:12">
      <c r="A1925" s="722" t="s">
        <v>249</v>
      </c>
      <c r="B1925" s="722">
        <v>361</v>
      </c>
      <c r="C1925" s="723">
        <v>6</v>
      </c>
      <c r="D1925" s="723">
        <v>0</v>
      </c>
      <c r="E1925" s="723">
        <v>0</v>
      </c>
      <c r="F1925" s="723">
        <v>0</v>
      </c>
      <c r="G1925" s="723">
        <v>6</v>
      </c>
      <c r="H1925" s="724">
        <v>1667.2739677782135</v>
      </c>
      <c r="I1925" s="724">
        <v>0</v>
      </c>
      <c r="J1925" s="724">
        <v>0</v>
      </c>
      <c r="K1925" s="724">
        <v>0</v>
      </c>
      <c r="L1925" s="724">
        <v>1667.2739677782135</v>
      </c>
    </row>
    <row r="1926" spans="1:12">
      <c r="A1926" s="722" t="s">
        <v>249</v>
      </c>
      <c r="B1926" s="722">
        <v>370</v>
      </c>
      <c r="C1926" s="723">
        <v>6</v>
      </c>
      <c r="D1926" s="723">
        <v>8</v>
      </c>
      <c r="E1926" s="723">
        <v>0</v>
      </c>
      <c r="F1926" s="723">
        <v>0</v>
      </c>
      <c r="G1926" s="723">
        <v>14</v>
      </c>
      <c r="H1926" s="724">
        <v>1667.2739677782138</v>
      </c>
      <c r="I1926" s="724">
        <v>2223.0319570376182</v>
      </c>
      <c r="J1926" s="724">
        <v>0</v>
      </c>
      <c r="K1926" s="724">
        <v>0</v>
      </c>
      <c r="L1926" s="724">
        <v>3890.305924815832</v>
      </c>
    </row>
    <row r="1927" spans="1:12">
      <c r="A1927" s="722" t="s">
        <v>249</v>
      </c>
      <c r="B1927" s="722">
        <v>400</v>
      </c>
      <c r="C1927" s="723">
        <v>25</v>
      </c>
      <c r="D1927" s="723">
        <v>93</v>
      </c>
      <c r="E1927" s="723">
        <v>0</v>
      </c>
      <c r="F1927" s="723">
        <v>0</v>
      </c>
      <c r="G1927" s="723">
        <v>118</v>
      </c>
      <c r="H1927" s="724">
        <v>6946.9748657425562</v>
      </c>
      <c r="I1927" s="724">
        <v>25842.746500562313</v>
      </c>
      <c r="J1927" s="724">
        <v>0</v>
      </c>
      <c r="K1927" s="724">
        <v>0</v>
      </c>
      <c r="L1927" s="724">
        <v>32789.721366304868</v>
      </c>
    </row>
    <row r="1928" spans="1:12">
      <c r="A1928" s="722" t="s">
        <v>249</v>
      </c>
      <c r="B1928" s="722">
        <v>410</v>
      </c>
      <c r="C1928" s="723">
        <v>6997</v>
      </c>
      <c r="D1928" s="723">
        <v>1143</v>
      </c>
      <c r="E1928" s="723">
        <v>0</v>
      </c>
      <c r="F1928" s="723">
        <v>0</v>
      </c>
      <c r="G1928" s="723">
        <v>8140</v>
      </c>
      <c r="H1928" s="724">
        <v>1944319.3254240265</v>
      </c>
      <c r="I1928" s="724">
        <v>317615.69086174964</v>
      </c>
      <c r="J1928" s="724">
        <v>0</v>
      </c>
      <c r="K1928" s="724">
        <v>0</v>
      </c>
      <c r="L1928" s="724">
        <v>2261935.0162857762</v>
      </c>
    </row>
    <row r="1929" spans="1:12">
      <c r="A1929" s="722" t="s">
        <v>249</v>
      </c>
      <c r="B1929" s="722">
        <v>420</v>
      </c>
      <c r="C1929" s="723">
        <v>8</v>
      </c>
      <c r="D1929" s="723">
        <v>1</v>
      </c>
      <c r="E1929" s="723">
        <v>0</v>
      </c>
      <c r="F1929" s="723">
        <v>0</v>
      </c>
      <c r="G1929" s="723">
        <v>9</v>
      </c>
      <c r="H1929" s="724">
        <v>2223.0319570376178</v>
      </c>
      <c r="I1929" s="724">
        <v>277.87899462970222</v>
      </c>
      <c r="J1929" s="724">
        <v>0</v>
      </c>
      <c r="K1929" s="724">
        <v>0</v>
      </c>
      <c r="L1929" s="724">
        <v>2500.9109516673202</v>
      </c>
    </row>
    <row r="1930" spans="1:12">
      <c r="A1930" s="722" t="s">
        <v>249</v>
      </c>
      <c r="B1930" s="722">
        <v>430</v>
      </c>
      <c r="C1930" s="723">
        <v>6</v>
      </c>
      <c r="D1930" s="723">
        <v>14</v>
      </c>
      <c r="E1930" s="723">
        <v>0</v>
      </c>
      <c r="F1930" s="723">
        <v>0</v>
      </c>
      <c r="G1930" s="723">
        <v>20</v>
      </c>
      <c r="H1930" s="724">
        <v>1667.2739677782133</v>
      </c>
      <c r="I1930" s="724">
        <v>3890.3059248158315</v>
      </c>
      <c r="J1930" s="724">
        <v>0</v>
      </c>
      <c r="K1930" s="724">
        <v>0</v>
      </c>
      <c r="L1930" s="724">
        <v>5557.5798925940453</v>
      </c>
    </row>
    <row r="1931" spans="1:12">
      <c r="A1931" s="722" t="s">
        <v>249</v>
      </c>
      <c r="B1931" s="722">
        <v>501</v>
      </c>
      <c r="C1931" s="723">
        <v>1</v>
      </c>
      <c r="D1931" s="723">
        <v>3</v>
      </c>
      <c r="E1931" s="723">
        <v>0</v>
      </c>
      <c r="F1931" s="723">
        <v>0</v>
      </c>
      <c r="G1931" s="723">
        <v>4</v>
      </c>
      <c r="H1931" s="724">
        <v>277.87899462970228</v>
      </c>
      <c r="I1931" s="724">
        <v>833.63698388910689</v>
      </c>
      <c r="J1931" s="724">
        <v>0</v>
      </c>
      <c r="K1931" s="724">
        <v>0</v>
      </c>
      <c r="L1931" s="724">
        <v>1111.5159785188091</v>
      </c>
    </row>
    <row r="1932" spans="1:12">
      <c r="A1932" s="722" t="s">
        <v>249</v>
      </c>
      <c r="B1932" s="722">
        <v>502</v>
      </c>
      <c r="C1932" s="723">
        <v>29</v>
      </c>
      <c r="D1932" s="723">
        <v>18</v>
      </c>
      <c r="E1932" s="723">
        <v>0</v>
      </c>
      <c r="F1932" s="723">
        <v>0</v>
      </c>
      <c r="G1932" s="723">
        <v>47</v>
      </c>
      <c r="H1932" s="724">
        <v>8058.4908442613669</v>
      </c>
      <c r="I1932" s="724">
        <v>5001.8219033346413</v>
      </c>
      <c r="J1932" s="724">
        <v>0</v>
      </c>
      <c r="K1932" s="724">
        <v>0</v>
      </c>
      <c r="L1932" s="724">
        <v>13060.312747596008</v>
      </c>
    </row>
    <row r="1933" spans="1:12">
      <c r="A1933" s="722" t="s">
        <v>249</v>
      </c>
      <c r="B1933" s="722">
        <v>503</v>
      </c>
      <c r="C1933" s="723">
        <v>4</v>
      </c>
      <c r="D1933" s="723">
        <v>1</v>
      </c>
      <c r="E1933" s="723">
        <v>0</v>
      </c>
      <c r="F1933" s="723">
        <v>0</v>
      </c>
      <c r="G1933" s="723">
        <v>5</v>
      </c>
      <c r="H1933" s="724">
        <v>1111.5159785188091</v>
      </c>
      <c r="I1933" s="724">
        <v>277.87899462970228</v>
      </c>
      <c r="J1933" s="724">
        <v>0</v>
      </c>
      <c r="K1933" s="724">
        <v>0</v>
      </c>
      <c r="L1933" s="724">
        <v>1389.3949731485113</v>
      </c>
    </row>
    <row r="1934" spans="1:12">
      <c r="A1934" s="722" t="s">
        <v>249</v>
      </c>
      <c r="B1934" s="722">
        <v>560</v>
      </c>
      <c r="C1934" s="723">
        <v>1</v>
      </c>
      <c r="D1934" s="723">
        <v>1</v>
      </c>
      <c r="E1934" s="723">
        <v>0</v>
      </c>
      <c r="F1934" s="723">
        <v>0</v>
      </c>
      <c r="G1934" s="723">
        <v>2</v>
      </c>
      <c r="H1934" s="724">
        <v>277.87899462970228</v>
      </c>
      <c r="I1934" s="724">
        <v>277.87899462970228</v>
      </c>
      <c r="J1934" s="724">
        <v>0</v>
      </c>
      <c r="K1934" s="724">
        <v>0</v>
      </c>
      <c r="L1934" s="724">
        <v>555.75798925940455</v>
      </c>
    </row>
    <row r="1935" spans="1:12">
      <c r="A1935" s="722" t="s">
        <v>249</v>
      </c>
      <c r="B1935" s="722">
        <v>650</v>
      </c>
      <c r="C1935" s="723">
        <v>90</v>
      </c>
      <c r="D1935" s="723">
        <v>8</v>
      </c>
      <c r="E1935" s="723">
        <v>0</v>
      </c>
      <c r="F1935" s="723">
        <v>0</v>
      </c>
      <c r="G1935" s="723">
        <v>98</v>
      </c>
      <c r="H1935" s="724">
        <v>25009.109516673205</v>
      </c>
      <c r="I1935" s="724">
        <v>2223.0319570376182</v>
      </c>
      <c r="J1935" s="724">
        <v>0</v>
      </c>
      <c r="K1935" s="724">
        <v>0</v>
      </c>
      <c r="L1935" s="724">
        <v>27232.141473710821</v>
      </c>
    </row>
    <row r="1936" spans="1:12">
      <c r="A1936" s="722" t="s">
        <v>249</v>
      </c>
      <c r="B1936" s="722">
        <v>651</v>
      </c>
      <c r="C1936" s="723">
        <v>13</v>
      </c>
      <c r="D1936" s="723">
        <v>7</v>
      </c>
      <c r="E1936" s="723">
        <v>0</v>
      </c>
      <c r="F1936" s="723">
        <v>0</v>
      </c>
      <c r="G1936" s="723">
        <v>20</v>
      </c>
      <c r="H1936" s="724">
        <v>3612.4269301861291</v>
      </c>
      <c r="I1936" s="724">
        <v>1945.1529624079158</v>
      </c>
      <c r="J1936" s="724">
        <v>0</v>
      </c>
      <c r="K1936" s="724">
        <v>0</v>
      </c>
      <c r="L1936" s="724">
        <v>5557.5798925940453</v>
      </c>
    </row>
    <row r="1937" spans="1:12">
      <c r="A1937" s="722" t="s">
        <v>249</v>
      </c>
      <c r="B1937" s="722">
        <v>653</v>
      </c>
      <c r="C1937" s="723">
        <v>154</v>
      </c>
      <c r="D1937" s="723">
        <v>3</v>
      </c>
      <c r="E1937" s="723">
        <v>0</v>
      </c>
      <c r="F1937" s="723">
        <v>0</v>
      </c>
      <c r="G1937" s="723">
        <v>157</v>
      </c>
      <c r="H1937" s="724">
        <v>42793.365172974154</v>
      </c>
      <c r="I1937" s="724">
        <v>833.63698388910689</v>
      </c>
      <c r="J1937" s="724">
        <v>0</v>
      </c>
      <c r="K1937" s="724">
        <v>0</v>
      </c>
      <c r="L1937" s="724">
        <v>43627.002156863258</v>
      </c>
    </row>
    <row r="1938" spans="1:12">
      <c r="A1938" s="722" t="s">
        <v>249</v>
      </c>
      <c r="B1938" s="722">
        <v>654</v>
      </c>
      <c r="C1938" s="723">
        <v>0</v>
      </c>
      <c r="D1938" s="723">
        <v>1</v>
      </c>
      <c r="E1938" s="723">
        <v>0</v>
      </c>
      <c r="F1938" s="723">
        <v>0</v>
      </c>
      <c r="G1938" s="723">
        <v>1</v>
      </c>
      <c r="H1938" s="724">
        <v>0</v>
      </c>
      <c r="I1938" s="724">
        <v>277.87899462970228</v>
      </c>
      <c r="J1938" s="724">
        <v>0</v>
      </c>
      <c r="K1938" s="724">
        <v>0</v>
      </c>
      <c r="L1938" s="724">
        <v>277.87899462970228</v>
      </c>
    </row>
    <row r="1939" spans="1:12">
      <c r="A1939" s="722" t="s">
        <v>249</v>
      </c>
      <c r="B1939" s="722">
        <v>800</v>
      </c>
      <c r="C1939" s="723">
        <v>8</v>
      </c>
      <c r="D1939" s="723">
        <v>12</v>
      </c>
      <c r="E1939" s="723">
        <v>0</v>
      </c>
      <c r="F1939" s="723">
        <v>0</v>
      </c>
      <c r="G1939" s="723">
        <v>20</v>
      </c>
      <c r="H1939" s="724">
        <v>2223.0319570376182</v>
      </c>
      <c r="I1939" s="724">
        <v>3334.5479355564266</v>
      </c>
      <c r="J1939" s="724">
        <v>0</v>
      </c>
      <c r="K1939" s="724">
        <v>0</v>
      </c>
      <c r="L1939" s="724">
        <v>5557.5798925940453</v>
      </c>
    </row>
    <row r="1940" spans="1:12">
      <c r="A1940" s="722" t="s">
        <v>249</v>
      </c>
      <c r="B1940" s="722">
        <v>811</v>
      </c>
      <c r="C1940" s="723">
        <v>6</v>
      </c>
      <c r="D1940" s="723">
        <v>59</v>
      </c>
      <c r="E1940" s="723">
        <v>0</v>
      </c>
      <c r="F1940" s="723">
        <v>0</v>
      </c>
      <c r="G1940" s="723">
        <v>65</v>
      </c>
      <c r="H1940" s="724">
        <v>1667.273967778214</v>
      </c>
      <c r="I1940" s="724">
        <v>16394.860683152434</v>
      </c>
      <c r="J1940" s="724">
        <v>0</v>
      </c>
      <c r="K1940" s="724">
        <v>0</v>
      </c>
      <c r="L1940" s="724">
        <v>18062.13465093065</v>
      </c>
    </row>
    <row r="1941" spans="1:12">
      <c r="A1941" s="722" t="s">
        <v>249</v>
      </c>
      <c r="B1941" s="722">
        <v>812</v>
      </c>
      <c r="C1941" s="723">
        <v>322</v>
      </c>
      <c r="D1941" s="723">
        <v>54</v>
      </c>
      <c r="E1941" s="723">
        <v>0</v>
      </c>
      <c r="F1941" s="723">
        <v>0</v>
      </c>
      <c r="G1941" s="723">
        <v>376</v>
      </c>
      <c r="H1941" s="724">
        <v>89477.036270764147</v>
      </c>
      <c r="I1941" s="724">
        <v>15005.465710003924</v>
      </c>
      <c r="J1941" s="724">
        <v>0</v>
      </c>
      <c r="K1941" s="724">
        <v>0</v>
      </c>
      <c r="L1941" s="724">
        <v>104482.50198076807</v>
      </c>
    </row>
    <row r="1942" spans="1:12">
      <c r="A1942" s="722" t="s">
        <v>250</v>
      </c>
      <c r="B1942" s="722">
        <v>120</v>
      </c>
      <c r="C1942" s="723">
        <v>1</v>
      </c>
      <c r="D1942" s="723">
        <v>1</v>
      </c>
      <c r="E1942" s="723">
        <v>0</v>
      </c>
      <c r="F1942" s="723">
        <v>0</v>
      </c>
      <c r="G1942" s="723">
        <v>2</v>
      </c>
      <c r="H1942" s="724">
        <v>65.584167411578832</v>
      </c>
      <c r="I1942" s="724">
        <v>65.584167411578832</v>
      </c>
      <c r="J1942" s="724">
        <v>0</v>
      </c>
      <c r="K1942" s="724">
        <v>0</v>
      </c>
      <c r="L1942" s="724">
        <v>131.16833482315766</v>
      </c>
    </row>
    <row r="1943" spans="1:12">
      <c r="A1943" s="722" t="s">
        <v>250</v>
      </c>
      <c r="B1943" s="722">
        <v>144</v>
      </c>
      <c r="C1943" s="723">
        <v>2</v>
      </c>
      <c r="D1943" s="723">
        <v>0</v>
      </c>
      <c r="E1943" s="723">
        <v>0</v>
      </c>
      <c r="F1943" s="723">
        <v>0</v>
      </c>
      <c r="G1943" s="723">
        <v>2</v>
      </c>
      <c r="H1943" s="724">
        <v>131.16833482315766</v>
      </c>
      <c r="I1943" s="724">
        <v>0</v>
      </c>
      <c r="J1943" s="724">
        <v>0</v>
      </c>
      <c r="K1943" s="724">
        <v>0</v>
      </c>
      <c r="L1943" s="724">
        <v>131.16833482315766</v>
      </c>
    </row>
    <row r="1944" spans="1:12">
      <c r="A1944" s="722" t="s">
        <v>250</v>
      </c>
      <c r="B1944" s="722">
        <v>330</v>
      </c>
      <c r="C1944" s="723">
        <v>1</v>
      </c>
      <c r="D1944" s="723">
        <v>0</v>
      </c>
      <c r="E1944" s="723">
        <v>0</v>
      </c>
      <c r="F1944" s="723">
        <v>0</v>
      </c>
      <c r="G1944" s="723">
        <v>1</v>
      </c>
      <c r="H1944" s="724">
        <v>65.584167411578832</v>
      </c>
      <c r="I1944" s="724">
        <v>0</v>
      </c>
      <c r="J1944" s="724">
        <v>0</v>
      </c>
      <c r="K1944" s="724">
        <v>0</v>
      </c>
      <c r="L1944" s="724">
        <v>65.584167411578832</v>
      </c>
    </row>
    <row r="1945" spans="1:12">
      <c r="A1945" s="722" t="s">
        <v>250</v>
      </c>
      <c r="B1945" s="722">
        <v>370</v>
      </c>
      <c r="C1945" s="723">
        <v>1</v>
      </c>
      <c r="D1945" s="723">
        <v>0</v>
      </c>
      <c r="E1945" s="723">
        <v>0</v>
      </c>
      <c r="F1945" s="723">
        <v>0</v>
      </c>
      <c r="G1945" s="723">
        <v>1</v>
      </c>
      <c r="H1945" s="724">
        <v>65.584167411578832</v>
      </c>
      <c r="I1945" s="724">
        <v>0</v>
      </c>
      <c r="J1945" s="724">
        <v>0</v>
      </c>
      <c r="K1945" s="724">
        <v>0</v>
      </c>
      <c r="L1945" s="724">
        <v>65.584167411578832</v>
      </c>
    </row>
    <row r="1946" spans="1:12">
      <c r="A1946" s="722" t="s">
        <v>251</v>
      </c>
      <c r="B1946" s="722">
        <v>101</v>
      </c>
      <c r="C1946" s="723">
        <v>0</v>
      </c>
      <c r="D1946" s="723">
        <v>3</v>
      </c>
      <c r="E1946" s="723">
        <v>0</v>
      </c>
      <c r="F1946" s="723">
        <v>0</v>
      </c>
      <c r="G1946" s="723">
        <v>3</v>
      </c>
      <c r="H1946" s="724">
        <v>0</v>
      </c>
      <c r="I1946" s="724">
        <v>1286.8728499525428</v>
      </c>
      <c r="J1946" s="724">
        <v>0</v>
      </c>
      <c r="K1946" s="724">
        <v>0</v>
      </c>
      <c r="L1946" s="724">
        <v>1286.8728499525428</v>
      </c>
    </row>
    <row r="1947" spans="1:12">
      <c r="A1947" s="722" t="s">
        <v>251</v>
      </c>
      <c r="B1947" s="722">
        <v>110</v>
      </c>
      <c r="C1947" s="723">
        <v>0</v>
      </c>
      <c r="D1947" s="723">
        <v>1</v>
      </c>
      <c r="E1947" s="723">
        <v>0</v>
      </c>
      <c r="F1947" s="723">
        <v>0</v>
      </c>
      <c r="G1947" s="723">
        <v>1</v>
      </c>
      <c r="H1947" s="724">
        <v>0</v>
      </c>
      <c r="I1947" s="724">
        <v>428.95761665084763</v>
      </c>
      <c r="J1947" s="724">
        <v>0</v>
      </c>
      <c r="K1947" s="724">
        <v>0</v>
      </c>
      <c r="L1947" s="724">
        <v>428.95761665084763</v>
      </c>
    </row>
    <row r="1948" spans="1:12">
      <c r="A1948" s="722" t="s">
        <v>251</v>
      </c>
      <c r="B1948" s="722">
        <v>120</v>
      </c>
      <c r="C1948" s="723">
        <v>5</v>
      </c>
      <c r="D1948" s="723">
        <v>10</v>
      </c>
      <c r="E1948" s="723">
        <v>0</v>
      </c>
      <c r="F1948" s="723">
        <v>0</v>
      </c>
      <c r="G1948" s="723">
        <v>15</v>
      </c>
      <c r="H1948" s="724">
        <v>2144.7880832542382</v>
      </c>
      <c r="I1948" s="724">
        <v>4289.5761665084765</v>
      </c>
      <c r="J1948" s="724">
        <v>0</v>
      </c>
      <c r="K1948" s="724">
        <v>0</v>
      </c>
      <c r="L1948" s="724">
        <v>6434.3642497627143</v>
      </c>
    </row>
    <row r="1949" spans="1:12">
      <c r="A1949" s="722" t="s">
        <v>251</v>
      </c>
      <c r="B1949" s="722">
        <v>144</v>
      </c>
      <c r="C1949" s="723">
        <v>1</v>
      </c>
      <c r="D1949" s="723">
        <v>0</v>
      </c>
      <c r="E1949" s="723">
        <v>0</v>
      </c>
      <c r="F1949" s="723">
        <v>0</v>
      </c>
      <c r="G1949" s="723">
        <v>1</v>
      </c>
      <c r="H1949" s="724">
        <v>428.95761665084763</v>
      </c>
      <c r="I1949" s="724">
        <v>0</v>
      </c>
      <c r="J1949" s="724">
        <v>0</v>
      </c>
      <c r="K1949" s="724">
        <v>0</v>
      </c>
      <c r="L1949" s="724">
        <v>428.95761665084763</v>
      </c>
    </row>
    <row r="1950" spans="1:12">
      <c r="A1950" s="722" t="s">
        <v>251</v>
      </c>
      <c r="B1950" s="722">
        <v>300</v>
      </c>
      <c r="C1950" s="723">
        <v>0</v>
      </c>
      <c r="D1950" s="723">
        <v>1</v>
      </c>
      <c r="E1950" s="723">
        <v>0</v>
      </c>
      <c r="F1950" s="723">
        <v>0</v>
      </c>
      <c r="G1950" s="723">
        <v>1</v>
      </c>
      <c r="H1950" s="724">
        <v>0</v>
      </c>
      <c r="I1950" s="724">
        <v>428.95761665084763</v>
      </c>
      <c r="J1950" s="724">
        <v>0</v>
      </c>
      <c r="K1950" s="724">
        <v>0</v>
      </c>
      <c r="L1950" s="724">
        <v>428.95761665084763</v>
      </c>
    </row>
    <row r="1951" spans="1:12">
      <c r="A1951" s="722" t="s">
        <v>251</v>
      </c>
      <c r="B1951" s="722">
        <v>303</v>
      </c>
      <c r="C1951" s="723">
        <v>1</v>
      </c>
      <c r="D1951" s="723">
        <v>1</v>
      </c>
      <c r="E1951" s="723">
        <v>0</v>
      </c>
      <c r="F1951" s="723">
        <v>0</v>
      </c>
      <c r="G1951" s="723">
        <v>2</v>
      </c>
      <c r="H1951" s="724">
        <v>428.95761665084763</v>
      </c>
      <c r="I1951" s="724">
        <v>428.95761665084763</v>
      </c>
      <c r="J1951" s="724">
        <v>0</v>
      </c>
      <c r="K1951" s="724">
        <v>0</v>
      </c>
      <c r="L1951" s="724">
        <v>857.91523330169525</v>
      </c>
    </row>
    <row r="1952" spans="1:12">
      <c r="A1952" s="722" t="s">
        <v>251</v>
      </c>
      <c r="B1952" s="722">
        <v>307</v>
      </c>
      <c r="C1952" s="723">
        <v>5</v>
      </c>
      <c r="D1952" s="723">
        <v>1</v>
      </c>
      <c r="E1952" s="723">
        <v>0</v>
      </c>
      <c r="F1952" s="723">
        <v>0</v>
      </c>
      <c r="G1952" s="723">
        <v>6</v>
      </c>
      <c r="H1952" s="724">
        <v>2144.7880832542378</v>
      </c>
      <c r="I1952" s="724">
        <v>428.95761665084757</v>
      </c>
      <c r="J1952" s="724">
        <v>0</v>
      </c>
      <c r="K1952" s="724">
        <v>0</v>
      </c>
      <c r="L1952" s="724">
        <v>2573.7456999050855</v>
      </c>
    </row>
    <row r="1953" spans="1:12">
      <c r="A1953" s="722" t="s">
        <v>251</v>
      </c>
      <c r="B1953" s="722">
        <v>340</v>
      </c>
      <c r="C1953" s="723">
        <v>1</v>
      </c>
      <c r="D1953" s="723">
        <v>2</v>
      </c>
      <c r="E1953" s="723">
        <v>0</v>
      </c>
      <c r="F1953" s="723">
        <v>0</v>
      </c>
      <c r="G1953" s="723">
        <v>3</v>
      </c>
      <c r="H1953" s="724">
        <v>428.95761665084757</v>
      </c>
      <c r="I1953" s="724">
        <v>857.91523330169514</v>
      </c>
      <c r="J1953" s="724">
        <v>0</v>
      </c>
      <c r="K1953" s="724">
        <v>0</v>
      </c>
      <c r="L1953" s="724">
        <v>1286.8728499525428</v>
      </c>
    </row>
    <row r="1954" spans="1:12">
      <c r="A1954" s="722" t="s">
        <v>251</v>
      </c>
      <c r="B1954" s="722">
        <v>361</v>
      </c>
      <c r="C1954" s="723">
        <v>1</v>
      </c>
      <c r="D1954" s="723">
        <v>0</v>
      </c>
      <c r="E1954" s="723">
        <v>0</v>
      </c>
      <c r="F1954" s="723">
        <v>0</v>
      </c>
      <c r="G1954" s="723">
        <v>1</v>
      </c>
      <c r="H1954" s="724">
        <v>428.95761665084763</v>
      </c>
      <c r="I1954" s="724">
        <v>0</v>
      </c>
      <c r="J1954" s="724">
        <v>0</v>
      </c>
      <c r="K1954" s="724">
        <v>0</v>
      </c>
      <c r="L1954" s="724">
        <v>428.95761665084763</v>
      </c>
    </row>
    <row r="1955" spans="1:12">
      <c r="A1955" s="722" t="s">
        <v>251</v>
      </c>
      <c r="B1955" s="722">
        <v>420</v>
      </c>
      <c r="C1955" s="723">
        <v>2</v>
      </c>
      <c r="D1955" s="723">
        <v>0</v>
      </c>
      <c r="E1955" s="723">
        <v>0</v>
      </c>
      <c r="F1955" s="723">
        <v>0</v>
      </c>
      <c r="G1955" s="723">
        <v>2</v>
      </c>
      <c r="H1955" s="724">
        <v>857.91523330169525</v>
      </c>
      <c r="I1955" s="724">
        <v>0</v>
      </c>
      <c r="J1955" s="724">
        <v>0</v>
      </c>
      <c r="K1955" s="724">
        <v>0</v>
      </c>
      <c r="L1955" s="724">
        <v>857.91523330169525</v>
      </c>
    </row>
    <row r="1956" spans="1:12">
      <c r="A1956" s="722" t="s">
        <v>251</v>
      </c>
      <c r="B1956" s="722">
        <v>430</v>
      </c>
      <c r="C1956" s="723">
        <v>0</v>
      </c>
      <c r="D1956" s="723">
        <v>1</v>
      </c>
      <c r="E1956" s="723">
        <v>0</v>
      </c>
      <c r="F1956" s="723">
        <v>0</v>
      </c>
      <c r="G1956" s="723">
        <v>1</v>
      </c>
      <c r="H1956" s="724">
        <v>0</v>
      </c>
      <c r="I1956" s="724">
        <v>428.95761665084763</v>
      </c>
      <c r="J1956" s="724">
        <v>0</v>
      </c>
      <c r="K1956" s="724">
        <v>0</v>
      </c>
      <c r="L1956" s="724">
        <v>428.95761665084763</v>
      </c>
    </row>
    <row r="1957" spans="1:12">
      <c r="A1957" s="722" t="s">
        <v>251</v>
      </c>
      <c r="B1957" s="722">
        <v>501</v>
      </c>
      <c r="C1957" s="723">
        <v>3</v>
      </c>
      <c r="D1957" s="723">
        <v>0</v>
      </c>
      <c r="E1957" s="723">
        <v>0</v>
      </c>
      <c r="F1957" s="723">
        <v>0</v>
      </c>
      <c r="G1957" s="723">
        <v>3</v>
      </c>
      <c r="H1957" s="724">
        <v>1286.8728499525428</v>
      </c>
      <c r="I1957" s="724">
        <v>0</v>
      </c>
      <c r="J1957" s="724">
        <v>0</v>
      </c>
      <c r="K1957" s="724">
        <v>0</v>
      </c>
      <c r="L1957" s="724">
        <v>1286.8728499525428</v>
      </c>
    </row>
    <row r="1958" spans="1:12">
      <c r="A1958" s="722" t="s">
        <v>251</v>
      </c>
      <c r="B1958" s="722">
        <v>502</v>
      </c>
      <c r="C1958" s="723">
        <v>1</v>
      </c>
      <c r="D1958" s="723">
        <v>1</v>
      </c>
      <c r="E1958" s="723">
        <v>0</v>
      </c>
      <c r="F1958" s="723">
        <v>0</v>
      </c>
      <c r="G1958" s="723">
        <v>2</v>
      </c>
      <c r="H1958" s="724">
        <v>428.95761665084763</v>
      </c>
      <c r="I1958" s="724">
        <v>428.95761665084763</v>
      </c>
      <c r="J1958" s="724">
        <v>0</v>
      </c>
      <c r="K1958" s="724">
        <v>0</v>
      </c>
      <c r="L1958" s="724">
        <v>857.91523330169525</v>
      </c>
    </row>
    <row r="1959" spans="1:12">
      <c r="A1959" s="722" t="s">
        <v>251</v>
      </c>
      <c r="B1959" s="722">
        <v>560</v>
      </c>
      <c r="C1959" s="723">
        <v>1</v>
      </c>
      <c r="D1959" s="723">
        <v>0</v>
      </c>
      <c r="E1959" s="723">
        <v>0</v>
      </c>
      <c r="F1959" s="723">
        <v>0</v>
      </c>
      <c r="G1959" s="723">
        <v>1</v>
      </c>
      <c r="H1959" s="724">
        <v>428.95761665084763</v>
      </c>
      <c r="I1959" s="724">
        <v>0</v>
      </c>
      <c r="J1959" s="724">
        <v>0</v>
      </c>
      <c r="K1959" s="724">
        <v>0</v>
      </c>
      <c r="L1959" s="724">
        <v>428.95761665084763</v>
      </c>
    </row>
    <row r="1960" spans="1:12">
      <c r="A1960" s="722" t="s">
        <v>252</v>
      </c>
      <c r="B1960" s="722">
        <v>101</v>
      </c>
      <c r="C1960" s="723">
        <v>0</v>
      </c>
      <c r="D1960" s="723">
        <v>1</v>
      </c>
      <c r="E1960" s="723">
        <v>0</v>
      </c>
      <c r="F1960" s="723">
        <v>0</v>
      </c>
      <c r="G1960" s="723">
        <v>1</v>
      </c>
      <c r="H1960" s="724">
        <v>0</v>
      </c>
      <c r="I1960" s="724">
        <v>2718.6919203452499</v>
      </c>
      <c r="J1960" s="724">
        <v>0</v>
      </c>
      <c r="K1960" s="724">
        <v>0</v>
      </c>
      <c r="L1960" s="724">
        <v>2718.6919203452499</v>
      </c>
    </row>
    <row r="1961" spans="1:12">
      <c r="A1961" s="722" t="s">
        <v>252</v>
      </c>
      <c r="B1961" s="722">
        <v>110</v>
      </c>
      <c r="C1961" s="723">
        <v>1</v>
      </c>
      <c r="D1961" s="723">
        <v>2</v>
      </c>
      <c r="E1961" s="723">
        <v>0</v>
      </c>
      <c r="F1961" s="723">
        <v>0</v>
      </c>
      <c r="G1961" s="723">
        <v>3</v>
      </c>
      <c r="H1961" s="724">
        <v>2718.6919203452499</v>
      </c>
      <c r="I1961" s="724">
        <v>5437.3838406904997</v>
      </c>
      <c r="J1961" s="724">
        <v>0</v>
      </c>
      <c r="K1961" s="724">
        <v>0</v>
      </c>
      <c r="L1961" s="724">
        <v>8156.0757610357496</v>
      </c>
    </row>
    <row r="1962" spans="1:12">
      <c r="A1962" s="722" t="s">
        <v>252</v>
      </c>
      <c r="B1962" s="722">
        <v>303</v>
      </c>
      <c r="C1962" s="723">
        <v>1</v>
      </c>
      <c r="D1962" s="723">
        <v>0</v>
      </c>
      <c r="E1962" s="723">
        <v>0</v>
      </c>
      <c r="F1962" s="723">
        <v>0</v>
      </c>
      <c r="G1962" s="723">
        <v>1</v>
      </c>
      <c r="H1962" s="724">
        <v>2718.6919203452499</v>
      </c>
      <c r="I1962" s="724">
        <v>0</v>
      </c>
      <c r="J1962" s="724">
        <v>0</v>
      </c>
      <c r="K1962" s="724">
        <v>0</v>
      </c>
      <c r="L1962" s="724">
        <v>2718.6919203452499</v>
      </c>
    </row>
    <row r="1963" spans="1:12">
      <c r="A1963" s="722" t="s">
        <v>252</v>
      </c>
      <c r="B1963" s="722">
        <v>410</v>
      </c>
      <c r="C1963" s="723">
        <v>1</v>
      </c>
      <c r="D1963" s="723">
        <v>0</v>
      </c>
      <c r="E1963" s="723">
        <v>0</v>
      </c>
      <c r="F1963" s="723">
        <v>0</v>
      </c>
      <c r="G1963" s="723">
        <v>1</v>
      </c>
      <c r="H1963" s="724">
        <v>2718.6919203452499</v>
      </c>
      <c r="I1963" s="724">
        <v>0</v>
      </c>
      <c r="J1963" s="724">
        <v>0</v>
      </c>
      <c r="K1963" s="724">
        <v>0</v>
      </c>
      <c r="L1963" s="724">
        <v>2718.6919203452499</v>
      </c>
    </row>
    <row r="1964" spans="1:12">
      <c r="A1964" s="722" t="s">
        <v>252</v>
      </c>
      <c r="B1964" s="722">
        <v>501</v>
      </c>
      <c r="C1964" s="723">
        <v>0</v>
      </c>
      <c r="D1964" s="723">
        <v>1</v>
      </c>
      <c r="E1964" s="723">
        <v>0</v>
      </c>
      <c r="F1964" s="723">
        <v>0</v>
      </c>
      <c r="G1964" s="723">
        <v>1</v>
      </c>
      <c r="H1964" s="724">
        <v>0</v>
      </c>
      <c r="I1964" s="724">
        <v>2718.6919203452499</v>
      </c>
      <c r="J1964" s="724">
        <v>0</v>
      </c>
      <c r="K1964" s="724">
        <v>0</v>
      </c>
      <c r="L1964" s="724">
        <v>2718.6919203452499</v>
      </c>
    </row>
    <row r="1965" spans="1:12">
      <c r="A1965" s="722" t="s">
        <v>252</v>
      </c>
      <c r="B1965" s="722">
        <v>502</v>
      </c>
      <c r="C1965" s="723">
        <v>1</v>
      </c>
      <c r="D1965" s="723">
        <v>0</v>
      </c>
      <c r="E1965" s="723">
        <v>0</v>
      </c>
      <c r="F1965" s="723">
        <v>0</v>
      </c>
      <c r="G1965" s="723">
        <v>1</v>
      </c>
      <c r="H1965" s="724">
        <v>2718.6919203452499</v>
      </c>
      <c r="I1965" s="724">
        <v>0</v>
      </c>
      <c r="J1965" s="724">
        <v>0</v>
      </c>
      <c r="K1965" s="724">
        <v>0</v>
      </c>
      <c r="L1965" s="724">
        <v>2718.6919203452499</v>
      </c>
    </row>
    <row r="1966" spans="1:12">
      <c r="A1966" s="722" t="s">
        <v>253</v>
      </c>
      <c r="B1966" s="722">
        <v>100</v>
      </c>
      <c r="C1966" s="723">
        <v>0</v>
      </c>
      <c r="D1966" s="723">
        <v>1</v>
      </c>
      <c r="E1966" s="723">
        <v>0</v>
      </c>
      <c r="F1966" s="723">
        <v>0</v>
      </c>
      <c r="G1966" s="723">
        <v>1</v>
      </c>
      <c r="H1966" s="724">
        <v>0</v>
      </c>
      <c r="I1966" s="724">
        <v>108.24061600133919</v>
      </c>
      <c r="J1966" s="724">
        <v>0</v>
      </c>
      <c r="K1966" s="724">
        <v>0</v>
      </c>
      <c r="L1966" s="724">
        <v>108.24061600133919</v>
      </c>
    </row>
    <row r="1967" spans="1:12">
      <c r="A1967" s="722" t="s">
        <v>253</v>
      </c>
      <c r="B1967" s="722">
        <v>110</v>
      </c>
      <c r="C1967" s="723">
        <v>8</v>
      </c>
      <c r="D1967" s="723">
        <v>1</v>
      </c>
      <c r="E1967" s="723">
        <v>0</v>
      </c>
      <c r="F1967" s="723">
        <v>0</v>
      </c>
      <c r="G1967" s="723">
        <v>9</v>
      </c>
      <c r="H1967" s="724">
        <v>865.92492801071353</v>
      </c>
      <c r="I1967" s="724">
        <v>108.24061600133919</v>
      </c>
      <c r="J1967" s="724">
        <v>0</v>
      </c>
      <c r="K1967" s="724">
        <v>0</v>
      </c>
      <c r="L1967" s="724">
        <v>974.16554401205269</v>
      </c>
    </row>
    <row r="1968" spans="1:12">
      <c r="A1968" s="722" t="s">
        <v>253</v>
      </c>
      <c r="B1968" s="722">
        <v>120</v>
      </c>
      <c r="C1968" s="723">
        <v>0</v>
      </c>
      <c r="D1968" s="723">
        <v>1</v>
      </c>
      <c r="E1968" s="723">
        <v>0</v>
      </c>
      <c r="F1968" s="723">
        <v>0</v>
      </c>
      <c r="G1968" s="723">
        <v>1</v>
      </c>
      <c r="H1968" s="724">
        <v>0</v>
      </c>
      <c r="I1968" s="724">
        <v>108.24061600133919</v>
      </c>
      <c r="J1968" s="724">
        <v>0</v>
      </c>
      <c r="K1968" s="724">
        <v>0</v>
      </c>
      <c r="L1968" s="724">
        <v>108.24061600133919</v>
      </c>
    </row>
    <row r="1969" spans="1:12">
      <c r="A1969" s="722" t="s">
        <v>253</v>
      </c>
      <c r="B1969" s="722">
        <v>130</v>
      </c>
      <c r="C1969" s="723">
        <v>2</v>
      </c>
      <c r="D1969" s="723">
        <v>1</v>
      </c>
      <c r="E1969" s="723">
        <v>0</v>
      </c>
      <c r="F1969" s="723">
        <v>0</v>
      </c>
      <c r="G1969" s="723">
        <v>3</v>
      </c>
      <c r="H1969" s="724">
        <v>216.48123200267835</v>
      </c>
      <c r="I1969" s="724">
        <v>108.24061600133918</v>
      </c>
      <c r="J1969" s="724">
        <v>0</v>
      </c>
      <c r="K1969" s="724">
        <v>0</v>
      </c>
      <c r="L1969" s="724">
        <v>324.72184800401755</v>
      </c>
    </row>
    <row r="1970" spans="1:12">
      <c r="A1970" s="722" t="s">
        <v>253</v>
      </c>
      <c r="B1970" s="722">
        <v>150</v>
      </c>
      <c r="C1970" s="723">
        <v>2</v>
      </c>
      <c r="D1970" s="723">
        <v>0</v>
      </c>
      <c r="E1970" s="723">
        <v>0</v>
      </c>
      <c r="F1970" s="723">
        <v>0</v>
      </c>
      <c r="G1970" s="723">
        <v>2</v>
      </c>
      <c r="H1970" s="724">
        <v>216.48123200267838</v>
      </c>
      <c r="I1970" s="724">
        <v>0</v>
      </c>
      <c r="J1970" s="724">
        <v>0</v>
      </c>
      <c r="K1970" s="724">
        <v>0</v>
      </c>
      <c r="L1970" s="724">
        <v>216.48123200267838</v>
      </c>
    </row>
    <row r="1971" spans="1:12">
      <c r="A1971" s="722" t="s">
        <v>253</v>
      </c>
      <c r="B1971" s="722">
        <v>191</v>
      </c>
      <c r="C1971" s="723">
        <v>1</v>
      </c>
      <c r="D1971" s="723">
        <v>1</v>
      </c>
      <c r="E1971" s="723">
        <v>0</v>
      </c>
      <c r="F1971" s="723">
        <v>0</v>
      </c>
      <c r="G1971" s="723">
        <v>2</v>
      </c>
      <c r="H1971" s="724">
        <v>108.24061600133919</v>
      </c>
      <c r="I1971" s="724">
        <v>108.24061600133919</v>
      </c>
      <c r="J1971" s="724">
        <v>0</v>
      </c>
      <c r="K1971" s="724">
        <v>0</v>
      </c>
      <c r="L1971" s="724">
        <v>216.48123200267838</v>
      </c>
    </row>
    <row r="1972" spans="1:12">
      <c r="A1972" s="722" t="s">
        <v>253</v>
      </c>
      <c r="B1972" s="722">
        <v>262</v>
      </c>
      <c r="C1972" s="723">
        <v>1</v>
      </c>
      <c r="D1972" s="723">
        <v>0</v>
      </c>
      <c r="E1972" s="723">
        <v>0</v>
      </c>
      <c r="F1972" s="723">
        <v>0</v>
      </c>
      <c r="G1972" s="723">
        <v>1</v>
      </c>
      <c r="H1972" s="724">
        <v>108.24061600133919</v>
      </c>
      <c r="I1972" s="724">
        <v>0</v>
      </c>
      <c r="J1972" s="724">
        <v>0</v>
      </c>
      <c r="K1972" s="724">
        <v>0</v>
      </c>
      <c r="L1972" s="724">
        <v>108.24061600133919</v>
      </c>
    </row>
    <row r="1973" spans="1:12">
      <c r="A1973" s="722" t="s">
        <v>253</v>
      </c>
      <c r="B1973" s="722">
        <v>307</v>
      </c>
      <c r="C1973" s="723">
        <v>1</v>
      </c>
      <c r="D1973" s="723">
        <v>0</v>
      </c>
      <c r="E1973" s="723">
        <v>0</v>
      </c>
      <c r="F1973" s="723">
        <v>0</v>
      </c>
      <c r="G1973" s="723">
        <v>1</v>
      </c>
      <c r="H1973" s="724">
        <v>108.24061600133919</v>
      </c>
      <c r="I1973" s="724">
        <v>0</v>
      </c>
      <c r="J1973" s="724">
        <v>0</v>
      </c>
      <c r="K1973" s="724">
        <v>0</v>
      </c>
      <c r="L1973" s="724">
        <v>108.24061600133919</v>
      </c>
    </row>
    <row r="1974" spans="1:12">
      <c r="A1974" s="722" t="s">
        <v>253</v>
      </c>
      <c r="B1974" s="722">
        <v>330</v>
      </c>
      <c r="C1974" s="723">
        <v>9</v>
      </c>
      <c r="D1974" s="723">
        <v>5</v>
      </c>
      <c r="E1974" s="723">
        <v>0</v>
      </c>
      <c r="F1974" s="723">
        <v>0</v>
      </c>
      <c r="G1974" s="723">
        <v>14</v>
      </c>
      <c r="H1974" s="724">
        <v>974.16554401205281</v>
      </c>
      <c r="I1974" s="724">
        <v>541.20308000669604</v>
      </c>
      <c r="J1974" s="724">
        <v>0</v>
      </c>
      <c r="K1974" s="724">
        <v>0</v>
      </c>
      <c r="L1974" s="724">
        <v>1515.3686240187487</v>
      </c>
    </row>
    <row r="1975" spans="1:12">
      <c r="A1975" s="722" t="s">
        <v>253</v>
      </c>
      <c r="B1975" s="722">
        <v>340</v>
      </c>
      <c r="C1975" s="723">
        <v>0</v>
      </c>
      <c r="D1975" s="723">
        <v>1</v>
      </c>
      <c r="E1975" s="723">
        <v>0</v>
      </c>
      <c r="F1975" s="723">
        <v>0</v>
      </c>
      <c r="G1975" s="723">
        <v>1</v>
      </c>
      <c r="H1975" s="724">
        <v>0</v>
      </c>
      <c r="I1975" s="724">
        <v>108.24061600133919</v>
      </c>
      <c r="J1975" s="724">
        <v>0</v>
      </c>
      <c r="K1975" s="724">
        <v>0</v>
      </c>
      <c r="L1975" s="724">
        <v>108.24061600133919</v>
      </c>
    </row>
    <row r="1976" spans="1:12">
      <c r="A1976" s="722" t="s">
        <v>253</v>
      </c>
      <c r="B1976" s="722">
        <v>410</v>
      </c>
      <c r="C1976" s="723">
        <v>0</v>
      </c>
      <c r="D1976" s="723">
        <v>1</v>
      </c>
      <c r="E1976" s="723">
        <v>0</v>
      </c>
      <c r="F1976" s="723">
        <v>0</v>
      </c>
      <c r="G1976" s="723">
        <v>1</v>
      </c>
      <c r="H1976" s="724">
        <v>0</v>
      </c>
      <c r="I1976" s="724">
        <v>108.24061600133919</v>
      </c>
      <c r="J1976" s="724">
        <v>0</v>
      </c>
      <c r="K1976" s="724">
        <v>0</v>
      </c>
      <c r="L1976" s="724">
        <v>108.24061600133919</v>
      </c>
    </row>
    <row r="1977" spans="1:12">
      <c r="A1977" s="722" t="s">
        <v>253</v>
      </c>
      <c r="B1977" s="722">
        <v>420</v>
      </c>
      <c r="C1977" s="723">
        <v>1</v>
      </c>
      <c r="D1977" s="723">
        <v>0</v>
      </c>
      <c r="E1977" s="723">
        <v>0</v>
      </c>
      <c r="F1977" s="723">
        <v>0</v>
      </c>
      <c r="G1977" s="723">
        <v>1</v>
      </c>
      <c r="H1977" s="724">
        <v>108.24061600133919</v>
      </c>
      <c r="I1977" s="724">
        <v>0</v>
      </c>
      <c r="J1977" s="724">
        <v>0</v>
      </c>
      <c r="K1977" s="724">
        <v>0</v>
      </c>
      <c r="L1977" s="724">
        <v>108.24061600133919</v>
      </c>
    </row>
    <row r="1978" spans="1:12">
      <c r="A1978" s="722" t="s">
        <v>647</v>
      </c>
      <c r="B1978" s="722">
        <v>103</v>
      </c>
      <c r="C1978" s="723">
        <v>15</v>
      </c>
      <c r="D1978" s="723">
        <v>2</v>
      </c>
      <c r="E1978" s="723">
        <v>0</v>
      </c>
      <c r="F1978" s="723">
        <v>0</v>
      </c>
      <c r="G1978" s="723">
        <v>17</v>
      </c>
      <c r="H1978" s="724">
        <v>6123.8588968224758</v>
      </c>
      <c r="I1978" s="724">
        <v>816.51451957633014</v>
      </c>
      <c r="J1978" s="724">
        <v>0</v>
      </c>
      <c r="K1978" s="724">
        <v>0</v>
      </c>
      <c r="L1978" s="724">
        <v>6940.3734163988065</v>
      </c>
    </row>
    <row r="1979" spans="1:12">
      <c r="A1979" s="722" t="s">
        <v>647</v>
      </c>
      <c r="B1979" s="722">
        <v>110</v>
      </c>
      <c r="C1979" s="723">
        <v>8</v>
      </c>
      <c r="D1979" s="723">
        <v>3</v>
      </c>
      <c r="E1979" s="723">
        <v>0</v>
      </c>
      <c r="F1979" s="723">
        <v>0</v>
      </c>
      <c r="G1979" s="723">
        <v>11</v>
      </c>
      <c r="H1979" s="724">
        <v>3266.0580783053201</v>
      </c>
      <c r="I1979" s="724">
        <v>1224.7717793644952</v>
      </c>
      <c r="J1979" s="724">
        <v>0</v>
      </c>
      <c r="K1979" s="724">
        <v>0</v>
      </c>
      <c r="L1979" s="724">
        <v>4490.8298576698153</v>
      </c>
    </row>
    <row r="1980" spans="1:12">
      <c r="A1980" s="722" t="s">
        <v>647</v>
      </c>
      <c r="B1980" s="722">
        <v>120</v>
      </c>
      <c r="C1980" s="723">
        <v>5</v>
      </c>
      <c r="D1980" s="723">
        <v>55</v>
      </c>
      <c r="E1980" s="723">
        <v>0</v>
      </c>
      <c r="F1980" s="723">
        <v>0</v>
      </c>
      <c r="G1980" s="723">
        <v>60</v>
      </c>
      <c r="H1980" s="724">
        <v>2041.2862989408252</v>
      </c>
      <c r="I1980" s="724">
        <v>22454.149288349079</v>
      </c>
      <c r="J1980" s="724">
        <v>0</v>
      </c>
      <c r="K1980" s="724">
        <v>0</v>
      </c>
      <c r="L1980" s="724">
        <v>24495.435587289903</v>
      </c>
    </row>
    <row r="1981" spans="1:12">
      <c r="A1981" s="722" t="s">
        <v>647</v>
      </c>
      <c r="B1981" s="722">
        <v>150</v>
      </c>
      <c r="C1981" s="723">
        <v>1</v>
      </c>
      <c r="D1981" s="723">
        <v>0</v>
      </c>
      <c r="E1981" s="723">
        <v>0</v>
      </c>
      <c r="F1981" s="723">
        <v>0</v>
      </c>
      <c r="G1981" s="723">
        <v>1</v>
      </c>
      <c r="H1981" s="724">
        <v>408.25725978816507</v>
      </c>
      <c r="I1981" s="724">
        <v>0</v>
      </c>
      <c r="J1981" s="724">
        <v>0</v>
      </c>
      <c r="K1981" s="724">
        <v>0</v>
      </c>
      <c r="L1981" s="724">
        <v>408.25725978816507</v>
      </c>
    </row>
    <row r="1982" spans="1:12">
      <c r="A1982" s="722" t="s">
        <v>647</v>
      </c>
      <c r="B1982" s="722">
        <v>190</v>
      </c>
      <c r="C1982" s="723">
        <v>3</v>
      </c>
      <c r="D1982" s="723">
        <v>1</v>
      </c>
      <c r="E1982" s="723">
        <v>0</v>
      </c>
      <c r="F1982" s="723">
        <v>0</v>
      </c>
      <c r="G1982" s="723">
        <v>4</v>
      </c>
      <c r="H1982" s="724">
        <v>1224.7717793644952</v>
      </c>
      <c r="I1982" s="724">
        <v>408.25725978816507</v>
      </c>
      <c r="J1982" s="724">
        <v>0</v>
      </c>
      <c r="K1982" s="724">
        <v>0</v>
      </c>
      <c r="L1982" s="724">
        <v>1633.0290391526603</v>
      </c>
    </row>
    <row r="1983" spans="1:12">
      <c r="A1983" s="722" t="s">
        <v>647</v>
      </c>
      <c r="B1983" s="722">
        <v>191</v>
      </c>
      <c r="C1983" s="723">
        <v>6</v>
      </c>
      <c r="D1983" s="723">
        <v>2</v>
      </c>
      <c r="E1983" s="723">
        <v>0</v>
      </c>
      <c r="F1983" s="723">
        <v>0</v>
      </c>
      <c r="G1983" s="723">
        <v>8</v>
      </c>
      <c r="H1983" s="724">
        <v>2449.5435587289903</v>
      </c>
      <c r="I1983" s="724">
        <v>816.51451957633014</v>
      </c>
      <c r="J1983" s="724">
        <v>0</v>
      </c>
      <c r="K1983" s="724">
        <v>0</v>
      </c>
      <c r="L1983" s="724">
        <v>3266.0580783053206</v>
      </c>
    </row>
    <row r="1984" spans="1:12">
      <c r="A1984" s="722" t="s">
        <v>647</v>
      </c>
      <c r="B1984" s="722">
        <v>330</v>
      </c>
      <c r="C1984" s="723">
        <v>2</v>
      </c>
      <c r="D1984" s="723">
        <v>1</v>
      </c>
      <c r="E1984" s="723">
        <v>0</v>
      </c>
      <c r="F1984" s="723">
        <v>0</v>
      </c>
      <c r="G1984" s="723">
        <v>3</v>
      </c>
      <c r="H1984" s="724">
        <v>816.51451957633014</v>
      </c>
      <c r="I1984" s="724">
        <v>408.25725978816507</v>
      </c>
      <c r="J1984" s="724">
        <v>0</v>
      </c>
      <c r="K1984" s="724">
        <v>0</v>
      </c>
      <c r="L1984" s="724">
        <v>1224.7717793644952</v>
      </c>
    </row>
    <row r="1985" spans="1:12">
      <c r="A1985" s="722" t="s">
        <v>647</v>
      </c>
      <c r="B1985" s="722">
        <v>410</v>
      </c>
      <c r="C1985" s="723">
        <v>15</v>
      </c>
      <c r="D1985" s="723">
        <v>5</v>
      </c>
      <c r="E1985" s="723">
        <v>0</v>
      </c>
      <c r="F1985" s="723">
        <v>0</v>
      </c>
      <c r="G1985" s="723">
        <v>20</v>
      </c>
      <c r="H1985" s="724">
        <v>6123.8588968224767</v>
      </c>
      <c r="I1985" s="724">
        <v>2041.2862989408254</v>
      </c>
      <c r="J1985" s="724">
        <v>0</v>
      </c>
      <c r="K1985" s="724">
        <v>0</v>
      </c>
      <c r="L1985" s="724">
        <v>8165.1451957633017</v>
      </c>
    </row>
    <row r="1986" spans="1:12">
      <c r="A1986" s="722" t="s">
        <v>647</v>
      </c>
      <c r="B1986" s="722">
        <v>811</v>
      </c>
      <c r="C1986" s="723">
        <v>0</v>
      </c>
      <c r="D1986" s="723">
        <v>12</v>
      </c>
      <c r="E1986" s="723">
        <v>0</v>
      </c>
      <c r="F1986" s="723">
        <v>0</v>
      </c>
      <c r="G1986" s="723">
        <v>12</v>
      </c>
      <c r="H1986" s="724">
        <v>0</v>
      </c>
      <c r="I1986" s="724">
        <v>4899.0871174579806</v>
      </c>
      <c r="J1986" s="724">
        <v>0</v>
      </c>
      <c r="K1986" s="724">
        <v>0</v>
      </c>
      <c r="L1986" s="724">
        <v>4899.0871174579806</v>
      </c>
    </row>
    <row r="1987" spans="1:12">
      <c r="A1987" s="722" t="s">
        <v>647</v>
      </c>
      <c r="B1987" s="722">
        <v>812</v>
      </c>
      <c r="C1987" s="723">
        <v>10</v>
      </c>
      <c r="D1987" s="723">
        <v>0</v>
      </c>
      <c r="E1987" s="723">
        <v>0</v>
      </c>
      <c r="F1987" s="723">
        <v>0</v>
      </c>
      <c r="G1987" s="723">
        <v>10</v>
      </c>
      <c r="H1987" s="724">
        <v>4082.5725978816508</v>
      </c>
      <c r="I1987" s="724">
        <v>0</v>
      </c>
      <c r="J1987" s="724">
        <v>0</v>
      </c>
      <c r="K1987" s="724">
        <v>0</v>
      </c>
      <c r="L1987" s="724">
        <v>4082.5725978816508</v>
      </c>
    </row>
    <row r="1988" spans="1:12">
      <c r="A1988" s="722" t="s">
        <v>254</v>
      </c>
      <c r="B1988" s="722">
        <v>101</v>
      </c>
      <c r="C1988" s="723">
        <v>2</v>
      </c>
      <c r="D1988" s="723">
        <v>0</v>
      </c>
      <c r="E1988" s="723">
        <v>0</v>
      </c>
      <c r="F1988" s="723">
        <v>0</v>
      </c>
      <c r="G1988" s="723">
        <v>2</v>
      </c>
      <c r="H1988" s="724">
        <v>230.64519282170332</v>
      </c>
      <c r="I1988" s="724">
        <v>0</v>
      </c>
      <c r="J1988" s="724">
        <v>0</v>
      </c>
      <c r="K1988" s="724">
        <v>0</v>
      </c>
      <c r="L1988" s="724">
        <v>230.64519282170332</v>
      </c>
    </row>
    <row r="1989" spans="1:12">
      <c r="A1989" s="722" t="s">
        <v>254</v>
      </c>
      <c r="B1989" s="722">
        <v>103</v>
      </c>
      <c r="C1989" s="723">
        <v>1</v>
      </c>
      <c r="D1989" s="723">
        <v>0</v>
      </c>
      <c r="E1989" s="723">
        <v>0</v>
      </c>
      <c r="F1989" s="723">
        <v>0</v>
      </c>
      <c r="G1989" s="723">
        <v>1</v>
      </c>
      <c r="H1989" s="724">
        <v>115.32259641085166</v>
      </c>
      <c r="I1989" s="724">
        <v>0</v>
      </c>
      <c r="J1989" s="724">
        <v>0</v>
      </c>
      <c r="K1989" s="724">
        <v>0</v>
      </c>
      <c r="L1989" s="724">
        <v>115.32259641085166</v>
      </c>
    </row>
    <row r="1990" spans="1:12">
      <c r="A1990" s="722" t="s">
        <v>254</v>
      </c>
      <c r="B1990" s="722">
        <v>110</v>
      </c>
      <c r="C1990" s="723">
        <v>1</v>
      </c>
      <c r="D1990" s="723">
        <v>5</v>
      </c>
      <c r="E1990" s="723">
        <v>0</v>
      </c>
      <c r="F1990" s="723">
        <v>0</v>
      </c>
      <c r="G1990" s="723">
        <v>6</v>
      </c>
      <c r="H1990" s="724">
        <v>115.32259641085165</v>
      </c>
      <c r="I1990" s="724">
        <v>576.61298205425817</v>
      </c>
      <c r="J1990" s="724">
        <v>0</v>
      </c>
      <c r="K1990" s="724">
        <v>0</v>
      </c>
      <c r="L1990" s="724">
        <v>691.93557846510987</v>
      </c>
    </row>
    <row r="1991" spans="1:12">
      <c r="A1991" s="722" t="s">
        <v>254</v>
      </c>
      <c r="B1991" s="722">
        <v>120</v>
      </c>
      <c r="C1991" s="723">
        <v>1</v>
      </c>
      <c r="D1991" s="723">
        <v>0</v>
      </c>
      <c r="E1991" s="723">
        <v>0</v>
      </c>
      <c r="F1991" s="723">
        <v>0</v>
      </c>
      <c r="G1991" s="723">
        <v>1</v>
      </c>
      <c r="H1991" s="724">
        <v>115.32259641085166</v>
      </c>
      <c r="I1991" s="724">
        <v>0</v>
      </c>
      <c r="J1991" s="724">
        <v>0</v>
      </c>
      <c r="K1991" s="724">
        <v>0</v>
      </c>
      <c r="L1991" s="724">
        <v>115.32259641085166</v>
      </c>
    </row>
    <row r="1992" spans="1:12">
      <c r="A1992" s="722" t="s">
        <v>254</v>
      </c>
      <c r="B1992" s="722">
        <v>130</v>
      </c>
      <c r="C1992" s="723">
        <v>11</v>
      </c>
      <c r="D1992" s="723">
        <v>0</v>
      </c>
      <c r="E1992" s="723">
        <v>0</v>
      </c>
      <c r="F1992" s="723">
        <v>0</v>
      </c>
      <c r="G1992" s="723">
        <v>11</v>
      </c>
      <c r="H1992" s="724">
        <v>1268.5485605193683</v>
      </c>
      <c r="I1992" s="724">
        <v>0</v>
      </c>
      <c r="J1992" s="724">
        <v>0</v>
      </c>
      <c r="K1992" s="724">
        <v>0</v>
      </c>
      <c r="L1992" s="724">
        <v>1268.5485605193683</v>
      </c>
    </row>
    <row r="1993" spans="1:12">
      <c r="A1993" s="722" t="s">
        <v>254</v>
      </c>
      <c r="B1993" s="722">
        <v>191</v>
      </c>
      <c r="C1993" s="723">
        <v>2</v>
      </c>
      <c r="D1993" s="723">
        <v>0</v>
      </c>
      <c r="E1993" s="723">
        <v>0</v>
      </c>
      <c r="F1993" s="723">
        <v>0</v>
      </c>
      <c r="G1993" s="723">
        <v>2</v>
      </c>
      <c r="H1993" s="724">
        <v>230.64519282170332</v>
      </c>
      <c r="I1993" s="724">
        <v>0</v>
      </c>
      <c r="J1993" s="724">
        <v>0</v>
      </c>
      <c r="K1993" s="724">
        <v>0</v>
      </c>
      <c r="L1993" s="724">
        <v>230.64519282170332</v>
      </c>
    </row>
    <row r="1994" spans="1:12">
      <c r="A1994" s="722" t="s">
        <v>254</v>
      </c>
      <c r="B1994" s="722">
        <v>410</v>
      </c>
      <c r="C1994" s="723">
        <v>0</v>
      </c>
      <c r="D1994" s="723">
        <v>2</v>
      </c>
      <c r="E1994" s="723">
        <v>0</v>
      </c>
      <c r="F1994" s="723">
        <v>0</v>
      </c>
      <c r="G1994" s="723">
        <v>2</v>
      </c>
      <c r="H1994" s="724">
        <v>0</v>
      </c>
      <c r="I1994" s="724">
        <v>230.64519282170332</v>
      </c>
      <c r="J1994" s="724">
        <v>0</v>
      </c>
      <c r="K1994" s="724">
        <v>0</v>
      </c>
      <c r="L1994" s="724">
        <v>230.64519282170332</v>
      </c>
    </row>
    <row r="1995" spans="1:12">
      <c r="A1995" s="722" t="s">
        <v>254</v>
      </c>
      <c r="B1995" s="722">
        <v>502</v>
      </c>
      <c r="C1995" s="723">
        <v>28</v>
      </c>
      <c r="D1995" s="723">
        <v>1</v>
      </c>
      <c r="E1995" s="723">
        <v>0</v>
      </c>
      <c r="F1995" s="723">
        <v>0</v>
      </c>
      <c r="G1995" s="723">
        <v>29</v>
      </c>
      <c r="H1995" s="724">
        <v>3229.0326995038458</v>
      </c>
      <c r="I1995" s="724">
        <v>115.32259641085165</v>
      </c>
      <c r="J1995" s="724">
        <v>0</v>
      </c>
      <c r="K1995" s="724">
        <v>0</v>
      </c>
      <c r="L1995" s="724">
        <v>3344.3552959146978</v>
      </c>
    </row>
    <row r="1996" spans="1:12">
      <c r="A1996" s="722" t="s">
        <v>255</v>
      </c>
      <c r="B1996" s="722">
        <v>191</v>
      </c>
      <c r="C1996" s="723">
        <v>1</v>
      </c>
      <c r="D1996" s="723">
        <v>1</v>
      </c>
      <c r="E1996" s="723">
        <v>0</v>
      </c>
      <c r="F1996" s="723">
        <v>0</v>
      </c>
      <c r="G1996" s="723">
        <v>2</v>
      </c>
      <c r="H1996" s="724">
        <v>124.3168959480616</v>
      </c>
      <c r="I1996" s="724">
        <v>124.3168959480616</v>
      </c>
      <c r="J1996" s="724">
        <v>0</v>
      </c>
      <c r="K1996" s="724">
        <v>0</v>
      </c>
      <c r="L1996" s="724">
        <v>248.6337918961232</v>
      </c>
    </row>
    <row r="1997" spans="1:12">
      <c r="A1997" s="722" t="s">
        <v>255</v>
      </c>
      <c r="B1997" s="722">
        <v>330</v>
      </c>
      <c r="C1997" s="723">
        <v>0</v>
      </c>
      <c r="D1997" s="723">
        <v>2</v>
      </c>
      <c r="E1997" s="723">
        <v>0</v>
      </c>
      <c r="F1997" s="723">
        <v>0</v>
      </c>
      <c r="G1997" s="723">
        <v>2</v>
      </c>
      <c r="H1997" s="724">
        <v>0</v>
      </c>
      <c r="I1997" s="724">
        <v>248.6337918961232</v>
      </c>
      <c r="J1997" s="724">
        <v>0</v>
      </c>
      <c r="K1997" s="724">
        <v>0</v>
      </c>
      <c r="L1997" s="724">
        <v>248.6337918961232</v>
      </c>
    </row>
    <row r="1998" spans="1:12">
      <c r="A1998" s="722" t="s">
        <v>255</v>
      </c>
      <c r="B1998" s="722">
        <v>410</v>
      </c>
      <c r="C1998" s="723">
        <v>1</v>
      </c>
      <c r="D1998" s="723">
        <v>0</v>
      </c>
      <c r="E1998" s="723">
        <v>0</v>
      </c>
      <c r="F1998" s="723">
        <v>0</v>
      </c>
      <c r="G1998" s="723">
        <v>1</v>
      </c>
      <c r="H1998" s="724">
        <v>124.3168959480616</v>
      </c>
      <c r="I1998" s="724">
        <v>0</v>
      </c>
      <c r="J1998" s="724">
        <v>0</v>
      </c>
      <c r="K1998" s="724">
        <v>0</v>
      </c>
      <c r="L1998" s="724">
        <v>124.3168959480616</v>
      </c>
    </row>
    <row r="1999" spans="1:12">
      <c r="A1999" s="722" t="s">
        <v>256</v>
      </c>
      <c r="B1999" s="722">
        <v>101</v>
      </c>
      <c r="C1999" s="723">
        <v>1</v>
      </c>
      <c r="D1999" s="723">
        <v>0</v>
      </c>
      <c r="E1999" s="723">
        <v>0</v>
      </c>
      <c r="F1999" s="723">
        <v>0</v>
      </c>
      <c r="G1999" s="723">
        <v>1</v>
      </c>
      <c r="H1999" s="724">
        <v>169.61690102525333</v>
      </c>
      <c r="I1999" s="724">
        <v>0</v>
      </c>
      <c r="J1999" s="724">
        <v>0</v>
      </c>
      <c r="K1999" s="724">
        <v>0</v>
      </c>
      <c r="L1999" s="724">
        <v>169.61690102525333</v>
      </c>
    </row>
    <row r="2000" spans="1:12">
      <c r="A2000" s="722" t="s">
        <v>256</v>
      </c>
      <c r="B2000" s="722">
        <v>104</v>
      </c>
      <c r="C2000" s="723">
        <v>1</v>
      </c>
      <c r="D2000" s="723">
        <v>1</v>
      </c>
      <c r="E2000" s="723">
        <v>0</v>
      </c>
      <c r="F2000" s="723">
        <v>0</v>
      </c>
      <c r="G2000" s="723">
        <v>2</v>
      </c>
      <c r="H2000" s="724">
        <v>169.61690102525333</v>
      </c>
      <c r="I2000" s="724">
        <v>169.61690102525333</v>
      </c>
      <c r="J2000" s="724">
        <v>0</v>
      </c>
      <c r="K2000" s="724">
        <v>0</v>
      </c>
      <c r="L2000" s="724">
        <v>339.23380205050665</v>
      </c>
    </row>
    <row r="2001" spans="1:12">
      <c r="A2001" s="722" t="s">
        <v>256</v>
      </c>
      <c r="B2001" s="722">
        <v>110</v>
      </c>
      <c r="C2001" s="723">
        <v>1</v>
      </c>
      <c r="D2001" s="723">
        <v>1</v>
      </c>
      <c r="E2001" s="723">
        <v>0</v>
      </c>
      <c r="F2001" s="723">
        <v>0</v>
      </c>
      <c r="G2001" s="723">
        <v>2</v>
      </c>
      <c r="H2001" s="724">
        <v>169.61690102525333</v>
      </c>
      <c r="I2001" s="724">
        <v>169.61690102525333</v>
      </c>
      <c r="J2001" s="724">
        <v>0</v>
      </c>
      <c r="K2001" s="724">
        <v>0</v>
      </c>
      <c r="L2001" s="724">
        <v>339.23380205050665</v>
      </c>
    </row>
    <row r="2002" spans="1:12">
      <c r="A2002" s="722" t="s">
        <v>256</v>
      </c>
      <c r="B2002" s="722">
        <v>400</v>
      </c>
      <c r="C2002" s="723">
        <v>0</v>
      </c>
      <c r="D2002" s="723">
        <v>2</v>
      </c>
      <c r="E2002" s="723">
        <v>0</v>
      </c>
      <c r="F2002" s="723">
        <v>0</v>
      </c>
      <c r="G2002" s="723">
        <v>2</v>
      </c>
      <c r="H2002" s="724">
        <v>0</v>
      </c>
      <c r="I2002" s="724">
        <v>339.23380205050665</v>
      </c>
      <c r="J2002" s="724">
        <v>0</v>
      </c>
      <c r="K2002" s="724">
        <v>0</v>
      </c>
      <c r="L2002" s="724">
        <v>339.23380205050665</v>
      </c>
    </row>
    <row r="2003" spans="1:12">
      <c r="A2003" s="722" t="s">
        <v>256</v>
      </c>
      <c r="B2003" s="722">
        <v>401</v>
      </c>
      <c r="C2003" s="723">
        <v>0</v>
      </c>
      <c r="D2003" s="723">
        <v>2</v>
      </c>
      <c r="E2003" s="723">
        <v>0</v>
      </c>
      <c r="F2003" s="723">
        <v>0</v>
      </c>
      <c r="G2003" s="723">
        <v>2</v>
      </c>
      <c r="H2003" s="724">
        <v>0</v>
      </c>
      <c r="I2003" s="724">
        <v>339.23380205050665</v>
      </c>
      <c r="J2003" s="724">
        <v>0</v>
      </c>
      <c r="K2003" s="724">
        <v>0</v>
      </c>
      <c r="L2003" s="724">
        <v>339.23380205050665</v>
      </c>
    </row>
    <row r="2004" spans="1:12">
      <c r="A2004" s="722" t="s">
        <v>257</v>
      </c>
      <c r="B2004" s="722">
        <v>303</v>
      </c>
      <c r="C2004" s="723">
        <v>1</v>
      </c>
      <c r="D2004" s="723">
        <v>0</v>
      </c>
      <c r="E2004" s="723">
        <v>0</v>
      </c>
      <c r="F2004" s="723">
        <v>0</v>
      </c>
      <c r="G2004" s="723">
        <v>1</v>
      </c>
      <c r="H2004" s="724">
        <v>471.47355693494399</v>
      </c>
      <c r="I2004" s="724">
        <v>0</v>
      </c>
      <c r="J2004" s="724">
        <v>0</v>
      </c>
      <c r="K2004" s="724">
        <v>0</v>
      </c>
      <c r="L2004" s="724">
        <v>471.47355693494399</v>
      </c>
    </row>
    <row r="2005" spans="1:12">
      <c r="A2005" s="722" t="s">
        <v>258</v>
      </c>
      <c r="B2005" s="722">
        <v>100</v>
      </c>
      <c r="C2005" s="723">
        <v>1</v>
      </c>
      <c r="D2005" s="723">
        <v>1</v>
      </c>
      <c r="E2005" s="723">
        <v>0</v>
      </c>
      <c r="F2005" s="723">
        <v>0</v>
      </c>
      <c r="G2005" s="723">
        <v>2</v>
      </c>
      <c r="H2005" s="724">
        <v>140.23049776594149</v>
      </c>
      <c r="I2005" s="724">
        <v>140.23049776594149</v>
      </c>
      <c r="J2005" s="724">
        <v>0</v>
      </c>
      <c r="K2005" s="724">
        <v>0</v>
      </c>
      <c r="L2005" s="724">
        <v>280.46099553188299</v>
      </c>
    </row>
    <row r="2006" spans="1:12">
      <c r="A2006" s="722" t="s">
        <v>258</v>
      </c>
      <c r="B2006" s="722">
        <v>110</v>
      </c>
      <c r="C2006" s="723">
        <v>1</v>
      </c>
      <c r="D2006" s="723">
        <v>0</v>
      </c>
      <c r="E2006" s="723">
        <v>0</v>
      </c>
      <c r="F2006" s="723">
        <v>0</v>
      </c>
      <c r="G2006" s="723">
        <v>1</v>
      </c>
      <c r="H2006" s="724">
        <v>140.23049776594149</v>
      </c>
      <c r="I2006" s="724">
        <v>0</v>
      </c>
      <c r="J2006" s="724">
        <v>0</v>
      </c>
      <c r="K2006" s="724">
        <v>0</v>
      </c>
      <c r="L2006" s="724">
        <v>140.23049776594149</v>
      </c>
    </row>
    <row r="2007" spans="1:12">
      <c r="A2007" s="722" t="s">
        <v>258</v>
      </c>
      <c r="B2007" s="722">
        <v>120</v>
      </c>
      <c r="C2007" s="723">
        <v>11</v>
      </c>
      <c r="D2007" s="723">
        <v>0</v>
      </c>
      <c r="E2007" s="723">
        <v>0</v>
      </c>
      <c r="F2007" s="723">
        <v>0</v>
      </c>
      <c r="G2007" s="723">
        <v>11</v>
      </c>
      <c r="H2007" s="724">
        <v>1542.5354754253565</v>
      </c>
      <c r="I2007" s="724">
        <v>0</v>
      </c>
      <c r="J2007" s="724">
        <v>0</v>
      </c>
      <c r="K2007" s="724">
        <v>0</v>
      </c>
      <c r="L2007" s="724">
        <v>1542.5354754253563</v>
      </c>
    </row>
    <row r="2008" spans="1:12">
      <c r="A2008" s="722" t="s">
        <v>258</v>
      </c>
      <c r="B2008" s="722">
        <v>150</v>
      </c>
      <c r="C2008" s="723">
        <v>1</v>
      </c>
      <c r="D2008" s="723">
        <v>0</v>
      </c>
      <c r="E2008" s="723">
        <v>0</v>
      </c>
      <c r="F2008" s="723">
        <v>0</v>
      </c>
      <c r="G2008" s="723">
        <v>1</v>
      </c>
      <c r="H2008" s="724">
        <v>140.23049776594149</v>
      </c>
      <c r="I2008" s="724">
        <v>0</v>
      </c>
      <c r="J2008" s="724">
        <v>0</v>
      </c>
      <c r="K2008" s="724">
        <v>0</v>
      </c>
      <c r="L2008" s="724">
        <v>140.23049776594149</v>
      </c>
    </row>
    <row r="2009" spans="1:12">
      <c r="A2009" s="722" t="s">
        <v>258</v>
      </c>
      <c r="B2009" s="722">
        <v>160</v>
      </c>
      <c r="C2009" s="723">
        <v>1</v>
      </c>
      <c r="D2009" s="723">
        <v>0</v>
      </c>
      <c r="E2009" s="723">
        <v>0</v>
      </c>
      <c r="F2009" s="723">
        <v>0</v>
      </c>
      <c r="G2009" s="723">
        <v>1</v>
      </c>
      <c r="H2009" s="724">
        <v>140.23049776594149</v>
      </c>
      <c r="I2009" s="724">
        <v>0</v>
      </c>
      <c r="J2009" s="724">
        <v>0</v>
      </c>
      <c r="K2009" s="724">
        <v>0</v>
      </c>
      <c r="L2009" s="724">
        <v>140.23049776594149</v>
      </c>
    </row>
    <row r="2010" spans="1:12">
      <c r="A2010" s="722" t="s">
        <v>258</v>
      </c>
      <c r="B2010" s="722">
        <v>191</v>
      </c>
      <c r="C2010" s="723">
        <v>1</v>
      </c>
      <c r="D2010" s="723">
        <v>0</v>
      </c>
      <c r="E2010" s="723">
        <v>0</v>
      </c>
      <c r="F2010" s="723">
        <v>0</v>
      </c>
      <c r="G2010" s="723">
        <v>1</v>
      </c>
      <c r="H2010" s="724">
        <v>140.23049776594149</v>
      </c>
      <c r="I2010" s="724">
        <v>0</v>
      </c>
      <c r="J2010" s="724">
        <v>0</v>
      </c>
      <c r="K2010" s="724">
        <v>0</v>
      </c>
      <c r="L2010" s="724">
        <v>140.23049776594149</v>
      </c>
    </row>
    <row r="2011" spans="1:12">
      <c r="A2011" s="722" t="s">
        <v>258</v>
      </c>
      <c r="B2011" s="722">
        <v>260</v>
      </c>
      <c r="C2011" s="723">
        <v>1</v>
      </c>
      <c r="D2011" s="723">
        <v>0</v>
      </c>
      <c r="E2011" s="723">
        <v>0</v>
      </c>
      <c r="F2011" s="723">
        <v>0</v>
      </c>
      <c r="G2011" s="723">
        <v>1</v>
      </c>
      <c r="H2011" s="724">
        <v>140.23049776594149</v>
      </c>
      <c r="I2011" s="724">
        <v>0</v>
      </c>
      <c r="J2011" s="724">
        <v>0</v>
      </c>
      <c r="K2011" s="724">
        <v>0</v>
      </c>
      <c r="L2011" s="724">
        <v>140.23049776594149</v>
      </c>
    </row>
    <row r="2012" spans="1:12">
      <c r="A2012" s="722" t="s">
        <v>258</v>
      </c>
      <c r="B2012" s="722">
        <v>300</v>
      </c>
      <c r="C2012" s="723">
        <v>26</v>
      </c>
      <c r="D2012" s="723">
        <v>68</v>
      </c>
      <c r="E2012" s="723">
        <v>0</v>
      </c>
      <c r="F2012" s="723">
        <v>0</v>
      </c>
      <c r="G2012" s="723">
        <v>94</v>
      </c>
      <c r="H2012" s="724">
        <v>3645.9929419144787</v>
      </c>
      <c r="I2012" s="724">
        <v>9535.6738480840213</v>
      </c>
      <c r="J2012" s="724">
        <v>0</v>
      </c>
      <c r="K2012" s="724">
        <v>0</v>
      </c>
      <c r="L2012" s="724">
        <v>13181.666789998499</v>
      </c>
    </row>
    <row r="2013" spans="1:12">
      <c r="A2013" s="722" t="s">
        <v>258</v>
      </c>
      <c r="B2013" s="722">
        <v>301</v>
      </c>
      <c r="C2013" s="723">
        <v>8</v>
      </c>
      <c r="D2013" s="723">
        <v>0</v>
      </c>
      <c r="E2013" s="723">
        <v>0</v>
      </c>
      <c r="F2013" s="723">
        <v>0</v>
      </c>
      <c r="G2013" s="723">
        <v>8</v>
      </c>
      <c r="H2013" s="724">
        <v>1121.8439821275319</v>
      </c>
      <c r="I2013" s="724">
        <v>0</v>
      </c>
      <c r="J2013" s="724">
        <v>0</v>
      </c>
      <c r="K2013" s="724">
        <v>0</v>
      </c>
      <c r="L2013" s="724">
        <v>1121.8439821275319</v>
      </c>
    </row>
    <row r="2014" spans="1:12">
      <c r="A2014" s="722" t="s">
        <v>258</v>
      </c>
      <c r="B2014" s="722">
        <v>303</v>
      </c>
      <c r="C2014" s="723">
        <v>11</v>
      </c>
      <c r="D2014" s="723">
        <v>0</v>
      </c>
      <c r="E2014" s="723">
        <v>0</v>
      </c>
      <c r="F2014" s="723">
        <v>0</v>
      </c>
      <c r="G2014" s="723">
        <v>11</v>
      </c>
      <c r="H2014" s="724">
        <v>1542.5354754253565</v>
      </c>
      <c r="I2014" s="724">
        <v>0</v>
      </c>
      <c r="J2014" s="724">
        <v>0</v>
      </c>
      <c r="K2014" s="724">
        <v>0</v>
      </c>
      <c r="L2014" s="724">
        <v>1542.5354754253563</v>
      </c>
    </row>
    <row r="2015" spans="1:12">
      <c r="A2015" s="722" t="s">
        <v>258</v>
      </c>
      <c r="B2015" s="722">
        <v>304</v>
      </c>
      <c r="C2015" s="723">
        <v>1</v>
      </c>
      <c r="D2015" s="723">
        <v>1</v>
      </c>
      <c r="E2015" s="723">
        <v>0</v>
      </c>
      <c r="F2015" s="723">
        <v>0</v>
      </c>
      <c r="G2015" s="723">
        <v>2</v>
      </c>
      <c r="H2015" s="724">
        <v>140.23049776594149</v>
      </c>
      <c r="I2015" s="724">
        <v>140.23049776594149</v>
      </c>
      <c r="J2015" s="724">
        <v>0</v>
      </c>
      <c r="K2015" s="724">
        <v>0</v>
      </c>
      <c r="L2015" s="724">
        <v>280.46099553188299</v>
      </c>
    </row>
    <row r="2016" spans="1:12">
      <c r="A2016" s="722" t="s">
        <v>258</v>
      </c>
      <c r="B2016" s="722">
        <v>308</v>
      </c>
      <c r="C2016" s="723">
        <v>1</v>
      </c>
      <c r="D2016" s="723">
        <v>0</v>
      </c>
      <c r="E2016" s="723">
        <v>0</v>
      </c>
      <c r="F2016" s="723">
        <v>0</v>
      </c>
      <c r="G2016" s="723">
        <v>1</v>
      </c>
      <c r="H2016" s="724">
        <v>140.23049776594149</v>
      </c>
      <c r="I2016" s="724">
        <v>0</v>
      </c>
      <c r="J2016" s="724">
        <v>0</v>
      </c>
      <c r="K2016" s="724">
        <v>0</v>
      </c>
      <c r="L2016" s="724">
        <v>140.23049776594149</v>
      </c>
    </row>
    <row r="2017" spans="1:12">
      <c r="A2017" s="722" t="s">
        <v>258</v>
      </c>
      <c r="B2017" s="722">
        <v>314</v>
      </c>
      <c r="C2017" s="723">
        <v>1</v>
      </c>
      <c r="D2017" s="723">
        <v>0</v>
      </c>
      <c r="E2017" s="723">
        <v>0</v>
      </c>
      <c r="F2017" s="723">
        <v>0</v>
      </c>
      <c r="G2017" s="723">
        <v>1</v>
      </c>
      <c r="H2017" s="724">
        <v>140.23049776594149</v>
      </c>
      <c r="I2017" s="724">
        <v>0</v>
      </c>
      <c r="J2017" s="724">
        <v>0</v>
      </c>
      <c r="K2017" s="724">
        <v>0</v>
      </c>
      <c r="L2017" s="724">
        <v>140.23049776594149</v>
      </c>
    </row>
    <row r="2018" spans="1:12">
      <c r="A2018" s="722" t="s">
        <v>258</v>
      </c>
      <c r="B2018" s="722">
        <v>320</v>
      </c>
      <c r="C2018" s="723">
        <v>2</v>
      </c>
      <c r="D2018" s="723">
        <v>1</v>
      </c>
      <c r="E2018" s="723">
        <v>0</v>
      </c>
      <c r="F2018" s="723">
        <v>0</v>
      </c>
      <c r="G2018" s="723">
        <v>3</v>
      </c>
      <c r="H2018" s="724">
        <v>280.46099553188293</v>
      </c>
      <c r="I2018" s="724">
        <v>140.23049776594146</v>
      </c>
      <c r="J2018" s="724">
        <v>0</v>
      </c>
      <c r="K2018" s="724">
        <v>0</v>
      </c>
      <c r="L2018" s="724">
        <v>420.69149329782442</v>
      </c>
    </row>
    <row r="2019" spans="1:12">
      <c r="A2019" s="722" t="s">
        <v>258</v>
      </c>
      <c r="B2019" s="722">
        <v>323</v>
      </c>
      <c r="C2019" s="723">
        <v>1</v>
      </c>
      <c r="D2019" s="723">
        <v>0</v>
      </c>
      <c r="E2019" s="723">
        <v>0</v>
      </c>
      <c r="F2019" s="723">
        <v>0</v>
      </c>
      <c r="G2019" s="723">
        <v>1</v>
      </c>
      <c r="H2019" s="724">
        <v>140.23049776594149</v>
      </c>
      <c r="I2019" s="724">
        <v>0</v>
      </c>
      <c r="J2019" s="724">
        <v>0</v>
      </c>
      <c r="K2019" s="724">
        <v>0</v>
      </c>
      <c r="L2019" s="724">
        <v>140.23049776594149</v>
      </c>
    </row>
    <row r="2020" spans="1:12">
      <c r="A2020" s="722" t="s">
        <v>258</v>
      </c>
      <c r="B2020" s="722">
        <v>328</v>
      </c>
      <c r="C2020" s="723">
        <v>1</v>
      </c>
      <c r="D2020" s="723">
        <v>0</v>
      </c>
      <c r="E2020" s="723">
        <v>0</v>
      </c>
      <c r="F2020" s="723">
        <v>0</v>
      </c>
      <c r="G2020" s="723">
        <v>1</v>
      </c>
      <c r="H2020" s="724">
        <v>140.23049776594149</v>
      </c>
      <c r="I2020" s="724">
        <v>0</v>
      </c>
      <c r="J2020" s="724">
        <v>0</v>
      </c>
      <c r="K2020" s="724">
        <v>0</v>
      </c>
      <c r="L2020" s="724">
        <v>140.23049776594149</v>
      </c>
    </row>
    <row r="2021" spans="1:12">
      <c r="A2021" s="722" t="s">
        <v>258</v>
      </c>
      <c r="B2021" s="722">
        <v>340</v>
      </c>
      <c r="C2021" s="723">
        <v>2</v>
      </c>
      <c r="D2021" s="723">
        <v>0</v>
      </c>
      <c r="E2021" s="723">
        <v>0</v>
      </c>
      <c r="F2021" s="723">
        <v>0</v>
      </c>
      <c r="G2021" s="723">
        <v>2</v>
      </c>
      <c r="H2021" s="724">
        <v>280.46099553188299</v>
      </c>
      <c r="I2021" s="724">
        <v>0</v>
      </c>
      <c r="J2021" s="724">
        <v>0</v>
      </c>
      <c r="K2021" s="724">
        <v>0</v>
      </c>
      <c r="L2021" s="724">
        <v>280.46099553188299</v>
      </c>
    </row>
    <row r="2022" spans="1:12">
      <c r="A2022" s="722" t="s">
        <v>258</v>
      </c>
      <c r="B2022" s="722">
        <v>350</v>
      </c>
      <c r="C2022" s="723">
        <v>1</v>
      </c>
      <c r="D2022" s="723">
        <v>0</v>
      </c>
      <c r="E2022" s="723">
        <v>0</v>
      </c>
      <c r="F2022" s="723">
        <v>0</v>
      </c>
      <c r="G2022" s="723">
        <v>1</v>
      </c>
      <c r="H2022" s="724">
        <v>140.23049776594149</v>
      </c>
      <c r="I2022" s="724">
        <v>0</v>
      </c>
      <c r="J2022" s="724">
        <v>0</v>
      </c>
      <c r="K2022" s="724">
        <v>0</v>
      </c>
      <c r="L2022" s="724">
        <v>140.23049776594149</v>
      </c>
    </row>
    <row r="2023" spans="1:12">
      <c r="A2023" s="722" t="s">
        <v>258</v>
      </c>
      <c r="B2023" s="722">
        <v>370</v>
      </c>
      <c r="C2023" s="723">
        <v>5</v>
      </c>
      <c r="D2023" s="723">
        <v>0</v>
      </c>
      <c r="E2023" s="723">
        <v>0</v>
      </c>
      <c r="F2023" s="723">
        <v>0</v>
      </c>
      <c r="G2023" s="723">
        <v>5</v>
      </c>
      <c r="H2023" s="724">
        <v>701.15248882970741</v>
      </c>
      <c r="I2023" s="724">
        <v>0</v>
      </c>
      <c r="J2023" s="724">
        <v>0</v>
      </c>
      <c r="K2023" s="724">
        <v>0</v>
      </c>
      <c r="L2023" s="724">
        <v>701.15248882970741</v>
      </c>
    </row>
    <row r="2024" spans="1:12">
      <c r="A2024" s="722" t="s">
        <v>258</v>
      </c>
      <c r="B2024" s="722">
        <v>400</v>
      </c>
      <c r="C2024" s="723">
        <v>14</v>
      </c>
      <c r="D2024" s="723">
        <v>35</v>
      </c>
      <c r="E2024" s="723">
        <v>0</v>
      </c>
      <c r="F2024" s="723">
        <v>0</v>
      </c>
      <c r="G2024" s="723">
        <v>49</v>
      </c>
      <c r="H2024" s="724">
        <v>1963.2269687231808</v>
      </c>
      <c r="I2024" s="724">
        <v>4908.0674218079521</v>
      </c>
      <c r="J2024" s="724">
        <v>0</v>
      </c>
      <c r="K2024" s="724">
        <v>0</v>
      </c>
      <c r="L2024" s="724">
        <v>6871.2943905311331</v>
      </c>
    </row>
    <row r="2025" spans="1:12">
      <c r="A2025" s="722" t="s">
        <v>258</v>
      </c>
      <c r="B2025" s="722">
        <v>420</v>
      </c>
      <c r="C2025" s="723">
        <v>7</v>
      </c>
      <c r="D2025" s="723">
        <v>5</v>
      </c>
      <c r="E2025" s="723">
        <v>0</v>
      </c>
      <c r="F2025" s="723">
        <v>0</v>
      </c>
      <c r="G2025" s="723">
        <v>12</v>
      </c>
      <c r="H2025" s="724">
        <v>981.61348436159039</v>
      </c>
      <c r="I2025" s="724">
        <v>701.15248882970729</v>
      </c>
      <c r="J2025" s="724">
        <v>0</v>
      </c>
      <c r="K2025" s="724">
        <v>0</v>
      </c>
      <c r="L2025" s="724">
        <v>1682.7659731912977</v>
      </c>
    </row>
    <row r="2026" spans="1:12">
      <c r="A2026" s="722" t="s">
        <v>258</v>
      </c>
      <c r="B2026" s="722">
        <v>421</v>
      </c>
      <c r="C2026" s="723">
        <v>1</v>
      </c>
      <c r="D2026" s="723">
        <v>0</v>
      </c>
      <c r="E2026" s="723">
        <v>0</v>
      </c>
      <c r="F2026" s="723">
        <v>0</v>
      </c>
      <c r="G2026" s="723">
        <v>1</v>
      </c>
      <c r="H2026" s="724">
        <v>140.23049776594149</v>
      </c>
      <c r="I2026" s="724">
        <v>0</v>
      </c>
      <c r="J2026" s="724">
        <v>0</v>
      </c>
      <c r="K2026" s="724">
        <v>0</v>
      </c>
      <c r="L2026" s="724">
        <v>140.23049776594149</v>
      </c>
    </row>
    <row r="2027" spans="1:12">
      <c r="A2027" s="722" t="s">
        <v>258</v>
      </c>
      <c r="B2027" s="722">
        <v>422</v>
      </c>
      <c r="C2027" s="723">
        <v>1</v>
      </c>
      <c r="D2027" s="723">
        <v>0</v>
      </c>
      <c r="E2027" s="723">
        <v>0</v>
      </c>
      <c r="F2027" s="723">
        <v>0</v>
      </c>
      <c r="G2027" s="723">
        <v>1</v>
      </c>
      <c r="H2027" s="724">
        <v>140.23049776594149</v>
      </c>
      <c r="I2027" s="724">
        <v>0</v>
      </c>
      <c r="J2027" s="724">
        <v>0</v>
      </c>
      <c r="K2027" s="724">
        <v>0</v>
      </c>
      <c r="L2027" s="724">
        <v>140.23049776594149</v>
      </c>
    </row>
    <row r="2028" spans="1:12">
      <c r="A2028" s="722" t="s">
        <v>258</v>
      </c>
      <c r="B2028" s="722">
        <v>430</v>
      </c>
      <c r="C2028" s="723">
        <v>0</v>
      </c>
      <c r="D2028" s="723">
        <v>2</v>
      </c>
      <c r="E2028" s="723">
        <v>0</v>
      </c>
      <c r="F2028" s="723">
        <v>0</v>
      </c>
      <c r="G2028" s="723">
        <v>2</v>
      </c>
      <c r="H2028" s="724">
        <v>0</v>
      </c>
      <c r="I2028" s="724">
        <v>280.46099553188299</v>
      </c>
      <c r="J2028" s="724">
        <v>0</v>
      </c>
      <c r="K2028" s="724">
        <v>0</v>
      </c>
      <c r="L2028" s="724">
        <v>280.46099553188299</v>
      </c>
    </row>
    <row r="2029" spans="1:12">
      <c r="A2029" s="722" t="s">
        <v>258</v>
      </c>
      <c r="B2029" s="722">
        <v>501</v>
      </c>
      <c r="C2029" s="723">
        <v>2</v>
      </c>
      <c r="D2029" s="723">
        <v>0</v>
      </c>
      <c r="E2029" s="723">
        <v>0</v>
      </c>
      <c r="F2029" s="723">
        <v>0</v>
      </c>
      <c r="G2029" s="723">
        <v>2</v>
      </c>
      <c r="H2029" s="724">
        <v>280.46099553188299</v>
      </c>
      <c r="I2029" s="724">
        <v>0</v>
      </c>
      <c r="J2029" s="724">
        <v>0</v>
      </c>
      <c r="K2029" s="724">
        <v>0</v>
      </c>
      <c r="L2029" s="724">
        <v>280.46099553188299</v>
      </c>
    </row>
    <row r="2030" spans="1:12">
      <c r="A2030" s="722" t="s">
        <v>258</v>
      </c>
      <c r="B2030" s="722">
        <v>502</v>
      </c>
      <c r="C2030" s="723">
        <v>6</v>
      </c>
      <c r="D2030" s="723">
        <v>6</v>
      </c>
      <c r="E2030" s="723">
        <v>0</v>
      </c>
      <c r="F2030" s="723">
        <v>0</v>
      </c>
      <c r="G2030" s="723">
        <v>12</v>
      </c>
      <c r="H2030" s="724">
        <v>841.38298659564896</v>
      </c>
      <c r="I2030" s="724">
        <v>841.38298659564896</v>
      </c>
      <c r="J2030" s="724">
        <v>0</v>
      </c>
      <c r="K2030" s="724">
        <v>0</v>
      </c>
      <c r="L2030" s="724">
        <v>1682.7659731912977</v>
      </c>
    </row>
    <row r="2031" spans="1:12">
      <c r="A2031" s="722" t="s">
        <v>258</v>
      </c>
      <c r="B2031" s="722">
        <v>800</v>
      </c>
      <c r="C2031" s="723">
        <v>46</v>
      </c>
      <c r="D2031" s="723">
        <v>2</v>
      </c>
      <c r="E2031" s="723">
        <v>0</v>
      </c>
      <c r="F2031" s="723">
        <v>0</v>
      </c>
      <c r="G2031" s="723">
        <v>48</v>
      </c>
      <c r="H2031" s="724">
        <v>6450.6028972333079</v>
      </c>
      <c r="I2031" s="724">
        <v>280.46099553188293</v>
      </c>
      <c r="J2031" s="724">
        <v>0</v>
      </c>
      <c r="K2031" s="724">
        <v>0</v>
      </c>
      <c r="L2031" s="724">
        <v>6731.0638927651908</v>
      </c>
    </row>
    <row r="2032" spans="1:12">
      <c r="A2032" s="722" t="s">
        <v>258</v>
      </c>
      <c r="B2032" s="722">
        <v>811</v>
      </c>
      <c r="C2032" s="723">
        <v>0</v>
      </c>
      <c r="D2032" s="723">
        <v>1</v>
      </c>
      <c r="E2032" s="723">
        <v>0</v>
      </c>
      <c r="F2032" s="723">
        <v>0</v>
      </c>
      <c r="G2032" s="723">
        <v>1</v>
      </c>
      <c r="H2032" s="724">
        <v>0</v>
      </c>
      <c r="I2032" s="724">
        <v>140.23049776594149</v>
      </c>
      <c r="J2032" s="724">
        <v>0</v>
      </c>
      <c r="K2032" s="724">
        <v>0</v>
      </c>
      <c r="L2032" s="724">
        <v>140.23049776594149</v>
      </c>
    </row>
    <row r="2033" spans="1:12">
      <c r="A2033" s="722" t="s">
        <v>258</v>
      </c>
      <c r="B2033" s="722">
        <v>812</v>
      </c>
      <c r="C2033" s="723">
        <v>6</v>
      </c>
      <c r="D2033" s="723">
        <v>0</v>
      </c>
      <c r="E2033" s="723">
        <v>0</v>
      </c>
      <c r="F2033" s="723">
        <v>0</v>
      </c>
      <c r="G2033" s="723">
        <v>6</v>
      </c>
      <c r="H2033" s="724">
        <v>841.38298659564896</v>
      </c>
      <c r="I2033" s="724">
        <v>0</v>
      </c>
      <c r="J2033" s="724">
        <v>0</v>
      </c>
      <c r="K2033" s="724">
        <v>0</v>
      </c>
      <c r="L2033" s="724">
        <v>841.38298659564884</v>
      </c>
    </row>
    <row r="2034" spans="1:12">
      <c r="A2034" s="722" t="s">
        <v>261</v>
      </c>
      <c r="B2034" s="722">
        <v>370</v>
      </c>
      <c r="C2034" s="723">
        <v>0</v>
      </c>
      <c r="D2034" s="723">
        <v>1</v>
      </c>
      <c r="E2034" s="723">
        <v>0</v>
      </c>
      <c r="F2034" s="723">
        <v>0</v>
      </c>
      <c r="G2034" s="723">
        <v>1</v>
      </c>
      <c r="H2034" s="724">
        <v>0</v>
      </c>
      <c r="I2034" s="724">
        <v>106.33191729247601</v>
      </c>
      <c r="J2034" s="724">
        <v>0</v>
      </c>
      <c r="K2034" s="724">
        <v>0</v>
      </c>
      <c r="L2034" s="724">
        <v>106.33191729247601</v>
      </c>
    </row>
    <row r="2035" spans="1:12">
      <c r="A2035" s="722" t="s">
        <v>261</v>
      </c>
      <c r="B2035" s="722">
        <v>502</v>
      </c>
      <c r="C2035" s="723">
        <v>0</v>
      </c>
      <c r="D2035" s="723">
        <v>1</v>
      </c>
      <c r="E2035" s="723">
        <v>0</v>
      </c>
      <c r="F2035" s="723">
        <v>0</v>
      </c>
      <c r="G2035" s="723">
        <v>1</v>
      </c>
      <c r="H2035" s="724">
        <v>0</v>
      </c>
      <c r="I2035" s="724">
        <v>106.33191729247601</v>
      </c>
      <c r="J2035" s="724">
        <v>0</v>
      </c>
      <c r="K2035" s="724">
        <v>0</v>
      </c>
      <c r="L2035" s="724">
        <v>106.33191729247601</v>
      </c>
    </row>
    <row r="2036" spans="1:12">
      <c r="A2036" s="722" t="s">
        <v>262</v>
      </c>
      <c r="B2036" s="722">
        <v>503</v>
      </c>
      <c r="C2036" s="723">
        <v>0</v>
      </c>
      <c r="D2036" s="723">
        <v>1</v>
      </c>
      <c r="E2036" s="723">
        <v>0</v>
      </c>
      <c r="F2036" s="723">
        <v>0</v>
      </c>
      <c r="G2036" s="723">
        <v>1</v>
      </c>
      <c r="H2036" s="724">
        <v>0</v>
      </c>
      <c r="I2036" s="724">
        <v>161.51299528715299</v>
      </c>
      <c r="J2036" s="724">
        <v>0</v>
      </c>
      <c r="K2036" s="724">
        <v>0</v>
      </c>
      <c r="L2036" s="724">
        <v>161.51299528715299</v>
      </c>
    </row>
    <row r="2037" spans="1:12">
      <c r="A2037" s="722" t="s">
        <v>263</v>
      </c>
      <c r="B2037" s="722">
        <v>214</v>
      </c>
      <c r="C2037" s="723">
        <v>1</v>
      </c>
      <c r="D2037" s="723">
        <v>0</v>
      </c>
      <c r="E2037" s="723">
        <v>0</v>
      </c>
      <c r="F2037" s="723">
        <v>0</v>
      </c>
      <c r="G2037" s="723">
        <v>1</v>
      </c>
      <c r="H2037" s="724">
        <v>72.646319073414332</v>
      </c>
      <c r="I2037" s="724">
        <v>0</v>
      </c>
      <c r="J2037" s="724">
        <v>0</v>
      </c>
      <c r="K2037" s="724">
        <v>0</v>
      </c>
      <c r="L2037" s="724">
        <v>72.646319073414332</v>
      </c>
    </row>
    <row r="2038" spans="1:12">
      <c r="A2038" s="722" t="s">
        <v>263</v>
      </c>
      <c r="B2038" s="722">
        <v>502</v>
      </c>
      <c r="C2038" s="723">
        <v>0</v>
      </c>
      <c r="D2038" s="723">
        <v>2</v>
      </c>
      <c r="E2038" s="723">
        <v>0</v>
      </c>
      <c r="F2038" s="723">
        <v>0</v>
      </c>
      <c r="G2038" s="723">
        <v>2</v>
      </c>
      <c r="H2038" s="724">
        <v>0</v>
      </c>
      <c r="I2038" s="724">
        <v>145.29263814682866</v>
      </c>
      <c r="J2038" s="724">
        <v>0</v>
      </c>
      <c r="K2038" s="724">
        <v>0</v>
      </c>
      <c r="L2038" s="724">
        <v>145.29263814682866</v>
      </c>
    </row>
    <row r="2039" spans="1:12">
      <c r="A2039" s="722" t="s">
        <v>264</v>
      </c>
      <c r="B2039" s="722">
        <v>100</v>
      </c>
      <c r="C2039" s="723">
        <v>1</v>
      </c>
      <c r="D2039" s="723">
        <v>0</v>
      </c>
      <c r="E2039" s="723">
        <v>0</v>
      </c>
      <c r="F2039" s="723">
        <v>0</v>
      </c>
      <c r="G2039" s="723">
        <v>1</v>
      </c>
      <c r="H2039" s="724">
        <v>112.39384536430344</v>
      </c>
      <c r="I2039" s="724">
        <v>0</v>
      </c>
      <c r="J2039" s="724">
        <v>0</v>
      </c>
      <c r="K2039" s="724">
        <v>0</v>
      </c>
      <c r="L2039" s="724">
        <v>112.39384536430344</v>
      </c>
    </row>
    <row r="2040" spans="1:12">
      <c r="A2040" s="722" t="s">
        <v>264</v>
      </c>
      <c r="B2040" s="722">
        <v>110</v>
      </c>
      <c r="C2040" s="723">
        <v>61</v>
      </c>
      <c r="D2040" s="723">
        <v>19</v>
      </c>
      <c r="E2040" s="723">
        <v>0</v>
      </c>
      <c r="F2040" s="723">
        <v>0</v>
      </c>
      <c r="G2040" s="723">
        <v>80</v>
      </c>
      <c r="H2040" s="724">
        <v>6856.0245672225092</v>
      </c>
      <c r="I2040" s="724">
        <v>2135.4830619217655</v>
      </c>
      <c r="J2040" s="724">
        <v>0</v>
      </c>
      <c r="K2040" s="724">
        <v>0</v>
      </c>
      <c r="L2040" s="724">
        <v>8991.5076291442747</v>
      </c>
    </row>
    <row r="2041" spans="1:12">
      <c r="A2041" s="722" t="s">
        <v>264</v>
      </c>
      <c r="B2041" s="722">
        <v>144</v>
      </c>
      <c r="C2041" s="723">
        <v>0</v>
      </c>
      <c r="D2041" s="723">
        <v>1</v>
      </c>
      <c r="E2041" s="723">
        <v>0</v>
      </c>
      <c r="F2041" s="723">
        <v>0</v>
      </c>
      <c r="G2041" s="723">
        <v>1</v>
      </c>
      <c r="H2041" s="724">
        <v>0</v>
      </c>
      <c r="I2041" s="724">
        <v>112.39384536430344</v>
      </c>
      <c r="J2041" s="724">
        <v>0</v>
      </c>
      <c r="K2041" s="724">
        <v>0</v>
      </c>
      <c r="L2041" s="724">
        <v>112.39384536430344</v>
      </c>
    </row>
    <row r="2042" spans="1:12">
      <c r="A2042" s="722" t="s">
        <v>264</v>
      </c>
      <c r="B2042" s="722">
        <v>160</v>
      </c>
      <c r="C2042" s="723">
        <v>2</v>
      </c>
      <c r="D2042" s="723">
        <v>1</v>
      </c>
      <c r="E2042" s="723">
        <v>0</v>
      </c>
      <c r="F2042" s="723">
        <v>0</v>
      </c>
      <c r="G2042" s="723">
        <v>3</v>
      </c>
      <c r="H2042" s="724">
        <v>224.78769072860689</v>
      </c>
      <c r="I2042" s="724">
        <v>112.39384536430344</v>
      </c>
      <c r="J2042" s="724">
        <v>0</v>
      </c>
      <c r="K2042" s="724">
        <v>0</v>
      </c>
      <c r="L2042" s="724">
        <v>337.18153609291033</v>
      </c>
    </row>
    <row r="2043" spans="1:12">
      <c r="A2043" s="722" t="s">
        <v>264</v>
      </c>
      <c r="B2043" s="722">
        <v>214</v>
      </c>
      <c r="C2043" s="723">
        <v>3</v>
      </c>
      <c r="D2043" s="723">
        <v>0</v>
      </c>
      <c r="E2043" s="723">
        <v>0</v>
      </c>
      <c r="F2043" s="723">
        <v>0</v>
      </c>
      <c r="G2043" s="723">
        <v>3</v>
      </c>
      <c r="H2043" s="724">
        <v>337.18153609291033</v>
      </c>
      <c r="I2043" s="724">
        <v>0</v>
      </c>
      <c r="J2043" s="724">
        <v>0</v>
      </c>
      <c r="K2043" s="724">
        <v>0</v>
      </c>
      <c r="L2043" s="724">
        <v>337.18153609291033</v>
      </c>
    </row>
    <row r="2044" spans="1:12">
      <c r="A2044" s="722" t="s">
        <v>264</v>
      </c>
      <c r="B2044" s="722">
        <v>252</v>
      </c>
      <c r="C2044" s="723">
        <v>1</v>
      </c>
      <c r="D2044" s="723">
        <v>0</v>
      </c>
      <c r="E2044" s="723">
        <v>0</v>
      </c>
      <c r="F2044" s="723">
        <v>0</v>
      </c>
      <c r="G2044" s="723">
        <v>1</v>
      </c>
      <c r="H2044" s="724">
        <v>112.39384536430344</v>
      </c>
      <c r="I2044" s="724">
        <v>0</v>
      </c>
      <c r="J2044" s="724">
        <v>0</v>
      </c>
      <c r="K2044" s="724">
        <v>0</v>
      </c>
      <c r="L2044" s="724">
        <v>112.39384536430344</v>
      </c>
    </row>
    <row r="2045" spans="1:12">
      <c r="A2045" s="722" t="s">
        <v>264</v>
      </c>
      <c r="B2045" s="722">
        <v>258</v>
      </c>
      <c r="C2045" s="723">
        <v>1</v>
      </c>
      <c r="D2045" s="723">
        <v>1</v>
      </c>
      <c r="E2045" s="723">
        <v>0</v>
      </c>
      <c r="F2045" s="723">
        <v>0</v>
      </c>
      <c r="G2045" s="723">
        <v>2</v>
      </c>
      <c r="H2045" s="724">
        <v>112.39384536430344</v>
      </c>
      <c r="I2045" s="724">
        <v>112.39384536430344</v>
      </c>
      <c r="J2045" s="724">
        <v>0</v>
      </c>
      <c r="K2045" s="724">
        <v>0</v>
      </c>
      <c r="L2045" s="724">
        <v>224.78769072860689</v>
      </c>
    </row>
    <row r="2046" spans="1:12">
      <c r="A2046" s="722" t="s">
        <v>264</v>
      </c>
      <c r="B2046" s="722">
        <v>300</v>
      </c>
      <c r="C2046" s="723">
        <v>0</v>
      </c>
      <c r="D2046" s="723">
        <v>1</v>
      </c>
      <c r="E2046" s="723">
        <v>0</v>
      </c>
      <c r="F2046" s="723">
        <v>0</v>
      </c>
      <c r="G2046" s="723">
        <v>1</v>
      </c>
      <c r="H2046" s="724">
        <v>0</v>
      </c>
      <c r="I2046" s="724">
        <v>112.39384536430344</v>
      </c>
      <c r="J2046" s="724">
        <v>0</v>
      </c>
      <c r="K2046" s="724">
        <v>0</v>
      </c>
      <c r="L2046" s="724">
        <v>112.39384536430344</v>
      </c>
    </row>
    <row r="2047" spans="1:12">
      <c r="A2047" s="722" t="s">
        <v>264</v>
      </c>
      <c r="B2047" s="722">
        <v>310</v>
      </c>
      <c r="C2047" s="723">
        <v>1</v>
      </c>
      <c r="D2047" s="723">
        <v>0</v>
      </c>
      <c r="E2047" s="723">
        <v>0</v>
      </c>
      <c r="F2047" s="723">
        <v>0</v>
      </c>
      <c r="G2047" s="723">
        <v>1</v>
      </c>
      <c r="H2047" s="724">
        <v>112.39384536430344</v>
      </c>
      <c r="I2047" s="724">
        <v>0</v>
      </c>
      <c r="J2047" s="724">
        <v>0</v>
      </c>
      <c r="K2047" s="724">
        <v>0</v>
      </c>
      <c r="L2047" s="724">
        <v>112.39384536430344</v>
      </c>
    </row>
    <row r="2048" spans="1:12">
      <c r="A2048" s="722" t="s">
        <v>264</v>
      </c>
      <c r="B2048" s="722">
        <v>317</v>
      </c>
      <c r="C2048" s="723">
        <v>1</v>
      </c>
      <c r="D2048" s="723">
        <v>0</v>
      </c>
      <c r="E2048" s="723">
        <v>0</v>
      </c>
      <c r="F2048" s="723">
        <v>0</v>
      </c>
      <c r="G2048" s="723">
        <v>1</v>
      </c>
      <c r="H2048" s="724">
        <v>112.39384536430344</v>
      </c>
      <c r="I2048" s="724">
        <v>0</v>
      </c>
      <c r="J2048" s="724">
        <v>0</v>
      </c>
      <c r="K2048" s="724">
        <v>0</v>
      </c>
      <c r="L2048" s="724">
        <v>112.39384536430344</v>
      </c>
    </row>
    <row r="2049" spans="1:12">
      <c r="A2049" s="722" t="s">
        <v>264</v>
      </c>
      <c r="B2049" s="722">
        <v>330</v>
      </c>
      <c r="C2049" s="723">
        <v>2</v>
      </c>
      <c r="D2049" s="723">
        <v>0</v>
      </c>
      <c r="E2049" s="723">
        <v>0</v>
      </c>
      <c r="F2049" s="723">
        <v>0</v>
      </c>
      <c r="G2049" s="723">
        <v>2</v>
      </c>
      <c r="H2049" s="724">
        <v>224.78769072860689</v>
      </c>
      <c r="I2049" s="724">
        <v>0</v>
      </c>
      <c r="J2049" s="724">
        <v>0</v>
      </c>
      <c r="K2049" s="724">
        <v>0</v>
      </c>
      <c r="L2049" s="724">
        <v>224.78769072860689</v>
      </c>
    </row>
    <row r="2050" spans="1:12">
      <c r="A2050" s="722" t="s">
        <v>264</v>
      </c>
      <c r="B2050" s="722">
        <v>340</v>
      </c>
      <c r="C2050" s="723">
        <v>1</v>
      </c>
      <c r="D2050" s="723">
        <v>2</v>
      </c>
      <c r="E2050" s="723">
        <v>0</v>
      </c>
      <c r="F2050" s="723">
        <v>0</v>
      </c>
      <c r="G2050" s="723">
        <v>3</v>
      </c>
      <c r="H2050" s="724">
        <v>112.39384536430344</v>
      </c>
      <c r="I2050" s="724">
        <v>224.78769072860689</v>
      </c>
      <c r="J2050" s="724">
        <v>0</v>
      </c>
      <c r="K2050" s="724">
        <v>0</v>
      </c>
      <c r="L2050" s="724">
        <v>337.18153609291033</v>
      </c>
    </row>
    <row r="2051" spans="1:12">
      <c r="A2051" s="722" t="s">
        <v>264</v>
      </c>
      <c r="B2051" s="722">
        <v>410</v>
      </c>
      <c r="C2051" s="723">
        <v>3</v>
      </c>
      <c r="D2051" s="723">
        <v>3</v>
      </c>
      <c r="E2051" s="723">
        <v>0</v>
      </c>
      <c r="F2051" s="723">
        <v>0</v>
      </c>
      <c r="G2051" s="723">
        <v>6</v>
      </c>
      <c r="H2051" s="724">
        <v>337.18153609291033</v>
      </c>
      <c r="I2051" s="724">
        <v>337.18153609291033</v>
      </c>
      <c r="J2051" s="724">
        <v>0</v>
      </c>
      <c r="K2051" s="724">
        <v>0</v>
      </c>
      <c r="L2051" s="724">
        <v>674.36307218582067</v>
      </c>
    </row>
    <row r="2052" spans="1:12">
      <c r="A2052" s="722" t="s">
        <v>264</v>
      </c>
      <c r="B2052" s="722">
        <v>501</v>
      </c>
      <c r="C2052" s="723">
        <v>1</v>
      </c>
      <c r="D2052" s="723">
        <v>0</v>
      </c>
      <c r="E2052" s="723">
        <v>0</v>
      </c>
      <c r="F2052" s="723">
        <v>0</v>
      </c>
      <c r="G2052" s="723">
        <v>1</v>
      </c>
      <c r="H2052" s="724">
        <v>112.39384536430344</v>
      </c>
      <c r="I2052" s="724">
        <v>0</v>
      </c>
      <c r="J2052" s="724">
        <v>0</v>
      </c>
      <c r="K2052" s="724">
        <v>0</v>
      </c>
      <c r="L2052" s="724">
        <v>112.39384536430344</v>
      </c>
    </row>
    <row r="2053" spans="1:12">
      <c r="A2053" s="722" t="s">
        <v>264</v>
      </c>
      <c r="B2053" s="722">
        <v>502</v>
      </c>
      <c r="C2053" s="723">
        <v>6</v>
      </c>
      <c r="D2053" s="723">
        <v>3</v>
      </c>
      <c r="E2053" s="723">
        <v>0</v>
      </c>
      <c r="F2053" s="723">
        <v>0</v>
      </c>
      <c r="G2053" s="723">
        <v>9</v>
      </c>
      <c r="H2053" s="724">
        <v>674.36307218582056</v>
      </c>
      <c r="I2053" s="724">
        <v>337.18153609291028</v>
      </c>
      <c r="J2053" s="724">
        <v>0</v>
      </c>
      <c r="K2053" s="724">
        <v>0</v>
      </c>
      <c r="L2053" s="724">
        <v>1011.5446082787309</v>
      </c>
    </row>
    <row r="2054" spans="1:12">
      <c r="A2054" s="722" t="s">
        <v>264</v>
      </c>
      <c r="B2054" s="722">
        <v>840</v>
      </c>
      <c r="C2054" s="723">
        <v>0</v>
      </c>
      <c r="D2054" s="723">
        <v>1</v>
      </c>
      <c r="E2054" s="723">
        <v>0</v>
      </c>
      <c r="F2054" s="723">
        <v>0</v>
      </c>
      <c r="G2054" s="723">
        <v>1</v>
      </c>
      <c r="H2054" s="724">
        <v>0</v>
      </c>
      <c r="I2054" s="724">
        <v>112.39384536430344</v>
      </c>
      <c r="J2054" s="724">
        <v>0</v>
      </c>
      <c r="K2054" s="724">
        <v>0</v>
      </c>
      <c r="L2054" s="724">
        <v>112.39384536430344</v>
      </c>
    </row>
    <row r="2055" spans="1:12">
      <c r="A2055" s="722" t="s">
        <v>265</v>
      </c>
      <c r="B2055" s="722">
        <v>100</v>
      </c>
      <c r="C2055" s="723">
        <v>2</v>
      </c>
      <c r="D2055" s="723">
        <v>0</v>
      </c>
      <c r="E2055" s="723">
        <v>0</v>
      </c>
      <c r="F2055" s="723">
        <v>0</v>
      </c>
      <c r="G2055" s="723">
        <v>2</v>
      </c>
      <c r="H2055" s="724">
        <v>326.02329687308657</v>
      </c>
      <c r="I2055" s="724">
        <v>0</v>
      </c>
      <c r="J2055" s="724">
        <v>0</v>
      </c>
      <c r="K2055" s="724">
        <v>0</v>
      </c>
      <c r="L2055" s="724">
        <v>326.02329687308657</v>
      </c>
    </row>
    <row r="2056" spans="1:12">
      <c r="A2056" s="722" t="s">
        <v>265</v>
      </c>
      <c r="B2056" s="722">
        <v>110</v>
      </c>
      <c r="C2056" s="723">
        <v>21</v>
      </c>
      <c r="D2056" s="723">
        <v>14</v>
      </c>
      <c r="E2056" s="723">
        <v>0</v>
      </c>
      <c r="F2056" s="723">
        <v>0</v>
      </c>
      <c r="G2056" s="723">
        <v>35</v>
      </c>
      <c r="H2056" s="724">
        <v>3423.2446171674087</v>
      </c>
      <c r="I2056" s="724">
        <v>2282.163078111606</v>
      </c>
      <c r="J2056" s="724">
        <v>0</v>
      </c>
      <c r="K2056" s="724">
        <v>0</v>
      </c>
      <c r="L2056" s="724">
        <v>5705.4076952790147</v>
      </c>
    </row>
    <row r="2057" spans="1:12">
      <c r="A2057" s="722" t="s">
        <v>265</v>
      </c>
      <c r="B2057" s="722">
        <v>120</v>
      </c>
      <c r="C2057" s="723">
        <v>1</v>
      </c>
      <c r="D2057" s="723">
        <v>2</v>
      </c>
      <c r="E2057" s="723">
        <v>0</v>
      </c>
      <c r="F2057" s="723">
        <v>0</v>
      </c>
      <c r="G2057" s="723">
        <v>3</v>
      </c>
      <c r="H2057" s="724">
        <v>163.01164843654331</v>
      </c>
      <c r="I2057" s="724">
        <v>326.02329687308662</v>
      </c>
      <c r="J2057" s="724">
        <v>0</v>
      </c>
      <c r="K2057" s="724">
        <v>0</v>
      </c>
      <c r="L2057" s="724">
        <v>489.0349453096299</v>
      </c>
    </row>
    <row r="2058" spans="1:12">
      <c r="A2058" s="722" t="s">
        <v>265</v>
      </c>
      <c r="B2058" s="722">
        <v>160</v>
      </c>
      <c r="C2058" s="723">
        <v>1</v>
      </c>
      <c r="D2058" s="723">
        <v>0</v>
      </c>
      <c r="E2058" s="723">
        <v>0</v>
      </c>
      <c r="F2058" s="723">
        <v>0</v>
      </c>
      <c r="G2058" s="723">
        <v>1</v>
      </c>
      <c r="H2058" s="724">
        <v>163.01164843654328</v>
      </c>
      <c r="I2058" s="724">
        <v>0</v>
      </c>
      <c r="J2058" s="724">
        <v>0</v>
      </c>
      <c r="K2058" s="724">
        <v>0</v>
      </c>
      <c r="L2058" s="724">
        <v>163.01164843654328</v>
      </c>
    </row>
    <row r="2059" spans="1:12">
      <c r="A2059" s="722" t="s">
        <v>265</v>
      </c>
      <c r="B2059" s="722">
        <v>191</v>
      </c>
      <c r="C2059" s="723">
        <v>1</v>
      </c>
      <c r="D2059" s="723">
        <v>0</v>
      </c>
      <c r="E2059" s="723">
        <v>0</v>
      </c>
      <c r="F2059" s="723">
        <v>0</v>
      </c>
      <c r="G2059" s="723">
        <v>1</v>
      </c>
      <c r="H2059" s="724">
        <v>163.01164843654328</v>
      </c>
      <c r="I2059" s="724">
        <v>0</v>
      </c>
      <c r="J2059" s="724">
        <v>0</v>
      </c>
      <c r="K2059" s="724">
        <v>0</v>
      </c>
      <c r="L2059" s="724">
        <v>163.01164843654328</v>
      </c>
    </row>
    <row r="2060" spans="1:12">
      <c r="A2060" s="722" t="s">
        <v>265</v>
      </c>
      <c r="B2060" s="722">
        <v>300</v>
      </c>
      <c r="C2060" s="723">
        <v>1</v>
      </c>
      <c r="D2060" s="723">
        <v>0</v>
      </c>
      <c r="E2060" s="723">
        <v>0</v>
      </c>
      <c r="F2060" s="723">
        <v>0</v>
      </c>
      <c r="G2060" s="723">
        <v>1</v>
      </c>
      <c r="H2060" s="724">
        <v>163.01164843654328</v>
      </c>
      <c r="I2060" s="724">
        <v>0</v>
      </c>
      <c r="J2060" s="724">
        <v>0</v>
      </c>
      <c r="K2060" s="724">
        <v>0</v>
      </c>
      <c r="L2060" s="724">
        <v>163.01164843654328</v>
      </c>
    </row>
    <row r="2061" spans="1:12">
      <c r="A2061" s="722" t="s">
        <v>265</v>
      </c>
      <c r="B2061" s="722">
        <v>320</v>
      </c>
      <c r="C2061" s="723">
        <v>0</v>
      </c>
      <c r="D2061" s="723">
        <v>1</v>
      </c>
      <c r="E2061" s="723">
        <v>0</v>
      </c>
      <c r="F2061" s="723">
        <v>0</v>
      </c>
      <c r="G2061" s="723">
        <v>1</v>
      </c>
      <c r="H2061" s="724">
        <v>0</v>
      </c>
      <c r="I2061" s="724">
        <v>163.01164843654328</v>
      </c>
      <c r="J2061" s="724">
        <v>0</v>
      </c>
      <c r="K2061" s="724">
        <v>0</v>
      </c>
      <c r="L2061" s="724">
        <v>163.01164843654328</v>
      </c>
    </row>
    <row r="2062" spans="1:12">
      <c r="A2062" s="722" t="s">
        <v>265</v>
      </c>
      <c r="B2062" s="722">
        <v>321</v>
      </c>
      <c r="C2062" s="723">
        <v>1</v>
      </c>
      <c r="D2062" s="723">
        <v>2</v>
      </c>
      <c r="E2062" s="723">
        <v>0</v>
      </c>
      <c r="F2062" s="723">
        <v>0</v>
      </c>
      <c r="G2062" s="723">
        <v>3</v>
      </c>
      <c r="H2062" s="724">
        <v>163.01164843654331</v>
      </c>
      <c r="I2062" s="724">
        <v>326.02329687308662</v>
      </c>
      <c r="J2062" s="724">
        <v>0</v>
      </c>
      <c r="K2062" s="724">
        <v>0</v>
      </c>
      <c r="L2062" s="724">
        <v>489.0349453096299</v>
      </c>
    </row>
    <row r="2063" spans="1:12">
      <c r="A2063" s="722" t="s">
        <v>265</v>
      </c>
      <c r="B2063" s="722">
        <v>330</v>
      </c>
      <c r="C2063" s="723">
        <v>5</v>
      </c>
      <c r="D2063" s="723">
        <v>0</v>
      </c>
      <c r="E2063" s="723">
        <v>0</v>
      </c>
      <c r="F2063" s="723">
        <v>0</v>
      </c>
      <c r="G2063" s="723">
        <v>5</v>
      </c>
      <c r="H2063" s="724">
        <v>815.05824218271641</v>
      </c>
      <c r="I2063" s="724">
        <v>0</v>
      </c>
      <c r="J2063" s="724">
        <v>0</v>
      </c>
      <c r="K2063" s="724">
        <v>0</v>
      </c>
      <c r="L2063" s="724">
        <v>815.05824218271641</v>
      </c>
    </row>
    <row r="2064" spans="1:12">
      <c r="A2064" s="722" t="s">
        <v>265</v>
      </c>
      <c r="B2064" s="722">
        <v>340</v>
      </c>
      <c r="C2064" s="723">
        <v>7</v>
      </c>
      <c r="D2064" s="723">
        <v>2</v>
      </c>
      <c r="E2064" s="723">
        <v>0</v>
      </c>
      <c r="F2064" s="723">
        <v>0</v>
      </c>
      <c r="G2064" s="723">
        <v>9</v>
      </c>
      <c r="H2064" s="724">
        <v>1141.081539055803</v>
      </c>
      <c r="I2064" s="724">
        <v>326.02329687308662</v>
      </c>
      <c r="J2064" s="724">
        <v>0</v>
      </c>
      <c r="K2064" s="724">
        <v>0</v>
      </c>
      <c r="L2064" s="724">
        <v>1467.1048359288898</v>
      </c>
    </row>
    <row r="2065" spans="1:12">
      <c r="A2065" s="722" t="s">
        <v>265</v>
      </c>
      <c r="B2065" s="722">
        <v>410</v>
      </c>
      <c r="C2065" s="723">
        <v>21</v>
      </c>
      <c r="D2065" s="723">
        <v>4</v>
      </c>
      <c r="E2065" s="723">
        <v>0</v>
      </c>
      <c r="F2065" s="723">
        <v>0</v>
      </c>
      <c r="G2065" s="723">
        <v>25</v>
      </c>
      <c r="H2065" s="724">
        <v>3423.2446171674092</v>
      </c>
      <c r="I2065" s="724">
        <v>652.04659374617313</v>
      </c>
      <c r="J2065" s="724">
        <v>0</v>
      </c>
      <c r="K2065" s="724">
        <v>0</v>
      </c>
      <c r="L2065" s="724">
        <v>4075.2912109135823</v>
      </c>
    </row>
    <row r="2066" spans="1:12">
      <c r="A2066" s="722" t="s">
        <v>265</v>
      </c>
      <c r="B2066" s="722">
        <v>420</v>
      </c>
      <c r="C2066" s="723">
        <v>5</v>
      </c>
      <c r="D2066" s="723">
        <v>2</v>
      </c>
      <c r="E2066" s="723">
        <v>0</v>
      </c>
      <c r="F2066" s="723">
        <v>0</v>
      </c>
      <c r="G2066" s="723">
        <v>7</v>
      </c>
      <c r="H2066" s="724">
        <v>815.05824218271641</v>
      </c>
      <c r="I2066" s="724">
        <v>326.02329687308657</v>
      </c>
      <c r="J2066" s="724">
        <v>0</v>
      </c>
      <c r="K2066" s="724">
        <v>0</v>
      </c>
      <c r="L2066" s="724">
        <v>1141.081539055803</v>
      </c>
    </row>
    <row r="2067" spans="1:12">
      <c r="A2067" s="722" t="s">
        <v>265</v>
      </c>
      <c r="B2067" s="722">
        <v>502</v>
      </c>
      <c r="C2067" s="723">
        <v>1</v>
      </c>
      <c r="D2067" s="723">
        <v>2</v>
      </c>
      <c r="E2067" s="723">
        <v>0</v>
      </c>
      <c r="F2067" s="723">
        <v>0</v>
      </c>
      <c r="G2067" s="723">
        <v>3</v>
      </c>
      <c r="H2067" s="724">
        <v>163.01164843654331</v>
      </c>
      <c r="I2067" s="724">
        <v>326.02329687308662</v>
      </c>
      <c r="J2067" s="724">
        <v>0</v>
      </c>
      <c r="K2067" s="724">
        <v>0</v>
      </c>
      <c r="L2067" s="724">
        <v>489.0349453096299</v>
      </c>
    </row>
    <row r="2068" spans="1:12">
      <c r="A2068" s="722" t="s">
        <v>265</v>
      </c>
      <c r="B2068" s="722">
        <v>653</v>
      </c>
      <c r="C2068" s="723">
        <v>1</v>
      </c>
      <c r="D2068" s="723">
        <v>0</v>
      </c>
      <c r="E2068" s="723">
        <v>0</v>
      </c>
      <c r="F2068" s="723">
        <v>0</v>
      </c>
      <c r="G2068" s="723">
        <v>1</v>
      </c>
      <c r="H2068" s="724">
        <v>163.01164843654328</v>
      </c>
      <c r="I2068" s="724">
        <v>0</v>
      </c>
      <c r="J2068" s="724">
        <v>0</v>
      </c>
      <c r="K2068" s="724">
        <v>0</v>
      </c>
      <c r="L2068" s="724">
        <v>163.01164843654328</v>
      </c>
    </row>
    <row r="2069" spans="1:12">
      <c r="A2069" s="722" t="s">
        <v>266</v>
      </c>
      <c r="B2069" s="722">
        <v>100</v>
      </c>
      <c r="C2069" s="723">
        <v>1</v>
      </c>
      <c r="D2069" s="723">
        <v>0</v>
      </c>
      <c r="E2069" s="723">
        <v>0</v>
      </c>
      <c r="F2069" s="723">
        <v>0</v>
      </c>
      <c r="G2069" s="723">
        <v>1</v>
      </c>
      <c r="H2069" s="724">
        <v>98.050057004259997</v>
      </c>
      <c r="I2069" s="724">
        <v>0</v>
      </c>
      <c r="J2069" s="724">
        <v>0</v>
      </c>
      <c r="K2069" s="724">
        <v>0</v>
      </c>
      <c r="L2069" s="724">
        <v>98.050057004259997</v>
      </c>
    </row>
    <row r="2070" spans="1:12">
      <c r="A2070" s="722" t="s">
        <v>266</v>
      </c>
      <c r="B2070" s="722">
        <v>110</v>
      </c>
      <c r="C2070" s="723">
        <v>4</v>
      </c>
      <c r="D2070" s="723">
        <v>4</v>
      </c>
      <c r="E2070" s="723">
        <v>0</v>
      </c>
      <c r="F2070" s="723">
        <v>0</v>
      </c>
      <c r="G2070" s="723">
        <v>8</v>
      </c>
      <c r="H2070" s="724">
        <v>392.20022801703999</v>
      </c>
      <c r="I2070" s="724">
        <v>392.20022801703999</v>
      </c>
      <c r="J2070" s="724">
        <v>0</v>
      </c>
      <c r="K2070" s="724">
        <v>0</v>
      </c>
      <c r="L2070" s="724">
        <v>784.40045603407998</v>
      </c>
    </row>
    <row r="2071" spans="1:12">
      <c r="A2071" s="722" t="s">
        <v>266</v>
      </c>
      <c r="B2071" s="722">
        <v>120</v>
      </c>
      <c r="C2071" s="723">
        <v>1</v>
      </c>
      <c r="D2071" s="723">
        <v>0</v>
      </c>
      <c r="E2071" s="723">
        <v>0</v>
      </c>
      <c r="F2071" s="723">
        <v>0</v>
      </c>
      <c r="G2071" s="723">
        <v>1</v>
      </c>
      <c r="H2071" s="724">
        <v>98.050057004259997</v>
      </c>
      <c r="I2071" s="724">
        <v>0</v>
      </c>
      <c r="J2071" s="724">
        <v>0</v>
      </c>
      <c r="K2071" s="724">
        <v>0</v>
      </c>
      <c r="L2071" s="724">
        <v>98.050057004259997</v>
      </c>
    </row>
    <row r="2072" spans="1:12">
      <c r="A2072" s="722" t="s">
        <v>266</v>
      </c>
      <c r="B2072" s="722">
        <v>160</v>
      </c>
      <c r="C2072" s="723">
        <v>1</v>
      </c>
      <c r="D2072" s="723">
        <v>0</v>
      </c>
      <c r="E2072" s="723">
        <v>0</v>
      </c>
      <c r="F2072" s="723">
        <v>0</v>
      </c>
      <c r="G2072" s="723">
        <v>1</v>
      </c>
      <c r="H2072" s="724">
        <v>98.050057004259997</v>
      </c>
      <c r="I2072" s="724">
        <v>0</v>
      </c>
      <c r="J2072" s="724">
        <v>0</v>
      </c>
      <c r="K2072" s="724">
        <v>0</v>
      </c>
      <c r="L2072" s="724">
        <v>98.050057004259997</v>
      </c>
    </row>
    <row r="2073" spans="1:12">
      <c r="A2073" s="722" t="s">
        <v>266</v>
      </c>
      <c r="B2073" s="722">
        <v>300</v>
      </c>
      <c r="C2073" s="723">
        <v>0</v>
      </c>
      <c r="D2073" s="723">
        <v>1</v>
      </c>
      <c r="E2073" s="723">
        <v>0</v>
      </c>
      <c r="F2073" s="723">
        <v>0</v>
      </c>
      <c r="G2073" s="723">
        <v>1</v>
      </c>
      <c r="H2073" s="724">
        <v>0</v>
      </c>
      <c r="I2073" s="724">
        <v>98.050057004259997</v>
      </c>
      <c r="J2073" s="724">
        <v>0</v>
      </c>
      <c r="K2073" s="724">
        <v>0</v>
      </c>
      <c r="L2073" s="724">
        <v>98.050057004259997</v>
      </c>
    </row>
    <row r="2074" spans="1:12">
      <c r="A2074" s="722" t="s">
        <v>266</v>
      </c>
      <c r="B2074" s="722">
        <v>302</v>
      </c>
      <c r="C2074" s="723">
        <v>1</v>
      </c>
      <c r="D2074" s="723">
        <v>0</v>
      </c>
      <c r="E2074" s="723">
        <v>0</v>
      </c>
      <c r="F2074" s="723">
        <v>0</v>
      </c>
      <c r="G2074" s="723">
        <v>1</v>
      </c>
      <c r="H2074" s="724">
        <v>98.050057004259997</v>
      </c>
      <c r="I2074" s="724">
        <v>0</v>
      </c>
      <c r="J2074" s="724">
        <v>0</v>
      </c>
      <c r="K2074" s="724">
        <v>0</v>
      </c>
      <c r="L2074" s="724">
        <v>98.050057004259997</v>
      </c>
    </row>
    <row r="2075" spans="1:12">
      <c r="A2075" s="722" t="s">
        <v>266</v>
      </c>
      <c r="B2075" s="722">
        <v>410</v>
      </c>
      <c r="C2075" s="723">
        <v>1</v>
      </c>
      <c r="D2075" s="723">
        <v>0</v>
      </c>
      <c r="E2075" s="723">
        <v>0</v>
      </c>
      <c r="F2075" s="723">
        <v>0</v>
      </c>
      <c r="G2075" s="723">
        <v>1</v>
      </c>
      <c r="H2075" s="724">
        <v>98.050057004259997</v>
      </c>
      <c r="I2075" s="724">
        <v>0</v>
      </c>
      <c r="J2075" s="724">
        <v>0</v>
      </c>
      <c r="K2075" s="724">
        <v>0</v>
      </c>
      <c r="L2075" s="724">
        <v>98.050057004259997</v>
      </c>
    </row>
    <row r="2076" spans="1:12">
      <c r="A2076" s="722" t="s">
        <v>266</v>
      </c>
      <c r="B2076" s="722">
        <v>502</v>
      </c>
      <c r="C2076" s="723">
        <v>0</v>
      </c>
      <c r="D2076" s="723">
        <v>1</v>
      </c>
      <c r="E2076" s="723">
        <v>0</v>
      </c>
      <c r="F2076" s="723">
        <v>0</v>
      </c>
      <c r="G2076" s="723">
        <v>1</v>
      </c>
      <c r="H2076" s="724">
        <v>0</v>
      </c>
      <c r="I2076" s="724">
        <v>98.050057004259997</v>
      </c>
      <c r="J2076" s="724">
        <v>0</v>
      </c>
      <c r="K2076" s="724">
        <v>0</v>
      </c>
      <c r="L2076" s="724">
        <v>98.050057004259997</v>
      </c>
    </row>
    <row r="2077" spans="1:12">
      <c r="A2077" s="722" t="s">
        <v>267</v>
      </c>
      <c r="B2077" s="722">
        <v>110</v>
      </c>
      <c r="C2077" s="723">
        <v>2</v>
      </c>
      <c r="D2077" s="723">
        <v>0</v>
      </c>
      <c r="E2077" s="723">
        <v>0</v>
      </c>
      <c r="F2077" s="723">
        <v>0</v>
      </c>
      <c r="G2077" s="723">
        <v>2</v>
      </c>
      <c r="H2077" s="724">
        <v>344.30313925725403</v>
      </c>
      <c r="I2077" s="724">
        <v>0</v>
      </c>
      <c r="J2077" s="724">
        <v>0</v>
      </c>
      <c r="K2077" s="724">
        <v>0</v>
      </c>
      <c r="L2077" s="724">
        <v>344.30313925725403</v>
      </c>
    </row>
    <row r="2078" spans="1:12">
      <c r="A2078" s="722" t="s">
        <v>267</v>
      </c>
      <c r="B2078" s="722">
        <v>420</v>
      </c>
      <c r="C2078" s="723">
        <v>1</v>
      </c>
      <c r="D2078" s="723">
        <v>0</v>
      </c>
      <c r="E2078" s="723">
        <v>0</v>
      </c>
      <c r="F2078" s="723">
        <v>0</v>
      </c>
      <c r="G2078" s="723">
        <v>1</v>
      </c>
      <c r="H2078" s="724">
        <v>172.15156962862702</v>
      </c>
      <c r="I2078" s="724">
        <v>0</v>
      </c>
      <c r="J2078" s="724">
        <v>0</v>
      </c>
      <c r="K2078" s="724">
        <v>0</v>
      </c>
      <c r="L2078" s="724">
        <v>172.15156962862702</v>
      </c>
    </row>
    <row r="2079" spans="1:12">
      <c r="A2079" s="722" t="s">
        <v>268</v>
      </c>
      <c r="B2079" s="722">
        <v>103</v>
      </c>
      <c r="C2079" s="723">
        <v>2</v>
      </c>
      <c r="D2079" s="723">
        <v>0</v>
      </c>
      <c r="E2079" s="723">
        <v>0</v>
      </c>
      <c r="F2079" s="723">
        <v>0</v>
      </c>
      <c r="G2079" s="723">
        <v>2</v>
      </c>
      <c r="H2079" s="724">
        <v>105005.210844042</v>
      </c>
      <c r="I2079" s="724">
        <v>0</v>
      </c>
      <c r="J2079" s="724">
        <v>0</v>
      </c>
      <c r="K2079" s="724">
        <v>0</v>
      </c>
      <c r="L2079" s="724">
        <v>105005.210844042</v>
      </c>
    </row>
    <row r="2080" spans="1:12">
      <c r="A2080" s="722" t="s">
        <v>630</v>
      </c>
      <c r="B2080" s="722">
        <v>100</v>
      </c>
      <c r="C2080" s="723">
        <v>13</v>
      </c>
      <c r="D2080" s="723">
        <v>16</v>
      </c>
      <c r="E2080" s="723">
        <v>0</v>
      </c>
      <c r="F2080" s="723">
        <v>0</v>
      </c>
      <c r="G2080" s="723">
        <v>29</v>
      </c>
      <c r="H2080" s="724">
        <v>2196.7194106270435</v>
      </c>
      <c r="I2080" s="724">
        <v>2703.6546592332843</v>
      </c>
      <c r="J2080" s="724">
        <v>0</v>
      </c>
      <c r="K2080" s="724">
        <v>0</v>
      </c>
      <c r="L2080" s="724">
        <v>4900.3740698603278</v>
      </c>
    </row>
    <row r="2081" spans="1:12">
      <c r="A2081" s="722" t="s">
        <v>630</v>
      </c>
      <c r="B2081" s="722">
        <v>103</v>
      </c>
      <c r="C2081" s="723">
        <v>79</v>
      </c>
      <c r="D2081" s="723">
        <v>301</v>
      </c>
      <c r="E2081" s="723">
        <v>0</v>
      </c>
      <c r="F2081" s="723">
        <v>0</v>
      </c>
      <c r="G2081" s="723">
        <v>380</v>
      </c>
      <c r="H2081" s="724">
        <v>13349.29487996434</v>
      </c>
      <c r="I2081" s="724">
        <v>50862.503276826159</v>
      </c>
      <c r="J2081" s="724">
        <v>0</v>
      </c>
      <c r="K2081" s="724">
        <v>0</v>
      </c>
      <c r="L2081" s="724">
        <v>64211.798156790494</v>
      </c>
    </row>
    <row r="2082" spans="1:12">
      <c r="A2082" s="722" t="s">
        <v>630</v>
      </c>
      <c r="B2082" s="722">
        <v>120</v>
      </c>
      <c r="C2082" s="723">
        <v>0</v>
      </c>
      <c r="D2082" s="723">
        <v>1</v>
      </c>
      <c r="E2082" s="723">
        <v>0</v>
      </c>
      <c r="F2082" s="723">
        <v>0</v>
      </c>
      <c r="G2082" s="723">
        <v>1</v>
      </c>
      <c r="H2082" s="724">
        <v>0</v>
      </c>
      <c r="I2082" s="724">
        <v>168.97841620208027</v>
      </c>
      <c r="J2082" s="724">
        <v>0</v>
      </c>
      <c r="K2082" s="724">
        <v>0</v>
      </c>
      <c r="L2082" s="724">
        <v>168.97841620208027</v>
      </c>
    </row>
    <row r="2083" spans="1:12">
      <c r="A2083" s="722" t="s">
        <v>630</v>
      </c>
      <c r="B2083" s="722">
        <v>160</v>
      </c>
      <c r="C2083" s="723">
        <v>19</v>
      </c>
      <c r="D2083" s="723">
        <v>14</v>
      </c>
      <c r="E2083" s="723">
        <v>0</v>
      </c>
      <c r="F2083" s="723">
        <v>0</v>
      </c>
      <c r="G2083" s="723">
        <v>33</v>
      </c>
      <c r="H2083" s="724">
        <v>3210.589907839525</v>
      </c>
      <c r="I2083" s="724">
        <v>2365.6978268291236</v>
      </c>
      <c r="J2083" s="724">
        <v>0</v>
      </c>
      <c r="K2083" s="724">
        <v>0</v>
      </c>
      <c r="L2083" s="724">
        <v>5576.2877346686491</v>
      </c>
    </row>
    <row r="2084" spans="1:12">
      <c r="A2084" s="722" t="s">
        <v>630</v>
      </c>
      <c r="B2084" s="722">
        <v>370</v>
      </c>
      <c r="C2084" s="723">
        <v>2</v>
      </c>
      <c r="D2084" s="723">
        <v>0</v>
      </c>
      <c r="E2084" s="723">
        <v>0</v>
      </c>
      <c r="F2084" s="723">
        <v>0</v>
      </c>
      <c r="G2084" s="723">
        <v>2</v>
      </c>
      <c r="H2084" s="724">
        <v>337.95683240416054</v>
      </c>
      <c r="I2084" s="724">
        <v>0</v>
      </c>
      <c r="J2084" s="724">
        <v>0</v>
      </c>
      <c r="K2084" s="724">
        <v>0</v>
      </c>
      <c r="L2084" s="724">
        <v>337.95683240416054</v>
      </c>
    </row>
    <row r="2085" spans="1:12">
      <c r="A2085" s="722" t="s">
        <v>630</v>
      </c>
      <c r="B2085" s="722">
        <v>800</v>
      </c>
      <c r="C2085" s="723">
        <v>1</v>
      </c>
      <c r="D2085" s="723">
        <v>0</v>
      </c>
      <c r="E2085" s="723">
        <v>0</v>
      </c>
      <c r="F2085" s="723">
        <v>0</v>
      </c>
      <c r="G2085" s="723">
        <v>1</v>
      </c>
      <c r="H2085" s="724">
        <v>168.97841620208027</v>
      </c>
      <c r="I2085" s="724">
        <v>0</v>
      </c>
      <c r="J2085" s="724">
        <v>0</v>
      </c>
      <c r="K2085" s="724">
        <v>0</v>
      </c>
      <c r="L2085" s="724">
        <v>168.97841620208027</v>
      </c>
    </row>
    <row r="2086" spans="1:12">
      <c r="A2086" s="722" t="s">
        <v>630</v>
      </c>
      <c r="B2086" s="722">
        <v>811</v>
      </c>
      <c r="C2086" s="723">
        <v>7</v>
      </c>
      <c r="D2086" s="723">
        <v>28</v>
      </c>
      <c r="E2086" s="723">
        <v>0</v>
      </c>
      <c r="F2086" s="723">
        <v>0</v>
      </c>
      <c r="G2086" s="723">
        <v>35</v>
      </c>
      <c r="H2086" s="724">
        <v>1182.8489134145618</v>
      </c>
      <c r="I2086" s="724">
        <v>4731.3956536582473</v>
      </c>
      <c r="J2086" s="724">
        <v>0</v>
      </c>
      <c r="K2086" s="724">
        <v>0</v>
      </c>
      <c r="L2086" s="724">
        <v>5914.2445670728093</v>
      </c>
    </row>
    <row r="2087" spans="1:12">
      <c r="A2087" s="722" t="s">
        <v>630</v>
      </c>
      <c r="B2087" s="722">
        <v>812</v>
      </c>
      <c r="C2087" s="723">
        <v>4</v>
      </c>
      <c r="D2087" s="723">
        <v>6</v>
      </c>
      <c r="E2087" s="723">
        <v>0</v>
      </c>
      <c r="F2087" s="723">
        <v>0</v>
      </c>
      <c r="G2087" s="723">
        <v>10</v>
      </c>
      <c r="H2087" s="724">
        <v>675.91366480832107</v>
      </c>
      <c r="I2087" s="724">
        <v>1013.8704972124815</v>
      </c>
      <c r="J2087" s="724">
        <v>0</v>
      </c>
      <c r="K2087" s="724">
        <v>0</v>
      </c>
      <c r="L2087" s="724">
        <v>1689.7841620208026</v>
      </c>
    </row>
    <row r="2088" spans="1:12">
      <c r="A2088" s="722" t="s">
        <v>633</v>
      </c>
      <c r="B2088" s="722">
        <v>100</v>
      </c>
      <c r="C2088" s="723">
        <v>336</v>
      </c>
      <c r="D2088" s="723">
        <v>65</v>
      </c>
      <c r="E2088" s="723">
        <v>0</v>
      </c>
      <c r="F2088" s="723">
        <v>0</v>
      </c>
      <c r="G2088" s="723">
        <v>401</v>
      </c>
      <c r="H2088" s="724">
        <v>25022.392349997179</v>
      </c>
      <c r="I2088" s="724">
        <v>4840.6413772315973</v>
      </c>
      <c r="J2088" s="724">
        <v>0</v>
      </c>
      <c r="K2088" s="724">
        <v>0</v>
      </c>
      <c r="L2088" s="724">
        <v>29863.033727228776</v>
      </c>
    </row>
    <row r="2089" spans="1:12">
      <c r="A2089" s="722" t="s">
        <v>633</v>
      </c>
      <c r="B2089" s="722">
        <v>103</v>
      </c>
      <c r="C2089" s="723">
        <v>886</v>
      </c>
      <c r="D2089" s="723">
        <v>159</v>
      </c>
      <c r="E2089" s="723">
        <v>0</v>
      </c>
      <c r="F2089" s="723">
        <v>0</v>
      </c>
      <c r="G2089" s="723">
        <v>1045</v>
      </c>
      <c r="H2089" s="724">
        <v>65981.665541956841</v>
      </c>
      <c r="I2089" s="724">
        <v>11840.95352276652</v>
      </c>
      <c r="J2089" s="724">
        <v>0</v>
      </c>
      <c r="K2089" s="724">
        <v>0</v>
      </c>
      <c r="L2089" s="724">
        <v>77822.61906472336</v>
      </c>
    </row>
    <row r="2090" spans="1:12">
      <c r="A2090" s="722" t="s">
        <v>633</v>
      </c>
      <c r="B2090" s="722">
        <v>130</v>
      </c>
      <c r="C2090" s="723">
        <v>1</v>
      </c>
      <c r="D2090" s="723">
        <v>0</v>
      </c>
      <c r="E2090" s="723">
        <v>0</v>
      </c>
      <c r="F2090" s="723">
        <v>0</v>
      </c>
      <c r="G2090" s="723">
        <v>1</v>
      </c>
      <c r="H2090" s="724">
        <v>74.47140580356303</v>
      </c>
      <c r="I2090" s="724">
        <v>0</v>
      </c>
      <c r="J2090" s="724">
        <v>0</v>
      </c>
      <c r="K2090" s="724">
        <v>0</v>
      </c>
      <c r="L2090" s="724">
        <v>74.47140580356303</v>
      </c>
    </row>
    <row r="2091" spans="1:12">
      <c r="A2091" s="722" t="s">
        <v>633</v>
      </c>
      <c r="B2091" s="722">
        <v>140</v>
      </c>
      <c r="C2091" s="723">
        <v>0</v>
      </c>
      <c r="D2091" s="723">
        <v>2</v>
      </c>
      <c r="E2091" s="723">
        <v>0</v>
      </c>
      <c r="F2091" s="723">
        <v>0</v>
      </c>
      <c r="G2091" s="723">
        <v>2</v>
      </c>
      <c r="H2091" s="724">
        <v>0</v>
      </c>
      <c r="I2091" s="724">
        <v>148.94281160712606</v>
      </c>
      <c r="J2091" s="724">
        <v>0</v>
      </c>
      <c r="K2091" s="724">
        <v>0</v>
      </c>
      <c r="L2091" s="724">
        <v>148.94281160712606</v>
      </c>
    </row>
    <row r="2092" spans="1:12">
      <c r="A2092" s="722" t="s">
        <v>633</v>
      </c>
      <c r="B2092" s="722">
        <v>144</v>
      </c>
      <c r="C2092" s="723">
        <v>1</v>
      </c>
      <c r="D2092" s="723">
        <v>0</v>
      </c>
      <c r="E2092" s="723">
        <v>0</v>
      </c>
      <c r="F2092" s="723">
        <v>0</v>
      </c>
      <c r="G2092" s="723">
        <v>1</v>
      </c>
      <c r="H2092" s="724">
        <v>74.47140580356303</v>
      </c>
      <c r="I2092" s="724">
        <v>0</v>
      </c>
      <c r="J2092" s="724">
        <v>0</v>
      </c>
      <c r="K2092" s="724">
        <v>0</v>
      </c>
      <c r="L2092" s="724">
        <v>74.47140580356303</v>
      </c>
    </row>
    <row r="2093" spans="1:12">
      <c r="A2093" s="722" t="s">
        <v>633</v>
      </c>
      <c r="B2093" s="722">
        <v>160</v>
      </c>
      <c r="C2093" s="723">
        <v>108</v>
      </c>
      <c r="D2093" s="723">
        <v>4</v>
      </c>
      <c r="E2093" s="723">
        <v>0</v>
      </c>
      <c r="F2093" s="723">
        <v>0</v>
      </c>
      <c r="G2093" s="723">
        <v>112</v>
      </c>
      <c r="H2093" s="724">
        <v>8042.911826784808</v>
      </c>
      <c r="I2093" s="724">
        <v>297.88562321425212</v>
      </c>
      <c r="J2093" s="724">
        <v>0</v>
      </c>
      <c r="K2093" s="724">
        <v>0</v>
      </c>
      <c r="L2093" s="724">
        <v>8340.7974499990596</v>
      </c>
    </row>
    <row r="2094" spans="1:12">
      <c r="A2094" s="722" t="s">
        <v>633</v>
      </c>
      <c r="B2094" s="722">
        <v>190</v>
      </c>
      <c r="C2094" s="723">
        <v>2</v>
      </c>
      <c r="D2094" s="723">
        <v>0</v>
      </c>
      <c r="E2094" s="723">
        <v>0</v>
      </c>
      <c r="F2094" s="723">
        <v>0</v>
      </c>
      <c r="G2094" s="723">
        <v>2</v>
      </c>
      <c r="H2094" s="724">
        <v>148.94281160712606</v>
      </c>
      <c r="I2094" s="724">
        <v>0</v>
      </c>
      <c r="J2094" s="724">
        <v>0</v>
      </c>
      <c r="K2094" s="724">
        <v>0</v>
      </c>
      <c r="L2094" s="724">
        <v>148.94281160712606</v>
      </c>
    </row>
    <row r="2095" spans="1:12">
      <c r="A2095" s="722" t="s">
        <v>633</v>
      </c>
      <c r="B2095" s="722">
        <v>192</v>
      </c>
      <c r="C2095" s="723">
        <v>1</v>
      </c>
      <c r="D2095" s="723">
        <v>0</v>
      </c>
      <c r="E2095" s="723">
        <v>0</v>
      </c>
      <c r="F2095" s="723">
        <v>0</v>
      </c>
      <c r="G2095" s="723">
        <v>1</v>
      </c>
      <c r="H2095" s="724">
        <v>74.47140580356303</v>
      </c>
      <c r="I2095" s="724">
        <v>0</v>
      </c>
      <c r="J2095" s="724">
        <v>0</v>
      </c>
      <c r="K2095" s="724">
        <v>0</v>
      </c>
      <c r="L2095" s="724">
        <v>74.47140580356303</v>
      </c>
    </row>
    <row r="2096" spans="1:12">
      <c r="A2096" s="722" t="s">
        <v>633</v>
      </c>
      <c r="B2096" s="722">
        <v>303</v>
      </c>
      <c r="C2096" s="723">
        <v>0</v>
      </c>
      <c r="D2096" s="723">
        <v>1</v>
      </c>
      <c r="E2096" s="723">
        <v>0</v>
      </c>
      <c r="F2096" s="723">
        <v>0</v>
      </c>
      <c r="G2096" s="723">
        <v>1</v>
      </c>
      <c r="H2096" s="724">
        <v>0</v>
      </c>
      <c r="I2096" s="724">
        <v>74.47140580356303</v>
      </c>
      <c r="J2096" s="724">
        <v>0</v>
      </c>
      <c r="K2096" s="724">
        <v>0</v>
      </c>
      <c r="L2096" s="724">
        <v>74.47140580356303</v>
      </c>
    </row>
    <row r="2097" spans="1:12">
      <c r="A2097" s="722" t="s">
        <v>633</v>
      </c>
      <c r="B2097" s="722">
        <v>330</v>
      </c>
      <c r="C2097" s="723">
        <v>1</v>
      </c>
      <c r="D2097" s="723">
        <v>0</v>
      </c>
      <c r="E2097" s="723">
        <v>0</v>
      </c>
      <c r="F2097" s="723">
        <v>0</v>
      </c>
      <c r="G2097" s="723">
        <v>1</v>
      </c>
      <c r="H2097" s="724">
        <v>74.47140580356303</v>
      </c>
      <c r="I2097" s="724">
        <v>0</v>
      </c>
      <c r="J2097" s="724">
        <v>0</v>
      </c>
      <c r="K2097" s="724">
        <v>0</v>
      </c>
      <c r="L2097" s="724">
        <v>74.47140580356303</v>
      </c>
    </row>
    <row r="2098" spans="1:12">
      <c r="A2098" s="722" t="s">
        <v>633</v>
      </c>
      <c r="B2098" s="722">
        <v>800</v>
      </c>
      <c r="C2098" s="723">
        <v>29</v>
      </c>
      <c r="D2098" s="723">
        <v>154</v>
      </c>
      <c r="E2098" s="723">
        <v>0</v>
      </c>
      <c r="F2098" s="723">
        <v>0</v>
      </c>
      <c r="G2098" s="723">
        <v>183</v>
      </c>
      <c r="H2098" s="724">
        <v>2159.6707683033283</v>
      </c>
      <c r="I2098" s="724">
        <v>11468.596493748706</v>
      </c>
      <c r="J2098" s="724">
        <v>0</v>
      </c>
      <c r="K2098" s="724">
        <v>0</v>
      </c>
      <c r="L2098" s="724">
        <v>13628.267262052035</v>
      </c>
    </row>
    <row r="2099" spans="1:12">
      <c r="A2099" s="722" t="s">
        <v>633</v>
      </c>
      <c r="B2099" s="722">
        <v>812</v>
      </c>
      <c r="C2099" s="723">
        <v>1</v>
      </c>
      <c r="D2099" s="723">
        <v>2</v>
      </c>
      <c r="E2099" s="723">
        <v>0</v>
      </c>
      <c r="F2099" s="723">
        <v>0</v>
      </c>
      <c r="G2099" s="723">
        <v>3</v>
      </c>
      <c r="H2099" s="724">
        <v>74.47140580356303</v>
      </c>
      <c r="I2099" s="724">
        <v>148.94281160712606</v>
      </c>
      <c r="J2099" s="724">
        <v>0</v>
      </c>
      <c r="K2099" s="724">
        <v>0</v>
      </c>
      <c r="L2099" s="724">
        <v>223.4142174106891</v>
      </c>
    </row>
    <row r="2100" spans="1:12">
      <c r="A2100" s="722" t="s">
        <v>568</v>
      </c>
      <c r="B2100" s="722">
        <v>103</v>
      </c>
      <c r="C2100" s="723">
        <v>2</v>
      </c>
      <c r="D2100" s="723">
        <v>0</v>
      </c>
      <c r="E2100" s="723">
        <v>0</v>
      </c>
      <c r="F2100" s="723">
        <v>0</v>
      </c>
      <c r="G2100" s="723">
        <v>2</v>
      </c>
      <c r="H2100" s="724">
        <v>44.431075938109998</v>
      </c>
      <c r="I2100" s="724">
        <v>0</v>
      </c>
      <c r="J2100" s="724">
        <v>0</v>
      </c>
      <c r="K2100" s="724">
        <v>0</v>
      </c>
      <c r="L2100" s="724">
        <v>44.431075938109998</v>
      </c>
    </row>
    <row r="2101" spans="1:12">
      <c r="A2101" s="722" t="s">
        <v>568</v>
      </c>
      <c r="B2101" s="722">
        <v>160</v>
      </c>
      <c r="C2101" s="723">
        <v>10</v>
      </c>
      <c r="D2101" s="723">
        <v>0</v>
      </c>
      <c r="E2101" s="723">
        <v>0</v>
      </c>
      <c r="F2101" s="723">
        <v>0</v>
      </c>
      <c r="G2101" s="723">
        <v>10</v>
      </c>
      <c r="H2101" s="724">
        <v>222.15537969054998</v>
      </c>
      <c r="I2101" s="724">
        <v>0</v>
      </c>
      <c r="J2101" s="724">
        <v>0</v>
      </c>
      <c r="K2101" s="724">
        <v>0</v>
      </c>
      <c r="L2101" s="724">
        <v>222.15537969055001</v>
      </c>
    </row>
    <row r="2102" spans="1:12">
      <c r="A2102" s="722" t="s">
        <v>568</v>
      </c>
      <c r="B2102" s="722">
        <v>171</v>
      </c>
      <c r="C2102" s="723">
        <v>1</v>
      </c>
      <c r="D2102" s="723">
        <v>0</v>
      </c>
      <c r="E2102" s="723">
        <v>0</v>
      </c>
      <c r="F2102" s="723">
        <v>0</v>
      </c>
      <c r="G2102" s="723">
        <v>1</v>
      </c>
      <c r="H2102" s="724">
        <v>22.215537969054999</v>
      </c>
      <c r="I2102" s="724">
        <v>0</v>
      </c>
      <c r="J2102" s="724">
        <v>0</v>
      </c>
      <c r="K2102" s="724">
        <v>0</v>
      </c>
      <c r="L2102" s="724">
        <v>22.215537969054999</v>
      </c>
    </row>
    <row r="2103" spans="1:12">
      <c r="A2103" s="722" t="s">
        <v>658</v>
      </c>
      <c r="B2103" s="722">
        <v>100</v>
      </c>
      <c r="C2103" s="723">
        <v>80</v>
      </c>
      <c r="D2103" s="723">
        <v>152</v>
      </c>
      <c r="E2103" s="723">
        <v>0</v>
      </c>
      <c r="F2103" s="723">
        <v>0</v>
      </c>
      <c r="G2103" s="723">
        <v>232</v>
      </c>
      <c r="H2103" s="724">
        <v>16875.104761415088</v>
      </c>
      <c r="I2103" s="724">
        <v>32062.699046688664</v>
      </c>
      <c r="J2103" s="724">
        <v>0</v>
      </c>
      <c r="K2103" s="724">
        <v>0</v>
      </c>
      <c r="L2103" s="724">
        <v>48937.803808103752</v>
      </c>
    </row>
    <row r="2104" spans="1:12">
      <c r="A2104" s="722" t="s">
        <v>658</v>
      </c>
      <c r="B2104" s="722">
        <v>103</v>
      </c>
      <c r="C2104" s="723">
        <v>924</v>
      </c>
      <c r="D2104" s="723">
        <v>1422</v>
      </c>
      <c r="E2104" s="723">
        <v>0</v>
      </c>
      <c r="F2104" s="723">
        <v>0</v>
      </c>
      <c r="G2104" s="723">
        <v>2346</v>
      </c>
      <c r="H2104" s="724">
        <v>194907.45999434424</v>
      </c>
      <c r="I2104" s="724">
        <v>299954.9871341532</v>
      </c>
      <c r="J2104" s="724">
        <v>0</v>
      </c>
      <c r="K2104" s="724">
        <v>0</v>
      </c>
      <c r="L2104" s="724">
        <v>494862.44712849741</v>
      </c>
    </row>
    <row r="2105" spans="1:12">
      <c r="A2105" s="722" t="s">
        <v>658</v>
      </c>
      <c r="B2105" s="722">
        <v>107</v>
      </c>
      <c r="C2105" s="723">
        <v>1</v>
      </c>
      <c r="D2105" s="723">
        <v>1</v>
      </c>
      <c r="E2105" s="723">
        <v>0</v>
      </c>
      <c r="F2105" s="723">
        <v>0</v>
      </c>
      <c r="G2105" s="723">
        <v>2</v>
      </c>
      <c r="H2105" s="724">
        <v>210.93880951768858</v>
      </c>
      <c r="I2105" s="724">
        <v>210.93880951768858</v>
      </c>
      <c r="J2105" s="724">
        <v>0</v>
      </c>
      <c r="K2105" s="724">
        <v>0</v>
      </c>
      <c r="L2105" s="724">
        <v>421.87761903537717</v>
      </c>
    </row>
    <row r="2106" spans="1:12">
      <c r="A2106" s="722" t="s">
        <v>658</v>
      </c>
      <c r="B2106" s="722">
        <v>120</v>
      </c>
      <c r="C2106" s="723">
        <v>15</v>
      </c>
      <c r="D2106" s="723">
        <v>31</v>
      </c>
      <c r="E2106" s="723">
        <v>0</v>
      </c>
      <c r="F2106" s="723">
        <v>0</v>
      </c>
      <c r="G2106" s="723">
        <v>46</v>
      </c>
      <c r="H2106" s="724">
        <v>3164.0821427653286</v>
      </c>
      <c r="I2106" s="724">
        <v>6539.1030950483464</v>
      </c>
      <c r="J2106" s="724">
        <v>0</v>
      </c>
      <c r="K2106" s="724">
        <v>0</v>
      </c>
      <c r="L2106" s="724">
        <v>9703.1852378136755</v>
      </c>
    </row>
    <row r="2107" spans="1:12">
      <c r="A2107" s="722" t="s">
        <v>658</v>
      </c>
      <c r="B2107" s="722">
        <v>140</v>
      </c>
      <c r="C2107" s="723">
        <v>18</v>
      </c>
      <c r="D2107" s="723">
        <v>22</v>
      </c>
      <c r="E2107" s="723">
        <v>0</v>
      </c>
      <c r="F2107" s="723">
        <v>0</v>
      </c>
      <c r="G2107" s="723">
        <v>40</v>
      </c>
      <c r="H2107" s="724">
        <v>3796.8985713183952</v>
      </c>
      <c r="I2107" s="724">
        <v>4640.6538093891486</v>
      </c>
      <c r="J2107" s="724">
        <v>0</v>
      </c>
      <c r="K2107" s="724">
        <v>0</v>
      </c>
      <c r="L2107" s="724">
        <v>8437.5523807075442</v>
      </c>
    </row>
    <row r="2108" spans="1:12">
      <c r="A2108" s="722" t="s">
        <v>658</v>
      </c>
      <c r="B2108" s="722">
        <v>160</v>
      </c>
      <c r="C2108" s="723">
        <v>113</v>
      </c>
      <c r="D2108" s="723">
        <v>9</v>
      </c>
      <c r="E2108" s="723">
        <v>0</v>
      </c>
      <c r="F2108" s="723">
        <v>0</v>
      </c>
      <c r="G2108" s="723">
        <v>122</v>
      </c>
      <c r="H2108" s="724">
        <v>23836.08547549881</v>
      </c>
      <c r="I2108" s="724">
        <v>1898.4492856591971</v>
      </c>
      <c r="J2108" s="724">
        <v>0</v>
      </c>
      <c r="K2108" s="724">
        <v>0</v>
      </c>
      <c r="L2108" s="724">
        <v>25734.534761158007</v>
      </c>
    </row>
    <row r="2109" spans="1:12">
      <c r="A2109" s="722" t="s">
        <v>658</v>
      </c>
      <c r="B2109" s="722">
        <v>171</v>
      </c>
      <c r="C2109" s="723">
        <v>0</v>
      </c>
      <c r="D2109" s="723">
        <v>1</v>
      </c>
      <c r="E2109" s="723">
        <v>0</v>
      </c>
      <c r="F2109" s="723">
        <v>0</v>
      </c>
      <c r="G2109" s="723">
        <v>1</v>
      </c>
      <c r="H2109" s="724">
        <v>0</v>
      </c>
      <c r="I2109" s="724">
        <v>210.93880951768858</v>
      </c>
      <c r="J2109" s="724">
        <v>0</v>
      </c>
      <c r="K2109" s="724">
        <v>0</v>
      </c>
      <c r="L2109" s="724">
        <v>210.93880951768858</v>
      </c>
    </row>
    <row r="2110" spans="1:12">
      <c r="A2110" s="722" t="s">
        <v>658</v>
      </c>
      <c r="B2110" s="722">
        <v>190</v>
      </c>
      <c r="C2110" s="723">
        <v>1</v>
      </c>
      <c r="D2110" s="723">
        <v>0</v>
      </c>
      <c r="E2110" s="723">
        <v>0</v>
      </c>
      <c r="F2110" s="723">
        <v>0</v>
      </c>
      <c r="G2110" s="723">
        <v>1</v>
      </c>
      <c r="H2110" s="724">
        <v>210.93880951768858</v>
      </c>
      <c r="I2110" s="724">
        <v>0</v>
      </c>
      <c r="J2110" s="724">
        <v>0</v>
      </c>
      <c r="K2110" s="724">
        <v>0</v>
      </c>
      <c r="L2110" s="724">
        <v>210.93880951768858</v>
      </c>
    </row>
    <row r="2111" spans="1:12">
      <c r="A2111" s="722" t="s">
        <v>658</v>
      </c>
      <c r="B2111" s="722">
        <v>191</v>
      </c>
      <c r="C2111" s="723">
        <v>1</v>
      </c>
      <c r="D2111" s="723">
        <v>0</v>
      </c>
      <c r="E2111" s="723">
        <v>0</v>
      </c>
      <c r="F2111" s="723">
        <v>0</v>
      </c>
      <c r="G2111" s="723">
        <v>1</v>
      </c>
      <c r="H2111" s="724">
        <v>210.93880951768858</v>
      </c>
      <c r="I2111" s="724">
        <v>0</v>
      </c>
      <c r="J2111" s="724">
        <v>0</v>
      </c>
      <c r="K2111" s="724">
        <v>0</v>
      </c>
      <c r="L2111" s="724">
        <v>210.93880951768858</v>
      </c>
    </row>
    <row r="2112" spans="1:12">
      <c r="A2112" s="722" t="s">
        <v>658</v>
      </c>
      <c r="B2112" s="722">
        <v>257</v>
      </c>
      <c r="C2112" s="723">
        <v>0</v>
      </c>
      <c r="D2112" s="723">
        <v>2</v>
      </c>
      <c r="E2112" s="723">
        <v>0</v>
      </c>
      <c r="F2112" s="723">
        <v>0</v>
      </c>
      <c r="G2112" s="723">
        <v>2</v>
      </c>
      <c r="H2112" s="724">
        <v>0</v>
      </c>
      <c r="I2112" s="724">
        <v>421.87761903537717</v>
      </c>
      <c r="J2112" s="724">
        <v>0</v>
      </c>
      <c r="K2112" s="724">
        <v>0</v>
      </c>
      <c r="L2112" s="724">
        <v>421.87761903537717</v>
      </c>
    </row>
    <row r="2113" spans="1:12">
      <c r="A2113" s="722" t="s">
        <v>658</v>
      </c>
      <c r="B2113" s="722">
        <v>301</v>
      </c>
      <c r="C2113" s="723">
        <v>2</v>
      </c>
      <c r="D2113" s="723">
        <v>4</v>
      </c>
      <c r="E2113" s="723">
        <v>0</v>
      </c>
      <c r="F2113" s="723">
        <v>0</v>
      </c>
      <c r="G2113" s="723">
        <v>6</v>
      </c>
      <c r="H2113" s="724">
        <v>421.87761903537717</v>
      </c>
      <c r="I2113" s="724">
        <v>843.75523807075433</v>
      </c>
      <c r="J2113" s="724">
        <v>0</v>
      </c>
      <c r="K2113" s="724">
        <v>0</v>
      </c>
      <c r="L2113" s="724">
        <v>1265.6328571061315</v>
      </c>
    </row>
    <row r="2114" spans="1:12">
      <c r="A2114" s="722" t="s">
        <v>658</v>
      </c>
      <c r="B2114" s="722">
        <v>303</v>
      </c>
      <c r="C2114" s="723">
        <v>19</v>
      </c>
      <c r="D2114" s="723">
        <v>1</v>
      </c>
      <c r="E2114" s="723">
        <v>0</v>
      </c>
      <c r="F2114" s="723">
        <v>0</v>
      </c>
      <c r="G2114" s="723">
        <v>20</v>
      </c>
      <c r="H2114" s="724">
        <v>4007.8373808360834</v>
      </c>
      <c r="I2114" s="724">
        <v>210.93880951768861</v>
      </c>
      <c r="J2114" s="724">
        <v>0</v>
      </c>
      <c r="K2114" s="724">
        <v>0</v>
      </c>
      <c r="L2114" s="724">
        <v>4218.7761903537721</v>
      </c>
    </row>
    <row r="2115" spans="1:12">
      <c r="A2115" s="722" t="s">
        <v>658</v>
      </c>
      <c r="B2115" s="722">
        <v>320</v>
      </c>
      <c r="C2115" s="723">
        <v>0</v>
      </c>
      <c r="D2115" s="723">
        <v>1</v>
      </c>
      <c r="E2115" s="723">
        <v>0</v>
      </c>
      <c r="F2115" s="723">
        <v>0</v>
      </c>
      <c r="G2115" s="723">
        <v>1</v>
      </c>
      <c r="H2115" s="724">
        <v>0</v>
      </c>
      <c r="I2115" s="724">
        <v>210.93880951768858</v>
      </c>
      <c r="J2115" s="724">
        <v>0</v>
      </c>
      <c r="K2115" s="724">
        <v>0</v>
      </c>
      <c r="L2115" s="724">
        <v>210.93880951768858</v>
      </c>
    </row>
    <row r="2116" spans="1:12">
      <c r="A2116" s="722" t="s">
        <v>658</v>
      </c>
      <c r="B2116" s="722">
        <v>324</v>
      </c>
      <c r="C2116" s="723">
        <v>0</v>
      </c>
      <c r="D2116" s="723">
        <v>1</v>
      </c>
      <c r="E2116" s="723">
        <v>0</v>
      </c>
      <c r="F2116" s="723">
        <v>0</v>
      </c>
      <c r="G2116" s="723">
        <v>1</v>
      </c>
      <c r="H2116" s="724">
        <v>0</v>
      </c>
      <c r="I2116" s="724">
        <v>210.93880951768858</v>
      </c>
      <c r="J2116" s="724">
        <v>0</v>
      </c>
      <c r="K2116" s="724">
        <v>0</v>
      </c>
      <c r="L2116" s="724">
        <v>210.93880951768858</v>
      </c>
    </row>
    <row r="2117" spans="1:12">
      <c r="A2117" s="722" t="s">
        <v>658</v>
      </c>
      <c r="B2117" s="722">
        <v>330</v>
      </c>
      <c r="C2117" s="723">
        <v>8</v>
      </c>
      <c r="D2117" s="723">
        <v>0</v>
      </c>
      <c r="E2117" s="723">
        <v>0</v>
      </c>
      <c r="F2117" s="723">
        <v>0</v>
      </c>
      <c r="G2117" s="723">
        <v>8</v>
      </c>
      <c r="H2117" s="724">
        <v>1687.5104761415087</v>
      </c>
      <c r="I2117" s="724">
        <v>0</v>
      </c>
      <c r="J2117" s="724">
        <v>0</v>
      </c>
      <c r="K2117" s="724">
        <v>0</v>
      </c>
      <c r="L2117" s="724">
        <v>1687.5104761415087</v>
      </c>
    </row>
    <row r="2118" spans="1:12">
      <c r="A2118" s="722" t="s">
        <v>658</v>
      </c>
      <c r="B2118" s="722">
        <v>340</v>
      </c>
      <c r="C2118" s="723">
        <v>3</v>
      </c>
      <c r="D2118" s="723">
        <v>4</v>
      </c>
      <c r="E2118" s="723">
        <v>0</v>
      </c>
      <c r="F2118" s="723">
        <v>0</v>
      </c>
      <c r="G2118" s="723">
        <v>7</v>
      </c>
      <c r="H2118" s="724">
        <v>632.81642855306563</v>
      </c>
      <c r="I2118" s="724">
        <v>843.75523807075422</v>
      </c>
      <c r="J2118" s="724">
        <v>0</v>
      </c>
      <c r="K2118" s="724">
        <v>0</v>
      </c>
      <c r="L2118" s="724">
        <v>1476.57166662382</v>
      </c>
    </row>
    <row r="2119" spans="1:12">
      <c r="A2119" s="722" t="s">
        <v>658</v>
      </c>
      <c r="B2119" s="722">
        <v>370</v>
      </c>
      <c r="C2119" s="723">
        <v>9</v>
      </c>
      <c r="D2119" s="723">
        <v>4</v>
      </c>
      <c r="E2119" s="723">
        <v>0</v>
      </c>
      <c r="F2119" s="723">
        <v>0</v>
      </c>
      <c r="G2119" s="723">
        <v>13</v>
      </c>
      <c r="H2119" s="724">
        <v>1898.4492856591974</v>
      </c>
      <c r="I2119" s="724">
        <v>843.75523807075433</v>
      </c>
      <c r="J2119" s="724">
        <v>0</v>
      </c>
      <c r="K2119" s="724">
        <v>0</v>
      </c>
      <c r="L2119" s="724">
        <v>2742.2045237299517</v>
      </c>
    </row>
    <row r="2120" spans="1:12">
      <c r="A2120" s="722" t="s">
        <v>658</v>
      </c>
      <c r="B2120" s="722">
        <v>560</v>
      </c>
      <c r="C2120" s="723">
        <v>0</v>
      </c>
      <c r="D2120" s="723">
        <v>1</v>
      </c>
      <c r="E2120" s="723">
        <v>0</v>
      </c>
      <c r="F2120" s="723">
        <v>0</v>
      </c>
      <c r="G2120" s="723">
        <v>1</v>
      </c>
      <c r="H2120" s="724">
        <v>0</v>
      </c>
      <c r="I2120" s="724">
        <v>210.93880951768858</v>
      </c>
      <c r="J2120" s="724">
        <v>0</v>
      </c>
      <c r="K2120" s="724">
        <v>0</v>
      </c>
      <c r="L2120" s="724">
        <v>210.93880951768858</v>
      </c>
    </row>
    <row r="2121" spans="1:12">
      <c r="A2121" s="722" t="s">
        <v>658</v>
      </c>
      <c r="B2121" s="722">
        <v>800</v>
      </c>
      <c r="C2121" s="723">
        <v>5</v>
      </c>
      <c r="D2121" s="723">
        <v>5</v>
      </c>
      <c r="E2121" s="723">
        <v>0</v>
      </c>
      <c r="F2121" s="723">
        <v>0</v>
      </c>
      <c r="G2121" s="723">
        <v>10</v>
      </c>
      <c r="H2121" s="724">
        <v>1054.694047588443</v>
      </c>
      <c r="I2121" s="724">
        <v>1054.694047588443</v>
      </c>
      <c r="J2121" s="724">
        <v>0</v>
      </c>
      <c r="K2121" s="724">
        <v>0</v>
      </c>
      <c r="L2121" s="724">
        <v>2109.3880951768861</v>
      </c>
    </row>
    <row r="2122" spans="1:12">
      <c r="A2122" s="722" t="s">
        <v>658</v>
      </c>
      <c r="B2122" s="722">
        <v>811</v>
      </c>
      <c r="C2122" s="723">
        <v>9</v>
      </c>
      <c r="D2122" s="723">
        <v>13</v>
      </c>
      <c r="E2122" s="723">
        <v>0</v>
      </c>
      <c r="F2122" s="723">
        <v>0</v>
      </c>
      <c r="G2122" s="723">
        <v>22</v>
      </c>
      <c r="H2122" s="724">
        <v>1898.4492856591971</v>
      </c>
      <c r="I2122" s="724">
        <v>2742.2045237299517</v>
      </c>
      <c r="J2122" s="724">
        <v>0</v>
      </c>
      <c r="K2122" s="724">
        <v>0</v>
      </c>
      <c r="L2122" s="724">
        <v>4640.6538093891486</v>
      </c>
    </row>
    <row r="2123" spans="1:12">
      <c r="A2123" s="722" t="s">
        <v>658</v>
      </c>
      <c r="B2123" s="722">
        <v>812</v>
      </c>
      <c r="C2123" s="723">
        <v>93</v>
      </c>
      <c r="D2123" s="723">
        <v>127</v>
      </c>
      <c r="E2123" s="723">
        <v>0</v>
      </c>
      <c r="F2123" s="723">
        <v>0</v>
      </c>
      <c r="G2123" s="723">
        <v>220</v>
      </c>
      <c r="H2123" s="724">
        <v>19617.309285145038</v>
      </c>
      <c r="I2123" s="724">
        <v>26789.228808746448</v>
      </c>
      <c r="J2123" s="724">
        <v>0</v>
      </c>
      <c r="K2123" s="724">
        <v>0</v>
      </c>
      <c r="L2123" s="724">
        <v>46406.53809389149</v>
      </c>
    </row>
    <row r="2124" spans="1:12">
      <c r="A2124" s="722" t="s">
        <v>558</v>
      </c>
      <c r="B2124" s="722">
        <v>103</v>
      </c>
      <c r="C2124" s="723">
        <v>7</v>
      </c>
      <c r="D2124" s="723">
        <v>3</v>
      </c>
      <c r="E2124" s="723">
        <v>0</v>
      </c>
      <c r="F2124" s="723">
        <v>0</v>
      </c>
      <c r="G2124" s="723">
        <v>10</v>
      </c>
      <c r="H2124" s="724">
        <v>2766.1076488439276</v>
      </c>
      <c r="I2124" s="724">
        <v>1185.4747066473974</v>
      </c>
      <c r="J2124" s="724">
        <v>0</v>
      </c>
      <c r="K2124" s="724">
        <v>0</v>
      </c>
      <c r="L2124" s="724">
        <v>3951.582355491325</v>
      </c>
    </row>
    <row r="2125" spans="1:12">
      <c r="A2125" s="722" t="s">
        <v>558</v>
      </c>
      <c r="B2125" s="722">
        <v>144</v>
      </c>
      <c r="C2125" s="723">
        <v>1</v>
      </c>
      <c r="D2125" s="723">
        <v>0</v>
      </c>
      <c r="E2125" s="723">
        <v>0</v>
      </c>
      <c r="F2125" s="723">
        <v>0</v>
      </c>
      <c r="G2125" s="723">
        <v>1</v>
      </c>
      <c r="H2125" s="724">
        <v>395.15823554913248</v>
      </c>
      <c r="I2125" s="724">
        <v>0</v>
      </c>
      <c r="J2125" s="724">
        <v>0</v>
      </c>
      <c r="K2125" s="724">
        <v>0</v>
      </c>
      <c r="L2125" s="724">
        <v>395.15823554913248</v>
      </c>
    </row>
    <row r="2126" spans="1:12">
      <c r="A2126" s="722" t="s">
        <v>558</v>
      </c>
      <c r="B2126" s="722">
        <v>160</v>
      </c>
      <c r="C2126" s="723">
        <v>4</v>
      </c>
      <c r="D2126" s="723">
        <v>0</v>
      </c>
      <c r="E2126" s="723">
        <v>0</v>
      </c>
      <c r="F2126" s="723">
        <v>0</v>
      </c>
      <c r="G2126" s="723">
        <v>4</v>
      </c>
      <c r="H2126" s="724">
        <v>1580.6329421965299</v>
      </c>
      <c r="I2126" s="724">
        <v>0</v>
      </c>
      <c r="J2126" s="724">
        <v>0</v>
      </c>
      <c r="K2126" s="724">
        <v>0</v>
      </c>
      <c r="L2126" s="724">
        <v>1580.6329421965299</v>
      </c>
    </row>
    <row r="2127" spans="1:12">
      <c r="A2127" s="722" t="s">
        <v>558</v>
      </c>
      <c r="B2127" s="722">
        <v>812</v>
      </c>
      <c r="C2127" s="723">
        <v>1</v>
      </c>
      <c r="D2127" s="723">
        <v>0</v>
      </c>
      <c r="E2127" s="723">
        <v>0</v>
      </c>
      <c r="F2127" s="723">
        <v>0</v>
      </c>
      <c r="G2127" s="723">
        <v>1</v>
      </c>
      <c r="H2127" s="724">
        <v>395.15823554913248</v>
      </c>
      <c r="I2127" s="724">
        <v>0</v>
      </c>
      <c r="J2127" s="724">
        <v>0</v>
      </c>
      <c r="K2127" s="724">
        <v>0</v>
      </c>
      <c r="L2127" s="724">
        <v>395.15823554913248</v>
      </c>
    </row>
    <row r="2128" spans="1:12">
      <c r="A2128" s="722" t="s">
        <v>570</v>
      </c>
      <c r="B2128" s="722">
        <v>103</v>
      </c>
      <c r="C2128" s="723">
        <v>3</v>
      </c>
      <c r="D2128" s="723">
        <v>0</v>
      </c>
      <c r="E2128" s="723">
        <v>0</v>
      </c>
      <c r="F2128" s="723">
        <v>0</v>
      </c>
      <c r="G2128" s="723">
        <v>3</v>
      </c>
      <c r="H2128" s="724">
        <v>556.91219090829304</v>
      </c>
      <c r="I2128" s="724">
        <v>0</v>
      </c>
      <c r="J2128" s="724">
        <v>0</v>
      </c>
      <c r="K2128" s="724">
        <v>0</v>
      </c>
      <c r="L2128" s="724">
        <v>556.91219090829304</v>
      </c>
    </row>
    <row r="2129" spans="1:12">
      <c r="A2129" s="722" t="s">
        <v>570</v>
      </c>
      <c r="B2129" s="722">
        <v>190</v>
      </c>
      <c r="C2129" s="723">
        <v>1</v>
      </c>
      <c r="D2129" s="723">
        <v>0</v>
      </c>
      <c r="E2129" s="723">
        <v>0</v>
      </c>
      <c r="F2129" s="723">
        <v>0</v>
      </c>
      <c r="G2129" s="723">
        <v>1</v>
      </c>
      <c r="H2129" s="724">
        <v>185.63739696943099</v>
      </c>
      <c r="I2129" s="724">
        <v>0</v>
      </c>
      <c r="J2129" s="724">
        <v>0</v>
      </c>
      <c r="K2129" s="724">
        <v>0</v>
      </c>
      <c r="L2129" s="724">
        <v>185.63739696943099</v>
      </c>
    </row>
    <row r="2130" spans="1:12">
      <c r="A2130" s="722" t="s">
        <v>570</v>
      </c>
      <c r="B2130" s="722">
        <v>370</v>
      </c>
      <c r="C2130" s="723">
        <v>0</v>
      </c>
      <c r="D2130" s="723">
        <v>1</v>
      </c>
      <c r="E2130" s="723">
        <v>0</v>
      </c>
      <c r="F2130" s="723">
        <v>0</v>
      </c>
      <c r="G2130" s="723">
        <v>1</v>
      </c>
      <c r="H2130" s="724">
        <v>0</v>
      </c>
      <c r="I2130" s="724">
        <v>185.63739696943099</v>
      </c>
      <c r="J2130" s="724">
        <v>0</v>
      </c>
      <c r="K2130" s="724">
        <v>0</v>
      </c>
      <c r="L2130" s="724">
        <v>185.63739696943099</v>
      </c>
    </row>
    <row r="2131" spans="1:12">
      <c r="A2131" s="722" t="s">
        <v>646</v>
      </c>
      <c r="B2131" s="722">
        <v>100</v>
      </c>
      <c r="C2131" s="723">
        <v>1</v>
      </c>
      <c r="D2131" s="723">
        <v>0</v>
      </c>
      <c r="E2131" s="723">
        <v>0</v>
      </c>
      <c r="F2131" s="723">
        <v>0</v>
      </c>
      <c r="G2131" s="723">
        <v>1</v>
      </c>
      <c r="H2131" s="724">
        <v>264.76188257169133</v>
      </c>
      <c r="I2131" s="724">
        <v>0</v>
      </c>
      <c r="J2131" s="724">
        <v>0</v>
      </c>
      <c r="K2131" s="724">
        <v>0</v>
      </c>
      <c r="L2131" s="724">
        <v>264.76188257169133</v>
      </c>
    </row>
    <row r="2132" spans="1:12">
      <c r="A2132" s="722" t="s">
        <v>646</v>
      </c>
      <c r="B2132" s="722">
        <v>103</v>
      </c>
      <c r="C2132" s="723">
        <v>1</v>
      </c>
      <c r="D2132" s="723">
        <v>0</v>
      </c>
      <c r="E2132" s="723">
        <v>0</v>
      </c>
      <c r="F2132" s="723">
        <v>0</v>
      </c>
      <c r="G2132" s="723">
        <v>1</v>
      </c>
      <c r="H2132" s="724">
        <v>264.76188257169133</v>
      </c>
      <c r="I2132" s="724">
        <v>0</v>
      </c>
      <c r="J2132" s="724">
        <v>0</v>
      </c>
      <c r="K2132" s="724">
        <v>0</v>
      </c>
      <c r="L2132" s="724">
        <v>264.76188257169133</v>
      </c>
    </row>
    <row r="2133" spans="1:12">
      <c r="A2133" s="722" t="s">
        <v>646</v>
      </c>
      <c r="B2133" s="722">
        <v>340</v>
      </c>
      <c r="C2133" s="723">
        <v>1</v>
      </c>
      <c r="D2133" s="723">
        <v>0</v>
      </c>
      <c r="E2133" s="723">
        <v>0</v>
      </c>
      <c r="F2133" s="723">
        <v>0</v>
      </c>
      <c r="G2133" s="723">
        <v>1</v>
      </c>
      <c r="H2133" s="724">
        <v>264.76188257169133</v>
      </c>
      <c r="I2133" s="724">
        <v>0</v>
      </c>
      <c r="J2133" s="724">
        <v>0</v>
      </c>
      <c r="K2133" s="724">
        <v>0</v>
      </c>
      <c r="L2133" s="724">
        <v>264.76188257169133</v>
      </c>
    </row>
    <row r="2134" spans="1:12">
      <c r="A2134" s="722" t="s">
        <v>270</v>
      </c>
      <c r="B2134" s="722">
        <v>100</v>
      </c>
      <c r="C2134" s="723">
        <v>13</v>
      </c>
      <c r="D2134" s="723">
        <v>3</v>
      </c>
      <c r="E2134" s="723">
        <v>0</v>
      </c>
      <c r="F2134" s="723">
        <v>0</v>
      </c>
      <c r="G2134" s="723">
        <v>16</v>
      </c>
      <c r="H2134" s="724">
        <v>1898.5196028494827</v>
      </c>
      <c r="I2134" s="724">
        <v>438.11990834988063</v>
      </c>
      <c r="J2134" s="724">
        <v>0</v>
      </c>
      <c r="K2134" s="724">
        <v>0</v>
      </c>
      <c r="L2134" s="724">
        <v>2336.6395111993634</v>
      </c>
    </row>
    <row r="2135" spans="1:12">
      <c r="A2135" s="722" t="s">
        <v>270</v>
      </c>
      <c r="B2135" s="722">
        <v>107</v>
      </c>
      <c r="C2135" s="723">
        <v>8</v>
      </c>
      <c r="D2135" s="723">
        <v>3</v>
      </c>
      <c r="E2135" s="723">
        <v>0</v>
      </c>
      <c r="F2135" s="723">
        <v>0</v>
      </c>
      <c r="G2135" s="723">
        <v>11</v>
      </c>
      <c r="H2135" s="724">
        <v>1168.3197555996815</v>
      </c>
      <c r="I2135" s="724">
        <v>438.11990834988052</v>
      </c>
      <c r="J2135" s="724">
        <v>0</v>
      </c>
      <c r="K2135" s="724">
        <v>0</v>
      </c>
      <c r="L2135" s="724">
        <v>1606.4396639495621</v>
      </c>
    </row>
    <row r="2136" spans="1:12">
      <c r="A2136" s="722" t="s">
        <v>270</v>
      </c>
      <c r="B2136" s="722">
        <v>110</v>
      </c>
      <c r="C2136" s="723">
        <v>3</v>
      </c>
      <c r="D2136" s="723">
        <v>0</v>
      </c>
      <c r="E2136" s="723">
        <v>0</v>
      </c>
      <c r="F2136" s="723">
        <v>0</v>
      </c>
      <c r="G2136" s="723">
        <v>3</v>
      </c>
      <c r="H2136" s="724">
        <v>438.11990834988063</v>
      </c>
      <c r="I2136" s="724">
        <v>0</v>
      </c>
      <c r="J2136" s="724">
        <v>0</v>
      </c>
      <c r="K2136" s="724">
        <v>0</v>
      </c>
      <c r="L2136" s="724">
        <v>438.11990834988057</v>
      </c>
    </row>
    <row r="2137" spans="1:12">
      <c r="A2137" s="722" t="s">
        <v>270</v>
      </c>
      <c r="B2137" s="722">
        <v>120</v>
      </c>
      <c r="C2137" s="723">
        <v>19</v>
      </c>
      <c r="D2137" s="723">
        <v>0</v>
      </c>
      <c r="E2137" s="723">
        <v>0</v>
      </c>
      <c r="F2137" s="723">
        <v>0</v>
      </c>
      <c r="G2137" s="723">
        <v>19</v>
      </c>
      <c r="H2137" s="724">
        <v>2774.7594195492438</v>
      </c>
      <c r="I2137" s="724">
        <v>0</v>
      </c>
      <c r="J2137" s="724">
        <v>0</v>
      </c>
      <c r="K2137" s="724">
        <v>0</v>
      </c>
      <c r="L2137" s="724">
        <v>2774.7594195492438</v>
      </c>
    </row>
    <row r="2138" spans="1:12">
      <c r="A2138" s="722" t="s">
        <v>270</v>
      </c>
      <c r="B2138" s="722">
        <v>140</v>
      </c>
      <c r="C2138" s="723">
        <v>2</v>
      </c>
      <c r="D2138" s="723">
        <v>0</v>
      </c>
      <c r="E2138" s="723">
        <v>0</v>
      </c>
      <c r="F2138" s="723">
        <v>0</v>
      </c>
      <c r="G2138" s="723">
        <v>2</v>
      </c>
      <c r="H2138" s="724">
        <v>292.07993889992042</v>
      </c>
      <c r="I2138" s="724">
        <v>0</v>
      </c>
      <c r="J2138" s="724">
        <v>0</v>
      </c>
      <c r="K2138" s="724">
        <v>0</v>
      </c>
      <c r="L2138" s="724">
        <v>292.07993889992042</v>
      </c>
    </row>
    <row r="2139" spans="1:12">
      <c r="A2139" s="722" t="s">
        <v>270</v>
      </c>
      <c r="B2139" s="722">
        <v>144</v>
      </c>
      <c r="C2139" s="723">
        <v>2</v>
      </c>
      <c r="D2139" s="723">
        <v>1</v>
      </c>
      <c r="E2139" s="723">
        <v>0</v>
      </c>
      <c r="F2139" s="723">
        <v>0</v>
      </c>
      <c r="G2139" s="723">
        <v>3</v>
      </c>
      <c r="H2139" s="724">
        <v>292.07993889992036</v>
      </c>
      <c r="I2139" s="724">
        <v>146.03996944996018</v>
      </c>
      <c r="J2139" s="724">
        <v>0</v>
      </c>
      <c r="K2139" s="724">
        <v>0</v>
      </c>
      <c r="L2139" s="724">
        <v>438.11990834988057</v>
      </c>
    </row>
    <row r="2140" spans="1:12">
      <c r="A2140" s="722" t="s">
        <v>270</v>
      </c>
      <c r="B2140" s="722">
        <v>160</v>
      </c>
      <c r="C2140" s="723">
        <v>237</v>
      </c>
      <c r="D2140" s="723">
        <v>22</v>
      </c>
      <c r="E2140" s="723">
        <v>0</v>
      </c>
      <c r="F2140" s="723">
        <v>0</v>
      </c>
      <c r="G2140" s="723">
        <v>259</v>
      </c>
      <c r="H2140" s="724">
        <v>34611.472759640572</v>
      </c>
      <c r="I2140" s="724">
        <v>3212.8793278991247</v>
      </c>
      <c r="J2140" s="724">
        <v>0</v>
      </c>
      <c r="K2140" s="724">
        <v>0</v>
      </c>
      <c r="L2140" s="724">
        <v>37824.352087539693</v>
      </c>
    </row>
    <row r="2141" spans="1:12">
      <c r="A2141" s="722" t="s">
        <v>270</v>
      </c>
      <c r="B2141" s="722">
        <v>161</v>
      </c>
      <c r="C2141" s="723">
        <v>85</v>
      </c>
      <c r="D2141" s="723">
        <v>38</v>
      </c>
      <c r="E2141" s="723">
        <v>0</v>
      </c>
      <c r="F2141" s="723">
        <v>0</v>
      </c>
      <c r="G2141" s="723">
        <v>123</v>
      </c>
      <c r="H2141" s="724">
        <v>12413.397403246618</v>
      </c>
      <c r="I2141" s="724">
        <v>5549.5188390984877</v>
      </c>
      <c r="J2141" s="724">
        <v>0</v>
      </c>
      <c r="K2141" s="724">
        <v>0</v>
      </c>
      <c r="L2141" s="724">
        <v>17962.916242345105</v>
      </c>
    </row>
    <row r="2142" spans="1:12">
      <c r="A2142" s="722" t="s">
        <v>270</v>
      </c>
      <c r="B2142" s="722">
        <v>219</v>
      </c>
      <c r="C2142" s="723">
        <v>7</v>
      </c>
      <c r="D2142" s="723">
        <v>0</v>
      </c>
      <c r="E2142" s="723">
        <v>0</v>
      </c>
      <c r="F2142" s="723">
        <v>0</v>
      </c>
      <c r="G2142" s="723">
        <v>7</v>
      </c>
      <c r="H2142" s="724">
        <v>1022.2797861497214</v>
      </c>
      <c r="I2142" s="724">
        <v>0</v>
      </c>
      <c r="J2142" s="724">
        <v>0</v>
      </c>
      <c r="K2142" s="724">
        <v>0</v>
      </c>
      <c r="L2142" s="724">
        <v>1022.2797861497215</v>
      </c>
    </row>
    <row r="2143" spans="1:12">
      <c r="A2143" s="722" t="s">
        <v>270</v>
      </c>
      <c r="B2143" s="722">
        <v>300</v>
      </c>
      <c r="C2143" s="723">
        <v>21</v>
      </c>
      <c r="D2143" s="723">
        <v>2</v>
      </c>
      <c r="E2143" s="723">
        <v>0</v>
      </c>
      <c r="F2143" s="723">
        <v>0</v>
      </c>
      <c r="G2143" s="723">
        <v>23</v>
      </c>
      <c r="H2143" s="724">
        <v>3066.8393584491646</v>
      </c>
      <c r="I2143" s="724">
        <v>292.07993889992042</v>
      </c>
      <c r="J2143" s="724">
        <v>0</v>
      </c>
      <c r="K2143" s="724">
        <v>0</v>
      </c>
      <c r="L2143" s="724">
        <v>3358.9192973490849</v>
      </c>
    </row>
    <row r="2144" spans="1:12">
      <c r="A2144" s="722" t="s">
        <v>270</v>
      </c>
      <c r="B2144" s="722">
        <v>302</v>
      </c>
      <c r="C2144" s="723">
        <v>0</v>
      </c>
      <c r="D2144" s="723">
        <v>1</v>
      </c>
      <c r="E2144" s="723">
        <v>0</v>
      </c>
      <c r="F2144" s="723">
        <v>0</v>
      </c>
      <c r="G2144" s="723">
        <v>1</v>
      </c>
      <c r="H2144" s="724">
        <v>0</v>
      </c>
      <c r="I2144" s="724">
        <v>146.03996944996021</v>
      </c>
      <c r="J2144" s="724">
        <v>0</v>
      </c>
      <c r="K2144" s="724">
        <v>0</v>
      </c>
      <c r="L2144" s="724">
        <v>146.03996944996021</v>
      </c>
    </row>
    <row r="2145" spans="1:12">
      <c r="A2145" s="722" t="s">
        <v>270</v>
      </c>
      <c r="B2145" s="722">
        <v>307</v>
      </c>
      <c r="C2145" s="723">
        <v>1156</v>
      </c>
      <c r="D2145" s="723">
        <v>95</v>
      </c>
      <c r="E2145" s="723">
        <v>0</v>
      </c>
      <c r="F2145" s="723">
        <v>0</v>
      </c>
      <c r="G2145" s="723">
        <v>1251</v>
      </c>
      <c r="H2145" s="724">
        <v>168822.20468415398</v>
      </c>
      <c r="I2145" s="724">
        <v>13873.797097746221</v>
      </c>
      <c r="J2145" s="724">
        <v>0</v>
      </c>
      <c r="K2145" s="724">
        <v>0</v>
      </c>
      <c r="L2145" s="724">
        <v>182696.00178190021</v>
      </c>
    </row>
    <row r="2146" spans="1:12">
      <c r="A2146" s="722" t="s">
        <v>270</v>
      </c>
      <c r="B2146" s="722">
        <v>314</v>
      </c>
      <c r="C2146" s="723">
        <v>1</v>
      </c>
      <c r="D2146" s="723">
        <v>0</v>
      </c>
      <c r="E2146" s="723">
        <v>0</v>
      </c>
      <c r="F2146" s="723">
        <v>0</v>
      </c>
      <c r="G2146" s="723">
        <v>1</v>
      </c>
      <c r="H2146" s="724">
        <v>146.03996944996021</v>
      </c>
      <c r="I2146" s="724">
        <v>0</v>
      </c>
      <c r="J2146" s="724">
        <v>0</v>
      </c>
      <c r="K2146" s="724">
        <v>0</v>
      </c>
      <c r="L2146" s="724">
        <v>146.03996944996021</v>
      </c>
    </row>
    <row r="2147" spans="1:12">
      <c r="A2147" s="722" t="s">
        <v>270</v>
      </c>
      <c r="B2147" s="722">
        <v>330</v>
      </c>
      <c r="C2147" s="723">
        <v>54</v>
      </c>
      <c r="D2147" s="723">
        <v>12</v>
      </c>
      <c r="E2147" s="723">
        <v>0</v>
      </c>
      <c r="F2147" s="723">
        <v>0</v>
      </c>
      <c r="G2147" s="723">
        <v>66</v>
      </c>
      <c r="H2147" s="724">
        <v>7886.1583502978492</v>
      </c>
      <c r="I2147" s="724">
        <v>1752.4796333995221</v>
      </c>
      <c r="J2147" s="724">
        <v>0</v>
      </c>
      <c r="K2147" s="724">
        <v>0</v>
      </c>
      <c r="L2147" s="724">
        <v>9638.637983697372</v>
      </c>
    </row>
    <row r="2148" spans="1:12">
      <c r="A2148" s="722" t="s">
        <v>270</v>
      </c>
      <c r="B2148" s="722">
        <v>361</v>
      </c>
      <c r="C2148" s="723">
        <v>1</v>
      </c>
      <c r="D2148" s="723">
        <v>0</v>
      </c>
      <c r="E2148" s="723">
        <v>0</v>
      </c>
      <c r="F2148" s="723">
        <v>0</v>
      </c>
      <c r="G2148" s="723">
        <v>1</v>
      </c>
      <c r="H2148" s="724">
        <v>146.03996944996021</v>
      </c>
      <c r="I2148" s="724">
        <v>0</v>
      </c>
      <c r="J2148" s="724">
        <v>0</v>
      </c>
      <c r="K2148" s="724">
        <v>0</v>
      </c>
      <c r="L2148" s="724">
        <v>146.03996944996021</v>
      </c>
    </row>
    <row r="2149" spans="1:12">
      <c r="A2149" s="722" t="s">
        <v>270</v>
      </c>
      <c r="B2149" s="722">
        <v>410</v>
      </c>
      <c r="C2149" s="723">
        <v>4</v>
      </c>
      <c r="D2149" s="723">
        <v>0</v>
      </c>
      <c r="E2149" s="723">
        <v>0</v>
      </c>
      <c r="F2149" s="723">
        <v>0</v>
      </c>
      <c r="G2149" s="723">
        <v>4</v>
      </c>
      <c r="H2149" s="724">
        <v>584.15987779984084</v>
      </c>
      <c r="I2149" s="724">
        <v>0</v>
      </c>
      <c r="J2149" s="724">
        <v>0</v>
      </c>
      <c r="K2149" s="724">
        <v>0</v>
      </c>
      <c r="L2149" s="724">
        <v>584.15987779984084</v>
      </c>
    </row>
    <row r="2150" spans="1:12">
      <c r="A2150" s="722" t="s">
        <v>270</v>
      </c>
      <c r="B2150" s="722">
        <v>501</v>
      </c>
      <c r="C2150" s="723">
        <v>1</v>
      </c>
      <c r="D2150" s="723">
        <v>0</v>
      </c>
      <c r="E2150" s="723">
        <v>0</v>
      </c>
      <c r="F2150" s="723">
        <v>0</v>
      </c>
      <c r="G2150" s="723">
        <v>1</v>
      </c>
      <c r="H2150" s="724">
        <v>146.03996944996021</v>
      </c>
      <c r="I2150" s="724">
        <v>0</v>
      </c>
      <c r="J2150" s="724">
        <v>0</v>
      </c>
      <c r="K2150" s="724">
        <v>0</v>
      </c>
      <c r="L2150" s="724">
        <v>146.03996944996021</v>
      </c>
    </row>
    <row r="2151" spans="1:12">
      <c r="A2151" s="722" t="s">
        <v>270</v>
      </c>
      <c r="B2151" s="722">
        <v>653</v>
      </c>
      <c r="C2151" s="723">
        <v>313</v>
      </c>
      <c r="D2151" s="723">
        <v>7</v>
      </c>
      <c r="E2151" s="723">
        <v>0</v>
      </c>
      <c r="F2151" s="723">
        <v>0</v>
      </c>
      <c r="G2151" s="723">
        <v>320</v>
      </c>
      <c r="H2151" s="724">
        <v>45710.51043783754</v>
      </c>
      <c r="I2151" s="724">
        <v>1022.2797861497214</v>
      </c>
      <c r="J2151" s="724">
        <v>0</v>
      </c>
      <c r="K2151" s="724">
        <v>0</v>
      </c>
      <c r="L2151" s="724">
        <v>46732.790223987264</v>
      </c>
    </row>
    <row r="2152" spans="1:12">
      <c r="A2152" s="722" t="s">
        <v>271</v>
      </c>
      <c r="B2152" s="722">
        <v>100</v>
      </c>
      <c r="C2152" s="723">
        <v>2</v>
      </c>
      <c r="D2152" s="723">
        <v>0</v>
      </c>
      <c r="E2152" s="723">
        <v>0</v>
      </c>
      <c r="F2152" s="723">
        <v>0</v>
      </c>
      <c r="G2152" s="723">
        <v>2</v>
      </c>
      <c r="H2152" s="724">
        <v>243.56780782760401</v>
      </c>
      <c r="I2152" s="724">
        <v>0</v>
      </c>
      <c r="J2152" s="724">
        <v>0</v>
      </c>
      <c r="K2152" s="724">
        <v>0</v>
      </c>
      <c r="L2152" s="724">
        <v>243.56780782760401</v>
      </c>
    </row>
    <row r="2153" spans="1:12">
      <c r="A2153" s="722" t="s">
        <v>271</v>
      </c>
      <c r="B2153" s="722">
        <v>103</v>
      </c>
      <c r="C2153" s="723">
        <v>1</v>
      </c>
      <c r="D2153" s="723">
        <v>0</v>
      </c>
      <c r="E2153" s="723">
        <v>0</v>
      </c>
      <c r="F2153" s="723">
        <v>0</v>
      </c>
      <c r="G2153" s="723">
        <v>1</v>
      </c>
      <c r="H2153" s="724">
        <v>121.78390391380201</v>
      </c>
      <c r="I2153" s="724">
        <v>0</v>
      </c>
      <c r="J2153" s="724">
        <v>0</v>
      </c>
      <c r="K2153" s="724">
        <v>0</v>
      </c>
      <c r="L2153" s="724">
        <v>121.78390391380201</v>
      </c>
    </row>
    <row r="2154" spans="1:12">
      <c r="A2154" s="722" t="s">
        <v>271</v>
      </c>
      <c r="B2154" s="722">
        <v>120</v>
      </c>
      <c r="C2154" s="723">
        <v>2</v>
      </c>
      <c r="D2154" s="723">
        <v>6</v>
      </c>
      <c r="E2154" s="723">
        <v>0</v>
      </c>
      <c r="F2154" s="723">
        <v>0</v>
      </c>
      <c r="G2154" s="723">
        <v>8</v>
      </c>
      <c r="H2154" s="724">
        <v>243.56780782760401</v>
      </c>
      <c r="I2154" s="724">
        <v>730.70342348281201</v>
      </c>
      <c r="J2154" s="724">
        <v>0</v>
      </c>
      <c r="K2154" s="724">
        <v>0</v>
      </c>
      <c r="L2154" s="724">
        <v>974.27123131041606</v>
      </c>
    </row>
    <row r="2155" spans="1:12">
      <c r="A2155" s="722" t="s">
        <v>271</v>
      </c>
      <c r="B2155" s="722">
        <v>140</v>
      </c>
      <c r="C2155" s="723">
        <v>1</v>
      </c>
      <c r="D2155" s="723">
        <v>0</v>
      </c>
      <c r="E2155" s="723">
        <v>0</v>
      </c>
      <c r="F2155" s="723">
        <v>0</v>
      </c>
      <c r="G2155" s="723">
        <v>1</v>
      </c>
      <c r="H2155" s="724">
        <v>121.78390391380201</v>
      </c>
      <c r="I2155" s="724">
        <v>0</v>
      </c>
      <c r="J2155" s="724">
        <v>0</v>
      </c>
      <c r="K2155" s="724">
        <v>0</v>
      </c>
      <c r="L2155" s="724">
        <v>121.78390391380201</v>
      </c>
    </row>
    <row r="2156" spans="1:12">
      <c r="A2156" s="722" t="s">
        <v>271</v>
      </c>
      <c r="B2156" s="722">
        <v>144</v>
      </c>
      <c r="C2156" s="723">
        <v>1</v>
      </c>
      <c r="D2156" s="723">
        <v>1</v>
      </c>
      <c r="E2156" s="723">
        <v>0</v>
      </c>
      <c r="F2156" s="723">
        <v>0</v>
      </c>
      <c r="G2156" s="723">
        <v>2</v>
      </c>
      <c r="H2156" s="724">
        <v>121.78390391380201</v>
      </c>
      <c r="I2156" s="724">
        <v>121.78390391380201</v>
      </c>
      <c r="J2156" s="724">
        <v>0</v>
      </c>
      <c r="K2156" s="724">
        <v>0</v>
      </c>
      <c r="L2156" s="724">
        <v>243.56780782760401</v>
      </c>
    </row>
    <row r="2157" spans="1:12">
      <c r="A2157" s="722" t="s">
        <v>271</v>
      </c>
      <c r="B2157" s="722">
        <v>160</v>
      </c>
      <c r="C2157" s="723">
        <v>1</v>
      </c>
      <c r="D2157" s="723">
        <v>0</v>
      </c>
      <c r="E2157" s="723">
        <v>0</v>
      </c>
      <c r="F2157" s="723">
        <v>0</v>
      </c>
      <c r="G2157" s="723">
        <v>1</v>
      </c>
      <c r="H2157" s="724">
        <v>121.78390391380201</v>
      </c>
      <c r="I2157" s="724">
        <v>0</v>
      </c>
      <c r="J2157" s="724">
        <v>0</v>
      </c>
      <c r="K2157" s="724">
        <v>0</v>
      </c>
      <c r="L2157" s="724">
        <v>121.78390391380201</v>
      </c>
    </row>
    <row r="2158" spans="1:12">
      <c r="A2158" s="722" t="s">
        <v>271</v>
      </c>
      <c r="B2158" s="722">
        <v>161</v>
      </c>
      <c r="C2158" s="723">
        <v>7</v>
      </c>
      <c r="D2158" s="723">
        <v>0</v>
      </c>
      <c r="E2158" s="723">
        <v>0</v>
      </c>
      <c r="F2158" s="723">
        <v>0</v>
      </c>
      <c r="G2158" s="723">
        <v>7</v>
      </c>
      <c r="H2158" s="724">
        <v>852.48732739661409</v>
      </c>
      <c r="I2158" s="724">
        <v>0</v>
      </c>
      <c r="J2158" s="724">
        <v>0</v>
      </c>
      <c r="K2158" s="724">
        <v>0</v>
      </c>
      <c r="L2158" s="724">
        <v>852.48732739661409</v>
      </c>
    </row>
    <row r="2159" spans="1:12">
      <c r="A2159" s="722" t="s">
        <v>271</v>
      </c>
      <c r="B2159" s="722">
        <v>257</v>
      </c>
      <c r="C2159" s="723">
        <v>0</v>
      </c>
      <c r="D2159" s="723">
        <v>1</v>
      </c>
      <c r="E2159" s="723">
        <v>0</v>
      </c>
      <c r="F2159" s="723">
        <v>0</v>
      </c>
      <c r="G2159" s="723">
        <v>1</v>
      </c>
      <c r="H2159" s="724">
        <v>0</v>
      </c>
      <c r="I2159" s="724">
        <v>121.78390391380201</v>
      </c>
      <c r="J2159" s="724">
        <v>0</v>
      </c>
      <c r="K2159" s="724">
        <v>0</v>
      </c>
      <c r="L2159" s="724">
        <v>121.78390391380201</v>
      </c>
    </row>
    <row r="2160" spans="1:12">
      <c r="A2160" s="722" t="s">
        <v>271</v>
      </c>
      <c r="B2160" s="722">
        <v>330</v>
      </c>
      <c r="C2160" s="723">
        <v>44</v>
      </c>
      <c r="D2160" s="723">
        <v>13</v>
      </c>
      <c r="E2160" s="723">
        <v>0</v>
      </c>
      <c r="F2160" s="723">
        <v>0</v>
      </c>
      <c r="G2160" s="723">
        <v>57</v>
      </c>
      <c r="H2160" s="724">
        <v>5358.4917722072887</v>
      </c>
      <c r="I2160" s="724">
        <v>1583.1907508794263</v>
      </c>
      <c r="J2160" s="724">
        <v>0</v>
      </c>
      <c r="K2160" s="724">
        <v>0</v>
      </c>
      <c r="L2160" s="724">
        <v>6941.6825230867153</v>
      </c>
    </row>
    <row r="2161" spans="1:12">
      <c r="A2161" s="722" t="s">
        <v>272</v>
      </c>
      <c r="B2161" s="722">
        <v>330</v>
      </c>
      <c r="C2161" s="723">
        <v>6</v>
      </c>
      <c r="D2161" s="723">
        <v>0</v>
      </c>
      <c r="E2161" s="723">
        <v>0</v>
      </c>
      <c r="F2161" s="723">
        <v>0</v>
      </c>
      <c r="G2161" s="723">
        <v>6</v>
      </c>
      <c r="H2161" s="724">
        <v>72186.013586368994</v>
      </c>
      <c r="I2161" s="724">
        <v>0</v>
      </c>
      <c r="J2161" s="724">
        <v>0</v>
      </c>
      <c r="K2161" s="724">
        <v>0</v>
      </c>
      <c r="L2161" s="724">
        <v>72186.013586368994</v>
      </c>
    </row>
    <row r="2162" spans="1:12">
      <c r="A2162" s="722" t="s">
        <v>274</v>
      </c>
      <c r="B2162" s="722">
        <v>100</v>
      </c>
      <c r="C2162" s="723">
        <v>0</v>
      </c>
      <c r="D2162" s="723">
        <v>3</v>
      </c>
      <c r="E2162" s="723">
        <v>0</v>
      </c>
      <c r="F2162" s="723">
        <v>0</v>
      </c>
      <c r="G2162" s="723">
        <v>3</v>
      </c>
      <c r="H2162" s="724">
        <v>0</v>
      </c>
      <c r="I2162" s="724">
        <v>519.45710796010314</v>
      </c>
      <c r="J2162" s="724">
        <v>0</v>
      </c>
      <c r="K2162" s="724">
        <v>0</v>
      </c>
      <c r="L2162" s="724">
        <v>519.45710796010314</v>
      </c>
    </row>
    <row r="2163" spans="1:12">
      <c r="A2163" s="722" t="s">
        <v>274</v>
      </c>
      <c r="B2163" s="722">
        <v>120</v>
      </c>
      <c r="C2163" s="723">
        <v>57</v>
      </c>
      <c r="D2163" s="723">
        <v>32</v>
      </c>
      <c r="E2163" s="723">
        <v>0</v>
      </c>
      <c r="F2163" s="723">
        <v>0</v>
      </c>
      <c r="G2163" s="723">
        <v>89</v>
      </c>
      <c r="H2163" s="724">
        <v>9869.6850512419587</v>
      </c>
      <c r="I2163" s="724">
        <v>5540.8758182411002</v>
      </c>
      <c r="J2163" s="724">
        <v>0</v>
      </c>
      <c r="K2163" s="724">
        <v>0</v>
      </c>
      <c r="L2163" s="724">
        <v>15410.560869483059</v>
      </c>
    </row>
    <row r="2164" spans="1:12">
      <c r="A2164" s="722" t="s">
        <v>274</v>
      </c>
      <c r="B2164" s="722">
        <v>252</v>
      </c>
      <c r="C2164" s="723">
        <v>2</v>
      </c>
      <c r="D2164" s="723">
        <v>1</v>
      </c>
      <c r="E2164" s="723">
        <v>0</v>
      </c>
      <c r="F2164" s="723">
        <v>0</v>
      </c>
      <c r="G2164" s="723">
        <v>3</v>
      </c>
      <c r="H2164" s="724">
        <v>346.30473864006876</v>
      </c>
      <c r="I2164" s="724">
        <v>173.15236932003438</v>
      </c>
      <c r="J2164" s="724">
        <v>0</v>
      </c>
      <c r="K2164" s="724">
        <v>0</v>
      </c>
      <c r="L2164" s="724">
        <v>519.45710796010314</v>
      </c>
    </row>
    <row r="2165" spans="1:12">
      <c r="A2165" s="722" t="s">
        <v>274</v>
      </c>
      <c r="B2165" s="722">
        <v>255</v>
      </c>
      <c r="C2165" s="723">
        <v>0</v>
      </c>
      <c r="D2165" s="723">
        <v>9</v>
      </c>
      <c r="E2165" s="723">
        <v>0</v>
      </c>
      <c r="F2165" s="723">
        <v>0</v>
      </c>
      <c r="G2165" s="723">
        <v>9</v>
      </c>
      <c r="H2165" s="724">
        <v>0</v>
      </c>
      <c r="I2165" s="724">
        <v>1558.3713238803095</v>
      </c>
      <c r="J2165" s="724">
        <v>0</v>
      </c>
      <c r="K2165" s="724">
        <v>0</v>
      </c>
      <c r="L2165" s="724">
        <v>1558.3713238803095</v>
      </c>
    </row>
    <row r="2166" spans="1:12">
      <c r="A2166" s="722" t="s">
        <v>274</v>
      </c>
      <c r="B2166" s="722">
        <v>258</v>
      </c>
      <c r="C2166" s="723">
        <v>41</v>
      </c>
      <c r="D2166" s="723">
        <v>4</v>
      </c>
      <c r="E2166" s="723">
        <v>0</v>
      </c>
      <c r="F2166" s="723">
        <v>0</v>
      </c>
      <c r="G2166" s="723">
        <v>45</v>
      </c>
      <c r="H2166" s="724">
        <v>7099.2471421214095</v>
      </c>
      <c r="I2166" s="724">
        <v>692.60947728013753</v>
      </c>
      <c r="J2166" s="724">
        <v>0</v>
      </c>
      <c r="K2166" s="724">
        <v>0</v>
      </c>
      <c r="L2166" s="724">
        <v>7791.8566194015466</v>
      </c>
    </row>
    <row r="2167" spans="1:12">
      <c r="A2167" s="722" t="s">
        <v>274</v>
      </c>
      <c r="B2167" s="722">
        <v>264</v>
      </c>
      <c r="C2167" s="723">
        <v>1</v>
      </c>
      <c r="D2167" s="723">
        <v>21</v>
      </c>
      <c r="E2167" s="723">
        <v>0</v>
      </c>
      <c r="F2167" s="723">
        <v>0</v>
      </c>
      <c r="G2167" s="723">
        <v>22</v>
      </c>
      <c r="H2167" s="724">
        <v>173.15236932003438</v>
      </c>
      <c r="I2167" s="724">
        <v>3636.1997557207219</v>
      </c>
      <c r="J2167" s="724">
        <v>0</v>
      </c>
      <c r="K2167" s="724">
        <v>0</v>
      </c>
      <c r="L2167" s="724">
        <v>3809.3521250407566</v>
      </c>
    </row>
    <row r="2168" spans="1:12">
      <c r="A2168" s="722" t="s">
        <v>274</v>
      </c>
      <c r="B2168" s="722">
        <v>300</v>
      </c>
      <c r="C2168" s="723">
        <v>1</v>
      </c>
      <c r="D2168" s="723">
        <v>0</v>
      </c>
      <c r="E2168" s="723">
        <v>0</v>
      </c>
      <c r="F2168" s="723">
        <v>0</v>
      </c>
      <c r="G2168" s="723">
        <v>1</v>
      </c>
      <c r="H2168" s="724">
        <v>173.15236932003438</v>
      </c>
      <c r="I2168" s="724">
        <v>0</v>
      </c>
      <c r="J2168" s="724">
        <v>0</v>
      </c>
      <c r="K2168" s="724">
        <v>0</v>
      </c>
      <c r="L2168" s="724">
        <v>173.15236932003438</v>
      </c>
    </row>
    <row r="2169" spans="1:12">
      <c r="A2169" s="722" t="s">
        <v>274</v>
      </c>
      <c r="B2169" s="722">
        <v>302</v>
      </c>
      <c r="C2169" s="723">
        <v>1</v>
      </c>
      <c r="D2169" s="723">
        <v>1</v>
      </c>
      <c r="E2169" s="723">
        <v>0</v>
      </c>
      <c r="F2169" s="723">
        <v>0</v>
      </c>
      <c r="G2169" s="723">
        <v>2</v>
      </c>
      <c r="H2169" s="724">
        <v>173.15236932003438</v>
      </c>
      <c r="I2169" s="724">
        <v>173.15236932003438</v>
      </c>
      <c r="J2169" s="724">
        <v>0</v>
      </c>
      <c r="K2169" s="724">
        <v>0</v>
      </c>
      <c r="L2169" s="724">
        <v>346.30473864006876</v>
      </c>
    </row>
    <row r="2170" spans="1:12">
      <c r="A2170" s="722" t="s">
        <v>274</v>
      </c>
      <c r="B2170" s="722">
        <v>307</v>
      </c>
      <c r="C2170" s="723">
        <v>1</v>
      </c>
      <c r="D2170" s="723">
        <v>2</v>
      </c>
      <c r="E2170" s="723">
        <v>0</v>
      </c>
      <c r="F2170" s="723">
        <v>0</v>
      </c>
      <c r="G2170" s="723">
        <v>3</v>
      </c>
      <c r="H2170" s="724">
        <v>173.15236932003438</v>
      </c>
      <c r="I2170" s="724">
        <v>346.30473864006876</v>
      </c>
      <c r="J2170" s="724">
        <v>0</v>
      </c>
      <c r="K2170" s="724">
        <v>0</v>
      </c>
      <c r="L2170" s="724">
        <v>519.45710796010314</v>
      </c>
    </row>
    <row r="2171" spans="1:12">
      <c r="A2171" s="722" t="s">
        <v>274</v>
      </c>
      <c r="B2171" s="722">
        <v>313</v>
      </c>
      <c r="C2171" s="723">
        <v>0</v>
      </c>
      <c r="D2171" s="723">
        <v>2</v>
      </c>
      <c r="E2171" s="723">
        <v>0</v>
      </c>
      <c r="F2171" s="723">
        <v>0</v>
      </c>
      <c r="G2171" s="723">
        <v>2</v>
      </c>
      <c r="H2171" s="724">
        <v>0</v>
      </c>
      <c r="I2171" s="724">
        <v>346.30473864006876</v>
      </c>
      <c r="J2171" s="724">
        <v>0</v>
      </c>
      <c r="K2171" s="724">
        <v>0</v>
      </c>
      <c r="L2171" s="724">
        <v>346.30473864006876</v>
      </c>
    </row>
    <row r="2172" spans="1:12">
      <c r="A2172" s="722" t="s">
        <v>274</v>
      </c>
      <c r="B2172" s="722">
        <v>316</v>
      </c>
      <c r="C2172" s="723">
        <v>1</v>
      </c>
      <c r="D2172" s="723">
        <v>0</v>
      </c>
      <c r="E2172" s="723">
        <v>0</v>
      </c>
      <c r="F2172" s="723">
        <v>0</v>
      </c>
      <c r="G2172" s="723">
        <v>1</v>
      </c>
      <c r="H2172" s="724">
        <v>173.15236932003438</v>
      </c>
      <c r="I2172" s="724">
        <v>0</v>
      </c>
      <c r="J2172" s="724">
        <v>0</v>
      </c>
      <c r="K2172" s="724">
        <v>0</v>
      </c>
      <c r="L2172" s="724">
        <v>173.15236932003438</v>
      </c>
    </row>
    <row r="2173" spans="1:12">
      <c r="A2173" s="722" t="s">
        <v>274</v>
      </c>
      <c r="B2173" s="722">
        <v>317</v>
      </c>
      <c r="C2173" s="723">
        <v>2</v>
      </c>
      <c r="D2173" s="723">
        <v>3</v>
      </c>
      <c r="E2173" s="723">
        <v>0</v>
      </c>
      <c r="F2173" s="723">
        <v>0</v>
      </c>
      <c r="G2173" s="723">
        <v>5</v>
      </c>
      <c r="H2173" s="724">
        <v>346.30473864006876</v>
      </c>
      <c r="I2173" s="724">
        <v>519.45710796010314</v>
      </c>
      <c r="J2173" s="724">
        <v>0</v>
      </c>
      <c r="K2173" s="724">
        <v>0</v>
      </c>
      <c r="L2173" s="724">
        <v>865.76184660017191</v>
      </c>
    </row>
    <row r="2174" spans="1:12">
      <c r="A2174" s="722" t="s">
        <v>274</v>
      </c>
      <c r="B2174" s="722">
        <v>330</v>
      </c>
      <c r="C2174" s="723">
        <v>27</v>
      </c>
      <c r="D2174" s="723">
        <v>6</v>
      </c>
      <c r="E2174" s="723">
        <v>0</v>
      </c>
      <c r="F2174" s="723">
        <v>0</v>
      </c>
      <c r="G2174" s="723">
        <v>33</v>
      </c>
      <c r="H2174" s="724">
        <v>4675.113971640928</v>
      </c>
      <c r="I2174" s="724">
        <v>1038.9142159202063</v>
      </c>
      <c r="J2174" s="724">
        <v>0</v>
      </c>
      <c r="K2174" s="724">
        <v>0</v>
      </c>
      <c r="L2174" s="724">
        <v>5714.0281875611345</v>
      </c>
    </row>
    <row r="2175" spans="1:12">
      <c r="A2175" s="722" t="s">
        <v>274</v>
      </c>
      <c r="B2175" s="722">
        <v>340</v>
      </c>
      <c r="C2175" s="723">
        <v>6</v>
      </c>
      <c r="D2175" s="723">
        <v>4</v>
      </c>
      <c r="E2175" s="723">
        <v>0</v>
      </c>
      <c r="F2175" s="723">
        <v>0</v>
      </c>
      <c r="G2175" s="723">
        <v>10</v>
      </c>
      <c r="H2175" s="724">
        <v>1038.9142159202063</v>
      </c>
      <c r="I2175" s="724">
        <v>692.60947728013753</v>
      </c>
      <c r="J2175" s="724">
        <v>0</v>
      </c>
      <c r="K2175" s="724">
        <v>0</v>
      </c>
      <c r="L2175" s="724">
        <v>1731.5236932003438</v>
      </c>
    </row>
    <row r="2176" spans="1:12">
      <c r="A2176" s="722" t="s">
        <v>274</v>
      </c>
      <c r="B2176" s="722">
        <v>420</v>
      </c>
      <c r="C2176" s="723">
        <v>331</v>
      </c>
      <c r="D2176" s="723">
        <v>118</v>
      </c>
      <c r="E2176" s="723">
        <v>0</v>
      </c>
      <c r="F2176" s="723">
        <v>0</v>
      </c>
      <c r="G2176" s="723">
        <v>449</v>
      </c>
      <c r="H2176" s="724">
        <v>57313.434244931384</v>
      </c>
      <c r="I2176" s="724">
        <v>20431.979579764058</v>
      </c>
      <c r="J2176" s="724">
        <v>0</v>
      </c>
      <c r="K2176" s="724">
        <v>0</v>
      </c>
      <c r="L2176" s="724">
        <v>77745.413824695439</v>
      </c>
    </row>
    <row r="2177" spans="1:12">
      <c r="A2177" s="722" t="s">
        <v>274</v>
      </c>
      <c r="B2177" s="722">
        <v>822</v>
      </c>
      <c r="C2177" s="723">
        <v>0</v>
      </c>
      <c r="D2177" s="723">
        <v>21</v>
      </c>
      <c r="E2177" s="723">
        <v>0</v>
      </c>
      <c r="F2177" s="723">
        <v>0</v>
      </c>
      <c r="G2177" s="723">
        <v>21</v>
      </c>
      <c r="H2177" s="724">
        <v>0</v>
      </c>
      <c r="I2177" s="724">
        <v>3636.1997557207224</v>
      </c>
      <c r="J2177" s="724">
        <v>0</v>
      </c>
      <c r="K2177" s="724">
        <v>0</v>
      </c>
      <c r="L2177" s="724">
        <v>3636.1997557207224</v>
      </c>
    </row>
    <row r="2178" spans="1:12">
      <c r="A2178" s="722" t="s">
        <v>275</v>
      </c>
      <c r="B2178" s="722">
        <v>100</v>
      </c>
      <c r="C2178" s="723">
        <v>1</v>
      </c>
      <c r="D2178" s="723">
        <v>0</v>
      </c>
      <c r="E2178" s="723">
        <v>0</v>
      </c>
      <c r="F2178" s="723">
        <v>0</v>
      </c>
      <c r="G2178" s="723">
        <v>1</v>
      </c>
      <c r="H2178" s="724">
        <v>86.857022546705849</v>
      </c>
      <c r="I2178" s="724">
        <v>0</v>
      </c>
      <c r="J2178" s="724">
        <v>0</v>
      </c>
      <c r="K2178" s="724">
        <v>0</v>
      </c>
      <c r="L2178" s="724">
        <v>86.857022546705849</v>
      </c>
    </row>
    <row r="2179" spans="1:12">
      <c r="A2179" s="722" t="s">
        <v>275</v>
      </c>
      <c r="B2179" s="722">
        <v>101</v>
      </c>
      <c r="C2179" s="723">
        <v>3</v>
      </c>
      <c r="D2179" s="723">
        <v>6</v>
      </c>
      <c r="E2179" s="723">
        <v>0</v>
      </c>
      <c r="F2179" s="723">
        <v>0</v>
      </c>
      <c r="G2179" s="723">
        <v>9</v>
      </c>
      <c r="H2179" s="724">
        <v>260.57106764011752</v>
      </c>
      <c r="I2179" s="724">
        <v>521.14213528023504</v>
      </c>
      <c r="J2179" s="724">
        <v>0</v>
      </c>
      <c r="K2179" s="724">
        <v>0</v>
      </c>
      <c r="L2179" s="724">
        <v>781.71320292035261</v>
      </c>
    </row>
    <row r="2180" spans="1:12">
      <c r="A2180" s="722" t="s">
        <v>275</v>
      </c>
      <c r="B2180" s="722">
        <v>103</v>
      </c>
      <c r="C2180" s="723">
        <v>1</v>
      </c>
      <c r="D2180" s="723">
        <v>0</v>
      </c>
      <c r="E2180" s="723">
        <v>0</v>
      </c>
      <c r="F2180" s="723">
        <v>0</v>
      </c>
      <c r="G2180" s="723">
        <v>1</v>
      </c>
      <c r="H2180" s="724">
        <v>86.857022546705849</v>
      </c>
      <c r="I2180" s="724">
        <v>0</v>
      </c>
      <c r="J2180" s="724">
        <v>0</v>
      </c>
      <c r="K2180" s="724">
        <v>0</v>
      </c>
      <c r="L2180" s="724">
        <v>86.857022546705849</v>
      </c>
    </row>
    <row r="2181" spans="1:12">
      <c r="A2181" s="722" t="s">
        <v>275</v>
      </c>
      <c r="B2181" s="722">
        <v>104</v>
      </c>
      <c r="C2181" s="723">
        <v>0</v>
      </c>
      <c r="D2181" s="723">
        <v>1</v>
      </c>
      <c r="E2181" s="723">
        <v>0</v>
      </c>
      <c r="F2181" s="723">
        <v>0</v>
      </c>
      <c r="G2181" s="723">
        <v>1</v>
      </c>
      <c r="H2181" s="724">
        <v>0</v>
      </c>
      <c r="I2181" s="724">
        <v>86.857022546705849</v>
      </c>
      <c r="J2181" s="724">
        <v>0</v>
      </c>
      <c r="K2181" s="724">
        <v>0</v>
      </c>
      <c r="L2181" s="724">
        <v>86.857022546705849</v>
      </c>
    </row>
    <row r="2182" spans="1:12">
      <c r="A2182" s="722" t="s">
        <v>275</v>
      </c>
      <c r="B2182" s="722">
        <v>107</v>
      </c>
      <c r="C2182" s="723">
        <v>0</v>
      </c>
      <c r="D2182" s="723">
        <v>1</v>
      </c>
      <c r="E2182" s="723">
        <v>0</v>
      </c>
      <c r="F2182" s="723">
        <v>0</v>
      </c>
      <c r="G2182" s="723">
        <v>1</v>
      </c>
      <c r="H2182" s="724">
        <v>0</v>
      </c>
      <c r="I2182" s="724">
        <v>86.857022546705849</v>
      </c>
      <c r="J2182" s="724">
        <v>0</v>
      </c>
      <c r="K2182" s="724">
        <v>0</v>
      </c>
      <c r="L2182" s="724">
        <v>86.857022546705849</v>
      </c>
    </row>
    <row r="2183" spans="1:12">
      <c r="A2183" s="722" t="s">
        <v>275</v>
      </c>
      <c r="B2183" s="722">
        <v>120</v>
      </c>
      <c r="C2183" s="723">
        <v>12</v>
      </c>
      <c r="D2183" s="723">
        <v>39</v>
      </c>
      <c r="E2183" s="723">
        <v>0</v>
      </c>
      <c r="F2183" s="723">
        <v>0</v>
      </c>
      <c r="G2183" s="723">
        <v>51</v>
      </c>
      <c r="H2183" s="724">
        <v>1042.2842705604701</v>
      </c>
      <c r="I2183" s="724">
        <v>3387.4238793215277</v>
      </c>
      <c r="J2183" s="724">
        <v>0</v>
      </c>
      <c r="K2183" s="724">
        <v>0</v>
      </c>
      <c r="L2183" s="724">
        <v>4429.708149881998</v>
      </c>
    </row>
    <row r="2184" spans="1:12">
      <c r="A2184" s="722" t="s">
        <v>275</v>
      </c>
      <c r="B2184" s="722">
        <v>140</v>
      </c>
      <c r="C2184" s="723">
        <v>0</v>
      </c>
      <c r="D2184" s="723">
        <v>1</v>
      </c>
      <c r="E2184" s="723">
        <v>0</v>
      </c>
      <c r="F2184" s="723">
        <v>0</v>
      </c>
      <c r="G2184" s="723">
        <v>1</v>
      </c>
      <c r="H2184" s="724">
        <v>0</v>
      </c>
      <c r="I2184" s="724">
        <v>86.857022546705849</v>
      </c>
      <c r="J2184" s="724">
        <v>0</v>
      </c>
      <c r="K2184" s="724">
        <v>0</v>
      </c>
      <c r="L2184" s="724">
        <v>86.857022546705849</v>
      </c>
    </row>
    <row r="2185" spans="1:12">
      <c r="A2185" s="722" t="s">
        <v>275</v>
      </c>
      <c r="B2185" s="722">
        <v>300</v>
      </c>
      <c r="C2185" s="723">
        <v>1</v>
      </c>
      <c r="D2185" s="723">
        <v>0</v>
      </c>
      <c r="E2185" s="723">
        <v>0</v>
      </c>
      <c r="F2185" s="723">
        <v>0</v>
      </c>
      <c r="G2185" s="723">
        <v>1</v>
      </c>
      <c r="H2185" s="724">
        <v>86.857022546705849</v>
      </c>
      <c r="I2185" s="724">
        <v>0</v>
      </c>
      <c r="J2185" s="724">
        <v>0</v>
      </c>
      <c r="K2185" s="724">
        <v>0</v>
      </c>
      <c r="L2185" s="724">
        <v>86.857022546705849</v>
      </c>
    </row>
    <row r="2186" spans="1:12">
      <c r="A2186" s="722" t="s">
        <v>275</v>
      </c>
      <c r="B2186" s="722">
        <v>307</v>
      </c>
      <c r="C2186" s="723">
        <v>5</v>
      </c>
      <c r="D2186" s="723">
        <v>0</v>
      </c>
      <c r="E2186" s="723">
        <v>0</v>
      </c>
      <c r="F2186" s="723">
        <v>0</v>
      </c>
      <c r="G2186" s="723">
        <v>5</v>
      </c>
      <c r="H2186" s="724">
        <v>434.28511273352922</v>
      </c>
      <c r="I2186" s="724">
        <v>0</v>
      </c>
      <c r="J2186" s="724">
        <v>0</v>
      </c>
      <c r="K2186" s="724">
        <v>0</v>
      </c>
      <c r="L2186" s="724">
        <v>434.28511273352922</v>
      </c>
    </row>
    <row r="2187" spans="1:12">
      <c r="A2187" s="722" t="s">
        <v>275</v>
      </c>
      <c r="B2187" s="722">
        <v>313</v>
      </c>
      <c r="C2187" s="723">
        <v>0</v>
      </c>
      <c r="D2187" s="723">
        <v>1</v>
      </c>
      <c r="E2187" s="723">
        <v>0</v>
      </c>
      <c r="F2187" s="723">
        <v>0</v>
      </c>
      <c r="G2187" s="723">
        <v>1</v>
      </c>
      <c r="H2187" s="724">
        <v>0</v>
      </c>
      <c r="I2187" s="724">
        <v>86.857022546705849</v>
      </c>
      <c r="J2187" s="724">
        <v>0</v>
      </c>
      <c r="K2187" s="724">
        <v>0</v>
      </c>
      <c r="L2187" s="724">
        <v>86.857022546705849</v>
      </c>
    </row>
    <row r="2188" spans="1:12">
      <c r="A2188" s="722" t="s">
        <v>275</v>
      </c>
      <c r="B2188" s="722">
        <v>317</v>
      </c>
      <c r="C2188" s="723">
        <v>6</v>
      </c>
      <c r="D2188" s="723">
        <v>40</v>
      </c>
      <c r="E2188" s="723">
        <v>0</v>
      </c>
      <c r="F2188" s="723">
        <v>0</v>
      </c>
      <c r="G2188" s="723">
        <v>46</v>
      </c>
      <c r="H2188" s="724">
        <v>521.14213528023504</v>
      </c>
      <c r="I2188" s="724">
        <v>3474.2809018682337</v>
      </c>
      <c r="J2188" s="724">
        <v>0</v>
      </c>
      <c r="K2188" s="724">
        <v>0</v>
      </c>
      <c r="L2188" s="724">
        <v>3995.4230371484687</v>
      </c>
    </row>
    <row r="2189" spans="1:12">
      <c r="A2189" s="722" t="s">
        <v>275</v>
      </c>
      <c r="B2189" s="722">
        <v>320</v>
      </c>
      <c r="C2189" s="723">
        <v>0</v>
      </c>
      <c r="D2189" s="723">
        <v>1</v>
      </c>
      <c r="E2189" s="723">
        <v>0</v>
      </c>
      <c r="F2189" s="723">
        <v>0</v>
      </c>
      <c r="G2189" s="723">
        <v>1</v>
      </c>
      <c r="H2189" s="724">
        <v>0</v>
      </c>
      <c r="I2189" s="724">
        <v>86.857022546705849</v>
      </c>
      <c r="J2189" s="724">
        <v>0</v>
      </c>
      <c r="K2189" s="724">
        <v>0</v>
      </c>
      <c r="L2189" s="724">
        <v>86.857022546705849</v>
      </c>
    </row>
    <row r="2190" spans="1:12">
      <c r="A2190" s="722" t="s">
        <v>275</v>
      </c>
      <c r="B2190" s="722">
        <v>321</v>
      </c>
      <c r="C2190" s="723">
        <v>0</v>
      </c>
      <c r="D2190" s="723">
        <v>1</v>
      </c>
      <c r="E2190" s="723">
        <v>0</v>
      </c>
      <c r="F2190" s="723">
        <v>0</v>
      </c>
      <c r="G2190" s="723">
        <v>1</v>
      </c>
      <c r="H2190" s="724">
        <v>0</v>
      </c>
      <c r="I2190" s="724">
        <v>86.857022546705849</v>
      </c>
      <c r="J2190" s="724">
        <v>0</v>
      </c>
      <c r="K2190" s="724">
        <v>0</v>
      </c>
      <c r="L2190" s="724">
        <v>86.857022546705849</v>
      </c>
    </row>
    <row r="2191" spans="1:12">
      <c r="A2191" s="722" t="s">
        <v>275</v>
      </c>
      <c r="B2191" s="722">
        <v>330</v>
      </c>
      <c r="C2191" s="723">
        <v>809</v>
      </c>
      <c r="D2191" s="723">
        <v>129</v>
      </c>
      <c r="E2191" s="723">
        <v>0</v>
      </c>
      <c r="F2191" s="723">
        <v>0</v>
      </c>
      <c r="G2191" s="723">
        <v>938</v>
      </c>
      <c r="H2191" s="724">
        <v>70267.331240285028</v>
      </c>
      <c r="I2191" s="724">
        <v>11204.555908525053</v>
      </c>
      <c r="J2191" s="724">
        <v>0</v>
      </c>
      <c r="K2191" s="724">
        <v>0</v>
      </c>
      <c r="L2191" s="724">
        <v>81471.88714881007</v>
      </c>
    </row>
    <row r="2192" spans="1:12">
      <c r="A2192" s="722" t="s">
        <v>275</v>
      </c>
      <c r="B2192" s="722">
        <v>361</v>
      </c>
      <c r="C2192" s="723">
        <v>1</v>
      </c>
      <c r="D2192" s="723">
        <v>0</v>
      </c>
      <c r="E2192" s="723">
        <v>0</v>
      </c>
      <c r="F2192" s="723">
        <v>0</v>
      </c>
      <c r="G2192" s="723">
        <v>1</v>
      </c>
      <c r="H2192" s="724">
        <v>86.857022546705849</v>
      </c>
      <c r="I2192" s="724">
        <v>0</v>
      </c>
      <c r="J2192" s="724">
        <v>0</v>
      </c>
      <c r="K2192" s="724">
        <v>0</v>
      </c>
      <c r="L2192" s="724">
        <v>86.857022546705849</v>
      </c>
    </row>
    <row r="2193" spans="1:12">
      <c r="A2193" s="722" t="s">
        <v>275</v>
      </c>
      <c r="B2193" s="722">
        <v>410</v>
      </c>
      <c r="C2193" s="723">
        <v>2</v>
      </c>
      <c r="D2193" s="723">
        <v>0</v>
      </c>
      <c r="E2193" s="723">
        <v>0</v>
      </c>
      <c r="F2193" s="723">
        <v>0</v>
      </c>
      <c r="G2193" s="723">
        <v>2</v>
      </c>
      <c r="H2193" s="724">
        <v>173.7140450934117</v>
      </c>
      <c r="I2193" s="724">
        <v>0</v>
      </c>
      <c r="J2193" s="724">
        <v>0</v>
      </c>
      <c r="K2193" s="724">
        <v>0</v>
      </c>
      <c r="L2193" s="724">
        <v>173.7140450934117</v>
      </c>
    </row>
    <row r="2194" spans="1:12">
      <c r="A2194" s="722" t="s">
        <v>275</v>
      </c>
      <c r="B2194" s="722">
        <v>420</v>
      </c>
      <c r="C2194" s="723">
        <v>3</v>
      </c>
      <c r="D2194" s="723">
        <v>0</v>
      </c>
      <c r="E2194" s="723">
        <v>0</v>
      </c>
      <c r="F2194" s="723">
        <v>0</v>
      </c>
      <c r="G2194" s="723">
        <v>3</v>
      </c>
      <c r="H2194" s="724">
        <v>260.57106764011758</v>
      </c>
      <c r="I2194" s="724">
        <v>0</v>
      </c>
      <c r="J2194" s="724">
        <v>0</v>
      </c>
      <c r="K2194" s="724">
        <v>0</v>
      </c>
      <c r="L2194" s="724">
        <v>260.57106764011758</v>
      </c>
    </row>
    <row r="2195" spans="1:12">
      <c r="A2195" s="722" t="s">
        <v>275</v>
      </c>
      <c r="B2195" s="722">
        <v>501</v>
      </c>
      <c r="C2195" s="723">
        <v>7</v>
      </c>
      <c r="D2195" s="723">
        <v>3</v>
      </c>
      <c r="E2195" s="723">
        <v>0</v>
      </c>
      <c r="F2195" s="723">
        <v>0</v>
      </c>
      <c r="G2195" s="723">
        <v>10</v>
      </c>
      <c r="H2195" s="724">
        <v>607.99915782694086</v>
      </c>
      <c r="I2195" s="724">
        <v>260.57106764011752</v>
      </c>
      <c r="J2195" s="724">
        <v>0</v>
      </c>
      <c r="K2195" s="724">
        <v>0</v>
      </c>
      <c r="L2195" s="724">
        <v>868.57022546705844</v>
      </c>
    </row>
    <row r="2196" spans="1:12">
      <c r="A2196" s="722" t="s">
        <v>275</v>
      </c>
      <c r="B2196" s="722">
        <v>502</v>
      </c>
      <c r="C2196" s="723">
        <v>0</v>
      </c>
      <c r="D2196" s="723">
        <v>1</v>
      </c>
      <c r="E2196" s="723">
        <v>0</v>
      </c>
      <c r="F2196" s="723">
        <v>0</v>
      </c>
      <c r="G2196" s="723">
        <v>1</v>
      </c>
      <c r="H2196" s="724">
        <v>0</v>
      </c>
      <c r="I2196" s="724">
        <v>86.857022546705849</v>
      </c>
      <c r="J2196" s="724">
        <v>0</v>
      </c>
      <c r="K2196" s="724">
        <v>0</v>
      </c>
      <c r="L2196" s="724">
        <v>86.857022546705849</v>
      </c>
    </row>
    <row r="2197" spans="1:12">
      <c r="A2197" s="722" t="s">
        <v>275</v>
      </c>
      <c r="B2197" s="722">
        <v>560</v>
      </c>
      <c r="C2197" s="723">
        <v>2</v>
      </c>
      <c r="D2197" s="723">
        <v>0</v>
      </c>
      <c r="E2197" s="723">
        <v>0</v>
      </c>
      <c r="F2197" s="723">
        <v>0</v>
      </c>
      <c r="G2197" s="723">
        <v>2</v>
      </c>
      <c r="H2197" s="724">
        <v>173.7140450934117</v>
      </c>
      <c r="I2197" s="724">
        <v>0</v>
      </c>
      <c r="J2197" s="724">
        <v>0</v>
      </c>
      <c r="K2197" s="724">
        <v>0</v>
      </c>
      <c r="L2197" s="724">
        <v>173.7140450934117</v>
      </c>
    </row>
    <row r="2198" spans="1:12">
      <c r="A2198" s="722" t="s">
        <v>275</v>
      </c>
      <c r="B2198" s="722">
        <v>800</v>
      </c>
      <c r="C2198" s="723">
        <v>1</v>
      </c>
      <c r="D2198" s="723">
        <v>0</v>
      </c>
      <c r="E2198" s="723">
        <v>0</v>
      </c>
      <c r="F2198" s="723">
        <v>0</v>
      </c>
      <c r="G2198" s="723">
        <v>1</v>
      </c>
      <c r="H2198" s="724">
        <v>86.857022546705849</v>
      </c>
      <c r="I2198" s="724">
        <v>0</v>
      </c>
      <c r="J2198" s="724">
        <v>0</v>
      </c>
      <c r="K2198" s="724">
        <v>0</v>
      </c>
      <c r="L2198" s="724">
        <v>86.857022546705849</v>
      </c>
    </row>
    <row r="2199" spans="1:12">
      <c r="A2199" s="722" t="s">
        <v>276</v>
      </c>
      <c r="B2199" s="722">
        <v>100</v>
      </c>
      <c r="C2199" s="723">
        <v>17</v>
      </c>
      <c r="D2199" s="723">
        <v>3</v>
      </c>
      <c r="E2199" s="723">
        <v>0</v>
      </c>
      <c r="F2199" s="723">
        <v>0</v>
      </c>
      <c r="G2199" s="723">
        <v>20</v>
      </c>
      <c r="H2199" s="724">
        <v>3367.6343716868823</v>
      </c>
      <c r="I2199" s="724">
        <v>594.28841853297922</v>
      </c>
      <c r="J2199" s="724">
        <v>0</v>
      </c>
      <c r="K2199" s="724">
        <v>0</v>
      </c>
      <c r="L2199" s="724">
        <v>3961.9227902198618</v>
      </c>
    </row>
    <row r="2200" spans="1:12">
      <c r="A2200" s="722" t="s">
        <v>276</v>
      </c>
      <c r="B2200" s="722">
        <v>101</v>
      </c>
      <c r="C2200" s="723">
        <v>0</v>
      </c>
      <c r="D2200" s="723">
        <v>1</v>
      </c>
      <c r="E2200" s="723">
        <v>0</v>
      </c>
      <c r="F2200" s="723">
        <v>0</v>
      </c>
      <c r="G2200" s="723">
        <v>1</v>
      </c>
      <c r="H2200" s="724">
        <v>0</v>
      </c>
      <c r="I2200" s="724">
        <v>198.09613951099308</v>
      </c>
      <c r="J2200" s="724">
        <v>0</v>
      </c>
      <c r="K2200" s="724">
        <v>0</v>
      </c>
      <c r="L2200" s="724">
        <v>198.09613951099308</v>
      </c>
    </row>
    <row r="2201" spans="1:12">
      <c r="A2201" s="722" t="s">
        <v>276</v>
      </c>
      <c r="B2201" s="722">
        <v>103</v>
      </c>
      <c r="C2201" s="723">
        <v>7</v>
      </c>
      <c r="D2201" s="723">
        <v>1</v>
      </c>
      <c r="E2201" s="723">
        <v>0</v>
      </c>
      <c r="F2201" s="723">
        <v>0</v>
      </c>
      <c r="G2201" s="723">
        <v>8</v>
      </c>
      <c r="H2201" s="724">
        <v>1386.6729765769517</v>
      </c>
      <c r="I2201" s="724">
        <v>198.09613951099308</v>
      </c>
      <c r="J2201" s="724">
        <v>0</v>
      </c>
      <c r="K2201" s="724">
        <v>0</v>
      </c>
      <c r="L2201" s="724">
        <v>1584.7691160879447</v>
      </c>
    </row>
    <row r="2202" spans="1:12">
      <c r="A2202" s="722" t="s">
        <v>276</v>
      </c>
      <c r="B2202" s="722">
        <v>107</v>
      </c>
      <c r="C2202" s="723">
        <v>1</v>
      </c>
      <c r="D2202" s="723">
        <v>0</v>
      </c>
      <c r="E2202" s="723">
        <v>0</v>
      </c>
      <c r="F2202" s="723">
        <v>0</v>
      </c>
      <c r="G2202" s="723">
        <v>1</v>
      </c>
      <c r="H2202" s="724">
        <v>198.09613951099308</v>
      </c>
      <c r="I2202" s="724">
        <v>0</v>
      </c>
      <c r="J2202" s="724">
        <v>0</v>
      </c>
      <c r="K2202" s="724">
        <v>0</v>
      </c>
      <c r="L2202" s="724">
        <v>198.09613951099308</v>
      </c>
    </row>
    <row r="2203" spans="1:12">
      <c r="A2203" s="722" t="s">
        <v>276</v>
      </c>
      <c r="B2203" s="722">
        <v>110</v>
      </c>
      <c r="C2203" s="723">
        <v>20</v>
      </c>
      <c r="D2203" s="723">
        <v>27</v>
      </c>
      <c r="E2203" s="723">
        <v>0</v>
      </c>
      <c r="F2203" s="723">
        <v>0</v>
      </c>
      <c r="G2203" s="723">
        <v>47</v>
      </c>
      <c r="H2203" s="724">
        <v>3961.9227902198613</v>
      </c>
      <c r="I2203" s="724">
        <v>5348.5957667968132</v>
      </c>
      <c r="J2203" s="724">
        <v>0</v>
      </c>
      <c r="K2203" s="724">
        <v>0</v>
      </c>
      <c r="L2203" s="724">
        <v>9310.5185570166741</v>
      </c>
    </row>
    <row r="2204" spans="1:12">
      <c r="A2204" s="722" t="s">
        <v>276</v>
      </c>
      <c r="B2204" s="722">
        <v>120</v>
      </c>
      <c r="C2204" s="723">
        <v>1</v>
      </c>
      <c r="D2204" s="723">
        <v>1</v>
      </c>
      <c r="E2204" s="723">
        <v>0</v>
      </c>
      <c r="F2204" s="723">
        <v>0</v>
      </c>
      <c r="G2204" s="723">
        <v>2</v>
      </c>
      <c r="H2204" s="724">
        <v>198.09613951099308</v>
      </c>
      <c r="I2204" s="724">
        <v>198.09613951099308</v>
      </c>
      <c r="J2204" s="724">
        <v>0</v>
      </c>
      <c r="K2204" s="724">
        <v>0</v>
      </c>
      <c r="L2204" s="724">
        <v>396.19227902198617</v>
      </c>
    </row>
    <row r="2205" spans="1:12">
      <c r="A2205" s="722" t="s">
        <v>276</v>
      </c>
      <c r="B2205" s="722">
        <v>130</v>
      </c>
      <c r="C2205" s="723">
        <v>3</v>
      </c>
      <c r="D2205" s="723">
        <v>3</v>
      </c>
      <c r="E2205" s="723">
        <v>0</v>
      </c>
      <c r="F2205" s="723">
        <v>0</v>
      </c>
      <c r="G2205" s="723">
        <v>6</v>
      </c>
      <c r="H2205" s="724">
        <v>594.28841853297922</v>
      </c>
      <c r="I2205" s="724">
        <v>594.28841853297922</v>
      </c>
      <c r="J2205" s="724">
        <v>0</v>
      </c>
      <c r="K2205" s="724">
        <v>0</v>
      </c>
      <c r="L2205" s="724">
        <v>1188.5768370659584</v>
      </c>
    </row>
    <row r="2206" spans="1:12">
      <c r="A2206" s="722" t="s">
        <v>276</v>
      </c>
      <c r="B2206" s="722">
        <v>140</v>
      </c>
      <c r="C2206" s="723">
        <v>152</v>
      </c>
      <c r="D2206" s="723">
        <v>255</v>
      </c>
      <c r="E2206" s="723">
        <v>0</v>
      </c>
      <c r="F2206" s="723">
        <v>0</v>
      </c>
      <c r="G2206" s="723">
        <v>407</v>
      </c>
      <c r="H2206" s="724">
        <v>30110.613205670954</v>
      </c>
      <c r="I2206" s="724">
        <v>50514.515575303238</v>
      </c>
      <c r="J2206" s="724">
        <v>0</v>
      </c>
      <c r="K2206" s="724">
        <v>0</v>
      </c>
      <c r="L2206" s="724">
        <v>80625.128780974192</v>
      </c>
    </row>
    <row r="2207" spans="1:12">
      <c r="A2207" s="722" t="s">
        <v>276</v>
      </c>
      <c r="B2207" s="722">
        <v>144</v>
      </c>
      <c r="C2207" s="723">
        <v>59</v>
      </c>
      <c r="D2207" s="723">
        <v>6</v>
      </c>
      <c r="E2207" s="723">
        <v>0</v>
      </c>
      <c r="F2207" s="723">
        <v>0</v>
      </c>
      <c r="G2207" s="723">
        <v>65</v>
      </c>
      <c r="H2207" s="724">
        <v>11687.672231148592</v>
      </c>
      <c r="I2207" s="724">
        <v>1188.5768370659584</v>
      </c>
      <c r="J2207" s="724">
        <v>0</v>
      </c>
      <c r="K2207" s="724">
        <v>0</v>
      </c>
      <c r="L2207" s="724">
        <v>12876.249068214551</v>
      </c>
    </row>
    <row r="2208" spans="1:12">
      <c r="A2208" s="722" t="s">
        <v>276</v>
      </c>
      <c r="B2208" s="722">
        <v>160</v>
      </c>
      <c r="C2208" s="723">
        <v>325</v>
      </c>
      <c r="D2208" s="723">
        <v>181</v>
      </c>
      <c r="E2208" s="723">
        <v>0</v>
      </c>
      <c r="F2208" s="723">
        <v>0</v>
      </c>
      <c r="G2208" s="723">
        <v>506</v>
      </c>
      <c r="H2208" s="724">
        <v>64381.245341072747</v>
      </c>
      <c r="I2208" s="724">
        <v>35855.401251489748</v>
      </c>
      <c r="J2208" s="724">
        <v>0</v>
      </c>
      <c r="K2208" s="724">
        <v>0</v>
      </c>
      <c r="L2208" s="724">
        <v>100236.64659256249</v>
      </c>
    </row>
    <row r="2209" spans="1:12">
      <c r="A2209" s="722" t="s">
        <v>276</v>
      </c>
      <c r="B2209" s="722">
        <v>161</v>
      </c>
      <c r="C2209" s="723">
        <v>3</v>
      </c>
      <c r="D2209" s="723">
        <v>0</v>
      </c>
      <c r="E2209" s="723">
        <v>0</v>
      </c>
      <c r="F2209" s="723">
        <v>0</v>
      </c>
      <c r="G2209" s="723">
        <v>3</v>
      </c>
      <c r="H2209" s="724">
        <v>594.28841853297922</v>
      </c>
      <c r="I2209" s="724">
        <v>0</v>
      </c>
      <c r="J2209" s="724">
        <v>0</v>
      </c>
      <c r="K2209" s="724">
        <v>0</v>
      </c>
      <c r="L2209" s="724">
        <v>594.28841853297922</v>
      </c>
    </row>
    <row r="2210" spans="1:12">
      <c r="A2210" s="722" t="s">
        <v>276</v>
      </c>
      <c r="B2210" s="722">
        <v>180</v>
      </c>
      <c r="C2210" s="723">
        <v>0</v>
      </c>
      <c r="D2210" s="723">
        <v>4</v>
      </c>
      <c r="E2210" s="723">
        <v>0</v>
      </c>
      <c r="F2210" s="723">
        <v>0</v>
      </c>
      <c r="G2210" s="723">
        <v>4</v>
      </c>
      <c r="H2210" s="724">
        <v>0</v>
      </c>
      <c r="I2210" s="724">
        <v>792.38455804397233</v>
      </c>
      <c r="J2210" s="724">
        <v>0</v>
      </c>
      <c r="K2210" s="724">
        <v>0</v>
      </c>
      <c r="L2210" s="724">
        <v>792.38455804397233</v>
      </c>
    </row>
    <row r="2211" spans="1:12">
      <c r="A2211" s="722" t="s">
        <v>276</v>
      </c>
      <c r="B2211" s="722">
        <v>219</v>
      </c>
      <c r="C2211" s="723">
        <v>2</v>
      </c>
      <c r="D2211" s="723">
        <v>8</v>
      </c>
      <c r="E2211" s="723">
        <v>0</v>
      </c>
      <c r="F2211" s="723">
        <v>0</v>
      </c>
      <c r="G2211" s="723">
        <v>10</v>
      </c>
      <c r="H2211" s="724">
        <v>396.19227902198617</v>
      </c>
      <c r="I2211" s="724">
        <v>1584.7691160879447</v>
      </c>
      <c r="J2211" s="724">
        <v>0</v>
      </c>
      <c r="K2211" s="724">
        <v>0</v>
      </c>
      <c r="L2211" s="724">
        <v>1980.9613951099309</v>
      </c>
    </row>
    <row r="2212" spans="1:12">
      <c r="A2212" s="722" t="s">
        <v>276</v>
      </c>
      <c r="B2212" s="722">
        <v>220</v>
      </c>
      <c r="C2212" s="723">
        <v>1</v>
      </c>
      <c r="D2212" s="723">
        <v>0</v>
      </c>
      <c r="E2212" s="723">
        <v>0</v>
      </c>
      <c r="F2212" s="723">
        <v>0</v>
      </c>
      <c r="G2212" s="723">
        <v>1</v>
      </c>
      <c r="H2212" s="724">
        <v>198.09613951099308</v>
      </c>
      <c r="I2212" s="724">
        <v>0</v>
      </c>
      <c r="J2212" s="724">
        <v>0</v>
      </c>
      <c r="K2212" s="724">
        <v>0</v>
      </c>
      <c r="L2212" s="724">
        <v>198.09613951099308</v>
      </c>
    </row>
    <row r="2213" spans="1:12">
      <c r="A2213" s="722" t="s">
        <v>276</v>
      </c>
      <c r="B2213" s="722">
        <v>257</v>
      </c>
      <c r="C2213" s="723">
        <v>2</v>
      </c>
      <c r="D2213" s="723">
        <v>0</v>
      </c>
      <c r="E2213" s="723">
        <v>0</v>
      </c>
      <c r="F2213" s="723">
        <v>0</v>
      </c>
      <c r="G2213" s="723">
        <v>2</v>
      </c>
      <c r="H2213" s="724">
        <v>396.19227902198617</v>
      </c>
      <c r="I2213" s="724">
        <v>0</v>
      </c>
      <c r="J2213" s="724">
        <v>0</v>
      </c>
      <c r="K2213" s="724">
        <v>0</v>
      </c>
      <c r="L2213" s="724">
        <v>396.19227902198617</v>
      </c>
    </row>
    <row r="2214" spans="1:12">
      <c r="A2214" s="722" t="s">
        <v>276</v>
      </c>
      <c r="B2214" s="722">
        <v>301</v>
      </c>
      <c r="C2214" s="723">
        <v>0</v>
      </c>
      <c r="D2214" s="723">
        <v>1</v>
      </c>
      <c r="E2214" s="723">
        <v>0</v>
      </c>
      <c r="F2214" s="723">
        <v>0</v>
      </c>
      <c r="G2214" s="723">
        <v>1</v>
      </c>
      <c r="H2214" s="724">
        <v>0</v>
      </c>
      <c r="I2214" s="724">
        <v>198.09613951099308</v>
      </c>
      <c r="J2214" s="724">
        <v>0</v>
      </c>
      <c r="K2214" s="724">
        <v>0</v>
      </c>
      <c r="L2214" s="724">
        <v>198.09613951099308</v>
      </c>
    </row>
    <row r="2215" spans="1:12">
      <c r="A2215" s="722" t="s">
        <v>276</v>
      </c>
      <c r="B2215" s="722">
        <v>302</v>
      </c>
      <c r="C2215" s="723">
        <v>1</v>
      </c>
      <c r="D2215" s="723">
        <v>0</v>
      </c>
      <c r="E2215" s="723">
        <v>0</v>
      </c>
      <c r="F2215" s="723">
        <v>0</v>
      </c>
      <c r="G2215" s="723">
        <v>1</v>
      </c>
      <c r="H2215" s="724">
        <v>198.09613951099308</v>
      </c>
      <c r="I2215" s="724">
        <v>0</v>
      </c>
      <c r="J2215" s="724">
        <v>0</v>
      </c>
      <c r="K2215" s="724">
        <v>0</v>
      </c>
      <c r="L2215" s="724">
        <v>198.09613951099308</v>
      </c>
    </row>
    <row r="2216" spans="1:12">
      <c r="A2216" s="722" t="s">
        <v>276</v>
      </c>
      <c r="B2216" s="722">
        <v>303</v>
      </c>
      <c r="C2216" s="723">
        <v>1</v>
      </c>
      <c r="D2216" s="723">
        <v>0</v>
      </c>
      <c r="E2216" s="723">
        <v>0</v>
      </c>
      <c r="F2216" s="723">
        <v>0</v>
      </c>
      <c r="G2216" s="723">
        <v>1</v>
      </c>
      <c r="H2216" s="724">
        <v>198.09613951099308</v>
      </c>
      <c r="I2216" s="724">
        <v>0</v>
      </c>
      <c r="J2216" s="724">
        <v>0</v>
      </c>
      <c r="K2216" s="724">
        <v>0</v>
      </c>
      <c r="L2216" s="724">
        <v>198.09613951099308</v>
      </c>
    </row>
    <row r="2217" spans="1:12">
      <c r="A2217" s="722" t="s">
        <v>276</v>
      </c>
      <c r="B2217" s="722">
        <v>306</v>
      </c>
      <c r="C2217" s="723">
        <v>2</v>
      </c>
      <c r="D2217" s="723">
        <v>0</v>
      </c>
      <c r="E2217" s="723">
        <v>0</v>
      </c>
      <c r="F2217" s="723">
        <v>0</v>
      </c>
      <c r="G2217" s="723">
        <v>2</v>
      </c>
      <c r="H2217" s="724">
        <v>396.19227902198617</v>
      </c>
      <c r="I2217" s="724">
        <v>0</v>
      </c>
      <c r="J2217" s="724">
        <v>0</v>
      </c>
      <c r="K2217" s="724">
        <v>0</v>
      </c>
      <c r="L2217" s="724">
        <v>396.19227902198617</v>
      </c>
    </row>
    <row r="2218" spans="1:12">
      <c r="A2218" s="722" t="s">
        <v>276</v>
      </c>
      <c r="B2218" s="722">
        <v>307</v>
      </c>
      <c r="C2218" s="723">
        <v>55</v>
      </c>
      <c r="D2218" s="723">
        <v>7</v>
      </c>
      <c r="E2218" s="723">
        <v>0</v>
      </c>
      <c r="F2218" s="723">
        <v>0</v>
      </c>
      <c r="G2218" s="723">
        <v>62</v>
      </c>
      <c r="H2218" s="724">
        <v>10895.287673104618</v>
      </c>
      <c r="I2218" s="724">
        <v>1386.6729765769514</v>
      </c>
      <c r="J2218" s="724">
        <v>0</v>
      </c>
      <c r="K2218" s="724">
        <v>0</v>
      </c>
      <c r="L2218" s="724">
        <v>12281.96064968157</v>
      </c>
    </row>
    <row r="2219" spans="1:12">
      <c r="A2219" s="722" t="s">
        <v>276</v>
      </c>
      <c r="B2219" s="722">
        <v>313</v>
      </c>
      <c r="C2219" s="723">
        <v>1</v>
      </c>
      <c r="D2219" s="723">
        <v>0</v>
      </c>
      <c r="E2219" s="723">
        <v>0</v>
      </c>
      <c r="F2219" s="723">
        <v>0</v>
      </c>
      <c r="G2219" s="723">
        <v>1</v>
      </c>
      <c r="H2219" s="724">
        <v>198.09613951099308</v>
      </c>
      <c r="I2219" s="724">
        <v>0</v>
      </c>
      <c r="J2219" s="724">
        <v>0</v>
      </c>
      <c r="K2219" s="724">
        <v>0</v>
      </c>
      <c r="L2219" s="724">
        <v>198.09613951099308</v>
      </c>
    </row>
    <row r="2220" spans="1:12">
      <c r="A2220" s="722" t="s">
        <v>276</v>
      </c>
      <c r="B2220" s="722">
        <v>317</v>
      </c>
      <c r="C2220" s="723">
        <v>0</v>
      </c>
      <c r="D2220" s="723">
        <v>2</v>
      </c>
      <c r="E2220" s="723">
        <v>0</v>
      </c>
      <c r="F2220" s="723">
        <v>0</v>
      </c>
      <c r="G2220" s="723">
        <v>2</v>
      </c>
      <c r="H2220" s="724">
        <v>0</v>
      </c>
      <c r="I2220" s="724">
        <v>396.19227902198617</v>
      </c>
      <c r="J2220" s="724">
        <v>0</v>
      </c>
      <c r="K2220" s="724">
        <v>0</v>
      </c>
      <c r="L2220" s="724">
        <v>396.19227902198617</v>
      </c>
    </row>
    <row r="2221" spans="1:12">
      <c r="A2221" s="722" t="s">
        <v>276</v>
      </c>
      <c r="B2221" s="722">
        <v>330</v>
      </c>
      <c r="C2221" s="723">
        <v>461</v>
      </c>
      <c r="D2221" s="723">
        <v>178</v>
      </c>
      <c r="E2221" s="723">
        <v>0</v>
      </c>
      <c r="F2221" s="723">
        <v>0</v>
      </c>
      <c r="G2221" s="723">
        <v>639</v>
      </c>
      <c r="H2221" s="724">
        <v>91322.320314567813</v>
      </c>
      <c r="I2221" s="724">
        <v>35261.112832956765</v>
      </c>
      <c r="J2221" s="724">
        <v>0</v>
      </c>
      <c r="K2221" s="724">
        <v>0</v>
      </c>
      <c r="L2221" s="724">
        <v>126583.43314752459</v>
      </c>
    </row>
    <row r="2222" spans="1:12">
      <c r="A2222" s="722" t="s">
        <v>276</v>
      </c>
      <c r="B2222" s="722">
        <v>350</v>
      </c>
      <c r="C2222" s="723">
        <v>1</v>
      </c>
      <c r="D2222" s="723">
        <v>0</v>
      </c>
      <c r="E2222" s="723">
        <v>0</v>
      </c>
      <c r="F2222" s="723">
        <v>0</v>
      </c>
      <c r="G2222" s="723">
        <v>1</v>
      </c>
      <c r="H2222" s="724">
        <v>198.09613951099308</v>
      </c>
      <c r="I2222" s="724">
        <v>0</v>
      </c>
      <c r="J2222" s="724">
        <v>0</v>
      </c>
      <c r="K2222" s="724">
        <v>0</v>
      </c>
      <c r="L2222" s="724">
        <v>198.09613951099308</v>
      </c>
    </row>
    <row r="2223" spans="1:12">
      <c r="A2223" s="722" t="s">
        <v>276</v>
      </c>
      <c r="B2223" s="722">
        <v>361</v>
      </c>
      <c r="C2223" s="723">
        <v>1</v>
      </c>
      <c r="D2223" s="723">
        <v>0</v>
      </c>
      <c r="E2223" s="723">
        <v>0</v>
      </c>
      <c r="F2223" s="723">
        <v>0</v>
      </c>
      <c r="G2223" s="723">
        <v>1</v>
      </c>
      <c r="H2223" s="724">
        <v>198.09613951099308</v>
      </c>
      <c r="I2223" s="724">
        <v>0</v>
      </c>
      <c r="J2223" s="724">
        <v>0</v>
      </c>
      <c r="K2223" s="724">
        <v>0</v>
      </c>
      <c r="L2223" s="724">
        <v>198.09613951099308</v>
      </c>
    </row>
    <row r="2224" spans="1:12">
      <c r="A2224" s="722" t="s">
        <v>276</v>
      </c>
      <c r="B2224" s="722">
        <v>410</v>
      </c>
      <c r="C2224" s="723">
        <v>1</v>
      </c>
      <c r="D2224" s="723">
        <v>0</v>
      </c>
      <c r="E2224" s="723">
        <v>0</v>
      </c>
      <c r="F2224" s="723">
        <v>0</v>
      </c>
      <c r="G2224" s="723">
        <v>1</v>
      </c>
      <c r="H2224" s="724">
        <v>198.09613951099308</v>
      </c>
      <c r="I2224" s="724">
        <v>0</v>
      </c>
      <c r="J2224" s="724">
        <v>0</v>
      </c>
      <c r="K2224" s="724">
        <v>0</v>
      </c>
      <c r="L2224" s="724">
        <v>198.09613951099308</v>
      </c>
    </row>
    <row r="2225" spans="1:12">
      <c r="A2225" s="722" t="s">
        <v>276</v>
      </c>
      <c r="B2225" s="722">
        <v>420</v>
      </c>
      <c r="C2225" s="723">
        <v>1</v>
      </c>
      <c r="D2225" s="723">
        <v>0</v>
      </c>
      <c r="E2225" s="723">
        <v>0</v>
      </c>
      <c r="F2225" s="723">
        <v>0</v>
      </c>
      <c r="G2225" s="723">
        <v>1</v>
      </c>
      <c r="H2225" s="724">
        <v>198.09613951099308</v>
      </c>
      <c r="I2225" s="724">
        <v>0</v>
      </c>
      <c r="J2225" s="724">
        <v>0</v>
      </c>
      <c r="K2225" s="724">
        <v>0</v>
      </c>
      <c r="L2225" s="724">
        <v>198.09613951099308</v>
      </c>
    </row>
    <row r="2226" spans="1:12">
      <c r="A2226" s="722" t="s">
        <v>276</v>
      </c>
      <c r="B2226" s="722">
        <v>460</v>
      </c>
      <c r="C2226" s="723">
        <v>1</v>
      </c>
      <c r="D2226" s="723">
        <v>0</v>
      </c>
      <c r="E2226" s="723">
        <v>0</v>
      </c>
      <c r="F2226" s="723">
        <v>0</v>
      </c>
      <c r="G2226" s="723">
        <v>1</v>
      </c>
      <c r="H2226" s="724">
        <v>198.09613951099308</v>
      </c>
      <c r="I2226" s="724">
        <v>0</v>
      </c>
      <c r="J2226" s="724">
        <v>0</v>
      </c>
      <c r="K2226" s="724">
        <v>0</v>
      </c>
      <c r="L2226" s="724">
        <v>198.09613951099308</v>
      </c>
    </row>
    <row r="2227" spans="1:12">
      <c r="A2227" s="722" t="s">
        <v>276</v>
      </c>
      <c r="B2227" s="722">
        <v>502</v>
      </c>
      <c r="C2227" s="723">
        <v>9</v>
      </c>
      <c r="D2227" s="723">
        <v>24</v>
      </c>
      <c r="E2227" s="723">
        <v>0</v>
      </c>
      <c r="F2227" s="723">
        <v>0</v>
      </c>
      <c r="G2227" s="723">
        <v>33</v>
      </c>
      <c r="H2227" s="724">
        <v>1782.8652555989379</v>
      </c>
      <c r="I2227" s="724">
        <v>4754.3073482638347</v>
      </c>
      <c r="J2227" s="724">
        <v>0</v>
      </c>
      <c r="K2227" s="724">
        <v>0</v>
      </c>
      <c r="L2227" s="724">
        <v>6537.1726038627721</v>
      </c>
    </row>
    <row r="2228" spans="1:12">
      <c r="A2228" s="722" t="s">
        <v>276</v>
      </c>
      <c r="B2228" s="722">
        <v>653</v>
      </c>
      <c r="C2228" s="723">
        <v>17</v>
      </c>
      <c r="D2228" s="723">
        <v>33</v>
      </c>
      <c r="E2228" s="723">
        <v>0</v>
      </c>
      <c r="F2228" s="723">
        <v>0</v>
      </c>
      <c r="G2228" s="723">
        <v>50</v>
      </c>
      <c r="H2228" s="724">
        <v>3367.6343716868828</v>
      </c>
      <c r="I2228" s="724">
        <v>6537.1726038627721</v>
      </c>
      <c r="J2228" s="724">
        <v>0</v>
      </c>
      <c r="K2228" s="724">
        <v>0</v>
      </c>
      <c r="L2228" s="724">
        <v>9904.8069755496545</v>
      </c>
    </row>
    <row r="2229" spans="1:12">
      <c r="A2229" s="722" t="s">
        <v>276</v>
      </c>
      <c r="B2229" s="722">
        <v>800</v>
      </c>
      <c r="C2229" s="723">
        <v>1</v>
      </c>
      <c r="D2229" s="723">
        <v>0</v>
      </c>
      <c r="E2229" s="723">
        <v>0</v>
      </c>
      <c r="F2229" s="723">
        <v>0</v>
      </c>
      <c r="G2229" s="723">
        <v>1</v>
      </c>
      <c r="H2229" s="724">
        <v>198.09613951099308</v>
      </c>
      <c r="I2229" s="724">
        <v>0</v>
      </c>
      <c r="J2229" s="724">
        <v>0</v>
      </c>
      <c r="K2229" s="724">
        <v>0</v>
      </c>
      <c r="L2229" s="724">
        <v>198.09613951099308</v>
      </c>
    </row>
    <row r="2230" spans="1:12">
      <c r="A2230" s="722" t="s">
        <v>277</v>
      </c>
      <c r="B2230" s="722">
        <v>100</v>
      </c>
      <c r="C2230" s="723">
        <v>42</v>
      </c>
      <c r="D2230" s="723">
        <v>2</v>
      </c>
      <c r="E2230" s="723">
        <v>0</v>
      </c>
      <c r="F2230" s="723">
        <v>0</v>
      </c>
      <c r="G2230" s="723">
        <v>44</v>
      </c>
      <c r="H2230" s="724">
        <v>4750.7645640884866</v>
      </c>
      <c r="I2230" s="724">
        <v>226.22688400421364</v>
      </c>
      <c r="J2230" s="724">
        <v>0</v>
      </c>
      <c r="K2230" s="724">
        <v>0</v>
      </c>
      <c r="L2230" s="724">
        <v>4976.9914480927</v>
      </c>
    </row>
    <row r="2231" spans="1:12">
      <c r="A2231" s="722" t="s">
        <v>277</v>
      </c>
      <c r="B2231" s="722">
        <v>101</v>
      </c>
      <c r="C2231" s="723">
        <v>1</v>
      </c>
      <c r="D2231" s="723">
        <v>0</v>
      </c>
      <c r="E2231" s="723">
        <v>0</v>
      </c>
      <c r="F2231" s="723">
        <v>0</v>
      </c>
      <c r="G2231" s="723">
        <v>1</v>
      </c>
      <c r="H2231" s="724">
        <v>113.11344200210682</v>
      </c>
      <c r="I2231" s="724">
        <v>0</v>
      </c>
      <c r="J2231" s="724">
        <v>0</v>
      </c>
      <c r="K2231" s="724">
        <v>0</v>
      </c>
      <c r="L2231" s="724">
        <v>113.11344200210682</v>
      </c>
    </row>
    <row r="2232" spans="1:12">
      <c r="A2232" s="722" t="s">
        <v>277</v>
      </c>
      <c r="B2232" s="722">
        <v>103</v>
      </c>
      <c r="C2232" s="723">
        <v>3</v>
      </c>
      <c r="D2232" s="723">
        <v>0</v>
      </c>
      <c r="E2232" s="723">
        <v>0</v>
      </c>
      <c r="F2232" s="723">
        <v>0</v>
      </c>
      <c r="G2232" s="723">
        <v>3</v>
      </c>
      <c r="H2232" s="724">
        <v>339.34032600632048</v>
      </c>
      <c r="I2232" s="724">
        <v>0</v>
      </c>
      <c r="J2232" s="724">
        <v>0</v>
      </c>
      <c r="K2232" s="724">
        <v>0</v>
      </c>
      <c r="L2232" s="724">
        <v>339.34032600632048</v>
      </c>
    </row>
    <row r="2233" spans="1:12">
      <c r="A2233" s="722" t="s">
        <v>277</v>
      </c>
      <c r="B2233" s="722">
        <v>104</v>
      </c>
      <c r="C2233" s="723">
        <v>1</v>
      </c>
      <c r="D2233" s="723">
        <v>2</v>
      </c>
      <c r="E2233" s="723">
        <v>0</v>
      </c>
      <c r="F2233" s="723">
        <v>0</v>
      </c>
      <c r="G2233" s="723">
        <v>3</v>
      </c>
      <c r="H2233" s="724">
        <v>113.11344200210682</v>
      </c>
      <c r="I2233" s="724">
        <v>226.22688400421364</v>
      </c>
      <c r="J2233" s="724">
        <v>0</v>
      </c>
      <c r="K2233" s="724">
        <v>0</v>
      </c>
      <c r="L2233" s="724">
        <v>339.34032600632048</v>
      </c>
    </row>
    <row r="2234" spans="1:12">
      <c r="A2234" s="722" t="s">
        <v>277</v>
      </c>
      <c r="B2234" s="722">
        <v>110</v>
      </c>
      <c r="C2234" s="723">
        <v>5</v>
      </c>
      <c r="D2234" s="723">
        <v>5</v>
      </c>
      <c r="E2234" s="723">
        <v>0</v>
      </c>
      <c r="F2234" s="723">
        <v>0</v>
      </c>
      <c r="G2234" s="723">
        <v>10</v>
      </c>
      <c r="H2234" s="724">
        <v>565.56721001053404</v>
      </c>
      <c r="I2234" s="724">
        <v>565.56721001053404</v>
      </c>
      <c r="J2234" s="724">
        <v>0</v>
      </c>
      <c r="K2234" s="724">
        <v>0</v>
      </c>
      <c r="L2234" s="724">
        <v>1131.1344200210681</v>
      </c>
    </row>
    <row r="2235" spans="1:12">
      <c r="A2235" s="722" t="s">
        <v>277</v>
      </c>
      <c r="B2235" s="722">
        <v>120</v>
      </c>
      <c r="C2235" s="723">
        <v>4</v>
      </c>
      <c r="D2235" s="723">
        <v>6</v>
      </c>
      <c r="E2235" s="723">
        <v>0</v>
      </c>
      <c r="F2235" s="723">
        <v>0</v>
      </c>
      <c r="G2235" s="723">
        <v>10</v>
      </c>
      <c r="H2235" s="724">
        <v>452.45376800842723</v>
      </c>
      <c r="I2235" s="724">
        <v>678.68065201264085</v>
      </c>
      <c r="J2235" s="724">
        <v>0</v>
      </c>
      <c r="K2235" s="724">
        <v>0</v>
      </c>
      <c r="L2235" s="724">
        <v>1131.1344200210681</v>
      </c>
    </row>
    <row r="2236" spans="1:12">
      <c r="A2236" s="722" t="s">
        <v>277</v>
      </c>
      <c r="B2236" s="722">
        <v>130</v>
      </c>
      <c r="C2236" s="723">
        <v>3</v>
      </c>
      <c r="D2236" s="723">
        <v>0</v>
      </c>
      <c r="E2236" s="723">
        <v>0</v>
      </c>
      <c r="F2236" s="723">
        <v>0</v>
      </c>
      <c r="G2236" s="723">
        <v>3</v>
      </c>
      <c r="H2236" s="724">
        <v>339.34032600632048</v>
      </c>
      <c r="I2236" s="724">
        <v>0</v>
      </c>
      <c r="J2236" s="724">
        <v>0</v>
      </c>
      <c r="K2236" s="724">
        <v>0</v>
      </c>
      <c r="L2236" s="724">
        <v>339.34032600632048</v>
      </c>
    </row>
    <row r="2237" spans="1:12">
      <c r="A2237" s="722" t="s">
        <v>277</v>
      </c>
      <c r="B2237" s="722">
        <v>140</v>
      </c>
      <c r="C2237" s="723">
        <v>40</v>
      </c>
      <c r="D2237" s="723">
        <v>26</v>
      </c>
      <c r="E2237" s="723">
        <v>0</v>
      </c>
      <c r="F2237" s="723">
        <v>0</v>
      </c>
      <c r="G2237" s="723">
        <v>66</v>
      </c>
      <c r="H2237" s="724">
        <v>4524.5376800842732</v>
      </c>
      <c r="I2237" s="724">
        <v>2940.9494920547772</v>
      </c>
      <c r="J2237" s="724">
        <v>0</v>
      </c>
      <c r="K2237" s="724">
        <v>0</v>
      </c>
      <c r="L2237" s="724">
        <v>7465.48717213905</v>
      </c>
    </row>
    <row r="2238" spans="1:12">
      <c r="A2238" s="722" t="s">
        <v>277</v>
      </c>
      <c r="B2238" s="722">
        <v>143</v>
      </c>
      <c r="C2238" s="723">
        <v>0</v>
      </c>
      <c r="D2238" s="723">
        <v>1</v>
      </c>
      <c r="E2238" s="723">
        <v>0</v>
      </c>
      <c r="F2238" s="723">
        <v>0</v>
      </c>
      <c r="G2238" s="723">
        <v>1</v>
      </c>
      <c r="H2238" s="724">
        <v>0</v>
      </c>
      <c r="I2238" s="724">
        <v>113.11344200210682</v>
      </c>
      <c r="J2238" s="724">
        <v>0</v>
      </c>
      <c r="K2238" s="724">
        <v>0</v>
      </c>
      <c r="L2238" s="724">
        <v>113.11344200210682</v>
      </c>
    </row>
    <row r="2239" spans="1:12">
      <c r="A2239" s="722" t="s">
        <v>277</v>
      </c>
      <c r="B2239" s="722">
        <v>160</v>
      </c>
      <c r="C2239" s="723">
        <v>321</v>
      </c>
      <c r="D2239" s="723">
        <v>8</v>
      </c>
      <c r="E2239" s="723">
        <v>0</v>
      </c>
      <c r="F2239" s="723">
        <v>0</v>
      </c>
      <c r="G2239" s="723">
        <v>329</v>
      </c>
      <c r="H2239" s="724">
        <v>36309.41488267629</v>
      </c>
      <c r="I2239" s="724">
        <v>904.90753601685469</v>
      </c>
      <c r="J2239" s="724">
        <v>0</v>
      </c>
      <c r="K2239" s="724">
        <v>0</v>
      </c>
      <c r="L2239" s="724">
        <v>37214.322418693147</v>
      </c>
    </row>
    <row r="2240" spans="1:12">
      <c r="A2240" s="722" t="s">
        <v>277</v>
      </c>
      <c r="B2240" s="722">
        <v>161</v>
      </c>
      <c r="C2240" s="723">
        <v>47</v>
      </c>
      <c r="D2240" s="723">
        <v>0</v>
      </c>
      <c r="E2240" s="723">
        <v>0</v>
      </c>
      <c r="F2240" s="723">
        <v>0</v>
      </c>
      <c r="G2240" s="723">
        <v>47</v>
      </c>
      <c r="H2240" s="724">
        <v>5316.3317740990205</v>
      </c>
      <c r="I2240" s="724">
        <v>0</v>
      </c>
      <c r="J2240" s="724">
        <v>0</v>
      </c>
      <c r="K2240" s="724">
        <v>0</v>
      </c>
      <c r="L2240" s="724">
        <v>5316.3317740990205</v>
      </c>
    </row>
    <row r="2241" spans="1:12">
      <c r="A2241" s="722" t="s">
        <v>277</v>
      </c>
      <c r="B2241" s="722">
        <v>180</v>
      </c>
      <c r="C2241" s="723">
        <v>1</v>
      </c>
      <c r="D2241" s="723">
        <v>0</v>
      </c>
      <c r="E2241" s="723">
        <v>0</v>
      </c>
      <c r="F2241" s="723">
        <v>0</v>
      </c>
      <c r="G2241" s="723">
        <v>1</v>
      </c>
      <c r="H2241" s="724">
        <v>113.11344200210682</v>
      </c>
      <c r="I2241" s="724">
        <v>0</v>
      </c>
      <c r="J2241" s="724">
        <v>0</v>
      </c>
      <c r="K2241" s="724">
        <v>0</v>
      </c>
      <c r="L2241" s="724">
        <v>113.11344200210682</v>
      </c>
    </row>
    <row r="2242" spans="1:12">
      <c r="A2242" s="722" t="s">
        <v>277</v>
      </c>
      <c r="B2242" s="722">
        <v>191</v>
      </c>
      <c r="C2242" s="723">
        <v>1</v>
      </c>
      <c r="D2242" s="723">
        <v>0</v>
      </c>
      <c r="E2242" s="723">
        <v>0</v>
      </c>
      <c r="F2242" s="723">
        <v>0</v>
      </c>
      <c r="G2242" s="723">
        <v>1</v>
      </c>
      <c r="H2242" s="724">
        <v>113.11344200210682</v>
      </c>
      <c r="I2242" s="724">
        <v>0</v>
      </c>
      <c r="J2242" s="724">
        <v>0</v>
      </c>
      <c r="K2242" s="724">
        <v>0</v>
      </c>
      <c r="L2242" s="724">
        <v>113.11344200210682</v>
      </c>
    </row>
    <row r="2243" spans="1:12">
      <c r="A2243" s="722" t="s">
        <v>277</v>
      </c>
      <c r="B2243" s="722">
        <v>219</v>
      </c>
      <c r="C2243" s="723">
        <v>0</v>
      </c>
      <c r="D2243" s="723">
        <v>1</v>
      </c>
      <c r="E2243" s="723">
        <v>0</v>
      </c>
      <c r="F2243" s="723">
        <v>0</v>
      </c>
      <c r="G2243" s="723">
        <v>1</v>
      </c>
      <c r="H2243" s="724">
        <v>0</v>
      </c>
      <c r="I2243" s="724">
        <v>113.11344200210682</v>
      </c>
      <c r="J2243" s="724">
        <v>0</v>
      </c>
      <c r="K2243" s="724">
        <v>0</v>
      </c>
      <c r="L2243" s="724">
        <v>113.11344200210682</v>
      </c>
    </row>
    <row r="2244" spans="1:12">
      <c r="A2244" s="722" t="s">
        <v>277</v>
      </c>
      <c r="B2244" s="722">
        <v>220</v>
      </c>
      <c r="C2244" s="723">
        <v>2</v>
      </c>
      <c r="D2244" s="723">
        <v>0</v>
      </c>
      <c r="E2244" s="723">
        <v>0</v>
      </c>
      <c r="F2244" s="723">
        <v>0</v>
      </c>
      <c r="G2244" s="723">
        <v>2</v>
      </c>
      <c r="H2244" s="724">
        <v>226.22688400421364</v>
      </c>
      <c r="I2244" s="724">
        <v>0</v>
      </c>
      <c r="J2244" s="724">
        <v>0</v>
      </c>
      <c r="K2244" s="724">
        <v>0</v>
      </c>
      <c r="L2244" s="724">
        <v>226.22688400421364</v>
      </c>
    </row>
    <row r="2245" spans="1:12">
      <c r="A2245" s="722" t="s">
        <v>277</v>
      </c>
      <c r="B2245" s="722">
        <v>300</v>
      </c>
      <c r="C2245" s="723">
        <v>2</v>
      </c>
      <c r="D2245" s="723">
        <v>0</v>
      </c>
      <c r="E2245" s="723">
        <v>0</v>
      </c>
      <c r="F2245" s="723">
        <v>0</v>
      </c>
      <c r="G2245" s="723">
        <v>2</v>
      </c>
      <c r="H2245" s="724">
        <v>226.22688400421364</v>
      </c>
      <c r="I2245" s="724">
        <v>0</v>
      </c>
      <c r="J2245" s="724">
        <v>0</v>
      </c>
      <c r="K2245" s="724">
        <v>0</v>
      </c>
      <c r="L2245" s="724">
        <v>226.22688400421364</v>
      </c>
    </row>
    <row r="2246" spans="1:12">
      <c r="A2246" s="722" t="s">
        <v>277</v>
      </c>
      <c r="B2246" s="722">
        <v>307</v>
      </c>
      <c r="C2246" s="723">
        <v>8</v>
      </c>
      <c r="D2246" s="723">
        <v>2</v>
      </c>
      <c r="E2246" s="723">
        <v>0</v>
      </c>
      <c r="F2246" s="723">
        <v>0</v>
      </c>
      <c r="G2246" s="723">
        <v>10</v>
      </c>
      <c r="H2246" s="724">
        <v>904.90753601685446</v>
      </c>
      <c r="I2246" s="724">
        <v>226.22688400421362</v>
      </c>
      <c r="J2246" s="724">
        <v>0</v>
      </c>
      <c r="K2246" s="724">
        <v>0</v>
      </c>
      <c r="L2246" s="724">
        <v>1131.1344200210681</v>
      </c>
    </row>
    <row r="2247" spans="1:12">
      <c r="A2247" s="722" t="s">
        <v>277</v>
      </c>
      <c r="B2247" s="722">
        <v>324</v>
      </c>
      <c r="C2247" s="723">
        <v>1</v>
      </c>
      <c r="D2247" s="723">
        <v>0</v>
      </c>
      <c r="E2247" s="723">
        <v>0</v>
      </c>
      <c r="F2247" s="723">
        <v>0</v>
      </c>
      <c r="G2247" s="723">
        <v>1</v>
      </c>
      <c r="H2247" s="724">
        <v>113.11344200210682</v>
      </c>
      <c r="I2247" s="724">
        <v>0</v>
      </c>
      <c r="J2247" s="724">
        <v>0</v>
      </c>
      <c r="K2247" s="724">
        <v>0</v>
      </c>
      <c r="L2247" s="724">
        <v>113.11344200210682</v>
      </c>
    </row>
    <row r="2248" spans="1:12">
      <c r="A2248" s="722" t="s">
        <v>277</v>
      </c>
      <c r="B2248" s="722">
        <v>330</v>
      </c>
      <c r="C2248" s="723">
        <v>312</v>
      </c>
      <c r="D2248" s="723">
        <v>217</v>
      </c>
      <c r="E2248" s="723">
        <v>0</v>
      </c>
      <c r="F2248" s="723">
        <v>0</v>
      </c>
      <c r="G2248" s="723">
        <v>529</v>
      </c>
      <c r="H2248" s="724">
        <v>35291.393904657329</v>
      </c>
      <c r="I2248" s="724">
        <v>24545.61691445718</v>
      </c>
      <c r="J2248" s="724">
        <v>0</v>
      </c>
      <c r="K2248" s="724">
        <v>0</v>
      </c>
      <c r="L2248" s="724">
        <v>59837.010819114505</v>
      </c>
    </row>
    <row r="2249" spans="1:12">
      <c r="A2249" s="722" t="s">
        <v>277</v>
      </c>
      <c r="B2249" s="722">
        <v>361</v>
      </c>
      <c r="C2249" s="723">
        <v>0</v>
      </c>
      <c r="D2249" s="723">
        <v>1</v>
      </c>
      <c r="E2249" s="723">
        <v>0</v>
      </c>
      <c r="F2249" s="723">
        <v>0</v>
      </c>
      <c r="G2249" s="723">
        <v>1</v>
      </c>
      <c r="H2249" s="724">
        <v>0</v>
      </c>
      <c r="I2249" s="724">
        <v>113.11344200210682</v>
      </c>
      <c r="J2249" s="724">
        <v>0</v>
      </c>
      <c r="K2249" s="724">
        <v>0</v>
      </c>
      <c r="L2249" s="724">
        <v>113.11344200210682</v>
      </c>
    </row>
    <row r="2250" spans="1:12">
      <c r="A2250" s="722" t="s">
        <v>277</v>
      </c>
      <c r="B2250" s="722">
        <v>410</v>
      </c>
      <c r="C2250" s="723">
        <v>2</v>
      </c>
      <c r="D2250" s="723">
        <v>0</v>
      </c>
      <c r="E2250" s="723">
        <v>0</v>
      </c>
      <c r="F2250" s="723">
        <v>0</v>
      </c>
      <c r="G2250" s="723">
        <v>2</v>
      </c>
      <c r="H2250" s="724">
        <v>226.22688400421364</v>
      </c>
      <c r="I2250" s="724">
        <v>0</v>
      </c>
      <c r="J2250" s="724">
        <v>0</v>
      </c>
      <c r="K2250" s="724">
        <v>0</v>
      </c>
      <c r="L2250" s="724">
        <v>226.22688400421364</v>
      </c>
    </row>
    <row r="2251" spans="1:12">
      <c r="A2251" s="722" t="s">
        <v>277</v>
      </c>
      <c r="B2251" s="722">
        <v>420</v>
      </c>
      <c r="C2251" s="723">
        <v>3</v>
      </c>
      <c r="D2251" s="723">
        <v>0</v>
      </c>
      <c r="E2251" s="723">
        <v>0</v>
      </c>
      <c r="F2251" s="723">
        <v>0</v>
      </c>
      <c r="G2251" s="723">
        <v>3</v>
      </c>
      <c r="H2251" s="724">
        <v>339.34032600632048</v>
      </c>
      <c r="I2251" s="724">
        <v>0</v>
      </c>
      <c r="J2251" s="724">
        <v>0</v>
      </c>
      <c r="K2251" s="724">
        <v>0</v>
      </c>
      <c r="L2251" s="724">
        <v>339.34032600632048</v>
      </c>
    </row>
    <row r="2252" spans="1:12">
      <c r="A2252" s="722" t="s">
        <v>277</v>
      </c>
      <c r="B2252" s="722">
        <v>430</v>
      </c>
      <c r="C2252" s="723">
        <v>0</v>
      </c>
      <c r="D2252" s="723">
        <v>1</v>
      </c>
      <c r="E2252" s="723">
        <v>0</v>
      </c>
      <c r="F2252" s="723">
        <v>0</v>
      </c>
      <c r="G2252" s="723">
        <v>1</v>
      </c>
      <c r="H2252" s="724">
        <v>0</v>
      </c>
      <c r="I2252" s="724">
        <v>113.11344200210682</v>
      </c>
      <c r="J2252" s="724">
        <v>0</v>
      </c>
      <c r="K2252" s="724">
        <v>0</v>
      </c>
      <c r="L2252" s="724">
        <v>113.11344200210682</v>
      </c>
    </row>
    <row r="2253" spans="1:12">
      <c r="A2253" s="722" t="s">
        <v>277</v>
      </c>
      <c r="B2253" s="722">
        <v>501</v>
      </c>
      <c r="C2253" s="723">
        <v>1</v>
      </c>
      <c r="D2253" s="723">
        <v>1</v>
      </c>
      <c r="E2253" s="723">
        <v>0</v>
      </c>
      <c r="F2253" s="723">
        <v>0</v>
      </c>
      <c r="G2253" s="723">
        <v>2</v>
      </c>
      <c r="H2253" s="724">
        <v>113.11344200210682</v>
      </c>
      <c r="I2253" s="724">
        <v>113.11344200210682</v>
      </c>
      <c r="J2253" s="724">
        <v>0</v>
      </c>
      <c r="K2253" s="724">
        <v>0</v>
      </c>
      <c r="L2253" s="724">
        <v>226.22688400421364</v>
      </c>
    </row>
    <row r="2254" spans="1:12">
      <c r="A2254" s="722" t="s">
        <v>277</v>
      </c>
      <c r="B2254" s="722">
        <v>502</v>
      </c>
      <c r="C2254" s="723">
        <v>5</v>
      </c>
      <c r="D2254" s="723">
        <v>2</v>
      </c>
      <c r="E2254" s="723">
        <v>0</v>
      </c>
      <c r="F2254" s="723">
        <v>0</v>
      </c>
      <c r="G2254" s="723">
        <v>7</v>
      </c>
      <c r="H2254" s="724">
        <v>565.56721001053415</v>
      </c>
      <c r="I2254" s="724">
        <v>226.22688400421364</v>
      </c>
      <c r="J2254" s="724">
        <v>0</v>
      </c>
      <c r="K2254" s="724">
        <v>0</v>
      </c>
      <c r="L2254" s="724">
        <v>791.79409401474777</v>
      </c>
    </row>
    <row r="2255" spans="1:12">
      <c r="A2255" s="722" t="s">
        <v>277</v>
      </c>
      <c r="B2255" s="722">
        <v>560</v>
      </c>
      <c r="C2255" s="723">
        <v>2</v>
      </c>
      <c r="D2255" s="723">
        <v>0</v>
      </c>
      <c r="E2255" s="723">
        <v>0</v>
      </c>
      <c r="F2255" s="723">
        <v>0</v>
      </c>
      <c r="G2255" s="723">
        <v>2</v>
      </c>
      <c r="H2255" s="724">
        <v>226.22688400421364</v>
      </c>
      <c r="I2255" s="724">
        <v>0</v>
      </c>
      <c r="J2255" s="724">
        <v>0</v>
      </c>
      <c r="K2255" s="724">
        <v>0</v>
      </c>
      <c r="L2255" s="724">
        <v>226.22688400421364</v>
      </c>
    </row>
    <row r="2256" spans="1:12">
      <c r="A2256" s="722" t="s">
        <v>277</v>
      </c>
      <c r="B2256" s="722">
        <v>800</v>
      </c>
      <c r="C2256" s="723">
        <v>4</v>
      </c>
      <c r="D2256" s="723">
        <v>0</v>
      </c>
      <c r="E2256" s="723">
        <v>0</v>
      </c>
      <c r="F2256" s="723">
        <v>0</v>
      </c>
      <c r="G2256" s="723">
        <v>4</v>
      </c>
      <c r="H2256" s="724">
        <v>452.45376800842729</v>
      </c>
      <c r="I2256" s="724">
        <v>0</v>
      </c>
      <c r="J2256" s="724">
        <v>0</v>
      </c>
      <c r="K2256" s="724">
        <v>0</v>
      </c>
      <c r="L2256" s="724">
        <v>452.45376800842729</v>
      </c>
    </row>
    <row r="2257" spans="1:12">
      <c r="A2257" s="722" t="s">
        <v>278</v>
      </c>
      <c r="B2257" s="722">
        <v>110</v>
      </c>
      <c r="C2257" s="723">
        <v>1</v>
      </c>
      <c r="D2257" s="723">
        <v>0</v>
      </c>
      <c r="E2257" s="723">
        <v>0</v>
      </c>
      <c r="F2257" s="723">
        <v>0</v>
      </c>
      <c r="G2257" s="723">
        <v>1</v>
      </c>
      <c r="H2257" s="724">
        <v>78.665697799642885</v>
      </c>
      <c r="I2257" s="724">
        <v>0</v>
      </c>
      <c r="J2257" s="724">
        <v>0</v>
      </c>
      <c r="K2257" s="724">
        <v>0</v>
      </c>
      <c r="L2257" s="724">
        <v>78.665697799642885</v>
      </c>
    </row>
    <row r="2258" spans="1:12">
      <c r="A2258" s="722" t="s">
        <v>278</v>
      </c>
      <c r="B2258" s="722">
        <v>140</v>
      </c>
      <c r="C2258" s="723">
        <v>1</v>
      </c>
      <c r="D2258" s="723">
        <v>0</v>
      </c>
      <c r="E2258" s="723">
        <v>0</v>
      </c>
      <c r="F2258" s="723">
        <v>0</v>
      </c>
      <c r="G2258" s="723">
        <v>1</v>
      </c>
      <c r="H2258" s="724">
        <v>78.665697799642885</v>
      </c>
      <c r="I2258" s="724">
        <v>0</v>
      </c>
      <c r="J2258" s="724">
        <v>0</v>
      </c>
      <c r="K2258" s="724">
        <v>0</v>
      </c>
      <c r="L2258" s="724">
        <v>78.665697799642885</v>
      </c>
    </row>
    <row r="2259" spans="1:12">
      <c r="A2259" s="722" t="s">
        <v>278</v>
      </c>
      <c r="B2259" s="722">
        <v>142</v>
      </c>
      <c r="C2259" s="723">
        <v>1</v>
      </c>
      <c r="D2259" s="723">
        <v>0</v>
      </c>
      <c r="E2259" s="723">
        <v>0</v>
      </c>
      <c r="F2259" s="723">
        <v>0</v>
      </c>
      <c r="G2259" s="723">
        <v>1</v>
      </c>
      <c r="H2259" s="724">
        <v>78.665697799642885</v>
      </c>
      <c r="I2259" s="724">
        <v>0</v>
      </c>
      <c r="J2259" s="724">
        <v>0</v>
      </c>
      <c r="K2259" s="724">
        <v>0</v>
      </c>
      <c r="L2259" s="724">
        <v>78.665697799642885</v>
      </c>
    </row>
    <row r="2260" spans="1:12">
      <c r="A2260" s="722" t="s">
        <v>278</v>
      </c>
      <c r="B2260" s="722">
        <v>160</v>
      </c>
      <c r="C2260" s="723">
        <v>227</v>
      </c>
      <c r="D2260" s="723">
        <v>32</v>
      </c>
      <c r="E2260" s="723">
        <v>0</v>
      </c>
      <c r="F2260" s="723">
        <v>0</v>
      </c>
      <c r="G2260" s="723">
        <v>259</v>
      </c>
      <c r="H2260" s="724">
        <v>17857.113400518938</v>
      </c>
      <c r="I2260" s="724">
        <v>2517.3023295885728</v>
      </c>
      <c r="J2260" s="724">
        <v>0</v>
      </c>
      <c r="K2260" s="724">
        <v>0</v>
      </c>
      <c r="L2260" s="724">
        <v>20374.41573010751</v>
      </c>
    </row>
    <row r="2261" spans="1:12">
      <c r="A2261" s="722" t="s">
        <v>278</v>
      </c>
      <c r="B2261" s="722">
        <v>171</v>
      </c>
      <c r="C2261" s="723">
        <v>1</v>
      </c>
      <c r="D2261" s="723">
        <v>0</v>
      </c>
      <c r="E2261" s="723">
        <v>0</v>
      </c>
      <c r="F2261" s="723">
        <v>0</v>
      </c>
      <c r="G2261" s="723">
        <v>1</v>
      </c>
      <c r="H2261" s="724">
        <v>78.665697799642885</v>
      </c>
      <c r="I2261" s="724">
        <v>0</v>
      </c>
      <c r="J2261" s="724">
        <v>0</v>
      </c>
      <c r="K2261" s="724">
        <v>0</v>
      </c>
      <c r="L2261" s="724">
        <v>78.665697799642885</v>
      </c>
    </row>
    <row r="2262" spans="1:12">
      <c r="A2262" s="722" t="s">
        <v>278</v>
      </c>
      <c r="B2262" s="722">
        <v>219</v>
      </c>
      <c r="C2262" s="723">
        <v>139</v>
      </c>
      <c r="D2262" s="723">
        <v>9</v>
      </c>
      <c r="E2262" s="723">
        <v>0</v>
      </c>
      <c r="F2262" s="723">
        <v>0</v>
      </c>
      <c r="G2262" s="723">
        <v>148</v>
      </c>
      <c r="H2262" s="724">
        <v>10934.531994150362</v>
      </c>
      <c r="I2262" s="724">
        <v>707.99128019678597</v>
      </c>
      <c r="J2262" s="724">
        <v>0</v>
      </c>
      <c r="K2262" s="724">
        <v>0</v>
      </c>
      <c r="L2262" s="724">
        <v>11642.523274347148</v>
      </c>
    </row>
    <row r="2263" spans="1:12">
      <c r="A2263" s="722" t="s">
        <v>278</v>
      </c>
      <c r="B2263" s="722">
        <v>257</v>
      </c>
      <c r="C2263" s="723">
        <v>27</v>
      </c>
      <c r="D2263" s="723">
        <v>2</v>
      </c>
      <c r="E2263" s="723">
        <v>0</v>
      </c>
      <c r="F2263" s="723">
        <v>0</v>
      </c>
      <c r="G2263" s="723">
        <v>29</v>
      </c>
      <c r="H2263" s="724">
        <v>2123.9738405903581</v>
      </c>
      <c r="I2263" s="724">
        <v>157.3313955992858</v>
      </c>
      <c r="J2263" s="724">
        <v>0</v>
      </c>
      <c r="K2263" s="724">
        <v>0</v>
      </c>
      <c r="L2263" s="724">
        <v>2281.3052361896439</v>
      </c>
    </row>
    <row r="2264" spans="1:12">
      <c r="A2264" s="722" t="s">
        <v>278</v>
      </c>
      <c r="B2264" s="722">
        <v>330</v>
      </c>
      <c r="C2264" s="723">
        <v>366</v>
      </c>
      <c r="D2264" s="723">
        <v>29</v>
      </c>
      <c r="E2264" s="723">
        <v>0</v>
      </c>
      <c r="F2264" s="723">
        <v>0</v>
      </c>
      <c r="G2264" s="723">
        <v>395</v>
      </c>
      <c r="H2264" s="724">
        <v>28791.6453946693</v>
      </c>
      <c r="I2264" s="724">
        <v>2281.3052361896439</v>
      </c>
      <c r="J2264" s="724">
        <v>0</v>
      </c>
      <c r="K2264" s="724">
        <v>0</v>
      </c>
      <c r="L2264" s="724">
        <v>31072.950630858941</v>
      </c>
    </row>
    <row r="2265" spans="1:12">
      <c r="A2265" s="722" t="s">
        <v>278</v>
      </c>
      <c r="B2265" s="722">
        <v>420</v>
      </c>
      <c r="C2265" s="723">
        <v>1</v>
      </c>
      <c r="D2265" s="723">
        <v>0</v>
      </c>
      <c r="E2265" s="723">
        <v>0</v>
      </c>
      <c r="F2265" s="723">
        <v>0</v>
      </c>
      <c r="G2265" s="723">
        <v>1</v>
      </c>
      <c r="H2265" s="724">
        <v>78.665697799642885</v>
      </c>
      <c r="I2265" s="724">
        <v>0</v>
      </c>
      <c r="J2265" s="724">
        <v>0</v>
      </c>
      <c r="K2265" s="724">
        <v>0</v>
      </c>
      <c r="L2265" s="724">
        <v>78.665697799642885</v>
      </c>
    </row>
    <row r="2266" spans="1:12">
      <c r="A2266" s="722" t="s">
        <v>278</v>
      </c>
      <c r="B2266" s="722">
        <v>812</v>
      </c>
      <c r="C2266" s="723">
        <v>1</v>
      </c>
      <c r="D2266" s="723">
        <v>0</v>
      </c>
      <c r="E2266" s="723">
        <v>0</v>
      </c>
      <c r="F2266" s="723">
        <v>0</v>
      </c>
      <c r="G2266" s="723">
        <v>1</v>
      </c>
      <c r="H2266" s="724">
        <v>78.665697799642885</v>
      </c>
      <c r="I2266" s="724">
        <v>0</v>
      </c>
      <c r="J2266" s="724">
        <v>0</v>
      </c>
      <c r="K2266" s="724">
        <v>0</v>
      </c>
      <c r="L2266" s="724">
        <v>78.665697799642885</v>
      </c>
    </row>
    <row r="2267" spans="1:12">
      <c r="A2267" s="722" t="s">
        <v>279</v>
      </c>
      <c r="B2267" s="722">
        <v>100</v>
      </c>
      <c r="C2267" s="723">
        <v>11300</v>
      </c>
      <c r="D2267" s="723">
        <v>2416</v>
      </c>
      <c r="E2267" s="723">
        <v>0</v>
      </c>
      <c r="F2267" s="723">
        <v>0</v>
      </c>
      <c r="G2267" s="723">
        <v>13716</v>
      </c>
      <c r="H2267" s="724">
        <v>1116246.0647307888</v>
      </c>
      <c r="I2267" s="724">
        <v>238659.33560969788</v>
      </c>
      <c r="J2267" s="724">
        <v>0</v>
      </c>
      <c r="K2267" s="724">
        <v>0</v>
      </c>
      <c r="L2267" s="724">
        <v>1354905.4003404868</v>
      </c>
    </row>
    <row r="2268" spans="1:12">
      <c r="A2268" s="722" t="s">
        <v>279</v>
      </c>
      <c r="B2268" s="722">
        <v>101</v>
      </c>
      <c r="C2268" s="723">
        <v>137</v>
      </c>
      <c r="D2268" s="723">
        <v>32</v>
      </c>
      <c r="E2268" s="723">
        <v>0</v>
      </c>
      <c r="F2268" s="723">
        <v>0</v>
      </c>
      <c r="G2268" s="723">
        <v>169</v>
      </c>
      <c r="H2268" s="724">
        <v>13533.248749390979</v>
      </c>
      <c r="I2268" s="724">
        <v>3161.0508027774554</v>
      </c>
      <c r="J2268" s="724">
        <v>0</v>
      </c>
      <c r="K2268" s="724">
        <v>0</v>
      </c>
      <c r="L2268" s="724">
        <v>16694.299552168435</v>
      </c>
    </row>
    <row r="2269" spans="1:12">
      <c r="A2269" s="722" t="s">
        <v>279</v>
      </c>
      <c r="B2269" s="722">
        <v>102</v>
      </c>
      <c r="C2269" s="723">
        <v>103</v>
      </c>
      <c r="D2269" s="723">
        <v>9</v>
      </c>
      <c r="E2269" s="723">
        <v>0</v>
      </c>
      <c r="F2269" s="723">
        <v>0</v>
      </c>
      <c r="G2269" s="723">
        <v>112</v>
      </c>
      <c r="H2269" s="724">
        <v>10174.632271439934</v>
      </c>
      <c r="I2269" s="724">
        <v>889.04553828115934</v>
      </c>
      <c r="J2269" s="724">
        <v>0</v>
      </c>
      <c r="K2269" s="724">
        <v>0</v>
      </c>
      <c r="L2269" s="724">
        <v>11063.677809721094</v>
      </c>
    </row>
    <row r="2270" spans="1:12">
      <c r="A2270" s="722" t="s">
        <v>279</v>
      </c>
      <c r="B2270" s="722">
        <v>103</v>
      </c>
      <c r="C2270" s="723">
        <v>7705</v>
      </c>
      <c r="D2270" s="723">
        <v>458</v>
      </c>
      <c r="E2270" s="723">
        <v>0</v>
      </c>
      <c r="F2270" s="723">
        <v>0</v>
      </c>
      <c r="G2270" s="723">
        <v>8163</v>
      </c>
      <c r="H2270" s="724">
        <v>761121.76360625925</v>
      </c>
      <c r="I2270" s="724">
        <v>45242.539614752328</v>
      </c>
      <c r="J2270" s="724">
        <v>0</v>
      </c>
      <c r="K2270" s="724">
        <v>0</v>
      </c>
      <c r="L2270" s="724">
        <v>806364.30322101153</v>
      </c>
    </row>
    <row r="2271" spans="1:12">
      <c r="A2271" s="722" t="s">
        <v>279</v>
      </c>
      <c r="B2271" s="722">
        <v>104</v>
      </c>
      <c r="C2271" s="723">
        <v>1586</v>
      </c>
      <c r="D2271" s="723">
        <v>151</v>
      </c>
      <c r="E2271" s="723">
        <v>0</v>
      </c>
      <c r="F2271" s="723">
        <v>0</v>
      </c>
      <c r="G2271" s="723">
        <v>1737</v>
      </c>
      <c r="H2271" s="724">
        <v>156669.58041265764</v>
      </c>
      <c r="I2271" s="724">
        <v>14916.208475606118</v>
      </c>
      <c r="J2271" s="724">
        <v>0</v>
      </c>
      <c r="K2271" s="724">
        <v>0</v>
      </c>
      <c r="L2271" s="724">
        <v>171585.78888826375</v>
      </c>
    </row>
    <row r="2272" spans="1:12">
      <c r="A2272" s="722" t="s">
        <v>279</v>
      </c>
      <c r="B2272" s="722">
        <v>105</v>
      </c>
      <c r="C2272" s="723">
        <v>22</v>
      </c>
      <c r="D2272" s="723">
        <v>8</v>
      </c>
      <c r="E2272" s="723">
        <v>0</v>
      </c>
      <c r="F2272" s="723">
        <v>0</v>
      </c>
      <c r="G2272" s="723">
        <v>30</v>
      </c>
      <c r="H2272" s="724">
        <v>2173.2224269095004</v>
      </c>
      <c r="I2272" s="724">
        <v>790.26270069436384</v>
      </c>
      <c r="J2272" s="724">
        <v>0</v>
      </c>
      <c r="K2272" s="724">
        <v>0</v>
      </c>
      <c r="L2272" s="724">
        <v>2963.4851276038644</v>
      </c>
    </row>
    <row r="2273" spans="1:12">
      <c r="A2273" s="722" t="s">
        <v>279</v>
      </c>
      <c r="B2273" s="722">
        <v>106</v>
      </c>
      <c r="C2273" s="723">
        <v>146</v>
      </c>
      <c r="D2273" s="723">
        <v>28</v>
      </c>
      <c r="E2273" s="723">
        <v>0</v>
      </c>
      <c r="F2273" s="723">
        <v>0</v>
      </c>
      <c r="G2273" s="723">
        <v>174</v>
      </c>
      <c r="H2273" s="724">
        <v>14422.294287672137</v>
      </c>
      <c r="I2273" s="724">
        <v>2765.9194524302734</v>
      </c>
      <c r="J2273" s="724">
        <v>0</v>
      </c>
      <c r="K2273" s="724">
        <v>0</v>
      </c>
      <c r="L2273" s="724">
        <v>17188.213740102412</v>
      </c>
    </row>
    <row r="2274" spans="1:12">
      <c r="A2274" s="722" t="s">
        <v>279</v>
      </c>
      <c r="B2274" s="722">
        <v>107</v>
      </c>
      <c r="C2274" s="723">
        <v>6268</v>
      </c>
      <c r="D2274" s="723">
        <v>2452</v>
      </c>
      <c r="E2274" s="723">
        <v>0</v>
      </c>
      <c r="F2274" s="723">
        <v>0</v>
      </c>
      <c r="G2274" s="723">
        <v>8720</v>
      </c>
      <c r="H2274" s="724">
        <v>619170.82599403383</v>
      </c>
      <c r="I2274" s="724">
        <v>242215.51776282245</v>
      </c>
      <c r="J2274" s="724">
        <v>0</v>
      </c>
      <c r="K2274" s="724">
        <v>0</v>
      </c>
      <c r="L2274" s="724">
        <v>861386.3437568564</v>
      </c>
    </row>
    <row r="2275" spans="1:12">
      <c r="A2275" s="722" t="s">
        <v>279</v>
      </c>
      <c r="B2275" s="722">
        <v>110</v>
      </c>
      <c r="C2275" s="723">
        <v>62751</v>
      </c>
      <c r="D2275" s="723">
        <v>16923</v>
      </c>
      <c r="E2275" s="723">
        <v>0</v>
      </c>
      <c r="F2275" s="723">
        <v>0</v>
      </c>
      <c r="G2275" s="723">
        <v>79674</v>
      </c>
      <c r="H2275" s="724">
        <v>6198721.8414090034</v>
      </c>
      <c r="I2275" s="724">
        <v>1671701.9604813396</v>
      </c>
      <c r="J2275" s="724">
        <v>0</v>
      </c>
      <c r="K2275" s="724">
        <v>0</v>
      </c>
      <c r="L2275" s="724">
        <v>7870423.8018903425</v>
      </c>
    </row>
    <row r="2276" spans="1:12">
      <c r="A2276" s="722" t="s">
        <v>279</v>
      </c>
      <c r="B2276" s="722">
        <v>120</v>
      </c>
      <c r="C2276" s="723">
        <v>4666</v>
      </c>
      <c r="D2276" s="723">
        <v>1118</v>
      </c>
      <c r="E2276" s="723">
        <v>0</v>
      </c>
      <c r="F2276" s="723">
        <v>0</v>
      </c>
      <c r="G2276" s="723">
        <v>5784</v>
      </c>
      <c r="H2276" s="724">
        <v>460920.72017998766</v>
      </c>
      <c r="I2276" s="724">
        <v>110439.21242203734</v>
      </c>
      <c r="J2276" s="724">
        <v>0</v>
      </c>
      <c r="K2276" s="724">
        <v>0</v>
      </c>
      <c r="L2276" s="724">
        <v>571359.93260202499</v>
      </c>
    </row>
    <row r="2277" spans="1:12">
      <c r="A2277" s="722" t="s">
        <v>279</v>
      </c>
      <c r="B2277" s="722">
        <v>130</v>
      </c>
      <c r="C2277" s="723">
        <v>1757</v>
      </c>
      <c r="D2277" s="723">
        <v>140</v>
      </c>
      <c r="E2277" s="723">
        <v>0</v>
      </c>
      <c r="F2277" s="723">
        <v>0</v>
      </c>
      <c r="G2277" s="723">
        <v>1897</v>
      </c>
      <c r="H2277" s="724">
        <v>173561.44563999964</v>
      </c>
      <c r="I2277" s="724">
        <v>13829.597262151367</v>
      </c>
      <c r="J2277" s="724">
        <v>0</v>
      </c>
      <c r="K2277" s="724">
        <v>0</v>
      </c>
      <c r="L2277" s="724">
        <v>187391.04290215101</v>
      </c>
    </row>
    <row r="2278" spans="1:12">
      <c r="A2278" s="722" t="s">
        <v>279</v>
      </c>
      <c r="B2278" s="722">
        <v>140</v>
      </c>
      <c r="C2278" s="723">
        <v>4111</v>
      </c>
      <c r="D2278" s="723">
        <v>1418</v>
      </c>
      <c r="E2278" s="723">
        <v>0</v>
      </c>
      <c r="F2278" s="723">
        <v>0</v>
      </c>
      <c r="G2278" s="723">
        <v>5529</v>
      </c>
      <c r="H2278" s="724">
        <v>406096.24531931628</v>
      </c>
      <c r="I2278" s="724">
        <v>140074.063698076</v>
      </c>
      <c r="J2278" s="724">
        <v>0</v>
      </c>
      <c r="K2278" s="724">
        <v>0</v>
      </c>
      <c r="L2278" s="724">
        <v>546170.30901739222</v>
      </c>
    </row>
    <row r="2279" spans="1:12">
      <c r="A2279" s="722" t="s">
        <v>279</v>
      </c>
      <c r="B2279" s="722">
        <v>141</v>
      </c>
      <c r="C2279" s="723">
        <v>35</v>
      </c>
      <c r="D2279" s="723">
        <v>1</v>
      </c>
      <c r="E2279" s="723">
        <v>0</v>
      </c>
      <c r="F2279" s="723">
        <v>0</v>
      </c>
      <c r="G2279" s="723">
        <v>36</v>
      </c>
      <c r="H2279" s="724">
        <v>3457.3993155378416</v>
      </c>
      <c r="I2279" s="724">
        <v>98.782837586795466</v>
      </c>
      <c r="J2279" s="724">
        <v>0</v>
      </c>
      <c r="K2279" s="724">
        <v>0</v>
      </c>
      <c r="L2279" s="724">
        <v>3556.1821531246369</v>
      </c>
    </row>
    <row r="2280" spans="1:12">
      <c r="A2280" s="722" t="s">
        <v>279</v>
      </c>
      <c r="B2280" s="722">
        <v>142</v>
      </c>
      <c r="C2280" s="723">
        <v>22</v>
      </c>
      <c r="D2280" s="723">
        <v>4</v>
      </c>
      <c r="E2280" s="723">
        <v>0</v>
      </c>
      <c r="F2280" s="723">
        <v>0</v>
      </c>
      <c r="G2280" s="723">
        <v>26</v>
      </c>
      <c r="H2280" s="724">
        <v>2173.2224269095004</v>
      </c>
      <c r="I2280" s="724">
        <v>395.13135034718192</v>
      </c>
      <c r="J2280" s="724">
        <v>0</v>
      </c>
      <c r="K2280" s="724">
        <v>0</v>
      </c>
      <c r="L2280" s="724">
        <v>2568.3537772566824</v>
      </c>
    </row>
    <row r="2281" spans="1:12">
      <c r="A2281" s="722" t="s">
        <v>279</v>
      </c>
      <c r="B2281" s="722">
        <v>143</v>
      </c>
      <c r="C2281" s="723">
        <v>29</v>
      </c>
      <c r="D2281" s="723">
        <v>3</v>
      </c>
      <c r="E2281" s="723">
        <v>0</v>
      </c>
      <c r="F2281" s="723">
        <v>0</v>
      </c>
      <c r="G2281" s="723">
        <v>32</v>
      </c>
      <c r="H2281" s="724">
        <v>2864.7022900170687</v>
      </c>
      <c r="I2281" s="724">
        <v>296.34851276038637</v>
      </c>
      <c r="J2281" s="724">
        <v>0</v>
      </c>
      <c r="K2281" s="724">
        <v>0</v>
      </c>
      <c r="L2281" s="724">
        <v>3161.0508027774549</v>
      </c>
    </row>
    <row r="2282" spans="1:12">
      <c r="A2282" s="722" t="s">
        <v>279</v>
      </c>
      <c r="B2282" s="722">
        <v>144</v>
      </c>
      <c r="C2282" s="723">
        <v>3219</v>
      </c>
      <c r="D2282" s="723">
        <v>435</v>
      </c>
      <c r="E2282" s="723">
        <v>0</v>
      </c>
      <c r="F2282" s="723">
        <v>0</v>
      </c>
      <c r="G2282" s="723">
        <v>3654</v>
      </c>
      <c r="H2282" s="724">
        <v>317981.95419189462</v>
      </c>
      <c r="I2282" s="724">
        <v>42970.534350256028</v>
      </c>
      <c r="J2282" s="724">
        <v>0</v>
      </c>
      <c r="K2282" s="724">
        <v>0</v>
      </c>
      <c r="L2282" s="724">
        <v>360952.48854215065</v>
      </c>
    </row>
    <row r="2283" spans="1:12">
      <c r="A2283" s="722" t="s">
        <v>279</v>
      </c>
      <c r="B2283" s="722">
        <v>150</v>
      </c>
      <c r="C2283" s="723">
        <v>34</v>
      </c>
      <c r="D2283" s="723">
        <v>8</v>
      </c>
      <c r="E2283" s="723">
        <v>0</v>
      </c>
      <c r="F2283" s="723">
        <v>0</v>
      </c>
      <c r="G2283" s="723">
        <v>42</v>
      </c>
      <c r="H2283" s="724">
        <v>3358.6164779510464</v>
      </c>
      <c r="I2283" s="724">
        <v>790.26270069436384</v>
      </c>
      <c r="J2283" s="724">
        <v>0</v>
      </c>
      <c r="K2283" s="724">
        <v>0</v>
      </c>
      <c r="L2283" s="724">
        <v>4148.8791786454103</v>
      </c>
    </row>
    <row r="2284" spans="1:12">
      <c r="A2284" s="722" t="s">
        <v>279</v>
      </c>
      <c r="B2284" s="722">
        <v>160</v>
      </c>
      <c r="C2284" s="723">
        <v>36884</v>
      </c>
      <c r="D2284" s="723">
        <v>8705</v>
      </c>
      <c r="E2284" s="723">
        <v>0</v>
      </c>
      <c r="F2284" s="723">
        <v>0</v>
      </c>
      <c r="G2284" s="723">
        <v>45589</v>
      </c>
      <c r="H2284" s="724">
        <v>3643506.1815513643</v>
      </c>
      <c r="I2284" s="724">
        <v>859904.6011930547</v>
      </c>
      <c r="J2284" s="724">
        <v>0</v>
      </c>
      <c r="K2284" s="724">
        <v>0</v>
      </c>
      <c r="L2284" s="724">
        <v>4503410.7827444188</v>
      </c>
    </row>
    <row r="2285" spans="1:12">
      <c r="A2285" s="722" t="s">
        <v>279</v>
      </c>
      <c r="B2285" s="722">
        <v>161</v>
      </c>
      <c r="C2285" s="723">
        <v>192</v>
      </c>
      <c r="D2285" s="723">
        <v>75</v>
      </c>
      <c r="E2285" s="723">
        <v>0</v>
      </c>
      <c r="F2285" s="723">
        <v>0</v>
      </c>
      <c r="G2285" s="723">
        <v>267</v>
      </c>
      <c r="H2285" s="724">
        <v>18966.304816664731</v>
      </c>
      <c r="I2285" s="724">
        <v>7408.7128190096601</v>
      </c>
      <c r="J2285" s="724">
        <v>0</v>
      </c>
      <c r="K2285" s="724">
        <v>0</v>
      </c>
      <c r="L2285" s="724">
        <v>26375.01763567439</v>
      </c>
    </row>
    <row r="2286" spans="1:12">
      <c r="A2286" s="722" t="s">
        <v>279</v>
      </c>
      <c r="B2286" s="722">
        <v>170</v>
      </c>
      <c r="C2286" s="723">
        <v>122</v>
      </c>
      <c r="D2286" s="723">
        <v>6</v>
      </c>
      <c r="E2286" s="723">
        <v>0</v>
      </c>
      <c r="F2286" s="723">
        <v>0</v>
      </c>
      <c r="G2286" s="723">
        <v>128</v>
      </c>
      <c r="H2286" s="724">
        <v>12051.506185589047</v>
      </c>
      <c r="I2286" s="724">
        <v>592.69702552077274</v>
      </c>
      <c r="J2286" s="724">
        <v>0</v>
      </c>
      <c r="K2286" s="724">
        <v>0</v>
      </c>
      <c r="L2286" s="724">
        <v>12644.20321110982</v>
      </c>
    </row>
    <row r="2287" spans="1:12">
      <c r="A2287" s="722" t="s">
        <v>279</v>
      </c>
      <c r="B2287" s="722">
        <v>171</v>
      </c>
      <c r="C2287" s="723">
        <v>27</v>
      </c>
      <c r="D2287" s="723">
        <v>3</v>
      </c>
      <c r="E2287" s="723">
        <v>0</v>
      </c>
      <c r="F2287" s="723">
        <v>0</v>
      </c>
      <c r="G2287" s="723">
        <v>30</v>
      </c>
      <c r="H2287" s="724">
        <v>2667.1366148434777</v>
      </c>
      <c r="I2287" s="724">
        <v>296.34851276038643</v>
      </c>
      <c r="J2287" s="724">
        <v>0</v>
      </c>
      <c r="K2287" s="724">
        <v>0</v>
      </c>
      <c r="L2287" s="724">
        <v>2963.4851276038644</v>
      </c>
    </row>
    <row r="2288" spans="1:12">
      <c r="A2288" s="722" t="s">
        <v>279</v>
      </c>
      <c r="B2288" s="722">
        <v>172</v>
      </c>
      <c r="C2288" s="723">
        <v>923</v>
      </c>
      <c r="D2288" s="723">
        <v>7</v>
      </c>
      <c r="E2288" s="723">
        <v>0</v>
      </c>
      <c r="F2288" s="723">
        <v>0</v>
      </c>
      <c r="G2288" s="723">
        <v>930</v>
      </c>
      <c r="H2288" s="724">
        <v>91176.559092612224</v>
      </c>
      <c r="I2288" s="724">
        <v>691.47986310756835</v>
      </c>
      <c r="J2288" s="724">
        <v>0</v>
      </c>
      <c r="K2288" s="724">
        <v>0</v>
      </c>
      <c r="L2288" s="724">
        <v>91868.038955719792</v>
      </c>
    </row>
    <row r="2289" spans="1:12">
      <c r="A2289" s="722" t="s">
        <v>279</v>
      </c>
      <c r="B2289" s="722">
        <v>173</v>
      </c>
      <c r="C2289" s="723">
        <v>5</v>
      </c>
      <c r="D2289" s="723">
        <v>0</v>
      </c>
      <c r="E2289" s="723">
        <v>0</v>
      </c>
      <c r="F2289" s="723">
        <v>0</v>
      </c>
      <c r="G2289" s="723">
        <v>5</v>
      </c>
      <c r="H2289" s="724">
        <v>493.91418793397736</v>
      </c>
      <c r="I2289" s="724">
        <v>0</v>
      </c>
      <c r="J2289" s="724">
        <v>0</v>
      </c>
      <c r="K2289" s="724">
        <v>0</v>
      </c>
      <c r="L2289" s="724">
        <v>493.9141879339773</v>
      </c>
    </row>
    <row r="2290" spans="1:12">
      <c r="A2290" s="722" t="s">
        <v>279</v>
      </c>
      <c r="B2290" s="722">
        <v>174</v>
      </c>
      <c r="C2290" s="723">
        <v>1</v>
      </c>
      <c r="D2290" s="723">
        <v>0</v>
      </c>
      <c r="E2290" s="723">
        <v>0</v>
      </c>
      <c r="F2290" s="723">
        <v>0</v>
      </c>
      <c r="G2290" s="723">
        <v>1</v>
      </c>
      <c r="H2290" s="724">
        <v>98.782837586795466</v>
      </c>
      <c r="I2290" s="724">
        <v>0</v>
      </c>
      <c r="J2290" s="724">
        <v>0</v>
      </c>
      <c r="K2290" s="724">
        <v>0</v>
      </c>
      <c r="L2290" s="724">
        <v>98.782837586795466</v>
      </c>
    </row>
    <row r="2291" spans="1:12">
      <c r="A2291" s="722" t="s">
        <v>279</v>
      </c>
      <c r="B2291" s="722">
        <v>180</v>
      </c>
      <c r="C2291" s="723">
        <v>807</v>
      </c>
      <c r="D2291" s="723">
        <v>1020</v>
      </c>
      <c r="E2291" s="723">
        <v>0</v>
      </c>
      <c r="F2291" s="723">
        <v>0</v>
      </c>
      <c r="G2291" s="723">
        <v>1827</v>
      </c>
      <c r="H2291" s="724">
        <v>79717.749932543957</v>
      </c>
      <c r="I2291" s="724">
        <v>100758.49433853138</v>
      </c>
      <c r="J2291" s="724">
        <v>0</v>
      </c>
      <c r="K2291" s="724">
        <v>0</v>
      </c>
      <c r="L2291" s="724">
        <v>180476.24427107532</v>
      </c>
    </row>
    <row r="2292" spans="1:12">
      <c r="A2292" s="722" t="s">
        <v>279</v>
      </c>
      <c r="B2292" s="722">
        <v>190</v>
      </c>
      <c r="C2292" s="723">
        <v>1</v>
      </c>
      <c r="D2292" s="723">
        <v>1</v>
      </c>
      <c r="E2292" s="723">
        <v>0</v>
      </c>
      <c r="F2292" s="723">
        <v>0</v>
      </c>
      <c r="G2292" s="723">
        <v>2</v>
      </c>
      <c r="H2292" s="724">
        <v>98.782837586795466</v>
      </c>
      <c r="I2292" s="724">
        <v>98.782837586795466</v>
      </c>
      <c r="J2292" s="724">
        <v>0</v>
      </c>
      <c r="K2292" s="724">
        <v>0</v>
      </c>
      <c r="L2292" s="724">
        <v>197.56567517359093</v>
      </c>
    </row>
    <row r="2293" spans="1:12">
      <c r="A2293" s="722" t="s">
        <v>279</v>
      </c>
      <c r="B2293" s="722">
        <v>191</v>
      </c>
      <c r="C2293" s="723">
        <v>14</v>
      </c>
      <c r="D2293" s="723">
        <v>4</v>
      </c>
      <c r="E2293" s="723">
        <v>0</v>
      </c>
      <c r="F2293" s="723">
        <v>0</v>
      </c>
      <c r="G2293" s="723">
        <v>18</v>
      </c>
      <c r="H2293" s="724">
        <v>1382.9597262151365</v>
      </c>
      <c r="I2293" s="724">
        <v>395.13135034718186</v>
      </c>
      <c r="J2293" s="724">
        <v>0</v>
      </c>
      <c r="K2293" s="724">
        <v>0</v>
      </c>
      <c r="L2293" s="724">
        <v>1778.0910765623184</v>
      </c>
    </row>
    <row r="2294" spans="1:12">
      <c r="A2294" s="722" t="s">
        <v>279</v>
      </c>
      <c r="B2294" s="722">
        <v>192</v>
      </c>
      <c r="C2294" s="723">
        <v>1</v>
      </c>
      <c r="D2294" s="723">
        <v>0</v>
      </c>
      <c r="E2294" s="723">
        <v>0</v>
      </c>
      <c r="F2294" s="723">
        <v>0</v>
      </c>
      <c r="G2294" s="723">
        <v>1</v>
      </c>
      <c r="H2294" s="724">
        <v>98.782837586795466</v>
      </c>
      <c r="I2294" s="724">
        <v>0</v>
      </c>
      <c r="J2294" s="724">
        <v>0</v>
      </c>
      <c r="K2294" s="724">
        <v>0</v>
      </c>
      <c r="L2294" s="724">
        <v>98.782837586795466</v>
      </c>
    </row>
    <row r="2295" spans="1:12">
      <c r="A2295" s="722" t="s">
        <v>279</v>
      </c>
      <c r="B2295" s="722">
        <v>211</v>
      </c>
      <c r="C2295" s="723">
        <v>163</v>
      </c>
      <c r="D2295" s="723">
        <v>0</v>
      </c>
      <c r="E2295" s="723">
        <v>0</v>
      </c>
      <c r="F2295" s="723">
        <v>0</v>
      </c>
      <c r="G2295" s="723">
        <v>163</v>
      </c>
      <c r="H2295" s="724">
        <v>16101.602526647661</v>
      </c>
      <c r="I2295" s="724">
        <v>0</v>
      </c>
      <c r="J2295" s="724">
        <v>0</v>
      </c>
      <c r="K2295" s="724">
        <v>0</v>
      </c>
      <c r="L2295" s="724">
        <v>16101.602526647663</v>
      </c>
    </row>
    <row r="2296" spans="1:12">
      <c r="A2296" s="722" t="s">
        <v>279</v>
      </c>
      <c r="B2296" s="722">
        <v>214</v>
      </c>
      <c r="C2296" s="723">
        <v>447</v>
      </c>
      <c r="D2296" s="723">
        <v>94</v>
      </c>
      <c r="E2296" s="723">
        <v>0</v>
      </c>
      <c r="F2296" s="723">
        <v>0</v>
      </c>
      <c r="G2296" s="723">
        <v>541</v>
      </c>
      <c r="H2296" s="724">
        <v>44155.928401297577</v>
      </c>
      <c r="I2296" s="724">
        <v>9285.5867331587742</v>
      </c>
      <c r="J2296" s="724">
        <v>0</v>
      </c>
      <c r="K2296" s="724">
        <v>0</v>
      </c>
      <c r="L2296" s="724">
        <v>53441.515134456349</v>
      </c>
    </row>
    <row r="2297" spans="1:12">
      <c r="A2297" s="722" t="s">
        <v>279</v>
      </c>
      <c r="B2297" s="722">
        <v>215</v>
      </c>
      <c r="C2297" s="723">
        <v>39</v>
      </c>
      <c r="D2297" s="723">
        <v>6</v>
      </c>
      <c r="E2297" s="723">
        <v>0</v>
      </c>
      <c r="F2297" s="723">
        <v>0</v>
      </c>
      <c r="G2297" s="723">
        <v>45</v>
      </c>
      <c r="H2297" s="724">
        <v>3852.5306658850227</v>
      </c>
      <c r="I2297" s="724">
        <v>592.69702552077274</v>
      </c>
      <c r="J2297" s="724">
        <v>0</v>
      </c>
      <c r="K2297" s="724">
        <v>0</v>
      </c>
      <c r="L2297" s="724">
        <v>4445.2276914057957</v>
      </c>
    </row>
    <row r="2298" spans="1:12">
      <c r="A2298" s="722" t="s">
        <v>279</v>
      </c>
      <c r="B2298" s="722">
        <v>216</v>
      </c>
      <c r="C2298" s="723">
        <v>8</v>
      </c>
      <c r="D2298" s="723">
        <v>2</v>
      </c>
      <c r="E2298" s="723">
        <v>0</v>
      </c>
      <c r="F2298" s="723">
        <v>0</v>
      </c>
      <c r="G2298" s="723">
        <v>10</v>
      </c>
      <c r="H2298" s="724">
        <v>790.26270069436373</v>
      </c>
      <c r="I2298" s="724">
        <v>197.56567517359093</v>
      </c>
      <c r="J2298" s="724">
        <v>0</v>
      </c>
      <c r="K2298" s="724">
        <v>0</v>
      </c>
      <c r="L2298" s="724">
        <v>987.82837586795461</v>
      </c>
    </row>
    <row r="2299" spans="1:12">
      <c r="A2299" s="722" t="s">
        <v>279</v>
      </c>
      <c r="B2299" s="722">
        <v>217</v>
      </c>
      <c r="C2299" s="723">
        <v>27</v>
      </c>
      <c r="D2299" s="723">
        <v>5</v>
      </c>
      <c r="E2299" s="723">
        <v>0</v>
      </c>
      <c r="F2299" s="723">
        <v>0</v>
      </c>
      <c r="G2299" s="723">
        <v>32</v>
      </c>
      <c r="H2299" s="724">
        <v>2667.1366148434777</v>
      </c>
      <c r="I2299" s="724">
        <v>493.91418793397736</v>
      </c>
      <c r="J2299" s="724">
        <v>0</v>
      </c>
      <c r="K2299" s="724">
        <v>0</v>
      </c>
      <c r="L2299" s="724">
        <v>3161.0508027774549</v>
      </c>
    </row>
    <row r="2300" spans="1:12">
      <c r="A2300" s="722" t="s">
        <v>279</v>
      </c>
      <c r="B2300" s="722">
        <v>218</v>
      </c>
      <c r="C2300" s="723">
        <v>2</v>
      </c>
      <c r="D2300" s="723">
        <v>0</v>
      </c>
      <c r="E2300" s="723">
        <v>0</v>
      </c>
      <c r="F2300" s="723">
        <v>0</v>
      </c>
      <c r="G2300" s="723">
        <v>2</v>
      </c>
      <c r="H2300" s="724">
        <v>197.56567517359093</v>
      </c>
      <c r="I2300" s="724">
        <v>0</v>
      </c>
      <c r="J2300" s="724">
        <v>0</v>
      </c>
      <c r="K2300" s="724">
        <v>0</v>
      </c>
      <c r="L2300" s="724">
        <v>197.56567517359093</v>
      </c>
    </row>
    <row r="2301" spans="1:12">
      <c r="A2301" s="722" t="s">
        <v>279</v>
      </c>
      <c r="B2301" s="722">
        <v>219</v>
      </c>
      <c r="C2301" s="723">
        <v>425</v>
      </c>
      <c r="D2301" s="723">
        <v>44</v>
      </c>
      <c r="E2301" s="723">
        <v>0</v>
      </c>
      <c r="F2301" s="723">
        <v>0</v>
      </c>
      <c r="G2301" s="723">
        <v>469</v>
      </c>
      <c r="H2301" s="724">
        <v>41982.705974388082</v>
      </c>
      <c r="I2301" s="724">
        <v>4346.4448538190009</v>
      </c>
      <c r="J2301" s="724">
        <v>0</v>
      </c>
      <c r="K2301" s="724">
        <v>0</v>
      </c>
      <c r="L2301" s="724">
        <v>46329.150828207079</v>
      </c>
    </row>
    <row r="2302" spans="1:12">
      <c r="A2302" s="722" t="s">
        <v>279</v>
      </c>
      <c r="B2302" s="722">
        <v>220</v>
      </c>
      <c r="C2302" s="723">
        <v>43</v>
      </c>
      <c r="D2302" s="723">
        <v>12</v>
      </c>
      <c r="E2302" s="723">
        <v>0</v>
      </c>
      <c r="F2302" s="723">
        <v>0</v>
      </c>
      <c r="G2302" s="723">
        <v>55</v>
      </c>
      <c r="H2302" s="724">
        <v>4247.6620162322051</v>
      </c>
      <c r="I2302" s="724">
        <v>1185.3940510415457</v>
      </c>
      <c r="J2302" s="724">
        <v>0</v>
      </c>
      <c r="K2302" s="724">
        <v>0</v>
      </c>
      <c r="L2302" s="724">
        <v>5433.0560672737511</v>
      </c>
    </row>
    <row r="2303" spans="1:12">
      <c r="A2303" s="722" t="s">
        <v>279</v>
      </c>
      <c r="B2303" s="722">
        <v>251</v>
      </c>
      <c r="C2303" s="723">
        <v>3</v>
      </c>
      <c r="D2303" s="723">
        <v>0</v>
      </c>
      <c r="E2303" s="723">
        <v>0</v>
      </c>
      <c r="F2303" s="723">
        <v>0</v>
      </c>
      <c r="G2303" s="723">
        <v>3</v>
      </c>
      <c r="H2303" s="724">
        <v>296.34851276038643</v>
      </c>
      <c r="I2303" s="724">
        <v>0</v>
      </c>
      <c r="J2303" s="724">
        <v>0</v>
      </c>
      <c r="K2303" s="724">
        <v>0</v>
      </c>
      <c r="L2303" s="724">
        <v>296.34851276038643</v>
      </c>
    </row>
    <row r="2304" spans="1:12">
      <c r="A2304" s="722" t="s">
        <v>279</v>
      </c>
      <c r="B2304" s="722">
        <v>253</v>
      </c>
      <c r="C2304" s="723">
        <v>13</v>
      </c>
      <c r="D2304" s="723">
        <v>0</v>
      </c>
      <c r="E2304" s="723">
        <v>0</v>
      </c>
      <c r="F2304" s="723">
        <v>0</v>
      </c>
      <c r="G2304" s="723">
        <v>13</v>
      </c>
      <c r="H2304" s="724">
        <v>1284.1768886283412</v>
      </c>
      <c r="I2304" s="724">
        <v>0</v>
      </c>
      <c r="J2304" s="724">
        <v>0</v>
      </c>
      <c r="K2304" s="724">
        <v>0</v>
      </c>
      <c r="L2304" s="724">
        <v>1284.1768886283412</v>
      </c>
    </row>
    <row r="2305" spans="1:12">
      <c r="A2305" s="722" t="s">
        <v>279</v>
      </c>
      <c r="B2305" s="722">
        <v>254</v>
      </c>
      <c r="C2305" s="723">
        <v>1</v>
      </c>
      <c r="D2305" s="723">
        <v>1</v>
      </c>
      <c r="E2305" s="723">
        <v>0</v>
      </c>
      <c r="F2305" s="723">
        <v>0</v>
      </c>
      <c r="G2305" s="723">
        <v>2</v>
      </c>
      <c r="H2305" s="724">
        <v>98.782837586795466</v>
      </c>
      <c r="I2305" s="724">
        <v>98.782837586795466</v>
      </c>
      <c r="J2305" s="724">
        <v>0</v>
      </c>
      <c r="K2305" s="724">
        <v>0</v>
      </c>
      <c r="L2305" s="724">
        <v>197.56567517359093</v>
      </c>
    </row>
    <row r="2306" spans="1:12">
      <c r="A2306" s="722" t="s">
        <v>279</v>
      </c>
      <c r="B2306" s="722">
        <v>257</v>
      </c>
      <c r="C2306" s="723">
        <v>401</v>
      </c>
      <c r="D2306" s="723">
        <v>67</v>
      </c>
      <c r="E2306" s="723">
        <v>0</v>
      </c>
      <c r="F2306" s="723">
        <v>0</v>
      </c>
      <c r="G2306" s="723">
        <v>468</v>
      </c>
      <c r="H2306" s="724">
        <v>39611.917872304992</v>
      </c>
      <c r="I2306" s="724">
        <v>6618.450118315297</v>
      </c>
      <c r="J2306" s="724">
        <v>0</v>
      </c>
      <c r="K2306" s="724">
        <v>0</v>
      </c>
      <c r="L2306" s="724">
        <v>46230.367990620281</v>
      </c>
    </row>
    <row r="2307" spans="1:12">
      <c r="A2307" s="722" t="s">
        <v>279</v>
      </c>
      <c r="B2307" s="722">
        <v>258</v>
      </c>
      <c r="C2307" s="723">
        <v>3</v>
      </c>
      <c r="D2307" s="723">
        <v>0</v>
      </c>
      <c r="E2307" s="723">
        <v>0</v>
      </c>
      <c r="F2307" s="723">
        <v>0</v>
      </c>
      <c r="G2307" s="723">
        <v>3</v>
      </c>
      <c r="H2307" s="724">
        <v>296.34851276038643</v>
      </c>
      <c r="I2307" s="724">
        <v>0</v>
      </c>
      <c r="J2307" s="724">
        <v>0</v>
      </c>
      <c r="K2307" s="724">
        <v>0</v>
      </c>
      <c r="L2307" s="724">
        <v>296.34851276038643</v>
      </c>
    </row>
    <row r="2308" spans="1:12">
      <c r="A2308" s="722" t="s">
        <v>279</v>
      </c>
      <c r="B2308" s="722">
        <v>259</v>
      </c>
      <c r="C2308" s="723">
        <v>2</v>
      </c>
      <c r="D2308" s="723">
        <v>0</v>
      </c>
      <c r="E2308" s="723">
        <v>0</v>
      </c>
      <c r="F2308" s="723">
        <v>0</v>
      </c>
      <c r="G2308" s="723">
        <v>2</v>
      </c>
      <c r="H2308" s="724">
        <v>197.56567517359093</v>
      </c>
      <c r="I2308" s="724">
        <v>0</v>
      </c>
      <c r="J2308" s="724">
        <v>0</v>
      </c>
      <c r="K2308" s="724">
        <v>0</v>
      </c>
      <c r="L2308" s="724">
        <v>197.56567517359093</v>
      </c>
    </row>
    <row r="2309" spans="1:12">
      <c r="A2309" s="722" t="s">
        <v>279</v>
      </c>
      <c r="B2309" s="722">
        <v>260</v>
      </c>
      <c r="C2309" s="723">
        <v>8</v>
      </c>
      <c r="D2309" s="723">
        <v>0</v>
      </c>
      <c r="E2309" s="723">
        <v>0</v>
      </c>
      <c r="F2309" s="723">
        <v>0</v>
      </c>
      <c r="G2309" s="723">
        <v>8</v>
      </c>
      <c r="H2309" s="724">
        <v>790.26270069436373</v>
      </c>
      <c r="I2309" s="724">
        <v>0</v>
      </c>
      <c r="J2309" s="724">
        <v>0</v>
      </c>
      <c r="K2309" s="724">
        <v>0</v>
      </c>
      <c r="L2309" s="724">
        <v>790.26270069436373</v>
      </c>
    </row>
    <row r="2310" spans="1:12">
      <c r="A2310" s="722" t="s">
        <v>279</v>
      </c>
      <c r="B2310" s="722">
        <v>263</v>
      </c>
      <c r="C2310" s="723">
        <v>6</v>
      </c>
      <c r="D2310" s="723">
        <v>1</v>
      </c>
      <c r="E2310" s="723">
        <v>0</v>
      </c>
      <c r="F2310" s="723">
        <v>0</v>
      </c>
      <c r="G2310" s="723">
        <v>7</v>
      </c>
      <c r="H2310" s="724">
        <v>592.69702552077285</v>
      </c>
      <c r="I2310" s="724">
        <v>98.78283758679548</v>
      </c>
      <c r="J2310" s="724">
        <v>0</v>
      </c>
      <c r="K2310" s="724">
        <v>0</v>
      </c>
      <c r="L2310" s="724">
        <v>691.47986310756835</v>
      </c>
    </row>
    <row r="2311" spans="1:12">
      <c r="A2311" s="722" t="s">
        <v>279</v>
      </c>
      <c r="B2311" s="722">
        <v>290</v>
      </c>
      <c r="C2311" s="723">
        <v>343</v>
      </c>
      <c r="D2311" s="723">
        <v>4</v>
      </c>
      <c r="E2311" s="723">
        <v>0</v>
      </c>
      <c r="F2311" s="723">
        <v>0</v>
      </c>
      <c r="G2311" s="723">
        <v>347</v>
      </c>
      <c r="H2311" s="724">
        <v>33882.513292270844</v>
      </c>
      <c r="I2311" s="724">
        <v>395.13135034718186</v>
      </c>
      <c r="J2311" s="724">
        <v>0</v>
      </c>
      <c r="K2311" s="724">
        <v>0</v>
      </c>
      <c r="L2311" s="724">
        <v>34277.644642618026</v>
      </c>
    </row>
    <row r="2312" spans="1:12">
      <c r="A2312" s="722" t="s">
        <v>279</v>
      </c>
      <c r="B2312" s="722">
        <v>300</v>
      </c>
      <c r="C2312" s="723">
        <v>1388</v>
      </c>
      <c r="D2312" s="723">
        <v>119</v>
      </c>
      <c r="E2312" s="723">
        <v>0</v>
      </c>
      <c r="F2312" s="723">
        <v>0</v>
      </c>
      <c r="G2312" s="723">
        <v>1507</v>
      </c>
      <c r="H2312" s="724">
        <v>137110.57857047213</v>
      </c>
      <c r="I2312" s="724">
        <v>11755.15767282866</v>
      </c>
      <c r="J2312" s="724">
        <v>0</v>
      </c>
      <c r="K2312" s="724">
        <v>0</v>
      </c>
      <c r="L2312" s="724">
        <v>148865.73624330078</v>
      </c>
    </row>
    <row r="2313" spans="1:12">
      <c r="A2313" s="722" t="s">
        <v>279</v>
      </c>
      <c r="B2313" s="722">
        <v>301</v>
      </c>
      <c r="C2313" s="723">
        <v>111</v>
      </c>
      <c r="D2313" s="723">
        <v>22</v>
      </c>
      <c r="E2313" s="723">
        <v>0</v>
      </c>
      <c r="F2313" s="723">
        <v>0</v>
      </c>
      <c r="G2313" s="723">
        <v>133</v>
      </c>
      <c r="H2313" s="724">
        <v>10964.894972134298</v>
      </c>
      <c r="I2313" s="724">
        <v>2173.2224269095004</v>
      </c>
      <c r="J2313" s="724">
        <v>0</v>
      </c>
      <c r="K2313" s="724">
        <v>0</v>
      </c>
      <c r="L2313" s="724">
        <v>13138.117399043798</v>
      </c>
    </row>
    <row r="2314" spans="1:12">
      <c r="A2314" s="722" t="s">
        <v>279</v>
      </c>
      <c r="B2314" s="722">
        <v>302</v>
      </c>
      <c r="C2314" s="723">
        <v>97</v>
      </c>
      <c r="D2314" s="723">
        <v>8</v>
      </c>
      <c r="E2314" s="723">
        <v>0</v>
      </c>
      <c r="F2314" s="723">
        <v>0</v>
      </c>
      <c r="G2314" s="723">
        <v>105</v>
      </c>
      <c r="H2314" s="724">
        <v>9581.9352459191614</v>
      </c>
      <c r="I2314" s="724">
        <v>790.26270069436384</v>
      </c>
      <c r="J2314" s="724">
        <v>0</v>
      </c>
      <c r="K2314" s="724">
        <v>0</v>
      </c>
      <c r="L2314" s="724">
        <v>10372.197946613525</v>
      </c>
    </row>
    <row r="2315" spans="1:12">
      <c r="A2315" s="722" t="s">
        <v>279</v>
      </c>
      <c r="B2315" s="722">
        <v>303</v>
      </c>
      <c r="C2315" s="723">
        <v>703</v>
      </c>
      <c r="D2315" s="723">
        <v>16</v>
      </c>
      <c r="E2315" s="723">
        <v>0</v>
      </c>
      <c r="F2315" s="723">
        <v>0</v>
      </c>
      <c r="G2315" s="723">
        <v>719</v>
      </c>
      <c r="H2315" s="724">
        <v>69444.334823517216</v>
      </c>
      <c r="I2315" s="724">
        <v>1580.5254013887277</v>
      </c>
      <c r="J2315" s="724">
        <v>0</v>
      </c>
      <c r="K2315" s="724">
        <v>0</v>
      </c>
      <c r="L2315" s="724">
        <v>71024.860224905948</v>
      </c>
    </row>
    <row r="2316" spans="1:12">
      <c r="A2316" s="722" t="s">
        <v>279</v>
      </c>
      <c r="B2316" s="722">
        <v>306</v>
      </c>
      <c r="C2316" s="723">
        <v>10</v>
      </c>
      <c r="D2316" s="723">
        <v>0</v>
      </c>
      <c r="E2316" s="723">
        <v>0</v>
      </c>
      <c r="F2316" s="723">
        <v>0</v>
      </c>
      <c r="G2316" s="723">
        <v>10</v>
      </c>
      <c r="H2316" s="724">
        <v>987.82837586795472</v>
      </c>
      <c r="I2316" s="724">
        <v>0</v>
      </c>
      <c r="J2316" s="724">
        <v>0</v>
      </c>
      <c r="K2316" s="724">
        <v>0</v>
      </c>
      <c r="L2316" s="724">
        <v>987.82837586795461</v>
      </c>
    </row>
    <row r="2317" spans="1:12">
      <c r="A2317" s="722" t="s">
        <v>279</v>
      </c>
      <c r="B2317" s="722">
        <v>307</v>
      </c>
      <c r="C2317" s="723">
        <v>2155</v>
      </c>
      <c r="D2317" s="723">
        <v>332</v>
      </c>
      <c r="E2317" s="723">
        <v>0</v>
      </c>
      <c r="F2317" s="723">
        <v>0</v>
      </c>
      <c r="G2317" s="723">
        <v>2487</v>
      </c>
      <c r="H2317" s="724">
        <v>212877.01499954422</v>
      </c>
      <c r="I2317" s="724">
        <v>32795.902078816092</v>
      </c>
      <c r="J2317" s="724">
        <v>0</v>
      </c>
      <c r="K2317" s="724">
        <v>0</v>
      </c>
      <c r="L2317" s="724">
        <v>245672.91707836033</v>
      </c>
    </row>
    <row r="2318" spans="1:12">
      <c r="A2318" s="722" t="s">
        <v>279</v>
      </c>
      <c r="B2318" s="722">
        <v>308</v>
      </c>
      <c r="C2318" s="723">
        <v>4</v>
      </c>
      <c r="D2318" s="723">
        <v>0</v>
      </c>
      <c r="E2318" s="723">
        <v>0</v>
      </c>
      <c r="F2318" s="723">
        <v>0</v>
      </c>
      <c r="G2318" s="723">
        <v>4</v>
      </c>
      <c r="H2318" s="724">
        <v>395.13135034718186</v>
      </c>
      <c r="I2318" s="724">
        <v>0</v>
      </c>
      <c r="J2318" s="724">
        <v>0</v>
      </c>
      <c r="K2318" s="724">
        <v>0</v>
      </c>
      <c r="L2318" s="724">
        <v>395.13135034718186</v>
      </c>
    </row>
    <row r="2319" spans="1:12">
      <c r="A2319" s="722" t="s">
        <v>279</v>
      </c>
      <c r="B2319" s="722">
        <v>309</v>
      </c>
      <c r="C2319" s="723">
        <v>1</v>
      </c>
      <c r="D2319" s="723">
        <v>0</v>
      </c>
      <c r="E2319" s="723">
        <v>0</v>
      </c>
      <c r="F2319" s="723">
        <v>0</v>
      </c>
      <c r="G2319" s="723">
        <v>1</v>
      </c>
      <c r="H2319" s="724">
        <v>98.782837586795466</v>
      </c>
      <c r="I2319" s="724">
        <v>0</v>
      </c>
      <c r="J2319" s="724">
        <v>0</v>
      </c>
      <c r="K2319" s="724">
        <v>0</v>
      </c>
      <c r="L2319" s="724">
        <v>98.782837586795466</v>
      </c>
    </row>
    <row r="2320" spans="1:12">
      <c r="A2320" s="722" t="s">
        <v>279</v>
      </c>
      <c r="B2320" s="722">
        <v>310</v>
      </c>
      <c r="C2320" s="723">
        <v>4</v>
      </c>
      <c r="D2320" s="723">
        <v>3</v>
      </c>
      <c r="E2320" s="723">
        <v>0</v>
      </c>
      <c r="F2320" s="723">
        <v>0</v>
      </c>
      <c r="G2320" s="723">
        <v>7</v>
      </c>
      <c r="H2320" s="724">
        <v>395.13135034718192</v>
      </c>
      <c r="I2320" s="724">
        <v>296.34851276038643</v>
      </c>
      <c r="J2320" s="724">
        <v>0</v>
      </c>
      <c r="K2320" s="724">
        <v>0</v>
      </c>
      <c r="L2320" s="724">
        <v>691.47986310756835</v>
      </c>
    </row>
    <row r="2321" spans="1:12">
      <c r="A2321" s="722" t="s">
        <v>279</v>
      </c>
      <c r="B2321" s="722">
        <v>313</v>
      </c>
      <c r="C2321" s="723">
        <v>1</v>
      </c>
      <c r="D2321" s="723">
        <v>0</v>
      </c>
      <c r="E2321" s="723">
        <v>0</v>
      </c>
      <c r="F2321" s="723">
        <v>0</v>
      </c>
      <c r="G2321" s="723">
        <v>1</v>
      </c>
      <c r="H2321" s="724">
        <v>98.782837586795466</v>
      </c>
      <c r="I2321" s="724">
        <v>0</v>
      </c>
      <c r="J2321" s="724">
        <v>0</v>
      </c>
      <c r="K2321" s="724">
        <v>0</v>
      </c>
      <c r="L2321" s="724">
        <v>98.782837586795466</v>
      </c>
    </row>
    <row r="2322" spans="1:12">
      <c r="A2322" s="722" t="s">
        <v>279</v>
      </c>
      <c r="B2322" s="722">
        <v>314</v>
      </c>
      <c r="C2322" s="723">
        <v>167</v>
      </c>
      <c r="D2322" s="723">
        <v>31</v>
      </c>
      <c r="E2322" s="723">
        <v>0</v>
      </c>
      <c r="F2322" s="723">
        <v>0</v>
      </c>
      <c r="G2322" s="723">
        <v>198</v>
      </c>
      <c r="H2322" s="724">
        <v>16496.733876994847</v>
      </c>
      <c r="I2322" s="724">
        <v>3062.2679651906601</v>
      </c>
      <c r="J2322" s="724">
        <v>0</v>
      </c>
      <c r="K2322" s="724">
        <v>0</v>
      </c>
      <c r="L2322" s="724">
        <v>19559.001842185506</v>
      </c>
    </row>
    <row r="2323" spans="1:12">
      <c r="A2323" s="722" t="s">
        <v>279</v>
      </c>
      <c r="B2323" s="722">
        <v>315</v>
      </c>
      <c r="C2323" s="723">
        <v>0</v>
      </c>
      <c r="D2323" s="723">
        <v>1</v>
      </c>
      <c r="E2323" s="723">
        <v>0</v>
      </c>
      <c r="F2323" s="723">
        <v>0</v>
      </c>
      <c r="G2323" s="723">
        <v>1</v>
      </c>
      <c r="H2323" s="724">
        <v>0</v>
      </c>
      <c r="I2323" s="724">
        <v>98.782837586795466</v>
      </c>
      <c r="J2323" s="724">
        <v>0</v>
      </c>
      <c r="K2323" s="724">
        <v>0</v>
      </c>
      <c r="L2323" s="724">
        <v>98.782837586795466</v>
      </c>
    </row>
    <row r="2324" spans="1:12">
      <c r="A2324" s="722" t="s">
        <v>279</v>
      </c>
      <c r="B2324" s="722">
        <v>317</v>
      </c>
      <c r="C2324" s="723">
        <v>0</v>
      </c>
      <c r="D2324" s="723">
        <v>2</v>
      </c>
      <c r="E2324" s="723">
        <v>0</v>
      </c>
      <c r="F2324" s="723">
        <v>0</v>
      </c>
      <c r="G2324" s="723">
        <v>2</v>
      </c>
      <c r="H2324" s="724">
        <v>0</v>
      </c>
      <c r="I2324" s="724">
        <v>197.56567517359093</v>
      </c>
      <c r="J2324" s="724">
        <v>0</v>
      </c>
      <c r="K2324" s="724">
        <v>0</v>
      </c>
      <c r="L2324" s="724">
        <v>197.56567517359093</v>
      </c>
    </row>
    <row r="2325" spans="1:12">
      <c r="A2325" s="722" t="s">
        <v>279</v>
      </c>
      <c r="B2325" s="722">
        <v>320</v>
      </c>
      <c r="C2325" s="723">
        <v>33</v>
      </c>
      <c r="D2325" s="723">
        <v>23</v>
      </c>
      <c r="E2325" s="723">
        <v>0</v>
      </c>
      <c r="F2325" s="723">
        <v>0</v>
      </c>
      <c r="G2325" s="723">
        <v>56</v>
      </c>
      <c r="H2325" s="724">
        <v>3259.8336403642506</v>
      </c>
      <c r="I2325" s="724">
        <v>2272.0052644962957</v>
      </c>
      <c r="J2325" s="724">
        <v>0</v>
      </c>
      <c r="K2325" s="724">
        <v>0</v>
      </c>
      <c r="L2325" s="724">
        <v>5531.8389048605468</v>
      </c>
    </row>
    <row r="2326" spans="1:12">
      <c r="A2326" s="722" t="s">
        <v>279</v>
      </c>
      <c r="B2326" s="722">
        <v>321</v>
      </c>
      <c r="C2326" s="723">
        <v>5</v>
      </c>
      <c r="D2326" s="723">
        <v>2</v>
      </c>
      <c r="E2326" s="723">
        <v>0</v>
      </c>
      <c r="F2326" s="723">
        <v>0</v>
      </c>
      <c r="G2326" s="723">
        <v>7</v>
      </c>
      <c r="H2326" s="724">
        <v>493.91418793397736</v>
      </c>
      <c r="I2326" s="724">
        <v>197.56567517359096</v>
      </c>
      <c r="J2326" s="724">
        <v>0</v>
      </c>
      <c r="K2326" s="724">
        <v>0</v>
      </c>
      <c r="L2326" s="724">
        <v>691.47986310756835</v>
      </c>
    </row>
    <row r="2327" spans="1:12">
      <c r="A2327" s="722" t="s">
        <v>279</v>
      </c>
      <c r="B2327" s="722">
        <v>323</v>
      </c>
      <c r="C2327" s="723">
        <v>27</v>
      </c>
      <c r="D2327" s="723">
        <v>7</v>
      </c>
      <c r="E2327" s="723">
        <v>0</v>
      </c>
      <c r="F2327" s="723">
        <v>0</v>
      </c>
      <c r="G2327" s="723">
        <v>34</v>
      </c>
      <c r="H2327" s="724">
        <v>2667.1366148434777</v>
      </c>
      <c r="I2327" s="724">
        <v>691.47986310756824</v>
      </c>
      <c r="J2327" s="724">
        <v>0</v>
      </c>
      <c r="K2327" s="724">
        <v>0</v>
      </c>
      <c r="L2327" s="724">
        <v>3358.6164779510459</v>
      </c>
    </row>
    <row r="2328" spans="1:12">
      <c r="A2328" s="722" t="s">
        <v>279</v>
      </c>
      <c r="B2328" s="722">
        <v>324</v>
      </c>
      <c r="C2328" s="723">
        <v>5</v>
      </c>
      <c r="D2328" s="723">
        <v>0</v>
      </c>
      <c r="E2328" s="723">
        <v>0</v>
      </c>
      <c r="F2328" s="723">
        <v>0</v>
      </c>
      <c r="G2328" s="723">
        <v>5</v>
      </c>
      <c r="H2328" s="724">
        <v>493.91418793397736</v>
      </c>
      <c r="I2328" s="724">
        <v>0</v>
      </c>
      <c r="J2328" s="724">
        <v>0</v>
      </c>
      <c r="K2328" s="724">
        <v>0</v>
      </c>
      <c r="L2328" s="724">
        <v>493.9141879339773</v>
      </c>
    </row>
    <row r="2329" spans="1:12">
      <c r="A2329" s="722" t="s">
        <v>279</v>
      </c>
      <c r="B2329" s="722">
        <v>330</v>
      </c>
      <c r="C2329" s="723">
        <v>43049</v>
      </c>
      <c r="D2329" s="723">
        <v>5325</v>
      </c>
      <c r="E2329" s="723">
        <v>0</v>
      </c>
      <c r="F2329" s="723">
        <v>0</v>
      </c>
      <c r="G2329" s="723">
        <v>48374</v>
      </c>
      <c r="H2329" s="724">
        <v>4252502.3752739578</v>
      </c>
      <c r="I2329" s="724">
        <v>526018.61014968588</v>
      </c>
      <c r="J2329" s="724">
        <v>0</v>
      </c>
      <c r="K2329" s="724">
        <v>0</v>
      </c>
      <c r="L2329" s="724">
        <v>4778520.9854236441</v>
      </c>
    </row>
    <row r="2330" spans="1:12">
      <c r="A2330" s="722" t="s">
        <v>279</v>
      </c>
      <c r="B2330" s="722">
        <v>340</v>
      </c>
      <c r="C2330" s="723">
        <v>95</v>
      </c>
      <c r="D2330" s="723">
        <v>15</v>
      </c>
      <c r="E2330" s="723">
        <v>0</v>
      </c>
      <c r="F2330" s="723">
        <v>0</v>
      </c>
      <c r="G2330" s="723">
        <v>110</v>
      </c>
      <c r="H2330" s="724">
        <v>9384.3695707455699</v>
      </c>
      <c r="I2330" s="724">
        <v>1481.7425638019322</v>
      </c>
      <c r="J2330" s="724">
        <v>0</v>
      </c>
      <c r="K2330" s="724">
        <v>0</v>
      </c>
      <c r="L2330" s="724">
        <v>10866.112134547502</v>
      </c>
    </row>
    <row r="2331" spans="1:12">
      <c r="A2331" s="722" t="s">
        <v>279</v>
      </c>
      <c r="B2331" s="722">
        <v>341</v>
      </c>
      <c r="C2331" s="723">
        <v>0</v>
      </c>
      <c r="D2331" s="723">
        <v>1</v>
      </c>
      <c r="E2331" s="723">
        <v>0</v>
      </c>
      <c r="F2331" s="723">
        <v>0</v>
      </c>
      <c r="G2331" s="723">
        <v>1</v>
      </c>
      <c r="H2331" s="724">
        <v>0</v>
      </c>
      <c r="I2331" s="724">
        <v>98.782837586795466</v>
      </c>
      <c r="J2331" s="724">
        <v>0</v>
      </c>
      <c r="K2331" s="724">
        <v>0</v>
      </c>
      <c r="L2331" s="724">
        <v>98.782837586795466</v>
      </c>
    </row>
    <row r="2332" spans="1:12">
      <c r="A2332" s="722" t="s">
        <v>279</v>
      </c>
      <c r="B2332" s="722">
        <v>350</v>
      </c>
      <c r="C2332" s="723">
        <v>8</v>
      </c>
      <c r="D2332" s="723">
        <v>3</v>
      </c>
      <c r="E2332" s="723">
        <v>0</v>
      </c>
      <c r="F2332" s="723">
        <v>0</v>
      </c>
      <c r="G2332" s="723">
        <v>11</v>
      </c>
      <c r="H2332" s="724">
        <v>790.26270069436384</v>
      </c>
      <c r="I2332" s="724">
        <v>296.34851276038643</v>
      </c>
      <c r="J2332" s="724">
        <v>0</v>
      </c>
      <c r="K2332" s="724">
        <v>0</v>
      </c>
      <c r="L2332" s="724">
        <v>1086.6112134547502</v>
      </c>
    </row>
    <row r="2333" spans="1:12">
      <c r="A2333" s="722" t="s">
        <v>279</v>
      </c>
      <c r="B2333" s="722">
        <v>352</v>
      </c>
      <c r="C2333" s="723">
        <v>5</v>
      </c>
      <c r="D2333" s="723">
        <v>0</v>
      </c>
      <c r="E2333" s="723">
        <v>0</v>
      </c>
      <c r="F2333" s="723">
        <v>0</v>
      </c>
      <c r="G2333" s="723">
        <v>5</v>
      </c>
      <c r="H2333" s="724">
        <v>493.91418793397736</v>
      </c>
      <c r="I2333" s="724">
        <v>0</v>
      </c>
      <c r="J2333" s="724">
        <v>0</v>
      </c>
      <c r="K2333" s="724">
        <v>0</v>
      </c>
      <c r="L2333" s="724">
        <v>493.9141879339773</v>
      </c>
    </row>
    <row r="2334" spans="1:12">
      <c r="A2334" s="722" t="s">
        <v>279</v>
      </c>
      <c r="B2334" s="722">
        <v>361</v>
      </c>
      <c r="C2334" s="723">
        <v>401</v>
      </c>
      <c r="D2334" s="723">
        <v>9</v>
      </c>
      <c r="E2334" s="723">
        <v>0</v>
      </c>
      <c r="F2334" s="723">
        <v>0</v>
      </c>
      <c r="G2334" s="723">
        <v>410</v>
      </c>
      <c r="H2334" s="724">
        <v>39611.917872304984</v>
      </c>
      <c r="I2334" s="724">
        <v>889.04553828115922</v>
      </c>
      <c r="J2334" s="724">
        <v>0</v>
      </c>
      <c r="K2334" s="724">
        <v>0</v>
      </c>
      <c r="L2334" s="724">
        <v>40500.963410586148</v>
      </c>
    </row>
    <row r="2335" spans="1:12">
      <c r="A2335" s="722" t="s">
        <v>279</v>
      </c>
      <c r="B2335" s="722">
        <v>370</v>
      </c>
      <c r="C2335" s="723">
        <v>380</v>
      </c>
      <c r="D2335" s="723">
        <v>23</v>
      </c>
      <c r="E2335" s="723">
        <v>0</v>
      </c>
      <c r="F2335" s="723">
        <v>0</v>
      </c>
      <c r="G2335" s="723">
        <v>403</v>
      </c>
      <c r="H2335" s="724">
        <v>37537.478282982273</v>
      </c>
      <c r="I2335" s="724">
        <v>2272.0052644962957</v>
      </c>
      <c r="J2335" s="724">
        <v>0</v>
      </c>
      <c r="K2335" s="724">
        <v>0</v>
      </c>
      <c r="L2335" s="724">
        <v>39809.483547478572</v>
      </c>
    </row>
    <row r="2336" spans="1:12">
      <c r="A2336" s="722" t="s">
        <v>279</v>
      </c>
      <c r="B2336" s="722">
        <v>400</v>
      </c>
      <c r="C2336" s="723">
        <v>13</v>
      </c>
      <c r="D2336" s="723">
        <v>4</v>
      </c>
      <c r="E2336" s="723">
        <v>0</v>
      </c>
      <c r="F2336" s="723">
        <v>0</v>
      </c>
      <c r="G2336" s="723">
        <v>17</v>
      </c>
      <c r="H2336" s="724">
        <v>1284.176888628341</v>
      </c>
      <c r="I2336" s="724">
        <v>395.13135034718186</v>
      </c>
      <c r="J2336" s="724">
        <v>0</v>
      </c>
      <c r="K2336" s="724">
        <v>0</v>
      </c>
      <c r="L2336" s="724">
        <v>1679.308238975523</v>
      </c>
    </row>
    <row r="2337" spans="1:12">
      <c r="A2337" s="722" t="s">
        <v>279</v>
      </c>
      <c r="B2337" s="722">
        <v>410</v>
      </c>
      <c r="C2337" s="723">
        <v>59</v>
      </c>
      <c r="D2337" s="723">
        <v>6</v>
      </c>
      <c r="E2337" s="723">
        <v>0</v>
      </c>
      <c r="F2337" s="723">
        <v>0</v>
      </c>
      <c r="G2337" s="723">
        <v>65</v>
      </c>
      <c r="H2337" s="724">
        <v>5828.187417620933</v>
      </c>
      <c r="I2337" s="724">
        <v>592.69702552077285</v>
      </c>
      <c r="J2337" s="724">
        <v>0</v>
      </c>
      <c r="K2337" s="724">
        <v>0</v>
      </c>
      <c r="L2337" s="724">
        <v>6420.8844431417056</v>
      </c>
    </row>
    <row r="2338" spans="1:12">
      <c r="A2338" s="722" t="s">
        <v>279</v>
      </c>
      <c r="B2338" s="722">
        <v>420</v>
      </c>
      <c r="C2338" s="723">
        <v>649</v>
      </c>
      <c r="D2338" s="723">
        <v>325</v>
      </c>
      <c r="E2338" s="723">
        <v>0</v>
      </c>
      <c r="F2338" s="723">
        <v>0</v>
      </c>
      <c r="G2338" s="723">
        <v>974</v>
      </c>
      <c r="H2338" s="724">
        <v>64110.061593830258</v>
      </c>
      <c r="I2338" s="724">
        <v>32104.422215708524</v>
      </c>
      <c r="J2338" s="724">
        <v>0</v>
      </c>
      <c r="K2338" s="724">
        <v>0</v>
      </c>
      <c r="L2338" s="724">
        <v>96214.483809538782</v>
      </c>
    </row>
    <row r="2339" spans="1:12">
      <c r="A2339" s="722" t="s">
        <v>279</v>
      </c>
      <c r="B2339" s="722">
        <v>422</v>
      </c>
      <c r="C2339" s="723">
        <v>4</v>
      </c>
      <c r="D2339" s="723">
        <v>1</v>
      </c>
      <c r="E2339" s="723">
        <v>0</v>
      </c>
      <c r="F2339" s="723">
        <v>0</v>
      </c>
      <c r="G2339" s="723">
        <v>5</v>
      </c>
      <c r="H2339" s="724">
        <v>395.13135034718186</v>
      </c>
      <c r="I2339" s="724">
        <v>98.782837586795466</v>
      </c>
      <c r="J2339" s="724">
        <v>0</v>
      </c>
      <c r="K2339" s="724">
        <v>0</v>
      </c>
      <c r="L2339" s="724">
        <v>493.9141879339773</v>
      </c>
    </row>
    <row r="2340" spans="1:12">
      <c r="A2340" s="722" t="s">
        <v>279</v>
      </c>
      <c r="B2340" s="722">
        <v>430</v>
      </c>
      <c r="C2340" s="723">
        <v>58</v>
      </c>
      <c r="D2340" s="723">
        <v>47</v>
      </c>
      <c r="E2340" s="723">
        <v>0</v>
      </c>
      <c r="F2340" s="723">
        <v>0</v>
      </c>
      <c r="G2340" s="723">
        <v>105</v>
      </c>
      <c r="H2340" s="724">
        <v>5729.4045800341382</v>
      </c>
      <c r="I2340" s="724">
        <v>4642.793366579388</v>
      </c>
      <c r="J2340" s="724">
        <v>0</v>
      </c>
      <c r="K2340" s="724">
        <v>0</v>
      </c>
      <c r="L2340" s="724">
        <v>10372.197946613525</v>
      </c>
    </row>
    <row r="2341" spans="1:12">
      <c r="A2341" s="722" t="s">
        <v>279</v>
      </c>
      <c r="B2341" s="722">
        <v>450</v>
      </c>
      <c r="C2341" s="723">
        <v>1</v>
      </c>
      <c r="D2341" s="723">
        <v>0</v>
      </c>
      <c r="E2341" s="723">
        <v>0</v>
      </c>
      <c r="F2341" s="723">
        <v>0</v>
      </c>
      <c r="G2341" s="723">
        <v>1</v>
      </c>
      <c r="H2341" s="724">
        <v>98.782837586795466</v>
      </c>
      <c r="I2341" s="724">
        <v>0</v>
      </c>
      <c r="J2341" s="724">
        <v>0</v>
      </c>
      <c r="K2341" s="724">
        <v>0</v>
      </c>
      <c r="L2341" s="724">
        <v>98.782837586795466</v>
      </c>
    </row>
    <row r="2342" spans="1:12">
      <c r="A2342" s="722" t="s">
        <v>279</v>
      </c>
      <c r="B2342" s="722">
        <v>460</v>
      </c>
      <c r="C2342" s="723">
        <v>10</v>
      </c>
      <c r="D2342" s="723">
        <v>1</v>
      </c>
      <c r="E2342" s="723">
        <v>0</v>
      </c>
      <c r="F2342" s="723">
        <v>0</v>
      </c>
      <c r="G2342" s="723">
        <v>11</v>
      </c>
      <c r="H2342" s="724">
        <v>987.82837586795472</v>
      </c>
      <c r="I2342" s="724">
        <v>98.78283758679548</v>
      </c>
      <c r="J2342" s="724">
        <v>0</v>
      </c>
      <c r="K2342" s="724">
        <v>0</v>
      </c>
      <c r="L2342" s="724">
        <v>1086.6112134547502</v>
      </c>
    </row>
    <row r="2343" spans="1:12">
      <c r="A2343" s="722" t="s">
        <v>279</v>
      </c>
      <c r="B2343" s="722">
        <v>501</v>
      </c>
      <c r="C2343" s="723">
        <v>31</v>
      </c>
      <c r="D2343" s="723">
        <v>23</v>
      </c>
      <c r="E2343" s="723">
        <v>0</v>
      </c>
      <c r="F2343" s="723">
        <v>0</v>
      </c>
      <c r="G2343" s="723">
        <v>54</v>
      </c>
      <c r="H2343" s="724">
        <v>3062.2679651906597</v>
      </c>
      <c r="I2343" s="724">
        <v>2272.0052644962957</v>
      </c>
      <c r="J2343" s="724">
        <v>0</v>
      </c>
      <c r="K2343" s="724">
        <v>0</v>
      </c>
      <c r="L2343" s="724">
        <v>5334.2732296869553</v>
      </c>
    </row>
    <row r="2344" spans="1:12">
      <c r="A2344" s="722" t="s">
        <v>279</v>
      </c>
      <c r="B2344" s="722">
        <v>502</v>
      </c>
      <c r="C2344" s="723">
        <v>237</v>
      </c>
      <c r="D2344" s="723">
        <v>117</v>
      </c>
      <c r="E2344" s="723">
        <v>0</v>
      </c>
      <c r="F2344" s="723">
        <v>0</v>
      </c>
      <c r="G2344" s="723">
        <v>354</v>
      </c>
      <c r="H2344" s="724">
        <v>23411.532508070526</v>
      </c>
      <c r="I2344" s="724">
        <v>11557.591997655069</v>
      </c>
      <c r="J2344" s="724">
        <v>0</v>
      </c>
      <c r="K2344" s="724">
        <v>0</v>
      </c>
      <c r="L2344" s="724">
        <v>34969.124505725595</v>
      </c>
    </row>
    <row r="2345" spans="1:12">
      <c r="A2345" s="722" t="s">
        <v>279</v>
      </c>
      <c r="B2345" s="722">
        <v>503</v>
      </c>
      <c r="C2345" s="723">
        <v>26</v>
      </c>
      <c r="D2345" s="723">
        <v>0</v>
      </c>
      <c r="E2345" s="723">
        <v>0</v>
      </c>
      <c r="F2345" s="723">
        <v>0</v>
      </c>
      <c r="G2345" s="723">
        <v>26</v>
      </c>
      <c r="H2345" s="724">
        <v>2568.3537772566824</v>
      </c>
      <c r="I2345" s="724">
        <v>0</v>
      </c>
      <c r="J2345" s="724">
        <v>0</v>
      </c>
      <c r="K2345" s="724">
        <v>0</v>
      </c>
      <c r="L2345" s="724">
        <v>2568.3537772566824</v>
      </c>
    </row>
    <row r="2346" spans="1:12">
      <c r="A2346" s="722" t="s">
        <v>279</v>
      </c>
      <c r="B2346" s="722">
        <v>560</v>
      </c>
      <c r="C2346" s="723">
        <v>222</v>
      </c>
      <c r="D2346" s="723">
        <v>2</v>
      </c>
      <c r="E2346" s="723">
        <v>0</v>
      </c>
      <c r="F2346" s="723">
        <v>0</v>
      </c>
      <c r="G2346" s="723">
        <v>224</v>
      </c>
      <c r="H2346" s="724">
        <v>21929.789944268596</v>
      </c>
      <c r="I2346" s="724">
        <v>197.56567517359096</v>
      </c>
      <c r="J2346" s="724">
        <v>0</v>
      </c>
      <c r="K2346" s="724">
        <v>0</v>
      </c>
      <c r="L2346" s="724">
        <v>22127.355619442187</v>
      </c>
    </row>
    <row r="2347" spans="1:12">
      <c r="A2347" s="722" t="s">
        <v>279</v>
      </c>
      <c r="B2347" s="722">
        <v>650</v>
      </c>
      <c r="C2347" s="723">
        <v>1363</v>
      </c>
      <c r="D2347" s="723">
        <v>33</v>
      </c>
      <c r="E2347" s="723">
        <v>0</v>
      </c>
      <c r="F2347" s="723">
        <v>0</v>
      </c>
      <c r="G2347" s="723">
        <v>1396</v>
      </c>
      <c r="H2347" s="724">
        <v>134641.00763080225</v>
      </c>
      <c r="I2347" s="724">
        <v>3259.8336403642511</v>
      </c>
      <c r="J2347" s="724">
        <v>0</v>
      </c>
      <c r="K2347" s="724">
        <v>0</v>
      </c>
      <c r="L2347" s="724">
        <v>137900.84127116649</v>
      </c>
    </row>
    <row r="2348" spans="1:12">
      <c r="A2348" s="722" t="s">
        <v>279</v>
      </c>
      <c r="B2348" s="722">
        <v>651</v>
      </c>
      <c r="C2348" s="723">
        <v>42</v>
      </c>
      <c r="D2348" s="723">
        <v>65</v>
      </c>
      <c r="E2348" s="723">
        <v>0</v>
      </c>
      <c r="F2348" s="723">
        <v>0</v>
      </c>
      <c r="G2348" s="723">
        <v>107</v>
      </c>
      <c r="H2348" s="724">
        <v>4148.8791786454094</v>
      </c>
      <c r="I2348" s="724">
        <v>6420.8844431417047</v>
      </c>
      <c r="J2348" s="724">
        <v>0</v>
      </c>
      <c r="K2348" s="724">
        <v>0</v>
      </c>
      <c r="L2348" s="724">
        <v>10569.763621787115</v>
      </c>
    </row>
    <row r="2349" spans="1:12">
      <c r="A2349" s="722" t="s">
        <v>279</v>
      </c>
      <c r="B2349" s="722">
        <v>653</v>
      </c>
      <c r="C2349" s="723">
        <v>1022</v>
      </c>
      <c r="D2349" s="723">
        <v>13</v>
      </c>
      <c r="E2349" s="723">
        <v>0</v>
      </c>
      <c r="F2349" s="723">
        <v>0</v>
      </c>
      <c r="G2349" s="723">
        <v>1035</v>
      </c>
      <c r="H2349" s="724">
        <v>100956.06001370498</v>
      </c>
      <c r="I2349" s="724">
        <v>1284.1768886283412</v>
      </c>
      <c r="J2349" s="724">
        <v>0</v>
      </c>
      <c r="K2349" s="724">
        <v>0</v>
      </c>
      <c r="L2349" s="724">
        <v>102240.23690233332</v>
      </c>
    </row>
    <row r="2350" spans="1:12">
      <c r="A2350" s="722" t="s">
        <v>279</v>
      </c>
      <c r="B2350" s="722">
        <v>710</v>
      </c>
      <c r="C2350" s="723">
        <v>4</v>
      </c>
      <c r="D2350" s="723">
        <v>1</v>
      </c>
      <c r="E2350" s="723">
        <v>0</v>
      </c>
      <c r="F2350" s="723">
        <v>0</v>
      </c>
      <c r="G2350" s="723">
        <v>5</v>
      </c>
      <c r="H2350" s="724">
        <v>395.13135034718186</v>
      </c>
      <c r="I2350" s="724">
        <v>98.782837586795466</v>
      </c>
      <c r="J2350" s="724">
        <v>0</v>
      </c>
      <c r="K2350" s="724">
        <v>0</v>
      </c>
      <c r="L2350" s="724">
        <v>493.9141879339773</v>
      </c>
    </row>
    <row r="2351" spans="1:12">
      <c r="A2351" s="722" t="s">
        <v>279</v>
      </c>
      <c r="B2351" s="722">
        <v>800</v>
      </c>
      <c r="C2351" s="723">
        <v>440</v>
      </c>
      <c r="D2351" s="723">
        <v>38</v>
      </c>
      <c r="E2351" s="723">
        <v>0</v>
      </c>
      <c r="F2351" s="723">
        <v>0</v>
      </c>
      <c r="G2351" s="723">
        <v>478</v>
      </c>
      <c r="H2351" s="724">
        <v>43464.448538190009</v>
      </c>
      <c r="I2351" s="724">
        <v>3753.7478282982279</v>
      </c>
      <c r="J2351" s="724">
        <v>0</v>
      </c>
      <c r="K2351" s="724">
        <v>0</v>
      </c>
      <c r="L2351" s="724">
        <v>47218.196366488235</v>
      </c>
    </row>
    <row r="2352" spans="1:12">
      <c r="A2352" s="722" t="s">
        <v>279</v>
      </c>
      <c r="B2352" s="722">
        <v>812</v>
      </c>
      <c r="C2352" s="723">
        <v>37</v>
      </c>
      <c r="D2352" s="723">
        <v>13</v>
      </c>
      <c r="E2352" s="723">
        <v>0</v>
      </c>
      <c r="F2352" s="723">
        <v>0</v>
      </c>
      <c r="G2352" s="723">
        <v>50</v>
      </c>
      <c r="H2352" s="724">
        <v>3654.9649907114322</v>
      </c>
      <c r="I2352" s="724">
        <v>1284.1768886283412</v>
      </c>
      <c r="J2352" s="724">
        <v>0</v>
      </c>
      <c r="K2352" s="724">
        <v>0</v>
      </c>
      <c r="L2352" s="724">
        <v>4939.1418793397734</v>
      </c>
    </row>
    <row r="2353" spans="1:12">
      <c r="A2353" s="722" t="s">
        <v>279</v>
      </c>
      <c r="B2353" s="722">
        <v>840</v>
      </c>
      <c r="C2353" s="723">
        <v>2</v>
      </c>
      <c r="D2353" s="723">
        <v>0</v>
      </c>
      <c r="E2353" s="723">
        <v>0</v>
      </c>
      <c r="F2353" s="723">
        <v>0</v>
      </c>
      <c r="G2353" s="723">
        <v>2</v>
      </c>
      <c r="H2353" s="724">
        <v>197.56567517359093</v>
      </c>
      <c r="I2353" s="724">
        <v>0</v>
      </c>
      <c r="J2353" s="724">
        <v>0</v>
      </c>
      <c r="K2353" s="724">
        <v>0</v>
      </c>
      <c r="L2353" s="724">
        <v>197.56567517359093</v>
      </c>
    </row>
    <row r="2354" spans="1:12">
      <c r="A2354" s="722" t="s">
        <v>282</v>
      </c>
      <c r="B2354" s="722">
        <v>100</v>
      </c>
      <c r="C2354" s="723">
        <v>1</v>
      </c>
      <c r="D2354" s="723">
        <v>0</v>
      </c>
      <c r="E2354" s="723">
        <v>0</v>
      </c>
      <c r="F2354" s="723">
        <v>0</v>
      </c>
      <c r="G2354" s="723">
        <v>1</v>
      </c>
      <c r="H2354" s="724">
        <v>268.45947315148999</v>
      </c>
      <c r="I2354" s="724">
        <v>0</v>
      </c>
      <c r="J2354" s="724">
        <v>0</v>
      </c>
      <c r="K2354" s="724">
        <v>0</v>
      </c>
      <c r="L2354" s="724">
        <v>268.45947315148999</v>
      </c>
    </row>
    <row r="2355" spans="1:12">
      <c r="A2355" s="722" t="s">
        <v>282</v>
      </c>
      <c r="B2355" s="722">
        <v>120</v>
      </c>
      <c r="C2355" s="723">
        <v>4</v>
      </c>
      <c r="D2355" s="723">
        <v>2</v>
      </c>
      <c r="E2355" s="723">
        <v>0</v>
      </c>
      <c r="F2355" s="723">
        <v>0</v>
      </c>
      <c r="G2355" s="723">
        <v>6</v>
      </c>
      <c r="H2355" s="724">
        <v>1073.83789260596</v>
      </c>
      <c r="I2355" s="724">
        <v>536.91894630297998</v>
      </c>
      <c r="J2355" s="724">
        <v>0</v>
      </c>
      <c r="K2355" s="724">
        <v>0</v>
      </c>
      <c r="L2355" s="724">
        <v>1610.7568389089399</v>
      </c>
    </row>
    <row r="2356" spans="1:12">
      <c r="A2356" s="722" t="s">
        <v>282</v>
      </c>
      <c r="B2356" s="722">
        <v>140</v>
      </c>
      <c r="C2356" s="723">
        <v>1</v>
      </c>
      <c r="D2356" s="723">
        <v>0</v>
      </c>
      <c r="E2356" s="723">
        <v>0</v>
      </c>
      <c r="F2356" s="723">
        <v>0</v>
      </c>
      <c r="G2356" s="723">
        <v>1</v>
      </c>
      <c r="H2356" s="724">
        <v>268.45947315148999</v>
      </c>
      <c r="I2356" s="724">
        <v>0</v>
      </c>
      <c r="J2356" s="724">
        <v>0</v>
      </c>
      <c r="K2356" s="724">
        <v>0</v>
      </c>
      <c r="L2356" s="724">
        <v>268.45947315148999</v>
      </c>
    </row>
    <row r="2357" spans="1:12">
      <c r="A2357" s="722" t="s">
        <v>282</v>
      </c>
      <c r="B2357" s="722">
        <v>330</v>
      </c>
      <c r="C2357" s="723">
        <v>1</v>
      </c>
      <c r="D2357" s="723">
        <v>0</v>
      </c>
      <c r="E2357" s="723">
        <v>0</v>
      </c>
      <c r="F2357" s="723">
        <v>0</v>
      </c>
      <c r="G2357" s="723">
        <v>1</v>
      </c>
      <c r="H2357" s="724">
        <v>268.45947315148999</v>
      </c>
      <c r="I2357" s="724">
        <v>0</v>
      </c>
      <c r="J2357" s="724">
        <v>0</v>
      </c>
      <c r="K2357" s="724">
        <v>0</v>
      </c>
      <c r="L2357" s="724">
        <v>268.45947315148999</v>
      </c>
    </row>
    <row r="2358" spans="1:12">
      <c r="A2358" s="722" t="s">
        <v>283</v>
      </c>
      <c r="B2358" s="722">
        <v>100</v>
      </c>
      <c r="C2358" s="723">
        <v>3</v>
      </c>
      <c r="D2358" s="723">
        <v>0</v>
      </c>
      <c r="E2358" s="723">
        <v>0</v>
      </c>
      <c r="F2358" s="723">
        <v>0</v>
      </c>
      <c r="G2358" s="723">
        <v>3</v>
      </c>
      <c r="H2358" s="724">
        <v>474.52071043788459</v>
      </c>
      <c r="I2358" s="724">
        <v>0</v>
      </c>
      <c r="J2358" s="724">
        <v>0</v>
      </c>
      <c r="K2358" s="724">
        <v>0</v>
      </c>
      <c r="L2358" s="724">
        <v>474.52071043788459</v>
      </c>
    </row>
    <row r="2359" spans="1:12">
      <c r="A2359" s="722" t="s">
        <v>283</v>
      </c>
      <c r="B2359" s="722">
        <v>103</v>
      </c>
      <c r="C2359" s="723">
        <v>1</v>
      </c>
      <c r="D2359" s="723">
        <v>5</v>
      </c>
      <c r="E2359" s="723">
        <v>0</v>
      </c>
      <c r="F2359" s="723">
        <v>0</v>
      </c>
      <c r="G2359" s="723">
        <v>6</v>
      </c>
      <c r="H2359" s="724">
        <v>158.17357014596152</v>
      </c>
      <c r="I2359" s="724">
        <v>790.86785072980763</v>
      </c>
      <c r="J2359" s="724">
        <v>0</v>
      </c>
      <c r="K2359" s="724">
        <v>0</v>
      </c>
      <c r="L2359" s="724">
        <v>949.04142087576918</v>
      </c>
    </row>
    <row r="2360" spans="1:12">
      <c r="A2360" s="722" t="s">
        <v>283</v>
      </c>
      <c r="B2360" s="722">
        <v>105</v>
      </c>
      <c r="C2360" s="723">
        <v>2</v>
      </c>
      <c r="D2360" s="723">
        <v>0</v>
      </c>
      <c r="E2360" s="723">
        <v>0</v>
      </c>
      <c r="F2360" s="723">
        <v>0</v>
      </c>
      <c r="G2360" s="723">
        <v>2</v>
      </c>
      <c r="H2360" s="724">
        <v>316.3471402919231</v>
      </c>
      <c r="I2360" s="724">
        <v>0</v>
      </c>
      <c r="J2360" s="724">
        <v>0</v>
      </c>
      <c r="K2360" s="724">
        <v>0</v>
      </c>
      <c r="L2360" s="724">
        <v>316.3471402919231</v>
      </c>
    </row>
    <row r="2361" spans="1:12">
      <c r="A2361" s="722" t="s">
        <v>283</v>
      </c>
      <c r="B2361" s="722">
        <v>120</v>
      </c>
      <c r="C2361" s="723">
        <v>1</v>
      </c>
      <c r="D2361" s="723">
        <v>1</v>
      </c>
      <c r="E2361" s="723">
        <v>0</v>
      </c>
      <c r="F2361" s="723">
        <v>0</v>
      </c>
      <c r="G2361" s="723">
        <v>2</v>
      </c>
      <c r="H2361" s="724">
        <v>158.17357014596155</v>
      </c>
      <c r="I2361" s="724">
        <v>158.17357014596155</v>
      </c>
      <c r="J2361" s="724">
        <v>0</v>
      </c>
      <c r="K2361" s="724">
        <v>0</v>
      </c>
      <c r="L2361" s="724">
        <v>316.3471402919231</v>
      </c>
    </row>
    <row r="2362" spans="1:12">
      <c r="A2362" s="722" t="s">
        <v>284</v>
      </c>
      <c r="B2362" s="722">
        <v>100</v>
      </c>
      <c r="C2362" s="723">
        <v>287</v>
      </c>
      <c r="D2362" s="723">
        <v>634</v>
      </c>
      <c r="E2362" s="723">
        <v>0</v>
      </c>
      <c r="F2362" s="723">
        <v>0</v>
      </c>
      <c r="G2362" s="723">
        <v>921</v>
      </c>
      <c r="H2362" s="724">
        <v>98022.095523864991</v>
      </c>
      <c r="I2362" s="724">
        <v>216536.61519906064</v>
      </c>
      <c r="J2362" s="724">
        <v>0</v>
      </c>
      <c r="K2362" s="724">
        <v>0</v>
      </c>
      <c r="L2362" s="724">
        <v>314558.71072292561</v>
      </c>
    </row>
    <row r="2363" spans="1:12">
      <c r="A2363" s="722" t="s">
        <v>284</v>
      </c>
      <c r="B2363" s="722">
        <v>101</v>
      </c>
      <c r="C2363" s="723">
        <v>1</v>
      </c>
      <c r="D2363" s="723">
        <v>1</v>
      </c>
      <c r="E2363" s="723">
        <v>0</v>
      </c>
      <c r="F2363" s="723">
        <v>0</v>
      </c>
      <c r="G2363" s="723">
        <v>2</v>
      </c>
      <c r="H2363" s="724">
        <v>341.5404025221776</v>
      </c>
      <c r="I2363" s="724">
        <v>341.5404025221776</v>
      </c>
      <c r="J2363" s="724">
        <v>0</v>
      </c>
      <c r="K2363" s="724">
        <v>0</v>
      </c>
      <c r="L2363" s="724">
        <v>683.0808050443552</v>
      </c>
    </row>
    <row r="2364" spans="1:12">
      <c r="A2364" s="722" t="s">
        <v>284</v>
      </c>
      <c r="B2364" s="722">
        <v>103</v>
      </c>
      <c r="C2364" s="723">
        <v>12</v>
      </c>
      <c r="D2364" s="723">
        <v>36</v>
      </c>
      <c r="E2364" s="723">
        <v>0</v>
      </c>
      <c r="F2364" s="723">
        <v>0</v>
      </c>
      <c r="G2364" s="723">
        <v>48</v>
      </c>
      <c r="H2364" s="724">
        <v>4098.4848302661312</v>
      </c>
      <c r="I2364" s="724">
        <v>12295.454490798395</v>
      </c>
      <c r="J2364" s="724">
        <v>0</v>
      </c>
      <c r="K2364" s="724">
        <v>0</v>
      </c>
      <c r="L2364" s="724">
        <v>16393.939321064525</v>
      </c>
    </row>
    <row r="2365" spans="1:12">
      <c r="A2365" s="722" t="s">
        <v>284</v>
      </c>
      <c r="B2365" s="722">
        <v>104</v>
      </c>
      <c r="C2365" s="723">
        <v>4</v>
      </c>
      <c r="D2365" s="723">
        <v>11</v>
      </c>
      <c r="E2365" s="723">
        <v>0</v>
      </c>
      <c r="F2365" s="723">
        <v>0</v>
      </c>
      <c r="G2365" s="723">
        <v>15</v>
      </c>
      <c r="H2365" s="724">
        <v>1366.1616100887104</v>
      </c>
      <c r="I2365" s="724">
        <v>3756.9444277439534</v>
      </c>
      <c r="J2365" s="724">
        <v>0</v>
      </c>
      <c r="K2365" s="724">
        <v>0</v>
      </c>
      <c r="L2365" s="724">
        <v>5123.1060378326638</v>
      </c>
    </row>
    <row r="2366" spans="1:12">
      <c r="A2366" s="722" t="s">
        <v>284</v>
      </c>
      <c r="B2366" s="722">
        <v>106</v>
      </c>
      <c r="C2366" s="723">
        <v>2</v>
      </c>
      <c r="D2366" s="723">
        <v>6</v>
      </c>
      <c r="E2366" s="723">
        <v>0</v>
      </c>
      <c r="F2366" s="723">
        <v>0</v>
      </c>
      <c r="G2366" s="723">
        <v>8</v>
      </c>
      <c r="H2366" s="724">
        <v>683.0808050443552</v>
      </c>
      <c r="I2366" s="724">
        <v>2049.2424151330656</v>
      </c>
      <c r="J2366" s="724">
        <v>0</v>
      </c>
      <c r="K2366" s="724">
        <v>0</v>
      </c>
      <c r="L2366" s="724">
        <v>2732.3232201774208</v>
      </c>
    </row>
    <row r="2367" spans="1:12">
      <c r="A2367" s="722" t="s">
        <v>284</v>
      </c>
      <c r="B2367" s="722">
        <v>107</v>
      </c>
      <c r="C2367" s="723">
        <v>2</v>
      </c>
      <c r="D2367" s="723">
        <v>6</v>
      </c>
      <c r="E2367" s="723">
        <v>0</v>
      </c>
      <c r="F2367" s="723">
        <v>0</v>
      </c>
      <c r="G2367" s="723">
        <v>8</v>
      </c>
      <c r="H2367" s="724">
        <v>683.0808050443552</v>
      </c>
      <c r="I2367" s="724">
        <v>2049.2424151330656</v>
      </c>
      <c r="J2367" s="724">
        <v>0</v>
      </c>
      <c r="K2367" s="724">
        <v>0</v>
      </c>
      <c r="L2367" s="724">
        <v>2732.3232201774208</v>
      </c>
    </row>
    <row r="2368" spans="1:12">
      <c r="A2368" s="722" t="s">
        <v>284</v>
      </c>
      <c r="B2368" s="722">
        <v>110</v>
      </c>
      <c r="C2368" s="723">
        <v>1</v>
      </c>
      <c r="D2368" s="723">
        <v>0</v>
      </c>
      <c r="E2368" s="723">
        <v>0</v>
      </c>
      <c r="F2368" s="723">
        <v>0</v>
      </c>
      <c r="G2368" s="723">
        <v>1</v>
      </c>
      <c r="H2368" s="724">
        <v>341.5404025221776</v>
      </c>
      <c r="I2368" s="724">
        <v>0</v>
      </c>
      <c r="J2368" s="724">
        <v>0</v>
      </c>
      <c r="K2368" s="724">
        <v>0</v>
      </c>
      <c r="L2368" s="724">
        <v>341.5404025221776</v>
      </c>
    </row>
    <row r="2369" spans="1:12">
      <c r="A2369" s="722" t="s">
        <v>284</v>
      </c>
      <c r="B2369" s="722">
        <v>120</v>
      </c>
      <c r="C2369" s="723">
        <v>662</v>
      </c>
      <c r="D2369" s="723">
        <v>1247</v>
      </c>
      <c r="E2369" s="723">
        <v>0</v>
      </c>
      <c r="F2369" s="723">
        <v>0</v>
      </c>
      <c r="G2369" s="723">
        <v>1909</v>
      </c>
      <c r="H2369" s="724">
        <v>226099.74646968159</v>
      </c>
      <c r="I2369" s="724">
        <v>425900.8819451555</v>
      </c>
      <c r="J2369" s="724">
        <v>0</v>
      </c>
      <c r="K2369" s="724">
        <v>0</v>
      </c>
      <c r="L2369" s="724">
        <v>652000.62841483706</v>
      </c>
    </row>
    <row r="2370" spans="1:12">
      <c r="A2370" s="722" t="s">
        <v>284</v>
      </c>
      <c r="B2370" s="722">
        <v>130</v>
      </c>
      <c r="C2370" s="723">
        <v>2</v>
      </c>
      <c r="D2370" s="723">
        <v>0</v>
      </c>
      <c r="E2370" s="723">
        <v>0</v>
      </c>
      <c r="F2370" s="723">
        <v>0</v>
      </c>
      <c r="G2370" s="723">
        <v>2</v>
      </c>
      <c r="H2370" s="724">
        <v>683.0808050443552</v>
      </c>
      <c r="I2370" s="724">
        <v>0</v>
      </c>
      <c r="J2370" s="724">
        <v>0</v>
      </c>
      <c r="K2370" s="724">
        <v>0</v>
      </c>
      <c r="L2370" s="724">
        <v>683.0808050443552</v>
      </c>
    </row>
    <row r="2371" spans="1:12">
      <c r="A2371" s="722" t="s">
        <v>284</v>
      </c>
      <c r="B2371" s="722">
        <v>140</v>
      </c>
      <c r="C2371" s="723">
        <v>17</v>
      </c>
      <c r="D2371" s="723">
        <v>7</v>
      </c>
      <c r="E2371" s="723">
        <v>0</v>
      </c>
      <c r="F2371" s="723">
        <v>0</v>
      </c>
      <c r="G2371" s="723">
        <v>24</v>
      </c>
      <c r="H2371" s="724">
        <v>5806.1868428770185</v>
      </c>
      <c r="I2371" s="724">
        <v>2390.7828176552434</v>
      </c>
      <c r="J2371" s="724">
        <v>0</v>
      </c>
      <c r="K2371" s="724">
        <v>0</v>
      </c>
      <c r="L2371" s="724">
        <v>8196.9696605322624</v>
      </c>
    </row>
    <row r="2372" spans="1:12">
      <c r="A2372" s="722" t="s">
        <v>284</v>
      </c>
      <c r="B2372" s="722">
        <v>144</v>
      </c>
      <c r="C2372" s="723">
        <v>2</v>
      </c>
      <c r="D2372" s="723">
        <v>0</v>
      </c>
      <c r="E2372" s="723">
        <v>0</v>
      </c>
      <c r="F2372" s="723">
        <v>0</v>
      </c>
      <c r="G2372" s="723">
        <v>2</v>
      </c>
      <c r="H2372" s="724">
        <v>683.0808050443552</v>
      </c>
      <c r="I2372" s="724">
        <v>0</v>
      </c>
      <c r="J2372" s="724">
        <v>0</v>
      </c>
      <c r="K2372" s="724">
        <v>0</v>
      </c>
      <c r="L2372" s="724">
        <v>683.0808050443552</v>
      </c>
    </row>
    <row r="2373" spans="1:12">
      <c r="A2373" s="722" t="s">
        <v>284</v>
      </c>
      <c r="B2373" s="722">
        <v>160</v>
      </c>
      <c r="C2373" s="723">
        <v>0</v>
      </c>
      <c r="D2373" s="723">
        <v>1</v>
      </c>
      <c r="E2373" s="723">
        <v>0</v>
      </c>
      <c r="F2373" s="723">
        <v>0</v>
      </c>
      <c r="G2373" s="723">
        <v>1</v>
      </c>
      <c r="H2373" s="724">
        <v>0</v>
      </c>
      <c r="I2373" s="724">
        <v>341.5404025221776</v>
      </c>
      <c r="J2373" s="724">
        <v>0</v>
      </c>
      <c r="K2373" s="724">
        <v>0</v>
      </c>
      <c r="L2373" s="724">
        <v>341.5404025221776</v>
      </c>
    </row>
    <row r="2374" spans="1:12">
      <c r="A2374" s="722" t="s">
        <v>284</v>
      </c>
      <c r="B2374" s="722">
        <v>215</v>
      </c>
      <c r="C2374" s="723">
        <v>0</v>
      </c>
      <c r="D2374" s="723">
        <v>1</v>
      </c>
      <c r="E2374" s="723">
        <v>0</v>
      </c>
      <c r="F2374" s="723">
        <v>0</v>
      </c>
      <c r="G2374" s="723">
        <v>1</v>
      </c>
      <c r="H2374" s="724">
        <v>0</v>
      </c>
      <c r="I2374" s="724">
        <v>341.5404025221776</v>
      </c>
      <c r="J2374" s="724">
        <v>0</v>
      </c>
      <c r="K2374" s="724">
        <v>0</v>
      </c>
      <c r="L2374" s="724">
        <v>341.5404025221776</v>
      </c>
    </row>
    <row r="2375" spans="1:12">
      <c r="A2375" s="722" t="s">
        <v>284</v>
      </c>
      <c r="B2375" s="722">
        <v>300</v>
      </c>
      <c r="C2375" s="723">
        <v>48</v>
      </c>
      <c r="D2375" s="723">
        <v>25</v>
      </c>
      <c r="E2375" s="723">
        <v>0</v>
      </c>
      <c r="F2375" s="723">
        <v>0</v>
      </c>
      <c r="G2375" s="723">
        <v>73</v>
      </c>
      <c r="H2375" s="724">
        <v>16393.939321064525</v>
      </c>
      <c r="I2375" s="724">
        <v>8538.5100630544403</v>
      </c>
      <c r="J2375" s="724">
        <v>0</v>
      </c>
      <c r="K2375" s="724">
        <v>0</v>
      </c>
      <c r="L2375" s="724">
        <v>24932.449384118965</v>
      </c>
    </row>
    <row r="2376" spans="1:12">
      <c r="A2376" s="722" t="s">
        <v>284</v>
      </c>
      <c r="B2376" s="722">
        <v>301</v>
      </c>
      <c r="C2376" s="723">
        <v>1</v>
      </c>
      <c r="D2376" s="723">
        <v>0</v>
      </c>
      <c r="E2376" s="723">
        <v>0</v>
      </c>
      <c r="F2376" s="723">
        <v>0</v>
      </c>
      <c r="G2376" s="723">
        <v>1</v>
      </c>
      <c r="H2376" s="724">
        <v>341.5404025221776</v>
      </c>
      <c r="I2376" s="724">
        <v>0</v>
      </c>
      <c r="J2376" s="724">
        <v>0</v>
      </c>
      <c r="K2376" s="724">
        <v>0</v>
      </c>
      <c r="L2376" s="724">
        <v>341.5404025221776</v>
      </c>
    </row>
    <row r="2377" spans="1:12">
      <c r="A2377" s="722" t="s">
        <v>284</v>
      </c>
      <c r="B2377" s="722">
        <v>302</v>
      </c>
      <c r="C2377" s="723">
        <v>76</v>
      </c>
      <c r="D2377" s="723">
        <v>100</v>
      </c>
      <c r="E2377" s="723">
        <v>0</v>
      </c>
      <c r="F2377" s="723">
        <v>0</v>
      </c>
      <c r="G2377" s="723">
        <v>176</v>
      </c>
      <c r="H2377" s="724">
        <v>25957.070591685493</v>
      </c>
      <c r="I2377" s="724">
        <v>34154.040252217761</v>
      </c>
      <c r="J2377" s="724">
        <v>0</v>
      </c>
      <c r="K2377" s="724">
        <v>0</v>
      </c>
      <c r="L2377" s="724">
        <v>60111.110843903254</v>
      </c>
    </row>
    <row r="2378" spans="1:12">
      <c r="A2378" s="722" t="s">
        <v>284</v>
      </c>
      <c r="B2378" s="722">
        <v>303</v>
      </c>
      <c r="C2378" s="723">
        <v>1</v>
      </c>
      <c r="D2378" s="723">
        <v>0</v>
      </c>
      <c r="E2378" s="723">
        <v>0</v>
      </c>
      <c r="F2378" s="723">
        <v>0</v>
      </c>
      <c r="G2378" s="723">
        <v>1</v>
      </c>
      <c r="H2378" s="724">
        <v>341.5404025221776</v>
      </c>
      <c r="I2378" s="724">
        <v>0</v>
      </c>
      <c r="J2378" s="724">
        <v>0</v>
      </c>
      <c r="K2378" s="724">
        <v>0</v>
      </c>
      <c r="L2378" s="724">
        <v>341.5404025221776</v>
      </c>
    </row>
    <row r="2379" spans="1:12">
      <c r="A2379" s="722" t="s">
        <v>284</v>
      </c>
      <c r="B2379" s="722">
        <v>307</v>
      </c>
      <c r="C2379" s="723">
        <v>2</v>
      </c>
      <c r="D2379" s="723">
        <v>2</v>
      </c>
      <c r="E2379" s="723">
        <v>0</v>
      </c>
      <c r="F2379" s="723">
        <v>0</v>
      </c>
      <c r="G2379" s="723">
        <v>4</v>
      </c>
      <c r="H2379" s="724">
        <v>683.0808050443552</v>
      </c>
      <c r="I2379" s="724">
        <v>683.0808050443552</v>
      </c>
      <c r="J2379" s="724">
        <v>0</v>
      </c>
      <c r="K2379" s="724">
        <v>0</v>
      </c>
      <c r="L2379" s="724">
        <v>1366.1616100887104</v>
      </c>
    </row>
    <row r="2380" spans="1:12">
      <c r="A2380" s="722" t="s">
        <v>284</v>
      </c>
      <c r="B2380" s="722">
        <v>320</v>
      </c>
      <c r="C2380" s="723">
        <v>0</v>
      </c>
      <c r="D2380" s="723">
        <v>2</v>
      </c>
      <c r="E2380" s="723">
        <v>0</v>
      </c>
      <c r="F2380" s="723">
        <v>0</v>
      </c>
      <c r="G2380" s="723">
        <v>2</v>
      </c>
      <c r="H2380" s="724">
        <v>0</v>
      </c>
      <c r="I2380" s="724">
        <v>683.0808050443552</v>
      </c>
      <c r="J2380" s="724">
        <v>0</v>
      </c>
      <c r="K2380" s="724">
        <v>0</v>
      </c>
      <c r="L2380" s="724">
        <v>683.0808050443552</v>
      </c>
    </row>
    <row r="2381" spans="1:12">
      <c r="A2381" s="722" t="s">
        <v>284</v>
      </c>
      <c r="B2381" s="722">
        <v>330</v>
      </c>
      <c r="C2381" s="723">
        <v>1</v>
      </c>
      <c r="D2381" s="723">
        <v>1</v>
      </c>
      <c r="E2381" s="723">
        <v>0</v>
      </c>
      <c r="F2381" s="723">
        <v>0</v>
      </c>
      <c r="G2381" s="723">
        <v>2</v>
      </c>
      <c r="H2381" s="724">
        <v>341.5404025221776</v>
      </c>
      <c r="I2381" s="724">
        <v>341.5404025221776</v>
      </c>
      <c r="J2381" s="724">
        <v>0</v>
      </c>
      <c r="K2381" s="724">
        <v>0</v>
      </c>
      <c r="L2381" s="724">
        <v>683.0808050443552</v>
      </c>
    </row>
    <row r="2382" spans="1:12">
      <c r="A2382" s="722" t="s">
        <v>284</v>
      </c>
      <c r="B2382" s="722">
        <v>340</v>
      </c>
      <c r="C2382" s="723">
        <v>1</v>
      </c>
      <c r="D2382" s="723">
        <v>4</v>
      </c>
      <c r="E2382" s="723">
        <v>0</v>
      </c>
      <c r="F2382" s="723">
        <v>0</v>
      </c>
      <c r="G2382" s="723">
        <v>5</v>
      </c>
      <c r="H2382" s="724">
        <v>341.5404025221776</v>
      </c>
      <c r="I2382" s="724">
        <v>1366.1616100887104</v>
      </c>
      <c r="J2382" s="724">
        <v>0</v>
      </c>
      <c r="K2382" s="724">
        <v>0</v>
      </c>
      <c r="L2382" s="724">
        <v>1707.702012610888</v>
      </c>
    </row>
    <row r="2383" spans="1:12">
      <c r="A2383" s="722" t="s">
        <v>284</v>
      </c>
      <c r="B2383" s="722">
        <v>400</v>
      </c>
      <c r="C2383" s="723">
        <v>0</v>
      </c>
      <c r="D2383" s="723">
        <v>2</v>
      </c>
      <c r="E2383" s="723">
        <v>0</v>
      </c>
      <c r="F2383" s="723">
        <v>0</v>
      </c>
      <c r="G2383" s="723">
        <v>2</v>
      </c>
      <c r="H2383" s="724">
        <v>0</v>
      </c>
      <c r="I2383" s="724">
        <v>683.0808050443552</v>
      </c>
      <c r="J2383" s="724">
        <v>0</v>
      </c>
      <c r="K2383" s="724">
        <v>0</v>
      </c>
      <c r="L2383" s="724">
        <v>683.0808050443552</v>
      </c>
    </row>
    <row r="2384" spans="1:12">
      <c r="A2384" s="722" t="s">
        <v>284</v>
      </c>
      <c r="B2384" s="722">
        <v>410</v>
      </c>
      <c r="C2384" s="723">
        <v>1</v>
      </c>
      <c r="D2384" s="723">
        <v>1</v>
      </c>
      <c r="E2384" s="723">
        <v>0</v>
      </c>
      <c r="F2384" s="723">
        <v>0</v>
      </c>
      <c r="G2384" s="723">
        <v>2</v>
      </c>
      <c r="H2384" s="724">
        <v>341.5404025221776</v>
      </c>
      <c r="I2384" s="724">
        <v>341.5404025221776</v>
      </c>
      <c r="J2384" s="724">
        <v>0</v>
      </c>
      <c r="K2384" s="724">
        <v>0</v>
      </c>
      <c r="L2384" s="724">
        <v>683.0808050443552</v>
      </c>
    </row>
    <row r="2385" spans="1:12">
      <c r="A2385" s="722" t="s">
        <v>284</v>
      </c>
      <c r="B2385" s="722">
        <v>430</v>
      </c>
      <c r="C2385" s="723">
        <v>1</v>
      </c>
      <c r="D2385" s="723">
        <v>1</v>
      </c>
      <c r="E2385" s="723">
        <v>0</v>
      </c>
      <c r="F2385" s="723">
        <v>0</v>
      </c>
      <c r="G2385" s="723">
        <v>2</v>
      </c>
      <c r="H2385" s="724">
        <v>341.5404025221776</v>
      </c>
      <c r="I2385" s="724">
        <v>341.5404025221776</v>
      </c>
      <c r="J2385" s="724">
        <v>0</v>
      </c>
      <c r="K2385" s="724">
        <v>0</v>
      </c>
      <c r="L2385" s="724">
        <v>683.0808050443552</v>
      </c>
    </row>
    <row r="2386" spans="1:12">
      <c r="A2386" s="722" t="s">
        <v>284</v>
      </c>
      <c r="B2386" s="722">
        <v>502</v>
      </c>
      <c r="C2386" s="723">
        <v>0</v>
      </c>
      <c r="D2386" s="723">
        <v>1</v>
      </c>
      <c r="E2386" s="723">
        <v>0</v>
      </c>
      <c r="F2386" s="723">
        <v>0</v>
      </c>
      <c r="G2386" s="723">
        <v>1</v>
      </c>
      <c r="H2386" s="724">
        <v>0</v>
      </c>
      <c r="I2386" s="724">
        <v>341.5404025221776</v>
      </c>
      <c r="J2386" s="724">
        <v>0</v>
      </c>
      <c r="K2386" s="724">
        <v>0</v>
      </c>
      <c r="L2386" s="724">
        <v>341.5404025221776</v>
      </c>
    </row>
    <row r="2387" spans="1:12">
      <c r="A2387" s="722" t="s">
        <v>284</v>
      </c>
      <c r="B2387" s="722">
        <v>800</v>
      </c>
      <c r="C2387" s="723">
        <v>4</v>
      </c>
      <c r="D2387" s="723">
        <v>3</v>
      </c>
      <c r="E2387" s="723">
        <v>0</v>
      </c>
      <c r="F2387" s="723">
        <v>0</v>
      </c>
      <c r="G2387" s="723">
        <v>7</v>
      </c>
      <c r="H2387" s="724">
        <v>1366.1616100887106</v>
      </c>
      <c r="I2387" s="724">
        <v>1024.621207566533</v>
      </c>
      <c r="J2387" s="724">
        <v>0</v>
      </c>
      <c r="K2387" s="724">
        <v>0</v>
      </c>
      <c r="L2387" s="724">
        <v>2390.7828176552434</v>
      </c>
    </row>
    <row r="2388" spans="1:12">
      <c r="A2388" s="722" t="s">
        <v>284</v>
      </c>
      <c r="B2388" s="722">
        <v>811</v>
      </c>
      <c r="C2388" s="723">
        <v>260</v>
      </c>
      <c r="D2388" s="723">
        <v>223</v>
      </c>
      <c r="E2388" s="723">
        <v>0</v>
      </c>
      <c r="F2388" s="723">
        <v>0</v>
      </c>
      <c r="G2388" s="723">
        <v>483</v>
      </c>
      <c r="H2388" s="724">
        <v>88800.504655766155</v>
      </c>
      <c r="I2388" s="724">
        <v>76163.509762445596</v>
      </c>
      <c r="J2388" s="724">
        <v>0</v>
      </c>
      <c r="K2388" s="724">
        <v>0</v>
      </c>
      <c r="L2388" s="724">
        <v>164964.01441821177</v>
      </c>
    </row>
    <row r="2389" spans="1:12">
      <c r="A2389" s="722" t="s">
        <v>284</v>
      </c>
      <c r="B2389" s="722">
        <v>812</v>
      </c>
      <c r="C2389" s="723">
        <v>81</v>
      </c>
      <c r="D2389" s="723">
        <v>22</v>
      </c>
      <c r="E2389" s="723">
        <v>0</v>
      </c>
      <c r="F2389" s="723">
        <v>0</v>
      </c>
      <c r="G2389" s="723">
        <v>103</v>
      </c>
      <c r="H2389" s="724">
        <v>27664.772604296388</v>
      </c>
      <c r="I2389" s="724">
        <v>7513.8888554879077</v>
      </c>
      <c r="J2389" s="724">
        <v>0</v>
      </c>
      <c r="K2389" s="724">
        <v>0</v>
      </c>
      <c r="L2389" s="724">
        <v>35178.661459784293</v>
      </c>
    </row>
    <row r="2390" spans="1:12">
      <c r="A2390" s="722" t="s">
        <v>284</v>
      </c>
      <c r="B2390" s="722">
        <v>822</v>
      </c>
      <c r="C2390" s="723">
        <v>1</v>
      </c>
      <c r="D2390" s="723">
        <v>0</v>
      </c>
      <c r="E2390" s="723">
        <v>0</v>
      </c>
      <c r="F2390" s="723">
        <v>0</v>
      </c>
      <c r="G2390" s="723">
        <v>1</v>
      </c>
      <c r="H2390" s="724">
        <v>341.5404025221776</v>
      </c>
      <c r="I2390" s="724">
        <v>0</v>
      </c>
      <c r="J2390" s="724">
        <v>0</v>
      </c>
      <c r="K2390" s="724">
        <v>0</v>
      </c>
      <c r="L2390" s="724">
        <v>341.5404025221776</v>
      </c>
    </row>
    <row r="2391" spans="1:12">
      <c r="A2391" s="722" t="s">
        <v>286</v>
      </c>
      <c r="B2391" s="722">
        <v>101</v>
      </c>
      <c r="C2391" s="723">
        <v>1</v>
      </c>
      <c r="D2391" s="723">
        <v>6</v>
      </c>
      <c r="E2391" s="723">
        <v>0</v>
      </c>
      <c r="F2391" s="723">
        <v>0</v>
      </c>
      <c r="G2391" s="723">
        <v>7</v>
      </c>
      <c r="H2391" s="724">
        <v>175.32076408742441</v>
      </c>
      <c r="I2391" s="724">
        <v>1051.9245845245464</v>
      </c>
      <c r="J2391" s="724">
        <v>0</v>
      </c>
      <c r="K2391" s="724">
        <v>0</v>
      </c>
      <c r="L2391" s="724">
        <v>1227.2453486119709</v>
      </c>
    </row>
    <row r="2392" spans="1:12">
      <c r="A2392" s="722" t="s">
        <v>286</v>
      </c>
      <c r="B2392" s="722">
        <v>110</v>
      </c>
      <c r="C2392" s="723">
        <v>5</v>
      </c>
      <c r="D2392" s="723">
        <v>5</v>
      </c>
      <c r="E2392" s="723">
        <v>0</v>
      </c>
      <c r="F2392" s="723">
        <v>0</v>
      </c>
      <c r="G2392" s="723">
        <v>10</v>
      </c>
      <c r="H2392" s="724">
        <v>876.60382043712195</v>
      </c>
      <c r="I2392" s="724">
        <v>876.60382043712195</v>
      </c>
      <c r="J2392" s="724">
        <v>0</v>
      </c>
      <c r="K2392" s="724">
        <v>0</v>
      </c>
      <c r="L2392" s="724">
        <v>1753.2076408742441</v>
      </c>
    </row>
    <row r="2393" spans="1:12">
      <c r="A2393" s="722" t="s">
        <v>286</v>
      </c>
      <c r="B2393" s="722">
        <v>140</v>
      </c>
      <c r="C2393" s="723">
        <v>1</v>
      </c>
      <c r="D2393" s="723">
        <v>0</v>
      </c>
      <c r="E2393" s="723">
        <v>0</v>
      </c>
      <c r="F2393" s="723">
        <v>0</v>
      </c>
      <c r="G2393" s="723">
        <v>1</v>
      </c>
      <c r="H2393" s="724">
        <v>175.32076408742444</v>
      </c>
      <c r="I2393" s="724">
        <v>0</v>
      </c>
      <c r="J2393" s="724">
        <v>0</v>
      </c>
      <c r="K2393" s="724">
        <v>0</v>
      </c>
      <c r="L2393" s="724">
        <v>175.32076408742444</v>
      </c>
    </row>
    <row r="2394" spans="1:12">
      <c r="A2394" s="722" t="s">
        <v>286</v>
      </c>
      <c r="B2394" s="722">
        <v>302</v>
      </c>
      <c r="C2394" s="723">
        <v>1</v>
      </c>
      <c r="D2394" s="723">
        <v>0</v>
      </c>
      <c r="E2394" s="723">
        <v>0</v>
      </c>
      <c r="F2394" s="723">
        <v>0</v>
      </c>
      <c r="G2394" s="723">
        <v>1</v>
      </c>
      <c r="H2394" s="724">
        <v>175.32076408742444</v>
      </c>
      <c r="I2394" s="724">
        <v>0</v>
      </c>
      <c r="J2394" s="724">
        <v>0</v>
      </c>
      <c r="K2394" s="724">
        <v>0</v>
      </c>
      <c r="L2394" s="724">
        <v>175.32076408742444</v>
      </c>
    </row>
    <row r="2395" spans="1:12">
      <c r="A2395" s="722" t="s">
        <v>286</v>
      </c>
      <c r="B2395" s="722">
        <v>310</v>
      </c>
      <c r="C2395" s="723">
        <v>0</v>
      </c>
      <c r="D2395" s="723">
        <v>1</v>
      </c>
      <c r="E2395" s="723">
        <v>0</v>
      </c>
      <c r="F2395" s="723">
        <v>0</v>
      </c>
      <c r="G2395" s="723">
        <v>1</v>
      </c>
      <c r="H2395" s="724">
        <v>0</v>
      </c>
      <c r="I2395" s="724">
        <v>175.32076408742444</v>
      </c>
      <c r="J2395" s="724">
        <v>0</v>
      </c>
      <c r="K2395" s="724">
        <v>0</v>
      </c>
      <c r="L2395" s="724">
        <v>175.32076408742444</v>
      </c>
    </row>
    <row r="2396" spans="1:12">
      <c r="A2396" s="722" t="s">
        <v>286</v>
      </c>
      <c r="B2396" s="722">
        <v>361</v>
      </c>
      <c r="C2396" s="723">
        <v>151</v>
      </c>
      <c r="D2396" s="723">
        <v>1</v>
      </c>
      <c r="E2396" s="723">
        <v>0</v>
      </c>
      <c r="F2396" s="723">
        <v>0</v>
      </c>
      <c r="G2396" s="723">
        <v>152</v>
      </c>
      <c r="H2396" s="724">
        <v>26473.435377201091</v>
      </c>
      <c r="I2396" s="724">
        <v>175.32076408742444</v>
      </c>
      <c r="J2396" s="724">
        <v>0</v>
      </c>
      <c r="K2396" s="724">
        <v>0</v>
      </c>
      <c r="L2396" s="724">
        <v>26648.756141288515</v>
      </c>
    </row>
    <row r="2397" spans="1:12">
      <c r="A2397" s="722" t="s">
        <v>292</v>
      </c>
      <c r="B2397" s="722">
        <v>100</v>
      </c>
      <c r="C2397" s="723">
        <v>1</v>
      </c>
      <c r="D2397" s="723">
        <v>0</v>
      </c>
      <c r="E2397" s="723">
        <v>0</v>
      </c>
      <c r="F2397" s="723">
        <v>0</v>
      </c>
      <c r="G2397" s="723">
        <v>1</v>
      </c>
      <c r="H2397" s="724">
        <v>22.351583642321845</v>
      </c>
      <c r="I2397" s="724">
        <v>0</v>
      </c>
      <c r="J2397" s="724">
        <v>0</v>
      </c>
      <c r="K2397" s="724">
        <v>0</v>
      </c>
      <c r="L2397" s="724">
        <v>22.351583642321845</v>
      </c>
    </row>
    <row r="2398" spans="1:12">
      <c r="A2398" s="722" t="s">
        <v>292</v>
      </c>
      <c r="B2398" s="722">
        <v>101</v>
      </c>
      <c r="C2398" s="723">
        <v>3</v>
      </c>
      <c r="D2398" s="723">
        <v>0</v>
      </c>
      <c r="E2398" s="723">
        <v>0</v>
      </c>
      <c r="F2398" s="723">
        <v>0</v>
      </c>
      <c r="G2398" s="723">
        <v>3</v>
      </c>
      <c r="H2398" s="724">
        <v>67.054750926965539</v>
      </c>
      <c r="I2398" s="724">
        <v>0</v>
      </c>
      <c r="J2398" s="724">
        <v>0</v>
      </c>
      <c r="K2398" s="724">
        <v>0</v>
      </c>
      <c r="L2398" s="724">
        <v>67.054750926965539</v>
      </c>
    </row>
    <row r="2399" spans="1:12">
      <c r="A2399" s="722" t="s">
        <v>292</v>
      </c>
      <c r="B2399" s="722">
        <v>107</v>
      </c>
      <c r="C2399" s="723">
        <v>0</v>
      </c>
      <c r="D2399" s="723">
        <v>1</v>
      </c>
      <c r="E2399" s="723">
        <v>0</v>
      </c>
      <c r="F2399" s="723">
        <v>0</v>
      </c>
      <c r="G2399" s="723">
        <v>1</v>
      </c>
      <c r="H2399" s="724">
        <v>0</v>
      </c>
      <c r="I2399" s="724">
        <v>22.351583642321845</v>
      </c>
      <c r="J2399" s="724">
        <v>0</v>
      </c>
      <c r="K2399" s="724">
        <v>0</v>
      </c>
      <c r="L2399" s="724">
        <v>22.351583642321845</v>
      </c>
    </row>
    <row r="2400" spans="1:12">
      <c r="A2400" s="722" t="s">
        <v>292</v>
      </c>
      <c r="B2400" s="722">
        <v>800</v>
      </c>
      <c r="C2400" s="723">
        <v>1</v>
      </c>
      <c r="D2400" s="723">
        <v>0</v>
      </c>
      <c r="E2400" s="723">
        <v>0</v>
      </c>
      <c r="F2400" s="723">
        <v>0</v>
      </c>
      <c r="G2400" s="723">
        <v>1</v>
      </c>
      <c r="H2400" s="724">
        <v>22.351583642321845</v>
      </c>
      <c r="I2400" s="724">
        <v>0</v>
      </c>
      <c r="J2400" s="724">
        <v>0</v>
      </c>
      <c r="K2400" s="724">
        <v>0</v>
      </c>
      <c r="L2400" s="724">
        <v>22.351583642321845</v>
      </c>
    </row>
    <row r="2401" spans="1:12">
      <c r="A2401" s="722" t="s">
        <v>292</v>
      </c>
      <c r="B2401" s="722">
        <v>811</v>
      </c>
      <c r="C2401" s="723">
        <v>0</v>
      </c>
      <c r="D2401" s="723">
        <v>1</v>
      </c>
      <c r="E2401" s="723">
        <v>0</v>
      </c>
      <c r="F2401" s="723">
        <v>0</v>
      </c>
      <c r="G2401" s="723">
        <v>1</v>
      </c>
      <c r="H2401" s="724">
        <v>0</v>
      </c>
      <c r="I2401" s="724">
        <v>22.351583642321845</v>
      </c>
      <c r="J2401" s="724">
        <v>0</v>
      </c>
      <c r="K2401" s="724">
        <v>0</v>
      </c>
      <c r="L2401" s="724">
        <v>22.351583642321845</v>
      </c>
    </row>
    <row r="2402" spans="1:12">
      <c r="A2402" s="722" t="s">
        <v>292</v>
      </c>
      <c r="B2402" s="722">
        <v>812</v>
      </c>
      <c r="C2402" s="723">
        <v>1</v>
      </c>
      <c r="D2402" s="723">
        <v>31</v>
      </c>
      <c r="E2402" s="723">
        <v>0</v>
      </c>
      <c r="F2402" s="723">
        <v>0</v>
      </c>
      <c r="G2402" s="723">
        <v>32</v>
      </c>
      <c r="H2402" s="724">
        <v>22.351583642321845</v>
      </c>
      <c r="I2402" s="724">
        <v>692.89909291197716</v>
      </c>
      <c r="J2402" s="724">
        <v>0</v>
      </c>
      <c r="K2402" s="724">
        <v>0</v>
      </c>
      <c r="L2402" s="724">
        <v>715.25067655429905</v>
      </c>
    </row>
    <row r="2403" spans="1:12">
      <c r="A2403" s="722" t="s">
        <v>293</v>
      </c>
      <c r="B2403" s="722">
        <v>100</v>
      </c>
      <c r="C2403" s="723">
        <v>1</v>
      </c>
      <c r="D2403" s="723">
        <v>1</v>
      </c>
      <c r="E2403" s="723">
        <v>0</v>
      </c>
      <c r="F2403" s="723">
        <v>0</v>
      </c>
      <c r="G2403" s="723">
        <v>2</v>
      </c>
      <c r="H2403" s="724">
        <v>198.03316719349849</v>
      </c>
      <c r="I2403" s="724">
        <v>198.03316719349849</v>
      </c>
      <c r="J2403" s="724">
        <v>0</v>
      </c>
      <c r="K2403" s="724">
        <v>0</v>
      </c>
      <c r="L2403" s="724">
        <v>396.06633438699697</v>
      </c>
    </row>
    <row r="2404" spans="1:12">
      <c r="A2404" s="722" t="s">
        <v>293</v>
      </c>
      <c r="B2404" s="722">
        <v>101</v>
      </c>
      <c r="C2404" s="723">
        <v>27</v>
      </c>
      <c r="D2404" s="723">
        <v>9</v>
      </c>
      <c r="E2404" s="723">
        <v>0</v>
      </c>
      <c r="F2404" s="723">
        <v>0</v>
      </c>
      <c r="G2404" s="723">
        <v>36</v>
      </c>
      <c r="H2404" s="724">
        <v>5346.8955142244586</v>
      </c>
      <c r="I2404" s="724">
        <v>1782.2985047414863</v>
      </c>
      <c r="J2404" s="724">
        <v>0</v>
      </c>
      <c r="K2404" s="724">
        <v>0</v>
      </c>
      <c r="L2404" s="724">
        <v>7129.1940189659454</v>
      </c>
    </row>
    <row r="2405" spans="1:12">
      <c r="A2405" s="722" t="s">
        <v>293</v>
      </c>
      <c r="B2405" s="722">
        <v>102</v>
      </c>
      <c r="C2405" s="723">
        <v>71</v>
      </c>
      <c r="D2405" s="723">
        <v>0</v>
      </c>
      <c r="E2405" s="723">
        <v>0</v>
      </c>
      <c r="F2405" s="723">
        <v>0</v>
      </c>
      <c r="G2405" s="723">
        <v>71</v>
      </c>
      <c r="H2405" s="724">
        <v>14060.354870738392</v>
      </c>
      <c r="I2405" s="724">
        <v>0</v>
      </c>
      <c r="J2405" s="724">
        <v>0</v>
      </c>
      <c r="K2405" s="724">
        <v>0</v>
      </c>
      <c r="L2405" s="724">
        <v>14060.354870738392</v>
      </c>
    </row>
    <row r="2406" spans="1:12">
      <c r="A2406" s="722" t="s">
        <v>293</v>
      </c>
      <c r="B2406" s="722">
        <v>110</v>
      </c>
      <c r="C2406" s="723">
        <v>2</v>
      </c>
      <c r="D2406" s="723">
        <v>0</v>
      </c>
      <c r="E2406" s="723">
        <v>0</v>
      </c>
      <c r="F2406" s="723">
        <v>0</v>
      </c>
      <c r="G2406" s="723">
        <v>2</v>
      </c>
      <c r="H2406" s="724">
        <v>396.06633438699697</v>
      </c>
      <c r="I2406" s="724">
        <v>0</v>
      </c>
      <c r="J2406" s="724">
        <v>0</v>
      </c>
      <c r="K2406" s="724">
        <v>0</v>
      </c>
      <c r="L2406" s="724">
        <v>396.06633438699697</v>
      </c>
    </row>
    <row r="2407" spans="1:12">
      <c r="A2407" s="722" t="s">
        <v>293</v>
      </c>
      <c r="B2407" s="722">
        <v>300</v>
      </c>
      <c r="C2407" s="723">
        <v>14</v>
      </c>
      <c r="D2407" s="723">
        <v>3</v>
      </c>
      <c r="E2407" s="723">
        <v>0</v>
      </c>
      <c r="F2407" s="723">
        <v>0</v>
      </c>
      <c r="G2407" s="723">
        <v>17</v>
      </c>
      <c r="H2407" s="724">
        <v>2772.4643407089789</v>
      </c>
      <c r="I2407" s="724">
        <v>594.09950158049548</v>
      </c>
      <c r="J2407" s="724">
        <v>0</v>
      </c>
      <c r="K2407" s="724">
        <v>0</v>
      </c>
      <c r="L2407" s="724">
        <v>3366.563842289474</v>
      </c>
    </row>
    <row r="2408" spans="1:12">
      <c r="A2408" s="722" t="s">
        <v>293</v>
      </c>
      <c r="B2408" s="722">
        <v>314</v>
      </c>
      <c r="C2408" s="723">
        <v>0</v>
      </c>
      <c r="D2408" s="723">
        <v>1</v>
      </c>
      <c r="E2408" s="723">
        <v>0</v>
      </c>
      <c r="F2408" s="723">
        <v>0</v>
      </c>
      <c r="G2408" s="723">
        <v>1</v>
      </c>
      <c r="H2408" s="724">
        <v>0</v>
      </c>
      <c r="I2408" s="724">
        <v>198.03316719349849</v>
      </c>
      <c r="J2408" s="724">
        <v>0</v>
      </c>
      <c r="K2408" s="724">
        <v>0</v>
      </c>
      <c r="L2408" s="724">
        <v>198.03316719349849</v>
      </c>
    </row>
    <row r="2409" spans="1:12">
      <c r="A2409" s="722" t="s">
        <v>293</v>
      </c>
      <c r="B2409" s="722">
        <v>361</v>
      </c>
      <c r="C2409" s="723">
        <v>5</v>
      </c>
      <c r="D2409" s="723">
        <v>0</v>
      </c>
      <c r="E2409" s="723">
        <v>0</v>
      </c>
      <c r="F2409" s="723">
        <v>0</v>
      </c>
      <c r="G2409" s="723">
        <v>5</v>
      </c>
      <c r="H2409" s="724">
        <v>990.1658359674924</v>
      </c>
      <c r="I2409" s="724">
        <v>0</v>
      </c>
      <c r="J2409" s="724">
        <v>0</v>
      </c>
      <c r="K2409" s="724">
        <v>0</v>
      </c>
      <c r="L2409" s="724">
        <v>990.1658359674924</v>
      </c>
    </row>
    <row r="2410" spans="1:12">
      <c r="A2410" s="722" t="s">
        <v>293</v>
      </c>
      <c r="B2410" s="722">
        <v>370</v>
      </c>
      <c r="C2410" s="723">
        <v>1</v>
      </c>
      <c r="D2410" s="723">
        <v>0</v>
      </c>
      <c r="E2410" s="723">
        <v>0</v>
      </c>
      <c r="F2410" s="723">
        <v>0</v>
      </c>
      <c r="G2410" s="723">
        <v>1</v>
      </c>
      <c r="H2410" s="724">
        <v>198.03316719349849</v>
      </c>
      <c r="I2410" s="724">
        <v>0</v>
      </c>
      <c r="J2410" s="724">
        <v>0</v>
      </c>
      <c r="K2410" s="724">
        <v>0</v>
      </c>
      <c r="L2410" s="724">
        <v>198.03316719349849</v>
      </c>
    </row>
    <row r="2411" spans="1:12">
      <c r="A2411" s="722" t="s">
        <v>293</v>
      </c>
      <c r="B2411" s="722">
        <v>410</v>
      </c>
      <c r="C2411" s="723">
        <v>56</v>
      </c>
      <c r="D2411" s="723">
        <v>14</v>
      </c>
      <c r="E2411" s="723">
        <v>0</v>
      </c>
      <c r="F2411" s="723">
        <v>0</v>
      </c>
      <c r="G2411" s="723">
        <v>70</v>
      </c>
      <c r="H2411" s="724">
        <v>11089.857362835914</v>
      </c>
      <c r="I2411" s="724">
        <v>2772.4643407089784</v>
      </c>
      <c r="J2411" s="724">
        <v>0</v>
      </c>
      <c r="K2411" s="724">
        <v>0</v>
      </c>
      <c r="L2411" s="724">
        <v>13862.321703544892</v>
      </c>
    </row>
    <row r="2412" spans="1:12">
      <c r="A2412" s="722" t="s">
        <v>293</v>
      </c>
      <c r="B2412" s="722">
        <v>503</v>
      </c>
      <c r="C2412" s="723">
        <v>2</v>
      </c>
      <c r="D2412" s="723">
        <v>0</v>
      </c>
      <c r="E2412" s="723">
        <v>0</v>
      </c>
      <c r="F2412" s="723">
        <v>0</v>
      </c>
      <c r="G2412" s="723">
        <v>2</v>
      </c>
      <c r="H2412" s="724">
        <v>396.06633438699697</v>
      </c>
      <c r="I2412" s="724">
        <v>0</v>
      </c>
      <c r="J2412" s="724">
        <v>0</v>
      </c>
      <c r="K2412" s="724">
        <v>0</v>
      </c>
      <c r="L2412" s="724">
        <v>396.06633438699697</v>
      </c>
    </row>
    <row r="2413" spans="1:12">
      <c r="A2413" s="722" t="s">
        <v>293</v>
      </c>
      <c r="B2413" s="722">
        <v>811</v>
      </c>
      <c r="C2413" s="723">
        <v>3</v>
      </c>
      <c r="D2413" s="723">
        <v>6</v>
      </c>
      <c r="E2413" s="723">
        <v>0</v>
      </c>
      <c r="F2413" s="723">
        <v>0</v>
      </c>
      <c r="G2413" s="723">
        <v>9</v>
      </c>
      <c r="H2413" s="724">
        <v>594.09950158049548</v>
      </c>
      <c r="I2413" s="724">
        <v>1188.199003160991</v>
      </c>
      <c r="J2413" s="724">
        <v>0</v>
      </c>
      <c r="K2413" s="724">
        <v>0</v>
      </c>
      <c r="L2413" s="724">
        <v>1782.2985047414863</v>
      </c>
    </row>
    <row r="2414" spans="1:12">
      <c r="A2414" s="722" t="s">
        <v>293</v>
      </c>
      <c r="B2414" s="722">
        <v>812</v>
      </c>
      <c r="C2414" s="723">
        <v>32</v>
      </c>
      <c r="D2414" s="723">
        <v>13</v>
      </c>
      <c r="E2414" s="723">
        <v>0</v>
      </c>
      <c r="F2414" s="723">
        <v>0</v>
      </c>
      <c r="G2414" s="723">
        <v>45</v>
      </c>
      <c r="H2414" s="724">
        <v>6337.0613501919515</v>
      </c>
      <c r="I2414" s="724">
        <v>2574.4311735154802</v>
      </c>
      <c r="J2414" s="724">
        <v>0</v>
      </c>
      <c r="K2414" s="724">
        <v>0</v>
      </c>
      <c r="L2414" s="724">
        <v>8911.4925237074312</v>
      </c>
    </row>
    <row r="2415" spans="1:12">
      <c r="A2415" s="722" t="s">
        <v>294</v>
      </c>
      <c r="B2415" s="722">
        <v>100</v>
      </c>
      <c r="C2415" s="723">
        <v>0</v>
      </c>
      <c r="D2415" s="723">
        <v>1</v>
      </c>
      <c r="E2415" s="723">
        <v>0</v>
      </c>
      <c r="F2415" s="723">
        <v>0</v>
      </c>
      <c r="G2415" s="723">
        <v>1</v>
      </c>
      <c r="H2415" s="724">
        <v>0</v>
      </c>
      <c r="I2415" s="724">
        <v>22.737218675873113</v>
      </c>
      <c r="J2415" s="724">
        <v>0</v>
      </c>
      <c r="K2415" s="724">
        <v>0</v>
      </c>
      <c r="L2415" s="724">
        <v>22.737218675873113</v>
      </c>
    </row>
    <row r="2416" spans="1:12">
      <c r="A2416" s="722" t="s">
        <v>294</v>
      </c>
      <c r="B2416" s="722">
        <v>110</v>
      </c>
      <c r="C2416" s="723">
        <v>1</v>
      </c>
      <c r="D2416" s="723">
        <v>0</v>
      </c>
      <c r="E2416" s="723">
        <v>0</v>
      </c>
      <c r="F2416" s="723">
        <v>0</v>
      </c>
      <c r="G2416" s="723">
        <v>1</v>
      </c>
      <c r="H2416" s="724">
        <v>22.737218675873113</v>
      </c>
      <c r="I2416" s="724">
        <v>0</v>
      </c>
      <c r="J2416" s="724">
        <v>0</v>
      </c>
      <c r="K2416" s="724">
        <v>0</v>
      </c>
      <c r="L2416" s="724">
        <v>22.737218675873113</v>
      </c>
    </row>
    <row r="2417" spans="1:12">
      <c r="A2417" s="722" t="s">
        <v>294</v>
      </c>
      <c r="B2417" s="722">
        <v>211</v>
      </c>
      <c r="C2417" s="723">
        <v>2</v>
      </c>
      <c r="D2417" s="723">
        <v>0</v>
      </c>
      <c r="E2417" s="723">
        <v>0</v>
      </c>
      <c r="F2417" s="723">
        <v>0</v>
      </c>
      <c r="G2417" s="723">
        <v>2</v>
      </c>
      <c r="H2417" s="724">
        <v>45.474437351746225</v>
      </c>
      <c r="I2417" s="724">
        <v>0</v>
      </c>
      <c r="J2417" s="724">
        <v>0</v>
      </c>
      <c r="K2417" s="724">
        <v>0</v>
      </c>
      <c r="L2417" s="724">
        <v>45.474437351746225</v>
      </c>
    </row>
    <row r="2418" spans="1:12">
      <c r="A2418" s="722" t="s">
        <v>294</v>
      </c>
      <c r="B2418" s="722">
        <v>300</v>
      </c>
      <c r="C2418" s="723">
        <v>1</v>
      </c>
      <c r="D2418" s="723">
        <v>0</v>
      </c>
      <c r="E2418" s="723">
        <v>0</v>
      </c>
      <c r="F2418" s="723">
        <v>0</v>
      </c>
      <c r="G2418" s="723">
        <v>1</v>
      </c>
      <c r="H2418" s="724">
        <v>22.737218675873113</v>
      </c>
      <c r="I2418" s="724">
        <v>0</v>
      </c>
      <c r="J2418" s="724">
        <v>0</v>
      </c>
      <c r="K2418" s="724">
        <v>0</v>
      </c>
      <c r="L2418" s="724">
        <v>22.737218675873113</v>
      </c>
    </row>
    <row r="2419" spans="1:12">
      <c r="A2419" s="722" t="s">
        <v>294</v>
      </c>
      <c r="B2419" s="722">
        <v>420</v>
      </c>
      <c r="C2419" s="723">
        <v>4</v>
      </c>
      <c r="D2419" s="723">
        <v>32</v>
      </c>
      <c r="E2419" s="723">
        <v>0</v>
      </c>
      <c r="F2419" s="723">
        <v>0</v>
      </c>
      <c r="G2419" s="723">
        <v>36</v>
      </c>
      <c r="H2419" s="724">
        <v>90.948874703492464</v>
      </c>
      <c r="I2419" s="724">
        <v>727.59099762793971</v>
      </c>
      <c r="J2419" s="724">
        <v>0</v>
      </c>
      <c r="K2419" s="724">
        <v>0</v>
      </c>
      <c r="L2419" s="724">
        <v>818.53987233143221</v>
      </c>
    </row>
    <row r="2420" spans="1:12">
      <c r="A2420" s="722" t="s">
        <v>294</v>
      </c>
      <c r="B2420" s="722">
        <v>812</v>
      </c>
      <c r="C2420" s="723">
        <v>8</v>
      </c>
      <c r="D2420" s="723">
        <v>12</v>
      </c>
      <c r="E2420" s="723">
        <v>0</v>
      </c>
      <c r="F2420" s="723">
        <v>0</v>
      </c>
      <c r="G2420" s="723">
        <v>20</v>
      </c>
      <c r="H2420" s="724">
        <v>181.89774940698493</v>
      </c>
      <c r="I2420" s="724">
        <v>272.84662411047736</v>
      </c>
      <c r="J2420" s="724">
        <v>0</v>
      </c>
      <c r="K2420" s="724">
        <v>0</v>
      </c>
      <c r="L2420" s="724">
        <v>454.74437351746229</v>
      </c>
    </row>
    <row r="2421" spans="1:12">
      <c r="A2421" s="722" t="s">
        <v>610</v>
      </c>
      <c r="B2421" s="722">
        <v>101</v>
      </c>
      <c r="C2421" s="723">
        <v>2</v>
      </c>
      <c r="D2421" s="723">
        <v>2</v>
      </c>
      <c r="E2421" s="723">
        <v>0</v>
      </c>
      <c r="F2421" s="723">
        <v>0</v>
      </c>
      <c r="G2421" s="723">
        <v>4</v>
      </c>
      <c r="H2421" s="724">
        <v>299.36903260936668</v>
      </c>
      <c r="I2421" s="724">
        <v>299.36903260936668</v>
      </c>
      <c r="J2421" s="724">
        <v>0</v>
      </c>
      <c r="K2421" s="724">
        <v>0</v>
      </c>
      <c r="L2421" s="724">
        <v>598.73806521873337</v>
      </c>
    </row>
    <row r="2422" spans="1:12">
      <c r="A2422" s="722" t="s">
        <v>610</v>
      </c>
      <c r="B2422" s="722">
        <v>171</v>
      </c>
      <c r="C2422" s="723">
        <v>2</v>
      </c>
      <c r="D2422" s="723">
        <v>0</v>
      </c>
      <c r="E2422" s="723">
        <v>0</v>
      </c>
      <c r="F2422" s="723">
        <v>0</v>
      </c>
      <c r="G2422" s="723">
        <v>2</v>
      </c>
      <c r="H2422" s="724">
        <v>299.36903260936668</v>
      </c>
      <c r="I2422" s="724">
        <v>0</v>
      </c>
      <c r="J2422" s="724">
        <v>0</v>
      </c>
      <c r="K2422" s="724">
        <v>0</v>
      </c>
      <c r="L2422" s="724">
        <v>299.36903260936668</v>
      </c>
    </row>
    <row r="2423" spans="1:12">
      <c r="A2423" s="722" t="s">
        <v>610</v>
      </c>
      <c r="B2423" s="722">
        <v>211</v>
      </c>
      <c r="C2423" s="723">
        <v>2</v>
      </c>
      <c r="D2423" s="723">
        <v>0</v>
      </c>
      <c r="E2423" s="723">
        <v>0</v>
      </c>
      <c r="F2423" s="723">
        <v>0</v>
      </c>
      <c r="G2423" s="723">
        <v>2</v>
      </c>
      <c r="H2423" s="724">
        <v>299.36903260936668</v>
      </c>
      <c r="I2423" s="724">
        <v>0</v>
      </c>
      <c r="J2423" s="724">
        <v>0</v>
      </c>
      <c r="K2423" s="724">
        <v>0</v>
      </c>
      <c r="L2423" s="724">
        <v>299.36903260936668</v>
      </c>
    </row>
    <row r="2424" spans="1:12">
      <c r="A2424" s="722" t="s">
        <v>610</v>
      </c>
      <c r="B2424" s="722">
        <v>420</v>
      </c>
      <c r="C2424" s="723">
        <v>0</v>
      </c>
      <c r="D2424" s="723">
        <v>1</v>
      </c>
      <c r="E2424" s="723">
        <v>0</v>
      </c>
      <c r="F2424" s="723">
        <v>0</v>
      </c>
      <c r="G2424" s="723">
        <v>1</v>
      </c>
      <c r="H2424" s="724">
        <v>0</v>
      </c>
      <c r="I2424" s="724">
        <v>149.68451630468334</v>
      </c>
      <c r="J2424" s="724">
        <v>0</v>
      </c>
      <c r="K2424" s="724">
        <v>0</v>
      </c>
      <c r="L2424" s="724">
        <v>149.68451630468334</v>
      </c>
    </row>
    <row r="2425" spans="1:12">
      <c r="A2425" s="722" t="s">
        <v>542</v>
      </c>
      <c r="B2425" s="722">
        <v>100</v>
      </c>
      <c r="C2425" s="723">
        <v>1</v>
      </c>
      <c r="D2425" s="723">
        <v>0</v>
      </c>
      <c r="E2425" s="723">
        <v>0</v>
      </c>
      <c r="F2425" s="723">
        <v>0</v>
      </c>
      <c r="G2425" s="723">
        <v>1</v>
      </c>
      <c r="H2425" s="724">
        <v>124.72290674183249</v>
      </c>
      <c r="I2425" s="724">
        <v>0</v>
      </c>
      <c r="J2425" s="724">
        <v>0</v>
      </c>
      <c r="K2425" s="724">
        <v>0</v>
      </c>
      <c r="L2425" s="724">
        <v>124.72290674183249</v>
      </c>
    </row>
    <row r="2426" spans="1:12">
      <c r="A2426" s="722" t="s">
        <v>542</v>
      </c>
      <c r="B2426" s="722">
        <v>101</v>
      </c>
      <c r="C2426" s="723">
        <v>562</v>
      </c>
      <c r="D2426" s="723">
        <v>116</v>
      </c>
      <c r="E2426" s="723">
        <v>0</v>
      </c>
      <c r="F2426" s="723">
        <v>0</v>
      </c>
      <c r="G2426" s="723">
        <v>678</v>
      </c>
      <c r="H2426" s="724">
        <v>70094.273588909855</v>
      </c>
      <c r="I2426" s="724">
        <v>14467.857182052569</v>
      </c>
      <c r="J2426" s="724">
        <v>0</v>
      </c>
      <c r="K2426" s="724">
        <v>0</v>
      </c>
      <c r="L2426" s="724">
        <v>84562.130770962423</v>
      </c>
    </row>
    <row r="2427" spans="1:12">
      <c r="A2427" s="722" t="s">
        <v>542</v>
      </c>
      <c r="B2427" s="722">
        <v>107</v>
      </c>
      <c r="C2427" s="723">
        <v>0</v>
      </c>
      <c r="D2427" s="723">
        <v>1</v>
      </c>
      <c r="E2427" s="723">
        <v>0</v>
      </c>
      <c r="F2427" s="723">
        <v>0</v>
      </c>
      <c r="G2427" s="723">
        <v>1</v>
      </c>
      <c r="H2427" s="724">
        <v>0</v>
      </c>
      <c r="I2427" s="724">
        <v>124.72290674183249</v>
      </c>
      <c r="J2427" s="724">
        <v>0</v>
      </c>
      <c r="K2427" s="724">
        <v>0</v>
      </c>
      <c r="L2427" s="724">
        <v>124.72290674183249</v>
      </c>
    </row>
    <row r="2428" spans="1:12">
      <c r="A2428" s="722" t="s">
        <v>542</v>
      </c>
      <c r="B2428" s="722">
        <v>120</v>
      </c>
      <c r="C2428" s="723">
        <v>0</v>
      </c>
      <c r="D2428" s="723">
        <v>1</v>
      </c>
      <c r="E2428" s="723">
        <v>0</v>
      </c>
      <c r="F2428" s="723">
        <v>0</v>
      </c>
      <c r="G2428" s="723">
        <v>1</v>
      </c>
      <c r="H2428" s="724">
        <v>0</v>
      </c>
      <c r="I2428" s="724">
        <v>124.72290674183249</v>
      </c>
      <c r="J2428" s="724">
        <v>0</v>
      </c>
      <c r="K2428" s="724">
        <v>0</v>
      </c>
      <c r="L2428" s="724">
        <v>124.72290674183249</v>
      </c>
    </row>
    <row r="2429" spans="1:12">
      <c r="A2429" s="722" t="s">
        <v>542</v>
      </c>
      <c r="B2429" s="722">
        <v>190</v>
      </c>
      <c r="C2429" s="723">
        <v>3</v>
      </c>
      <c r="D2429" s="723">
        <v>0</v>
      </c>
      <c r="E2429" s="723">
        <v>0</v>
      </c>
      <c r="F2429" s="723">
        <v>0</v>
      </c>
      <c r="G2429" s="723">
        <v>3</v>
      </c>
      <c r="H2429" s="724">
        <v>374.16872022549745</v>
      </c>
      <c r="I2429" s="724">
        <v>0</v>
      </c>
      <c r="J2429" s="724">
        <v>0</v>
      </c>
      <c r="K2429" s="724">
        <v>0</v>
      </c>
      <c r="L2429" s="724">
        <v>374.16872022549745</v>
      </c>
    </row>
    <row r="2430" spans="1:12">
      <c r="A2430" s="722" t="s">
        <v>542</v>
      </c>
      <c r="B2430" s="722">
        <v>304</v>
      </c>
      <c r="C2430" s="723">
        <v>3</v>
      </c>
      <c r="D2430" s="723">
        <v>0</v>
      </c>
      <c r="E2430" s="723">
        <v>0</v>
      </c>
      <c r="F2430" s="723">
        <v>0</v>
      </c>
      <c r="G2430" s="723">
        <v>3</v>
      </c>
      <c r="H2430" s="724">
        <v>374.16872022549745</v>
      </c>
      <c r="I2430" s="724">
        <v>0</v>
      </c>
      <c r="J2430" s="724">
        <v>0</v>
      </c>
      <c r="K2430" s="724">
        <v>0</v>
      </c>
      <c r="L2430" s="724">
        <v>374.16872022549745</v>
      </c>
    </row>
    <row r="2431" spans="1:12">
      <c r="A2431" s="722" t="s">
        <v>542</v>
      </c>
      <c r="B2431" s="722">
        <v>502</v>
      </c>
      <c r="C2431" s="723">
        <v>41</v>
      </c>
      <c r="D2431" s="723">
        <v>2</v>
      </c>
      <c r="E2431" s="723">
        <v>0</v>
      </c>
      <c r="F2431" s="723">
        <v>0</v>
      </c>
      <c r="G2431" s="723">
        <v>43</v>
      </c>
      <c r="H2431" s="724">
        <v>5113.6391764151322</v>
      </c>
      <c r="I2431" s="724">
        <v>249.44581348366498</v>
      </c>
      <c r="J2431" s="724">
        <v>0</v>
      </c>
      <c r="K2431" s="724">
        <v>0</v>
      </c>
      <c r="L2431" s="724">
        <v>5363.0849898987972</v>
      </c>
    </row>
    <row r="2432" spans="1:12">
      <c r="A2432" s="722" t="s">
        <v>542</v>
      </c>
      <c r="B2432" s="722">
        <v>800</v>
      </c>
      <c r="C2432" s="723">
        <v>1</v>
      </c>
      <c r="D2432" s="723">
        <v>0</v>
      </c>
      <c r="E2432" s="723">
        <v>0</v>
      </c>
      <c r="F2432" s="723">
        <v>0</v>
      </c>
      <c r="G2432" s="723">
        <v>1</v>
      </c>
      <c r="H2432" s="724">
        <v>124.72290674183249</v>
      </c>
      <c r="I2432" s="724">
        <v>0</v>
      </c>
      <c r="J2432" s="724">
        <v>0</v>
      </c>
      <c r="K2432" s="724">
        <v>0</v>
      </c>
      <c r="L2432" s="724">
        <v>124.72290674183249</v>
      </c>
    </row>
    <row r="2433" spans="1:12">
      <c r="A2433" s="722" t="s">
        <v>542</v>
      </c>
      <c r="B2433" s="722">
        <v>811</v>
      </c>
      <c r="C2433" s="723">
        <v>2</v>
      </c>
      <c r="D2433" s="723">
        <v>4</v>
      </c>
      <c r="E2433" s="723">
        <v>0</v>
      </c>
      <c r="F2433" s="723">
        <v>0</v>
      </c>
      <c r="G2433" s="723">
        <v>6</v>
      </c>
      <c r="H2433" s="724">
        <v>249.44581348366498</v>
      </c>
      <c r="I2433" s="724">
        <v>498.89162696732996</v>
      </c>
      <c r="J2433" s="724">
        <v>0</v>
      </c>
      <c r="K2433" s="724">
        <v>0</v>
      </c>
      <c r="L2433" s="724">
        <v>748.3374404509949</v>
      </c>
    </row>
    <row r="2434" spans="1:12">
      <c r="A2434" s="722" t="s">
        <v>542</v>
      </c>
      <c r="B2434" s="722">
        <v>812</v>
      </c>
      <c r="C2434" s="723">
        <v>0</v>
      </c>
      <c r="D2434" s="723">
        <v>8</v>
      </c>
      <c r="E2434" s="723">
        <v>0</v>
      </c>
      <c r="F2434" s="723">
        <v>0</v>
      </c>
      <c r="G2434" s="723">
        <v>8</v>
      </c>
      <c r="H2434" s="724">
        <v>0</v>
      </c>
      <c r="I2434" s="724">
        <v>997.78325393465991</v>
      </c>
      <c r="J2434" s="724">
        <v>0</v>
      </c>
      <c r="K2434" s="724">
        <v>0</v>
      </c>
      <c r="L2434" s="724">
        <v>997.78325393465991</v>
      </c>
    </row>
    <row r="2435" spans="1:12">
      <c r="A2435" s="722" t="s">
        <v>531</v>
      </c>
      <c r="B2435" s="722">
        <v>101</v>
      </c>
      <c r="C2435" s="723">
        <v>3</v>
      </c>
      <c r="D2435" s="723">
        <v>0</v>
      </c>
      <c r="E2435" s="723">
        <v>0</v>
      </c>
      <c r="F2435" s="723">
        <v>0</v>
      </c>
      <c r="G2435" s="723">
        <v>3</v>
      </c>
      <c r="H2435" s="724">
        <v>52.599539400770482</v>
      </c>
      <c r="I2435" s="724">
        <v>0</v>
      </c>
      <c r="J2435" s="724">
        <v>0</v>
      </c>
      <c r="K2435" s="724">
        <v>0</v>
      </c>
      <c r="L2435" s="724">
        <v>52.599539400770482</v>
      </c>
    </row>
    <row r="2436" spans="1:12">
      <c r="A2436" s="722" t="s">
        <v>531</v>
      </c>
      <c r="B2436" s="722">
        <v>103</v>
      </c>
      <c r="C2436" s="723">
        <v>1</v>
      </c>
      <c r="D2436" s="723">
        <v>0</v>
      </c>
      <c r="E2436" s="723">
        <v>0</v>
      </c>
      <c r="F2436" s="723">
        <v>0</v>
      </c>
      <c r="G2436" s="723">
        <v>1</v>
      </c>
      <c r="H2436" s="724">
        <v>17.533179800256828</v>
      </c>
      <c r="I2436" s="724">
        <v>0</v>
      </c>
      <c r="J2436" s="724">
        <v>0</v>
      </c>
      <c r="K2436" s="724">
        <v>0</v>
      </c>
      <c r="L2436" s="724">
        <v>17.533179800256828</v>
      </c>
    </row>
    <row r="2437" spans="1:12">
      <c r="A2437" s="722" t="s">
        <v>531</v>
      </c>
      <c r="B2437" s="722">
        <v>140</v>
      </c>
      <c r="C2437" s="723">
        <v>0</v>
      </c>
      <c r="D2437" s="723">
        <v>1</v>
      </c>
      <c r="E2437" s="723">
        <v>0</v>
      </c>
      <c r="F2437" s="723">
        <v>0</v>
      </c>
      <c r="G2437" s="723">
        <v>1</v>
      </c>
      <c r="H2437" s="724">
        <v>0</v>
      </c>
      <c r="I2437" s="724">
        <v>17.533179800256828</v>
      </c>
      <c r="J2437" s="724">
        <v>0</v>
      </c>
      <c r="K2437" s="724">
        <v>0</v>
      </c>
      <c r="L2437" s="724">
        <v>17.533179800256828</v>
      </c>
    </row>
    <row r="2438" spans="1:12">
      <c r="A2438" s="722" t="s">
        <v>531</v>
      </c>
      <c r="B2438" s="722">
        <v>320</v>
      </c>
      <c r="C2438" s="723">
        <v>2</v>
      </c>
      <c r="D2438" s="723">
        <v>0</v>
      </c>
      <c r="E2438" s="723">
        <v>0</v>
      </c>
      <c r="F2438" s="723">
        <v>0</v>
      </c>
      <c r="G2438" s="723">
        <v>2</v>
      </c>
      <c r="H2438" s="724">
        <v>35.066359600513657</v>
      </c>
      <c r="I2438" s="724">
        <v>0</v>
      </c>
      <c r="J2438" s="724">
        <v>0</v>
      </c>
      <c r="K2438" s="724">
        <v>0</v>
      </c>
      <c r="L2438" s="724">
        <v>35.066359600513657</v>
      </c>
    </row>
    <row r="2439" spans="1:12">
      <c r="A2439" s="722" t="s">
        <v>531</v>
      </c>
      <c r="B2439" s="722">
        <v>330</v>
      </c>
      <c r="C2439" s="723">
        <v>4</v>
      </c>
      <c r="D2439" s="723">
        <v>1</v>
      </c>
      <c r="E2439" s="723">
        <v>0</v>
      </c>
      <c r="F2439" s="723">
        <v>0</v>
      </c>
      <c r="G2439" s="723">
        <v>5</v>
      </c>
      <c r="H2439" s="724">
        <v>70.132719201027314</v>
      </c>
      <c r="I2439" s="724">
        <v>17.533179800256828</v>
      </c>
      <c r="J2439" s="724">
        <v>0</v>
      </c>
      <c r="K2439" s="724">
        <v>0</v>
      </c>
      <c r="L2439" s="724">
        <v>87.665899001284146</v>
      </c>
    </row>
    <row r="2440" spans="1:12">
      <c r="A2440" s="722" t="s">
        <v>531</v>
      </c>
      <c r="B2440" s="722">
        <v>410</v>
      </c>
      <c r="C2440" s="723">
        <v>103</v>
      </c>
      <c r="D2440" s="723">
        <v>45</v>
      </c>
      <c r="E2440" s="723">
        <v>0</v>
      </c>
      <c r="F2440" s="723">
        <v>0</v>
      </c>
      <c r="G2440" s="723">
        <v>148</v>
      </c>
      <c r="H2440" s="724">
        <v>1805.9175194264531</v>
      </c>
      <c r="I2440" s="724">
        <v>788.99309101155711</v>
      </c>
      <c r="J2440" s="724">
        <v>0</v>
      </c>
      <c r="K2440" s="724">
        <v>0</v>
      </c>
      <c r="L2440" s="724">
        <v>2594.9106104380103</v>
      </c>
    </row>
    <row r="2441" spans="1:12">
      <c r="A2441" s="722" t="s">
        <v>531</v>
      </c>
      <c r="B2441" s="722">
        <v>430</v>
      </c>
      <c r="C2441" s="723">
        <v>0</v>
      </c>
      <c r="D2441" s="723">
        <v>1</v>
      </c>
      <c r="E2441" s="723">
        <v>0</v>
      </c>
      <c r="F2441" s="723">
        <v>0</v>
      </c>
      <c r="G2441" s="723">
        <v>1</v>
      </c>
      <c r="H2441" s="724">
        <v>0</v>
      </c>
      <c r="I2441" s="724">
        <v>17.533179800256828</v>
      </c>
      <c r="J2441" s="724">
        <v>0</v>
      </c>
      <c r="K2441" s="724">
        <v>0</v>
      </c>
      <c r="L2441" s="724">
        <v>17.533179800256828</v>
      </c>
    </row>
    <row r="2442" spans="1:12">
      <c r="A2442" s="722" t="s">
        <v>531</v>
      </c>
      <c r="B2442" s="722">
        <v>502</v>
      </c>
      <c r="C2442" s="723">
        <v>2</v>
      </c>
      <c r="D2442" s="723">
        <v>1</v>
      </c>
      <c r="E2442" s="723">
        <v>0</v>
      </c>
      <c r="F2442" s="723">
        <v>0</v>
      </c>
      <c r="G2442" s="723">
        <v>3</v>
      </c>
      <c r="H2442" s="724">
        <v>35.066359600513657</v>
      </c>
      <c r="I2442" s="724">
        <v>17.533179800256828</v>
      </c>
      <c r="J2442" s="724">
        <v>0</v>
      </c>
      <c r="K2442" s="724">
        <v>0</v>
      </c>
      <c r="L2442" s="724">
        <v>52.599539400770482</v>
      </c>
    </row>
    <row r="2443" spans="1:12">
      <c r="A2443" s="722" t="s">
        <v>576</v>
      </c>
      <c r="B2443" s="722">
        <v>142</v>
      </c>
      <c r="C2443" s="723">
        <v>1</v>
      </c>
      <c r="D2443" s="723">
        <v>0</v>
      </c>
      <c r="E2443" s="723">
        <v>0</v>
      </c>
      <c r="F2443" s="723">
        <v>0</v>
      </c>
      <c r="G2443" s="723">
        <v>1</v>
      </c>
      <c r="H2443" s="724">
        <v>53.23638395078634</v>
      </c>
      <c r="I2443" s="724">
        <v>0</v>
      </c>
      <c r="J2443" s="724">
        <v>0</v>
      </c>
      <c r="K2443" s="724">
        <v>0</v>
      </c>
      <c r="L2443" s="724">
        <v>53.23638395078634</v>
      </c>
    </row>
    <row r="2444" spans="1:12">
      <c r="A2444" s="722" t="s">
        <v>576</v>
      </c>
      <c r="B2444" s="722">
        <v>211</v>
      </c>
      <c r="C2444" s="723">
        <v>1</v>
      </c>
      <c r="D2444" s="723">
        <v>1</v>
      </c>
      <c r="E2444" s="723">
        <v>0</v>
      </c>
      <c r="F2444" s="723">
        <v>0</v>
      </c>
      <c r="G2444" s="723">
        <v>2</v>
      </c>
      <c r="H2444" s="724">
        <v>53.23638395078634</v>
      </c>
      <c r="I2444" s="724">
        <v>53.23638395078634</v>
      </c>
      <c r="J2444" s="724">
        <v>0</v>
      </c>
      <c r="K2444" s="724">
        <v>0</v>
      </c>
      <c r="L2444" s="724">
        <v>106.47276790157268</v>
      </c>
    </row>
    <row r="2445" spans="1:12">
      <c r="A2445" s="722" t="s">
        <v>295</v>
      </c>
      <c r="B2445" s="722">
        <v>101</v>
      </c>
      <c r="C2445" s="723">
        <v>11</v>
      </c>
      <c r="D2445" s="723">
        <v>1</v>
      </c>
      <c r="E2445" s="723">
        <v>0</v>
      </c>
      <c r="F2445" s="723">
        <v>0</v>
      </c>
      <c r="G2445" s="723">
        <v>12</v>
      </c>
      <c r="H2445" s="724">
        <v>15095.911098301183</v>
      </c>
      <c r="I2445" s="724">
        <v>1372.3555543910168</v>
      </c>
      <c r="J2445" s="724">
        <v>0</v>
      </c>
      <c r="K2445" s="724">
        <v>0</v>
      </c>
      <c r="L2445" s="724">
        <v>16468.2666526922</v>
      </c>
    </row>
    <row r="2446" spans="1:12">
      <c r="A2446" s="722" t="s">
        <v>296</v>
      </c>
      <c r="B2446" s="722">
        <v>100</v>
      </c>
      <c r="C2446" s="723">
        <v>4</v>
      </c>
      <c r="D2446" s="723">
        <v>0</v>
      </c>
      <c r="E2446" s="723">
        <v>0</v>
      </c>
      <c r="F2446" s="723">
        <v>0</v>
      </c>
      <c r="G2446" s="723">
        <v>4</v>
      </c>
      <c r="H2446" s="724">
        <v>421.23734330182918</v>
      </c>
      <c r="I2446" s="724">
        <v>0</v>
      </c>
      <c r="J2446" s="724">
        <v>0</v>
      </c>
      <c r="K2446" s="724">
        <v>0</v>
      </c>
      <c r="L2446" s="724">
        <v>421.23734330182918</v>
      </c>
    </row>
    <row r="2447" spans="1:12">
      <c r="A2447" s="722" t="s">
        <v>296</v>
      </c>
      <c r="B2447" s="722">
        <v>101</v>
      </c>
      <c r="C2447" s="723">
        <v>79</v>
      </c>
      <c r="D2447" s="723">
        <v>8</v>
      </c>
      <c r="E2447" s="723">
        <v>0</v>
      </c>
      <c r="F2447" s="723">
        <v>0</v>
      </c>
      <c r="G2447" s="723">
        <v>87</v>
      </c>
      <c r="H2447" s="724">
        <v>8319.4375302111257</v>
      </c>
      <c r="I2447" s="724">
        <v>842.47468660365837</v>
      </c>
      <c r="J2447" s="724">
        <v>0</v>
      </c>
      <c r="K2447" s="724">
        <v>0</v>
      </c>
      <c r="L2447" s="724">
        <v>9161.9122168147842</v>
      </c>
    </row>
    <row r="2448" spans="1:12">
      <c r="A2448" s="722" t="s">
        <v>296</v>
      </c>
      <c r="B2448" s="722">
        <v>190</v>
      </c>
      <c r="C2448" s="723">
        <v>2</v>
      </c>
      <c r="D2448" s="723">
        <v>0</v>
      </c>
      <c r="E2448" s="723">
        <v>0</v>
      </c>
      <c r="F2448" s="723">
        <v>0</v>
      </c>
      <c r="G2448" s="723">
        <v>2</v>
      </c>
      <c r="H2448" s="724">
        <v>210.61867165091459</v>
      </c>
      <c r="I2448" s="724">
        <v>0</v>
      </c>
      <c r="J2448" s="724">
        <v>0</v>
      </c>
      <c r="K2448" s="724">
        <v>0</v>
      </c>
      <c r="L2448" s="724">
        <v>210.61867165091459</v>
      </c>
    </row>
    <row r="2449" spans="1:12">
      <c r="A2449" s="722" t="s">
        <v>296</v>
      </c>
      <c r="B2449" s="722">
        <v>191</v>
      </c>
      <c r="C2449" s="723">
        <v>1</v>
      </c>
      <c r="D2449" s="723">
        <v>0</v>
      </c>
      <c r="E2449" s="723">
        <v>0</v>
      </c>
      <c r="F2449" s="723">
        <v>0</v>
      </c>
      <c r="G2449" s="723">
        <v>1</v>
      </c>
      <c r="H2449" s="724">
        <v>105.3093358254573</v>
      </c>
      <c r="I2449" s="724">
        <v>0</v>
      </c>
      <c r="J2449" s="724">
        <v>0</v>
      </c>
      <c r="K2449" s="724">
        <v>0</v>
      </c>
      <c r="L2449" s="724">
        <v>105.3093358254573</v>
      </c>
    </row>
    <row r="2450" spans="1:12">
      <c r="A2450" s="722" t="s">
        <v>296</v>
      </c>
      <c r="B2450" s="722">
        <v>370</v>
      </c>
      <c r="C2450" s="723">
        <v>2</v>
      </c>
      <c r="D2450" s="723">
        <v>0</v>
      </c>
      <c r="E2450" s="723">
        <v>0</v>
      </c>
      <c r="F2450" s="723">
        <v>0</v>
      </c>
      <c r="G2450" s="723">
        <v>2</v>
      </c>
      <c r="H2450" s="724">
        <v>210.61867165091459</v>
      </c>
      <c r="I2450" s="724">
        <v>0</v>
      </c>
      <c r="J2450" s="724">
        <v>0</v>
      </c>
      <c r="K2450" s="724">
        <v>0</v>
      </c>
      <c r="L2450" s="724">
        <v>210.61867165091459</v>
      </c>
    </row>
    <row r="2451" spans="1:12">
      <c r="A2451" s="722" t="s">
        <v>297</v>
      </c>
      <c r="B2451" s="722">
        <v>101</v>
      </c>
      <c r="C2451" s="723">
        <v>30</v>
      </c>
      <c r="D2451" s="723">
        <v>13</v>
      </c>
      <c r="E2451" s="723">
        <v>0</v>
      </c>
      <c r="F2451" s="723">
        <v>0</v>
      </c>
      <c r="G2451" s="723">
        <v>43</v>
      </c>
      <c r="H2451" s="724">
        <v>84426.374205553453</v>
      </c>
      <c r="I2451" s="724">
        <v>36584.762155739831</v>
      </c>
      <c r="J2451" s="724">
        <v>0</v>
      </c>
      <c r="K2451" s="724">
        <v>0</v>
      </c>
      <c r="L2451" s="724">
        <v>121011.13636129328</v>
      </c>
    </row>
    <row r="2452" spans="1:12">
      <c r="A2452" s="722" t="s">
        <v>297</v>
      </c>
      <c r="B2452" s="722">
        <v>171</v>
      </c>
      <c r="C2452" s="723">
        <v>19</v>
      </c>
      <c r="D2452" s="723">
        <v>2</v>
      </c>
      <c r="E2452" s="723">
        <v>0</v>
      </c>
      <c r="F2452" s="723">
        <v>0</v>
      </c>
      <c r="G2452" s="723">
        <v>21</v>
      </c>
      <c r="H2452" s="724">
        <v>53470.036996850526</v>
      </c>
      <c r="I2452" s="724">
        <v>5628.4249470368968</v>
      </c>
      <c r="J2452" s="724">
        <v>0</v>
      </c>
      <c r="K2452" s="724">
        <v>0</v>
      </c>
      <c r="L2452" s="724">
        <v>59098.461943887414</v>
      </c>
    </row>
    <row r="2453" spans="1:12">
      <c r="A2453" s="722" t="s">
        <v>297</v>
      </c>
      <c r="B2453" s="722">
        <v>211</v>
      </c>
      <c r="C2453" s="723">
        <v>39</v>
      </c>
      <c r="D2453" s="723">
        <v>1</v>
      </c>
      <c r="E2453" s="723">
        <v>0</v>
      </c>
      <c r="F2453" s="723">
        <v>0</v>
      </c>
      <c r="G2453" s="723">
        <v>40</v>
      </c>
      <c r="H2453" s="724">
        <v>109754.2864672195</v>
      </c>
      <c r="I2453" s="724">
        <v>2814.2124735184484</v>
      </c>
      <c r="J2453" s="724">
        <v>0</v>
      </c>
      <c r="K2453" s="724">
        <v>0</v>
      </c>
      <c r="L2453" s="724">
        <v>112568.49894073793</v>
      </c>
    </row>
    <row r="2454" spans="1:12">
      <c r="A2454" s="722" t="s">
        <v>297</v>
      </c>
      <c r="B2454" s="722">
        <v>219</v>
      </c>
      <c r="C2454" s="723">
        <v>5</v>
      </c>
      <c r="D2454" s="723">
        <v>0</v>
      </c>
      <c r="E2454" s="723">
        <v>0</v>
      </c>
      <c r="F2454" s="723">
        <v>0</v>
      </c>
      <c r="G2454" s="723">
        <v>5</v>
      </c>
      <c r="H2454" s="724">
        <v>14071.062367592243</v>
      </c>
      <c r="I2454" s="724">
        <v>0</v>
      </c>
      <c r="J2454" s="724">
        <v>0</v>
      </c>
      <c r="K2454" s="724">
        <v>0</v>
      </c>
      <c r="L2454" s="724">
        <v>14071.062367592242</v>
      </c>
    </row>
    <row r="2455" spans="1:12">
      <c r="A2455" s="722" t="s">
        <v>297</v>
      </c>
      <c r="B2455" s="722">
        <v>258</v>
      </c>
      <c r="C2455" s="723">
        <v>1</v>
      </c>
      <c r="D2455" s="723">
        <v>0</v>
      </c>
      <c r="E2455" s="723">
        <v>0</v>
      </c>
      <c r="F2455" s="723">
        <v>0</v>
      </c>
      <c r="G2455" s="723">
        <v>1</v>
      </c>
      <c r="H2455" s="724">
        <v>2814.2124735184484</v>
      </c>
      <c r="I2455" s="724">
        <v>0</v>
      </c>
      <c r="J2455" s="724">
        <v>0</v>
      </c>
      <c r="K2455" s="724">
        <v>0</v>
      </c>
      <c r="L2455" s="724">
        <v>2814.2124735184484</v>
      </c>
    </row>
    <row r="2456" spans="1:12">
      <c r="A2456" s="722" t="s">
        <v>297</v>
      </c>
      <c r="B2456" s="722">
        <v>259</v>
      </c>
      <c r="C2456" s="723">
        <v>1</v>
      </c>
      <c r="D2456" s="723">
        <v>0</v>
      </c>
      <c r="E2456" s="723">
        <v>0</v>
      </c>
      <c r="F2456" s="723">
        <v>0</v>
      </c>
      <c r="G2456" s="723">
        <v>1</v>
      </c>
      <c r="H2456" s="724">
        <v>2814.2124735184484</v>
      </c>
      <c r="I2456" s="724">
        <v>0</v>
      </c>
      <c r="J2456" s="724">
        <v>0</v>
      </c>
      <c r="K2456" s="724">
        <v>0</v>
      </c>
      <c r="L2456" s="724">
        <v>2814.2124735184484</v>
      </c>
    </row>
    <row r="2457" spans="1:12">
      <c r="A2457" s="722" t="s">
        <v>297</v>
      </c>
      <c r="B2457" s="722">
        <v>420</v>
      </c>
      <c r="C2457" s="723">
        <v>14</v>
      </c>
      <c r="D2457" s="723">
        <v>3</v>
      </c>
      <c r="E2457" s="723">
        <v>0</v>
      </c>
      <c r="F2457" s="723">
        <v>0</v>
      </c>
      <c r="G2457" s="723">
        <v>17</v>
      </c>
      <c r="H2457" s="724">
        <v>39398.974629258279</v>
      </c>
      <c r="I2457" s="724">
        <v>8442.6374205553457</v>
      </c>
      <c r="J2457" s="724">
        <v>0</v>
      </c>
      <c r="K2457" s="724">
        <v>0</v>
      </c>
      <c r="L2457" s="724">
        <v>47841.612049813622</v>
      </c>
    </row>
    <row r="2458" spans="1:12">
      <c r="A2458" s="722" t="s">
        <v>297</v>
      </c>
      <c r="B2458" s="722">
        <v>501</v>
      </c>
      <c r="C2458" s="723">
        <v>1</v>
      </c>
      <c r="D2458" s="723">
        <v>2</v>
      </c>
      <c r="E2458" s="723">
        <v>0</v>
      </c>
      <c r="F2458" s="723">
        <v>0</v>
      </c>
      <c r="G2458" s="723">
        <v>3</v>
      </c>
      <c r="H2458" s="724">
        <v>2814.2124735184484</v>
      </c>
      <c r="I2458" s="724">
        <v>5628.4249470368968</v>
      </c>
      <c r="J2458" s="724">
        <v>0</v>
      </c>
      <c r="K2458" s="724">
        <v>0</v>
      </c>
      <c r="L2458" s="724">
        <v>8442.6374205553457</v>
      </c>
    </row>
    <row r="2459" spans="1:12">
      <c r="A2459" s="722" t="s">
        <v>297</v>
      </c>
      <c r="B2459" s="722">
        <v>502</v>
      </c>
      <c r="C2459" s="723">
        <v>3</v>
      </c>
      <c r="D2459" s="723">
        <v>1</v>
      </c>
      <c r="E2459" s="723">
        <v>0</v>
      </c>
      <c r="F2459" s="723">
        <v>0</v>
      </c>
      <c r="G2459" s="723">
        <v>4</v>
      </c>
      <c r="H2459" s="724">
        <v>8442.6374205553457</v>
      </c>
      <c r="I2459" s="724">
        <v>2814.2124735184484</v>
      </c>
      <c r="J2459" s="724">
        <v>0</v>
      </c>
      <c r="K2459" s="724">
        <v>0</v>
      </c>
      <c r="L2459" s="724">
        <v>11256.849894073794</v>
      </c>
    </row>
    <row r="2460" spans="1:12">
      <c r="A2460" s="722" t="s">
        <v>297</v>
      </c>
      <c r="B2460" s="722">
        <v>560</v>
      </c>
      <c r="C2460" s="723">
        <v>1</v>
      </c>
      <c r="D2460" s="723">
        <v>0</v>
      </c>
      <c r="E2460" s="723">
        <v>0</v>
      </c>
      <c r="F2460" s="723">
        <v>0</v>
      </c>
      <c r="G2460" s="723">
        <v>1</v>
      </c>
      <c r="H2460" s="724">
        <v>2814.2124735184484</v>
      </c>
      <c r="I2460" s="724">
        <v>0</v>
      </c>
      <c r="J2460" s="724">
        <v>0</v>
      </c>
      <c r="K2460" s="724">
        <v>0</v>
      </c>
      <c r="L2460" s="724">
        <v>2814.2124735184484</v>
      </c>
    </row>
    <row r="2461" spans="1:12">
      <c r="A2461" s="722" t="s">
        <v>298</v>
      </c>
      <c r="B2461" s="722">
        <v>100</v>
      </c>
      <c r="C2461" s="723">
        <v>10</v>
      </c>
      <c r="D2461" s="723">
        <v>12</v>
      </c>
      <c r="E2461" s="723">
        <v>0</v>
      </c>
      <c r="F2461" s="723">
        <v>0</v>
      </c>
      <c r="G2461" s="723">
        <v>22</v>
      </c>
      <c r="H2461" s="724">
        <v>1082.2003046650746</v>
      </c>
      <c r="I2461" s="724">
        <v>1298.6403655980896</v>
      </c>
      <c r="J2461" s="724">
        <v>0</v>
      </c>
      <c r="K2461" s="724">
        <v>0</v>
      </c>
      <c r="L2461" s="724">
        <v>2380.8406702631642</v>
      </c>
    </row>
    <row r="2462" spans="1:12">
      <c r="A2462" s="722" t="s">
        <v>298</v>
      </c>
      <c r="B2462" s="722">
        <v>101</v>
      </c>
      <c r="C2462" s="723">
        <v>2241</v>
      </c>
      <c r="D2462" s="723">
        <v>270</v>
      </c>
      <c r="E2462" s="723">
        <v>0</v>
      </c>
      <c r="F2462" s="723">
        <v>0</v>
      </c>
      <c r="G2462" s="723">
        <v>2511</v>
      </c>
      <c r="H2462" s="724">
        <v>242521.08827544321</v>
      </c>
      <c r="I2462" s="724">
        <v>29219.408225957013</v>
      </c>
      <c r="J2462" s="724">
        <v>0</v>
      </c>
      <c r="K2462" s="724">
        <v>0</v>
      </c>
      <c r="L2462" s="724">
        <v>271740.49650140025</v>
      </c>
    </row>
    <row r="2463" spans="1:12">
      <c r="A2463" s="722" t="s">
        <v>298</v>
      </c>
      <c r="B2463" s="722">
        <v>103</v>
      </c>
      <c r="C2463" s="723">
        <v>0</v>
      </c>
      <c r="D2463" s="723">
        <v>1</v>
      </c>
      <c r="E2463" s="723">
        <v>0</v>
      </c>
      <c r="F2463" s="723">
        <v>0</v>
      </c>
      <c r="G2463" s="723">
        <v>1</v>
      </c>
      <c r="H2463" s="724">
        <v>0</v>
      </c>
      <c r="I2463" s="724">
        <v>108.22003046650745</v>
      </c>
      <c r="J2463" s="724">
        <v>0</v>
      </c>
      <c r="K2463" s="724">
        <v>0</v>
      </c>
      <c r="L2463" s="724">
        <v>108.22003046650745</v>
      </c>
    </row>
    <row r="2464" spans="1:12">
      <c r="A2464" s="722" t="s">
        <v>298</v>
      </c>
      <c r="B2464" s="722">
        <v>104</v>
      </c>
      <c r="C2464" s="723">
        <v>1</v>
      </c>
      <c r="D2464" s="723">
        <v>0</v>
      </c>
      <c r="E2464" s="723">
        <v>0</v>
      </c>
      <c r="F2464" s="723">
        <v>0</v>
      </c>
      <c r="G2464" s="723">
        <v>1</v>
      </c>
      <c r="H2464" s="724">
        <v>108.22003046650745</v>
      </c>
      <c r="I2464" s="724">
        <v>0</v>
      </c>
      <c r="J2464" s="724">
        <v>0</v>
      </c>
      <c r="K2464" s="724">
        <v>0</v>
      </c>
      <c r="L2464" s="724">
        <v>108.22003046650745</v>
      </c>
    </row>
    <row r="2465" spans="1:12">
      <c r="A2465" s="722" t="s">
        <v>298</v>
      </c>
      <c r="B2465" s="722">
        <v>110</v>
      </c>
      <c r="C2465" s="723">
        <v>1</v>
      </c>
      <c r="D2465" s="723">
        <v>0</v>
      </c>
      <c r="E2465" s="723">
        <v>0</v>
      </c>
      <c r="F2465" s="723">
        <v>0</v>
      </c>
      <c r="G2465" s="723">
        <v>1</v>
      </c>
      <c r="H2465" s="724">
        <v>108.22003046650745</v>
      </c>
      <c r="I2465" s="724">
        <v>0</v>
      </c>
      <c r="J2465" s="724">
        <v>0</v>
      </c>
      <c r="K2465" s="724">
        <v>0</v>
      </c>
      <c r="L2465" s="724">
        <v>108.22003046650745</v>
      </c>
    </row>
    <row r="2466" spans="1:12">
      <c r="A2466" s="722" t="s">
        <v>298</v>
      </c>
      <c r="B2466" s="722">
        <v>120</v>
      </c>
      <c r="C2466" s="723">
        <v>2</v>
      </c>
      <c r="D2466" s="723">
        <v>1</v>
      </c>
      <c r="E2466" s="723">
        <v>0</v>
      </c>
      <c r="F2466" s="723">
        <v>0</v>
      </c>
      <c r="G2466" s="723">
        <v>3</v>
      </c>
      <c r="H2466" s="724">
        <v>216.44006093301491</v>
      </c>
      <c r="I2466" s="724">
        <v>108.22003046650745</v>
      </c>
      <c r="J2466" s="724">
        <v>0</v>
      </c>
      <c r="K2466" s="724">
        <v>0</v>
      </c>
      <c r="L2466" s="724">
        <v>324.66009139952234</v>
      </c>
    </row>
    <row r="2467" spans="1:12">
      <c r="A2467" s="722" t="s">
        <v>298</v>
      </c>
      <c r="B2467" s="722">
        <v>130</v>
      </c>
      <c r="C2467" s="723">
        <v>3</v>
      </c>
      <c r="D2467" s="723">
        <v>0</v>
      </c>
      <c r="E2467" s="723">
        <v>0</v>
      </c>
      <c r="F2467" s="723">
        <v>0</v>
      </c>
      <c r="G2467" s="723">
        <v>3</v>
      </c>
      <c r="H2467" s="724">
        <v>324.66009139952234</v>
      </c>
      <c r="I2467" s="724">
        <v>0</v>
      </c>
      <c r="J2467" s="724">
        <v>0</v>
      </c>
      <c r="K2467" s="724">
        <v>0</v>
      </c>
      <c r="L2467" s="724">
        <v>324.66009139952234</v>
      </c>
    </row>
    <row r="2468" spans="1:12">
      <c r="A2468" s="722" t="s">
        <v>298</v>
      </c>
      <c r="B2468" s="722">
        <v>140</v>
      </c>
      <c r="C2468" s="723">
        <v>0</v>
      </c>
      <c r="D2468" s="723">
        <v>1</v>
      </c>
      <c r="E2468" s="723">
        <v>0</v>
      </c>
      <c r="F2468" s="723">
        <v>0</v>
      </c>
      <c r="G2468" s="723">
        <v>1</v>
      </c>
      <c r="H2468" s="724">
        <v>0</v>
      </c>
      <c r="I2468" s="724">
        <v>108.22003046650745</v>
      </c>
      <c r="J2468" s="724">
        <v>0</v>
      </c>
      <c r="K2468" s="724">
        <v>0</v>
      </c>
      <c r="L2468" s="724">
        <v>108.22003046650745</v>
      </c>
    </row>
    <row r="2469" spans="1:12">
      <c r="A2469" s="722" t="s">
        <v>298</v>
      </c>
      <c r="B2469" s="722">
        <v>171</v>
      </c>
      <c r="C2469" s="723">
        <v>2</v>
      </c>
      <c r="D2469" s="723">
        <v>0</v>
      </c>
      <c r="E2469" s="723">
        <v>0</v>
      </c>
      <c r="F2469" s="723">
        <v>0</v>
      </c>
      <c r="G2469" s="723">
        <v>2</v>
      </c>
      <c r="H2469" s="724">
        <v>216.44006093301491</v>
      </c>
      <c r="I2469" s="724">
        <v>0</v>
      </c>
      <c r="J2469" s="724">
        <v>0</v>
      </c>
      <c r="K2469" s="724">
        <v>0</v>
      </c>
      <c r="L2469" s="724">
        <v>216.44006093301491</v>
      </c>
    </row>
    <row r="2470" spans="1:12">
      <c r="A2470" s="722" t="s">
        <v>298</v>
      </c>
      <c r="B2470" s="722">
        <v>211</v>
      </c>
      <c r="C2470" s="723">
        <v>0</v>
      </c>
      <c r="D2470" s="723">
        <v>1</v>
      </c>
      <c r="E2470" s="723">
        <v>0</v>
      </c>
      <c r="F2470" s="723">
        <v>0</v>
      </c>
      <c r="G2470" s="723">
        <v>1</v>
      </c>
      <c r="H2470" s="724">
        <v>0</v>
      </c>
      <c r="I2470" s="724">
        <v>108.22003046650745</v>
      </c>
      <c r="J2470" s="724">
        <v>0</v>
      </c>
      <c r="K2470" s="724">
        <v>0</v>
      </c>
      <c r="L2470" s="724">
        <v>108.22003046650745</v>
      </c>
    </row>
    <row r="2471" spans="1:12">
      <c r="A2471" s="722" t="s">
        <v>298</v>
      </c>
      <c r="B2471" s="722">
        <v>300</v>
      </c>
      <c r="C2471" s="723">
        <v>1</v>
      </c>
      <c r="D2471" s="723">
        <v>1</v>
      </c>
      <c r="E2471" s="723">
        <v>0</v>
      </c>
      <c r="F2471" s="723">
        <v>0</v>
      </c>
      <c r="G2471" s="723">
        <v>2</v>
      </c>
      <c r="H2471" s="724">
        <v>108.22003046650745</v>
      </c>
      <c r="I2471" s="724">
        <v>108.22003046650745</v>
      </c>
      <c r="J2471" s="724">
        <v>0</v>
      </c>
      <c r="K2471" s="724">
        <v>0</v>
      </c>
      <c r="L2471" s="724">
        <v>216.44006093301491</v>
      </c>
    </row>
    <row r="2472" spans="1:12">
      <c r="A2472" s="722" t="s">
        <v>298</v>
      </c>
      <c r="B2472" s="722">
        <v>303</v>
      </c>
      <c r="C2472" s="723">
        <v>1</v>
      </c>
      <c r="D2472" s="723">
        <v>0</v>
      </c>
      <c r="E2472" s="723">
        <v>0</v>
      </c>
      <c r="F2472" s="723">
        <v>0</v>
      </c>
      <c r="G2472" s="723">
        <v>1</v>
      </c>
      <c r="H2472" s="724">
        <v>108.22003046650745</v>
      </c>
      <c r="I2472" s="724">
        <v>0</v>
      </c>
      <c r="J2472" s="724">
        <v>0</v>
      </c>
      <c r="K2472" s="724">
        <v>0</v>
      </c>
      <c r="L2472" s="724">
        <v>108.22003046650745</v>
      </c>
    </row>
    <row r="2473" spans="1:12">
      <c r="A2473" s="722" t="s">
        <v>298</v>
      </c>
      <c r="B2473" s="722">
        <v>304</v>
      </c>
      <c r="C2473" s="723">
        <v>13</v>
      </c>
      <c r="D2473" s="723">
        <v>1</v>
      </c>
      <c r="E2473" s="723">
        <v>0</v>
      </c>
      <c r="F2473" s="723">
        <v>0</v>
      </c>
      <c r="G2473" s="723">
        <v>14</v>
      </c>
      <c r="H2473" s="724">
        <v>1406.8603960645971</v>
      </c>
      <c r="I2473" s="724">
        <v>108.22003046650745</v>
      </c>
      <c r="J2473" s="724">
        <v>0</v>
      </c>
      <c r="K2473" s="724">
        <v>0</v>
      </c>
      <c r="L2473" s="724">
        <v>1515.0804265311044</v>
      </c>
    </row>
    <row r="2474" spans="1:12">
      <c r="A2474" s="722" t="s">
        <v>298</v>
      </c>
      <c r="B2474" s="722">
        <v>314</v>
      </c>
      <c r="C2474" s="723">
        <v>2</v>
      </c>
      <c r="D2474" s="723">
        <v>5</v>
      </c>
      <c r="E2474" s="723">
        <v>0</v>
      </c>
      <c r="F2474" s="723">
        <v>0</v>
      </c>
      <c r="G2474" s="723">
        <v>7</v>
      </c>
      <c r="H2474" s="724">
        <v>216.44006093301491</v>
      </c>
      <c r="I2474" s="724">
        <v>541.10015233253728</v>
      </c>
      <c r="J2474" s="724">
        <v>0</v>
      </c>
      <c r="K2474" s="724">
        <v>0</v>
      </c>
      <c r="L2474" s="724">
        <v>757.54021326555221</v>
      </c>
    </row>
    <row r="2475" spans="1:12">
      <c r="A2475" s="722" t="s">
        <v>298</v>
      </c>
      <c r="B2475" s="722">
        <v>320</v>
      </c>
      <c r="C2475" s="723">
        <v>1</v>
      </c>
      <c r="D2475" s="723">
        <v>0</v>
      </c>
      <c r="E2475" s="723">
        <v>0</v>
      </c>
      <c r="F2475" s="723">
        <v>0</v>
      </c>
      <c r="G2475" s="723">
        <v>1</v>
      </c>
      <c r="H2475" s="724">
        <v>108.22003046650745</v>
      </c>
      <c r="I2475" s="724">
        <v>0</v>
      </c>
      <c r="J2475" s="724">
        <v>0</v>
      </c>
      <c r="K2475" s="724">
        <v>0</v>
      </c>
      <c r="L2475" s="724">
        <v>108.22003046650745</v>
      </c>
    </row>
    <row r="2476" spans="1:12">
      <c r="A2476" s="722" t="s">
        <v>298</v>
      </c>
      <c r="B2476" s="722">
        <v>323</v>
      </c>
      <c r="C2476" s="723">
        <v>492</v>
      </c>
      <c r="D2476" s="723">
        <v>10</v>
      </c>
      <c r="E2476" s="723">
        <v>0</v>
      </c>
      <c r="F2476" s="723">
        <v>0</v>
      </c>
      <c r="G2476" s="723">
        <v>502</v>
      </c>
      <c r="H2476" s="724">
        <v>53244.254989521658</v>
      </c>
      <c r="I2476" s="724">
        <v>1082.2003046650746</v>
      </c>
      <c r="J2476" s="724">
        <v>0</v>
      </c>
      <c r="K2476" s="724">
        <v>0</v>
      </c>
      <c r="L2476" s="724">
        <v>54326.455294186737</v>
      </c>
    </row>
    <row r="2477" spans="1:12">
      <c r="A2477" s="722" t="s">
        <v>298</v>
      </c>
      <c r="B2477" s="722">
        <v>340</v>
      </c>
      <c r="C2477" s="723">
        <v>4</v>
      </c>
      <c r="D2477" s="723">
        <v>0</v>
      </c>
      <c r="E2477" s="723">
        <v>0</v>
      </c>
      <c r="F2477" s="723">
        <v>0</v>
      </c>
      <c r="G2477" s="723">
        <v>4</v>
      </c>
      <c r="H2477" s="724">
        <v>432.88012186602981</v>
      </c>
      <c r="I2477" s="724">
        <v>0</v>
      </c>
      <c r="J2477" s="724">
        <v>0</v>
      </c>
      <c r="K2477" s="724">
        <v>0</v>
      </c>
      <c r="L2477" s="724">
        <v>432.88012186602981</v>
      </c>
    </row>
    <row r="2478" spans="1:12">
      <c r="A2478" s="722" t="s">
        <v>298</v>
      </c>
      <c r="B2478" s="722">
        <v>361</v>
      </c>
      <c r="C2478" s="723">
        <v>1</v>
      </c>
      <c r="D2478" s="723">
        <v>0</v>
      </c>
      <c r="E2478" s="723">
        <v>0</v>
      </c>
      <c r="F2478" s="723">
        <v>0</v>
      </c>
      <c r="G2478" s="723">
        <v>1</v>
      </c>
      <c r="H2478" s="724">
        <v>108.22003046650745</v>
      </c>
      <c r="I2478" s="724">
        <v>0</v>
      </c>
      <c r="J2478" s="724">
        <v>0</v>
      </c>
      <c r="K2478" s="724">
        <v>0</v>
      </c>
      <c r="L2478" s="724">
        <v>108.22003046650745</v>
      </c>
    </row>
    <row r="2479" spans="1:12">
      <c r="A2479" s="722" t="s">
        <v>298</v>
      </c>
      <c r="B2479" s="722">
        <v>400</v>
      </c>
      <c r="C2479" s="723">
        <v>1</v>
      </c>
      <c r="D2479" s="723">
        <v>0</v>
      </c>
      <c r="E2479" s="723">
        <v>0</v>
      </c>
      <c r="F2479" s="723">
        <v>0</v>
      </c>
      <c r="G2479" s="723">
        <v>1</v>
      </c>
      <c r="H2479" s="724">
        <v>108.22003046650745</v>
      </c>
      <c r="I2479" s="724">
        <v>0</v>
      </c>
      <c r="J2479" s="724">
        <v>0</v>
      </c>
      <c r="K2479" s="724">
        <v>0</v>
      </c>
      <c r="L2479" s="724">
        <v>108.22003046650745</v>
      </c>
    </row>
    <row r="2480" spans="1:12">
      <c r="A2480" s="722" t="s">
        <v>298</v>
      </c>
      <c r="B2480" s="722">
        <v>410</v>
      </c>
      <c r="C2480" s="723">
        <v>1</v>
      </c>
      <c r="D2480" s="723">
        <v>0</v>
      </c>
      <c r="E2480" s="723">
        <v>0</v>
      </c>
      <c r="F2480" s="723">
        <v>0</v>
      </c>
      <c r="G2480" s="723">
        <v>1</v>
      </c>
      <c r="H2480" s="724">
        <v>108.22003046650745</v>
      </c>
      <c r="I2480" s="724">
        <v>0</v>
      </c>
      <c r="J2480" s="724">
        <v>0</v>
      </c>
      <c r="K2480" s="724">
        <v>0</v>
      </c>
      <c r="L2480" s="724">
        <v>108.22003046650745</v>
      </c>
    </row>
    <row r="2481" spans="1:12">
      <c r="A2481" s="722" t="s">
        <v>298</v>
      </c>
      <c r="B2481" s="722">
        <v>430</v>
      </c>
      <c r="C2481" s="723">
        <v>1</v>
      </c>
      <c r="D2481" s="723">
        <v>0</v>
      </c>
      <c r="E2481" s="723">
        <v>0</v>
      </c>
      <c r="F2481" s="723">
        <v>0</v>
      </c>
      <c r="G2481" s="723">
        <v>1</v>
      </c>
      <c r="H2481" s="724">
        <v>108.22003046650745</v>
      </c>
      <c r="I2481" s="724">
        <v>0</v>
      </c>
      <c r="J2481" s="724">
        <v>0</v>
      </c>
      <c r="K2481" s="724">
        <v>0</v>
      </c>
      <c r="L2481" s="724">
        <v>108.22003046650745</v>
      </c>
    </row>
    <row r="2482" spans="1:12">
      <c r="A2482" s="722" t="s">
        <v>298</v>
      </c>
      <c r="B2482" s="722">
        <v>502</v>
      </c>
      <c r="C2482" s="723">
        <v>185</v>
      </c>
      <c r="D2482" s="723">
        <v>17</v>
      </c>
      <c r="E2482" s="723">
        <v>0</v>
      </c>
      <c r="F2482" s="723">
        <v>0</v>
      </c>
      <c r="G2482" s="723">
        <v>202</v>
      </c>
      <c r="H2482" s="724">
        <v>20020.705636303883</v>
      </c>
      <c r="I2482" s="724">
        <v>1839.740517930627</v>
      </c>
      <c r="J2482" s="724">
        <v>0</v>
      </c>
      <c r="K2482" s="724">
        <v>0</v>
      </c>
      <c r="L2482" s="724">
        <v>21860.446154234509</v>
      </c>
    </row>
    <row r="2483" spans="1:12">
      <c r="A2483" s="722" t="s">
        <v>298</v>
      </c>
      <c r="B2483" s="722">
        <v>503</v>
      </c>
      <c r="C2483" s="723">
        <v>1</v>
      </c>
      <c r="D2483" s="723">
        <v>0</v>
      </c>
      <c r="E2483" s="723">
        <v>0</v>
      </c>
      <c r="F2483" s="723">
        <v>0</v>
      </c>
      <c r="G2483" s="723">
        <v>1</v>
      </c>
      <c r="H2483" s="724">
        <v>108.22003046650745</v>
      </c>
      <c r="I2483" s="724">
        <v>0</v>
      </c>
      <c r="J2483" s="724">
        <v>0</v>
      </c>
      <c r="K2483" s="724">
        <v>0</v>
      </c>
      <c r="L2483" s="724">
        <v>108.22003046650745</v>
      </c>
    </row>
    <row r="2484" spans="1:12">
      <c r="A2484" s="722" t="s">
        <v>298</v>
      </c>
      <c r="B2484" s="722">
        <v>650</v>
      </c>
      <c r="C2484" s="723">
        <v>0</v>
      </c>
      <c r="D2484" s="723">
        <v>1</v>
      </c>
      <c r="E2484" s="723">
        <v>0</v>
      </c>
      <c r="F2484" s="723">
        <v>0</v>
      </c>
      <c r="G2484" s="723">
        <v>1</v>
      </c>
      <c r="H2484" s="724">
        <v>0</v>
      </c>
      <c r="I2484" s="724">
        <v>108.22003046650745</v>
      </c>
      <c r="J2484" s="724">
        <v>0</v>
      </c>
      <c r="K2484" s="724">
        <v>0</v>
      </c>
      <c r="L2484" s="724">
        <v>108.22003046650745</v>
      </c>
    </row>
    <row r="2485" spans="1:12">
      <c r="A2485" s="722" t="s">
        <v>624</v>
      </c>
      <c r="B2485" s="722">
        <v>101</v>
      </c>
      <c r="C2485" s="723">
        <v>13</v>
      </c>
      <c r="D2485" s="723">
        <v>0</v>
      </c>
      <c r="E2485" s="723">
        <v>0</v>
      </c>
      <c r="F2485" s="723">
        <v>0</v>
      </c>
      <c r="G2485" s="723">
        <v>13</v>
      </c>
      <c r="H2485" s="724">
        <v>1664.13112069776</v>
      </c>
      <c r="I2485" s="724">
        <v>0</v>
      </c>
      <c r="J2485" s="724">
        <v>0</v>
      </c>
      <c r="K2485" s="724">
        <v>0</v>
      </c>
      <c r="L2485" s="724">
        <v>1664.13112069776</v>
      </c>
    </row>
    <row r="2486" spans="1:12">
      <c r="A2486" s="722" t="s">
        <v>624</v>
      </c>
      <c r="B2486" s="722">
        <v>190</v>
      </c>
      <c r="C2486" s="723">
        <v>2</v>
      </c>
      <c r="D2486" s="723">
        <v>0</v>
      </c>
      <c r="E2486" s="723">
        <v>0</v>
      </c>
      <c r="F2486" s="723">
        <v>0</v>
      </c>
      <c r="G2486" s="723">
        <v>2</v>
      </c>
      <c r="H2486" s="724">
        <v>256.02017241504001</v>
      </c>
      <c r="I2486" s="724">
        <v>0</v>
      </c>
      <c r="J2486" s="724">
        <v>0</v>
      </c>
      <c r="K2486" s="724">
        <v>0</v>
      </c>
      <c r="L2486" s="724">
        <v>256.02017241504001</v>
      </c>
    </row>
    <row r="2487" spans="1:12">
      <c r="A2487" s="722" t="s">
        <v>299</v>
      </c>
      <c r="B2487" s="722">
        <v>100</v>
      </c>
      <c r="C2487" s="723">
        <v>1</v>
      </c>
      <c r="D2487" s="723">
        <v>0</v>
      </c>
      <c r="E2487" s="723">
        <v>0</v>
      </c>
      <c r="F2487" s="723">
        <v>0</v>
      </c>
      <c r="G2487" s="723">
        <v>1</v>
      </c>
      <c r="H2487" s="724">
        <v>75.081838850840782</v>
      </c>
      <c r="I2487" s="724">
        <v>0</v>
      </c>
      <c r="J2487" s="724">
        <v>0</v>
      </c>
      <c r="K2487" s="724">
        <v>0</v>
      </c>
      <c r="L2487" s="724">
        <v>75.081838850840782</v>
      </c>
    </row>
    <row r="2488" spans="1:12">
      <c r="A2488" s="722" t="s">
        <v>299</v>
      </c>
      <c r="B2488" s="722">
        <v>101</v>
      </c>
      <c r="C2488" s="723">
        <v>51</v>
      </c>
      <c r="D2488" s="723">
        <v>7</v>
      </c>
      <c r="E2488" s="723">
        <v>0</v>
      </c>
      <c r="F2488" s="723">
        <v>0</v>
      </c>
      <c r="G2488" s="723">
        <v>58</v>
      </c>
      <c r="H2488" s="724">
        <v>3829.1737813928794</v>
      </c>
      <c r="I2488" s="724">
        <v>525.57287195588549</v>
      </c>
      <c r="J2488" s="724">
        <v>0</v>
      </c>
      <c r="K2488" s="724">
        <v>0</v>
      </c>
      <c r="L2488" s="724">
        <v>4354.746653348765</v>
      </c>
    </row>
    <row r="2489" spans="1:12">
      <c r="A2489" s="722" t="s">
        <v>299</v>
      </c>
      <c r="B2489" s="722">
        <v>190</v>
      </c>
      <c r="C2489" s="723">
        <v>5</v>
      </c>
      <c r="D2489" s="723">
        <v>0</v>
      </c>
      <c r="E2489" s="723">
        <v>0</v>
      </c>
      <c r="F2489" s="723">
        <v>0</v>
      </c>
      <c r="G2489" s="723">
        <v>5</v>
      </c>
      <c r="H2489" s="724">
        <v>375.4091942542039</v>
      </c>
      <c r="I2489" s="724">
        <v>0</v>
      </c>
      <c r="J2489" s="724">
        <v>0</v>
      </c>
      <c r="K2489" s="724">
        <v>0</v>
      </c>
      <c r="L2489" s="724">
        <v>375.4091942542039</v>
      </c>
    </row>
    <row r="2490" spans="1:12">
      <c r="A2490" s="722" t="s">
        <v>300</v>
      </c>
      <c r="B2490" s="722">
        <v>101</v>
      </c>
      <c r="C2490" s="723">
        <v>28</v>
      </c>
      <c r="D2490" s="723">
        <v>4</v>
      </c>
      <c r="E2490" s="723">
        <v>0</v>
      </c>
      <c r="F2490" s="723">
        <v>0</v>
      </c>
      <c r="G2490" s="723">
        <v>32</v>
      </c>
      <c r="H2490" s="724">
        <v>29404.606671404781</v>
      </c>
      <c r="I2490" s="724">
        <v>4200.6580959149687</v>
      </c>
      <c r="J2490" s="724">
        <v>0</v>
      </c>
      <c r="K2490" s="724">
        <v>0</v>
      </c>
      <c r="L2490" s="724">
        <v>33605.26476731975</v>
      </c>
    </row>
    <row r="2491" spans="1:12">
      <c r="A2491" s="722" t="s">
        <v>300</v>
      </c>
      <c r="B2491" s="722">
        <v>502</v>
      </c>
      <c r="C2491" s="723">
        <v>4</v>
      </c>
      <c r="D2491" s="723">
        <v>2</v>
      </c>
      <c r="E2491" s="723">
        <v>0</v>
      </c>
      <c r="F2491" s="723">
        <v>0</v>
      </c>
      <c r="G2491" s="723">
        <v>6</v>
      </c>
      <c r="H2491" s="724">
        <v>4200.6580959149687</v>
      </c>
      <c r="I2491" s="724">
        <v>2100.3290479574844</v>
      </c>
      <c r="J2491" s="724">
        <v>0</v>
      </c>
      <c r="K2491" s="724">
        <v>0</v>
      </c>
      <c r="L2491" s="724">
        <v>6300.9871438724531</v>
      </c>
    </row>
    <row r="2492" spans="1:12">
      <c r="A2492" s="722" t="s">
        <v>301</v>
      </c>
      <c r="B2492" s="722">
        <v>101</v>
      </c>
      <c r="C2492" s="723">
        <v>13</v>
      </c>
      <c r="D2492" s="723">
        <v>1</v>
      </c>
      <c r="E2492" s="723">
        <v>0</v>
      </c>
      <c r="F2492" s="723">
        <v>0</v>
      </c>
      <c r="G2492" s="723">
        <v>14</v>
      </c>
      <c r="H2492" s="724">
        <v>700.90480114206514</v>
      </c>
      <c r="I2492" s="724">
        <v>53.915753934005004</v>
      </c>
      <c r="J2492" s="724">
        <v>0</v>
      </c>
      <c r="K2492" s="724">
        <v>0</v>
      </c>
      <c r="L2492" s="724">
        <v>754.82055507607004</v>
      </c>
    </row>
    <row r="2493" spans="1:12">
      <c r="A2493" s="722" t="s">
        <v>301</v>
      </c>
      <c r="B2493" s="722">
        <v>110</v>
      </c>
      <c r="C2493" s="723">
        <v>2</v>
      </c>
      <c r="D2493" s="723">
        <v>2</v>
      </c>
      <c r="E2493" s="723">
        <v>0</v>
      </c>
      <c r="F2493" s="723">
        <v>0</v>
      </c>
      <c r="G2493" s="723">
        <v>4</v>
      </c>
      <c r="H2493" s="724">
        <v>107.83150786801001</v>
      </c>
      <c r="I2493" s="724">
        <v>107.83150786801001</v>
      </c>
      <c r="J2493" s="724">
        <v>0</v>
      </c>
      <c r="K2493" s="724">
        <v>0</v>
      </c>
      <c r="L2493" s="724">
        <v>215.66301573602001</v>
      </c>
    </row>
    <row r="2494" spans="1:12">
      <c r="A2494" s="722" t="s">
        <v>301</v>
      </c>
      <c r="B2494" s="722">
        <v>502</v>
      </c>
      <c r="C2494" s="723">
        <v>4</v>
      </c>
      <c r="D2494" s="723">
        <v>0</v>
      </c>
      <c r="E2494" s="723">
        <v>0</v>
      </c>
      <c r="F2494" s="723">
        <v>0</v>
      </c>
      <c r="G2494" s="723">
        <v>4</v>
      </c>
      <c r="H2494" s="724">
        <v>215.66301573602001</v>
      </c>
      <c r="I2494" s="724">
        <v>0</v>
      </c>
      <c r="J2494" s="724">
        <v>0</v>
      </c>
      <c r="K2494" s="724">
        <v>0</v>
      </c>
      <c r="L2494" s="724">
        <v>215.66301573602001</v>
      </c>
    </row>
    <row r="2495" spans="1:12">
      <c r="A2495" s="722" t="s">
        <v>635</v>
      </c>
      <c r="B2495" s="722">
        <v>171</v>
      </c>
      <c r="C2495" s="723">
        <v>5</v>
      </c>
      <c r="D2495" s="723">
        <v>0</v>
      </c>
      <c r="E2495" s="723">
        <v>0</v>
      </c>
      <c r="F2495" s="723">
        <v>0</v>
      </c>
      <c r="G2495" s="723">
        <v>5</v>
      </c>
      <c r="H2495" s="724">
        <v>895.39696352823341</v>
      </c>
      <c r="I2495" s="724">
        <v>0</v>
      </c>
      <c r="J2495" s="724">
        <v>0</v>
      </c>
      <c r="K2495" s="724">
        <v>0</v>
      </c>
      <c r="L2495" s="724">
        <v>895.39696352823341</v>
      </c>
    </row>
    <row r="2496" spans="1:12">
      <c r="A2496" s="722" t="s">
        <v>635</v>
      </c>
      <c r="B2496" s="722">
        <v>211</v>
      </c>
      <c r="C2496" s="723">
        <v>1</v>
      </c>
      <c r="D2496" s="723">
        <v>0</v>
      </c>
      <c r="E2496" s="723">
        <v>0</v>
      </c>
      <c r="F2496" s="723">
        <v>0</v>
      </c>
      <c r="G2496" s="723">
        <v>1</v>
      </c>
      <c r="H2496" s="724">
        <v>179.07939270564668</v>
      </c>
      <c r="I2496" s="724">
        <v>0</v>
      </c>
      <c r="J2496" s="724">
        <v>0</v>
      </c>
      <c r="K2496" s="724">
        <v>0</v>
      </c>
      <c r="L2496" s="724">
        <v>179.07939270564668</v>
      </c>
    </row>
    <row r="2497" spans="1:12">
      <c r="A2497" s="722" t="s">
        <v>590</v>
      </c>
      <c r="B2497" s="722">
        <v>171</v>
      </c>
      <c r="C2497" s="723">
        <v>3</v>
      </c>
      <c r="D2497" s="723">
        <v>0</v>
      </c>
      <c r="E2497" s="723">
        <v>0</v>
      </c>
      <c r="F2497" s="723">
        <v>0</v>
      </c>
      <c r="G2497" s="723">
        <v>3</v>
      </c>
      <c r="H2497" s="724">
        <v>492.28542236964745</v>
      </c>
      <c r="I2497" s="724">
        <v>0</v>
      </c>
      <c r="J2497" s="724">
        <v>0</v>
      </c>
      <c r="K2497" s="724">
        <v>0</v>
      </c>
      <c r="L2497" s="724">
        <v>492.28542236964745</v>
      </c>
    </row>
    <row r="2498" spans="1:12">
      <c r="A2498" s="722" t="s">
        <v>590</v>
      </c>
      <c r="B2498" s="722">
        <v>211</v>
      </c>
      <c r="C2498" s="723">
        <v>1</v>
      </c>
      <c r="D2498" s="723">
        <v>0</v>
      </c>
      <c r="E2498" s="723">
        <v>0</v>
      </c>
      <c r="F2498" s="723">
        <v>0</v>
      </c>
      <c r="G2498" s="723">
        <v>1</v>
      </c>
      <c r="H2498" s="724">
        <v>164.09514078988249</v>
      </c>
      <c r="I2498" s="724">
        <v>0</v>
      </c>
      <c r="J2498" s="724">
        <v>0</v>
      </c>
      <c r="K2498" s="724">
        <v>0</v>
      </c>
      <c r="L2498" s="724">
        <v>164.09514078988249</v>
      </c>
    </row>
    <row r="2499" spans="1:12">
      <c r="A2499" s="722" t="s">
        <v>302</v>
      </c>
      <c r="B2499" s="722">
        <v>100</v>
      </c>
      <c r="C2499" s="723">
        <v>238</v>
      </c>
      <c r="D2499" s="723">
        <v>31</v>
      </c>
      <c r="E2499" s="723">
        <v>0</v>
      </c>
      <c r="F2499" s="723">
        <v>0</v>
      </c>
      <c r="G2499" s="723">
        <v>269</v>
      </c>
      <c r="H2499" s="724">
        <v>111234.04294409789</v>
      </c>
      <c r="I2499" s="724">
        <v>14488.467778432918</v>
      </c>
      <c r="J2499" s="724">
        <v>0</v>
      </c>
      <c r="K2499" s="724">
        <v>0</v>
      </c>
      <c r="L2499" s="724">
        <v>125722.51072253082</v>
      </c>
    </row>
    <row r="2500" spans="1:12">
      <c r="A2500" s="722" t="s">
        <v>302</v>
      </c>
      <c r="B2500" s="722">
        <v>101</v>
      </c>
      <c r="C2500" s="723">
        <v>228</v>
      </c>
      <c r="D2500" s="723">
        <v>7</v>
      </c>
      <c r="E2500" s="723">
        <v>0</v>
      </c>
      <c r="F2500" s="723">
        <v>0</v>
      </c>
      <c r="G2500" s="723">
        <v>235</v>
      </c>
      <c r="H2500" s="724">
        <v>106560.34366073244</v>
      </c>
      <c r="I2500" s="724">
        <v>3271.5894983558205</v>
      </c>
      <c r="J2500" s="724">
        <v>0</v>
      </c>
      <c r="K2500" s="724">
        <v>0</v>
      </c>
      <c r="L2500" s="724">
        <v>109831.93315908826</v>
      </c>
    </row>
    <row r="2501" spans="1:12">
      <c r="A2501" s="722" t="s">
        <v>302</v>
      </c>
      <c r="B2501" s="722">
        <v>107</v>
      </c>
      <c r="C2501" s="723">
        <v>64</v>
      </c>
      <c r="D2501" s="723">
        <v>0</v>
      </c>
      <c r="E2501" s="723">
        <v>0</v>
      </c>
      <c r="F2501" s="723">
        <v>0</v>
      </c>
      <c r="G2501" s="723">
        <v>64</v>
      </c>
      <c r="H2501" s="724">
        <v>29911.675413538931</v>
      </c>
      <c r="I2501" s="724">
        <v>0</v>
      </c>
      <c r="J2501" s="724">
        <v>0</v>
      </c>
      <c r="K2501" s="724">
        <v>0</v>
      </c>
      <c r="L2501" s="724">
        <v>29911.675413538931</v>
      </c>
    </row>
    <row r="2502" spans="1:12">
      <c r="A2502" s="722" t="s">
        <v>303</v>
      </c>
      <c r="B2502" s="722">
        <v>101</v>
      </c>
      <c r="C2502" s="723">
        <v>249</v>
      </c>
      <c r="D2502" s="723">
        <v>6</v>
      </c>
      <c r="E2502" s="723">
        <v>0</v>
      </c>
      <c r="F2502" s="723">
        <v>0</v>
      </c>
      <c r="G2502" s="723">
        <v>255</v>
      </c>
      <c r="H2502" s="724">
        <v>29567.991705718905</v>
      </c>
      <c r="I2502" s="724">
        <v>712.48172784864835</v>
      </c>
      <c r="J2502" s="724">
        <v>0</v>
      </c>
      <c r="K2502" s="724">
        <v>0</v>
      </c>
      <c r="L2502" s="724">
        <v>30280.473433567557</v>
      </c>
    </row>
    <row r="2503" spans="1:12">
      <c r="A2503" s="722" t="s">
        <v>303</v>
      </c>
      <c r="B2503" s="722">
        <v>191</v>
      </c>
      <c r="C2503" s="723">
        <v>0</v>
      </c>
      <c r="D2503" s="723">
        <v>1</v>
      </c>
      <c r="E2503" s="723">
        <v>0</v>
      </c>
      <c r="F2503" s="723">
        <v>0</v>
      </c>
      <c r="G2503" s="723">
        <v>1</v>
      </c>
      <c r="H2503" s="724">
        <v>0</v>
      </c>
      <c r="I2503" s="724">
        <v>118.74695464144141</v>
      </c>
      <c r="J2503" s="724">
        <v>0</v>
      </c>
      <c r="K2503" s="724">
        <v>0</v>
      </c>
      <c r="L2503" s="724">
        <v>118.74695464144141</v>
      </c>
    </row>
    <row r="2504" spans="1:12">
      <c r="A2504" s="722" t="s">
        <v>304</v>
      </c>
      <c r="B2504" s="722">
        <v>101</v>
      </c>
      <c r="C2504" s="723">
        <v>3</v>
      </c>
      <c r="D2504" s="723">
        <v>1</v>
      </c>
      <c r="E2504" s="723">
        <v>0</v>
      </c>
      <c r="F2504" s="723">
        <v>0</v>
      </c>
      <c r="G2504" s="723">
        <v>4</v>
      </c>
      <c r="H2504" s="724">
        <v>425.81976270231985</v>
      </c>
      <c r="I2504" s="724">
        <v>141.93992090077327</v>
      </c>
      <c r="J2504" s="724">
        <v>0</v>
      </c>
      <c r="K2504" s="724">
        <v>0</v>
      </c>
      <c r="L2504" s="724">
        <v>567.75968360309309</v>
      </c>
    </row>
    <row r="2505" spans="1:12">
      <c r="A2505" s="722" t="s">
        <v>304</v>
      </c>
      <c r="B2505" s="722">
        <v>410</v>
      </c>
      <c r="C2505" s="723">
        <v>1</v>
      </c>
      <c r="D2505" s="723">
        <v>0</v>
      </c>
      <c r="E2505" s="723">
        <v>0</v>
      </c>
      <c r="F2505" s="723">
        <v>0</v>
      </c>
      <c r="G2505" s="723">
        <v>1</v>
      </c>
      <c r="H2505" s="724">
        <v>141.93992090077327</v>
      </c>
      <c r="I2505" s="724">
        <v>0</v>
      </c>
      <c r="J2505" s="724">
        <v>0</v>
      </c>
      <c r="K2505" s="724">
        <v>0</v>
      </c>
      <c r="L2505" s="724">
        <v>141.93992090077327</v>
      </c>
    </row>
    <row r="2506" spans="1:12">
      <c r="A2506" s="722" t="s">
        <v>304</v>
      </c>
      <c r="B2506" s="722">
        <v>502</v>
      </c>
      <c r="C2506" s="723">
        <v>1</v>
      </c>
      <c r="D2506" s="723">
        <v>1</v>
      </c>
      <c r="E2506" s="723">
        <v>0</v>
      </c>
      <c r="F2506" s="723">
        <v>0</v>
      </c>
      <c r="G2506" s="723">
        <v>2</v>
      </c>
      <c r="H2506" s="724">
        <v>141.93992090077327</v>
      </c>
      <c r="I2506" s="724">
        <v>141.93992090077327</v>
      </c>
      <c r="J2506" s="724">
        <v>0</v>
      </c>
      <c r="K2506" s="724">
        <v>0</v>
      </c>
      <c r="L2506" s="724">
        <v>283.87984180154655</v>
      </c>
    </row>
    <row r="2507" spans="1:12">
      <c r="A2507" s="722" t="s">
        <v>602</v>
      </c>
      <c r="B2507" s="722">
        <v>100</v>
      </c>
      <c r="C2507" s="723">
        <v>10</v>
      </c>
      <c r="D2507" s="723">
        <v>2</v>
      </c>
      <c r="E2507" s="723">
        <v>0</v>
      </c>
      <c r="F2507" s="723">
        <v>0</v>
      </c>
      <c r="G2507" s="723">
        <v>12</v>
      </c>
      <c r="H2507" s="724">
        <v>12357.322871096358</v>
      </c>
      <c r="I2507" s="724">
        <v>2471.4645742192711</v>
      </c>
      <c r="J2507" s="724">
        <v>0</v>
      </c>
      <c r="K2507" s="724">
        <v>0</v>
      </c>
      <c r="L2507" s="724">
        <v>14828.787445315627</v>
      </c>
    </row>
    <row r="2508" spans="1:12">
      <c r="A2508" s="722" t="s">
        <v>602</v>
      </c>
      <c r="B2508" s="722">
        <v>101</v>
      </c>
      <c r="C2508" s="723">
        <v>292</v>
      </c>
      <c r="D2508" s="723">
        <v>177</v>
      </c>
      <c r="E2508" s="723">
        <v>0</v>
      </c>
      <c r="F2508" s="723">
        <v>0</v>
      </c>
      <c r="G2508" s="723">
        <v>469</v>
      </c>
      <c r="H2508" s="724">
        <v>360833.82783601363</v>
      </c>
      <c r="I2508" s="724">
        <v>218724.61481840551</v>
      </c>
      <c r="J2508" s="724">
        <v>0</v>
      </c>
      <c r="K2508" s="724">
        <v>0</v>
      </c>
      <c r="L2508" s="724">
        <v>579558.44265441911</v>
      </c>
    </row>
    <row r="2509" spans="1:12">
      <c r="A2509" s="722" t="s">
        <v>602</v>
      </c>
      <c r="B2509" s="722">
        <v>110</v>
      </c>
      <c r="C2509" s="723">
        <v>3</v>
      </c>
      <c r="D2509" s="723">
        <v>0</v>
      </c>
      <c r="E2509" s="723">
        <v>0</v>
      </c>
      <c r="F2509" s="723">
        <v>0</v>
      </c>
      <c r="G2509" s="723">
        <v>3</v>
      </c>
      <c r="H2509" s="724">
        <v>3707.1968613289068</v>
      </c>
      <c r="I2509" s="724">
        <v>0</v>
      </c>
      <c r="J2509" s="724">
        <v>0</v>
      </c>
      <c r="K2509" s="724">
        <v>0</v>
      </c>
      <c r="L2509" s="724">
        <v>3707.1968613289068</v>
      </c>
    </row>
    <row r="2510" spans="1:12">
      <c r="A2510" s="722" t="s">
        <v>602</v>
      </c>
      <c r="B2510" s="722">
        <v>120</v>
      </c>
      <c r="C2510" s="723">
        <v>1</v>
      </c>
      <c r="D2510" s="723">
        <v>1</v>
      </c>
      <c r="E2510" s="723">
        <v>0</v>
      </c>
      <c r="F2510" s="723">
        <v>0</v>
      </c>
      <c r="G2510" s="723">
        <v>2</v>
      </c>
      <c r="H2510" s="724">
        <v>1235.7322871096355</v>
      </c>
      <c r="I2510" s="724">
        <v>1235.7322871096355</v>
      </c>
      <c r="J2510" s="724">
        <v>0</v>
      </c>
      <c r="K2510" s="724">
        <v>0</v>
      </c>
      <c r="L2510" s="724">
        <v>2471.4645742192711</v>
      </c>
    </row>
    <row r="2511" spans="1:12">
      <c r="A2511" s="722" t="s">
        <v>602</v>
      </c>
      <c r="B2511" s="722">
        <v>130</v>
      </c>
      <c r="C2511" s="723">
        <v>2</v>
      </c>
      <c r="D2511" s="723">
        <v>0</v>
      </c>
      <c r="E2511" s="723">
        <v>0</v>
      </c>
      <c r="F2511" s="723">
        <v>0</v>
      </c>
      <c r="G2511" s="723">
        <v>2</v>
      </c>
      <c r="H2511" s="724">
        <v>2471.4645742192711</v>
      </c>
      <c r="I2511" s="724">
        <v>0</v>
      </c>
      <c r="J2511" s="724">
        <v>0</v>
      </c>
      <c r="K2511" s="724">
        <v>0</v>
      </c>
      <c r="L2511" s="724">
        <v>2471.4645742192711</v>
      </c>
    </row>
    <row r="2512" spans="1:12">
      <c r="A2512" s="722" t="s">
        <v>602</v>
      </c>
      <c r="B2512" s="722">
        <v>142</v>
      </c>
      <c r="C2512" s="723">
        <v>3</v>
      </c>
      <c r="D2512" s="723">
        <v>0</v>
      </c>
      <c r="E2512" s="723">
        <v>0</v>
      </c>
      <c r="F2512" s="723">
        <v>0</v>
      </c>
      <c r="G2512" s="723">
        <v>3</v>
      </c>
      <c r="H2512" s="724">
        <v>3707.1968613289068</v>
      </c>
      <c r="I2512" s="724">
        <v>0</v>
      </c>
      <c r="J2512" s="724">
        <v>0</v>
      </c>
      <c r="K2512" s="724">
        <v>0</v>
      </c>
      <c r="L2512" s="724">
        <v>3707.1968613289068</v>
      </c>
    </row>
    <row r="2513" spans="1:12">
      <c r="A2513" s="722" t="s">
        <v>602</v>
      </c>
      <c r="B2513" s="722">
        <v>143</v>
      </c>
      <c r="C2513" s="723">
        <v>6</v>
      </c>
      <c r="D2513" s="723">
        <v>0</v>
      </c>
      <c r="E2513" s="723">
        <v>0</v>
      </c>
      <c r="F2513" s="723">
        <v>0</v>
      </c>
      <c r="G2513" s="723">
        <v>6</v>
      </c>
      <c r="H2513" s="724">
        <v>7414.3937226578137</v>
      </c>
      <c r="I2513" s="724">
        <v>0</v>
      </c>
      <c r="J2513" s="724">
        <v>0</v>
      </c>
      <c r="K2513" s="724">
        <v>0</v>
      </c>
      <c r="L2513" s="724">
        <v>7414.3937226578137</v>
      </c>
    </row>
    <row r="2514" spans="1:12">
      <c r="A2514" s="722" t="s">
        <v>602</v>
      </c>
      <c r="B2514" s="722">
        <v>144</v>
      </c>
      <c r="C2514" s="723">
        <v>1</v>
      </c>
      <c r="D2514" s="723">
        <v>0</v>
      </c>
      <c r="E2514" s="723">
        <v>0</v>
      </c>
      <c r="F2514" s="723">
        <v>0</v>
      </c>
      <c r="G2514" s="723">
        <v>1</v>
      </c>
      <c r="H2514" s="724">
        <v>1235.7322871096355</v>
      </c>
      <c r="I2514" s="724">
        <v>0</v>
      </c>
      <c r="J2514" s="724">
        <v>0</v>
      </c>
      <c r="K2514" s="724">
        <v>0</v>
      </c>
      <c r="L2514" s="724">
        <v>1235.7322871096355</v>
      </c>
    </row>
    <row r="2515" spans="1:12">
      <c r="A2515" s="722" t="s">
        <v>602</v>
      </c>
      <c r="B2515" s="722">
        <v>160</v>
      </c>
      <c r="C2515" s="723">
        <v>3</v>
      </c>
      <c r="D2515" s="723">
        <v>0</v>
      </c>
      <c r="E2515" s="723">
        <v>0</v>
      </c>
      <c r="F2515" s="723">
        <v>0</v>
      </c>
      <c r="G2515" s="723">
        <v>3</v>
      </c>
      <c r="H2515" s="724">
        <v>3707.1968613289068</v>
      </c>
      <c r="I2515" s="724">
        <v>0</v>
      </c>
      <c r="J2515" s="724">
        <v>0</v>
      </c>
      <c r="K2515" s="724">
        <v>0</v>
      </c>
      <c r="L2515" s="724">
        <v>3707.1968613289068</v>
      </c>
    </row>
    <row r="2516" spans="1:12">
      <c r="A2516" s="722" t="s">
        <v>602</v>
      </c>
      <c r="B2516" s="722">
        <v>171</v>
      </c>
      <c r="C2516" s="723">
        <v>355</v>
      </c>
      <c r="D2516" s="723">
        <v>30</v>
      </c>
      <c r="E2516" s="723">
        <v>0</v>
      </c>
      <c r="F2516" s="723">
        <v>0</v>
      </c>
      <c r="G2516" s="723">
        <v>385</v>
      </c>
      <c r="H2516" s="724">
        <v>438684.96192392067</v>
      </c>
      <c r="I2516" s="724">
        <v>37071.968613289071</v>
      </c>
      <c r="J2516" s="724">
        <v>0</v>
      </c>
      <c r="K2516" s="724">
        <v>0</v>
      </c>
      <c r="L2516" s="724">
        <v>475756.93053720973</v>
      </c>
    </row>
    <row r="2517" spans="1:12">
      <c r="A2517" s="722" t="s">
        <v>602</v>
      </c>
      <c r="B2517" s="722">
        <v>211</v>
      </c>
      <c r="C2517" s="723">
        <v>1168</v>
      </c>
      <c r="D2517" s="723">
        <v>230</v>
      </c>
      <c r="E2517" s="723">
        <v>0</v>
      </c>
      <c r="F2517" s="723">
        <v>0</v>
      </c>
      <c r="G2517" s="723">
        <v>1398</v>
      </c>
      <c r="H2517" s="724">
        <v>1443335.3113440545</v>
      </c>
      <c r="I2517" s="724">
        <v>284218.42603521619</v>
      </c>
      <c r="J2517" s="724">
        <v>0</v>
      </c>
      <c r="K2517" s="724">
        <v>0</v>
      </c>
      <c r="L2517" s="724">
        <v>1727553.7373792706</v>
      </c>
    </row>
    <row r="2518" spans="1:12">
      <c r="A2518" s="722" t="s">
        <v>602</v>
      </c>
      <c r="B2518" s="722">
        <v>215</v>
      </c>
      <c r="C2518" s="723">
        <v>1</v>
      </c>
      <c r="D2518" s="723">
        <v>1</v>
      </c>
      <c r="E2518" s="723">
        <v>0</v>
      </c>
      <c r="F2518" s="723">
        <v>0</v>
      </c>
      <c r="G2518" s="723">
        <v>2</v>
      </c>
      <c r="H2518" s="724">
        <v>1235.7322871096355</v>
      </c>
      <c r="I2518" s="724">
        <v>1235.7322871096355</v>
      </c>
      <c r="J2518" s="724">
        <v>0</v>
      </c>
      <c r="K2518" s="724">
        <v>0</v>
      </c>
      <c r="L2518" s="724">
        <v>2471.4645742192711</v>
      </c>
    </row>
    <row r="2519" spans="1:12">
      <c r="A2519" s="722" t="s">
        <v>602</v>
      </c>
      <c r="B2519" s="722">
        <v>216</v>
      </c>
      <c r="C2519" s="723">
        <v>0</v>
      </c>
      <c r="D2519" s="723">
        <v>1</v>
      </c>
      <c r="E2519" s="723">
        <v>0</v>
      </c>
      <c r="F2519" s="723">
        <v>0</v>
      </c>
      <c r="G2519" s="723">
        <v>1</v>
      </c>
      <c r="H2519" s="724">
        <v>0</v>
      </c>
      <c r="I2519" s="724">
        <v>1235.7322871096355</v>
      </c>
      <c r="J2519" s="724">
        <v>0</v>
      </c>
      <c r="K2519" s="724">
        <v>0</v>
      </c>
      <c r="L2519" s="724">
        <v>1235.7322871096355</v>
      </c>
    </row>
    <row r="2520" spans="1:12">
      <c r="A2520" s="722" t="s">
        <v>602</v>
      </c>
      <c r="B2520" s="722">
        <v>219</v>
      </c>
      <c r="C2520" s="723">
        <v>0</v>
      </c>
      <c r="D2520" s="723">
        <v>1</v>
      </c>
      <c r="E2520" s="723">
        <v>0</v>
      </c>
      <c r="F2520" s="723">
        <v>0</v>
      </c>
      <c r="G2520" s="723">
        <v>1</v>
      </c>
      <c r="H2520" s="724">
        <v>0</v>
      </c>
      <c r="I2520" s="724">
        <v>1235.7322871096355</v>
      </c>
      <c r="J2520" s="724">
        <v>0</v>
      </c>
      <c r="K2520" s="724">
        <v>0</v>
      </c>
      <c r="L2520" s="724">
        <v>1235.7322871096355</v>
      </c>
    </row>
    <row r="2521" spans="1:12">
      <c r="A2521" s="722" t="s">
        <v>602</v>
      </c>
      <c r="B2521" s="722">
        <v>251</v>
      </c>
      <c r="C2521" s="723">
        <v>2</v>
      </c>
      <c r="D2521" s="723">
        <v>0</v>
      </c>
      <c r="E2521" s="723">
        <v>0</v>
      </c>
      <c r="F2521" s="723">
        <v>0</v>
      </c>
      <c r="G2521" s="723">
        <v>2</v>
      </c>
      <c r="H2521" s="724">
        <v>2471.4645742192711</v>
      </c>
      <c r="I2521" s="724">
        <v>0</v>
      </c>
      <c r="J2521" s="724">
        <v>0</v>
      </c>
      <c r="K2521" s="724">
        <v>0</v>
      </c>
      <c r="L2521" s="724">
        <v>2471.4645742192711</v>
      </c>
    </row>
    <row r="2522" spans="1:12">
      <c r="A2522" s="722" t="s">
        <v>602</v>
      </c>
      <c r="B2522" s="722">
        <v>252</v>
      </c>
      <c r="C2522" s="723">
        <v>0</v>
      </c>
      <c r="D2522" s="723">
        <v>1</v>
      </c>
      <c r="E2522" s="723">
        <v>0</v>
      </c>
      <c r="F2522" s="723">
        <v>0</v>
      </c>
      <c r="G2522" s="723">
        <v>1</v>
      </c>
      <c r="H2522" s="724">
        <v>0</v>
      </c>
      <c r="I2522" s="724">
        <v>1235.7322871096355</v>
      </c>
      <c r="J2522" s="724">
        <v>0</v>
      </c>
      <c r="K2522" s="724">
        <v>0</v>
      </c>
      <c r="L2522" s="724">
        <v>1235.7322871096355</v>
      </c>
    </row>
    <row r="2523" spans="1:12">
      <c r="A2523" s="722" t="s">
        <v>602</v>
      </c>
      <c r="B2523" s="722">
        <v>253</v>
      </c>
      <c r="C2523" s="723">
        <v>2</v>
      </c>
      <c r="D2523" s="723">
        <v>0</v>
      </c>
      <c r="E2523" s="723">
        <v>0</v>
      </c>
      <c r="F2523" s="723">
        <v>0</v>
      </c>
      <c r="G2523" s="723">
        <v>2</v>
      </c>
      <c r="H2523" s="724">
        <v>2471.4645742192711</v>
      </c>
      <c r="I2523" s="724">
        <v>0</v>
      </c>
      <c r="J2523" s="724">
        <v>0</v>
      </c>
      <c r="K2523" s="724">
        <v>0</v>
      </c>
      <c r="L2523" s="724">
        <v>2471.4645742192711</v>
      </c>
    </row>
    <row r="2524" spans="1:12">
      <c r="A2524" s="722" t="s">
        <v>602</v>
      </c>
      <c r="B2524" s="722">
        <v>255</v>
      </c>
      <c r="C2524" s="723">
        <v>2</v>
      </c>
      <c r="D2524" s="723">
        <v>1</v>
      </c>
      <c r="E2524" s="723">
        <v>0</v>
      </c>
      <c r="F2524" s="723">
        <v>0</v>
      </c>
      <c r="G2524" s="723">
        <v>3</v>
      </c>
      <c r="H2524" s="724">
        <v>2471.4645742192711</v>
      </c>
      <c r="I2524" s="724">
        <v>1235.7322871096355</v>
      </c>
      <c r="J2524" s="724">
        <v>0</v>
      </c>
      <c r="K2524" s="724">
        <v>0</v>
      </c>
      <c r="L2524" s="724">
        <v>3707.1968613289068</v>
      </c>
    </row>
    <row r="2525" spans="1:12">
      <c r="A2525" s="722" t="s">
        <v>602</v>
      </c>
      <c r="B2525" s="722">
        <v>258</v>
      </c>
      <c r="C2525" s="723">
        <v>2</v>
      </c>
      <c r="D2525" s="723">
        <v>0</v>
      </c>
      <c r="E2525" s="723">
        <v>0</v>
      </c>
      <c r="F2525" s="723">
        <v>0</v>
      </c>
      <c r="G2525" s="723">
        <v>2</v>
      </c>
      <c r="H2525" s="724">
        <v>2471.4645742192711</v>
      </c>
      <c r="I2525" s="724">
        <v>0</v>
      </c>
      <c r="J2525" s="724">
        <v>0</v>
      </c>
      <c r="K2525" s="724">
        <v>0</v>
      </c>
      <c r="L2525" s="724">
        <v>2471.4645742192711</v>
      </c>
    </row>
    <row r="2526" spans="1:12">
      <c r="A2526" s="722" t="s">
        <v>602</v>
      </c>
      <c r="B2526" s="722">
        <v>259</v>
      </c>
      <c r="C2526" s="723">
        <v>12</v>
      </c>
      <c r="D2526" s="723">
        <v>2</v>
      </c>
      <c r="E2526" s="723">
        <v>0</v>
      </c>
      <c r="F2526" s="723">
        <v>0</v>
      </c>
      <c r="G2526" s="723">
        <v>14</v>
      </c>
      <c r="H2526" s="724">
        <v>14828.787445315627</v>
      </c>
      <c r="I2526" s="724">
        <v>2471.4645742192711</v>
      </c>
      <c r="J2526" s="724">
        <v>0</v>
      </c>
      <c r="K2526" s="724">
        <v>0</v>
      </c>
      <c r="L2526" s="724">
        <v>17300.252019534899</v>
      </c>
    </row>
    <row r="2527" spans="1:12">
      <c r="A2527" s="722" t="s">
        <v>602</v>
      </c>
      <c r="B2527" s="722">
        <v>262</v>
      </c>
      <c r="C2527" s="723">
        <v>1</v>
      </c>
      <c r="D2527" s="723">
        <v>0</v>
      </c>
      <c r="E2527" s="723">
        <v>0</v>
      </c>
      <c r="F2527" s="723">
        <v>0</v>
      </c>
      <c r="G2527" s="723">
        <v>1</v>
      </c>
      <c r="H2527" s="724">
        <v>1235.7322871096355</v>
      </c>
      <c r="I2527" s="724">
        <v>0</v>
      </c>
      <c r="J2527" s="724">
        <v>0</v>
      </c>
      <c r="K2527" s="724">
        <v>0</v>
      </c>
      <c r="L2527" s="724">
        <v>1235.7322871096355</v>
      </c>
    </row>
    <row r="2528" spans="1:12">
      <c r="A2528" s="722" t="s">
        <v>602</v>
      </c>
      <c r="B2528" s="722">
        <v>263</v>
      </c>
      <c r="C2528" s="723">
        <v>1</v>
      </c>
      <c r="D2528" s="723">
        <v>0</v>
      </c>
      <c r="E2528" s="723">
        <v>0</v>
      </c>
      <c r="F2528" s="723">
        <v>0</v>
      </c>
      <c r="G2528" s="723">
        <v>1</v>
      </c>
      <c r="H2528" s="724">
        <v>1235.7322871096355</v>
      </c>
      <c r="I2528" s="724">
        <v>0</v>
      </c>
      <c r="J2528" s="724">
        <v>0</v>
      </c>
      <c r="K2528" s="724">
        <v>0</v>
      </c>
      <c r="L2528" s="724">
        <v>1235.7322871096355</v>
      </c>
    </row>
    <row r="2529" spans="1:12">
      <c r="A2529" s="722" t="s">
        <v>602</v>
      </c>
      <c r="B2529" s="722">
        <v>290</v>
      </c>
      <c r="C2529" s="723">
        <v>1</v>
      </c>
      <c r="D2529" s="723">
        <v>1</v>
      </c>
      <c r="E2529" s="723">
        <v>0</v>
      </c>
      <c r="F2529" s="723">
        <v>0</v>
      </c>
      <c r="G2529" s="723">
        <v>2</v>
      </c>
      <c r="H2529" s="724">
        <v>1235.7322871096355</v>
      </c>
      <c r="I2529" s="724">
        <v>1235.7322871096355</v>
      </c>
      <c r="J2529" s="724">
        <v>0</v>
      </c>
      <c r="K2529" s="724">
        <v>0</v>
      </c>
      <c r="L2529" s="724">
        <v>2471.4645742192711</v>
      </c>
    </row>
    <row r="2530" spans="1:12">
      <c r="A2530" s="722" t="s">
        <v>602</v>
      </c>
      <c r="B2530" s="722">
        <v>304</v>
      </c>
      <c r="C2530" s="723">
        <v>2</v>
      </c>
      <c r="D2530" s="723">
        <v>0</v>
      </c>
      <c r="E2530" s="723">
        <v>0</v>
      </c>
      <c r="F2530" s="723">
        <v>0</v>
      </c>
      <c r="G2530" s="723">
        <v>2</v>
      </c>
      <c r="H2530" s="724">
        <v>2471.4645742192711</v>
      </c>
      <c r="I2530" s="724">
        <v>0</v>
      </c>
      <c r="J2530" s="724">
        <v>0</v>
      </c>
      <c r="K2530" s="724">
        <v>0</v>
      </c>
      <c r="L2530" s="724">
        <v>2471.4645742192711</v>
      </c>
    </row>
    <row r="2531" spans="1:12">
      <c r="A2531" s="722" t="s">
        <v>602</v>
      </c>
      <c r="B2531" s="722">
        <v>320</v>
      </c>
      <c r="C2531" s="723">
        <v>0</v>
      </c>
      <c r="D2531" s="723">
        <v>1</v>
      </c>
      <c r="E2531" s="723">
        <v>0</v>
      </c>
      <c r="F2531" s="723">
        <v>0</v>
      </c>
      <c r="G2531" s="723">
        <v>1</v>
      </c>
      <c r="H2531" s="724">
        <v>0</v>
      </c>
      <c r="I2531" s="724">
        <v>1235.7322871096355</v>
      </c>
      <c r="J2531" s="724">
        <v>0</v>
      </c>
      <c r="K2531" s="724">
        <v>0</v>
      </c>
      <c r="L2531" s="724">
        <v>1235.7322871096355</v>
      </c>
    </row>
    <row r="2532" spans="1:12">
      <c r="A2532" s="722" t="s">
        <v>602</v>
      </c>
      <c r="B2532" s="722">
        <v>321</v>
      </c>
      <c r="C2532" s="723">
        <v>2</v>
      </c>
      <c r="D2532" s="723">
        <v>0</v>
      </c>
      <c r="E2532" s="723">
        <v>0</v>
      </c>
      <c r="F2532" s="723">
        <v>0</v>
      </c>
      <c r="G2532" s="723">
        <v>2</v>
      </c>
      <c r="H2532" s="724">
        <v>2471.4645742192711</v>
      </c>
      <c r="I2532" s="724">
        <v>0</v>
      </c>
      <c r="J2532" s="724">
        <v>0</v>
      </c>
      <c r="K2532" s="724">
        <v>0</v>
      </c>
      <c r="L2532" s="724">
        <v>2471.4645742192711</v>
      </c>
    </row>
    <row r="2533" spans="1:12">
      <c r="A2533" s="722" t="s">
        <v>602</v>
      </c>
      <c r="B2533" s="722">
        <v>323</v>
      </c>
      <c r="C2533" s="723">
        <v>1</v>
      </c>
      <c r="D2533" s="723">
        <v>0</v>
      </c>
      <c r="E2533" s="723">
        <v>0</v>
      </c>
      <c r="F2533" s="723">
        <v>0</v>
      </c>
      <c r="G2533" s="723">
        <v>1</v>
      </c>
      <c r="H2533" s="724">
        <v>1235.7322871096355</v>
      </c>
      <c r="I2533" s="724">
        <v>0</v>
      </c>
      <c r="J2533" s="724">
        <v>0</v>
      </c>
      <c r="K2533" s="724">
        <v>0</v>
      </c>
      <c r="L2533" s="724">
        <v>1235.7322871096355</v>
      </c>
    </row>
    <row r="2534" spans="1:12">
      <c r="A2534" s="722" t="s">
        <v>602</v>
      </c>
      <c r="B2534" s="722">
        <v>330</v>
      </c>
      <c r="C2534" s="723">
        <v>2</v>
      </c>
      <c r="D2534" s="723">
        <v>0</v>
      </c>
      <c r="E2534" s="723">
        <v>0</v>
      </c>
      <c r="F2534" s="723">
        <v>0</v>
      </c>
      <c r="G2534" s="723">
        <v>2</v>
      </c>
      <c r="H2534" s="724">
        <v>2471.4645742192711</v>
      </c>
      <c r="I2534" s="724">
        <v>0</v>
      </c>
      <c r="J2534" s="724">
        <v>0</v>
      </c>
      <c r="K2534" s="724">
        <v>0</v>
      </c>
      <c r="L2534" s="724">
        <v>2471.4645742192711</v>
      </c>
    </row>
    <row r="2535" spans="1:12">
      <c r="A2535" s="722" t="s">
        <v>602</v>
      </c>
      <c r="B2535" s="722">
        <v>400</v>
      </c>
      <c r="C2535" s="723">
        <v>1</v>
      </c>
      <c r="D2535" s="723">
        <v>0</v>
      </c>
      <c r="E2535" s="723">
        <v>0</v>
      </c>
      <c r="F2535" s="723">
        <v>0</v>
      </c>
      <c r="G2535" s="723">
        <v>1</v>
      </c>
      <c r="H2535" s="724">
        <v>1235.7322871096355</v>
      </c>
      <c r="I2535" s="724">
        <v>0</v>
      </c>
      <c r="J2535" s="724">
        <v>0</v>
      </c>
      <c r="K2535" s="724">
        <v>0</v>
      </c>
      <c r="L2535" s="724">
        <v>1235.7322871096355</v>
      </c>
    </row>
    <row r="2536" spans="1:12">
      <c r="A2536" s="722" t="s">
        <v>602</v>
      </c>
      <c r="B2536" s="722">
        <v>420</v>
      </c>
      <c r="C2536" s="723">
        <v>37</v>
      </c>
      <c r="D2536" s="723">
        <v>19</v>
      </c>
      <c r="E2536" s="723">
        <v>0</v>
      </c>
      <c r="F2536" s="723">
        <v>0</v>
      </c>
      <c r="G2536" s="723">
        <v>56</v>
      </c>
      <c r="H2536" s="724">
        <v>45722.094623056517</v>
      </c>
      <c r="I2536" s="724">
        <v>23478.913455083075</v>
      </c>
      <c r="J2536" s="724">
        <v>0</v>
      </c>
      <c r="K2536" s="724">
        <v>0</v>
      </c>
      <c r="L2536" s="724">
        <v>69201.008078139595</v>
      </c>
    </row>
    <row r="2537" spans="1:12">
      <c r="A2537" s="722" t="s">
        <v>602</v>
      </c>
      <c r="B2537" s="722">
        <v>421</v>
      </c>
      <c r="C2537" s="723">
        <v>3</v>
      </c>
      <c r="D2537" s="723">
        <v>0</v>
      </c>
      <c r="E2537" s="723">
        <v>0</v>
      </c>
      <c r="F2537" s="723">
        <v>0</v>
      </c>
      <c r="G2537" s="723">
        <v>3</v>
      </c>
      <c r="H2537" s="724">
        <v>3707.1968613289068</v>
      </c>
      <c r="I2537" s="724">
        <v>0</v>
      </c>
      <c r="J2537" s="724">
        <v>0</v>
      </c>
      <c r="K2537" s="724">
        <v>0</v>
      </c>
      <c r="L2537" s="724">
        <v>3707.1968613289068</v>
      </c>
    </row>
    <row r="2538" spans="1:12">
      <c r="A2538" s="722" t="s">
        <v>602</v>
      </c>
      <c r="B2538" s="722">
        <v>501</v>
      </c>
      <c r="C2538" s="723">
        <v>1</v>
      </c>
      <c r="D2538" s="723">
        <v>1</v>
      </c>
      <c r="E2538" s="723">
        <v>0</v>
      </c>
      <c r="F2538" s="723">
        <v>0</v>
      </c>
      <c r="G2538" s="723">
        <v>2</v>
      </c>
      <c r="H2538" s="724">
        <v>1235.7322871096355</v>
      </c>
      <c r="I2538" s="724">
        <v>1235.7322871096355</v>
      </c>
      <c r="J2538" s="724">
        <v>0</v>
      </c>
      <c r="K2538" s="724">
        <v>0</v>
      </c>
      <c r="L2538" s="724">
        <v>2471.4645742192711</v>
      </c>
    </row>
    <row r="2539" spans="1:12">
      <c r="A2539" s="722" t="s">
        <v>602</v>
      </c>
      <c r="B2539" s="722">
        <v>502</v>
      </c>
      <c r="C2539" s="723">
        <v>37</v>
      </c>
      <c r="D2539" s="723">
        <v>29</v>
      </c>
      <c r="E2539" s="723">
        <v>0</v>
      </c>
      <c r="F2539" s="723">
        <v>0</v>
      </c>
      <c r="G2539" s="723">
        <v>66</v>
      </c>
      <c r="H2539" s="724">
        <v>45722.094623056524</v>
      </c>
      <c r="I2539" s="724">
        <v>35836.236326179431</v>
      </c>
      <c r="J2539" s="724">
        <v>0</v>
      </c>
      <c r="K2539" s="724">
        <v>0</v>
      </c>
      <c r="L2539" s="724">
        <v>81558.330949235955</v>
      </c>
    </row>
    <row r="2540" spans="1:12">
      <c r="A2540" s="722" t="s">
        <v>602</v>
      </c>
      <c r="B2540" s="722">
        <v>812</v>
      </c>
      <c r="C2540" s="723">
        <v>65</v>
      </c>
      <c r="D2540" s="723">
        <v>7</v>
      </c>
      <c r="E2540" s="723">
        <v>0</v>
      </c>
      <c r="F2540" s="723">
        <v>0</v>
      </c>
      <c r="G2540" s="723">
        <v>72</v>
      </c>
      <c r="H2540" s="724">
        <v>80322.598662126315</v>
      </c>
      <c r="I2540" s="724">
        <v>8650.1260097674494</v>
      </c>
      <c r="J2540" s="724">
        <v>0</v>
      </c>
      <c r="K2540" s="724">
        <v>0</v>
      </c>
      <c r="L2540" s="724">
        <v>88972.724671893768</v>
      </c>
    </row>
    <row r="2541" spans="1:12">
      <c r="A2541" s="722" t="s">
        <v>540</v>
      </c>
      <c r="B2541" s="722">
        <v>160</v>
      </c>
      <c r="C2541" s="723">
        <v>1</v>
      </c>
      <c r="D2541" s="723">
        <v>1</v>
      </c>
      <c r="E2541" s="723">
        <v>0</v>
      </c>
      <c r="F2541" s="723">
        <v>0</v>
      </c>
      <c r="G2541" s="723">
        <v>2</v>
      </c>
      <c r="H2541" s="724">
        <v>280.63196708818856</v>
      </c>
      <c r="I2541" s="724">
        <v>280.63196708818856</v>
      </c>
      <c r="J2541" s="724">
        <v>0</v>
      </c>
      <c r="K2541" s="724">
        <v>0</v>
      </c>
      <c r="L2541" s="724">
        <v>561.26393417637712</v>
      </c>
    </row>
    <row r="2542" spans="1:12">
      <c r="A2542" s="722" t="s">
        <v>540</v>
      </c>
      <c r="B2542" s="722">
        <v>171</v>
      </c>
      <c r="C2542" s="723">
        <v>4</v>
      </c>
      <c r="D2542" s="723">
        <v>0</v>
      </c>
      <c r="E2542" s="723">
        <v>0</v>
      </c>
      <c r="F2542" s="723">
        <v>0</v>
      </c>
      <c r="G2542" s="723">
        <v>4</v>
      </c>
      <c r="H2542" s="724">
        <v>1122.5278683527542</v>
      </c>
      <c r="I2542" s="724">
        <v>0</v>
      </c>
      <c r="J2542" s="724">
        <v>0</v>
      </c>
      <c r="K2542" s="724">
        <v>0</v>
      </c>
      <c r="L2542" s="724">
        <v>1122.5278683527542</v>
      </c>
    </row>
    <row r="2543" spans="1:12">
      <c r="A2543" s="722" t="s">
        <v>540</v>
      </c>
      <c r="B2543" s="722">
        <v>211</v>
      </c>
      <c r="C2543" s="723">
        <v>42</v>
      </c>
      <c r="D2543" s="723">
        <v>5</v>
      </c>
      <c r="E2543" s="723">
        <v>0</v>
      </c>
      <c r="F2543" s="723">
        <v>0</v>
      </c>
      <c r="G2543" s="723">
        <v>47</v>
      </c>
      <c r="H2543" s="724">
        <v>11786.542617703919</v>
      </c>
      <c r="I2543" s="724">
        <v>1403.1598354409427</v>
      </c>
      <c r="J2543" s="724">
        <v>0</v>
      </c>
      <c r="K2543" s="724">
        <v>0</v>
      </c>
      <c r="L2543" s="724">
        <v>13189.702453144862</v>
      </c>
    </row>
    <row r="2544" spans="1:12">
      <c r="A2544" s="722" t="s">
        <v>540</v>
      </c>
      <c r="B2544" s="722">
        <v>251</v>
      </c>
      <c r="C2544" s="723">
        <v>1</v>
      </c>
      <c r="D2544" s="723">
        <v>0</v>
      </c>
      <c r="E2544" s="723">
        <v>0</v>
      </c>
      <c r="F2544" s="723">
        <v>0</v>
      </c>
      <c r="G2544" s="723">
        <v>1</v>
      </c>
      <c r="H2544" s="724">
        <v>280.63196708818856</v>
      </c>
      <c r="I2544" s="724">
        <v>0</v>
      </c>
      <c r="J2544" s="724">
        <v>0</v>
      </c>
      <c r="K2544" s="724">
        <v>0</v>
      </c>
      <c r="L2544" s="724">
        <v>280.63196708818856</v>
      </c>
    </row>
    <row r="2545" spans="1:12">
      <c r="A2545" s="722" t="s">
        <v>540</v>
      </c>
      <c r="B2545" s="722">
        <v>253</v>
      </c>
      <c r="C2545" s="723">
        <v>1</v>
      </c>
      <c r="D2545" s="723">
        <v>0</v>
      </c>
      <c r="E2545" s="723">
        <v>0</v>
      </c>
      <c r="F2545" s="723">
        <v>0</v>
      </c>
      <c r="G2545" s="723">
        <v>1</v>
      </c>
      <c r="H2545" s="724">
        <v>280.63196708818856</v>
      </c>
      <c r="I2545" s="724">
        <v>0</v>
      </c>
      <c r="J2545" s="724">
        <v>0</v>
      </c>
      <c r="K2545" s="724">
        <v>0</v>
      </c>
      <c r="L2545" s="724">
        <v>280.63196708818856</v>
      </c>
    </row>
    <row r="2546" spans="1:12">
      <c r="A2546" s="722" t="s">
        <v>540</v>
      </c>
      <c r="B2546" s="722">
        <v>258</v>
      </c>
      <c r="C2546" s="723">
        <v>1</v>
      </c>
      <c r="D2546" s="723">
        <v>0</v>
      </c>
      <c r="E2546" s="723">
        <v>0</v>
      </c>
      <c r="F2546" s="723">
        <v>0</v>
      </c>
      <c r="G2546" s="723">
        <v>1</v>
      </c>
      <c r="H2546" s="724">
        <v>280.63196708818856</v>
      </c>
      <c r="I2546" s="724">
        <v>0</v>
      </c>
      <c r="J2546" s="724">
        <v>0</v>
      </c>
      <c r="K2546" s="724">
        <v>0</v>
      </c>
      <c r="L2546" s="724">
        <v>280.63196708818856</v>
      </c>
    </row>
    <row r="2547" spans="1:12">
      <c r="A2547" s="722" t="s">
        <v>540</v>
      </c>
      <c r="B2547" s="722">
        <v>259</v>
      </c>
      <c r="C2547" s="723">
        <v>2</v>
      </c>
      <c r="D2547" s="723">
        <v>0</v>
      </c>
      <c r="E2547" s="723">
        <v>0</v>
      </c>
      <c r="F2547" s="723">
        <v>0</v>
      </c>
      <c r="G2547" s="723">
        <v>2</v>
      </c>
      <c r="H2547" s="724">
        <v>561.26393417637712</v>
      </c>
      <c r="I2547" s="724">
        <v>0</v>
      </c>
      <c r="J2547" s="724">
        <v>0</v>
      </c>
      <c r="K2547" s="724">
        <v>0</v>
      </c>
      <c r="L2547" s="724">
        <v>561.26393417637712</v>
      </c>
    </row>
    <row r="2548" spans="1:12">
      <c r="A2548" s="722" t="s">
        <v>540</v>
      </c>
      <c r="B2548" s="722">
        <v>321</v>
      </c>
      <c r="C2548" s="723">
        <v>0</v>
      </c>
      <c r="D2548" s="723">
        <v>1</v>
      </c>
      <c r="E2548" s="723">
        <v>0</v>
      </c>
      <c r="F2548" s="723">
        <v>0</v>
      </c>
      <c r="G2548" s="723">
        <v>1</v>
      </c>
      <c r="H2548" s="724">
        <v>0</v>
      </c>
      <c r="I2548" s="724">
        <v>280.63196708818856</v>
      </c>
      <c r="J2548" s="724">
        <v>0</v>
      </c>
      <c r="K2548" s="724">
        <v>0</v>
      </c>
      <c r="L2548" s="724">
        <v>280.63196708818856</v>
      </c>
    </row>
    <row r="2549" spans="1:12">
      <c r="A2549" s="722" t="s">
        <v>540</v>
      </c>
      <c r="B2549" s="722">
        <v>420</v>
      </c>
      <c r="C2549" s="723">
        <v>49</v>
      </c>
      <c r="D2549" s="723">
        <v>34</v>
      </c>
      <c r="E2549" s="723">
        <v>0</v>
      </c>
      <c r="F2549" s="723">
        <v>0</v>
      </c>
      <c r="G2549" s="723">
        <v>83</v>
      </c>
      <c r="H2549" s="724">
        <v>13750.966387321241</v>
      </c>
      <c r="I2549" s="724">
        <v>9541.4868809984127</v>
      </c>
      <c r="J2549" s="724">
        <v>0</v>
      </c>
      <c r="K2549" s="724">
        <v>0</v>
      </c>
      <c r="L2549" s="724">
        <v>23292.453268319652</v>
      </c>
    </row>
    <row r="2550" spans="1:12">
      <c r="A2550" s="722" t="s">
        <v>540</v>
      </c>
      <c r="B2550" s="722">
        <v>422</v>
      </c>
      <c r="C2550" s="723">
        <v>0</v>
      </c>
      <c r="D2550" s="723">
        <v>1</v>
      </c>
      <c r="E2550" s="723">
        <v>0</v>
      </c>
      <c r="F2550" s="723">
        <v>0</v>
      </c>
      <c r="G2550" s="723">
        <v>1</v>
      </c>
      <c r="H2550" s="724">
        <v>0</v>
      </c>
      <c r="I2550" s="724">
        <v>280.63196708818856</v>
      </c>
      <c r="J2550" s="724">
        <v>0</v>
      </c>
      <c r="K2550" s="724">
        <v>0</v>
      </c>
      <c r="L2550" s="724">
        <v>280.63196708818856</v>
      </c>
    </row>
    <row r="2551" spans="1:12">
      <c r="A2551" s="722" t="s">
        <v>540</v>
      </c>
      <c r="B2551" s="722">
        <v>812</v>
      </c>
      <c r="C2551" s="723">
        <v>13</v>
      </c>
      <c r="D2551" s="723">
        <v>98</v>
      </c>
      <c r="E2551" s="723">
        <v>0</v>
      </c>
      <c r="F2551" s="723">
        <v>0</v>
      </c>
      <c r="G2551" s="723">
        <v>111</v>
      </c>
      <c r="H2551" s="724">
        <v>3648.2155721464514</v>
      </c>
      <c r="I2551" s="724">
        <v>27501.932774642479</v>
      </c>
      <c r="J2551" s="724">
        <v>0</v>
      </c>
      <c r="K2551" s="724">
        <v>0</v>
      </c>
      <c r="L2551" s="724">
        <v>31150.14834678893</v>
      </c>
    </row>
    <row r="2552" spans="1:12">
      <c r="A2552" s="722" t="s">
        <v>305</v>
      </c>
      <c r="B2552" s="722">
        <v>101</v>
      </c>
      <c r="C2552" s="723">
        <v>1239</v>
      </c>
      <c r="D2552" s="723">
        <v>447</v>
      </c>
      <c r="E2552" s="723">
        <v>0</v>
      </c>
      <c r="F2552" s="723">
        <v>0</v>
      </c>
      <c r="G2552" s="723">
        <v>1686</v>
      </c>
      <c r="H2552" s="724">
        <v>200463.08265236104</v>
      </c>
      <c r="I2552" s="724">
        <v>72322.032240198067</v>
      </c>
      <c r="J2552" s="724">
        <v>0</v>
      </c>
      <c r="K2552" s="724">
        <v>0</v>
      </c>
      <c r="L2552" s="724">
        <v>272785.11489255913</v>
      </c>
    </row>
    <row r="2553" spans="1:12">
      <c r="A2553" s="722" t="s">
        <v>305</v>
      </c>
      <c r="B2553" s="722">
        <v>120</v>
      </c>
      <c r="C2553" s="723">
        <v>1</v>
      </c>
      <c r="D2553" s="723">
        <v>0</v>
      </c>
      <c r="E2553" s="723">
        <v>0</v>
      </c>
      <c r="F2553" s="723">
        <v>0</v>
      </c>
      <c r="G2553" s="723">
        <v>1</v>
      </c>
      <c r="H2553" s="724">
        <v>161.7942555709129</v>
      </c>
      <c r="I2553" s="724">
        <v>0</v>
      </c>
      <c r="J2553" s="724">
        <v>0</v>
      </c>
      <c r="K2553" s="724">
        <v>0</v>
      </c>
      <c r="L2553" s="724">
        <v>161.7942555709129</v>
      </c>
    </row>
    <row r="2554" spans="1:12">
      <c r="A2554" s="722" t="s">
        <v>305</v>
      </c>
      <c r="B2554" s="722">
        <v>300</v>
      </c>
      <c r="C2554" s="723">
        <v>15</v>
      </c>
      <c r="D2554" s="723">
        <v>4</v>
      </c>
      <c r="E2554" s="723">
        <v>0</v>
      </c>
      <c r="F2554" s="723">
        <v>0</v>
      </c>
      <c r="G2554" s="723">
        <v>19</v>
      </c>
      <c r="H2554" s="724">
        <v>2426.9138335636931</v>
      </c>
      <c r="I2554" s="724">
        <v>647.17702228365158</v>
      </c>
      <c r="J2554" s="724">
        <v>0</v>
      </c>
      <c r="K2554" s="724">
        <v>0</v>
      </c>
      <c r="L2554" s="724">
        <v>3074.0908558473448</v>
      </c>
    </row>
    <row r="2555" spans="1:12">
      <c r="A2555" s="722" t="s">
        <v>305</v>
      </c>
      <c r="B2555" s="722">
        <v>304</v>
      </c>
      <c r="C2555" s="723">
        <v>136</v>
      </c>
      <c r="D2555" s="723">
        <v>56</v>
      </c>
      <c r="E2555" s="723">
        <v>0</v>
      </c>
      <c r="F2555" s="723">
        <v>0</v>
      </c>
      <c r="G2555" s="723">
        <v>192</v>
      </c>
      <c r="H2555" s="724">
        <v>22004.018757644153</v>
      </c>
      <c r="I2555" s="724">
        <v>9060.478311971121</v>
      </c>
      <c r="J2555" s="724">
        <v>0</v>
      </c>
      <c r="K2555" s="724">
        <v>0</v>
      </c>
      <c r="L2555" s="724">
        <v>31064.497069615274</v>
      </c>
    </row>
    <row r="2556" spans="1:12">
      <c r="A2556" s="722" t="s">
        <v>305</v>
      </c>
      <c r="B2556" s="722">
        <v>307</v>
      </c>
      <c r="C2556" s="723">
        <v>2</v>
      </c>
      <c r="D2556" s="723">
        <v>2</v>
      </c>
      <c r="E2556" s="723">
        <v>0</v>
      </c>
      <c r="F2556" s="723">
        <v>0</v>
      </c>
      <c r="G2556" s="723">
        <v>4</v>
      </c>
      <c r="H2556" s="724">
        <v>323.58851114182579</v>
      </c>
      <c r="I2556" s="724">
        <v>323.58851114182579</v>
      </c>
      <c r="J2556" s="724">
        <v>0</v>
      </c>
      <c r="K2556" s="724">
        <v>0</v>
      </c>
      <c r="L2556" s="724">
        <v>647.17702228365158</v>
      </c>
    </row>
    <row r="2557" spans="1:12">
      <c r="A2557" s="722" t="s">
        <v>305</v>
      </c>
      <c r="B2557" s="722">
        <v>323</v>
      </c>
      <c r="C2557" s="723">
        <v>1</v>
      </c>
      <c r="D2557" s="723">
        <v>2</v>
      </c>
      <c r="E2557" s="723">
        <v>0</v>
      </c>
      <c r="F2557" s="723">
        <v>0</v>
      </c>
      <c r="G2557" s="723">
        <v>3</v>
      </c>
      <c r="H2557" s="724">
        <v>161.7942555709129</v>
      </c>
      <c r="I2557" s="724">
        <v>323.58851114182579</v>
      </c>
      <c r="J2557" s="724">
        <v>0</v>
      </c>
      <c r="K2557" s="724">
        <v>0</v>
      </c>
      <c r="L2557" s="724">
        <v>485.38276671273866</v>
      </c>
    </row>
    <row r="2558" spans="1:12">
      <c r="A2558" s="722" t="s">
        <v>305</v>
      </c>
      <c r="B2558" s="722">
        <v>360</v>
      </c>
      <c r="C2558" s="723">
        <v>79</v>
      </c>
      <c r="D2558" s="723">
        <v>11</v>
      </c>
      <c r="E2558" s="723">
        <v>0</v>
      </c>
      <c r="F2558" s="723">
        <v>0</v>
      </c>
      <c r="G2558" s="723">
        <v>90</v>
      </c>
      <c r="H2558" s="724">
        <v>12781.746190102116</v>
      </c>
      <c r="I2558" s="724">
        <v>1779.7368112800416</v>
      </c>
      <c r="J2558" s="724">
        <v>0</v>
      </c>
      <c r="K2558" s="724">
        <v>0</v>
      </c>
      <c r="L2558" s="724">
        <v>14561.483001382159</v>
      </c>
    </row>
    <row r="2559" spans="1:12">
      <c r="A2559" s="722" t="s">
        <v>305</v>
      </c>
      <c r="B2559" s="722">
        <v>800</v>
      </c>
      <c r="C2559" s="723">
        <v>25</v>
      </c>
      <c r="D2559" s="723">
        <v>0</v>
      </c>
      <c r="E2559" s="723">
        <v>0</v>
      </c>
      <c r="F2559" s="723">
        <v>0</v>
      </c>
      <c r="G2559" s="723">
        <v>25</v>
      </c>
      <c r="H2559" s="724">
        <v>4044.8563892728216</v>
      </c>
      <c r="I2559" s="724">
        <v>0</v>
      </c>
      <c r="J2559" s="724">
        <v>0</v>
      </c>
      <c r="K2559" s="724">
        <v>0</v>
      </c>
      <c r="L2559" s="724">
        <v>4044.8563892728221</v>
      </c>
    </row>
    <row r="2560" spans="1:12">
      <c r="A2560" s="722" t="s">
        <v>306</v>
      </c>
      <c r="B2560" s="722">
        <v>101</v>
      </c>
      <c r="C2560" s="723">
        <v>0</v>
      </c>
      <c r="D2560" s="723">
        <v>3</v>
      </c>
      <c r="E2560" s="723">
        <v>0</v>
      </c>
      <c r="F2560" s="723">
        <v>0</v>
      </c>
      <c r="G2560" s="723">
        <v>3</v>
      </c>
      <c r="H2560" s="724">
        <v>0</v>
      </c>
      <c r="I2560" s="724">
        <v>167.54260548597657</v>
      </c>
      <c r="J2560" s="724">
        <v>0</v>
      </c>
      <c r="K2560" s="724">
        <v>0</v>
      </c>
      <c r="L2560" s="724">
        <v>167.54260548597657</v>
      </c>
    </row>
    <row r="2561" spans="1:12">
      <c r="A2561" s="722" t="s">
        <v>306</v>
      </c>
      <c r="B2561" s="722">
        <v>103</v>
      </c>
      <c r="C2561" s="723">
        <v>10</v>
      </c>
      <c r="D2561" s="723">
        <v>9</v>
      </c>
      <c r="E2561" s="723">
        <v>0</v>
      </c>
      <c r="F2561" s="723">
        <v>0</v>
      </c>
      <c r="G2561" s="723">
        <v>19</v>
      </c>
      <c r="H2561" s="724">
        <v>558.47535161992198</v>
      </c>
      <c r="I2561" s="724">
        <v>502.62781645792978</v>
      </c>
      <c r="J2561" s="724">
        <v>0</v>
      </c>
      <c r="K2561" s="724">
        <v>0</v>
      </c>
      <c r="L2561" s="724">
        <v>1061.1031680778517</v>
      </c>
    </row>
    <row r="2562" spans="1:12">
      <c r="A2562" s="722" t="s">
        <v>306</v>
      </c>
      <c r="B2562" s="722">
        <v>130</v>
      </c>
      <c r="C2562" s="723">
        <v>1</v>
      </c>
      <c r="D2562" s="723">
        <v>0</v>
      </c>
      <c r="E2562" s="723">
        <v>0</v>
      </c>
      <c r="F2562" s="723">
        <v>0</v>
      </c>
      <c r="G2562" s="723">
        <v>1</v>
      </c>
      <c r="H2562" s="724">
        <v>55.847535161992191</v>
      </c>
      <c r="I2562" s="724">
        <v>0</v>
      </c>
      <c r="J2562" s="724">
        <v>0</v>
      </c>
      <c r="K2562" s="724">
        <v>0</v>
      </c>
      <c r="L2562" s="724">
        <v>55.847535161992191</v>
      </c>
    </row>
    <row r="2563" spans="1:12">
      <c r="A2563" s="722" t="s">
        <v>306</v>
      </c>
      <c r="B2563" s="722">
        <v>143</v>
      </c>
      <c r="C2563" s="723">
        <v>1</v>
      </c>
      <c r="D2563" s="723">
        <v>0</v>
      </c>
      <c r="E2563" s="723">
        <v>0</v>
      </c>
      <c r="F2563" s="723">
        <v>0</v>
      </c>
      <c r="G2563" s="723">
        <v>1</v>
      </c>
      <c r="H2563" s="724">
        <v>55.847535161992191</v>
      </c>
      <c r="I2563" s="724">
        <v>0</v>
      </c>
      <c r="J2563" s="724">
        <v>0</v>
      </c>
      <c r="K2563" s="724">
        <v>0</v>
      </c>
      <c r="L2563" s="724">
        <v>55.847535161992191</v>
      </c>
    </row>
    <row r="2564" spans="1:12">
      <c r="A2564" s="722" t="s">
        <v>306</v>
      </c>
      <c r="B2564" s="722">
        <v>160</v>
      </c>
      <c r="C2564" s="723">
        <v>1</v>
      </c>
      <c r="D2564" s="723">
        <v>0</v>
      </c>
      <c r="E2564" s="723">
        <v>0</v>
      </c>
      <c r="F2564" s="723">
        <v>0</v>
      </c>
      <c r="G2564" s="723">
        <v>1</v>
      </c>
      <c r="H2564" s="724">
        <v>55.847535161992191</v>
      </c>
      <c r="I2564" s="724">
        <v>0</v>
      </c>
      <c r="J2564" s="724">
        <v>0</v>
      </c>
      <c r="K2564" s="724">
        <v>0</v>
      </c>
      <c r="L2564" s="724">
        <v>55.847535161992191</v>
      </c>
    </row>
    <row r="2565" spans="1:12">
      <c r="A2565" s="722" t="s">
        <v>306</v>
      </c>
      <c r="B2565" s="722">
        <v>191</v>
      </c>
      <c r="C2565" s="723">
        <v>1</v>
      </c>
      <c r="D2565" s="723">
        <v>0</v>
      </c>
      <c r="E2565" s="723">
        <v>0</v>
      </c>
      <c r="F2565" s="723">
        <v>0</v>
      </c>
      <c r="G2565" s="723">
        <v>1</v>
      </c>
      <c r="H2565" s="724">
        <v>55.847535161992191</v>
      </c>
      <c r="I2565" s="724">
        <v>0</v>
      </c>
      <c r="J2565" s="724">
        <v>0</v>
      </c>
      <c r="K2565" s="724">
        <v>0</v>
      </c>
      <c r="L2565" s="724">
        <v>55.847535161992191</v>
      </c>
    </row>
    <row r="2566" spans="1:12">
      <c r="A2566" s="722" t="s">
        <v>306</v>
      </c>
      <c r="B2566" s="722">
        <v>330</v>
      </c>
      <c r="C2566" s="723">
        <v>3</v>
      </c>
      <c r="D2566" s="723">
        <v>1</v>
      </c>
      <c r="E2566" s="723">
        <v>0</v>
      </c>
      <c r="F2566" s="723">
        <v>0</v>
      </c>
      <c r="G2566" s="723">
        <v>4</v>
      </c>
      <c r="H2566" s="724">
        <v>167.54260548597657</v>
      </c>
      <c r="I2566" s="724">
        <v>55.847535161992191</v>
      </c>
      <c r="J2566" s="724">
        <v>0</v>
      </c>
      <c r="K2566" s="724">
        <v>0</v>
      </c>
      <c r="L2566" s="724">
        <v>223.39014064796876</v>
      </c>
    </row>
    <row r="2567" spans="1:12">
      <c r="A2567" s="722" t="s">
        <v>306</v>
      </c>
      <c r="B2567" s="722">
        <v>340</v>
      </c>
      <c r="C2567" s="723">
        <v>0</v>
      </c>
      <c r="D2567" s="723">
        <v>1</v>
      </c>
      <c r="E2567" s="723">
        <v>0</v>
      </c>
      <c r="F2567" s="723">
        <v>0</v>
      </c>
      <c r="G2567" s="723">
        <v>1</v>
      </c>
      <c r="H2567" s="724">
        <v>0</v>
      </c>
      <c r="I2567" s="724">
        <v>55.847535161992191</v>
      </c>
      <c r="J2567" s="724">
        <v>0</v>
      </c>
      <c r="K2567" s="724">
        <v>0</v>
      </c>
      <c r="L2567" s="724">
        <v>55.847535161992191</v>
      </c>
    </row>
    <row r="2568" spans="1:12">
      <c r="A2568" s="722" t="s">
        <v>306</v>
      </c>
      <c r="B2568" s="722">
        <v>812</v>
      </c>
      <c r="C2568" s="723">
        <v>0</v>
      </c>
      <c r="D2568" s="723">
        <v>1</v>
      </c>
      <c r="E2568" s="723">
        <v>0</v>
      </c>
      <c r="F2568" s="723">
        <v>0</v>
      </c>
      <c r="G2568" s="723">
        <v>1</v>
      </c>
      <c r="H2568" s="724">
        <v>0</v>
      </c>
      <c r="I2568" s="724">
        <v>55.847535161992191</v>
      </c>
      <c r="J2568" s="724">
        <v>0</v>
      </c>
      <c r="K2568" s="724">
        <v>0</v>
      </c>
      <c r="L2568" s="724">
        <v>55.847535161992191</v>
      </c>
    </row>
    <row r="2569" spans="1:12">
      <c r="A2569" s="722" t="s">
        <v>307</v>
      </c>
      <c r="B2569" s="722">
        <v>100</v>
      </c>
      <c r="C2569" s="723">
        <v>0</v>
      </c>
      <c r="D2569" s="723">
        <v>1</v>
      </c>
      <c r="E2569" s="723">
        <v>0</v>
      </c>
      <c r="F2569" s="723">
        <v>0</v>
      </c>
      <c r="G2569" s="723">
        <v>1</v>
      </c>
      <c r="H2569" s="724">
        <v>0</v>
      </c>
      <c r="I2569" s="724">
        <v>99.276642499678005</v>
      </c>
      <c r="J2569" s="724">
        <v>0</v>
      </c>
      <c r="K2569" s="724">
        <v>0</v>
      </c>
      <c r="L2569" s="724">
        <v>99.276642499678005</v>
      </c>
    </row>
    <row r="2570" spans="1:12">
      <c r="A2570" s="722" t="s">
        <v>307</v>
      </c>
      <c r="B2570" s="722">
        <v>101</v>
      </c>
      <c r="C2570" s="723">
        <v>6</v>
      </c>
      <c r="D2570" s="723">
        <v>0</v>
      </c>
      <c r="E2570" s="723">
        <v>0</v>
      </c>
      <c r="F2570" s="723">
        <v>0</v>
      </c>
      <c r="G2570" s="723">
        <v>6</v>
      </c>
      <c r="H2570" s="724">
        <v>595.659854998068</v>
      </c>
      <c r="I2570" s="724">
        <v>0</v>
      </c>
      <c r="J2570" s="724">
        <v>0</v>
      </c>
      <c r="K2570" s="724">
        <v>0</v>
      </c>
      <c r="L2570" s="724">
        <v>595.659854998068</v>
      </c>
    </row>
    <row r="2571" spans="1:12">
      <c r="A2571" s="722" t="s">
        <v>307</v>
      </c>
      <c r="B2571" s="722">
        <v>104</v>
      </c>
      <c r="C2571" s="723">
        <v>0</v>
      </c>
      <c r="D2571" s="723">
        <v>2</v>
      </c>
      <c r="E2571" s="723">
        <v>0</v>
      </c>
      <c r="F2571" s="723">
        <v>0</v>
      </c>
      <c r="G2571" s="723">
        <v>2</v>
      </c>
      <c r="H2571" s="724">
        <v>0</v>
      </c>
      <c r="I2571" s="724">
        <v>198.55328499935601</v>
      </c>
      <c r="J2571" s="724">
        <v>0</v>
      </c>
      <c r="K2571" s="724">
        <v>0</v>
      </c>
      <c r="L2571" s="724">
        <v>198.55328499935601</v>
      </c>
    </row>
    <row r="2572" spans="1:12">
      <c r="A2572" s="722" t="s">
        <v>307</v>
      </c>
      <c r="B2572" s="722">
        <v>171</v>
      </c>
      <c r="C2572" s="723">
        <v>1</v>
      </c>
      <c r="D2572" s="723">
        <v>0</v>
      </c>
      <c r="E2572" s="723">
        <v>0</v>
      </c>
      <c r="F2572" s="723">
        <v>0</v>
      </c>
      <c r="G2572" s="723">
        <v>1</v>
      </c>
      <c r="H2572" s="724">
        <v>99.276642499678005</v>
      </c>
      <c r="I2572" s="724">
        <v>0</v>
      </c>
      <c r="J2572" s="724">
        <v>0</v>
      </c>
      <c r="K2572" s="724">
        <v>0</v>
      </c>
      <c r="L2572" s="724">
        <v>99.276642499678005</v>
      </c>
    </row>
    <row r="2573" spans="1:12">
      <c r="A2573" s="722" t="s">
        <v>307</v>
      </c>
      <c r="B2573" s="722">
        <v>211</v>
      </c>
      <c r="C2573" s="723">
        <v>4</v>
      </c>
      <c r="D2573" s="723">
        <v>0</v>
      </c>
      <c r="E2573" s="723">
        <v>0</v>
      </c>
      <c r="F2573" s="723">
        <v>0</v>
      </c>
      <c r="G2573" s="723">
        <v>4</v>
      </c>
      <c r="H2573" s="724">
        <v>397.10656999871202</v>
      </c>
      <c r="I2573" s="724">
        <v>0</v>
      </c>
      <c r="J2573" s="724">
        <v>0</v>
      </c>
      <c r="K2573" s="724">
        <v>0</v>
      </c>
      <c r="L2573" s="724">
        <v>397.10656999871202</v>
      </c>
    </row>
    <row r="2574" spans="1:12">
      <c r="A2574" s="722" t="s">
        <v>307</v>
      </c>
      <c r="B2574" s="722">
        <v>300</v>
      </c>
      <c r="C2574" s="723">
        <v>0</v>
      </c>
      <c r="D2574" s="723">
        <v>1</v>
      </c>
      <c r="E2574" s="723">
        <v>0</v>
      </c>
      <c r="F2574" s="723">
        <v>0</v>
      </c>
      <c r="G2574" s="723">
        <v>1</v>
      </c>
      <c r="H2574" s="724">
        <v>0</v>
      </c>
      <c r="I2574" s="724">
        <v>99.276642499678005</v>
      </c>
      <c r="J2574" s="724">
        <v>0</v>
      </c>
      <c r="K2574" s="724">
        <v>0</v>
      </c>
      <c r="L2574" s="724">
        <v>99.276642499678005</v>
      </c>
    </row>
    <row r="2575" spans="1:12">
      <c r="A2575" s="722" t="s">
        <v>308</v>
      </c>
      <c r="B2575" s="722">
        <v>101</v>
      </c>
      <c r="C2575" s="723">
        <v>1197</v>
      </c>
      <c r="D2575" s="723">
        <v>232</v>
      </c>
      <c r="E2575" s="723">
        <v>0</v>
      </c>
      <c r="F2575" s="723">
        <v>0</v>
      </c>
      <c r="G2575" s="723">
        <v>1429</v>
      </c>
      <c r="H2575" s="724">
        <v>230431.89732633423</v>
      </c>
      <c r="I2575" s="724">
        <v>44661.82136984924</v>
      </c>
      <c r="J2575" s="724">
        <v>0</v>
      </c>
      <c r="K2575" s="724">
        <v>0</v>
      </c>
      <c r="L2575" s="724">
        <v>275093.71869618347</v>
      </c>
    </row>
    <row r="2576" spans="1:12">
      <c r="A2576" s="722" t="s">
        <v>308</v>
      </c>
      <c r="B2576" s="722">
        <v>211</v>
      </c>
      <c r="C2576" s="723">
        <v>5</v>
      </c>
      <c r="D2576" s="723">
        <v>2</v>
      </c>
      <c r="E2576" s="723">
        <v>0</v>
      </c>
      <c r="F2576" s="723">
        <v>0</v>
      </c>
      <c r="G2576" s="723">
        <v>7</v>
      </c>
      <c r="H2576" s="724">
        <v>962.53925366054398</v>
      </c>
      <c r="I2576" s="724">
        <v>385.01570146421761</v>
      </c>
      <c r="J2576" s="724">
        <v>0</v>
      </c>
      <c r="K2576" s="724">
        <v>0</v>
      </c>
      <c r="L2576" s="724">
        <v>1347.5549551247616</v>
      </c>
    </row>
    <row r="2577" spans="1:12">
      <c r="A2577" s="722" t="s">
        <v>308</v>
      </c>
      <c r="B2577" s="722">
        <v>400</v>
      </c>
      <c r="C2577" s="723">
        <v>19</v>
      </c>
      <c r="D2577" s="723">
        <v>0</v>
      </c>
      <c r="E2577" s="723">
        <v>0</v>
      </c>
      <c r="F2577" s="723">
        <v>0</v>
      </c>
      <c r="G2577" s="723">
        <v>19</v>
      </c>
      <c r="H2577" s="724">
        <v>3657.6491639100668</v>
      </c>
      <c r="I2577" s="724">
        <v>0</v>
      </c>
      <c r="J2577" s="724">
        <v>0</v>
      </c>
      <c r="K2577" s="724">
        <v>0</v>
      </c>
      <c r="L2577" s="724">
        <v>3657.6491639100668</v>
      </c>
    </row>
    <row r="2578" spans="1:12">
      <c r="A2578" s="722" t="s">
        <v>308</v>
      </c>
      <c r="B2578" s="722">
        <v>502</v>
      </c>
      <c r="C2578" s="723">
        <v>49</v>
      </c>
      <c r="D2578" s="723">
        <v>36</v>
      </c>
      <c r="E2578" s="723">
        <v>0</v>
      </c>
      <c r="F2578" s="723">
        <v>0</v>
      </c>
      <c r="G2578" s="723">
        <v>85</v>
      </c>
      <c r="H2578" s="724">
        <v>9432.8846858733305</v>
      </c>
      <c r="I2578" s="724">
        <v>6930.2826263559164</v>
      </c>
      <c r="J2578" s="724">
        <v>0</v>
      </c>
      <c r="K2578" s="724">
        <v>0</v>
      </c>
      <c r="L2578" s="724">
        <v>16363.167312229247</v>
      </c>
    </row>
    <row r="2579" spans="1:12">
      <c r="A2579" s="722" t="s">
        <v>308</v>
      </c>
      <c r="B2579" s="722">
        <v>503</v>
      </c>
      <c r="C2579" s="723">
        <v>0</v>
      </c>
      <c r="D2579" s="723">
        <v>1</v>
      </c>
      <c r="E2579" s="723">
        <v>0</v>
      </c>
      <c r="F2579" s="723">
        <v>0</v>
      </c>
      <c r="G2579" s="723">
        <v>1</v>
      </c>
      <c r="H2579" s="724">
        <v>0</v>
      </c>
      <c r="I2579" s="724">
        <v>192.50785073210878</v>
      </c>
      <c r="J2579" s="724">
        <v>0</v>
      </c>
      <c r="K2579" s="724">
        <v>0</v>
      </c>
      <c r="L2579" s="724">
        <v>192.50785073210878</v>
      </c>
    </row>
    <row r="2580" spans="1:12">
      <c r="A2580" s="722" t="s">
        <v>308</v>
      </c>
      <c r="B2580" s="722">
        <v>800</v>
      </c>
      <c r="C2580" s="723">
        <v>1</v>
      </c>
      <c r="D2580" s="723">
        <v>0</v>
      </c>
      <c r="E2580" s="723">
        <v>0</v>
      </c>
      <c r="F2580" s="723">
        <v>0</v>
      </c>
      <c r="G2580" s="723">
        <v>1</v>
      </c>
      <c r="H2580" s="724">
        <v>192.50785073210878</v>
      </c>
      <c r="I2580" s="724">
        <v>0</v>
      </c>
      <c r="J2580" s="724">
        <v>0</v>
      </c>
      <c r="K2580" s="724">
        <v>0</v>
      </c>
      <c r="L2580" s="724">
        <v>192.50785073210878</v>
      </c>
    </row>
    <row r="2581" spans="1:12">
      <c r="A2581" s="722" t="s">
        <v>308</v>
      </c>
      <c r="B2581" s="722">
        <v>812</v>
      </c>
      <c r="C2581" s="723">
        <v>0</v>
      </c>
      <c r="D2581" s="723">
        <v>131</v>
      </c>
      <c r="E2581" s="723">
        <v>0</v>
      </c>
      <c r="F2581" s="723">
        <v>0</v>
      </c>
      <c r="G2581" s="723">
        <v>131</v>
      </c>
      <c r="H2581" s="724">
        <v>0</v>
      </c>
      <c r="I2581" s="724">
        <v>25218.52844590625</v>
      </c>
      <c r="J2581" s="724">
        <v>0</v>
      </c>
      <c r="K2581" s="724">
        <v>0</v>
      </c>
      <c r="L2581" s="724">
        <v>25218.52844590625</v>
      </c>
    </row>
    <row r="2582" spans="1:12">
      <c r="A2582" s="722" t="s">
        <v>309</v>
      </c>
      <c r="B2582" s="722">
        <v>502</v>
      </c>
      <c r="C2582" s="723">
        <v>11</v>
      </c>
      <c r="D2582" s="723">
        <v>3</v>
      </c>
      <c r="E2582" s="723">
        <v>0</v>
      </c>
      <c r="F2582" s="723">
        <v>0</v>
      </c>
      <c r="G2582" s="723">
        <v>14</v>
      </c>
      <c r="H2582" s="724">
        <v>827.70830818531431</v>
      </c>
      <c r="I2582" s="724">
        <v>225.73862950508575</v>
      </c>
      <c r="J2582" s="724">
        <v>0</v>
      </c>
      <c r="K2582" s="724">
        <v>0</v>
      </c>
      <c r="L2582" s="724">
        <v>1053.4469376904001</v>
      </c>
    </row>
    <row r="2583" spans="1:12">
      <c r="A2583" s="722" t="s">
        <v>310</v>
      </c>
      <c r="B2583" s="722">
        <v>100</v>
      </c>
      <c r="C2583" s="723">
        <v>0</v>
      </c>
      <c r="D2583" s="723">
        <v>1</v>
      </c>
      <c r="E2583" s="723">
        <v>0</v>
      </c>
      <c r="F2583" s="723">
        <v>0</v>
      </c>
      <c r="G2583" s="723">
        <v>1</v>
      </c>
      <c r="H2583" s="724">
        <v>0</v>
      </c>
      <c r="I2583" s="724">
        <v>83.578309047979545</v>
      </c>
      <c r="J2583" s="724">
        <v>0</v>
      </c>
      <c r="K2583" s="724">
        <v>0</v>
      </c>
      <c r="L2583" s="724">
        <v>83.578309047979545</v>
      </c>
    </row>
    <row r="2584" spans="1:12">
      <c r="A2584" s="722" t="s">
        <v>310</v>
      </c>
      <c r="B2584" s="722">
        <v>101</v>
      </c>
      <c r="C2584" s="723">
        <v>2</v>
      </c>
      <c r="D2584" s="723">
        <v>0</v>
      </c>
      <c r="E2584" s="723">
        <v>0</v>
      </c>
      <c r="F2584" s="723">
        <v>0</v>
      </c>
      <c r="G2584" s="723">
        <v>2</v>
      </c>
      <c r="H2584" s="724">
        <v>167.15661809595909</v>
      </c>
      <c r="I2584" s="724">
        <v>0</v>
      </c>
      <c r="J2584" s="724">
        <v>0</v>
      </c>
      <c r="K2584" s="724">
        <v>0</v>
      </c>
      <c r="L2584" s="724">
        <v>167.15661809595909</v>
      </c>
    </row>
    <row r="2585" spans="1:12">
      <c r="A2585" s="722" t="s">
        <v>310</v>
      </c>
      <c r="B2585" s="722">
        <v>300</v>
      </c>
      <c r="C2585" s="723">
        <v>1</v>
      </c>
      <c r="D2585" s="723">
        <v>0</v>
      </c>
      <c r="E2585" s="723">
        <v>0</v>
      </c>
      <c r="F2585" s="723">
        <v>0</v>
      </c>
      <c r="G2585" s="723">
        <v>1</v>
      </c>
      <c r="H2585" s="724">
        <v>83.578309047979545</v>
      </c>
      <c r="I2585" s="724">
        <v>0</v>
      </c>
      <c r="J2585" s="724">
        <v>0</v>
      </c>
      <c r="K2585" s="724">
        <v>0</v>
      </c>
      <c r="L2585" s="724">
        <v>83.578309047979545</v>
      </c>
    </row>
    <row r="2586" spans="1:12">
      <c r="A2586" s="722" t="s">
        <v>310</v>
      </c>
      <c r="B2586" s="722">
        <v>330</v>
      </c>
      <c r="C2586" s="723">
        <v>3</v>
      </c>
      <c r="D2586" s="723">
        <v>1</v>
      </c>
      <c r="E2586" s="723">
        <v>0</v>
      </c>
      <c r="F2586" s="723">
        <v>0</v>
      </c>
      <c r="G2586" s="723">
        <v>4</v>
      </c>
      <c r="H2586" s="724">
        <v>250.73492714393865</v>
      </c>
      <c r="I2586" s="724">
        <v>83.578309047979545</v>
      </c>
      <c r="J2586" s="724">
        <v>0</v>
      </c>
      <c r="K2586" s="724">
        <v>0</v>
      </c>
      <c r="L2586" s="724">
        <v>334.31323619191818</v>
      </c>
    </row>
    <row r="2587" spans="1:12">
      <c r="A2587" s="722" t="s">
        <v>310</v>
      </c>
      <c r="B2587" s="722">
        <v>370</v>
      </c>
      <c r="C2587" s="723">
        <v>1</v>
      </c>
      <c r="D2587" s="723">
        <v>0</v>
      </c>
      <c r="E2587" s="723">
        <v>0</v>
      </c>
      <c r="F2587" s="723">
        <v>0</v>
      </c>
      <c r="G2587" s="723">
        <v>1</v>
      </c>
      <c r="H2587" s="724">
        <v>83.578309047979545</v>
      </c>
      <c r="I2587" s="724">
        <v>0</v>
      </c>
      <c r="J2587" s="724">
        <v>0</v>
      </c>
      <c r="K2587" s="724">
        <v>0</v>
      </c>
      <c r="L2587" s="724">
        <v>83.578309047979545</v>
      </c>
    </row>
    <row r="2588" spans="1:12">
      <c r="A2588" s="722" t="s">
        <v>652</v>
      </c>
      <c r="B2588" s="722">
        <v>100</v>
      </c>
      <c r="C2588" s="723">
        <v>1</v>
      </c>
      <c r="D2588" s="723">
        <v>0</v>
      </c>
      <c r="E2588" s="723">
        <v>0</v>
      </c>
      <c r="F2588" s="723">
        <v>0</v>
      </c>
      <c r="G2588" s="723">
        <v>1</v>
      </c>
      <c r="H2588" s="724">
        <v>199.53017205269074</v>
      </c>
      <c r="I2588" s="724">
        <v>0</v>
      </c>
      <c r="J2588" s="724">
        <v>0</v>
      </c>
      <c r="K2588" s="724">
        <v>0</v>
      </c>
      <c r="L2588" s="724">
        <v>199.53017205269074</v>
      </c>
    </row>
    <row r="2589" spans="1:12">
      <c r="A2589" s="722" t="s">
        <v>652</v>
      </c>
      <c r="B2589" s="722">
        <v>302</v>
      </c>
      <c r="C2589" s="723">
        <v>1</v>
      </c>
      <c r="D2589" s="723">
        <v>0</v>
      </c>
      <c r="E2589" s="723">
        <v>0</v>
      </c>
      <c r="F2589" s="723">
        <v>0</v>
      </c>
      <c r="G2589" s="723">
        <v>1</v>
      </c>
      <c r="H2589" s="724">
        <v>199.53017205269074</v>
      </c>
      <c r="I2589" s="724">
        <v>0</v>
      </c>
      <c r="J2589" s="724">
        <v>0</v>
      </c>
      <c r="K2589" s="724">
        <v>0</v>
      </c>
      <c r="L2589" s="724">
        <v>199.53017205269074</v>
      </c>
    </row>
    <row r="2590" spans="1:12">
      <c r="A2590" s="722" t="s">
        <v>652</v>
      </c>
      <c r="B2590" s="722">
        <v>330</v>
      </c>
      <c r="C2590" s="723">
        <v>1</v>
      </c>
      <c r="D2590" s="723">
        <v>0</v>
      </c>
      <c r="E2590" s="723">
        <v>0</v>
      </c>
      <c r="F2590" s="723">
        <v>0</v>
      </c>
      <c r="G2590" s="723">
        <v>1</v>
      </c>
      <c r="H2590" s="724">
        <v>199.53017205269074</v>
      </c>
      <c r="I2590" s="724">
        <v>0</v>
      </c>
      <c r="J2590" s="724">
        <v>0</v>
      </c>
      <c r="K2590" s="724">
        <v>0</v>
      </c>
      <c r="L2590" s="724">
        <v>199.53017205269074</v>
      </c>
    </row>
    <row r="2591" spans="1:12">
      <c r="A2591" s="722" t="s">
        <v>652</v>
      </c>
      <c r="B2591" s="722">
        <v>502</v>
      </c>
      <c r="C2591" s="723">
        <v>1</v>
      </c>
      <c r="D2591" s="723">
        <v>0</v>
      </c>
      <c r="E2591" s="723">
        <v>0</v>
      </c>
      <c r="F2591" s="723">
        <v>0</v>
      </c>
      <c r="G2591" s="723">
        <v>1</v>
      </c>
      <c r="H2591" s="724">
        <v>199.53017205269074</v>
      </c>
      <c r="I2591" s="724">
        <v>0</v>
      </c>
      <c r="J2591" s="724">
        <v>0</v>
      </c>
      <c r="K2591" s="724">
        <v>0</v>
      </c>
      <c r="L2591" s="724">
        <v>199.53017205269074</v>
      </c>
    </row>
    <row r="2592" spans="1:12">
      <c r="A2592" s="722" t="s">
        <v>607</v>
      </c>
      <c r="B2592" s="722">
        <v>171</v>
      </c>
      <c r="C2592" s="723">
        <v>4</v>
      </c>
      <c r="D2592" s="723">
        <v>0</v>
      </c>
      <c r="E2592" s="723">
        <v>0</v>
      </c>
      <c r="F2592" s="723">
        <v>0</v>
      </c>
      <c r="G2592" s="723">
        <v>4</v>
      </c>
      <c r="H2592" s="724">
        <v>437.58704210635329</v>
      </c>
      <c r="I2592" s="724">
        <v>0</v>
      </c>
      <c r="J2592" s="724">
        <v>0</v>
      </c>
      <c r="K2592" s="724">
        <v>0</v>
      </c>
      <c r="L2592" s="724">
        <v>437.58704210635329</v>
      </c>
    </row>
    <row r="2593" spans="1:12">
      <c r="A2593" s="722" t="s">
        <v>607</v>
      </c>
      <c r="B2593" s="722">
        <v>211</v>
      </c>
      <c r="C2593" s="723">
        <v>2</v>
      </c>
      <c r="D2593" s="723">
        <v>0</v>
      </c>
      <c r="E2593" s="723">
        <v>0</v>
      </c>
      <c r="F2593" s="723">
        <v>0</v>
      </c>
      <c r="G2593" s="723">
        <v>2</v>
      </c>
      <c r="H2593" s="724">
        <v>218.79352105317665</v>
      </c>
      <c r="I2593" s="724">
        <v>0</v>
      </c>
      <c r="J2593" s="724">
        <v>0</v>
      </c>
      <c r="K2593" s="724">
        <v>0</v>
      </c>
      <c r="L2593" s="724">
        <v>218.79352105317665</v>
      </c>
    </row>
    <row r="2594" spans="1:12">
      <c r="A2594" s="722" t="s">
        <v>311</v>
      </c>
      <c r="B2594" s="722">
        <v>100</v>
      </c>
      <c r="C2594" s="723">
        <v>11</v>
      </c>
      <c r="D2594" s="723">
        <v>15</v>
      </c>
      <c r="E2594" s="723">
        <v>0</v>
      </c>
      <c r="F2594" s="723">
        <v>0</v>
      </c>
      <c r="G2594" s="723">
        <v>26</v>
      </c>
      <c r="H2594" s="724">
        <v>2119.5992221321085</v>
      </c>
      <c r="I2594" s="724">
        <v>2890.3625756346937</v>
      </c>
      <c r="J2594" s="724">
        <v>0</v>
      </c>
      <c r="K2594" s="724">
        <v>0</v>
      </c>
      <c r="L2594" s="724">
        <v>5009.9617977668022</v>
      </c>
    </row>
    <row r="2595" spans="1:12">
      <c r="A2595" s="722" t="s">
        <v>311</v>
      </c>
      <c r="B2595" s="722">
        <v>101</v>
      </c>
      <c r="C2595" s="723">
        <v>50</v>
      </c>
      <c r="D2595" s="723">
        <v>28</v>
      </c>
      <c r="E2595" s="723">
        <v>0</v>
      </c>
      <c r="F2595" s="723">
        <v>0</v>
      </c>
      <c r="G2595" s="723">
        <v>78</v>
      </c>
      <c r="H2595" s="724">
        <v>9634.5419187823118</v>
      </c>
      <c r="I2595" s="724">
        <v>5395.3434745180939</v>
      </c>
      <c r="J2595" s="724">
        <v>0</v>
      </c>
      <c r="K2595" s="724">
        <v>0</v>
      </c>
      <c r="L2595" s="724">
        <v>15029.885393300405</v>
      </c>
    </row>
    <row r="2596" spans="1:12">
      <c r="A2596" s="722" t="s">
        <v>311</v>
      </c>
      <c r="B2596" s="722">
        <v>103</v>
      </c>
      <c r="C2596" s="723">
        <v>1</v>
      </c>
      <c r="D2596" s="723">
        <v>0</v>
      </c>
      <c r="E2596" s="723">
        <v>0</v>
      </c>
      <c r="F2596" s="723">
        <v>0</v>
      </c>
      <c r="G2596" s="723">
        <v>1</v>
      </c>
      <c r="H2596" s="724">
        <v>192.69083837564622</v>
      </c>
      <c r="I2596" s="724">
        <v>0</v>
      </c>
      <c r="J2596" s="724">
        <v>0</v>
      </c>
      <c r="K2596" s="724">
        <v>0</v>
      </c>
      <c r="L2596" s="724">
        <v>192.69083837564622</v>
      </c>
    </row>
    <row r="2597" spans="1:12">
      <c r="A2597" s="722" t="s">
        <v>311</v>
      </c>
      <c r="B2597" s="722">
        <v>104</v>
      </c>
      <c r="C2597" s="723">
        <v>1</v>
      </c>
      <c r="D2597" s="723">
        <v>3</v>
      </c>
      <c r="E2597" s="723">
        <v>0</v>
      </c>
      <c r="F2597" s="723">
        <v>0</v>
      </c>
      <c r="G2597" s="723">
        <v>4</v>
      </c>
      <c r="H2597" s="724">
        <v>192.69083837564622</v>
      </c>
      <c r="I2597" s="724">
        <v>578.0725151269387</v>
      </c>
      <c r="J2597" s="724">
        <v>0</v>
      </c>
      <c r="K2597" s="724">
        <v>0</v>
      </c>
      <c r="L2597" s="724">
        <v>770.76335350258489</v>
      </c>
    </row>
    <row r="2598" spans="1:12">
      <c r="A2598" s="722" t="s">
        <v>311</v>
      </c>
      <c r="B2598" s="722">
        <v>106</v>
      </c>
      <c r="C2598" s="723">
        <v>3</v>
      </c>
      <c r="D2598" s="723">
        <v>0</v>
      </c>
      <c r="E2598" s="723">
        <v>0</v>
      </c>
      <c r="F2598" s="723">
        <v>0</v>
      </c>
      <c r="G2598" s="723">
        <v>3</v>
      </c>
      <c r="H2598" s="724">
        <v>578.07251512693858</v>
      </c>
      <c r="I2598" s="724">
        <v>0</v>
      </c>
      <c r="J2598" s="724">
        <v>0</v>
      </c>
      <c r="K2598" s="724">
        <v>0</v>
      </c>
      <c r="L2598" s="724">
        <v>578.07251512693858</v>
      </c>
    </row>
    <row r="2599" spans="1:12">
      <c r="A2599" s="722" t="s">
        <v>311</v>
      </c>
      <c r="B2599" s="722">
        <v>141</v>
      </c>
      <c r="C2599" s="723">
        <v>0</v>
      </c>
      <c r="D2599" s="723">
        <v>1</v>
      </c>
      <c r="E2599" s="723">
        <v>0</v>
      </c>
      <c r="F2599" s="723">
        <v>0</v>
      </c>
      <c r="G2599" s="723">
        <v>1</v>
      </c>
      <c r="H2599" s="724">
        <v>0</v>
      </c>
      <c r="I2599" s="724">
        <v>192.69083837564622</v>
      </c>
      <c r="J2599" s="724">
        <v>0</v>
      </c>
      <c r="K2599" s="724">
        <v>0</v>
      </c>
      <c r="L2599" s="724">
        <v>192.69083837564622</v>
      </c>
    </row>
    <row r="2600" spans="1:12">
      <c r="A2600" s="722" t="s">
        <v>311</v>
      </c>
      <c r="B2600" s="722">
        <v>160</v>
      </c>
      <c r="C2600" s="723">
        <v>2</v>
      </c>
      <c r="D2600" s="723">
        <v>1</v>
      </c>
      <c r="E2600" s="723">
        <v>0</v>
      </c>
      <c r="F2600" s="723">
        <v>0</v>
      </c>
      <c r="G2600" s="723">
        <v>3</v>
      </c>
      <c r="H2600" s="724">
        <v>385.38167675129239</v>
      </c>
      <c r="I2600" s="724">
        <v>192.69083837564619</v>
      </c>
      <c r="J2600" s="724">
        <v>0</v>
      </c>
      <c r="K2600" s="724">
        <v>0</v>
      </c>
      <c r="L2600" s="724">
        <v>578.07251512693858</v>
      </c>
    </row>
    <row r="2601" spans="1:12">
      <c r="A2601" s="722" t="s">
        <v>311</v>
      </c>
      <c r="B2601" s="722">
        <v>320</v>
      </c>
      <c r="C2601" s="723">
        <v>1</v>
      </c>
      <c r="D2601" s="723">
        <v>0</v>
      </c>
      <c r="E2601" s="723">
        <v>0</v>
      </c>
      <c r="F2601" s="723">
        <v>0</v>
      </c>
      <c r="G2601" s="723">
        <v>1</v>
      </c>
      <c r="H2601" s="724">
        <v>192.69083837564622</v>
      </c>
      <c r="I2601" s="724">
        <v>0</v>
      </c>
      <c r="J2601" s="724">
        <v>0</v>
      </c>
      <c r="K2601" s="724">
        <v>0</v>
      </c>
      <c r="L2601" s="724">
        <v>192.69083837564622</v>
      </c>
    </row>
    <row r="2602" spans="1:12">
      <c r="A2602" s="722" t="s">
        <v>311</v>
      </c>
      <c r="B2602" s="722">
        <v>330</v>
      </c>
      <c r="C2602" s="723">
        <v>16</v>
      </c>
      <c r="D2602" s="723">
        <v>2</v>
      </c>
      <c r="E2602" s="723">
        <v>0</v>
      </c>
      <c r="F2602" s="723">
        <v>0</v>
      </c>
      <c r="G2602" s="723">
        <v>18</v>
      </c>
      <c r="H2602" s="724">
        <v>3083.0534140103391</v>
      </c>
      <c r="I2602" s="724">
        <v>385.38167675129239</v>
      </c>
      <c r="J2602" s="724">
        <v>0</v>
      </c>
      <c r="K2602" s="724">
        <v>0</v>
      </c>
      <c r="L2602" s="724">
        <v>3468.4350907616317</v>
      </c>
    </row>
    <row r="2603" spans="1:12">
      <c r="A2603" s="722" t="s">
        <v>311</v>
      </c>
      <c r="B2603" s="722">
        <v>360</v>
      </c>
      <c r="C2603" s="723">
        <v>1</v>
      </c>
      <c r="D2603" s="723">
        <v>0</v>
      </c>
      <c r="E2603" s="723">
        <v>0</v>
      </c>
      <c r="F2603" s="723">
        <v>0</v>
      </c>
      <c r="G2603" s="723">
        <v>1</v>
      </c>
      <c r="H2603" s="724">
        <v>192.69083837564622</v>
      </c>
      <c r="I2603" s="724">
        <v>0</v>
      </c>
      <c r="J2603" s="724">
        <v>0</v>
      </c>
      <c r="K2603" s="724">
        <v>0</v>
      </c>
      <c r="L2603" s="724">
        <v>192.69083837564622</v>
      </c>
    </row>
    <row r="2604" spans="1:12">
      <c r="A2604" s="722" t="s">
        <v>311</v>
      </c>
      <c r="B2604" s="722">
        <v>502</v>
      </c>
      <c r="C2604" s="723">
        <v>149</v>
      </c>
      <c r="D2604" s="723">
        <v>127</v>
      </c>
      <c r="E2604" s="723">
        <v>0</v>
      </c>
      <c r="F2604" s="723">
        <v>0</v>
      </c>
      <c r="G2604" s="723">
        <v>276</v>
      </c>
      <c r="H2604" s="724">
        <v>28710.934917971284</v>
      </c>
      <c r="I2604" s="724">
        <v>24471.736473707071</v>
      </c>
      <c r="J2604" s="724">
        <v>0</v>
      </c>
      <c r="K2604" s="724">
        <v>0</v>
      </c>
      <c r="L2604" s="724">
        <v>53182.671391678356</v>
      </c>
    </row>
    <row r="2605" spans="1:12">
      <c r="A2605" s="722" t="s">
        <v>311</v>
      </c>
      <c r="B2605" s="722">
        <v>812</v>
      </c>
      <c r="C2605" s="723">
        <v>0</v>
      </c>
      <c r="D2605" s="723">
        <v>23</v>
      </c>
      <c r="E2605" s="723">
        <v>0</v>
      </c>
      <c r="F2605" s="723">
        <v>0</v>
      </c>
      <c r="G2605" s="723">
        <v>23</v>
      </c>
      <c r="H2605" s="724">
        <v>0</v>
      </c>
      <c r="I2605" s="724">
        <v>4431.8892826398633</v>
      </c>
      <c r="J2605" s="724">
        <v>0</v>
      </c>
      <c r="K2605" s="724">
        <v>0</v>
      </c>
      <c r="L2605" s="724">
        <v>4431.8892826398633</v>
      </c>
    </row>
    <row r="2606" spans="1:12">
      <c r="A2606" s="722" t="s">
        <v>619</v>
      </c>
      <c r="B2606" s="722">
        <v>100</v>
      </c>
      <c r="C2606" s="723">
        <v>1</v>
      </c>
      <c r="D2606" s="723">
        <v>0</v>
      </c>
      <c r="E2606" s="723">
        <v>0</v>
      </c>
      <c r="F2606" s="723">
        <v>0</v>
      </c>
      <c r="G2606" s="723">
        <v>1</v>
      </c>
      <c r="H2606" s="724">
        <v>118.1531746919874</v>
      </c>
      <c r="I2606" s="724">
        <v>0</v>
      </c>
      <c r="J2606" s="724">
        <v>0</v>
      </c>
      <c r="K2606" s="724">
        <v>0</v>
      </c>
      <c r="L2606" s="724">
        <v>118.1531746919874</v>
      </c>
    </row>
    <row r="2607" spans="1:12">
      <c r="A2607" s="722" t="s">
        <v>619</v>
      </c>
      <c r="B2607" s="722">
        <v>171</v>
      </c>
      <c r="C2607" s="723">
        <v>12</v>
      </c>
      <c r="D2607" s="723">
        <v>0</v>
      </c>
      <c r="E2607" s="723">
        <v>0</v>
      </c>
      <c r="F2607" s="723">
        <v>0</v>
      </c>
      <c r="G2607" s="723">
        <v>12</v>
      </c>
      <c r="H2607" s="724">
        <v>1417.8380963038489</v>
      </c>
      <c r="I2607" s="724">
        <v>0</v>
      </c>
      <c r="J2607" s="724">
        <v>0</v>
      </c>
      <c r="K2607" s="724">
        <v>0</v>
      </c>
      <c r="L2607" s="724">
        <v>1417.8380963038489</v>
      </c>
    </row>
    <row r="2608" spans="1:12">
      <c r="A2608" s="722" t="s">
        <v>619</v>
      </c>
      <c r="B2608" s="722">
        <v>211</v>
      </c>
      <c r="C2608" s="723">
        <v>6</v>
      </c>
      <c r="D2608" s="723">
        <v>0</v>
      </c>
      <c r="E2608" s="723">
        <v>0</v>
      </c>
      <c r="F2608" s="723">
        <v>0</v>
      </c>
      <c r="G2608" s="723">
        <v>6</v>
      </c>
      <c r="H2608" s="724">
        <v>708.91904815192447</v>
      </c>
      <c r="I2608" s="724">
        <v>0</v>
      </c>
      <c r="J2608" s="724">
        <v>0</v>
      </c>
      <c r="K2608" s="724">
        <v>0</v>
      </c>
      <c r="L2608" s="724">
        <v>708.91904815192447</v>
      </c>
    </row>
    <row r="2609" spans="1:12">
      <c r="A2609" s="722" t="s">
        <v>619</v>
      </c>
      <c r="B2609" s="722">
        <v>259</v>
      </c>
      <c r="C2609" s="723">
        <v>1</v>
      </c>
      <c r="D2609" s="723">
        <v>0</v>
      </c>
      <c r="E2609" s="723">
        <v>0</v>
      </c>
      <c r="F2609" s="723">
        <v>0</v>
      </c>
      <c r="G2609" s="723">
        <v>1</v>
      </c>
      <c r="H2609" s="724">
        <v>118.1531746919874</v>
      </c>
      <c r="I2609" s="724">
        <v>0</v>
      </c>
      <c r="J2609" s="724">
        <v>0</v>
      </c>
      <c r="K2609" s="724">
        <v>0</v>
      </c>
      <c r="L2609" s="724">
        <v>118.1531746919874</v>
      </c>
    </row>
    <row r="2610" spans="1:12">
      <c r="A2610" s="722" t="s">
        <v>619</v>
      </c>
      <c r="B2610" s="722">
        <v>330</v>
      </c>
      <c r="C2610" s="723">
        <v>1</v>
      </c>
      <c r="D2610" s="723">
        <v>0</v>
      </c>
      <c r="E2610" s="723">
        <v>0</v>
      </c>
      <c r="F2610" s="723">
        <v>0</v>
      </c>
      <c r="G2610" s="723">
        <v>1</v>
      </c>
      <c r="H2610" s="724">
        <v>118.1531746919874</v>
      </c>
      <c r="I2610" s="724">
        <v>0</v>
      </c>
      <c r="J2610" s="724">
        <v>0</v>
      </c>
      <c r="K2610" s="724">
        <v>0</v>
      </c>
      <c r="L2610" s="724">
        <v>118.1531746919874</v>
      </c>
    </row>
    <row r="2611" spans="1:12">
      <c r="A2611" s="722" t="s">
        <v>619</v>
      </c>
      <c r="B2611" s="722">
        <v>420</v>
      </c>
      <c r="C2611" s="723">
        <v>0</v>
      </c>
      <c r="D2611" s="723">
        <v>1</v>
      </c>
      <c r="E2611" s="723">
        <v>0</v>
      </c>
      <c r="F2611" s="723">
        <v>0</v>
      </c>
      <c r="G2611" s="723">
        <v>1</v>
      </c>
      <c r="H2611" s="724">
        <v>0</v>
      </c>
      <c r="I2611" s="724">
        <v>118.1531746919874</v>
      </c>
      <c r="J2611" s="724">
        <v>0</v>
      </c>
      <c r="K2611" s="724">
        <v>0</v>
      </c>
      <c r="L2611" s="724">
        <v>118.1531746919874</v>
      </c>
    </row>
    <row r="2612" spans="1:12">
      <c r="A2612" s="722" t="s">
        <v>619</v>
      </c>
      <c r="B2612" s="722">
        <v>812</v>
      </c>
      <c r="C2612" s="723">
        <v>0</v>
      </c>
      <c r="D2612" s="723">
        <v>1</v>
      </c>
      <c r="E2612" s="723">
        <v>0</v>
      </c>
      <c r="F2612" s="723">
        <v>0</v>
      </c>
      <c r="G2612" s="723">
        <v>1</v>
      </c>
      <c r="H2612" s="724">
        <v>0</v>
      </c>
      <c r="I2612" s="724">
        <v>118.1531746919874</v>
      </c>
      <c r="J2612" s="724">
        <v>0</v>
      </c>
      <c r="K2612" s="724">
        <v>0</v>
      </c>
      <c r="L2612" s="724">
        <v>118.1531746919874</v>
      </c>
    </row>
    <row r="2613" spans="1:12">
      <c r="A2613" s="722" t="s">
        <v>564</v>
      </c>
      <c r="B2613" s="722">
        <v>171</v>
      </c>
      <c r="C2613" s="723">
        <v>4</v>
      </c>
      <c r="D2613" s="723">
        <v>0</v>
      </c>
      <c r="E2613" s="723">
        <v>0</v>
      </c>
      <c r="F2613" s="723">
        <v>0</v>
      </c>
      <c r="G2613" s="723">
        <v>4</v>
      </c>
      <c r="H2613" s="724">
        <v>692.34276775736248</v>
      </c>
      <c r="I2613" s="724">
        <v>0</v>
      </c>
      <c r="J2613" s="724">
        <v>0</v>
      </c>
      <c r="K2613" s="724">
        <v>0</v>
      </c>
      <c r="L2613" s="724">
        <v>692.34276775736248</v>
      </c>
    </row>
    <row r="2614" spans="1:12">
      <c r="A2614" s="722" t="s">
        <v>564</v>
      </c>
      <c r="B2614" s="722">
        <v>211</v>
      </c>
      <c r="C2614" s="723">
        <v>1</v>
      </c>
      <c r="D2614" s="723">
        <v>0</v>
      </c>
      <c r="E2614" s="723">
        <v>0</v>
      </c>
      <c r="F2614" s="723">
        <v>0</v>
      </c>
      <c r="G2614" s="723">
        <v>1</v>
      </c>
      <c r="H2614" s="724">
        <v>173.08569193934062</v>
      </c>
      <c r="I2614" s="724">
        <v>0</v>
      </c>
      <c r="J2614" s="724">
        <v>0</v>
      </c>
      <c r="K2614" s="724">
        <v>0</v>
      </c>
      <c r="L2614" s="724">
        <v>173.08569193934062</v>
      </c>
    </row>
    <row r="2615" spans="1:12">
      <c r="A2615" s="722" t="s">
        <v>312</v>
      </c>
      <c r="B2615" s="722">
        <v>100</v>
      </c>
      <c r="C2615" s="723">
        <v>1</v>
      </c>
      <c r="D2615" s="723">
        <v>0</v>
      </c>
      <c r="E2615" s="723">
        <v>0</v>
      </c>
      <c r="F2615" s="723">
        <v>0</v>
      </c>
      <c r="G2615" s="723">
        <v>1</v>
      </c>
      <c r="H2615" s="724">
        <v>115.90739512345607</v>
      </c>
      <c r="I2615" s="724">
        <v>0</v>
      </c>
      <c r="J2615" s="724">
        <v>0</v>
      </c>
      <c r="K2615" s="724">
        <v>0</v>
      </c>
      <c r="L2615" s="724">
        <v>115.90739512345607</v>
      </c>
    </row>
    <row r="2616" spans="1:12">
      <c r="A2616" s="722" t="s">
        <v>312</v>
      </c>
      <c r="B2616" s="722">
        <v>101</v>
      </c>
      <c r="C2616" s="723">
        <v>613</v>
      </c>
      <c r="D2616" s="723">
        <v>112</v>
      </c>
      <c r="E2616" s="723">
        <v>0</v>
      </c>
      <c r="F2616" s="723">
        <v>0</v>
      </c>
      <c r="G2616" s="723">
        <v>725</v>
      </c>
      <c r="H2616" s="724">
        <v>71051.233210678576</v>
      </c>
      <c r="I2616" s="724">
        <v>12981.628253827079</v>
      </c>
      <c r="J2616" s="724">
        <v>0</v>
      </c>
      <c r="K2616" s="724">
        <v>0</v>
      </c>
      <c r="L2616" s="724">
        <v>84032.861464505651</v>
      </c>
    </row>
    <row r="2617" spans="1:12">
      <c r="A2617" s="722" t="s">
        <v>312</v>
      </c>
      <c r="B2617" s="722">
        <v>110</v>
      </c>
      <c r="C2617" s="723">
        <v>0</v>
      </c>
      <c r="D2617" s="723">
        <v>1</v>
      </c>
      <c r="E2617" s="723">
        <v>0</v>
      </c>
      <c r="F2617" s="723">
        <v>0</v>
      </c>
      <c r="G2617" s="723">
        <v>1</v>
      </c>
      <c r="H2617" s="724">
        <v>0</v>
      </c>
      <c r="I2617" s="724">
        <v>115.90739512345607</v>
      </c>
      <c r="J2617" s="724">
        <v>0</v>
      </c>
      <c r="K2617" s="724">
        <v>0</v>
      </c>
      <c r="L2617" s="724">
        <v>115.90739512345607</v>
      </c>
    </row>
    <row r="2618" spans="1:12">
      <c r="A2618" s="722" t="s">
        <v>312</v>
      </c>
      <c r="B2618" s="722">
        <v>300</v>
      </c>
      <c r="C2618" s="723">
        <v>1</v>
      </c>
      <c r="D2618" s="723">
        <v>1</v>
      </c>
      <c r="E2618" s="723">
        <v>0</v>
      </c>
      <c r="F2618" s="723">
        <v>0</v>
      </c>
      <c r="G2618" s="723">
        <v>2</v>
      </c>
      <c r="H2618" s="724">
        <v>115.90739512345607</v>
      </c>
      <c r="I2618" s="724">
        <v>115.90739512345607</v>
      </c>
      <c r="J2618" s="724">
        <v>0</v>
      </c>
      <c r="K2618" s="724">
        <v>0</v>
      </c>
      <c r="L2618" s="724">
        <v>231.81479024691214</v>
      </c>
    </row>
    <row r="2619" spans="1:12">
      <c r="A2619" s="722" t="s">
        <v>312</v>
      </c>
      <c r="B2619" s="722">
        <v>410</v>
      </c>
      <c r="C2619" s="723">
        <v>0</v>
      </c>
      <c r="D2619" s="723">
        <v>1</v>
      </c>
      <c r="E2619" s="723">
        <v>0</v>
      </c>
      <c r="F2619" s="723">
        <v>0</v>
      </c>
      <c r="G2619" s="723">
        <v>1</v>
      </c>
      <c r="H2619" s="724">
        <v>0</v>
      </c>
      <c r="I2619" s="724">
        <v>115.90739512345607</v>
      </c>
      <c r="J2619" s="724">
        <v>0</v>
      </c>
      <c r="K2619" s="724">
        <v>0</v>
      </c>
      <c r="L2619" s="724">
        <v>115.90739512345607</v>
      </c>
    </row>
    <row r="2620" spans="1:12">
      <c r="A2620" s="722" t="s">
        <v>312</v>
      </c>
      <c r="B2620" s="722">
        <v>502</v>
      </c>
      <c r="C2620" s="723">
        <v>29</v>
      </c>
      <c r="D2620" s="723">
        <v>33</v>
      </c>
      <c r="E2620" s="723">
        <v>0</v>
      </c>
      <c r="F2620" s="723">
        <v>0</v>
      </c>
      <c r="G2620" s="723">
        <v>62</v>
      </c>
      <c r="H2620" s="724">
        <v>3361.3144585802261</v>
      </c>
      <c r="I2620" s="724">
        <v>3824.9440390740506</v>
      </c>
      <c r="J2620" s="724">
        <v>0</v>
      </c>
      <c r="K2620" s="724">
        <v>0</v>
      </c>
      <c r="L2620" s="724">
        <v>7186.2584976542767</v>
      </c>
    </row>
    <row r="2621" spans="1:12">
      <c r="A2621" s="722" t="s">
        <v>312</v>
      </c>
      <c r="B2621" s="722">
        <v>503</v>
      </c>
      <c r="C2621" s="723">
        <v>0</v>
      </c>
      <c r="D2621" s="723">
        <v>2</v>
      </c>
      <c r="E2621" s="723">
        <v>0</v>
      </c>
      <c r="F2621" s="723">
        <v>0</v>
      </c>
      <c r="G2621" s="723">
        <v>2</v>
      </c>
      <c r="H2621" s="724">
        <v>0</v>
      </c>
      <c r="I2621" s="724">
        <v>231.81479024691214</v>
      </c>
      <c r="J2621" s="724">
        <v>0</v>
      </c>
      <c r="K2621" s="724">
        <v>0</v>
      </c>
      <c r="L2621" s="724">
        <v>231.81479024691214</v>
      </c>
    </row>
    <row r="2622" spans="1:12">
      <c r="A2622" s="722" t="s">
        <v>312</v>
      </c>
      <c r="B2622" s="722">
        <v>811</v>
      </c>
      <c r="C2622" s="723">
        <v>3</v>
      </c>
      <c r="D2622" s="723">
        <v>9</v>
      </c>
      <c r="E2622" s="723">
        <v>0</v>
      </c>
      <c r="F2622" s="723">
        <v>0</v>
      </c>
      <c r="G2622" s="723">
        <v>12</v>
      </c>
      <c r="H2622" s="724">
        <v>347.72218537036821</v>
      </c>
      <c r="I2622" s="724">
        <v>1043.1665561111047</v>
      </c>
      <c r="J2622" s="724">
        <v>0</v>
      </c>
      <c r="K2622" s="724">
        <v>0</v>
      </c>
      <c r="L2622" s="724">
        <v>1390.8887414814728</v>
      </c>
    </row>
    <row r="2623" spans="1:12">
      <c r="A2623" s="722" t="s">
        <v>312</v>
      </c>
      <c r="B2623" s="722">
        <v>812</v>
      </c>
      <c r="C2623" s="723">
        <v>3</v>
      </c>
      <c r="D2623" s="723">
        <v>22</v>
      </c>
      <c r="E2623" s="723">
        <v>0</v>
      </c>
      <c r="F2623" s="723">
        <v>0</v>
      </c>
      <c r="G2623" s="723">
        <v>25</v>
      </c>
      <c r="H2623" s="724">
        <v>347.72218537036815</v>
      </c>
      <c r="I2623" s="724">
        <v>2549.9626927160334</v>
      </c>
      <c r="J2623" s="724">
        <v>0</v>
      </c>
      <c r="K2623" s="724">
        <v>0</v>
      </c>
      <c r="L2623" s="724">
        <v>2897.6848780864016</v>
      </c>
    </row>
    <row r="2624" spans="1:12">
      <c r="A2624" s="722" t="s">
        <v>313</v>
      </c>
      <c r="B2624" s="722">
        <v>101</v>
      </c>
      <c r="C2624" s="723">
        <v>6</v>
      </c>
      <c r="D2624" s="723">
        <v>0</v>
      </c>
      <c r="E2624" s="723">
        <v>0</v>
      </c>
      <c r="F2624" s="723">
        <v>0</v>
      </c>
      <c r="G2624" s="723">
        <v>6</v>
      </c>
      <c r="H2624" s="724">
        <v>909.2303332739599</v>
      </c>
      <c r="I2624" s="724">
        <v>0</v>
      </c>
      <c r="J2624" s="724">
        <v>0</v>
      </c>
      <c r="K2624" s="724">
        <v>0</v>
      </c>
      <c r="L2624" s="724">
        <v>909.2303332739599</v>
      </c>
    </row>
    <row r="2625" spans="1:12">
      <c r="A2625" s="722" t="s">
        <v>313</v>
      </c>
      <c r="B2625" s="722">
        <v>171</v>
      </c>
      <c r="C2625" s="723">
        <v>8</v>
      </c>
      <c r="D2625" s="723">
        <v>0</v>
      </c>
      <c r="E2625" s="723">
        <v>0</v>
      </c>
      <c r="F2625" s="723">
        <v>0</v>
      </c>
      <c r="G2625" s="723">
        <v>8</v>
      </c>
      <c r="H2625" s="724">
        <v>1212.3071110319465</v>
      </c>
      <c r="I2625" s="724">
        <v>0</v>
      </c>
      <c r="J2625" s="724">
        <v>0</v>
      </c>
      <c r="K2625" s="724">
        <v>0</v>
      </c>
      <c r="L2625" s="724">
        <v>1212.3071110319465</v>
      </c>
    </row>
    <row r="2626" spans="1:12">
      <c r="A2626" s="722" t="s">
        <v>313</v>
      </c>
      <c r="B2626" s="722">
        <v>211</v>
      </c>
      <c r="C2626" s="723">
        <v>4</v>
      </c>
      <c r="D2626" s="723">
        <v>0</v>
      </c>
      <c r="E2626" s="723">
        <v>0</v>
      </c>
      <c r="F2626" s="723">
        <v>0</v>
      </c>
      <c r="G2626" s="723">
        <v>4</v>
      </c>
      <c r="H2626" s="724">
        <v>606.15355551597327</v>
      </c>
      <c r="I2626" s="724">
        <v>0</v>
      </c>
      <c r="J2626" s="724">
        <v>0</v>
      </c>
      <c r="K2626" s="724">
        <v>0</v>
      </c>
      <c r="L2626" s="724">
        <v>606.15355551597327</v>
      </c>
    </row>
    <row r="2627" spans="1:12">
      <c r="A2627" s="722" t="s">
        <v>313</v>
      </c>
      <c r="B2627" s="722">
        <v>812</v>
      </c>
      <c r="C2627" s="723">
        <v>2</v>
      </c>
      <c r="D2627" s="723">
        <v>1</v>
      </c>
      <c r="E2627" s="723">
        <v>0</v>
      </c>
      <c r="F2627" s="723">
        <v>0</v>
      </c>
      <c r="G2627" s="723">
        <v>3</v>
      </c>
      <c r="H2627" s="724">
        <v>303.07677775798663</v>
      </c>
      <c r="I2627" s="724">
        <v>151.53838887899332</v>
      </c>
      <c r="J2627" s="724">
        <v>0</v>
      </c>
      <c r="K2627" s="724">
        <v>0</v>
      </c>
      <c r="L2627" s="724">
        <v>454.61516663697995</v>
      </c>
    </row>
    <row r="2628" spans="1:12">
      <c r="A2628" s="722" t="s">
        <v>314</v>
      </c>
      <c r="B2628" s="722">
        <v>100</v>
      </c>
      <c r="C2628" s="723">
        <v>6</v>
      </c>
      <c r="D2628" s="723">
        <v>1</v>
      </c>
      <c r="E2628" s="723">
        <v>0</v>
      </c>
      <c r="F2628" s="723">
        <v>0</v>
      </c>
      <c r="G2628" s="723">
        <v>7</v>
      </c>
      <c r="H2628" s="724">
        <v>596.97847091373194</v>
      </c>
      <c r="I2628" s="724">
        <v>99.496411818955337</v>
      </c>
      <c r="J2628" s="724">
        <v>0</v>
      </c>
      <c r="K2628" s="724">
        <v>0</v>
      </c>
      <c r="L2628" s="724">
        <v>696.47488273268732</v>
      </c>
    </row>
    <row r="2629" spans="1:12">
      <c r="A2629" s="722" t="s">
        <v>314</v>
      </c>
      <c r="B2629" s="722">
        <v>101</v>
      </c>
      <c r="C2629" s="723">
        <v>98</v>
      </c>
      <c r="D2629" s="723">
        <v>52</v>
      </c>
      <c r="E2629" s="723">
        <v>0</v>
      </c>
      <c r="F2629" s="723">
        <v>0</v>
      </c>
      <c r="G2629" s="723">
        <v>150</v>
      </c>
      <c r="H2629" s="724">
        <v>9750.648358257622</v>
      </c>
      <c r="I2629" s="724">
        <v>5173.8134145856775</v>
      </c>
      <c r="J2629" s="724">
        <v>0</v>
      </c>
      <c r="K2629" s="724">
        <v>0</v>
      </c>
      <c r="L2629" s="724">
        <v>14924.4617728433</v>
      </c>
    </row>
    <row r="2630" spans="1:12">
      <c r="A2630" s="722" t="s">
        <v>314</v>
      </c>
      <c r="B2630" s="722">
        <v>103</v>
      </c>
      <c r="C2630" s="723">
        <v>0</v>
      </c>
      <c r="D2630" s="723">
        <v>4</v>
      </c>
      <c r="E2630" s="723">
        <v>0</v>
      </c>
      <c r="F2630" s="723">
        <v>0</v>
      </c>
      <c r="G2630" s="723">
        <v>4</v>
      </c>
      <c r="H2630" s="724">
        <v>0</v>
      </c>
      <c r="I2630" s="724">
        <v>397.98564727582135</v>
      </c>
      <c r="J2630" s="724">
        <v>0</v>
      </c>
      <c r="K2630" s="724">
        <v>0</v>
      </c>
      <c r="L2630" s="724">
        <v>397.98564727582135</v>
      </c>
    </row>
    <row r="2631" spans="1:12">
      <c r="A2631" s="722" t="s">
        <v>314</v>
      </c>
      <c r="B2631" s="722">
        <v>160</v>
      </c>
      <c r="C2631" s="723">
        <v>2</v>
      </c>
      <c r="D2631" s="723">
        <v>0</v>
      </c>
      <c r="E2631" s="723">
        <v>0</v>
      </c>
      <c r="F2631" s="723">
        <v>0</v>
      </c>
      <c r="G2631" s="723">
        <v>2</v>
      </c>
      <c r="H2631" s="724">
        <v>198.99282363791067</v>
      </c>
      <c r="I2631" s="724">
        <v>0</v>
      </c>
      <c r="J2631" s="724">
        <v>0</v>
      </c>
      <c r="K2631" s="724">
        <v>0</v>
      </c>
      <c r="L2631" s="724">
        <v>198.99282363791067</v>
      </c>
    </row>
    <row r="2632" spans="1:12">
      <c r="A2632" s="722" t="s">
        <v>314</v>
      </c>
      <c r="B2632" s="722">
        <v>190</v>
      </c>
      <c r="C2632" s="723">
        <v>1</v>
      </c>
      <c r="D2632" s="723">
        <v>0</v>
      </c>
      <c r="E2632" s="723">
        <v>0</v>
      </c>
      <c r="F2632" s="723">
        <v>0</v>
      </c>
      <c r="G2632" s="723">
        <v>1</v>
      </c>
      <c r="H2632" s="724">
        <v>99.496411818955337</v>
      </c>
      <c r="I2632" s="724">
        <v>0</v>
      </c>
      <c r="J2632" s="724">
        <v>0</v>
      </c>
      <c r="K2632" s="724">
        <v>0</v>
      </c>
      <c r="L2632" s="724">
        <v>99.496411818955337</v>
      </c>
    </row>
    <row r="2633" spans="1:12">
      <c r="A2633" s="722" t="s">
        <v>314</v>
      </c>
      <c r="B2633" s="722">
        <v>301</v>
      </c>
      <c r="C2633" s="723">
        <v>3</v>
      </c>
      <c r="D2633" s="723">
        <v>0</v>
      </c>
      <c r="E2633" s="723">
        <v>0</v>
      </c>
      <c r="F2633" s="723">
        <v>0</v>
      </c>
      <c r="G2633" s="723">
        <v>3</v>
      </c>
      <c r="H2633" s="724">
        <v>298.48923545686597</v>
      </c>
      <c r="I2633" s="724">
        <v>0</v>
      </c>
      <c r="J2633" s="724">
        <v>0</v>
      </c>
      <c r="K2633" s="724">
        <v>0</v>
      </c>
      <c r="L2633" s="724">
        <v>298.48923545686597</v>
      </c>
    </row>
    <row r="2634" spans="1:12">
      <c r="A2634" s="722" t="s">
        <v>314</v>
      </c>
      <c r="B2634" s="722">
        <v>330</v>
      </c>
      <c r="C2634" s="723">
        <v>29</v>
      </c>
      <c r="D2634" s="723">
        <v>16</v>
      </c>
      <c r="E2634" s="723">
        <v>0</v>
      </c>
      <c r="F2634" s="723">
        <v>0</v>
      </c>
      <c r="G2634" s="723">
        <v>45</v>
      </c>
      <c r="H2634" s="724">
        <v>2885.3959427497048</v>
      </c>
      <c r="I2634" s="724">
        <v>1591.9425891032854</v>
      </c>
      <c r="J2634" s="724">
        <v>0</v>
      </c>
      <c r="K2634" s="724">
        <v>0</v>
      </c>
      <c r="L2634" s="724">
        <v>4477.3385318529899</v>
      </c>
    </row>
    <row r="2635" spans="1:12">
      <c r="A2635" s="722" t="s">
        <v>314</v>
      </c>
      <c r="B2635" s="722">
        <v>340</v>
      </c>
      <c r="C2635" s="723">
        <v>0</v>
      </c>
      <c r="D2635" s="723">
        <v>1</v>
      </c>
      <c r="E2635" s="723">
        <v>0</v>
      </c>
      <c r="F2635" s="723">
        <v>0</v>
      </c>
      <c r="G2635" s="723">
        <v>1</v>
      </c>
      <c r="H2635" s="724">
        <v>0</v>
      </c>
      <c r="I2635" s="724">
        <v>99.496411818955337</v>
      </c>
      <c r="J2635" s="724">
        <v>0</v>
      </c>
      <c r="K2635" s="724">
        <v>0</v>
      </c>
      <c r="L2635" s="724">
        <v>99.496411818955337</v>
      </c>
    </row>
    <row r="2636" spans="1:12">
      <c r="A2636" s="722" t="s">
        <v>314</v>
      </c>
      <c r="B2636" s="722">
        <v>360</v>
      </c>
      <c r="C2636" s="723">
        <v>115</v>
      </c>
      <c r="D2636" s="723">
        <v>109</v>
      </c>
      <c r="E2636" s="723">
        <v>0</v>
      </c>
      <c r="F2636" s="723">
        <v>0</v>
      </c>
      <c r="G2636" s="723">
        <v>224</v>
      </c>
      <c r="H2636" s="724">
        <v>11442.087359179863</v>
      </c>
      <c r="I2636" s="724">
        <v>10845.108888266132</v>
      </c>
      <c r="J2636" s="724">
        <v>0</v>
      </c>
      <c r="K2636" s="724">
        <v>0</v>
      </c>
      <c r="L2636" s="724">
        <v>22287.196247445994</v>
      </c>
    </row>
    <row r="2637" spans="1:12">
      <c r="A2637" s="722" t="s">
        <v>314</v>
      </c>
      <c r="B2637" s="722">
        <v>502</v>
      </c>
      <c r="C2637" s="723">
        <v>8</v>
      </c>
      <c r="D2637" s="723">
        <v>5</v>
      </c>
      <c r="E2637" s="723">
        <v>0</v>
      </c>
      <c r="F2637" s="723">
        <v>0</v>
      </c>
      <c r="G2637" s="723">
        <v>13</v>
      </c>
      <c r="H2637" s="724">
        <v>795.9712945516427</v>
      </c>
      <c r="I2637" s="724">
        <v>497.48205909477667</v>
      </c>
      <c r="J2637" s="724">
        <v>0</v>
      </c>
      <c r="K2637" s="724">
        <v>0</v>
      </c>
      <c r="L2637" s="724">
        <v>1293.4533536464194</v>
      </c>
    </row>
    <row r="2638" spans="1:12">
      <c r="A2638" s="722" t="s">
        <v>640</v>
      </c>
      <c r="B2638" s="722">
        <v>101</v>
      </c>
      <c r="C2638" s="723">
        <v>6</v>
      </c>
      <c r="D2638" s="723">
        <v>4</v>
      </c>
      <c r="E2638" s="723">
        <v>0</v>
      </c>
      <c r="F2638" s="723">
        <v>0</v>
      </c>
      <c r="G2638" s="723">
        <v>10</v>
      </c>
      <c r="H2638" s="724">
        <v>737.40467359543709</v>
      </c>
      <c r="I2638" s="724">
        <v>491.60311573029139</v>
      </c>
      <c r="J2638" s="724">
        <v>0</v>
      </c>
      <c r="K2638" s="724">
        <v>0</v>
      </c>
      <c r="L2638" s="724">
        <v>1229.0077893257285</v>
      </c>
    </row>
    <row r="2639" spans="1:12">
      <c r="A2639" s="722" t="s">
        <v>640</v>
      </c>
      <c r="B2639" s="722">
        <v>130</v>
      </c>
      <c r="C2639" s="723">
        <v>1</v>
      </c>
      <c r="D2639" s="723">
        <v>0</v>
      </c>
      <c r="E2639" s="723">
        <v>0</v>
      </c>
      <c r="F2639" s="723">
        <v>0</v>
      </c>
      <c r="G2639" s="723">
        <v>1</v>
      </c>
      <c r="H2639" s="724">
        <v>122.90077893257285</v>
      </c>
      <c r="I2639" s="724">
        <v>0</v>
      </c>
      <c r="J2639" s="724">
        <v>0</v>
      </c>
      <c r="K2639" s="724">
        <v>0</v>
      </c>
      <c r="L2639" s="724">
        <v>122.90077893257285</v>
      </c>
    </row>
    <row r="2640" spans="1:12">
      <c r="A2640" s="722" t="s">
        <v>640</v>
      </c>
      <c r="B2640" s="722">
        <v>171</v>
      </c>
      <c r="C2640" s="723">
        <v>5</v>
      </c>
      <c r="D2640" s="723">
        <v>8</v>
      </c>
      <c r="E2640" s="723">
        <v>0</v>
      </c>
      <c r="F2640" s="723">
        <v>0</v>
      </c>
      <c r="G2640" s="723">
        <v>13</v>
      </c>
      <c r="H2640" s="724">
        <v>614.50389466286413</v>
      </c>
      <c r="I2640" s="724">
        <v>983.20623146058267</v>
      </c>
      <c r="J2640" s="724">
        <v>0</v>
      </c>
      <c r="K2640" s="724">
        <v>0</v>
      </c>
      <c r="L2640" s="724">
        <v>1597.7101261234468</v>
      </c>
    </row>
    <row r="2641" spans="1:12">
      <c r="A2641" s="722" t="s">
        <v>640</v>
      </c>
      <c r="B2641" s="722">
        <v>211</v>
      </c>
      <c r="C2641" s="723">
        <v>2</v>
      </c>
      <c r="D2641" s="723">
        <v>5</v>
      </c>
      <c r="E2641" s="723">
        <v>0</v>
      </c>
      <c r="F2641" s="723">
        <v>0</v>
      </c>
      <c r="G2641" s="723">
        <v>7</v>
      </c>
      <c r="H2641" s="724">
        <v>245.80155786514572</v>
      </c>
      <c r="I2641" s="724">
        <v>614.50389466286435</v>
      </c>
      <c r="J2641" s="724">
        <v>0</v>
      </c>
      <c r="K2641" s="724">
        <v>0</v>
      </c>
      <c r="L2641" s="724">
        <v>860.30545252801005</v>
      </c>
    </row>
    <row r="2642" spans="1:12">
      <c r="A2642" s="722" t="s">
        <v>640</v>
      </c>
      <c r="B2642" s="722">
        <v>257</v>
      </c>
      <c r="C2642" s="723">
        <v>2</v>
      </c>
      <c r="D2642" s="723">
        <v>0</v>
      </c>
      <c r="E2642" s="723">
        <v>0</v>
      </c>
      <c r="F2642" s="723">
        <v>0</v>
      </c>
      <c r="G2642" s="723">
        <v>2</v>
      </c>
      <c r="H2642" s="724">
        <v>245.8015578651457</v>
      </c>
      <c r="I2642" s="724">
        <v>0</v>
      </c>
      <c r="J2642" s="724">
        <v>0</v>
      </c>
      <c r="K2642" s="724">
        <v>0</v>
      </c>
      <c r="L2642" s="724">
        <v>245.8015578651457</v>
      </c>
    </row>
    <row r="2643" spans="1:12">
      <c r="A2643" s="722" t="s">
        <v>640</v>
      </c>
      <c r="B2643" s="722">
        <v>259</v>
      </c>
      <c r="C2643" s="723">
        <v>1</v>
      </c>
      <c r="D2643" s="723">
        <v>2</v>
      </c>
      <c r="E2643" s="723">
        <v>0</v>
      </c>
      <c r="F2643" s="723">
        <v>0</v>
      </c>
      <c r="G2643" s="723">
        <v>3</v>
      </c>
      <c r="H2643" s="724">
        <v>122.90077893257285</v>
      </c>
      <c r="I2643" s="724">
        <v>245.8015578651457</v>
      </c>
      <c r="J2643" s="724">
        <v>0</v>
      </c>
      <c r="K2643" s="724">
        <v>0</v>
      </c>
      <c r="L2643" s="724">
        <v>368.70233679771854</v>
      </c>
    </row>
    <row r="2644" spans="1:12">
      <c r="A2644" s="722" t="s">
        <v>640</v>
      </c>
      <c r="B2644" s="722">
        <v>300</v>
      </c>
      <c r="C2644" s="723">
        <v>1</v>
      </c>
      <c r="D2644" s="723">
        <v>0</v>
      </c>
      <c r="E2644" s="723">
        <v>0</v>
      </c>
      <c r="F2644" s="723">
        <v>0</v>
      </c>
      <c r="G2644" s="723">
        <v>1</v>
      </c>
      <c r="H2644" s="724">
        <v>122.90077893257285</v>
      </c>
      <c r="I2644" s="724">
        <v>0</v>
      </c>
      <c r="J2644" s="724">
        <v>0</v>
      </c>
      <c r="K2644" s="724">
        <v>0</v>
      </c>
      <c r="L2644" s="724">
        <v>122.90077893257285</v>
      </c>
    </row>
    <row r="2645" spans="1:12">
      <c r="A2645" s="722" t="s">
        <v>640</v>
      </c>
      <c r="B2645" s="722">
        <v>330</v>
      </c>
      <c r="C2645" s="723">
        <v>0</v>
      </c>
      <c r="D2645" s="723">
        <v>4</v>
      </c>
      <c r="E2645" s="723">
        <v>0</v>
      </c>
      <c r="F2645" s="723">
        <v>0</v>
      </c>
      <c r="G2645" s="723">
        <v>4</v>
      </c>
      <c r="H2645" s="724">
        <v>0</v>
      </c>
      <c r="I2645" s="724">
        <v>491.60311573029139</v>
      </c>
      <c r="J2645" s="724">
        <v>0</v>
      </c>
      <c r="K2645" s="724">
        <v>0</v>
      </c>
      <c r="L2645" s="724">
        <v>491.60311573029139</v>
      </c>
    </row>
    <row r="2646" spans="1:12">
      <c r="A2646" s="722" t="s">
        <v>640</v>
      </c>
      <c r="B2646" s="722">
        <v>360</v>
      </c>
      <c r="C2646" s="723">
        <v>0</v>
      </c>
      <c r="D2646" s="723">
        <v>1</v>
      </c>
      <c r="E2646" s="723">
        <v>0</v>
      </c>
      <c r="F2646" s="723">
        <v>0</v>
      </c>
      <c r="G2646" s="723">
        <v>1</v>
      </c>
      <c r="H2646" s="724">
        <v>0</v>
      </c>
      <c r="I2646" s="724">
        <v>122.90077893257285</v>
      </c>
      <c r="J2646" s="724">
        <v>0</v>
      </c>
      <c r="K2646" s="724">
        <v>0</v>
      </c>
      <c r="L2646" s="724">
        <v>122.90077893257285</v>
      </c>
    </row>
    <row r="2647" spans="1:12">
      <c r="A2647" s="722" t="s">
        <v>609</v>
      </c>
      <c r="B2647" s="722">
        <v>171</v>
      </c>
      <c r="C2647" s="723">
        <v>1</v>
      </c>
      <c r="D2647" s="723">
        <v>1</v>
      </c>
      <c r="E2647" s="723">
        <v>0</v>
      </c>
      <c r="F2647" s="723">
        <v>0</v>
      </c>
      <c r="G2647" s="723">
        <v>2</v>
      </c>
      <c r="H2647" s="724">
        <v>71.361311649658006</v>
      </c>
      <c r="I2647" s="724">
        <v>71.361311649658006</v>
      </c>
      <c r="J2647" s="724">
        <v>0</v>
      </c>
      <c r="K2647" s="724">
        <v>0</v>
      </c>
      <c r="L2647" s="724">
        <v>142.72262329931601</v>
      </c>
    </row>
    <row r="2648" spans="1:12">
      <c r="A2648" s="722" t="s">
        <v>609</v>
      </c>
      <c r="B2648" s="722">
        <v>211</v>
      </c>
      <c r="C2648" s="723">
        <v>2</v>
      </c>
      <c r="D2648" s="723">
        <v>0</v>
      </c>
      <c r="E2648" s="723">
        <v>0</v>
      </c>
      <c r="F2648" s="723">
        <v>0</v>
      </c>
      <c r="G2648" s="723">
        <v>2</v>
      </c>
      <c r="H2648" s="724">
        <v>142.72262329931601</v>
      </c>
      <c r="I2648" s="724">
        <v>0</v>
      </c>
      <c r="J2648" s="724">
        <v>0</v>
      </c>
      <c r="K2648" s="724">
        <v>0</v>
      </c>
      <c r="L2648" s="724">
        <v>142.72262329931601</v>
      </c>
    </row>
    <row r="2649" spans="1:12">
      <c r="A2649" s="722" t="s">
        <v>316</v>
      </c>
      <c r="B2649" s="722">
        <v>100</v>
      </c>
      <c r="C2649" s="723">
        <v>1</v>
      </c>
      <c r="D2649" s="723">
        <v>1</v>
      </c>
      <c r="E2649" s="723">
        <v>0</v>
      </c>
      <c r="F2649" s="723">
        <v>0</v>
      </c>
      <c r="G2649" s="723">
        <v>2</v>
      </c>
      <c r="H2649" s="724">
        <v>28.731861848265247</v>
      </c>
      <c r="I2649" s="724">
        <v>28.731861848265247</v>
      </c>
      <c r="J2649" s="724">
        <v>0</v>
      </c>
      <c r="K2649" s="724">
        <v>0</v>
      </c>
      <c r="L2649" s="724">
        <v>57.463723696530494</v>
      </c>
    </row>
    <row r="2650" spans="1:12">
      <c r="A2650" s="722" t="s">
        <v>316</v>
      </c>
      <c r="B2650" s="722">
        <v>101</v>
      </c>
      <c r="C2650" s="723">
        <v>2</v>
      </c>
      <c r="D2650" s="723">
        <v>0</v>
      </c>
      <c r="E2650" s="723">
        <v>0</v>
      </c>
      <c r="F2650" s="723">
        <v>0</v>
      </c>
      <c r="G2650" s="723">
        <v>2</v>
      </c>
      <c r="H2650" s="724">
        <v>57.463723696530494</v>
      </c>
      <c r="I2650" s="724">
        <v>0</v>
      </c>
      <c r="J2650" s="724">
        <v>0</v>
      </c>
      <c r="K2650" s="724">
        <v>0</v>
      </c>
      <c r="L2650" s="724">
        <v>57.463723696530494</v>
      </c>
    </row>
    <row r="2651" spans="1:12">
      <c r="A2651" s="722" t="s">
        <v>316</v>
      </c>
      <c r="B2651" s="722">
        <v>110</v>
      </c>
      <c r="C2651" s="723">
        <v>1</v>
      </c>
      <c r="D2651" s="723">
        <v>0</v>
      </c>
      <c r="E2651" s="723">
        <v>0</v>
      </c>
      <c r="F2651" s="723">
        <v>0</v>
      </c>
      <c r="G2651" s="723">
        <v>1</v>
      </c>
      <c r="H2651" s="724">
        <v>28.731861848265247</v>
      </c>
      <c r="I2651" s="724">
        <v>0</v>
      </c>
      <c r="J2651" s="724">
        <v>0</v>
      </c>
      <c r="K2651" s="724">
        <v>0</v>
      </c>
      <c r="L2651" s="724">
        <v>28.731861848265247</v>
      </c>
    </row>
    <row r="2652" spans="1:12">
      <c r="A2652" s="722" t="s">
        <v>316</v>
      </c>
      <c r="B2652" s="722">
        <v>120</v>
      </c>
      <c r="C2652" s="723">
        <v>1</v>
      </c>
      <c r="D2652" s="723">
        <v>0</v>
      </c>
      <c r="E2652" s="723">
        <v>0</v>
      </c>
      <c r="F2652" s="723">
        <v>0</v>
      </c>
      <c r="G2652" s="723">
        <v>1</v>
      </c>
      <c r="H2652" s="724">
        <v>28.731861848265247</v>
      </c>
      <c r="I2652" s="724">
        <v>0</v>
      </c>
      <c r="J2652" s="724">
        <v>0</v>
      </c>
      <c r="K2652" s="724">
        <v>0</v>
      </c>
      <c r="L2652" s="724">
        <v>28.731861848265247</v>
      </c>
    </row>
    <row r="2653" spans="1:12">
      <c r="A2653" s="722" t="s">
        <v>316</v>
      </c>
      <c r="B2653" s="722">
        <v>130</v>
      </c>
      <c r="C2653" s="723">
        <v>1</v>
      </c>
      <c r="D2653" s="723">
        <v>0</v>
      </c>
      <c r="E2653" s="723">
        <v>0</v>
      </c>
      <c r="F2653" s="723">
        <v>0</v>
      </c>
      <c r="G2653" s="723">
        <v>1</v>
      </c>
      <c r="H2653" s="724">
        <v>28.731861848265247</v>
      </c>
      <c r="I2653" s="724">
        <v>0</v>
      </c>
      <c r="J2653" s="724">
        <v>0</v>
      </c>
      <c r="K2653" s="724">
        <v>0</v>
      </c>
      <c r="L2653" s="724">
        <v>28.731861848265247</v>
      </c>
    </row>
    <row r="2654" spans="1:12">
      <c r="A2654" s="722" t="s">
        <v>316</v>
      </c>
      <c r="B2654" s="722">
        <v>190</v>
      </c>
      <c r="C2654" s="723">
        <v>1</v>
      </c>
      <c r="D2654" s="723">
        <v>0</v>
      </c>
      <c r="E2654" s="723">
        <v>0</v>
      </c>
      <c r="F2654" s="723">
        <v>0</v>
      </c>
      <c r="G2654" s="723">
        <v>1</v>
      </c>
      <c r="H2654" s="724">
        <v>28.731861848265247</v>
      </c>
      <c r="I2654" s="724">
        <v>0</v>
      </c>
      <c r="J2654" s="724">
        <v>0</v>
      </c>
      <c r="K2654" s="724">
        <v>0</v>
      </c>
      <c r="L2654" s="724">
        <v>28.731861848265247</v>
      </c>
    </row>
    <row r="2655" spans="1:12">
      <c r="A2655" s="722" t="s">
        <v>316</v>
      </c>
      <c r="B2655" s="722">
        <v>191</v>
      </c>
      <c r="C2655" s="723">
        <v>1</v>
      </c>
      <c r="D2655" s="723">
        <v>0</v>
      </c>
      <c r="E2655" s="723">
        <v>0</v>
      </c>
      <c r="F2655" s="723">
        <v>0</v>
      </c>
      <c r="G2655" s="723">
        <v>1</v>
      </c>
      <c r="H2655" s="724">
        <v>28.731861848265247</v>
      </c>
      <c r="I2655" s="724">
        <v>0</v>
      </c>
      <c r="J2655" s="724">
        <v>0</v>
      </c>
      <c r="K2655" s="724">
        <v>0</v>
      </c>
      <c r="L2655" s="724">
        <v>28.731861848265247</v>
      </c>
    </row>
    <row r="2656" spans="1:12">
      <c r="A2656" s="722" t="s">
        <v>316</v>
      </c>
      <c r="B2656" s="722">
        <v>320</v>
      </c>
      <c r="C2656" s="723">
        <v>1</v>
      </c>
      <c r="D2656" s="723">
        <v>0</v>
      </c>
      <c r="E2656" s="723">
        <v>0</v>
      </c>
      <c r="F2656" s="723">
        <v>0</v>
      </c>
      <c r="G2656" s="723">
        <v>1</v>
      </c>
      <c r="H2656" s="724">
        <v>28.731861848265247</v>
      </c>
      <c r="I2656" s="724">
        <v>0</v>
      </c>
      <c r="J2656" s="724">
        <v>0</v>
      </c>
      <c r="K2656" s="724">
        <v>0</v>
      </c>
      <c r="L2656" s="724">
        <v>28.731861848265247</v>
      </c>
    </row>
    <row r="2657" spans="1:12">
      <c r="A2657" s="722" t="s">
        <v>316</v>
      </c>
      <c r="B2657" s="722">
        <v>410</v>
      </c>
      <c r="C2657" s="723">
        <v>7</v>
      </c>
      <c r="D2657" s="723">
        <v>7</v>
      </c>
      <c r="E2657" s="723">
        <v>0</v>
      </c>
      <c r="F2657" s="723">
        <v>0</v>
      </c>
      <c r="G2657" s="723">
        <v>14</v>
      </c>
      <c r="H2657" s="724">
        <v>201.12303293785675</v>
      </c>
      <c r="I2657" s="724">
        <v>201.12303293785675</v>
      </c>
      <c r="J2657" s="724">
        <v>0</v>
      </c>
      <c r="K2657" s="724">
        <v>0</v>
      </c>
      <c r="L2657" s="724">
        <v>402.2460658757135</v>
      </c>
    </row>
    <row r="2658" spans="1:12">
      <c r="A2658" s="722" t="s">
        <v>316</v>
      </c>
      <c r="B2658" s="722">
        <v>502</v>
      </c>
      <c r="C2658" s="723">
        <v>11</v>
      </c>
      <c r="D2658" s="723">
        <v>5</v>
      </c>
      <c r="E2658" s="723">
        <v>0</v>
      </c>
      <c r="F2658" s="723">
        <v>0</v>
      </c>
      <c r="G2658" s="723">
        <v>16</v>
      </c>
      <c r="H2658" s="724">
        <v>316.05048033091771</v>
      </c>
      <c r="I2658" s="724">
        <v>143.65930924132624</v>
      </c>
      <c r="J2658" s="724">
        <v>0</v>
      </c>
      <c r="K2658" s="724">
        <v>0</v>
      </c>
      <c r="L2658" s="724">
        <v>459.70978957224395</v>
      </c>
    </row>
    <row r="2659" spans="1:12">
      <c r="A2659" s="722" t="s">
        <v>571</v>
      </c>
      <c r="B2659" s="722">
        <v>101</v>
      </c>
      <c r="C2659" s="723">
        <v>1</v>
      </c>
      <c r="D2659" s="723">
        <v>0</v>
      </c>
      <c r="E2659" s="723">
        <v>0</v>
      </c>
      <c r="F2659" s="723">
        <v>0</v>
      </c>
      <c r="G2659" s="723">
        <v>1</v>
      </c>
      <c r="H2659" s="724">
        <v>210.97153743106801</v>
      </c>
      <c r="I2659" s="724">
        <v>0</v>
      </c>
      <c r="J2659" s="724">
        <v>0</v>
      </c>
      <c r="K2659" s="724">
        <v>0</v>
      </c>
      <c r="L2659" s="724">
        <v>210.97153743106801</v>
      </c>
    </row>
    <row r="2660" spans="1:12">
      <c r="A2660" s="722" t="s">
        <v>571</v>
      </c>
      <c r="B2660" s="722">
        <v>211</v>
      </c>
      <c r="C2660" s="723">
        <v>3</v>
      </c>
      <c r="D2660" s="723">
        <v>0</v>
      </c>
      <c r="E2660" s="723">
        <v>0</v>
      </c>
      <c r="F2660" s="723">
        <v>0</v>
      </c>
      <c r="G2660" s="723">
        <v>3</v>
      </c>
      <c r="H2660" s="724">
        <v>632.91461229320396</v>
      </c>
      <c r="I2660" s="724">
        <v>0</v>
      </c>
      <c r="J2660" s="724">
        <v>0</v>
      </c>
      <c r="K2660" s="724">
        <v>0</v>
      </c>
      <c r="L2660" s="724">
        <v>632.91461229320396</v>
      </c>
    </row>
    <row r="2661" spans="1:12">
      <c r="A2661" s="722" t="s">
        <v>571</v>
      </c>
      <c r="B2661" s="722">
        <v>410</v>
      </c>
      <c r="C2661" s="723">
        <v>3</v>
      </c>
      <c r="D2661" s="723">
        <v>0</v>
      </c>
      <c r="E2661" s="723">
        <v>0</v>
      </c>
      <c r="F2661" s="723">
        <v>0</v>
      </c>
      <c r="G2661" s="723">
        <v>3</v>
      </c>
      <c r="H2661" s="724">
        <v>632.91461229320396</v>
      </c>
      <c r="I2661" s="724">
        <v>0</v>
      </c>
      <c r="J2661" s="724">
        <v>0</v>
      </c>
      <c r="K2661" s="724">
        <v>0</v>
      </c>
      <c r="L2661" s="724">
        <v>632.91461229320396</v>
      </c>
    </row>
    <row r="2662" spans="1:12">
      <c r="A2662" s="722" t="s">
        <v>571</v>
      </c>
      <c r="B2662" s="722">
        <v>812</v>
      </c>
      <c r="C2662" s="723">
        <v>5</v>
      </c>
      <c r="D2662" s="723">
        <v>3</v>
      </c>
      <c r="E2662" s="723">
        <v>0</v>
      </c>
      <c r="F2662" s="723">
        <v>0</v>
      </c>
      <c r="G2662" s="723">
        <v>8</v>
      </c>
      <c r="H2662" s="724">
        <v>1054.85768715534</v>
      </c>
      <c r="I2662" s="724">
        <v>632.91461229320407</v>
      </c>
      <c r="J2662" s="724">
        <v>0</v>
      </c>
      <c r="K2662" s="724">
        <v>0</v>
      </c>
      <c r="L2662" s="724">
        <v>1687.7722994485441</v>
      </c>
    </row>
    <row r="2663" spans="1:12">
      <c r="A2663" s="722" t="s">
        <v>644</v>
      </c>
      <c r="B2663" s="722">
        <v>101</v>
      </c>
      <c r="C2663" s="723">
        <v>8</v>
      </c>
      <c r="D2663" s="723">
        <v>2</v>
      </c>
      <c r="E2663" s="723">
        <v>0</v>
      </c>
      <c r="F2663" s="723">
        <v>0</v>
      </c>
      <c r="G2663" s="723">
        <v>10</v>
      </c>
      <c r="H2663" s="724">
        <v>276.36448342755068</v>
      </c>
      <c r="I2663" s="724">
        <v>69.09112085688767</v>
      </c>
      <c r="J2663" s="724">
        <v>0</v>
      </c>
      <c r="K2663" s="724">
        <v>0</v>
      </c>
      <c r="L2663" s="724">
        <v>345.45560428443832</v>
      </c>
    </row>
    <row r="2664" spans="1:12">
      <c r="A2664" s="722" t="s">
        <v>644</v>
      </c>
      <c r="B2664" s="722">
        <v>102</v>
      </c>
      <c r="C2664" s="723">
        <v>3</v>
      </c>
      <c r="D2664" s="723">
        <v>0</v>
      </c>
      <c r="E2664" s="723">
        <v>0</v>
      </c>
      <c r="F2664" s="723">
        <v>0</v>
      </c>
      <c r="G2664" s="723">
        <v>3</v>
      </c>
      <c r="H2664" s="724">
        <v>103.63668128533148</v>
      </c>
      <c r="I2664" s="724">
        <v>0</v>
      </c>
      <c r="J2664" s="724">
        <v>0</v>
      </c>
      <c r="K2664" s="724">
        <v>0</v>
      </c>
      <c r="L2664" s="724">
        <v>103.63668128533149</v>
      </c>
    </row>
    <row r="2665" spans="1:12">
      <c r="A2665" s="722" t="s">
        <v>644</v>
      </c>
      <c r="B2665" s="722">
        <v>104</v>
      </c>
      <c r="C2665" s="723">
        <v>0</v>
      </c>
      <c r="D2665" s="723">
        <v>2</v>
      </c>
      <c r="E2665" s="723">
        <v>0</v>
      </c>
      <c r="F2665" s="723">
        <v>0</v>
      </c>
      <c r="G2665" s="723">
        <v>2</v>
      </c>
      <c r="H2665" s="724">
        <v>0</v>
      </c>
      <c r="I2665" s="724">
        <v>69.09112085688767</v>
      </c>
      <c r="J2665" s="724">
        <v>0</v>
      </c>
      <c r="K2665" s="724">
        <v>0</v>
      </c>
      <c r="L2665" s="724">
        <v>69.09112085688767</v>
      </c>
    </row>
    <row r="2666" spans="1:12">
      <c r="A2666" s="722" t="s">
        <v>644</v>
      </c>
      <c r="B2666" s="722">
        <v>110</v>
      </c>
      <c r="C2666" s="723">
        <v>4</v>
      </c>
      <c r="D2666" s="723">
        <v>3</v>
      </c>
      <c r="E2666" s="723">
        <v>0</v>
      </c>
      <c r="F2666" s="723">
        <v>0</v>
      </c>
      <c r="G2666" s="723">
        <v>7</v>
      </c>
      <c r="H2666" s="724">
        <v>138.18224171377534</v>
      </c>
      <c r="I2666" s="724">
        <v>103.63668128533151</v>
      </c>
      <c r="J2666" s="724">
        <v>0</v>
      </c>
      <c r="K2666" s="724">
        <v>0</v>
      </c>
      <c r="L2666" s="724">
        <v>241.81892299910683</v>
      </c>
    </row>
    <row r="2667" spans="1:12">
      <c r="A2667" s="722" t="s">
        <v>644</v>
      </c>
      <c r="B2667" s="722">
        <v>120</v>
      </c>
      <c r="C2667" s="723">
        <v>0</v>
      </c>
      <c r="D2667" s="723">
        <v>1</v>
      </c>
      <c r="E2667" s="723">
        <v>0</v>
      </c>
      <c r="F2667" s="723">
        <v>0</v>
      </c>
      <c r="G2667" s="723">
        <v>1</v>
      </c>
      <c r="H2667" s="724">
        <v>0</v>
      </c>
      <c r="I2667" s="724">
        <v>34.545560428443835</v>
      </c>
      <c r="J2667" s="724">
        <v>0</v>
      </c>
      <c r="K2667" s="724">
        <v>0</v>
      </c>
      <c r="L2667" s="724">
        <v>34.545560428443835</v>
      </c>
    </row>
    <row r="2668" spans="1:12">
      <c r="A2668" s="722" t="s">
        <v>644</v>
      </c>
      <c r="B2668" s="722">
        <v>130</v>
      </c>
      <c r="C2668" s="723">
        <v>1</v>
      </c>
      <c r="D2668" s="723">
        <v>0</v>
      </c>
      <c r="E2668" s="723">
        <v>0</v>
      </c>
      <c r="F2668" s="723">
        <v>0</v>
      </c>
      <c r="G2668" s="723">
        <v>1</v>
      </c>
      <c r="H2668" s="724">
        <v>34.545560428443835</v>
      </c>
      <c r="I2668" s="724">
        <v>0</v>
      </c>
      <c r="J2668" s="724">
        <v>0</v>
      </c>
      <c r="K2668" s="724">
        <v>0</v>
      </c>
      <c r="L2668" s="724">
        <v>34.545560428443835</v>
      </c>
    </row>
    <row r="2669" spans="1:12">
      <c r="A2669" s="722" t="s">
        <v>644</v>
      </c>
      <c r="B2669" s="722">
        <v>190</v>
      </c>
      <c r="C2669" s="723">
        <v>1</v>
      </c>
      <c r="D2669" s="723">
        <v>0</v>
      </c>
      <c r="E2669" s="723">
        <v>0</v>
      </c>
      <c r="F2669" s="723">
        <v>0</v>
      </c>
      <c r="G2669" s="723">
        <v>1</v>
      </c>
      <c r="H2669" s="724">
        <v>34.545560428443835</v>
      </c>
      <c r="I2669" s="724">
        <v>0</v>
      </c>
      <c r="J2669" s="724">
        <v>0</v>
      </c>
      <c r="K2669" s="724">
        <v>0</v>
      </c>
      <c r="L2669" s="724">
        <v>34.545560428443835</v>
      </c>
    </row>
    <row r="2670" spans="1:12">
      <c r="A2670" s="722" t="s">
        <v>644</v>
      </c>
      <c r="B2670" s="722">
        <v>300</v>
      </c>
      <c r="C2670" s="723">
        <v>2</v>
      </c>
      <c r="D2670" s="723">
        <v>0</v>
      </c>
      <c r="E2670" s="723">
        <v>0</v>
      </c>
      <c r="F2670" s="723">
        <v>0</v>
      </c>
      <c r="G2670" s="723">
        <v>2</v>
      </c>
      <c r="H2670" s="724">
        <v>69.09112085688767</v>
      </c>
      <c r="I2670" s="724">
        <v>0</v>
      </c>
      <c r="J2670" s="724">
        <v>0</v>
      </c>
      <c r="K2670" s="724">
        <v>0</v>
      </c>
      <c r="L2670" s="724">
        <v>69.09112085688767</v>
      </c>
    </row>
    <row r="2671" spans="1:12">
      <c r="A2671" s="722" t="s">
        <v>644</v>
      </c>
      <c r="B2671" s="722">
        <v>361</v>
      </c>
      <c r="C2671" s="723">
        <v>1</v>
      </c>
      <c r="D2671" s="723">
        <v>0</v>
      </c>
      <c r="E2671" s="723">
        <v>0</v>
      </c>
      <c r="F2671" s="723">
        <v>0</v>
      </c>
      <c r="G2671" s="723">
        <v>1</v>
      </c>
      <c r="H2671" s="724">
        <v>34.545560428443835</v>
      </c>
      <c r="I2671" s="724">
        <v>0</v>
      </c>
      <c r="J2671" s="724">
        <v>0</v>
      </c>
      <c r="K2671" s="724">
        <v>0</v>
      </c>
      <c r="L2671" s="724">
        <v>34.545560428443835</v>
      </c>
    </row>
    <row r="2672" spans="1:12">
      <c r="A2672" s="722" t="s">
        <v>644</v>
      </c>
      <c r="B2672" s="722">
        <v>400</v>
      </c>
      <c r="C2672" s="723">
        <v>1</v>
      </c>
      <c r="D2672" s="723">
        <v>0</v>
      </c>
      <c r="E2672" s="723">
        <v>0</v>
      </c>
      <c r="F2672" s="723">
        <v>0</v>
      </c>
      <c r="G2672" s="723">
        <v>1</v>
      </c>
      <c r="H2672" s="724">
        <v>34.545560428443835</v>
      </c>
      <c r="I2672" s="724">
        <v>0</v>
      </c>
      <c r="J2672" s="724">
        <v>0</v>
      </c>
      <c r="K2672" s="724">
        <v>0</v>
      </c>
      <c r="L2672" s="724">
        <v>34.545560428443835</v>
      </c>
    </row>
    <row r="2673" spans="1:12">
      <c r="A2673" s="722" t="s">
        <v>644</v>
      </c>
      <c r="B2673" s="722">
        <v>410</v>
      </c>
      <c r="C2673" s="723">
        <v>437</v>
      </c>
      <c r="D2673" s="723">
        <v>31</v>
      </c>
      <c r="E2673" s="723">
        <v>0</v>
      </c>
      <c r="F2673" s="723">
        <v>0</v>
      </c>
      <c r="G2673" s="723">
        <v>468</v>
      </c>
      <c r="H2673" s="724">
        <v>15096.409907229956</v>
      </c>
      <c r="I2673" s="724">
        <v>1070.9123732817588</v>
      </c>
      <c r="J2673" s="724">
        <v>0</v>
      </c>
      <c r="K2673" s="724">
        <v>0</v>
      </c>
      <c r="L2673" s="724">
        <v>16167.322280511713</v>
      </c>
    </row>
    <row r="2674" spans="1:12">
      <c r="A2674" s="722" t="s">
        <v>644</v>
      </c>
      <c r="B2674" s="722">
        <v>502</v>
      </c>
      <c r="C2674" s="723">
        <v>4</v>
      </c>
      <c r="D2674" s="723">
        <v>4</v>
      </c>
      <c r="E2674" s="723">
        <v>0</v>
      </c>
      <c r="F2674" s="723">
        <v>0</v>
      </c>
      <c r="G2674" s="723">
        <v>8</v>
      </c>
      <c r="H2674" s="724">
        <v>138.18224171377534</v>
      </c>
      <c r="I2674" s="724">
        <v>138.18224171377534</v>
      </c>
      <c r="J2674" s="724">
        <v>0</v>
      </c>
      <c r="K2674" s="724">
        <v>0</v>
      </c>
      <c r="L2674" s="724">
        <v>276.36448342755068</v>
      </c>
    </row>
    <row r="2675" spans="1:12">
      <c r="A2675" s="722" t="s">
        <v>644</v>
      </c>
      <c r="B2675" s="722">
        <v>812</v>
      </c>
      <c r="C2675" s="723">
        <v>34</v>
      </c>
      <c r="D2675" s="723">
        <v>4</v>
      </c>
      <c r="E2675" s="723">
        <v>0</v>
      </c>
      <c r="F2675" s="723">
        <v>0</v>
      </c>
      <c r="G2675" s="723">
        <v>38</v>
      </c>
      <c r="H2675" s="724">
        <v>1174.5490545670903</v>
      </c>
      <c r="I2675" s="724">
        <v>138.18224171377534</v>
      </c>
      <c r="J2675" s="724">
        <v>0</v>
      </c>
      <c r="K2675" s="724">
        <v>0</v>
      </c>
      <c r="L2675" s="724">
        <v>1312.7312962808658</v>
      </c>
    </row>
    <row r="2676" spans="1:12">
      <c r="A2676" s="722" t="s">
        <v>528</v>
      </c>
      <c r="B2676" s="722">
        <v>171</v>
      </c>
      <c r="C2676" s="723">
        <v>2</v>
      </c>
      <c r="D2676" s="723">
        <v>0</v>
      </c>
      <c r="E2676" s="723">
        <v>0</v>
      </c>
      <c r="F2676" s="723">
        <v>0</v>
      </c>
      <c r="G2676" s="723">
        <v>2</v>
      </c>
      <c r="H2676" s="724">
        <v>182.43382400986115</v>
      </c>
      <c r="I2676" s="724">
        <v>0</v>
      </c>
      <c r="J2676" s="724">
        <v>0</v>
      </c>
      <c r="K2676" s="724">
        <v>0</v>
      </c>
      <c r="L2676" s="724">
        <v>182.43382400986115</v>
      </c>
    </row>
    <row r="2677" spans="1:12">
      <c r="A2677" s="722" t="s">
        <v>528</v>
      </c>
      <c r="B2677" s="722">
        <v>211</v>
      </c>
      <c r="C2677" s="723">
        <v>6</v>
      </c>
      <c r="D2677" s="723">
        <v>0</v>
      </c>
      <c r="E2677" s="723">
        <v>0</v>
      </c>
      <c r="F2677" s="723">
        <v>0</v>
      </c>
      <c r="G2677" s="723">
        <v>6</v>
      </c>
      <c r="H2677" s="724">
        <v>547.30147202958346</v>
      </c>
      <c r="I2677" s="724">
        <v>0</v>
      </c>
      <c r="J2677" s="724">
        <v>0</v>
      </c>
      <c r="K2677" s="724">
        <v>0</v>
      </c>
      <c r="L2677" s="724">
        <v>547.30147202958346</v>
      </c>
    </row>
    <row r="2678" spans="1:12">
      <c r="A2678" s="722" t="s">
        <v>528</v>
      </c>
      <c r="B2678" s="722">
        <v>219</v>
      </c>
      <c r="C2678" s="723">
        <v>2</v>
      </c>
      <c r="D2678" s="723">
        <v>2</v>
      </c>
      <c r="E2678" s="723">
        <v>0</v>
      </c>
      <c r="F2678" s="723">
        <v>0</v>
      </c>
      <c r="G2678" s="723">
        <v>4</v>
      </c>
      <c r="H2678" s="724">
        <v>182.43382400986115</v>
      </c>
      <c r="I2678" s="724">
        <v>182.43382400986115</v>
      </c>
      <c r="J2678" s="724">
        <v>0</v>
      </c>
      <c r="K2678" s="724">
        <v>0</v>
      </c>
      <c r="L2678" s="724">
        <v>364.86764801972231</v>
      </c>
    </row>
    <row r="2679" spans="1:12">
      <c r="A2679" s="722" t="s">
        <v>528</v>
      </c>
      <c r="B2679" s="722">
        <v>262</v>
      </c>
      <c r="C2679" s="723">
        <v>2</v>
      </c>
      <c r="D2679" s="723">
        <v>0</v>
      </c>
      <c r="E2679" s="723">
        <v>0</v>
      </c>
      <c r="F2679" s="723">
        <v>0</v>
      </c>
      <c r="G2679" s="723">
        <v>2</v>
      </c>
      <c r="H2679" s="724">
        <v>182.43382400986115</v>
      </c>
      <c r="I2679" s="724">
        <v>0</v>
      </c>
      <c r="J2679" s="724">
        <v>0</v>
      </c>
      <c r="K2679" s="724">
        <v>0</v>
      </c>
      <c r="L2679" s="724">
        <v>182.43382400986115</v>
      </c>
    </row>
    <row r="2680" spans="1:12">
      <c r="A2680" s="722" t="s">
        <v>528</v>
      </c>
      <c r="B2680" s="722">
        <v>410</v>
      </c>
      <c r="C2680" s="723">
        <v>2</v>
      </c>
      <c r="D2680" s="723">
        <v>0</v>
      </c>
      <c r="E2680" s="723">
        <v>0</v>
      </c>
      <c r="F2680" s="723">
        <v>0</v>
      </c>
      <c r="G2680" s="723">
        <v>2</v>
      </c>
      <c r="H2680" s="724">
        <v>182.43382400986115</v>
      </c>
      <c r="I2680" s="724">
        <v>0</v>
      </c>
      <c r="J2680" s="724">
        <v>0</v>
      </c>
      <c r="K2680" s="724">
        <v>0</v>
      </c>
      <c r="L2680" s="724">
        <v>182.43382400986115</v>
      </c>
    </row>
    <row r="2681" spans="1:12">
      <c r="A2681" s="722" t="s">
        <v>528</v>
      </c>
      <c r="B2681" s="722">
        <v>420</v>
      </c>
      <c r="C2681" s="723">
        <v>0</v>
      </c>
      <c r="D2681" s="723">
        <v>1</v>
      </c>
      <c r="E2681" s="723">
        <v>0</v>
      </c>
      <c r="F2681" s="723">
        <v>0</v>
      </c>
      <c r="G2681" s="723">
        <v>1</v>
      </c>
      <c r="H2681" s="724">
        <v>0</v>
      </c>
      <c r="I2681" s="724">
        <v>91.216912004930577</v>
      </c>
      <c r="J2681" s="724">
        <v>0</v>
      </c>
      <c r="K2681" s="724">
        <v>0</v>
      </c>
      <c r="L2681" s="724">
        <v>91.216912004930577</v>
      </c>
    </row>
    <row r="2682" spans="1:12">
      <c r="A2682" s="722" t="s">
        <v>544</v>
      </c>
      <c r="B2682" s="722">
        <v>100</v>
      </c>
      <c r="C2682" s="723">
        <v>0</v>
      </c>
      <c r="D2682" s="723">
        <v>1</v>
      </c>
      <c r="E2682" s="723">
        <v>0</v>
      </c>
      <c r="F2682" s="723">
        <v>0</v>
      </c>
      <c r="G2682" s="723">
        <v>1</v>
      </c>
      <c r="H2682" s="724">
        <v>0</v>
      </c>
      <c r="I2682" s="724">
        <v>132.74085183186199</v>
      </c>
      <c r="J2682" s="724">
        <v>0</v>
      </c>
      <c r="K2682" s="724">
        <v>0</v>
      </c>
      <c r="L2682" s="724">
        <v>132.74085183186199</v>
      </c>
    </row>
    <row r="2683" spans="1:12">
      <c r="A2683" s="722" t="s">
        <v>544</v>
      </c>
      <c r="B2683" s="722">
        <v>101</v>
      </c>
      <c r="C2683" s="723">
        <v>1</v>
      </c>
      <c r="D2683" s="723">
        <v>0</v>
      </c>
      <c r="E2683" s="723">
        <v>0</v>
      </c>
      <c r="F2683" s="723">
        <v>0</v>
      </c>
      <c r="G2683" s="723">
        <v>1</v>
      </c>
      <c r="H2683" s="724">
        <v>132.74085183186199</v>
      </c>
      <c r="I2683" s="724">
        <v>0</v>
      </c>
      <c r="J2683" s="724">
        <v>0</v>
      </c>
      <c r="K2683" s="724">
        <v>0</v>
      </c>
      <c r="L2683" s="724">
        <v>132.74085183186199</v>
      </c>
    </row>
    <row r="2684" spans="1:12">
      <c r="A2684" s="722" t="s">
        <v>544</v>
      </c>
      <c r="B2684" s="722">
        <v>410</v>
      </c>
      <c r="C2684" s="723">
        <v>1</v>
      </c>
      <c r="D2684" s="723">
        <v>0</v>
      </c>
      <c r="E2684" s="723">
        <v>0</v>
      </c>
      <c r="F2684" s="723">
        <v>0</v>
      </c>
      <c r="G2684" s="723">
        <v>1</v>
      </c>
      <c r="H2684" s="724">
        <v>132.74085183186199</v>
      </c>
      <c r="I2684" s="724">
        <v>0</v>
      </c>
      <c r="J2684" s="724">
        <v>0</v>
      </c>
      <c r="K2684" s="724">
        <v>0</v>
      </c>
      <c r="L2684" s="724">
        <v>132.74085183186199</v>
      </c>
    </row>
    <row r="2685" spans="1:12">
      <c r="A2685" s="722" t="s">
        <v>544</v>
      </c>
      <c r="B2685" s="722">
        <v>502</v>
      </c>
      <c r="C2685" s="723">
        <v>0</v>
      </c>
      <c r="D2685" s="723">
        <v>1</v>
      </c>
      <c r="E2685" s="723">
        <v>0</v>
      </c>
      <c r="F2685" s="723">
        <v>0</v>
      </c>
      <c r="G2685" s="723">
        <v>1</v>
      </c>
      <c r="H2685" s="724">
        <v>0</v>
      </c>
      <c r="I2685" s="724">
        <v>132.74085183186199</v>
      </c>
      <c r="J2685" s="724">
        <v>0</v>
      </c>
      <c r="K2685" s="724">
        <v>0</v>
      </c>
      <c r="L2685" s="724">
        <v>132.74085183186199</v>
      </c>
    </row>
    <row r="2686" spans="1:12">
      <c r="A2686" s="722" t="s">
        <v>632</v>
      </c>
      <c r="B2686" s="722">
        <v>100</v>
      </c>
      <c r="C2686" s="723">
        <v>3</v>
      </c>
      <c r="D2686" s="723">
        <v>2</v>
      </c>
      <c r="E2686" s="723">
        <v>0</v>
      </c>
      <c r="F2686" s="723">
        <v>0</v>
      </c>
      <c r="G2686" s="723">
        <v>5</v>
      </c>
      <c r="H2686" s="724">
        <v>2128.1200719457443</v>
      </c>
      <c r="I2686" s="724">
        <v>1418.7467146304962</v>
      </c>
      <c r="J2686" s="724">
        <v>0</v>
      </c>
      <c r="K2686" s="724">
        <v>0</v>
      </c>
      <c r="L2686" s="724">
        <v>3546.8667865762404</v>
      </c>
    </row>
    <row r="2687" spans="1:12">
      <c r="A2687" s="722" t="s">
        <v>632</v>
      </c>
      <c r="B2687" s="722">
        <v>101</v>
      </c>
      <c r="C2687" s="723">
        <v>29</v>
      </c>
      <c r="D2687" s="723">
        <v>12</v>
      </c>
      <c r="E2687" s="723">
        <v>0</v>
      </c>
      <c r="F2687" s="723">
        <v>0</v>
      </c>
      <c r="G2687" s="723">
        <v>41</v>
      </c>
      <c r="H2687" s="724">
        <v>20571.827362142198</v>
      </c>
      <c r="I2687" s="724">
        <v>8512.480287782977</v>
      </c>
      <c r="J2687" s="724">
        <v>0</v>
      </c>
      <c r="K2687" s="724">
        <v>0</v>
      </c>
      <c r="L2687" s="724">
        <v>29084.307649925173</v>
      </c>
    </row>
    <row r="2688" spans="1:12">
      <c r="A2688" s="722" t="s">
        <v>632</v>
      </c>
      <c r="B2688" s="722">
        <v>104</v>
      </c>
      <c r="C2688" s="723">
        <v>5</v>
      </c>
      <c r="D2688" s="723">
        <v>49</v>
      </c>
      <c r="E2688" s="723">
        <v>0</v>
      </c>
      <c r="F2688" s="723">
        <v>0</v>
      </c>
      <c r="G2688" s="723">
        <v>54</v>
      </c>
      <c r="H2688" s="724">
        <v>3546.8667865762404</v>
      </c>
      <c r="I2688" s="724">
        <v>34759.294508447158</v>
      </c>
      <c r="J2688" s="724">
        <v>0</v>
      </c>
      <c r="K2688" s="724">
        <v>0</v>
      </c>
      <c r="L2688" s="724">
        <v>38306.161295023398</v>
      </c>
    </row>
    <row r="2689" spans="1:12">
      <c r="A2689" s="722" t="s">
        <v>632</v>
      </c>
      <c r="B2689" s="722">
        <v>190</v>
      </c>
      <c r="C2689" s="723">
        <v>1</v>
      </c>
      <c r="D2689" s="723">
        <v>0</v>
      </c>
      <c r="E2689" s="723">
        <v>0</v>
      </c>
      <c r="F2689" s="723">
        <v>0</v>
      </c>
      <c r="G2689" s="723">
        <v>1</v>
      </c>
      <c r="H2689" s="724">
        <v>709.37335731524809</v>
      </c>
      <c r="I2689" s="724">
        <v>0</v>
      </c>
      <c r="J2689" s="724">
        <v>0</v>
      </c>
      <c r="K2689" s="724">
        <v>0</v>
      </c>
      <c r="L2689" s="724">
        <v>709.37335731524809</v>
      </c>
    </row>
    <row r="2690" spans="1:12">
      <c r="A2690" s="722" t="s">
        <v>632</v>
      </c>
      <c r="B2690" s="722">
        <v>330</v>
      </c>
      <c r="C2690" s="723">
        <v>0</v>
      </c>
      <c r="D2690" s="723">
        <v>1</v>
      </c>
      <c r="E2690" s="723">
        <v>0</v>
      </c>
      <c r="F2690" s="723">
        <v>0</v>
      </c>
      <c r="G2690" s="723">
        <v>1</v>
      </c>
      <c r="H2690" s="724">
        <v>0</v>
      </c>
      <c r="I2690" s="724">
        <v>709.37335731524809</v>
      </c>
      <c r="J2690" s="724">
        <v>0</v>
      </c>
      <c r="K2690" s="724">
        <v>0</v>
      </c>
      <c r="L2690" s="724">
        <v>709.37335731524809</v>
      </c>
    </row>
    <row r="2691" spans="1:12">
      <c r="A2691" s="722" t="s">
        <v>632</v>
      </c>
      <c r="B2691" s="722">
        <v>410</v>
      </c>
      <c r="C2691" s="723">
        <v>15</v>
      </c>
      <c r="D2691" s="723">
        <v>11</v>
      </c>
      <c r="E2691" s="723">
        <v>0</v>
      </c>
      <c r="F2691" s="723">
        <v>0</v>
      </c>
      <c r="G2691" s="723">
        <v>26</v>
      </c>
      <c r="H2691" s="724">
        <v>10640.600359728724</v>
      </c>
      <c r="I2691" s="724">
        <v>7803.1069304677303</v>
      </c>
      <c r="J2691" s="724">
        <v>0</v>
      </c>
      <c r="K2691" s="724">
        <v>0</v>
      </c>
      <c r="L2691" s="724">
        <v>18443.707290196453</v>
      </c>
    </row>
    <row r="2692" spans="1:12">
      <c r="A2692" s="722" t="s">
        <v>632</v>
      </c>
      <c r="B2692" s="722">
        <v>502</v>
      </c>
      <c r="C2692" s="723">
        <v>3</v>
      </c>
      <c r="D2692" s="723">
        <v>2</v>
      </c>
      <c r="E2692" s="723">
        <v>0</v>
      </c>
      <c r="F2692" s="723">
        <v>0</v>
      </c>
      <c r="G2692" s="723">
        <v>5</v>
      </c>
      <c r="H2692" s="724">
        <v>2128.1200719457443</v>
      </c>
      <c r="I2692" s="724">
        <v>1418.7467146304962</v>
      </c>
      <c r="J2692" s="724">
        <v>0</v>
      </c>
      <c r="K2692" s="724">
        <v>0</v>
      </c>
      <c r="L2692" s="724">
        <v>3546.8667865762404</v>
      </c>
    </row>
    <row r="2693" spans="1:12">
      <c r="A2693" s="722" t="s">
        <v>526</v>
      </c>
      <c r="B2693" s="722">
        <v>101</v>
      </c>
      <c r="C2693" s="723">
        <v>1</v>
      </c>
      <c r="D2693" s="723">
        <v>0</v>
      </c>
      <c r="E2693" s="723">
        <v>0</v>
      </c>
      <c r="F2693" s="723">
        <v>0</v>
      </c>
      <c r="G2693" s="723">
        <v>1</v>
      </c>
      <c r="H2693" s="724">
        <v>26.884282748090435</v>
      </c>
      <c r="I2693" s="724">
        <v>0</v>
      </c>
      <c r="J2693" s="724">
        <v>0</v>
      </c>
      <c r="K2693" s="724">
        <v>0</v>
      </c>
      <c r="L2693" s="724">
        <v>26.884282748090435</v>
      </c>
    </row>
    <row r="2694" spans="1:12">
      <c r="A2694" s="722" t="s">
        <v>526</v>
      </c>
      <c r="B2694" s="722">
        <v>110</v>
      </c>
      <c r="C2694" s="723">
        <v>2</v>
      </c>
      <c r="D2694" s="723">
        <v>2</v>
      </c>
      <c r="E2694" s="723">
        <v>0</v>
      </c>
      <c r="F2694" s="723">
        <v>0</v>
      </c>
      <c r="G2694" s="723">
        <v>4</v>
      </c>
      <c r="H2694" s="724">
        <v>53.768565496180869</v>
      </c>
      <c r="I2694" s="724">
        <v>53.768565496180869</v>
      </c>
      <c r="J2694" s="724">
        <v>0</v>
      </c>
      <c r="K2694" s="724">
        <v>0</v>
      </c>
      <c r="L2694" s="724">
        <v>107.53713099236174</v>
      </c>
    </row>
    <row r="2695" spans="1:12">
      <c r="A2695" s="722" t="s">
        <v>526</v>
      </c>
      <c r="B2695" s="722">
        <v>143</v>
      </c>
      <c r="C2695" s="723">
        <v>1</v>
      </c>
      <c r="D2695" s="723">
        <v>0</v>
      </c>
      <c r="E2695" s="723">
        <v>0</v>
      </c>
      <c r="F2695" s="723">
        <v>0</v>
      </c>
      <c r="G2695" s="723">
        <v>1</v>
      </c>
      <c r="H2695" s="724">
        <v>26.884282748090435</v>
      </c>
      <c r="I2695" s="724">
        <v>0</v>
      </c>
      <c r="J2695" s="724">
        <v>0</v>
      </c>
      <c r="K2695" s="724">
        <v>0</v>
      </c>
      <c r="L2695" s="724">
        <v>26.884282748090435</v>
      </c>
    </row>
    <row r="2696" spans="1:12">
      <c r="A2696" s="722" t="s">
        <v>526</v>
      </c>
      <c r="B2696" s="722">
        <v>171</v>
      </c>
      <c r="C2696" s="723">
        <v>1</v>
      </c>
      <c r="D2696" s="723">
        <v>0</v>
      </c>
      <c r="E2696" s="723">
        <v>0</v>
      </c>
      <c r="F2696" s="723">
        <v>0</v>
      </c>
      <c r="G2696" s="723">
        <v>1</v>
      </c>
      <c r="H2696" s="724">
        <v>26.884282748090435</v>
      </c>
      <c r="I2696" s="724">
        <v>0</v>
      </c>
      <c r="J2696" s="724">
        <v>0</v>
      </c>
      <c r="K2696" s="724">
        <v>0</v>
      </c>
      <c r="L2696" s="724">
        <v>26.884282748090435</v>
      </c>
    </row>
    <row r="2697" spans="1:12">
      <c r="A2697" s="722" t="s">
        <v>526</v>
      </c>
      <c r="B2697" s="722">
        <v>330</v>
      </c>
      <c r="C2697" s="723">
        <v>2</v>
      </c>
      <c r="D2697" s="723">
        <v>0</v>
      </c>
      <c r="E2697" s="723">
        <v>0</v>
      </c>
      <c r="F2697" s="723">
        <v>0</v>
      </c>
      <c r="G2697" s="723">
        <v>2</v>
      </c>
      <c r="H2697" s="724">
        <v>53.768565496180869</v>
      </c>
      <c r="I2697" s="724">
        <v>0</v>
      </c>
      <c r="J2697" s="724">
        <v>0</v>
      </c>
      <c r="K2697" s="724">
        <v>0</v>
      </c>
      <c r="L2697" s="724">
        <v>53.768565496180869</v>
      </c>
    </row>
    <row r="2698" spans="1:12">
      <c r="A2698" s="722" t="s">
        <v>526</v>
      </c>
      <c r="B2698" s="722">
        <v>410</v>
      </c>
      <c r="C2698" s="723">
        <v>10</v>
      </c>
      <c r="D2698" s="723">
        <v>4</v>
      </c>
      <c r="E2698" s="723">
        <v>0</v>
      </c>
      <c r="F2698" s="723">
        <v>0</v>
      </c>
      <c r="G2698" s="723">
        <v>14</v>
      </c>
      <c r="H2698" s="724">
        <v>268.8428274809043</v>
      </c>
      <c r="I2698" s="724">
        <v>107.53713099236174</v>
      </c>
      <c r="J2698" s="724">
        <v>0</v>
      </c>
      <c r="K2698" s="724">
        <v>0</v>
      </c>
      <c r="L2698" s="724">
        <v>376.37995847326607</v>
      </c>
    </row>
    <row r="2699" spans="1:12">
      <c r="A2699" s="722" t="s">
        <v>573</v>
      </c>
      <c r="B2699" s="722">
        <v>101</v>
      </c>
      <c r="C2699" s="723">
        <v>1</v>
      </c>
      <c r="D2699" s="723">
        <v>1</v>
      </c>
      <c r="E2699" s="723">
        <v>0</v>
      </c>
      <c r="F2699" s="723">
        <v>0</v>
      </c>
      <c r="G2699" s="723">
        <v>2</v>
      </c>
      <c r="H2699" s="724">
        <v>43.672955686787503</v>
      </c>
      <c r="I2699" s="724">
        <v>43.672955686787503</v>
      </c>
      <c r="J2699" s="724">
        <v>0</v>
      </c>
      <c r="K2699" s="724">
        <v>0</v>
      </c>
      <c r="L2699" s="724">
        <v>87.345911373575007</v>
      </c>
    </row>
    <row r="2700" spans="1:12">
      <c r="A2700" s="722" t="s">
        <v>650</v>
      </c>
      <c r="B2700" s="722">
        <v>143</v>
      </c>
      <c r="C2700" s="723">
        <v>0</v>
      </c>
      <c r="D2700" s="723">
        <v>1</v>
      </c>
      <c r="E2700" s="723">
        <v>0</v>
      </c>
      <c r="F2700" s="723">
        <v>0</v>
      </c>
      <c r="G2700" s="723">
        <v>1</v>
      </c>
      <c r="H2700" s="724">
        <v>0</v>
      </c>
      <c r="I2700" s="724">
        <v>52.823715680628673</v>
      </c>
      <c r="J2700" s="724">
        <v>0</v>
      </c>
      <c r="K2700" s="724">
        <v>0</v>
      </c>
      <c r="L2700" s="724">
        <v>52.823715680628673</v>
      </c>
    </row>
    <row r="2701" spans="1:12">
      <c r="A2701" s="722" t="s">
        <v>650</v>
      </c>
      <c r="B2701" s="722">
        <v>160</v>
      </c>
      <c r="C2701" s="723">
        <v>1</v>
      </c>
      <c r="D2701" s="723">
        <v>0</v>
      </c>
      <c r="E2701" s="723">
        <v>0</v>
      </c>
      <c r="F2701" s="723">
        <v>0</v>
      </c>
      <c r="G2701" s="723">
        <v>1</v>
      </c>
      <c r="H2701" s="724">
        <v>52.823715680628673</v>
      </c>
      <c r="I2701" s="724">
        <v>0</v>
      </c>
      <c r="J2701" s="724">
        <v>0</v>
      </c>
      <c r="K2701" s="724">
        <v>0</v>
      </c>
      <c r="L2701" s="724">
        <v>52.823715680628673</v>
      </c>
    </row>
    <row r="2702" spans="1:12">
      <c r="A2702" s="722" t="s">
        <v>650</v>
      </c>
      <c r="B2702" s="722">
        <v>330</v>
      </c>
      <c r="C2702" s="723">
        <v>1</v>
      </c>
      <c r="D2702" s="723">
        <v>0</v>
      </c>
      <c r="E2702" s="723">
        <v>0</v>
      </c>
      <c r="F2702" s="723">
        <v>0</v>
      </c>
      <c r="G2702" s="723">
        <v>1</v>
      </c>
      <c r="H2702" s="724">
        <v>52.823715680628673</v>
      </c>
      <c r="I2702" s="724">
        <v>0</v>
      </c>
      <c r="J2702" s="724">
        <v>0</v>
      </c>
      <c r="K2702" s="724">
        <v>0</v>
      </c>
      <c r="L2702" s="724">
        <v>52.823715680628673</v>
      </c>
    </row>
    <row r="2703" spans="1:12">
      <c r="A2703" s="722" t="s">
        <v>631</v>
      </c>
      <c r="B2703" s="722">
        <v>101</v>
      </c>
      <c r="C2703" s="723">
        <v>58</v>
      </c>
      <c r="D2703" s="723">
        <v>45</v>
      </c>
      <c r="E2703" s="723">
        <v>0</v>
      </c>
      <c r="F2703" s="723">
        <v>0</v>
      </c>
      <c r="G2703" s="723">
        <v>103</v>
      </c>
      <c r="H2703" s="724">
        <v>7550.3896157650279</v>
      </c>
      <c r="I2703" s="724">
        <v>5858.0609087832117</v>
      </c>
      <c r="J2703" s="724">
        <v>0</v>
      </c>
      <c r="K2703" s="724">
        <v>0</v>
      </c>
      <c r="L2703" s="724">
        <v>13408.45052454824</v>
      </c>
    </row>
    <row r="2704" spans="1:12">
      <c r="A2704" s="722" t="s">
        <v>631</v>
      </c>
      <c r="B2704" s="722">
        <v>143</v>
      </c>
      <c r="C2704" s="723">
        <v>0</v>
      </c>
      <c r="D2704" s="723">
        <v>1</v>
      </c>
      <c r="E2704" s="723">
        <v>0</v>
      </c>
      <c r="F2704" s="723">
        <v>0</v>
      </c>
      <c r="G2704" s="723">
        <v>1</v>
      </c>
      <c r="H2704" s="724">
        <v>0</v>
      </c>
      <c r="I2704" s="724">
        <v>130.17913130629358</v>
      </c>
      <c r="J2704" s="724">
        <v>0</v>
      </c>
      <c r="K2704" s="724">
        <v>0</v>
      </c>
      <c r="L2704" s="724">
        <v>130.17913130629358</v>
      </c>
    </row>
    <row r="2705" spans="1:12">
      <c r="A2705" s="722" t="s">
        <v>631</v>
      </c>
      <c r="B2705" s="722">
        <v>171</v>
      </c>
      <c r="C2705" s="723">
        <v>2</v>
      </c>
      <c r="D2705" s="723">
        <v>0</v>
      </c>
      <c r="E2705" s="723">
        <v>0</v>
      </c>
      <c r="F2705" s="723">
        <v>0</v>
      </c>
      <c r="G2705" s="723">
        <v>2</v>
      </c>
      <c r="H2705" s="724">
        <v>260.35826261258717</v>
      </c>
      <c r="I2705" s="724">
        <v>0</v>
      </c>
      <c r="J2705" s="724">
        <v>0</v>
      </c>
      <c r="K2705" s="724">
        <v>0</v>
      </c>
      <c r="L2705" s="724">
        <v>260.35826261258717</v>
      </c>
    </row>
    <row r="2706" spans="1:12">
      <c r="A2706" s="722" t="s">
        <v>631</v>
      </c>
      <c r="B2706" s="722">
        <v>211</v>
      </c>
      <c r="C2706" s="723">
        <v>10</v>
      </c>
      <c r="D2706" s="723">
        <v>2</v>
      </c>
      <c r="E2706" s="723">
        <v>0</v>
      </c>
      <c r="F2706" s="723">
        <v>0</v>
      </c>
      <c r="G2706" s="723">
        <v>12</v>
      </c>
      <c r="H2706" s="724">
        <v>1301.7913130629361</v>
      </c>
      <c r="I2706" s="724">
        <v>260.35826261258723</v>
      </c>
      <c r="J2706" s="724">
        <v>0</v>
      </c>
      <c r="K2706" s="724">
        <v>0</v>
      </c>
      <c r="L2706" s="724">
        <v>1562.1495756755232</v>
      </c>
    </row>
    <row r="2707" spans="1:12">
      <c r="A2707" s="722" t="s">
        <v>631</v>
      </c>
      <c r="B2707" s="722">
        <v>330</v>
      </c>
      <c r="C2707" s="723">
        <v>0</v>
      </c>
      <c r="D2707" s="723">
        <v>2</v>
      </c>
      <c r="E2707" s="723">
        <v>0</v>
      </c>
      <c r="F2707" s="723">
        <v>0</v>
      </c>
      <c r="G2707" s="723">
        <v>2</v>
      </c>
      <c r="H2707" s="724">
        <v>0</v>
      </c>
      <c r="I2707" s="724">
        <v>260.35826261258717</v>
      </c>
      <c r="J2707" s="724">
        <v>0</v>
      </c>
      <c r="K2707" s="724">
        <v>0</v>
      </c>
      <c r="L2707" s="724">
        <v>260.35826261258717</v>
      </c>
    </row>
    <row r="2708" spans="1:12">
      <c r="A2708" s="722" t="s">
        <v>631</v>
      </c>
      <c r="B2708" s="722">
        <v>502</v>
      </c>
      <c r="C2708" s="723">
        <v>1</v>
      </c>
      <c r="D2708" s="723">
        <v>4</v>
      </c>
      <c r="E2708" s="723">
        <v>0</v>
      </c>
      <c r="F2708" s="723">
        <v>0</v>
      </c>
      <c r="G2708" s="723">
        <v>5</v>
      </c>
      <c r="H2708" s="724">
        <v>130.17913130629361</v>
      </c>
      <c r="I2708" s="724">
        <v>520.71652522517445</v>
      </c>
      <c r="J2708" s="724">
        <v>0</v>
      </c>
      <c r="K2708" s="724">
        <v>0</v>
      </c>
      <c r="L2708" s="724">
        <v>650.89565653146803</v>
      </c>
    </row>
    <row r="2709" spans="1:12">
      <c r="A2709" s="722" t="s">
        <v>317</v>
      </c>
      <c r="B2709" s="722">
        <v>140</v>
      </c>
      <c r="C2709" s="723">
        <v>1</v>
      </c>
      <c r="D2709" s="723">
        <v>0</v>
      </c>
      <c r="E2709" s="723">
        <v>0</v>
      </c>
      <c r="F2709" s="723">
        <v>0</v>
      </c>
      <c r="G2709" s="723">
        <v>1</v>
      </c>
      <c r="H2709" s="724">
        <v>45.14444609515067</v>
      </c>
      <c r="I2709" s="724">
        <v>0</v>
      </c>
      <c r="J2709" s="724">
        <v>0</v>
      </c>
      <c r="K2709" s="724">
        <v>0</v>
      </c>
      <c r="L2709" s="724">
        <v>45.14444609515067</v>
      </c>
    </row>
    <row r="2710" spans="1:12">
      <c r="A2710" s="722" t="s">
        <v>317</v>
      </c>
      <c r="B2710" s="722">
        <v>502</v>
      </c>
      <c r="C2710" s="723">
        <v>5</v>
      </c>
      <c r="D2710" s="723">
        <v>0</v>
      </c>
      <c r="E2710" s="723">
        <v>0</v>
      </c>
      <c r="F2710" s="723">
        <v>0</v>
      </c>
      <c r="G2710" s="723">
        <v>5</v>
      </c>
      <c r="H2710" s="724">
        <v>225.72223047575335</v>
      </c>
      <c r="I2710" s="724">
        <v>0</v>
      </c>
      <c r="J2710" s="724">
        <v>0</v>
      </c>
      <c r="K2710" s="724">
        <v>0</v>
      </c>
      <c r="L2710" s="724">
        <v>225.72223047575335</v>
      </c>
    </row>
    <row r="2711" spans="1:12">
      <c r="A2711" s="722" t="s">
        <v>318</v>
      </c>
      <c r="B2711" s="722">
        <v>502</v>
      </c>
      <c r="C2711" s="723">
        <v>22</v>
      </c>
      <c r="D2711" s="723">
        <v>19</v>
      </c>
      <c r="E2711" s="723">
        <v>0</v>
      </c>
      <c r="F2711" s="723">
        <v>0</v>
      </c>
      <c r="G2711" s="723">
        <v>41</v>
      </c>
      <c r="H2711" s="724">
        <v>1717.8673840460049</v>
      </c>
      <c r="I2711" s="724">
        <v>1483.6127407670044</v>
      </c>
      <c r="J2711" s="724">
        <v>0</v>
      </c>
      <c r="K2711" s="724">
        <v>0</v>
      </c>
      <c r="L2711" s="724">
        <v>3201.4801248130093</v>
      </c>
    </row>
    <row r="2712" spans="1:12">
      <c r="A2712" s="722" t="s">
        <v>318</v>
      </c>
      <c r="B2712" s="722">
        <v>503</v>
      </c>
      <c r="C2712" s="723">
        <v>0</v>
      </c>
      <c r="D2712" s="723">
        <v>4</v>
      </c>
      <c r="E2712" s="723">
        <v>0</v>
      </c>
      <c r="F2712" s="723">
        <v>0</v>
      </c>
      <c r="G2712" s="723">
        <v>4</v>
      </c>
      <c r="H2712" s="724">
        <v>0</v>
      </c>
      <c r="I2712" s="724">
        <v>312.33952437200088</v>
      </c>
      <c r="J2712" s="724">
        <v>0</v>
      </c>
      <c r="K2712" s="724">
        <v>0</v>
      </c>
      <c r="L2712" s="724">
        <v>312.33952437200088</v>
      </c>
    </row>
    <row r="2713" spans="1:12">
      <c r="A2713" s="722" t="s">
        <v>319</v>
      </c>
      <c r="B2713" s="722">
        <v>100</v>
      </c>
      <c r="C2713" s="723">
        <v>1</v>
      </c>
      <c r="D2713" s="723">
        <v>0</v>
      </c>
      <c r="E2713" s="723">
        <v>0</v>
      </c>
      <c r="F2713" s="723">
        <v>0</v>
      </c>
      <c r="G2713" s="723">
        <v>1</v>
      </c>
      <c r="H2713" s="724">
        <v>109.15678561565288</v>
      </c>
      <c r="I2713" s="724">
        <v>0</v>
      </c>
      <c r="J2713" s="724">
        <v>0</v>
      </c>
      <c r="K2713" s="724">
        <v>0</v>
      </c>
      <c r="L2713" s="724">
        <v>109.15678561565288</v>
      </c>
    </row>
    <row r="2714" spans="1:12">
      <c r="A2714" s="722" t="s">
        <v>319</v>
      </c>
      <c r="B2714" s="722">
        <v>502</v>
      </c>
      <c r="C2714" s="723">
        <v>46</v>
      </c>
      <c r="D2714" s="723">
        <v>12</v>
      </c>
      <c r="E2714" s="723">
        <v>0</v>
      </c>
      <c r="F2714" s="723">
        <v>0</v>
      </c>
      <c r="G2714" s="723">
        <v>58</v>
      </c>
      <c r="H2714" s="724">
        <v>5021.212138320032</v>
      </c>
      <c r="I2714" s="724">
        <v>1309.8814273878345</v>
      </c>
      <c r="J2714" s="724">
        <v>0</v>
      </c>
      <c r="K2714" s="724">
        <v>0</v>
      </c>
      <c r="L2714" s="724">
        <v>6331.0935657078662</v>
      </c>
    </row>
    <row r="2715" spans="1:12">
      <c r="A2715" s="722" t="s">
        <v>320</v>
      </c>
      <c r="B2715" s="722">
        <v>100</v>
      </c>
      <c r="C2715" s="723">
        <v>1</v>
      </c>
      <c r="D2715" s="723">
        <v>0</v>
      </c>
      <c r="E2715" s="723">
        <v>0</v>
      </c>
      <c r="F2715" s="723">
        <v>0</v>
      </c>
      <c r="G2715" s="723">
        <v>1</v>
      </c>
      <c r="H2715" s="724">
        <v>145.78343546303751</v>
      </c>
      <c r="I2715" s="724">
        <v>0</v>
      </c>
      <c r="J2715" s="724">
        <v>0</v>
      </c>
      <c r="K2715" s="724">
        <v>0</v>
      </c>
      <c r="L2715" s="724">
        <v>145.78343546303751</v>
      </c>
    </row>
    <row r="2716" spans="1:12">
      <c r="A2716" s="722" t="s">
        <v>320</v>
      </c>
      <c r="B2716" s="722">
        <v>190</v>
      </c>
      <c r="C2716" s="723">
        <v>1</v>
      </c>
      <c r="D2716" s="723">
        <v>0</v>
      </c>
      <c r="E2716" s="723">
        <v>0</v>
      </c>
      <c r="F2716" s="723">
        <v>0</v>
      </c>
      <c r="G2716" s="723">
        <v>1</v>
      </c>
      <c r="H2716" s="724">
        <v>145.78343546303751</v>
      </c>
      <c r="I2716" s="724">
        <v>0</v>
      </c>
      <c r="J2716" s="724">
        <v>0</v>
      </c>
      <c r="K2716" s="724">
        <v>0</v>
      </c>
      <c r="L2716" s="724">
        <v>145.78343546303751</v>
      </c>
    </row>
    <row r="2717" spans="1:12">
      <c r="A2717" s="722" t="s">
        <v>320</v>
      </c>
      <c r="B2717" s="722">
        <v>360</v>
      </c>
      <c r="C2717" s="723">
        <v>0</v>
      </c>
      <c r="D2717" s="723">
        <v>1</v>
      </c>
      <c r="E2717" s="723">
        <v>0</v>
      </c>
      <c r="F2717" s="723">
        <v>0</v>
      </c>
      <c r="G2717" s="723">
        <v>1</v>
      </c>
      <c r="H2717" s="724">
        <v>0</v>
      </c>
      <c r="I2717" s="724">
        <v>145.78343546303751</v>
      </c>
      <c r="J2717" s="724">
        <v>0</v>
      </c>
      <c r="K2717" s="724">
        <v>0</v>
      </c>
      <c r="L2717" s="724">
        <v>145.78343546303751</v>
      </c>
    </row>
    <row r="2718" spans="1:12">
      <c r="A2718" s="722" t="s">
        <v>320</v>
      </c>
      <c r="B2718" s="722">
        <v>501</v>
      </c>
      <c r="C2718" s="723">
        <v>2</v>
      </c>
      <c r="D2718" s="723">
        <v>0</v>
      </c>
      <c r="E2718" s="723">
        <v>0</v>
      </c>
      <c r="F2718" s="723">
        <v>0</v>
      </c>
      <c r="G2718" s="723">
        <v>2</v>
      </c>
      <c r="H2718" s="724">
        <v>291.56687092607501</v>
      </c>
      <c r="I2718" s="724">
        <v>0</v>
      </c>
      <c r="J2718" s="724">
        <v>0</v>
      </c>
      <c r="K2718" s="724">
        <v>0</v>
      </c>
      <c r="L2718" s="724">
        <v>291.56687092607501</v>
      </c>
    </row>
    <row r="2719" spans="1:12">
      <c r="A2719" s="722" t="s">
        <v>320</v>
      </c>
      <c r="B2719" s="722">
        <v>502</v>
      </c>
      <c r="C2719" s="723">
        <v>40</v>
      </c>
      <c r="D2719" s="723">
        <v>31</v>
      </c>
      <c r="E2719" s="723">
        <v>0</v>
      </c>
      <c r="F2719" s="723">
        <v>0</v>
      </c>
      <c r="G2719" s="723">
        <v>71</v>
      </c>
      <c r="H2719" s="724">
        <v>5831.3374185215007</v>
      </c>
      <c r="I2719" s="724">
        <v>4519.2864993541625</v>
      </c>
      <c r="J2719" s="724">
        <v>0</v>
      </c>
      <c r="K2719" s="724">
        <v>0</v>
      </c>
      <c r="L2719" s="724">
        <v>10350.623917875662</v>
      </c>
    </row>
    <row r="2720" spans="1:12">
      <c r="A2720" s="722" t="s">
        <v>320</v>
      </c>
      <c r="B2720" s="722">
        <v>503</v>
      </c>
      <c r="C2720" s="723">
        <v>2</v>
      </c>
      <c r="D2720" s="723">
        <v>2</v>
      </c>
      <c r="E2720" s="723">
        <v>0</v>
      </c>
      <c r="F2720" s="723">
        <v>0</v>
      </c>
      <c r="G2720" s="723">
        <v>4</v>
      </c>
      <c r="H2720" s="724">
        <v>291.56687092607501</v>
      </c>
      <c r="I2720" s="724">
        <v>291.56687092607501</v>
      </c>
      <c r="J2720" s="724">
        <v>0</v>
      </c>
      <c r="K2720" s="724">
        <v>0</v>
      </c>
      <c r="L2720" s="724">
        <v>583.13374185215002</v>
      </c>
    </row>
    <row r="2721" spans="1:12">
      <c r="A2721" s="722" t="s">
        <v>321</v>
      </c>
      <c r="B2721" s="722">
        <v>100</v>
      </c>
      <c r="C2721" s="723">
        <v>2</v>
      </c>
      <c r="D2721" s="723">
        <v>0</v>
      </c>
      <c r="E2721" s="723">
        <v>0</v>
      </c>
      <c r="F2721" s="723">
        <v>0</v>
      </c>
      <c r="G2721" s="723">
        <v>2</v>
      </c>
      <c r="H2721" s="724">
        <v>196.5178518699791</v>
      </c>
      <c r="I2721" s="724">
        <v>0</v>
      </c>
      <c r="J2721" s="724">
        <v>0</v>
      </c>
      <c r="K2721" s="724">
        <v>0</v>
      </c>
      <c r="L2721" s="724">
        <v>196.5178518699791</v>
      </c>
    </row>
    <row r="2722" spans="1:12">
      <c r="A2722" s="722" t="s">
        <v>321</v>
      </c>
      <c r="B2722" s="722">
        <v>301</v>
      </c>
      <c r="C2722" s="723">
        <v>4</v>
      </c>
      <c r="D2722" s="723">
        <v>0</v>
      </c>
      <c r="E2722" s="723">
        <v>0</v>
      </c>
      <c r="F2722" s="723">
        <v>0</v>
      </c>
      <c r="G2722" s="723">
        <v>4</v>
      </c>
      <c r="H2722" s="724">
        <v>393.03570373995819</v>
      </c>
      <c r="I2722" s="724">
        <v>0</v>
      </c>
      <c r="J2722" s="724">
        <v>0</v>
      </c>
      <c r="K2722" s="724">
        <v>0</v>
      </c>
      <c r="L2722" s="724">
        <v>393.03570373995819</v>
      </c>
    </row>
    <row r="2723" spans="1:12">
      <c r="A2723" s="722" t="s">
        <v>321</v>
      </c>
      <c r="B2723" s="722">
        <v>501</v>
      </c>
      <c r="C2723" s="723">
        <v>1</v>
      </c>
      <c r="D2723" s="723">
        <v>1</v>
      </c>
      <c r="E2723" s="723">
        <v>0</v>
      </c>
      <c r="F2723" s="723">
        <v>0</v>
      </c>
      <c r="G2723" s="723">
        <v>2</v>
      </c>
      <c r="H2723" s="724">
        <v>98.258925934989549</v>
      </c>
      <c r="I2723" s="724">
        <v>98.258925934989549</v>
      </c>
      <c r="J2723" s="724">
        <v>0</v>
      </c>
      <c r="K2723" s="724">
        <v>0</v>
      </c>
      <c r="L2723" s="724">
        <v>196.5178518699791</v>
      </c>
    </row>
    <row r="2724" spans="1:12">
      <c r="A2724" s="722" t="s">
        <v>321</v>
      </c>
      <c r="B2724" s="722">
        <v>502</v>
      </c>
      <c r="C2724" s="723">
        <v>181</v>
      </c>
      <c r="D2724" s="723">
        <v>121</v>
      </c>
      <c r="E2724" s="723">
        <v>0</v>
      </c>
      <c r="F2724" s="723">
        <v>0</v>
      </c>
      <c r="G2724" s="723">
        <v>302</v>
      </c>
      <c r="H2724" s="724">
        <v>17784.86559423311</v>
      </c>
      <c r="I2724" s="724">
        <v>11889.330038133734</v>
      </c>
      <c r="J2724" s="724">
        <v>0</v>
      </c>
      <c r="K2724" s="724">
        <v>0</v>
      </c>
      <c r="L2724" s="724">
        <v>29674.195632366842</v>
      </c>
    </row>
    <row r="2725" spans="1:12">
      <c r="A2725" s="722" t="s">
        <v>321</v>
      </c>
      <c r="B2725" s="722">
        <v>503</v>
      </c>
      <c r="C2725" s="723">
        <v>15</v>
      </c>
      <c r="D2725" s="723">
        <v>5</v>
      </c>
      <c r="E2725" s="723">
        <v>0</v>
      </c>
      <c r="F2725" s="723">
        <v>0</v>
      </c>
      <c r="G2725" s="723">
        <v>20</v>
      </c>
      <c r="H2725" s="724">
        <v>1473.8838890248433</v>
      </c>
      <c r="I2725" s="724">
        <v>491.29462967494771</v>
      </c>
      <c r="J2725" s="724">
        <v>0</v>
      </c>
      <c r="K2725" s="724">
        <v>0</v>
      </c>
      <c r="L2725" s="724">
        <v>1965.1785186997911</v>
      </c>
    </row>
    <row r="2726" spans="1:12">
      <c r="A2726" s="722" t="s">
        <v>321</v>
      </c>
      <c r="B2726" s="722">
        <v>560</v>
      </c>
      <c r="C2726" s="723">
        <v>5</v>
      </c>
      <c r="D2726" s="723">
        <v>0</v>
      </c>
      <c r="E2726" s="723">
        <v>0</v>
      </c>
      <c r="F2726" s="723">
        <v>0</v>
      </c>
      <c r="G2726" s="723">
        <v>5</v>
      </c>
      <c r="H2726" s="724">
        <v>491.29462967494771</v>
      </c>
      <c r="I2726" s="724">
        <v>0</v>
      </c>
      <c r="J2726" s="724">
        <v>0</v>
      </c>
      <c r="K2726" s="724">
        <v>0</v>
      </c>
      <c r="L2726" s="724">
        <v>491.29462967494777</v>
      </c>
    </row>
    <row r="2727" spans="1:12">
      <c r="A2727" s="722" t="s">
        <v>552</v>
      </c>
      <c r="B2727" s="722">
        <v>502</v>
      </c>
      <c r="C2727" s="723">
        <v>5</v>
      </c>
      <c r="D2727" s="723">
        <v>0</v>
      </c>
      <c r="E2727" s="723">
        <v>0</v>
      </c>
      <c r="F2727" s="723">
        <v>0</v>
      </c>
      <c r="G2727" s="723">
        <v>5</v>
      </c>
      <c r="H2727" s="724">
        <v>89.642702676726245</v>
      </c>
      <c r="I2727" s="724">
        <v>0</v>
      </c>
      <c r="J2727" s="724">
        <v>0</v>
      </c>
      <c r="K2727" s="724">
        <v>0</v>
      </c>
      <c r="L2727" s="724">
        <v>89.642702676726245</v>
      </c>
    </row>
    <row r="2728" spans="1:12">
      <c r="A2728" s="722" t="s">
        <v>552</v>
      </c>
      <c r="B2728" s="722">
        <v>503</v>
      </c>
      <c r="C2728" s="723">
        <v>3</v>
      </c>
      <c r="D2728" s="723">
        <v>0</v>
      </c>
      <c r="E2728" s="723">
        <v>0</v>
      </c>
      <c r="F2728" s="723">
        <v>0</v>
      </c>
      <c r="G2728" s="723">
        <v>3</v>
      </c>
      <c r="H2728" s="724">
        <v>53.78562160603574</v>
      </c>
      <c r="I2728" s="724">
        <v>0</v>
      </c>
      <c r="J2728" s="724">
        <v>0</v>
      </c>
      <c r="K2728" s="724">
        <v>0</v>
      </c>
      <c r="L2728" s="724">
        <v>53.785621606035747</v>
      </c>
    </row>
    <row r="2729" spans="1:12">
      <c r="A2729" s="722" t="s">
        <v>322</v>
      </c>
      <c r="B2729" s="722">
        <v>142</v>
      </c>
      <c r="C2729" s="723">
        <v>2</v>
      </c>
      <c r="D2729" s="723">
        <v>0</v>
      </c>
      <c r="E2729" s="723">
        <v>0</v>
      </c>
      <c r="F2729" s="723">
        <v>0</v>
      </c>
      <c r="G2729" s="723">
        <v>2</v>
      </c>
      <c r="H2729" s="724">
        <v>65.84296431303423</v>
      </c>
      <c r="I2729" s="724">
        <v>0</v>
      </c>
      <c r="J2729" s="724">
        <v>0</v>
      </c>
      <c r="K2729" s="724">
        <v>0</v>
      </c>
      <c r="L2729" s="724">
        <v>65.84296431303423</v>
      </c>
    </row>
    <row r="2730" spans="1:12">
      <c r="A2730" s="722" t="s">
        <v>322</v>
      </c>
      <c r="B2730" s="722">
        <v>219</v>
      </c>
      <c r="C2730" s="723">
        <v>2</v>
      </c>
      <c r="D2730" s="723">
        <v>0</v>
      </c>
      <c r="E2730" s="723">
        <v>0</v>
      </c>
      <c r="F2730" s="723">
        <v>0</v>
      </c>
      <c r="G2730" s="723">
        <v>2</v>
      </c>
      <c r="H2730" s="724">
        <v>65.84296431303423</v>
      </c>
      <c r="I2730" s="724">
        <v>0</v>
      </c>
      <c r="J2730" s="724">
        <v>0</v>
      </c>
      <c r="K2730" s="724">
        <v>0</v>
      </c>
      <c r="L2730" s="724">
        <v>65.84296431303423</v>
      </c>
    </row>
    <row r="2731" spans="1:12">
      <c r="A2731" s="722" t="s">
        <v>322</v>
      </c>
      <c r="B2731" s="722">
        <v>501</v>
      </c>
      <c r="C2731" s="723">
        <v>1</v>
      </c>
      <c r="D2731" s="723">
        <v>0</v>
      </c>
      <c r="E2731" s="723">
        <v>0</v>
      </c>
      <c r="F2731" s="723">
        <v>0</v>
      </c>
      <c r="G2731" s="723">
        <v>1</v>
      </c>
      <c r="H2731" s="724">
        <v>32.921482156517115</v>
      </c>
      <c r="I2731" s="724">
        <v>0</v>
      </c>
      <c r="J2731" s="724">
        <v>0</v>
      </c>
      <c r="K2731" s="724">
        <v>0</v>
      </c>
      <c r="L2731" s="724">
        <v>32.921482156517115</v>
      </c>
    </row>
    <row r="2732" spans="1:12">
      <c r="A2732" s="722" t="s">
        <v>322</v>
      </c>
      <c r="B2732" s="722">
        <v>502</v>
      </c>
      <c r="C2732" s="723">
        <v>17</v>
      </c>
      <c r="D2732" s="723">
        <v>3</v>
      </c>
      <c r="E2732" s="723">
        <v>0</v>
      </c>
      <c r="F2732" s="723">
        <v>0</v>
      </c>
      <c r="G2732" s="723">
        <v>20</v>
      </c>
      <c r="H2732" s="724">
        <v>559.66519666079103</v>
      </c>
      <c r="I2732" s="724">
        <v>98.764446469551359</v>
      </c>
      <c r="J2732" s="724">
        <v>0</v>
      </c>
      <c r="K2732" s="724">
        <v>0</v>
      </c>
      <c r="L2732" s="724">
        <v>658.42964313034236</v>
      </c>
    </row>
    <row r="2733" spans="1:12">
      <c r="A2733" s="722" t="s">
        <v>322</v>
      </c>
      <c r="B2733" s="722">
        <v>560</v>
      </c>
      <c r="C2733" s="723">
        <v>1</v>
      </c>
      <c r="D2733" s="723">
        <v>0</v>
      </c>
      <c r="E2733" s="723">
        <v>0</v>
      </c>
      <c r="F2733" s="723">
        <v>0</v>
      </c>
      <c r="G2733" s="723">
        <v>1</v>
      </c>
      <c r="H2733" s="724">
        <v>32.921482156517115</v>
      </c>
      <c r="I2733" s="724">
        <v>0</v>
      </c>
      <c r="J2733" s="724">
        <v>0</v>
      </c>
      <c r="K2733" s="724">
        <v>0</v>
      </c>
      <c r="L2733" s="724">
        <v>32.921482156517115</v>
      </c>
    </row>
    <row r="2734" spans="1:12">
      <c r="A2734" s="722" t="s">
        <v>323</v>
      </c>
      <c r="B2734" s="722">
        <v>100</v>
      </c>
      <c r="C2734" s="723">
        <v>1</v>
      </c>
      <c r="D2734" s="723">
        <v>0</v>
      </c>
      <c r="E2734" s="723">
        <v>0</v>
      </c>
      <c r="F2734" s="723">
        <v>0</v>
      </c>
      <c r="G2734" s="723">
        <v>1</v>
      </c>
      <c r="H2734" s="724">
        <v>193.00996918092224</v>
      </c>
      <c r="I2734" s="724">
        <v>0</v>
      </c>
      <c r="J2734" s="724">
        <v>0</v>
      </c>
      <c r="K2734" s="724">
        <v>0</v>
      </c>
      <c r="L2734" s="724">
        <v>193.00996918092224</v>
      </c>
    </row>
    <row r="2735" spans="1:12">
      <c r="A2735" s="722" t="s">
        <v>323</v>
      </c>
      <c r="B2735" s="722">
        <v>104</v>
      </c>
      <c r="C2735" s="723">
        <v>0</v>
      </c>
      <c r="D2735" s="723">
        <v>1</v>
      </c>
      <c r="E2735" s="723">
        <v>0</v>
      </c>
      <c r="F2735" s="723">
        <v>0</v>
      </c>
      <c r="G2735" s="723">
        <v>1</v>
      </c>
      <c r="H2735" s="724">
        <v>0</v>
      </c>
      <c r="I2735" s="724">
        <v>193.00996918092224</v>
      </c>
      <c r="J2735" s="724">
        <v>0</v>
      </c>
      <c r="K2735" s="724">
        <v>0</v>
      </c>
      <c r="L2735" s="724">
        <v>193.00996918092224</v>
      </c>
    </row>
    <row r="2736" spans="1:12">
      <c r="A2736" s="722" t="s">
        <v>323</v>
      </c>
      <c r="B2736" s="722">
        <v>130</v>
      </c>
      <c r="C2736" s="723">
        <v>0</v>
      </c>
      <c r="D2736" s="723">
        <v>1</v>
      </c>
      <c r="E2736" s="723">
        <v>0</v>
      </c>
      <c r="F2736" s="723">
        <v>0</v>
      </c>
      <c r="G2736" s="723">
        <v>1</v>
      </c>
      <c r="H2736" s="724">
        <v>0</v>
      </c>
      <c r="I2736" s="724">
        <v>193.00996918092224</v>
      </c>
      <c r="J2736" s="724">
        <v>0</v>
      </c>
      <c r="K2736" s="724">
        <v>0</v>
      </c>
      <c r="L2736" s="724">
        <v>193.00996918092224</v>
      </c>
    </row>
    <row r="2737" spans="1:12">
      <c r="A2737" s="722" t="s">
        <v>323</v>
      </c>
      <c r="B2737" s="722">
        <v>219</v>
      </c>
      <c r="C2737" s="723">
        <v>2</v>
      </c>
      <c r="D2737" s="723">
        <v>0</v>
      </c>
      <c r="E2737" s="723">
        <v>0</v>
      </c>
      <c r="F2737" s="723">
        <v>0</v>
      </c>
      <c r="G2737" s="723">
        <v>2</v>
      </c>
      <c r="H2737" s="724">
        <v>386.01993836184448</v>
      </c>
      <c r="I2737" s="724">
        <v>0</v>
      </c>
      <c r="J2737" s="724">
        <v>0</v>
      </c>
      <c r="K2737" s="724">
        <v>0</v>
      </c>
      <c r="L2737" s="724">
        <v>386.01993836184448</v>
      </c>
    </row>
    <row r="2738" spans="1:12">
      <c r="A2738" s="722" t="s">
        <v>323</v>
      </c>
      <c r="B2738" s="722">
        <v>317</v>
      </c>
      <c r="C2738" s="723">
        <v>0</v>
      </c>
      <c r="D2738" s="723">
        <v>1</v>
      </c>
      <c r="E2738" s="723">
        <v>0</v>
      </c>
      <c r="F2738" s="723">
        <v>0</v>
      </c>
      <c r="G2738" s="723">
        <v>1</v>
      </c>
      <c r="H2738" s="724">
        <v>0</v>
      </c>
      <c r="I2738" s="724">
        <v>193.00996918092224</v>
      </c>
      <c r="J2738" s="724">
        <v>0</v>
      </c>
      <c r="K2738" s="724">
        <v>0</v>
      </c>
      <c r="L2738" s="724">
        <v>193.00996918092224</v>
      </c>
    </row>
    <row r="2739" spans="1:12">
      <c r="A2739" s="722" t="s">
        <v>323</v>
      </c>
      <c r="B2739" s="722">
        <v>320</v>
      </c>
      <c r="C2739" s="723">
        <v>1</v>
      </c>
      <c r="D2739" s="723">
        <v>0</v>
      </c>
      <c r="E2739" s="723">
        <v>0</v>
      </c>
      <c r="F2739" s="723">
        <v>0</v>
      </c>
      <c r="G2739" s="723">
        <v>1</v>
      </c>
      <c r="H2739" s="724">
        <v>193.00996918092224</v>
      </c>
      <c r="I2739" s="724">
        <v>0</v>
      </c>
      <c r="J2739" s="724">
        <v>0</v>
      </c>
      <c r="K2739" s="724">
        <v>0</v>
      </c>
      <c r="L2739" s="724">
        <v>193.00996918092224</v>
      </c>
    </row>
    <row r="2740" spans="1:12">
      <c r="A2740" s="722" t="s">
        <v>323</v>
      </c>
      <c r="B2740" s="722">
        <v>330</v>
      </c>
      <c r="C2740" s="723">
        <v>6</v>
      </c>
      <c r="D2740" s="723">
        <v>0</v>
      </c>
      <c r="E2740" s="723">
        <v>0</v>
      </c>
      <c r="F2740" s="723">
        <v>0</v>
      </c>
      <c r="G2740" s="723">
        <v>6</v>
      </c>
      <c r="H2740" s="724">
        <v>1158.0598150855335</v>
      </c>
      <c r="I2740" s="724">
        <v>0</v>
      </c>
      <c r="J2740" s="724">
        <v>0</v>
      </c>
      <c r="K2740" s="724">
        <v>0</v>
      </c>
      <c r="L2740" s="724">
        <v>1158.0598150855335</v>
      </c>
    </row>
    <row r="2741" spans="1:12">
      <c r="A2741" s="722" t="s">
        <v>323</v>
      </c>
      <c r="B2741" s="722">
        <v>501</v>
      </c>
      <c r="C2741" s="723">
        <v>1</v>
      </c>
      <c r="D2741" s="723">
        <v>2</v>
      </c>
      <c r="E2741" s="723">
        <v>0</v>
      </c>
      <c r="F2741" s="723">
        <v>0</v>
      </c>
      <c r="G2741" s="723">
        <v>3</v>
      </c>
      <c r="H2741" s="724">
        <v>193.00996918092224</v>
      </c>
      <c r="I2741" s="724">
        <v>386.01993836184448</v>
      </c>
      <c r="J2741" s="724">
        <v>0</v>
      </c>
      <c r="K2741" s="724">
        <v>0</v>
      </c>
      <c r="L2741" s="724">
        <v>579.02990754276675</v>
      </c>
    </row>
    <row r="2742" spans="1:12">
      <c r="A2742" s="722" t="s">
        <v>323</v>
      </c>
      <c r="B2742" s="722">
        <v>502</v>
      </c>
      <c r="C2742" s="723">
        <v>31</v>
      </c>
      <c r="D2742" s="723">
        <v>14</v>
      </c>
      <c r="E2742" s="723">
        <v>0</v>
      </c>
      <c r="F2742" s="723">
        <v>0</v>
      </c>
      <c r="G2742" s="723">
        <v>45</v>
      </c>
      <c r="H2742" s="724">
        <v>5983.3090446085898</v>
      </c>
      <c r="I2742" s="724">
        <v>2702.1395685329117</v>
      </c>
      <c r="J2742" s="724">
        <v>0</v>
      </c>
      <c r="K2742" s="724">
        <v>0</v>
      </c>
      <c r="L2742" s="724">
        <v>8685.4486131415015</v>
      </c>
    </row>
    <row r="2743" spans="1:12">
      <c r="A2743" s="722" t="s">
        <v>323</v>
      </c>
      <c r="B2743" s="722">
        <v>560</v>
      </c>
      <c r="C2743" s="723">
        <v>2</v>
      </c>
      <c r="D2743" s="723">
        <v>0</v>
      </c>
      <c r="E2743" s="723">
        <v>0</v>
      </c>
      <c r="F2743" s="723">
        <v>0</v>
      </c>
      <c r="G2743" s="723">
        <v>2</v>
      </c>
      <c r="H2743" s="724">
        <v>386.01993836184448</v>
      </c>
      <c r="I2743" s="724">
        <v>0</v>
      </c>
      <c r="J2743" s="724">
        <v>0</v>
      </c>
      <c r="K2743" s="724">
        <v>0</v>
      </c>
      <c r="L2743" s="724">
        <v>386.01993836184448</v>
      </c>
    </row>
    <row r="2744" spans="1:12">
      <c r="A2744" s="722" t="s">
        <v>324</v>
      </c>
      <c r="B2744" s="722">
        <v>100</v>
      </c>
      <c r="C2744" s="723">
        <v>6</v>
      </c>
      <c r="D2744" s="723">
        <v>0</v>
      </c>
      <c r="E2744" s="723">
        <v>0</v>
      </c>
      <c r="F2744" s="723">
        <v>0</v>
      </c>
      <c r="G2744" s="723">
        <v>6</v>
      </c>
      <c r="H2744" s="724">
        <v>982.84159081902317</v>
      </c>
      <c r="I2744" s="724">
        <v>0</v>
      </c>
      <c r="J2744" s="724">
        <v>0</v>
      </c>
      <c r="K2744" s="724">
        <v>0</v>
      </c>
      <c r="L2744" s="724">
        <v>982.84159081902317</v>
      </c>
    </row>
    <row r="2745" spans="1:12">
      <c r="A2745" s="722" t="s">
        <v>324</v>
      </c>
      <c r="B2745" s="722">
        <v>101</v>
      </c>
      <c r="C2745" s="723">
        <v>1</v>
      </c>
      <c r="D2745" s="723">
        <v>0</v>
      </c>
      <c r="E2745" s="723">
        <v>0</v>
      </c>
      <c r="F2745" s="723">
        <v>0</v>
      </c>
      <c r="G2745" s="723">
        <v>1</v>
      </c>
      <c r="H2745" s="724">
        <v>163.80693180317053</v>
      </c>
      <c r="I2745" s="724">
        <v>0</v>
      </c>
      <c r="J2745" s="724">
        <v>0</v>
      </c>
      <c r="K2745" s="724">
        <v>0</v>
      </c>
      <c r="L2745" s="724">
        <v>163.80693180317053</v>
      </c>
    </row>
    <row r="2746" spans="1:12">
      <c r="A2746" s="722" t="s">
        <v>324</v>
      </c>
      <c r="B2746" s="722">
        <v>110</v>
      </c>
      <c r="C2746" s="723">
        <v>0</v>
      </c>
      <c r="D2746" s="723">
        <v>2</v>
      </c>
      <c r="E2746" s="723">
        <v>0</v>
      </c>
      <c r="F2746" s="723">
        <v>0</v>
      </c>
      <c r="G2746" s="723">
        <v>2</v>
      </c>
      <c r="H2746" s="724">
        <v>0</v>
      </c>
      <c r="I2746" s="724">
        <v>327.61386360634106</v>
      </c>
      <c r="J2746" s="724">
        <v>0</v>
      </c>
      <c r="K2746" s="724">
        <v>0</v>
      </c>
      <c r="L2746" s="724">
        <v>327.61386360634106</v>
      </c>
    </row>
    <row r="2747" spans="1:12">
      <c r="A2747" s="722" t="s">
        <v>324</v>
      </c>
      <c r="B2747" s="722">
        <v>120</v>
      </c>
      <c r="C2747" s="723">
        <v>2</v>
      </c>
      <c r="D2747" s="723">
        <v>1</v>
      </c>
      <c r="E2747" s="723">
        <v>0</v>
      </c>
      <c r="F2747" s="723">
        <v>0</v>
      </c>
      <c r="G2747" s="723">
        <v>3</v>
      </c>
      <c r="H2747" s="724">
        <v>327.61386360634106</v>
      </c>
      <c r="I2747" s="724">
        <v>163.80693180317053</v>
      </c>
      <c r="J2747" s="724">
        <v>0</v>
      </c>
      <c r="K2747" s="724">
        <v>0</v>
      </c>
      <c r="L2747" s="724">
        <v>491.42079540951158</v>
      </c>
    </row>
    <row r="2748" spans="1:12">
      <c r="A2748" s="722" t="s">
        <v>324</v>
      </c>
      <c r="B2748" s="722">
        <v>130</v>
      </c>
      <c r="C2748" s="723">
        <v>1</v>
      </c>
      <c r="D2748" s="723">
        <v>0</v>
      </c>
      <c r="E2748" s="723">
        <v>0</v>
      </c>
      <c r="F2748" s="723">
        <v>0</v>
      </c>
      <c r="G2748" s="723">
        <v>1</v>
      </c>
      <c r="H2748" s="724">
        <v>163.80693180317053</v>
      </c>
      <c r="I2748" s="724">
        <v>0</v>
      </c>
      <c r="J2748" s="724">
        <v>0</v>
      </c>
      <c r="K2748" s="724">
        <v>0</v>
      </c>
      <c r="L2748" s="724">
        <v>163.80693180317053</v>
      </c>
    </row>
    <row r="2749" spans="1:12">
      <c r="A2749" s="722" t="s">
        <v>324</v>
      </c>
      <c r="B2749" s="722">
        <v>143</v>
      </c>
      <c r="C2749" s="723">
        <v>1</v>
      </c>
      <c r="D2749" s="723">
        <v>0</v>
      </c>
      <c r="E2749" s="723">
        <v>0</v>
      </c>
      <c r="F2749" s="723">
        <v>0</v>
      </c>
      <c r="G2749" s="723">
        <v>1</v>
      </c>
      <c r="H2749" s="724">
        <v>163.80693180317053</v>
      </c>
      <c r="I2749" s="724">
        <v>0</v>
      </c>
      <c r="J2749" s="724">
        <v>0</v>
      </c>
      <c r="K2749" s="724">
        <v>0</v>
      </c>
      <c r="L2749" s="724">
        <v>163.80693180317053</v>
      </c>
    </row>
    <row r="2750" spans="1:12">
      <c r="A2750" s="722" t="s">
        <v>324</v>
      </c>
      <c r="B2750" s="722">
        <v>160</v>
      </c>
      <c r="C2750" s="723">
        <v>1</v>
      </c>
      <c r="D2750" s="723">
        <v>0</v>
      </c>
      <c r="E2750" s="723">
        <v>0</v>
      </c>
      <c r="F2750" s="723">
        <v>0</v>
      </c>
      <c r="G2750" s="723">
        <v>1</v>
      </c>
      <c r="H2750" s="724">
        <v>163.80693180317053</v>
      </c>
      <c r="I2750" s="724">
        <v>0</v>
      </c>
      <c r="J2750" s="724">
        <v>0</v>
      </c>
      <c r="K2750" s="724">
        <v>0</v>
      </c>
      <c r="L2750" s="724">
        <v>163.80693180317053</v>
      </c>
    </row>
    <row r="2751" spans="1:12">
      <c r="A2751" s="722" t="s">
        <v>324</v>
      </c>
      <c r="B2751" s="722">
        <v>301</v>
      </c>
      <c r="C2751" s="723">
        <v>0</v>
      </c>
      <c r="D2751" s="723">
        <v>1</v>
      </c>
      <c r="E2751" s="723">
        <v>0</v>
      </c>
      <c r="F2751" s="723">
        <v>0</v>
      </c>
      <c r="G2751" s="723">
        <v>1</v>
      </c>
      <c r="H2751" s="724">
        <v>0</v>
      </c>
      <c r="I2751" s="724">
        <v>163.80693180317053</v>
      </c>
      <c r="J2751" s="724">
        <v>0</v>
      </c>
      <c r="K2751" s="724">
        <v>0</v>
      </c>
      <c r="L2751" s="724">
        <v>163.80693180317053</v>
      </c>
    </row>
    <row r="2752" spans="1:12">
      <c r="A2752" s="722" t="s">
        <v>324</v>
      </c>
      <c r="B2752" s="722">
        <v>330</v>
      </c>
      <c r="C2752" s="723">
        <v>1</v>
      </c>
      <c r="D2752" s="723">
        <v>0</v>
      </c>
      <c r="E2752" s="723">
        <v>0</v>
      </c>
      <c r="F2752" s="723">
        <v>0</v>
      </c>
      <c r="G2752" s="723">
        <v>1</v>
      </c>
      <c r="H2752" s="724">
        <v>163.80693180317053</v>
      </c>
      <c r="I2752" s="724">
        <v>0</v>
      </c>
      <c r="J2752" s="724">
        <v>0</v>
      </c>
      <c r="K2752" s="724">
        <v>0</v>
      </c>
      <c r="L2752" s="724">
        <v>163.80693180317053</v>
      </c>
    </row>
    <row r="2753" spans="1:12">
      <c r="A2753" s="722" t="s">
        <v>324</v>
      </c>
      <c r="B2753" s="722">
        <v>340</v>
      </c>
      <c r="C2753" s="723">
        <v>0</v>
      </c>
      <c r="D2753" s="723">
        <v>2</v>
      </c>
      <c r="E2753" s="723">
        <v>0</v>
      </c>
      <c r="F2753" s="723">
        <v>0</v>
      </c>
      <c r="G2753" s="723">
        <v>2</v>
      </c>
      <c r="H2753" s="724">
        <v>0</v>
      </c>
      <c r="I2753" s="724">
        <v>327.61386360634106</v>
      </c>
      <c r="J2753" s="724">
        <v>0</v>
      </c>
      <c r="K2753" s="724">
        <v>0</v>
      </c>
      <c r="L2753" s="724">
        <v>327.61386360634106</v>
      </c>
    </row>
    <row r="2754" spans="1:12">
      <c r="A2754" s="722" t="s">
        <v>324</v>
      </c>
      <c r="B2754" s="722">
        <v>361</v>
      </c>
      <c r="C2754" s="723">
        <v>1</v>
      </c>
      <c r="D2754" s="723">
        <v>0</v>
      </c>
      <c r="E2754" s="723">
        <v>0</v>
      </c>
      <c r="F2754" s="723">
        <v>0</v>
      </c>
      <c r="G2754" s="723">
        <v>1</v>
      </c>
      <c r="H2754" s="724">
        <v>163.80693180317053</v>
      </c>
      <c r="I2754" s="724">
        <v>0</v>
      </c>
      <c r="J2754" s="724">
        <v>0</v>
      </c>
      <c r="K2754" s="724">
        <v>0</v>
      </c>
      <c r="L2754" s="724">
        <v>163.80693180317053</v>
      </c>
    </row>
    <row r="2755" spans="1:12">
      <c r="A2755" s="722" t="s">
        <v>324</v>
      </c>
      <c r="B2755" s="722">
        <v>420</v>
      </c>
      <c r="C2755" s="723">
        <v>1</v>
      </c>
      <c r="D2755" s="723">
        <v>0</v>
      </c>
      <c r="E2755" s="723">
        <v>0</v>
      </c>
      <c r="F2755" s="723">
        <v>0</v>
      </c>
      <c r="G2755" s="723">
        <v>1</v>
      </c>
      <c r="H2755" s="724">
        <v>163.80693180317053</v>
      </c>
      <c r="I2755" s="724">
        <v>0</v>
      </c>
      <c r="J2755" s="724">
        <v>0</v>
      </c>
      <c r="K2755" s="724">
        <v>0</v>
      </c>
      <c r="L2755" s="724">
        <v>163.80693180317053</v>
      </c>
    </row>
    <row r="2756" spans="1:12">
      <c r="A2756" s="722" t="s">
        <v>324</v>
      </c>
      <c r="B2756" s="722">
        <v>502</v>
      </c>
      <c r="C2756" s="723">
        <v>960</v>
      </c>
      <c r="D2756" s="723">
        <v>1253</v>
      </c>
      <c r="E2756" s="723">
        <v>0</v>
      </c>
      <c r="F2756" s="723">
        <v>0</v>
      </c>
      <c r="G2756" s="723">
        <v>2213</v>
      </c>
      <c r="H2756" s="724">
        <v>157254.65453104372</v>
      </c>
      <c r="I2756" s="724">
        <v>205250.08554937268</v>
      </c>
      <c r="J2756" s="724">
        <v>0</v>
      </c>
      <c r="K2756" s="724">
        <v>0</v>
      </c>
      <c r="L2756" s="724">
        <v>362504.74008041638</v>
      </c>
    </row>
    <row r="2757" spans="1:12">
      <c r="A2757" s="722" t="s">
        <v>324</v>
      </c>
      <c r="B2757" s="722">
        <v>503</v>
      </c>
      <c r="C2757" s="723">
        <v>14</v>
      </c>
      <c r="D2757" s="723">
        <v>45</v>
      </c>
      <c r="E2757" s="723">
        <v>0</v>
      </c>
      <c r="F2757" s="723">
        <v>0</v>
      </c>
      <c r="G2757" s="723">
        <v>59</v>
      </c>
      <c r="H2757" s="724">
        <v>2293.2970452443874</v>
      </c>
      <c r="I2757" s="724">
        <v>7371.3119311426735</v>
      </c>
      <c r="J2757" s="724">
        <v>0</v>
      </c>
      <c r="K2757" s="724">
        <v>0</v>
      </c>
      <c r="L2757" s="724">
        <v>9664.6089763870605</v>
      </c>
    </row>
    <row r="2758" spans="1:12">
      <c r="A2758" s="722" t="s">
        <v>325</v>
      </c>
      <c r="B2758" s="722">
        <v>501</v>
      </c>
      <c r="C2758" s="723">
        <v>2</v>
      </c>
      <c r="D2758" s="723">
        <v>1</v>
      </c>
      <c r="E2758" s="723">
        <v>0</v>
      </c>
      <c r="F2758" s="723">
        <v>0</v>
      </c>
      <c r="G2758" s="723">
        <v>3</v>
      </c>
      <c r="H2758" s="724">
        <v>245.39346755700137</v>
      </c>
      <c r="I2758" s="724">
        <v>122.69673377850069</v>
      </c>
      <c r="J2758" s="724">
        <v>0</v>
      </c>
      <c r="K2758" s="724">
        <v>0</v>
      </c>
      <c r="L2758" s="724">
        <v>368.09020133550206</v>
      </c>
    </row>
    <row r="2759" spans="1:12">
      <c r="A2759" s="722" t="s">
        <v>325</v>
      </c>
      <c r="B2759" s="722">
        <v>502</v>
      </c>
      <c r="C2759" s="723">
        <v>21</v>
      </c>
      <c r="D2759" s="723">
        <v>44</v>
      </c>
      <c r="E2759" s="723">
        <v>0</v>
      </c>
      <c r="F2759" s="723">
        <v>0</v>
      </c>
      <c r="G2759" s="723">
        <v>65</v>
      </c>
      <c r="H2759" s="724">
        <v>2576.6314093485144</v>
      </c>
      <c r="I2759" s="724">
        <v>5398.6562862540304</v>
      </c>
      <c r="J2759" s="724">
        <v>0</v>
      </c>
      <c r="K2759" s="724">
        <v>0</v>
      </c>
      <c r="L2759" s="724">
        <v>7975.2876956025439</v>
      </c>
    </row>
    <row r="2760" spans="1:12">
      <c r="A2760" s="722" t="s">
        <v>325</v>
      </c>
      <c r="B2760" s="722">
        <v>503</v>
      </c>
      <c r="C2760" s="723">
        <v>2</v>
      </c>
      <c r="D2760" s="723">
        <v>2</v>
      </c>
      <c r="E2760" s="723">
        <v>0</v>
      </c>
      <c r="F2760" s="723">
        <v>0</v>
      </c>
      <c r="G2760" s="723">
        <v>4</v>
      </c>
      <c r="H2760" s="724">
        <v>245.39346755700137</v>
      </c>
      <c r="I2760" s="724">
        <v>245.39346755700137</v>
      </c>
      <c r="J2760" s="724">
        <v>0</v>
      </c>
      <c r="K2760" s="724">
        <v>0</v>
      </c>
      <c r="L2760" s="724">
        <v>490.78693511400274</v>
      </c>
    </row>
    <row r="2761" spans="1:12">
      <c r="A2761" s="722" t="s">
        <v>325</v>
      </c>
      <c r="B2761" s="722">
        <v>560</v>
      </c>
      <c r="C2761" s="723">
        <v>0</v>
      </c>
      <c r="D2761" s="723">
        <v>1</v>
      </c>
      <c r="E2761" s="723">
        <v>0</v>
      </c>
      <c r="F2761" s="723">
        <v>0</v>
      </c>
      <c r="G2761" s="723">
        <v>1</v>
      </c>
      <c r="H2761" s="724">
        <v>0</v>
      </c>
      <c r="I2761" s="724">
        <v>122.69673377850069</v>
      </c>
      <c r="J2761" s="724">
        <v>0</v>
      </c>
      <c r="K2761" s="724">
        <v>0</v>
      </c>
      <c r="L2761" s="724">
        <v>122.69673377850069</v>
      </c>
    </row>
    <row r="2762" spans="1:12">
      <c r="A2762" s="722" t="s">
        <v>326</v>
      </c>
      <c r="B2762" s="722">
        <v>301</v>
      </c>
      <c r="C2762" s="723">
        <v>0</v>
      </c>
      <c r="D2762" s="723">
        <v>2</v>
      </c>
      <c r="E2762" s="723">
        <v>0</v>
      </c>
      <c r="F2762" s="723">
        <v>0</v>
      </c>
      <c r="G2762" s="723">
        <v>2</v>
      </c>
      <c r="H2762" s="724">
        <v>0</v>
      </c>
      <c r="I2762" s="724">
        <v>360.19825981660875</v>
      </c>
      <c r="J2762" s="724">
        <v>0</v>
      </c>
      <c r="K2762" s="724">
        <v>0</v>
      </c>
      <c r="L2762" s="724">
        <v>360.19825981660875</v>
      </c>
    </row>
    <row r="2763" spans="1:12">
      <c r="A2763" s="722" t="s">
        <v>326</v>
      </c>
      <c r="B2763" s="722">
        <v>501</v>
      </c>
      <c r="C2763" s="723">
        <v>90</v>
      </c>
      <c r="D2763" s="723">
        <v>209</v>
      </c>
      <c r="E2763" s="723">
        <v>0</v>
      </c>
      <c r="F2763" s="723">
        <v>0</v>
      </c>
      <c r="G2763" s="723">
        <v>299</v>
      </c>
      <c r="H2763" s="724">
        <v>16208.921691747391</v>
      </c>
      <c r="I2763" s="724">
        <v>37640.718150835615</v>
      </c>
      <c r="J2763" s="724">
        <v>0</v>
      </c>
      <c r="K2763" s="724">
        <v>0</v>
      </c>
      <c r="L2763" s="724">
        <v>53849.639842583005</v>
      </c>
    </row>
    <row r="2764" spans="1:12">
      <c r="A2764" s="722" t="s">
        <v>326</v>
      </c>
      <c r="B2764" s="722">
        <v>502</v>
      </c>
      <c r="C2764" s="723">
        <v>1452</v>
      </c>
      <c r="D2764" s="723">
        <v>373</v>
      </c>
      <c r="E2764" s="723">
        <v>0</v>
      </c>
      <c r="F2764" s="723">
        <v>0</v>
      </c>
      <c r="G2764" s="723">
        <v>1825</v>
      </c>
      <c r="H2764" s="724">
        <v>261503.93662685793</v>
      </c>
      <c r="I2764" s="724">
        <v>67176.975455797525</v>
      </c>
      <c r="J2764" s="724">
        <v>0</v>
      </c>
      <c r="K2764" s="724">
        <v>0</v>
      </c>
      <c r="L2764" s="724">
        <v>328680.91208265547</v>
      </c>
    </row>
    <row r="2765" spans="1:12">
      <c r="A2765" s="722" t="s">
        <v>326</v>
      </c>
      <c r="B2765" s="722">
        <v>560</v>
      </c>
      <c r="C2765" s="723">
        <v>2</v>
      </c>
      <c r="D2765" s="723">
        <v>1</v>
      </c>
      <c r="E2765" s="723">
        <v>0</v>
      </c>
      <c r="F2765" s="723">
        <v>0</v>
      </c>
      <c r="G2765" s="723">
        <v>3</v>
      </c>
      <c r="H2765" s="724">
        <v>360.19825981660875</v>
      </c>
      <c r="I2765" s="724">
        <v>180.09912990830438</v>
      </c>
      <c r="J2765" s="724">
        <v>0</v>
      </c>
      <c r="K2765" s="724">
        <v>0</v>
      </c>
      <c r="L2765" s="724">
        <v>540.29738972491316</v>
      </c>
    </row>
    <row r="2766" spans="1:12">
      <c r="A2766" s="722" t="s">
        <v>327</v>
      </c>
      <c r="B2766" s="722">
        <v>501</v>
      </c>
      <c r="C2766" s="723">
        <v>1</v>
      </c>
      <c r="D2766" s="723">
        <v>6</v>
      </c>
      <c r="E2766" s="723">
        <v>0</v>
      </c>
      <c r="F2766" s="723">
        <v>0</v>
      </c>
      <c r="G2766" s="723">
        <v>7</v>
      </c>
      <c r="H2766" s="724">
        <v>455.68406315957338</v>
      </c>
      <c r="I2766" s="724">
        <v>2734.1043789574405</v>
      </c>
      <c r="J2766" s="724">
        <v>0</v>
      </c>
      <c r="K2766" s="724">
        <v>0</v>
      </c>
      <c r="L2766" s="724">
        <v>3189.7884421170138</v>
      </c>
    </row>
    <row r="2767" spans="1:12">
      <c r="A2767" s="722" t="s">
        <v>327</v>
      </c>
      <c r="B2767" s="722">
        <v>502</v>
      </c>
      <c r="C2767" s="723">
        <v>1</v>
      </c>
      <c r="D2767" s="723">
        <v>0</v>
      </c>
      <c r="E2767" s="723">
        <v>0</v>
      </c>
      <c r="F2767" s="723">
        <v>0</v>
      </c>
      <c r="G2767" s="723">
        <v>1</v>
      </c>
      <c r="H2767" s="724">
        <v>455.68406315957338</v>
      </c>
      <c r="I2767" s="724">
        <v>0</v>
      </c>
      <c r="J2767" s="724">
        <v>0</v>
      </c>
      <c r="K2767" s="724">
        <v>0</v>
      </c>
      <c r="L2767" s="724">
        <v>455.68406315957338</v>
      </c>
    </row>
    <row r="2768" spans="1:12">
      <c r="A2768" s="722" t="s">
        <v>327</v>
      </c>
      <c r="B2768" s="722">
        <v>560</v>
      </c>
      <c r="C2768" s="723">
        <v>0</v>
      </c>
      <c r="D2768" s="723">
        <v>1</v>
      </c>
      <c r="E2768" s="723">
        <v>0</v>
      </c>
      <c r="F2768" s="723">
        <v>0</v>
      </c>
      <c r="G2768" s="723">
        <v>1</v>
      </c>
      <c r="H2768" s="724">
        <v>0</v>
      </c>
      <c r="I2768" s="724">
        <v>455.68406315957338</v>
      </c>
      <c r="J2768" s="724">
        <v>0</v>
      </c>
      <c r="K2768" s="724">
        <v>0</v>
      </c>
      <c r="L2768" s="724">
        <v>455.68406315957338</v>
      </c>
    </row>
    <row r="2769" spans="1:12">
      <c r="A2769" s="722" t="s">
        <v>328</v>
      </c>
      <c r="B2769" s="722">
        <v>501</v>
      </c>
      <c r="C2769" s="723">
        <v>3</v>
      </c>
      <c r="D2769" s="723">
        <v>2</v>
      </c>
      <c r="E2769" s="723">
        <v>0</v>
      </c>
      <c r="F2769" s="723">
        <v>0</v>
      </c>
      <c r="G2769" s="723">
        <v>5</v>
      </c>
      <c r="H2769" s="724">
        <v>422.73050820404495</v>
      </c>
      <c r="I2769" s="724">
        <v>281.82033880269665</v>
      </c>
      <c r="J2769" s="724">
        <v>0</v>
      </c>
      <c r="K2769" s="724">
        <v>0</v>
      </c>
      <c r="L2769" s="724">
        <v>704.55084700674161</v>
      </c>
    </row>
    <row r="2770" spans="1:12">
      <c r="A2770" s="722" t="s">
        <v>328</v>
      </c>
      <c r="B2770" s="722">
        <v>502</v>
      </c>
      <c r="C2770" s="723">
        <v>163</v>
      </c>
      <c r="D2770" s="723">
        <v>72</v>
      </c>
      <c r="E2770" s="723">
        <v>0</v>
      </c>
      <c r="F2770" s="723">
        <v>0</v>
      </c>
      <c r="G2770" s="723">
        <v>235</v>
      </c>
      <c r="H2770" s="724">
        <v>22968.357612419775</v>
      </c>
      <c r="I2770" s="724">
        <v>10145.532196897078</v>
      </c>
      <c r="J2770" s="724">
        <v>0</v>
      </c>
      <c r="K2770" s="724">
        <v>0</v>
      </c>
      <c r="L2770" s="724">
        <v>33113.889809316854</v>
      </c>
    </row>
    <row r="2771" spans="1:12">
      <c r="A2771" s="722" t="s">
        <v>575</v>
      </c>
      <c r="B2771" s="722">
        <v>501</v>
      </c>
      <c r="C2771" s="723">
        <v>2</v>
      </c>
      <c r="D2771" s="723">
        <v>1</v>
      </c>
      <c r="E2771" s="723">
        <v>0</v>
      </c>
      <c r="F2771" s="723">
        <v>0</v>
      </c>
      <c r="G2771" s="723">
        <v>3</v>
      </c>
      <c r="H2771" s="724">
        <v>268.13916669884532</v>
      </c>
      <c r="I2771" s="724">
        <v>134.06958334942266</v>
      </c>
      <c r="J2771" s="724">
        <v>0</v>
      </c>
      <c r="K2771" s="724">
        <v>0</v>
      </c>
      <c r="L2771" s="724">
        <v>402.20875004826797</v>
      </c>
    </row>
    <row r="2772" spans="1:12">
      <c r="A2772" s="722" t="s">
        <v>329</v>
      </c>
      <c r="B2772" s="722">
        <v>100</v>
      </c>
      <c r="C2772" s="723">
        <v>5</v>
      </c>
      <c r="D2772" s="723">
        <v>1</v>
      </c>
      <c r="E2772" s="723">
        <v>0</v>
      </c>
      <c r="F2772" s="723">
        <v>0</v>
      </c>
      <c r="G2772" s="723">
        <v>6</v>
      </c>
      <c r="H2772" s="724">
        <v>1894.2696493668411</v>
      </c>
      <c r="I2772" s="724">
        <v>378.85392987336826</v>
      </c>
      <c r="J2772" s="724">
        <v>0</v>
      </c>
      <c r="K2772" s="724">
        <v>0</v>
      </c>
      <c r="L2772" s="724">
        <v>2273.1235792402094</v>
      </c>
    </row>
    <row r="2773" spans="1:12">
      <c r="A2773" s="722" t="s">
        <v>329</v>
      </c>
      <c r="B2773" s="722">
        <v>101</v>
      </c>
      <c r="C2773" s="723">
        <v>4</v>
      </c>
      <c r="D2773" s="723">
        <v>6</v>
      </c>
      <c r="E2773" s="723">
        <v>0</v>
      </c>
      <c r="F2773" s="723">
        <v>0</v>
      </c>
      <c r="G2773" s="723">
        <v>10</v>
      </c>
      <c r="H2773" s="724">
        <v>1515.4157194934728</v>
      </c>
      <c r="I2773" s="724">
        <v>2273.123579240209</v>
      </c>
      <c r="J2773" s="724">
        <v>0</v>
      </c>
      <c r="K2773" s="724">
        <v>0</v>
      </c>
      <c r="L2773" s="724">
        <v>3788.5392987336818</v>
      </c>
    </row>
    <row r="2774" spans="1:12">
      <c r="A2774" s="722" t="s">
        <v>329</v>
      </c>
      <c r="B2774" s="722">
        <v>120</v>
      </c>
      <c r="C2774" s="723">
        <v>1</v>
      </c>
      <c r="D2774" s="723">
        <v>1</v>
      </c>
      <c r="E2774" s="723">
        <v>0</v>
      </c>
      <c r="F2774" s="723">
        <v>0</v>
      </c>
      <c r="G2774" s="723">
        <v>2</v>
      </c>
      <c r="H2774" s="724">
        <v>378.8539298733682</v>
      </c>
      <c r="I2774" s="724">
        <v>378.8539298733682</v>
      </c>
      <c r="J2774" s="724">
        <v>0</v>
      </c>
      <c r="K2774" s="724">
        <v>0</v>
      </c>
      <c r="L2774" s="724">
        <v>757.7078597467364</v>
      </c>
    </row>
    <row r="2775" spans="1:12">
      <c r="A2775" s="722" t="s">
        <v>329</v>
      </c>
      <c r="B2775" s="722">
        <v>143</v>
      </c>
      <c r="C2775" s="723">
        <v>1</v>
      </c>
      <c r="D2775" s="723">
        <v>0</v>
      </c>
      <c r="E2775" s="723">
        <v>0</v>
      </c>
      <c r="F2775" s="723">
        <v>0</v>
      </c>
      <c r="G2775" s="723">
        <v>1</v>
      </c>
      <c r="H2775" s="724">
        <v>378.8539298733682</v>
      </c>
      <c r="I2775" s="724">
        <v>0</v>
      </c>
      <c r="J2775" s="724">
        <v>0</v>
      </c>
      <c r="K2775" s="724">
        <v>0</v>
      </c>
      <c r="L2775" s="724">
        <v>378.8539298733682</v>
      </c>
    </row>
    <row r="2776" spans="1:12">
      <c r="A2776" s="722" t="s">
        <v>329</v>
      </c>
      <c r="B2776" s="722">
        <v>160</v>
      </c>
      <c r="C2776" s="723">
        <v>3</v>
      </c>
      <c r="D2776" s="723">
        <v>0</v>
      </c>
      <c r="E2776" s="723">
        <v>0</v>
      </c>
      <c r="F2776" s="723">
        <v>0</v>
      </c>
      <c r="G2776" s="723">
        <v>3</v>
      </c>
      <c r="H2776" s="724">
        <v>1136.5617896201047</v>
      </c>
      <c r="I2776" s="724">
        <v>0</v>
      </c>
      <c r="J2776" s="724">
        <v>0</v>
      </c>
      <c r="K2776" s="724">
        <v>0</v>
      </c>
      <c r="L2776" s="724">
        <v>1136.5617896201047</v>
      </c>
    </row>
    <row r="2777" spans="1:12">
      <c r="A2777" s="722" t="s">
        <v>329</v>
      </c>
      <c r="B2777" s="722">
        <v>257</v>
      </c>
      <c r="C2777" s="723">
        <v>1</v>
      </c>
      <c r="D2777" s="723">
        <v>0</v>
      </c>
      <c r="E2777" s="723">
        <v>0</v>
      </c>
      <c r="F2777" s="723">
        <v>0</v>
      </c>
      <c r="G2777" s="723">
        <v>1</v>
      </c>
      <c r="H2777" s="724">
        <v>378.8539298733682</v>
      </c>
      <c r="I2777" s="724">
        <v>0</v>
      </c>
      <c r="J2777" s="724">
        <v>0</v>
      </c>
      <c r="K2777" s="724">
        <v>0</v>
      </c>
      <c r="L2777" s="724">
        <v>378.8539298733682</v>
      </c>
    </row>
    <row r="2778" spans="1:12">
      <c r="A2778" s="722" t="s">
        <v>329</v>
      </c>
      <c r="B2778" s="722">
        <v>330</v>
      </c>
      <c r="C2778" s="723">
        <v>47</v>
      </c>
      <c r="D2778" s="723">
        <v>19</v>
      </c>
      <c r="E2778" s="723">
        <v>0</v>
      </c>
      <c r="F2778" s="723">
        <v>0</v>
      </c>
      <c r="G2778" s="723">
        <v>66</v>
      </c>
      <c r="H2778" s="724">
        <v>17806.134704048305</v>
      </c>
      <c r="I2778" s="724">
        <v>7198.224667593995</v>
      </c>
      <c r="J2778" s="724">
        <v>0</v>
      </c>
      <c r="K2778" s="724">
        <v>0</v>
      </c>
      <c r="L2778" s="724">
        <v>25004.359371642298</v>
      </c>
    </row>
    <row r="2779" spans="1:12">
      <c r="A2779" s="722" t="s">
        <v>329</v>
      </c>
      <c r="B2779" s="722">
        <v>361</v>
      </c>
      <c r="C2779" s="723">
        <v>1</v>
      </c>
      <c r="D2779" s="723">
        <v>0</v>
      </c>
      <c r="E2779" s="723">
        <v>0</v>
      </c>
      <c r="F2779" s="723">
        <v>0</v>
      </c>
      <c r="G2779" s="723">
        <v>1</v>
      </c>
      <c r="H2779" s="724">
        <v>378.8539298733682</v>
      </c>
      <c r="I2779" s="724">
        <v>0</v>
      </c>
      <c r="J2779" s="724">
        <v>0</v>
      </c>
      <c r="K2779" s="724">
        <v>0</v>
      </c>
      <c r="L2779" s="724">
        <v>378.8539298733682</v>
      </c>
    </row>
    <row r="2780" spans="1:12">
      <c r="A2780" s="722" t="s">
        <v>329</v>
      </c>
      <c r="B2780" s="722">
        <v>501</v>
      </c>
      <c r="C2780" s="723">
        <v>19</v>
      </c>
      <c r="D2780" s="723">
        <v>0</v>
      </c>
      <c r="E2780" s="723">
        <v>0</v>
      </c>
      <c r="F2780" s="723">
        <v>0</v>
      </c>
      <c r="G2780" s="723">
        <v>19</v>
      </c>
      <c r="H2780" s="724">
        <v>7198.2246675939959</v>
      </c>
      <c r="I2780" s="724">
        <v>0</v>
      </c>
      <c r="J2780" s="724">
        <v>0</v>
      </c>
      <c r="K2780" s="724">
        <v>0</v>
      </c>
      <c r="L2780" s="724">
        <v>7198.2246675939959</v>
      </c>
    </row>
    <row r="2781" spans="1:12">
      <c r="A2781" s="722" t="s">
        <v>329</v>
      </c>
      <c r="B2781" s="722">
        <v>502</v>
      </c>
      <c r="C2781" s="723">
        <v>800</v>
      </c>
      <c r="D2781" s="723">
        <v>1080</v>
      </c>
      <c r="E2781" s="723">
        <v>0</v>
      </c>
      <c r="F2781" s="723">
        <v>0</v>
      </c>
      <c r="G2781" s="723">
        <v>1880</v>
      </c>
      <c r="H2781" s="724">
        <v>303083.14389869448</v>
      </c>
      <c r="I2781" s="724">
        <v>409162.24426323758</v>
      </c>
      <c r="J2781" s="724">
        <v>0</v>
      </c>
      <c r="K2781" s="724">
        <v>0</v>
      </c>
      <c r="L2781" s="724">
        <v>712245.38816193212</v>
      </c>
    </row>
    <row r="2782" spans="1:12">
      <c r="A2782" s="722" t="s">
        <v>329</v>
      </c>
      <c r="B2782" s="722">
        <v>503</v>
      </c>
      <c r="C2782" s="723">
        <v>19</v>
      </c>
      <c r="D2782" s="723">
        <v>7</v>
      </c>
      <c r="E2782" s="723">
        <v>0</v>
      </c>
      <c r="F2782" s="723">
        <v>0</v>
      </c>
      <c r="G2782" s="723">
        <v>26</v>
      </c>
      <c r="H2782" s="724">
        <v>7198.2246675939959</v>
      </c>
      <c r="I2782" s="724">
        <v>2651.9775091135771</v>
      </c>
      <c r="J2782" s="724">
        <v>0</v>
      </c>
      <c r="K2782" s="724">
        <v>0</v>
      </c>
      <c r="L2782" s="724">
        <v>9850.202176707573</v>
      </c>
    </row>
    <row r="2783" spans="1:12">
      <c r="A2783" s="722" t="s">
        <v>329</v>
      </c>
      <c r="B2783" s="722">
        <v>560</v>
      </c>
      <c r="C2783" s="723">
        <v>3</v>
      </c>
      <c r="D2783" s="723">
        <v>0</v>
      </c>
      <c r="E2783" s="723">
        <v>0</v>
      </c>
      <c r="F2783" s="723">
        <v>0</v>
      </c>
      <c r="G2783" s="723">
        <v>3</v>
      </c>
      <c r="H2783" s="724">
        <v>1136.5617896201047</v>
      </c>
      <c r="I2783" s="724">
        <v>0</v>
      </c>
      <c r="J2783" s="724">
        <v>0</v>
      </c>
      <c r="K2783" s="724">
        <v>0</v>
      </c>
      <c r="L2783" s="724">
        <v>1136.5617896201047</v>
      </c>
    </row>
    <row r="2784" spans="1:12">
      <c r="A2784" s="722" t="s">
        <v>330</v>
      </c>
      <c r="B2784" s="722">
        <v>107</v>
      </c>
      <c r="C2784" s="723">
        <v>1</v>
      </c>
      <c r="D2784" s="723">
        <v>0</v>
      </c>
      <c r="E2784" s="723">
        <v>0</v>
      </c>
      <c r="F2784" s="723">
        <v>0</v>
      </c>
      <c r="G2784" s="723">
        <v>1</v>
      </c>
      <c r="H2784" s="724">
        <v>165.44757172881498</v>
      </c>
      <c r="I2784" s="724">
        <v>0</v>
      </c>
      <c r="J2784" s="724">
        <v>0</v>
      </c>
      <c r="K2784" s="724">
        <v>0</v>
      </c>
      <c r="L2784" s="724">
        <v>165.44757172881498</v>
      </c>
    </row>
    <row r="2785" spans="1:12">
      <c r="A2785" s="722" t="s">
        <v>330</v>
      </c>
      <c r="B2785" s="722">
        <v>110</v>
      </c>
      <c r="C2785" s="723">
        <v>1</v>
      </c>
      <c r="D2785" s="723">
        <v>1</v>
      </c>
      <c r="E2785" s="723">
        <v>0</v>
      </c>
      <c r="F2785" s="723">
        <v>0</v>
      </c>
      <c r="G2785" s="723">
        <v>2</v>
      </c>
      <c r="H2785" s="724">
        <v>165.44757172881498</v>
      </c>
      <c r="I2785" s="724">
        <v>165.44757172881498</v>
      </c>
      <c r="J2785" s="724">
        <v>0</v>
      </c>
      <c r="K2785" s="724">
        <v>0</v>
      </c>
      <c r="L2785" s="724">
        <v>330.89514345762996</v>
      </c>
    </row>
    <row r="2786" spans="1:12">
      <c r="A2786" s="722" t="s">
        <v>330</v>
      </c>
      <c r="B2786" s="722">
        <v>142</v>
      </c>
      <c r="C2786" s="723">
        <v>1</v>
      </c>
      <c r="D2786" s="723">
        <v>0</v>
      </c>
      <c r="E2786" s="723">
        <v>0</v>
      </c>
      <c r="F2786" s="723">
        <v>0</v>
      </c>
      <c r="G2786" s="723">
        <v>1</v>
      </c>
      <c r="H2786" s="724">
        <v>165.44757172881498</v>
      </c>
      <c r="I2786" s="724">
        <v>0</v>
      </c>
      <c r="J2786" s="724">
        <v>0</v>
      </c>
      <c r="K2786" s="724">
        <v>0</v>
      </c>
      <c r="L2786" s="724">
        <v>165.44757172881498</v>
      </c>
    </row>
    <row r="2787" spans="1:12">
      <c r="A2787" s="722" t="s">
        <v>330</v>
      </c>
      <c r="B2787" s="722">
        <v>150</v>
      </c>
      <c r="C2787" s="723">
        <v>0</v>
      </c>
      <c r="D2787" s="723">
        <v>1</v>
      </c>
      <c r="E2787" s="723">
        <v>0</v>
      </c>
      <c r="F2787" s="723">
        <v>0</v>
      </c>
      <c r="G2787" s="723">
        <v>1</v>
      </c>
      <c r="H2787" s="724">
        <v>0</v>
      </c>
      <c r="I2787" s="724">
        <v>165.44757172881498</v>
      </c>
      <c r="J2787" s="724">
        <v>0</v>
      </c>
      <c r="K2787" s="724">
        <v>0</v>
      </c>
      <c r="L2787" s="724">
        <v>165.44757172881498</v>
      </c>
    </row>
    <row r="2788" spans="1:12">
      <c r="A2788" s="722" t="s">
        <v>330</v>
      </c>
      <c r="B2788" s="722">
        <v>219</v>
      </c>
      <c r="C2788" s="723">
        <v>1</v>
      </c>
      <c r="D2788" s="723">
        <v>0</v>
      </c>
      <c r="E2788" s="723">
        <v>0</v>
      </c>
      <c r="F2788" s="723">
        <v>0</v>
      </c>
      <c r="G2788" s="723">
        <v>1</v>
      </c>
      <c r="H2788" s="724">
        <v>165.44757172881498</v>
      </c>
      <c r="I2788" s="724">
        <v>0</v>
      </c>
      <c r="J2788" s="724">
        <v>0</v>
      </c>
      <c r="K2788" s="724">
        <v>0</v>
      </c>
      <c r="L2788" s="724">
        <v>165.44757172881498</v>
      </c>
    </row>
    <row r="2789" spans="1:12">
      <c r="A2789" s="722" t="s">
        <v>330</v>
      </c>
      <c r="B2789" s="722">
        <v>321</v>
      </c>
      <c r="C2789" s="723">
        <v>0</v>
      </c>
      <c r="D2789" s="723">
        <v>1</v>
      </c>
      <c r="E2789" s="723">
        <v>0</v>
      </c>
      <c r="F2789" s="723">
        <v>0</v>
      </c>
      <c r="G2789" s="723">
        <v>1</v>
      </c>
      <c r="H2789" s="724">
        <v>0</v>
      </c>
      <c r="I2789" s="724">
        <v>165.44757172881498</v>
      </c>
      <c r="J2789" s="724">
        <v>0</v>
      </c>
      <c r="K2789" s="724">
        <v>0</v>
      </c>
      <c r="L2789" s="724">
        <v>165.44757172881498</v>
      </c>
    </row>
    <row r="2790" spans="1:12">
      <c r="A2790" s="722" t="s">
        <v>330</v>
      </c>
      <c r="B2790" s="722">
        <v>420</v>
      </c>
      <c r="C2790" s="723">
        <v>1</v>
      </c>
      <c r="D2790" s="723">
        <v>0</v>
      </c>
      <c r="E2790" s="723">
        <v>0</v>
      </c>
      <c r="F2790" s="723">
        <v>0</v>
      </c>
      <c r="G2790" s="723">
        <v>1</v>
      </c>
      <c r="H2790" s="724">
        <v>165.44757172881498</v>
      </c>
      <c r="I2790" s="724">
        <v>0</v>
      </c>
      <c r="J2790" s="724">
        <v>0</v>
      </c>
      <c r="K2790" s="724">
        <v>0</v>
      </c>
      <c r="L2790" s="724">
        <v>165.44757172881498</v>
      </c>
    </row>
    <row r="2791" spans="1:12">
      <c r="A2791" s="722" t="s">
        <v>330</v>
      </c>
      <c r="B2791" s="722">
        <v>501</v>
      </c>
      <c r="C2791" s="723">
        <v>2</v>
      </c>
      <c r="D2791" s="723">
        <v>2</v>
      </c>
      <c r="E2791" s="723">
        <v>0</v>
      </c>
      <c r="F2791" s="723">
        <v>0</v>
      </c>
      <c r="G2791" s="723">
        <v>4</v>
      </c>
      <c r="H2791" s="724">
        <v>330.89514345762996</v>
      </c>
      <c r="I2791" s="724">
        <v>330.89514345762996</v>
      </c>
      <c r="J2791" s="724">
        <v>0</v>
      </c>
      <c r="K2791" s="724">
        <v>0</v>
      </c>
      <c r="L2791" s="724">
        <v>661.79028691525991</v>
      </c>
    </row>
    <row r="2792" spans="1:12">
      <c r="A2792" s="722" t="s">
        <v>330</v>
      </c>
      <c r="B2792" s="722">
        <v>502</v>
      </c>
      <c r="C2792" s="723">
        <v>705</v>
      </c>
      <c r="D2792" s="723">
        <v>1281</v>
      </c>
      <c r="E2792" s="723">
        <v>0</v>
      </c>
      <c r="F2792" s="723">
        <v>0</v>
      </c>
      <c r="G2792" s="723">
        <v>1986</v>
      </c>
      <c r="H2792" s="724">
        <v>116640.53806881458</v>
      </c>
      <c r="I2792" s="724">
        <v>211938.33938461202</v>
      </c>
      <c r="J2792" s="724">
        <v>0</v>
      </c>
      <c r="K2792" s="724">
        <v>0</v>
      </c>
      <c r="L2792" s="724">
        <v>328578.8774534266</v>
      </c>
    </row>
    <row r="2793" spans="1:12">
      <c r="A2793" s="722" t="s">
        <v>330</v>
      </c>
      <c r="B2793" s="722">
        <v>503</v>
      </c>
      <c r="C2793" s="723">
        <v>4</v>
      </c>
      <c r="D2793" s="723">
        <v>24</v>
      </c>
      <c r="E2793" s="723">
        <v>0</v>
      </c>
      <c r="F2793" s="723">
        <v>0</v>
      </c>
      <c r="G2793" s="723">
        <v>28</v>
      </c>
      <c r="H2793" s="724">
        <v>661.79028691526003</v>
      </c>
      <c r="I2793" s="724">
        <v>3970.7417214915599</v>
      </c>
      <c r="J2793" s="724">
        <v>0</v>
      </c>
      <c r="K2793" s="724">
        <v>0</v>
      </c>
      <c r="L2793" s="724">
        <v>4632.5320084068198</v>
      </c>
    </row>
    <row r="2794" spans="1:12">
      <c r="A2794" s="722" t="s">
        <v>330</v>
      </c>
      <c r="B2794" s="722">
        <v>800</v>
      </c>
      <c r="C2794" s="723">
        <v>0</v>
      </c>
      <c r="D2794" s="723">
        <v>1</v>
      </c>
      <c r="E2794" s="723">
        <v>0</v>
      </c>
      <c r="F2794" s="723">
        <v>0</v>
      </c>
      <c r="G2794" s="723">
        <v>1</v>
      </c>
      <c r="H2794" s="724">
        <v>0</v>
      </c>
      <c r="I2794" s="724">
        <v>165.44757172881498</v>
      </c>
      <c r="J2794" s="724">
        <v>0</v>
      </c>
      <c r="K2794" s="724">
        <v>0</v>
      </c>
      <c r="L2794" s="724">
        <v>165.44757172881498</v>
      </c>
    </row>
    <row r="2795" spans="1:12">
      <c r="A2795" s="722" t="s">
        <v>547</v>
      </c>
      <c r="B2795" s="722">
        <v>171</v>
      </c>
      <c r="C2795" s="723">
        <v>0</v>
      </c>
      <c r="D2795" s="723">
        <v>1</v>
      </c>
      <c r="E2795" s="723">
        <v>0</v>
      </c>
      <c r="F2795" s="723">
        <v>0</v>
      </c>
      <c r="G2795" s="723">
        <v>1</v>
      </c>
      <c r="H2795" s="724">
        <v>0</v>
      </c>
      <c r="I2795" s="724">
        <v>170.22194490945805</v>
      </c>
      <c r="J2795" s="724">
        <v>0</v>
      </c>
      <c r="K2795" s="724">
        <v>0</v>
      </c>
      <c r="L2795" s="724">
        <v>170.22194490945805</v>
      </c>
    </row>
    <row r="2796" spans="1:12">
      <c r="A2796" s="722" t="s">
        <v>547</v>
      </c>
      <c r="B2796" s="722">
        <v>502</v>
      </c>
      <c r="C2796" s="723">
        <v>13</v>
      </c>
      <c r="D2796" s="723">
        <v>26</v>
      </c>
      <c r="E2796" s="723">
        <v>0</v>
      </c>
      <c r="F2796" s="723">
        <v>0</v>
      </c>
      <c r="G2796" s="723">
        <v>39</v>
      </c>
      <c r="H2796" s="724">
        <v>2212.8852838229545</v>
      </c>
      <c r="I2796" s="724">
        <v>4425.7705676459091</v>
      </c>
      <c r="J2796" s="724">
        <v>0</v>
      </c>
      <c r="K2796" s="724">
        <v>0</v>
      </c>
      <c r="L2796" s="724">
        <v>6638.6558514688641</v>
      </c>
    </row>
    <row r="2797" spans="1:12">
      <c r="A2797" s="722" t="s">
        <v>547</v>
      </c>
      <c r="B2797" s="722">
        <v>503</v>
      </c>
      <c r="C2797" s="723">
        <v>0</v>
      </c>
      <c r="D2797" s="723">
        <v>1</v>
      </c>
      <c r="E2797" s="723">
        <v>0</v>
      </c>
      <c r="F2797" s="723">
        <v>0</v>
      </c>
      <c r="G2797" s="723">
        <v>1</v>
      </c>
      <c r="H2797" s="724">
        <v>0</v>
      </c>
      <c r="I2797" s="724">
        <v>170.22194490945805</v>
      </c>
      <c r="J2797" s="724">
        <v>0</v>
      </c>
      <c r="K2797" s="724">
        <v>0</v>
      </c>
      <c r="L2797" s="724">
        <v>170.22194490945805</v>
      </c>
    </row>
    <row r="2798" spans="1:12">
      <c r="A2798" s="722" t="s">
        <v>341</v>
      </c>
      <c r="B2798" s="722">
        <v>100</v>
      </c>
      <c r="C2798" s="723">
        <v>0</v>
      </c>
      <c r="D2798" s="723">
        <v>1</v>
      </c>
      <c r="E2798" s="723">
        <v>0</v>
      </c>
      <c r="F2798" s="723">
        <v>0</v>
      </c>
      <c r="G2798" s="723">
        <v>1</v>
      </c>
      <c r="H2798" s="724">
        <v>0</v>
      </c>
      <c r="I2798" s="724">
        <v>4362.3638263761814</v>
      </c>
      <c r="J2798" s="724">
        <v>0</v>
      </c>
      <c r="K2798" s="724">
        <v>0</v>
      </c>
      <c r="L2798" s="724">
        <v>4362.3638263761814</v>
      </c>
    </row>
    <row r="2799" spans="1:12">
      <c r="A2799" s="722" t="s">
        <v>341</v>
      </c>
      <c r="B2799" s="722">
        <v>110</v>
      </c>
      <c r="C2799" s="723">
        <v>2</v>
      </c>
      <c r="D2799" s="723">
        <v>1</v>
      </c>
      <c r="E2799" s="723">
        <v>0</v>
      </c>
      <c r="F2799" s="723">
        <v>0</v>
      </c>
      <c r="G2799" s="723">
        <v>3</v>
      </c>
      <c r="H2799" s="724">
        <v>8724.7276527523627</v>
      </c>
      <c r="I2799" s="724">
        <v>4362.3638263761814</v>
      </c>
      <c r="J2799" s="724">
        <v>0</v>
      </c>
      <c r="K2799" s="724">
        <v>0</v>
      </c>
      <c r="L2799" s="724">
        <v>13087.091479128545</v>
      </c>
    </row>
    <row r="2800" spans="1:12">
      <c r="A2800" s="722" t="s">
        <v>341</v>
      </c>
      <c r="B2800" s="722">
        <v>120</v>
      </c>
      <c r="C2800" s="723">
        <v>3</v>
      </c>
      <c r="D2800" s="723">
        <v>3</v>
      </c>
      <c r="E2800" s="723">
        <v>0</v>
      </c>
      <c r="F2800" s="723">
        <v>0</v>
      </c>
      <c r="G2800" s="723">
        <v>6</v>
      </c>
      <c r="H2800" s="724">
        <v>13087.091479128545</v>
      </c>
      <c r="I2800" s="724">
        <v>13087.091479128545</v>
      </c>
      <c r="J2800" s="724">
        <v>0</v>
      </c>
      <c r="K2800" s="724">
        <v>0</v>
      </c>
      <c r="L2800" s="724">
        <v>26174.18295825709</v>
      </c>
    </row>
    <row r="2801" spans="1:12">
      <c r="A2801" s="722" t="s">
        <v>341</v>
      </c>
      <c r="B2801" s="722">
        <v>320</v>
      </c>
      <c r="C2801" s="723">
        <v>7</v>
      </c>
      <c r="D2801" s="723">
        <v>0</v>
      </c>
      <c r="E2801" s="723">
        <v>0</v>
      </c>
      <c r="F2801" s="723">
        <v>0</v>
      </c>
      <c r="G2801" s="723">
        <v>7</v>
      </c>
      <c r="H2801" s="724">
        <v>30536.546784633269</v>
      </c>
      <c r="I2801" s="724">
        <v>0</v>
      </c>
      <c r="J2801" s="724">
        <v>0</v>
      </c>
      <c r="K2801" s="724">
        <v>0</v>
      </c>
      <c r="L2801" s="724">
        <v>30536.546784633269</v>
      </c>
    </row>
    <row r="2802" spans="1:12">
      <c r="A2802" s="722" t="s">
        <v>341</v>
      </c>
      <c r="B2802" s="722">
        <v>321</v>
      </c>
      <c r="C2802" s="723">
        <v>0</v>
      </c>
      <c r="D2802" s="723">
        <v>1</v>
      </c>
      <c r="E2802" s="723">
        <v>0</v>
      </c>
      <c r="F2802" s="723">
        <v>0</v>
      </c>
      <c r="G2802" s="723">
        <v>1</v>
      </c>
      <c r="H2802" s="724">
        <v>0</v>
      </c>
      <c r="I2802" s="724">
        <v>4362.3638263761814</v>
      </c>
      <c r="J2802" s="724">
        <v>0</v>
      </c>
      <c r="K2802" s="724">
        <v>0</v>
      </c>
      <c r="L2802" s="724">
        <v>4362.3638263761814</v>
      </c>
    </row>
    <row r="2803" spans="1:12">
      <c r="A2803" s="722" t="s">
        <v>341</v>
      </c>
      <c r="B2803" s="722">
        <v>340</v>
      </c>
      <c r="C2803" s="723">
        <v>0</v>
      </c>
      <c r="D2803" s="723">
        <v>1</v>
      </c>
      <c r="E2803" s="723">
        <v>0</v>
      </c>
      <c r="F2803" s="723">
        <v>0</v>
      </c>
      <c r="G2803" s="723">
        <v>1</v>
      </c>
      <c r="H2803" s="724">
        <v>0</v>
      </c>
      <c r="I2803" s="724">
        <v>4362.3638263761814</v>
      </c>
      <c r="J2803" s="724">
        <v>0</v>
      </c>
      <c r="K2803" s="724">
        <v>0</v>
      </c>
      <c r="L2803" s="724">
        <v>4362.3638263761814</v>
      </c>
    </row>
    <row r="2804" spans="1:12">
      <c r="A2804" s="722" t="s">
        <v>341</v>
      </c>
      <c r="B2804" s="722">
        <v>420</v>
      </c>
      <c r="C2804" s="723">
        <v>0</v>
      </c>
      <c r="D2804" s="723">
        <v>2</v>
      </c>
      <c r="E2804" s="723">
        <v>0</v>
      </c>
      <c r="F2804" s="723">
        <v>0</v>
      </c>
      <c r="G2804" s="723">
        <v>2</v>
      </c>
      <c r="H2804" s="724">
        <v>0</v>
      </c>
      <c r="I2804" s="724">
        <v>8724.7276527523627</v>
      </c>
      <c r="J2804" s="724">
        <v>0</v>
      </c>
      <c r="K2804" s="724">
        <v>0</v>
      </c>
      <c r="L2804" s="724">
        <v>8724.7276527523627</v>
      </c>
    </row>
    <row r="2805" spans="1:12">
      <c r="A2805" s="722" t="s">
        <v>341</v>
      </c>
      <c r="B2805" s="722">
        <v>501</v>
      </c>
      <c r="C2805" s="723">
        <v>224</v>
      </c>
      <c r="D2805" s="723">
        <v>154</v>
      </c>
      <c r="E2805" s="723">
        <v>0</v>
      </c>
      <c r="F2805" s="723">
        <v>0</v>
      </c>
      <c r="G2805" s="723">
        <v>378</v>
      </c>
      <c r="H2805" s="724">
        <v>977169.49710826459</v>
      </c>
      <c r="I2805" s="724">
        <v>671804.02926193189</v>
      </c>
      <c r="J2805" s="724">
        <v>0</v>
      </c>
      <c r="K2805" s="724">
        <v>0</v>
      </c>
      <c r="L2805" s="724">
        <v>1648973.5263701964</v>
      </c>
    </row>
    <row r="2806" spans="1:12">
      <c r="A2806" s="722" t="s">
        <v>341</v>
      </c>
      <c r="B2806" s="722">
        <v>502</v>
      </c>
      <c r="C2806" s="723">
        <v>3</v>
      </c>
      <c r="D2806" s="723">
        <v>2</v>
      </c>
      <c r="E2806" s="723">
        <v>0</v>
      </c>
      <c r="F2806" s="723">
        <v>0</v>
      </c>
      <c r="G2806" s="723">
        <v>5</v>
      </c>
      <c r="H2806" s="724">
        <v>13087.091479128547</v>
      </c>
      <c r="I2806" s="724">
        <v>8724.7276527523645</v>
      </c>
      <c r="J2806" s="724">
        <v>0</v>
      </c>
      <c r="K2806" s="724">
        <v>0</v>
      </c>
      <c r="L2806" s="724">
        <v>21811.819131880911</v>
      </c>
    </row>
    <row r="2807" spans="1:12">
      <c r="A2807" s="722" t="s">
        <v>341</v>
      </c>
      <c r="B2807" s="722">
        <v>560</v>
      </c>
      <c r="C2807" s="723">
        <v>7</v>
      </c>
      <c r="D2807" s="723">
        <v>2</v>
      </c>
      <c r="E2807" s="723">
        <v>0</v>
      </c>
      <c r="F2807" s="723">
        <v>0</v>
      </c>
      <c r="G2807" s="723">
        <v>9</v>
      </c>
      <c r="H2807" s="724">
        <v>30536.546784633272</v>
      </c>
      <c r="I2807" s="724">
        <v>8724.7276527523627</v>
      </c>
      <c r="J2807" s="724">
        <v>0</v>
      </c>
      <c r="K2807" s="724">
        <v>0</v>
      </c>
      <c r="L2807" s="724">
        <v>39261.274437385633</v>
      </c>
    </row>
    <row r="2808" spans="1:12">
      <c r="A2808" s="722" t="s">
        <v>341</v>
      </c>
      <c r="B2808" s="722">
        <v>812</v>
      </c>
      <c r="C2808" s="723">
        <v>3</v>
      </c>
      <c r="D2808" s="723">
        <v>3</v>
      </c>
      <c r="E2808" s="723">
        <v>0</v>
      </c>
      <c r="F2808" s="723">
        <v>0</v>
      </c>
      <c r="G2808" s="723">
        <v>6</v>
      </c>
      <c r="H2808" s="724">
        <v>13087.091479128545</v>
      </c>
      <c r="I2808" s="724">
        <v>13087.091479128545</v>
      </c>
      <c r="J2808" s="724">
        <v>0</v>
      </c>
      <c r="K2808" s="724">
        <v>0</v>
      </c>
      <c r="L2808" s="724">
        <v>26174.18295825709</v>
      </c>
    </row>
    <row r="2809" spans="1:12">
      <c r="A2809" s="722" t="s">
        <v>342</v>
      </c>
      <c r="B2809" s="722">
        <v>100</v>
      </c>
      <c r="C2809" s="723">
        <v>5</v>
      </c>
      <c r="D2809" s="723">
        <v>0</v>
      </c>
      <c r="E2809" s="723">
        <v>0</v>
      </c>
      <c r="F2809" s="723">
        <v>0</v>
      </c>
      <c r="G2809" s="723">
        <v>5</v>
      </c>
      <c r="H2809" s="724">
        <v>71.557950084902046</v>
      </c>
      <c r="I2809" s="724">
        <v>0</v>
      </c>
      <c r="J2809" s="724">
        <v>0</v>
      </c>
      <c r="K2809" s="724">
        <v>0</v>
      </c>
      <c r="L2809" s="724">
        <v>71.557950084902046</v>
      </c>
    </row>
    <row r="2810" spans="1:12">
      <c r="A2810" s="722" t="s">
        <v>342</v>
      </c>
      <c r="B2810" s="722">
        <v>501</v>
      </c>
      <c r="C2810" s="723">
        <v>131</v>
      </c>
      <c r="D2810" s="723">
        <v>3</v>
      </c>
      <c r="E2810" s="723">
        <v>0</v>
      </c>
      <c r="F2810" s="723">
        <v>0</v>
      </c>
      <c r="G2810" s="723">
        <v>134</v>
      </c>
      <c r="H2810" s="724">
        <v>1874.8182922244337</v>
      </c>
      <c r="I2810" s="724">
        <v>42.934770050941232</v>
      </c>
      <c r="J2810" s="724">
        <v>0</v>
      </c>
      <c r="K2810" s="724">
        <v>0</v>
      </c>
      <c r="L2810" s="724">
        <v>1917.753062275375</v>
      </c>
    </row>
    <row r="2811" spans="1:12">
      <c r="A2811" s="722" t="s">
        <v>342</v>
      </c>
      <c r="B2811" s="722">
        <v>502</v>
      </c>
      <c r="C2811" s="723">
        <v>6</v>
      </c>
      <c r="D2811" s="723">
        <v>0</v>
      </c>
      <c r="E2811" s="723">
        <v>0</v>
      </c>
      <c r="F2811" s="723">
        <v>0</v>
      </c>
      <c r="G2811" s="723">
        <v>6</v>
      </c>
      <c r="H2811" s="724">
        <v>85.869540101882464</v>
      </c>
      <c r="I2811" s="724">
        <v>0</v>
      </c>
      <c r="J2811" s="724">
        <v>0</v>
      </c>
      <c r="K2811" s="724">
        <v>0</v>
      </c>
      <c r="L2811" s="724">
        <v>85.869540101882464</v>
      </c>
    </row>
    <row r="2812" spans="1:12">
      <c r="A2812" s="722" t="s">
        <v>342</v>
      </c>
      <c r="B2812" s="722">
        <v>560</v>
      </c>
      <c r="C2812" s="723">
        <v>1</v>
      </c>
      <c r="D2812" s="723">
        <v>0</v>
      </c>
      <c r="E2812" s="723">
        <v>0</v>
      </c>
      <c r="F2812" s="723">
        <v>0</v>
      </c>
      <c r="G2812" s="723">
        <v>1</v>
      </c>
      <c r="H2812" s="724">
        <v>14.311590016980411</v>
      </c>
      <c r="I2812" s="724">
        <v>0</v>
      </c>
      <c r="J2812" s="724">
        <v>0</v>
      </c>
      <c r="K2812" s="724">
        <v>0</v>
      </c>
      <c r="L2812" s="724">
        <v>14.311590016980411</v>
      </c>
    </row>
    <row r="2813" spans="1:12">
      <c r="A2813" s="722" t="s">
        <v>343</v>
      </c>
      <c r="B2813" s="722">
        <v>190</v>
      </c>
      <c r="C2813" s="723">
        <v>1</v>
      </c>
      <c r="D2813" s="723">
        <v>0</v>
      </c>
      <c r="E2813" s="723">
        <v>0</v>
      </c>
      <c r="F2813" s="723">
        <v>0</v>
      </c>
      <c r="G2813" s="723">
        <v>1</v>
      </c>
      <c r="H2813" s="724">
        <v>15.454851266279</v>
      </c>
      <c r="I2813" s="724">
        <v>0</v>
      </c>
      <c r="J2813" s="724">
        <v>0</v>
      </c>
      <c r="K2813" s="724">
        <v>0</v>
      </c>
      <c r="L2813" s="724">
        <v>15.454851266279</v>
      </c>
    </row>
    <row r="2814" spans="1:12">
      <c r="A2814" s="722" t="s">
        <v>343</v>
      </c>
      <c r="B2814" s="722">
        <v>301</v>
      </c>
      <c r="C2814" s="723">
        <v>5</v>
      </c>
      <c r="D2814" s="723">
        <v>0</v>
      </c>
      <c r="E2814" s="723">
        <v>0</v>
      </c>
      <c r="F2814" s="723">
        <v>0</v>
      </c>
      <c r="G2814" s="723">
        <v>5</v>
      </c>
      <c r="H2814" s="724">
        <v>77.274256331394994</v>
      </c>
      <c r="I2814" s="724">
        <v>0</v>
      </c>
      <c r="J2814" s="724">
        <v>0</v>
      </c>
      <c r="K2814" s="724">
        <v>0</v>
      </c>
      <c r="L2814" s="724">
        <v>77.274256331394994</v>
      </c>
    </row>
    <row r="2815" spans="1:12">
      <c r="A2815" s="722" t="s">
        <v>343</v>
      </c>
      <c r="B2815" s="722">
        <v>501</v>
      </c>
      <c r="C2815" s="723">
        <v>9</v>
      </c>
      <c r="D2815" s="723">
        <v>0</v>
      </c>
      <c r="E2815" s="723">
        <v>0</v>
      </c>
      <c r="F2815" s="723">
        <v>0</v>
      </c>
      <c r="G2815" s="723">
        <v>9</v>
      </c>
      <c r="H2815" s="724">
        <v>139.09366139651098</v>
      </c>
      <c r="I2815" s="724">
        <v>0</v>
      </c>
      <c r="J2815" s="724">
        <v>0</v>
      </c>
      <c r="K2815" s="724">
        <v>0</v>
      </c>
      <c r="L2815" s="724">
        <v>139.09366139651098</v>
      </c>
    </row>
    <row r="2816" spans="1:12">
      <c r="A2816" s="722" t="s">
        <v>344</v>
      </c>
      <c r="B2816" s="722">
        <v>100</v>
      </c>
      <c r="C2816" s="723">
        <v>1</v>
      </c>
      <c r="D2816" s="723">
        <v>0</v>
      </c>
      <c r="E2816" s="723">
        <v>0</v>
      </c>
      <c r="F2816" s="723">
        <v>0</v>
      </c>
      <c r="G2816" s="723">
        <v>1</v>
      </c>
      <c r="H2816" s="724">
        <v>36.021795926541408</v>
      </c>
      <c r="I2816" s="724">
        <v>0</v>
      </c>
      <c r="J2816" s="724">
        <v>0</v>
      </c>
      <c r="K2816" s="724">
        <v>0</v>
      </c>
      <c r="L2816" s="724">
        <v>36.021795926541408</v>
      </c>
    </row>
    <row r="2817" spans="1:12">
      <c r="A2817" s="722" t="s">
        <v>344</v>
      </c>
      <c r="B2817" s="722">
        <v>104</v>
      </c>
      <c r="C2817" s="723">
        <v>0</v>
      </c>
      <c r="D2817" s="723">
        <v>1</v>
      </c>
      <c r="E2817" s="723">
        <v>0</v>
      </c>
      <c r="F2817" s="723">
        <v>0</v>
      </c>
      <c r="G2817" s="723">
        <v>1</v>
      </c>
      <c r="H2817" s="724">
        <v>0</v>
      </c>
      <c r="I2817" s="724">
        <v>36.021795926541408</v>
      </c>
      <c r="J2817" s="724">
        <v>0</v>
      </c>
      <c r="K2817" s="724">
        <v>0</v>
      </c>
      <c r="L2817" s="724">
        <v>36.021795926541408</v>
      </c>
    </row>
    <row r="2818" spans="1:12">
      <c r="A2818" s="722" t="s">
        <v>344</v>
      </c>
      <c r="B2818" s="722">
        <v>120</v>
      </c>
      <c r="C2818" s="723">
        <v>0</v>
      </c>
      <c r="D2818" s="723">
        <v>2</v>
      </c>
      <c r="E2818" s="723">
        <v>0</v>
      </c>
      <c r="F2818" s="723">
        <v>0</v>
      </c>
      <c r="G2818" s="723">
        <v>2</v>
      </c>
      <c r="H2818" s="724">
        <v>0</v>
      </c>
      <c r="I2818" s="724">
        <v>72.043591853082816</v>
      </c>
      <c r="J2818" s="724">
        <v>0</v>
      </c>
      <c r="K2818" s="724">
        <v>0</v>
      </c>
      <c r="L2818" s="724">
        <v>72.043591853082816</v>
      </c>
    </row>
    <row r="2819" spans="1:12">
      <c r="A2819" s="722" t="s">
        <v>344</v>
      </c>
      <c r="B2819" s="722">
        <v>192</v>
      </c>
      <c r="C2819" s="723">
        <v>2</v>
      </c>
      <c r="D2819" s="723">
        <v>0</v>
      </c>
      <c r="E2819" s="723">
        <v>0</v>
      </c>
      <c r="F2819" s="723">
        <v>0</v>
      </c>
      <c r="G2819" s="723">
        <v>2</v>
      </c>
      <c r="H2819" s="724">
        <v>72.043591853082816</v>
      </c>
      <c r="I2819" s="724">
        <v>0</v>
      </c>
      <c r="J2819" s="724">
        <v>0</v>
      </c>
      <c r="K2819" s="724">
        <v>0</v>
      </c>
      <c r="L2819" s="724">
        <v>72.043591853082816</v>
      </c>
    </row>
    <row r="2820" spans="1:12">
      <c r="A2820" s="722" t="s">
        <v>344</v>
      </c>
      <c r="B2820" s="722">
        <v>215</v>
      </c>
      <c r="C2820" s="723">
        <v>1</v>
      </c>
      <c r="D2820" s="723">
        <v>0</v>
      </c>
      <c r="E2820" s="723">
        <v>0</v>
      </c>
      <c r="F2820" s="723">
        <v>0</v>
      </c>
      <c r="G2820" s="723">
        <v>1</v>
      </c>
      <c r="H2820" s="724">
        <v>36.021795926541408</v>
      </c>
      <c r="I2820" s="724">
        <v>0</v>
      </c>
      <c r="J2820" s="724">
        <v>0</v>
      </c>
      <c r="K2820" s="724">
        <v>0</v>
      </c>
      <c r="L2820" s="724">
        <v>36.021795926541408</v>
      </c>
    </row>
    <row r="2821" spans="1:12">
      <c r="A2821" s="722" t="s">
        <v>344</v>
      </c>
      <c r="B2821" s="722">
        <v>304</v>
      </c>
      <c r="C2821" s="723">
        <v>1</v>
      </c>
      <c r="D2821" s="723">
        <v>0</v>
      </c>
      <c r="E2821" s="723">
        <v>0</v>
      </c>
      <c r="F2821" s="723">
        <v>0</v>
      </c>
      <c r="G2821" s="723">
        <v>1</v>
      </c>
      <c r="H2821" s="724">
        <v>36.021795926541408</v>
      </c>
      <c r="I2821" s="724">
        <v>0</v>
      </c>
      <c r="J2821" s="724">
        <v>0</v>
      </c>
      <c r="K2821" s="724">
        <v>0</v>
      </c>
      <c r="L2821" s="724">
        <v>36.021795926541408</v>
      </c>
    </row>
    <row r="2822" spans="1:12">
      <c r="A2822" s="722" t="s">
        <v>344</v>
      </c>
      <c r="B2822" s="722">
        <v>400</v>
      </c>
      <c r="C2822" s="723">
        <v>1</v>
      </c>
      <c r="D2822" s="723">
        <v>0</v>
      </c>
      <c r="E2822" s="723">
        <v>0</v>
      </c>
      <c r="F2822" s="723">
        <v>0</v>
      </c>
      <c r="G2822" s="723">
        <v>1</v>
      </c>
      <c r="H2822" s="724">
        <v>36.021795926541408</v>
      </c>
      <c r="I2822" s="724">
        <v>0</v>
      </c>
      <c r="J2822" s="724">
        <v>0</v>
      </c>
      <c r="K2822" s="724">
        <v>0</v>
      </c>
      <c r="L2822" s="724">
        <v>36.021795926541408</v>
      </c>
    </row>
    <row r="2823" spans="1:12">
      <c r="A2823" s="722" t="s">
        <v>344</v>
      </c>
      <c r="B2823" s="722">
        <v>501</v>
      </c>
      <c r="C2823" s="723">
        <v>45</v>
      </c>
      <c r="D2823" s="723">
        <v>2</v>
      </c>
      <c r="E2823" s="723">
        <v>0</v>
      </c>
      <c r="F2823" s="723">
        <v>0</v>
      </c>
      <c r="G2823" s="723">
        <v>47</v>
      </c>
      <c r="H2823" s="724">
        <v>1620.9808166943635</v>
      </c>
      <c r="I2823" s="724">
        <v>72.043591853082816</v>
      </c>
      <c r="J2823" s="724">
        <v>0</v>
      </c>
      <c r="K2823" s="724">
        <v>0</v>
      </c>
      <c r="L2823" s="724">
        <v>1693.0244085474462</v>
      </c>
    </row>
    <row r="2824" spans="1:12">
      <c r="A2824" s="722" t="s">
        <v>344</v>
      </c>
      <c r="B2824" s="722">
        <v>502</v>
      </c>
      <c r="C2824" s="723">
        <v>8</v>
      </c>
      <c r="D2824" s="723">
        <v>0</v>
      </c>
      <c r="E2824" s="723">
        <v>0</v>
      </c>
      <c r="F2824" s="723">
        <v>0</v>
      </c>
      <c r="G2824" s="723">
        <v>8</v>
      </c>
      <c r="H2824" s="724">
        <v>288.17436741233126</v>
      </c>
      <c r="I2824" s="724">
        <v>0</v>
      </c>
      <c r="J2824" s="724">
        <v>0</v>
      </c>
      <c r="K2824" s="724">
        <v>0</v>
      </c>
      <c r="L2824" s="724">
        <v>288.17436741233126</v>
      </c>
    </row>
    <row r="2825" spans="1:12">
      <c r="A2825" s="722" t="s">
        <v>587</v>
      </c>
      <c r="B2825" s="722">
        <v>501</v>
      </c>
      <c r="C2825" s="723">
        <v>6</v>
      </c>
      <c r="D2825" s="723">
        <v>0</v>
      </c>
      <c r="E2825" s="723">
        <v>0</v>
      </c>
      <c r="F2825" s="723">
        <v>0</v>
      </c>
      <c r="G2825" s="723">
        <v>6</v>
      </c>
      <c r="H2825" s="724">
        <v>36.662924332612576</v>
      </c>
      <c r="I2825" s="724">
        <v>0</v>
      </c>
      <c r="J2825" s="724">
        <v>0</v>
      </c>
      <c r="K2825" s="724">
        <v>0</v>
      </c>
      <c r="L2825" s="724">
        <v>36.662924332612576</v>
      </c>
    </row>
    <row r="2826" spans="1:12">
      <c r="A2826" s="722" t="s">
        <v>587</v>
      </c>
      <c r="B2826" s="722">
        <v>502</v>
      </c>
      <c r="C2826" s="723">
        <v>1</v>
      </c>
      <c r="D2826" s="723">
        <v>0</v>
      </c>
      <c r="E2826" s="723">
        <v>0</v>
      </c>
      <c r="F2826" s="723">
        <v>0</v>
      </c>
      <c r="G2826" s="723">
        <v>1</v>
      </c>
      <c r="H2826" s="724">
        <v>6.1104873887687621</v>
      </c>
      <c r="I2826" s="724">
        <v>0</v>
      </c>
      <c r="J2826" s="724">
        <v>0</v>
      </c>
      <c r="K2826" s="724">
        <v>0</v>
      </c>
      <c r="L2826" s="724">
        <v>6.1104873887687621</v>
      </c>
    </row>
    <row r="2827" spans="1:12">
      <c r="A2827" s="722" t="s">
        <v>587</v>
      </c>
      <c r="B2827" s="722">
        <v>560</v>
      </c>
      <c r="C2827" s="723">
        <v>0</v>
      </c>
      <c r="D2827" s="723">
        <v>1</v>
      </c>
      <c r="E2827" s="723">
        <v>0</v>
      </c>
      <c r="F2827" s="723">
        <v>0</v>
      </c>
      <c r="G2827" s="723">
        <v>1</v>
      </c>
      <c r="H2827" s="724">
        <v>0</v>
      </c>
      <c r="I2827" s="724">
        <v>6.1104873887687621</v>
      </c>
      <c r="J2827" s="724">
        <v>0</v>
      </c>
      <c r="K2827" s="724">
        <v>0</v>
      </c>
      <c r="L2827" s="724">
        <v>6.1104873887687621</v>
      </c>
    </row>
    <row r="2828" spans="1:12">
      <c r="A2828" s="722" t="s">
        <v>595</v>
      </c>
      <c r="B2828" s="722">
        <v>120</v>
      </c>
      <c r="C2828" s="723">
        <v>0</v>
      </c>
      <c r="D2828" s="723">
        <v>1</v>
      </c>
      <c r="E2828" s="723">
        <v>0</v>
      </c>
      <c r="F2828" s="723">
        <v>0</v>
      </c>
      <c r="G2828" s="723">
        <v>1</v>
      </c>
      <c r="H2828" s="724">
        <v>0</v>
      </c>
      <c r="I2828" s="724">
        <v>15.417479442790075</v>
      </c>
      <c r="J2828" s="724">
        <v>0</v>
      </c>
      <c r="K2828" s="724">
        <v>0</v>
      </c>
      <c r="L2828" s="724">
        <v>15.417479442790075</v>
      </c>
    </row>
    <row r="2829" spans="1:12">
      <c r="A2829" s="722" t="s">
        <v>595</v>
      </c>
      <c r="B2829" s="722">
        <v>301</v>
      </c>
      <c r="C2829" s="723">
        <v>6</v>
      </c>
      <c r="D2829" s="723">
        <v>0</v>
      </c>
      <c r="E2829" s="723">
        <v>0</v>
      </c>
      <c r="F2829" s="723">
        <v>0</v>
      </c>
      <c r="G2829" s="723">
        <v>6</v>
      </c>
      <c r="H2829" s="724">
        <v>92.504876656740464</v>
      </c>
      <c r="I2829" s="724">
        <v>0</v>
      </c>
      <c r="J2829" s="724">
        <v>0</v>
      </c>
      <c r="K2829" s="724">
        <v>0</v>
      </c>
      <c r="L2829" s="724">
        <v>92.504876656740464</v>
      </c>
    </row>
    <row r="2830" spans="1:12">
      <c r="A2830" s="722" t="s">
        <v>595</v>
      </c>
      <c r="B2830" s="722">
        <v>304</v>
      </c>
      <c r="C2830" s="723">
        <v>1</v>
      </c>
      <c r="D2830" s="723">
        <v>0</v>
      </c>
      <c r="E2830" s="723">
        <v>0</v>
      </c>
      <c r="F2830" s="723">
        <v>0</v>
      </c>
      <c r="G2830" s="723">
        <v>1</v>
      </c>
      <c r="H2830" s="724">
        <v>15.417479442790075</v>
      </c>
      <c r="I2830" s="724">
        <v>0</v>
      </c>
      <c r="J2830" s="724">
        <v>0</v>
      </c>
      <c r="K2830" s="724">
        <v>0</v>
      </c>
      <c r="L2830" s="724">
        <v>15.417479442790075</v>
      </c>
    </row>
    <row r="2831" spans="1:12">
      <c r="A2831" s="722" t="s">
        <v>595</v>
      </c>
      <c r="B2831" s="722">
        <v>501</v>
      </c>
      <c r="C2831" s="723">
        <v>116</v>
      </c>
      <c r="D2831" s="723">
        <v>1</v>
      </c>
      <c r="E2831" s="723">
        <v>0</v>
      </c>
      <c r="F2831" s="723">
        <v>0</v>
      </c>
      <c r="G2831" s="723">
        <v>117</v>
      </c>
      <c r="H2831" s="724">
        <v>1788.4276153636488</v>
      </c>
      <c r="I2831" s="724">
        <v>15.417479442790077</v>
      </c>
      <c r="J2831" s="724">
        <v>0</v>
      </c>
      <c r="K2831" s="724">
        <v>0</v>
      </c>
      <c r="L2831" s="724">
        <v>1803.845094806439</v>
      </c>
    </row>
    <row r="2832" spans="1:12">
      <c r="A2832" s="722" t="s">
        <v>595</v>
      </c>
      <c r="B2832" s="722">
        <v>502</v>
      </c>
      <c r="C2832" s="723">
        <v>4</v>
      </c>
      <c r="D2832" s="723">
        <v>0</v>
      </c>
      <c r="E2832" s="723">
        <v>0</v>
      </c>
      <c r="F2832" s="723">
        <v>0</v>
      </c>
      <c r="G2832" s="723">
        <v>4</v>
      </c>
      <c r="H2832" s="724">
        <v>61.6699177711603</v>
      </c>
      <c r="I2832" s="724">
        <v>0</v>
      </c>
      <c r="J2832" s="724">
        <v>0</v>
      </c>
      <c r="K2832" s="724">
        <v>0</v>
      </c>
      <c r="L2832" s="724">
        <v>61.6699177711603</v>
      </c>
    </row>
    <row r="2833" spans="1:12">
      <c r="A2833" s="722" t="s">
        <v>595</v>
      </c>
      <c r="B2833" s="722">
        <v>503</v>
      </c>
      <c r="C2833" s="723">
        <v>2</v>
      </c>
      <c r="D2833" s="723">
        <v>0</v>
      </c>
      <c r="E2833" s="723">
        <v>0</v>
      </c>
      <c r="F2833" s="723">
        <v>0</v>
      </c>
      <c r="G2833" s="723">
        <v>2</v>
      </c>
      <c r="H2833" s="724">
        <v>30.83495888558015</v>
      </c>
      <c r="I2833" s="724">
        <v>0</v>
      </c>
      <c r="J2833" s="724">
        <v>0</v>
      </c>
      <c r="K2833" s="724">
        <v>0</v>
      </c>
      <c r="L2833" s="724">
        <v>30.83495888558015</v>
      </c>
    </row>
    <row r="2834" spans="1:12">
      <c r="A2834" s="722" t="s">
        <v>623</v>
      </c>
      <c r="B2834" s="722">
        <v>361</v>
      </c>
      <c r="C2834" s="723">
        <v>1</v>
      </c>
      <c r="D2834" s="723">
        <v>0</v>
      </c>
      <c r="E2834" s="723">
        <v>0</v>
      </c>
      <c r="F2834" s="723">
        <v>0</v>
      </c>
      <c r="G2834" s="723">
        <v>1</v>
      </c>
      <c r="H2834" s="724">
        <v>15.487301711233677</v>
      </c>
      <c r="I2834" s="724">
        <v>0</v>
      </c>
      <c r="J2834" s="724">
        <v>0</v>
      </c>
      <c r="K2834" s="724">
        <v>0</v>
      </c>
      <c r="L2834" s="724">
        <v>15.487301711233677</v>
      </c>
    </row>
    <row r="2835" spans="1:12">
      <c r="A2835" s="722" t="s">
        <v>623</v>
      </c>
      <c r="B2835" s="722">
        <v>501</v>
      </c>
      <c r="C2835" s="723">
        <v>65</v>
      </c>
      <c r="D2835" s="723">
        <v>0</v>
      </c>
      <c r="E2835" s="723">
        <v>0</v>
      </c>
      <c r="F2835" s="723">
        <v>0</v>
      </c>
      <c r="G2835" s="723">
        <v>65</v>
      </c>
      <c r="H2835" s="724">
        <v>1006.6746112301889</v>
      </c>
      <c r="I2835" s="724">
        <v>0</v>
      </c>
      <c r="J2835" s="724">
        <v>0</v>
      </c>
      <c r="K2835" s="724">
        <v>0</v>
      </c>
      <c r="L2835" s="724">
        <v>1006.6746112301889</v>
      </c>
    </row>
    <row r="2836" spans="1:12">
      <c r="A2836" s="722" t="s">
        <v>623</v>
      </c>
      <c r="B2836" s="722">
        <v>502</v>
      </c>
      <c r="C2836" s="723">
        <v>2</v>
      </c>
      <c r="D2836" s="723">
        <v>0</v>
      </c>
      <c r="E2836" s="723">
        <v>0</v>
      </c>
      <c r="F2836" s="723">
        <v>0</v>
      </c>
      <c r="G2836" s="723">
        <v>2</v>
      </c>
      <c r="H2836" s="724">
        <v>30.974603422467354</v>
      </c>
      <c r="I2836" s="724">
        <v>0</v>
      </c>
      <c r="J2836" s="724">
        <v>0</v>
      </c>
      <c r="K2836" s="724">
        <v>0</v>
      </c>
      <c r="L2836" s="724">
        <v>30.974603422467354</v>
      </c>
    </row>
    <row r="2837" spans="1:12">
      <c r="A2837" s="722" t="s">
        <v>627</v>
      </c>
      <c r="B2837" s="722">
        <v>100</v>
      </c>
      <c r="C2837" s="723">
        <v>119</v>
      </c>
      <c r="D2837" s="723">
        <v>33</v>
      </c>
      <c r="E2837" s="723">
        <v>0</v>
      </c>
      <c r="F2837" s="723">
        <v>0</v>
      </c>
      <c r="G2837" s="723">
        <v>152</v>
      </c>
      <c r="H2837" s="724">
        <v>13335.876637937123</v>
      </c>
      <c r="I2837" s="724">
        <v>3698.1842777472698</v>
      </c>
      <c r="J2837" s="724">
        <v>0</v>
      </c>
      <c r="K2837" s="724">
        <v>0</v>
      </c>
      <c r="L2837" s="724">
        <v>17034.060915684393</v>
      </c>
    </row>
    <row r="2838" spans="1:12">
      <c r="A2838" s="722" t="s">
        <v>627</v>
      </c>
      <c r="B2838" s="722">
        <v>101</v>
      </c>
      <c r="C2838" s="723">
        <v>473</v>
      </c>
      <c r="D2838" s="723">
        <v>294</v>
      </c>
      <c r="E2838" s="723">
        <v>0</v>
      </c>
      <c r="F2838" s="723">
        <v>0</v>
      </c>
      <c r="G2838" s="723">
        <v>767</v>
      </c>
      <c r="H2838" s="724">
        <v>53007.307981044192</v>
      </c>
      <c r="I2838" s="724">
        <v>32947.459929021126</v>
      </c>
      <c r="J2838" s="724">
        <v>0</v>
      </c>
      <c r="K2838" s="724">
        <v>0</v>
      </c>
      <c r="L2838" s="724">
        <v>85954.767910065319</v>
      </c>
    </row>
    <row r="2839" spans="1:12">
      <c r="A2839" s="722" t="s">
        <v>627</v>
      </c>
      <c r="B2839" s="722">
        <v>102</v>
      </c>
      <c r="C2839" s="723">
        <v>1</v>
      </c>
      <c r="D2839" s="723">
        <v>0</v>
      </c>
      <c r="E2839" s="723">
        <v>0</v>
      </c>
      <c r="F2839" s="723">
        <v>0</v>
      </c>
      <c r="G2839" s="723">
        <v>1</v>
      </c>
      <c r="H2839" s="724">
        <v>112.06619023476574</v>
      </c>
      <c r="I2839" s="724">
        <v>0</v>
      </c>
      <c r="J2839" s="724">
        <v>0</v>
      </c>
      <c r="K2839" s="724">
        <v>0</v>
      </c>
      <c r="L2839" s="724">
        <v>112.06619023476574</v>
      </c>
    </row>
    <row r="2840" spans="1:12">
      <c r="A2840" s="722" t="s">
        <v>627</v>
      </c>
      <c r="B2840" s="722">
        <v>103</v>
      </c>
      <c r="C2840" s="723">
        <v>22</v>
      </c>
      <c r="D2840" s="723">
        <v>10</v>
      </c>
      <c r="E2840" s="723">
        <v>0</v>
      </c>
      <c r="F2840" s="723">
        <v>0</v>
      </c>
      <c r="G2840" s="723">
        <v>32</v>
      </c>
      <c r="H2840" s="724">
        <v>2465.4561851648464</v>
      </c>
      <c r="I2840" s="724">
        <v>1120.6619023476574</v>
      </c>
      <c r="J2840" s="724">
        <v>0</v>
      </c>
      <c r="K2840" s="724">
        <v>0</v>
      </c>
      <c r="L2840" s="724">
        <v>3586.1180875125037</v>
      </c>
    </row>
    <row r="2841" spans="1:12">
      <c r="A2841" s="722" t="s">
        <v>627</v>
      </c>
      <c r="B2841" s="722">
        <v>104</v>
      </c>
      <c r="C2841" s="723">
        <v>12</v>
      </c>
      <c r="D2841" s="723">
        <v>4</v>
      </c>
      <c r="E2841" s="723">
        <v>0</v>
      </c>
      <c r="F2841" s="723">
        <v>0</v>
      </c>
      <c r="G2841" s="723">
        <v>16</v>
      </c>
      <c r="H2841" s="724">
        <v>1344.794282817189</v>
      </c>
      <c r="I2841" s="724">
        <v>448.26476093906297</v>
      </c>
      <c r="J2841" s="724">
        <v>0</v>
      </c>
      <c r="K2841" s="724">
        <v>0</v>
      </c>
      <c r="L2841" s="724">
        <v>1793.0590437562519</v>
      </c>
    </row>
    <row r="2842" spans="1:12">
      <c r="A2842" s="722" t="s">
        <v>627</v>
      </c>
      <c r="B2842" s="722">
        <v>105</v>
      </c>
      <c r="C2842" s="723">
        <v>3</v>
      </c>
      <c r="D2842" s="723">
        <v>1</v>
      </c>
      <c r="E2842" s="723">
        <v>0</v>
      </c>
      <c r="F2842" s="723">
        <v>0</v>
      </c>
      <c r="G2842" s="723">
        <v>4</v>
      </c>
      <c r="H2842" s="724">
        <v>336.19857070429725</v>
      </c>
      <c r="I2842" s="724">
        <v>112.06619023476574</v>
      </c>
      <c r="J2842" s="724">
        <v>0</v>
      </c>
      <c r="K2842" s="724">
        <v>0</v>
      </c>
      <c r="L2842" s="724">
        <v>448.26476093906297</v>
      </c>
    </row>
    <row r="2843" spans="1:12">
      <c r="A2843" s="722" t="s">
        <v>627</v>
      </c>
      <c r="B2843" s="722">
        <v>106</v>
      </c>
      <c r="C2843" s="723">
        <v>1</v>
      </c>
      <c r="D2843" s="723">
        <v>0</v>
      </c>
      <c r="E2843" s="723">
        <v>0</v>
      </c>
      <c r="F2843" s="723">
        <v>0</v>
      </c>
      <c r="G2843" s="723">
        <v>1</v>
      </c>
      <c r="H2843" s="724">
        <v>112.06619023476574</v>
      </c>
      <c r="I2843" s="724">
        <v>0</v>
      </c>
      <c r="J2843" s="724">
        <v>0</v>
      </c>
      <c r="K2843" s="724">
        <v>0</v>
      </c>
      <c r="L2843" s="724">
        <v>112.06619023476574</v>
      </c>
    </row>
    <row r="2844" spans="1:12">
      <c r="A2844" s="722" t="s">
        <v>627</v>
      </c>
      <c r="B2844" s="722">
        <v>107</v>
      </c>
      <c r="C2844" s="723">
        <v>26</v>
      </c>
      <c r="D2844" s="723">
        <v>6</v>
      </c>
      <c r="E2844" s="723">
        <v>0</v>
      </c>
      <c r="F2844" s="723">
        <v>0</v>
      </c>
      <c r="G2844" s="723">
        <v>32</v>
      </c>
      <c r="H2844" s="724">
        <v>2913.7209461039092</v>
      </c>
      <c r="I2844" s="724">
        <v>672.39714140859451</v>
      </c>
      <c r="J2844" s="724">
        <v>0</v>
      </c>
      <c r="K2844" s="724">
        <v>0</v>
      </c>
      <c r="L2844" s="724">
        <v>3586.1180875125037</v>
      </c>
    </row>
    <row r="2845" spans="1:12">
      <c r="A2845" s="722" t="s">
        <v>627</v>
      </c>
      <c r="B2845" s="722">
        <v>110</v>
      </c>
      <c r="C2845" s="723">
        <v>208</v>
      </c>
      <c r="D2845" s="723">
        <v>94</v>
      </c>
      <c r="E2845" s="723">
        <v>0</v>
      </c>
      <c r="F2845" s="723">
        <v>0</v>
      </c>
      <c r="G2845" s="723">
        <v>302</v>
      </c>
      <c r="H2845" s="724">
        <v>23309.767568831274</v>
      </c>
      <c r="I2845" s="724">
        <v>10534.221882067979</v>
      </c>
      <c r="J2845" s="724">
        <v>0</v>
      </c>
      <c r="K2845" s="724">
        <v>0</v>
      </c>
      <c r="L2845" s="724">
        <v>33843.989450899251</v>
      </c>
    </row>
    <row r="2846" spans="1:12">
      <c r="A2846" s="722" t="s">
        <v>627</v>
      </c>
      <c r="B2846" s="722">
        <v>120</v>
      </c>
      <c r="C2846" s="723">
        <v>155</v>
      </c>
      <c r="D2846" s="723">
        <v>92</v>
      </c>
      <c r="E2846" s="723">
        <v>0</v>
      </c>
      <c r="F2846" s="723">
        <v>0</v>
      </c>
      <c r="G2846" s="723">
        <v>247</v>
      </c>
      <c r="H2846" s="724">
        <v>17370.259486388688</v>
      </c>
      <c r="I2846" s="724">
        <v>10310.089501598446</v>
      </c>
      <c r="J2846" s="724">
        <v>0</v>
      </c>
      <c r="K2846" s="724">
        <v>0</v>
      </c>
      <c r="L2846" s="724">
        <v>27680.348987987134</v>
      </c>
    </row>
    <row r="2847" spans="1:12">
      <c r="A2847" s="722" t="s">
        <v>627</v>
      </c>
      <c r="B2847" s="722">
        <v>130</v>
      </c>
      <c r="C2847" s="723">
        <v>330</v>
      </c>
      <c r="D2847" s="723">
        <v>73</v>
      </c>
      <c r="E2847" s="723">
        <v>0</v>
      </c>
      <c r="F2847" s="723">
        <v>0</v>
      </c>
      <c r="G2847" s="723">
        <v>403</v>
      </c>
      <c r="H2847" s="724">
        <v>36981.842777472695</v>
      </c>
      <c r="I2847" s="724">
        <v>8180.8318871378997</v>
      </c>
      <c r="J2847" s="724">
        <v>0</v>
      </c>
      <c r="K2847" s="724">
        <v>0</v>
      </c>
      <c r="L2847" s="724">
        <v>45162.674664610597</v>
      </c>
    </row>
    <row r="2848" spans="1:12">
      <c r="A2848" s="722" t="s">
        <v>627</v>
      </c>
      <c r="B2848" s="722">
        <v>140</v>
      </c>
      <c r="C2848" s="723">
        <v>74</v>
      </c>
      <c r="D2848" s="723">
        <v>17</v>
      </c>
      <c r="E2848" s="723">
        <v>0</v>
      </c>
      <c r="F2848" s="723">
        <v>0</v>
      </c>
      <c r="G2848" s="723">
        <v>91</v>
      </c>
      <c r="H2848" s="724">
        <v>8292.8980773726653</v>
      </c>
      <c r="I2848" s="724">
        <v>1905.1252339910175</v>
      </c>
      <c r="J2848" s="724">
        <v>0</v>
      </c>
      <c r="K2848" s="724">
        <v>0</v>
      </c>
      <c r="L2848" s="724">
        <v>10198.023311363682</v>
      </c>
    </row>
    <row r="2849" spans="1:12">
      <c r="A2849" s="722" t="s">
        <v>627</v>
      </c>
      <c r="B2849" s="722">
        <v>141</v>
      </c>
      <c r="C2849" s="723">
        <v>222</v>
      </c>
      <c r="D2849" s="723">
        <v>24</v>
      </c>
      <c r="E2849" s="723">
        <v>0</v>
      </c>
      <c r="F2849" s="723">
        <v>0</v>
      </c>
      <c r="G2849" s="723">
        <v>246</v>
      </c>
      <c r="H2849" s="724">
        <v>24878.694232117996</v>
      </c>
      <c r="I2849" s="724">
        <v>2689.5885656343776</v>
      </c>
      <c r="J2849" s="724">
        <v>0</v>
      </c>
      <c r="K2849" s="724">
        <v>0</v>
      </c>
      <c r="L2849" s="724">
        <v>27568.28279775237</v>
      </c>
    </row>
    <row r="2850" spans="1:12">
      <c r="A2850" s="722" t="s">
        <v>627</v>
      </c>
      <c r="B2850" s="722">
        <v>142</v>
      </c>
      <c r="C2850" s="723">
        <v>51</v>
      </c>
      <c r="D2850" s="723">
        <v>7</v>
      </c>
      <c r="E2850" s="723">
        <v>0</v>
      </c>
      <c r="F2850" s="723">
        <v>0</v>
      </c>
      <c r="G2850" s="723">
        <v>58</v>
      </c>
      <c r="H2850" s="724">
        <v>5715.3757019730529</v>
      </c>
      <c r="I2850" s="724">
        <v>784.46333164336011</v>
      </c>
      <c r="J2850" s="724">
        <v>0</v>
      </c>
      <c r="K2850" s="724">
        <v>0</v>
      </c>
      <c r="L2850" s="724">
        <v>6499.839033616413</v>
      </c>
    </row>
    <row r="2851" spans="1:12">
      <c r="A2851" s="722" t="s">
        <v>627</v>
      </c>
      <c r="B2851" s="722">
        <v>143</v>
      </c>
      <c r="C2851" s="723">
        <v>61</v>
      </c>
      <c r="D2851" s="723">
        <v>4</v>
      </c>
      <c r="E2851" s="723">
        <v>0</v>
      </c>
      <c r="F2851" s="723">
        <v>0</v>
      </c>
      <c r="G2851" s="723">
        <v>65</v>
      </c>
      <c r="H2851" s="724">
        <v>6836.0376043207098</v>
      </c>
      <c r="I2851" s="724">
        <v>448.26476093906297</v>
      </c>
      <c r="J2851" s="724">
        <v>0</v>
      </c>
      <c r="K2851" s="724">
        <v>0</v>
      </c>
      <c r="L2851" s="724">
        <v>7284.3023652597731</v>
      </c>
    </row>
    <row r="2852" spans="1:12">
      <c r="A2852" s="722" t="s">
        <v>627</v>
      </c>
      <c r="B2852" s="722">
        <v>144</v>
      </c>
      <c r="C2852" s="723">
        <v>41</v>
      </c>
      <c r="D2852" s="723">
        <v>19</v>
      </c>
      <c r="E2852" s="723">
        <v>0</v>
      </c>
      <c r="F2852" s="723">
        <v>0</v>
      </c>
      <c r="G2852" s="723">
        <v>60</v>
      </c>
      <c r="H2852" s="724">
        <v>4594.7137996253959</v>
      </c>
      <c r="I2852" s="724">
        <v>2129.2576144605491</v>
      </c>
      <c r="J2852" s="724">
        <v>0</v>
      </c>
      <c r="K2852" s="724">
        <v>0</v>
      </c>
      <c r="L2852" s="724">
        <v>6723.9714140859442</v>
      </c>
    </row>
    <row r="2853" spans="1:12">
      <c r="A2853" s="722" t="s">
        <v>627</v>
      </c>
      <c r="B2853" s="722">
        <v>150</v>
      </c>
      <c r="C2853" s="723">
        <v>55</v>
      </c>
      <c r="D2853" s="723">
        <v>19</v>
      </c>
      <c r="E2853" s="723">
        <v>0</v>
      </c>
      <c r="F2853" s="723">
        <v>0</v>
      </c>
      <c r="G2853" s="723">
        <v>74</v>
      </c>
      <c r="H2853" s="724">
        <v>6163.6404629121153</v>
      </c>
      <c r="I2853" s="724">
        <v>2129.2576144605487</v>
      </c>
      <c r="J2853" s="724">
        <v>0</v>
      </c>
      <c r="K2853" s="724">
        <v>0</v>
      </c>
      <c r="L2853" s="724">
        <v>8292.8980773726635</v>
      </c>
    </row>
    <row r="2854" spans="1:12">
      <c r="A2854" s="722" t="s">
        <v>627</v>
      </c>
      <c r="B2854" s="722">
        <v>160</v>
      </c>
      <c r="C2854" s="723">
        <v>193</v>
      </c>
      <c r="D2854" s="723">
        <v>38</v>
      </c>
      <c r="E2854" s="723">
        <v>0</v>
      </c>
      <c r="F2854" s="723">
        <v>0</v>
      </c>
      <c r="G2854" s="723">
        <v>231</v>
      </c>
      <c r="H2854" s="724">
        <v>21628.774715309788</v>
      </c>
      <c r="I2854" s="724">
        <v>4258.5152289210982</v>
      </c>
      <c r="J2854" s="724">
        <v>0</v>
      </c>
      <c r="K2854" s="724">
        <v>0</v>
      </c>
      <c r="L2854" s="724">
        <v>25887.289944230888</v>
      </c>
    </row>
    <row r="2855" spans="1:12">
      <c r="A2855" s="722" t="s">
        <v>627</v>
      </c>
      <c r="B2855" s="722">
        <v>161</v>
      </c>
      <c r="C2855" s="723">
        <v>1</v>
      </c>
      <c r="D2855" s="723">
        <v>0</v>
      </c>
      <c r="E2855" s="723">
        <v>0</v>
      </c>
      <c r="F2855" s="723">
        <v>0</v>
      </c>
      <c r="G2855" s="723">
        <v>1</v>
      </c>
      <c r="H2855" s="724">
        <v>112.06619023476574</v>
      </c>
      <c r="I2855" s="724">
        <v>0</v>
      </c>
      <c r="J2855" s="724">
        <v>0</v>
      </c>
      <c r="K2855" s="724">
        <v>0</v>
      </c>
      <c r="L2855" s="724">
        <v>112.06619023476574</v>
      </c>
    </row>
    <row r="2856" spans="1:12">
      <c r="A2856" s="722" t="s">
        <v>627</v>
      </c>
      <c r="B2856" s="722">
        <v>170</v>
      </c>
      <c r="C2856" s="723">
        <v>2</v>
      </c>
      <c r="D2856" s="723">
        <v>3</v>
      </c>
      <c r="E2856" s="723">
        <v>0</v>
      </c>
      <c r="F2856" s="723">
        <v>0</v>
      </c>
      <c r="G2856" s="723">
        <v>5</v>
      </c>
      <c r="H2856" s="724">
        <v>224.13238046953148</v>
      </c>
      <c r="I2856" s="724">
        <v>336.1985707042972</v>
      </c>
      <c r="J2856" s="724">
        <v>0</v>
      </c>
      <c r="K2856" s="724">
        <v>0</v>
      </c>
      <c r="L2856" s="724">
        <v>560.33095117382868</v>
      </c>
    </row>
    <row r="2857" spans="1:12">
      <c r="A2857" s="722" t="s">
        <v>627</v>
      </c>
      <c r="B2857" s="722">
        <v>171</v>
      </c>
      <c r="C2857" s="723">
        <v>20</v>
      </c>
      <c r="D2857" s="723">
        <v>6</v>
      </c>
      <c r="E2857" s="723">
        <v>0</v>
      </c>
      <c r="F2857" s="723">
        <v>0</v>
      </c>
      <c r="G2857" s="723">
        <v>26</v>
      </c>
      <c r="H2857" s="724">
        <v>2241.3238046953147</v>
      </c>
      <c r="I2857" s="724">
        <v>672.39714140859439</v>
      </c>
      <c r="J2857" s="724">
        <v>0</v>
      </c>
      <c r="K2857" s="724">
        <v>0</v>
      </c>
      <c r="L2857" s="724">
        <v>2913.7209461039092</v>
      </c>
    </row>
    <row r="2858" spans="1:12">
      <c r="A2858" s="722" t="s">
        <v>627</v>
      </c>
      <c r="B2858" s="722">
        <v>172</v>
      </c>
      <c r="C2858" s="723">
        <v>3</v>
      </c>
      <c r="D2858" s="723">
        <v>0</v>
      </c>
      <c r="E2858" s="723">
        <v>0</v>
      </c>
      <c r="F2858" s="723">
        <v>0</v>
      </c>
      <c r="G2858" s="723">
        <v>3</v>
      </c>
      <c r="H2858" s="724">
        <v>336.19857070429725</v>
      </c>
      <c r="I2858" s="724">
        <v>0</v>
      </c>
      <c r="J2858" s="724">
        <v>0</v>
      </c>
      <c r="K2858" s="724">
        <v>0</v>
      </c>
      <c r="L2858" s="724">
        <v>336.19857070429725</v>
      </c>
    </row>
    <row r="2859" spans="1:12">
      <c r="A2859" s="722" t="s">
        <v>627</v>
      </c>
      <c r="B2859" s="722">
        <v>173</v>
      </c>
      <c r="C2859" s="723">
        <v>5</v>
      </c>
      <c r="D2859" s="723">
        <v>1</v>
      </c>
      <c r="E2859" s="723">
        <v>0</v>
      </c>
      <c r="F2859" s="723">
        <v>0</v>
      </c>
      <c r="G2859" s="723">
        <v>6</v>
      </c>
      <c r="H2859" s="724">
        <v>560.33095117382879</v>
      </c>
      <c r="I2859" s="724">
        <v>112.06619023476576</v>
      </c>
      <c r="J2859" s="724">
        <v>0</v>
      </c>
      <c r="K2859" s="724">
        <v>0</v>
      </c>
      <c r="L2859" s="724">
        <v>672.39714140859451</v>
      </c>
    </row>
    <row r="2860" spans="1:12">
      <c r="A2860" s="722" t="s">
        <v>627</v>
      </c>
      <c r="B2860" s="722">
        <v>180</v>
      </c>
      <c r="C2860" s="723">
        <v>1</v>
      </c>
      <c r="D2860" s="723">
        <v>5</v>
      </c>
      <c r="E2860" s="723">
        <v>0</v>
      </c>
      <c r="F2860" s="723">
        <v>0</v>
      </c>
      <c r="G2860" s="723">
        <v>6</v>
      </c>
      <c r="H2860" s="724">
        <v>112.06619023476576</v>
      </c>
      <c r="I2860" s="724">
        <v>560.33095117382879</v>
      </c>
      <c r="J2860" s="724">
        <v>0</v>
      </c>
      <c r="K2860" s="724">
        <v>0</v>
      </c>
      <c r="L2860" s="724">
        <v>672.39714140859451</v>
      </c>
    </row>
    <row r="2861" spans="1:12">
      <c r="A2861" s="722" t="s">
        <v>627</v>
      </c>
      <c r="B2861" s="722">
        <v>190</v>
      </c>
      <c r="C2861" s="723">
        <v>28</v>
      </c>
      <c r="D2861" s="723">
        <v>33</v>
      </c>
      <c r="E2861" s="723">
        <v>0</v>
      </c>
      <c r="F2861" s="723">
        <v>0</v>
      </c>
      <c r="G2861" s="723">
        <v>61</v>
      </c>
      <c r="H2861" s="724">
        <v>3137.8533265734413</v>
      </c>
      <c r="I2861" s="724">
        <v>3698.1842777472698</v>
      </c>
      <c r="J2861" s="724">
        <v>0</v>
      </c>
      <c r="K2861" s="724">
        <v>0</v>
      </c>
      <c r="L2861" s="724">
        <v>6836.0376043207107</v>
      </c>
    </row>
    <row r="2862" spans="1:12">
      <c r="A2862" s="722" t="s">
        <v>627</v>
      </c>
      <c r="B2862" s="722">
        <v>191</v>
      </c>
      <c r="C2862" s="723">
        <v>18</v>
      </c>
      <c r="D2862" s="723">
        <v>8</v>
      </c>
      <c r="E2862" s="723">
        <v>0</v>
      </c>
      <c r="F2862" s="723">
        <v>0</v>
      </c>
      <c r="G2862" s="723">
        <v>26</v>
      </c>
      <c r="H2862" s="724">
        <v>2017.1914242257833</v>
      </c>
      <c r="I2862" s="724">
        <v>896.52952187812593</v>
      </c>
      <c r="J2862" s="724">
        <v>0</v>
      </c>
      <c r="K2862" s="724">
        <v>0</v>
      </c>
      <c r="L2862" s="724">
        <v>2913.7209461039092</v>
      </c>
    </row>
    <row r="2863" spans="1:12">
      <c r="A2863" s="722" t="s">
        <v>627</v>
      </c>
      <c r="B2863" s="722">
        <v>192</v>
      </c>
      <c r="C2863" s="723">
        <v>8</v>
      </c>
      <c r="D2863" s="723">
        <v>0</v>
      </c>
      <c r="E2863" s="723">
        <v>0</v>
      </c>
      <c r="F2863" s="723">
        <v>0</v>
      </c>
      <c r="G2863" s="723">
        <v>8</v>
      </c>
      <c r="H2863" s="724">
        <v>896.52952187812593</v>
      </c>
      <c r="I2863" s="724">
        <v>0</v>
      </c>
      <c r="J2863" s="724">
        <v>0</v>
      </c>
      <c r="K2863" s="724">
        <v>0</v>
      </c>
      <c r="L2863" s="724">
        <v>896.52952187812593</v>
      </c>
    </row>
    <row r="2864" spans="1:12">
      <c r="A2864" s="722" t="s">
        <v>627</v>
      </c>
      <c r="B2864" s="722">
        <v>214</v>
      </c>
      <c r="C2864" s="723">
        <v>0</v>
      </c>
      <c r="D2864" s="723">
        <v>1</v>
      </c>
      <c r="E2864" s="723">
        <v>0</v>
      </c>
      <c r="F2864" s="723">
        <v>0</v>
      </c>
      <c r="G2864" s="723">
        <v>1</v>
      </c>
      <c r="H2864" s="724">
        <v>0</v>
      </c>
      <c r="I2864" s="724">
        <v>112.06619023476574</v>
      </c>
      <c r="J2864" s="724">
        <v>0</v>
      </c>
      <c r="K2864" s="724">
        <v>0</v>
      </c>
      <c r="L2864" s="724">
        <v>112.06619023476574</v>
      </c>
    </row>
    <row r="2865" spans="1:12">
      <c r="A2865" s="722" t="s">
        <v>627</v>
      </c>
      <c r="B2865" s="722">
        <v>216</v>
      </c>
      <c r="C2865" s="723">
        <v>5</v>
      </c>
      <c r="D2865" s="723">
        <v>6</v>
      </c>
      <c r="E2865" s="723">
        <v>0</v>
      </c>
      <c r="F2865" s="723">
        <v>0</v>
      </c>
      <c r="G2865" s="723">
        <v>11</v>
      </c>
      <c r="H2865" s="724">
        <v>560.33095117382879</v>
      </c>
      <c r="I2865" s="724">
        <v>672.39714140859439</v>
      </c>
      <c r="J2865" s="724">
        <v>0</v>
      </c>
      <c r="K2865" s="724">
        <v>0</v>
      </c>
      <c r="L2865" s="724">
        <v>1232.7280925824232</v>
      </c>
    </row>
    <row r="2866" spans="1:12">
      <c r="A2866" s="722" t="s">
        <v>627</v>
      </c>
      <c r="B2866" s="722">
        <v>219</v>
      </c>
      <c r="C2866" s="723">
        <v>23</v>
      </c>
      <c r="D2866" s="723">
        <v>4</v>
      </c>
      <c r="E2866" s="723">
        <v>0</v>
      </c>
      <c r="F2866" s="723">
        <v>0</v>
      </c>
      <c r="G2866" s="723">
        <v>27</v>
      </c>
      <c r="H2866" s="724">
        <v>2577.5223753996115</v>
      </c>
      <c r="I2866" s="724">
        <v>448.26476093906291</v>
      </c>
      <c r="J2866" s="724">
        <v>0</v>
      </c>
      <c r="K2866" s="724">
        <v>0</v>
      </c>
      <c r="L2866" s="724">
        <v>3025.7871363386748</v>
      </c>
    </row>
    <row r="2867" spans="1:12">
      <c r="A2867" s="722" t="s">
        <v>627</v>
      </c>
      <c r="B2867" s="722">
        <v>251</v>
      </c>
      <c r="C2867" s="723">
        <v>19</v>
      </c>
      <c r="D2867" s="723">
        <v>1</v>
      </c>
      <c r="E2867" s="723">
        <v>0</v>
      </c>
      <c r="F2867" s="723">
        <v>0</v>
      </c>
      <c r="G2867" s="723">
        <v>20</v>
      </c>
      <c r="H2867" s="724">
        <v>2129.2576144605491</v>
      </c>
      <c r="I2867" s="724">
        <v>112.06619023476574</v>
      </c>
      <c r="J2867" s="724">
        <v>0</v>
      </c>
      <c r="K2867" s="724">
        <v>0</v>
      </c>
      <c r="L2867" s="724">
        <v>2241.3238046953147</v>
      </c>
    </row>
    <row r="2868" spans="1:12">
      <c r="A2868" s="722" t="s">
        <v>627</v>
      </c>
      <c r="B2868" s="722">
        <v>252</v>
      </c>
      <c r="C2868" s="723">
        <v>10</v>
      </c>
      <c r="D2868" s="723">
        <v>2</v>
      </c>
      <c r="E2868" s="723">
        <v>0</v>
      </c>
      <c r="F2868" s="723">
        <v>0</v>
      </c>
      <c r="G2868" s="723">
        <v>12</v>
      </c>
      <c r="H2868" s="724">
        <v>1120.6619023476576</v>
      </c>
      <c r="I2868" s="724">
        <v>224.13238046953151</v>
      </c>
      <c r="J2868" s="724">
        <v>0</v>
      </c>
      <c r="K2868" s="724">
        <v>0</v>
      </c>
      <c r="L2868" s="724">
        <v>1344.794282817189</v>
      </c>
    </row>
    <row r="2869" spans="1:12">
      <c r="A2869" s="722" t="s">
        <v>627</v>
      </c>
      <c r="B2869" s="722">
        <v>254</v>
      </c>
      <c r="C2869" s="723">
        <v>2</v>
      </c>
      <c r="D2869" s="723">
        <v>0</v>
      </c>
      <c r="E2869" s="723">
        <v>0</v>
      </c>
      <c r="F2869" s="723">
        <v>0</v>
      </c>
      <c r="G2869" s="723">
        <v>2</v>
      </c>
      <c r="H2869" s="724">
        <v>224.13238046953148</v>
      </c>
      <c r="I2869" s="724">
        <v>0</v>
      </c>
      <c r="J2869" s="724">
        <v>0</v>
      </c>
      <c r="K2869" s="724">
        <v>0</v>
      </c>
      <c r="L2869" s="724">
        <v>224.13238046953148</v>
      </c>
    </row>
    <row r="2870" spans="1:12">
      <c r="A2870" s="722" t="s">
        <v>627</v>
      </c>
      <c r="B2870" s="722">
        <v>257</v>
      </c>
      <c r="C2870" s="723">
        <v>6</v>
      </c>
      <c r="D2870" s="723">
        <v>3</v>
      </c>
      <c r="E2870" s="723">
        <v>0</v>
      </c>
      <c r="F2870" s="723">
        <v>0</v>
      </c>
      <c r="G2870" s="723">
        <v>9</v>
      </c>
      <c r="H2870" s="724">
        <v>672.39714140859439</v>
      </c>
      <c r="I2870" s="724">
        <v>336.1985707042972</v>
      </c>
      <c r="J2870" s="724">
        <v>0</v>
      </c>
      <c r="K2870" s="724">
        <v>0</v>
      </c>
      <c r="L2870" s="724">
        <v>1008.5957121128916</v>
      </c>
    </row>
    <row r="2871" spans="1:12">
      <c r="A2871" s="722" t="s">
        <v>627</v>
      </c>
      <c r="B2871" s="722">
        <v>258</v>
      </c>
      <c r="C2871" s="723">
        <v>18</v>
      </c>
      <c r="D2871" s="723">
        <v>2</v>
      </c>
      <c r="E2871" s="723">
        <v>0</v>
      </c>
      <c r="F2871" s="723">
        <v>0</v>
      </c>
      <c r="G2871" s="723">
        <v>20</v>
      </c>
      <c r="H2871" s="724">
        <v>2017.1914242257833</v>
      </c>
      <c r="I2871" s="724">
        <v>224.13238046953148</v>
      </c>
      <c r="J2871" s="724">
        <v>0</v>
      </c>
      <c r="K2871" s="724">
        <v>0</v>
      </c>
      <c r="L2871" s="724">
        <v>2241.3238046953147</v>
      </c>
    </row>
    <row r="2872" spans="1:12">
      <c r="A2872" s="722" t="s">
        <v>627</v>
      </c>
      <c r="B2872" s="722">
        <v>259</v>
      </c>
      <c r="C2872" s="723">
        <v>10</v>
      </c>
      <c r="D2872" s="723">
        <v>2</v>
      </c>
      <c r="E2872" s="723">
        <v>0</v>
      </c>
      <c r="F2872" s="723">
        <v>0</v>
      </c>
      <c r="G2872" s="723">
        <v>12</v>
      </c>
      <c r="H2872" s="724">
        <v>1120.6619023476576</v>
      </c>
      <c r="I2872" s="724">
        <v>224.13238046953151</v>
      </c>
      <c r="J2872" s="724">
        <v>0</v>
      </c>
      <c r="K2872" s="724">
        <v>0</v>
      </c>
      <c r="L2872" s="724">
        <v>1344.794282817189</v>
      </c>
    </row>
    <row r="2873" spans="1:12">
      <c r="A2873" s="722" t="s">
        <v>627</v>
      </c>
      <c r="B2873" s="722">
        <v>262</v>
      </c>
      <c r="C2873" s="723">
        <v>7</v>
      </c>
      <c r="D2873" s="723">
        <v>0</v>
      </c>
      <c r="E2873" s="723">
        <v>0</v>
      </c>
      <c r="F2873" s="723">
        <v>0</v>
      </c>
      <c r="G2873" s="723">
        <v>7</v>
      </c>
      <c r="H2873" s="724">
        <v>784.46333164336022</v>
      </c>
      <c r="I2873" s="724">
        <v>0</v>
      </c>
      <c r="J2873" s="724">
        <v>0</v>
      </c>
      <c r="K2873" s="724">
        <v>0</v>
      </c>
      <c r="L2873" s="724">
        <v>784.46333164336022</v>
      </c>
    </row>
    <row r="2874" spans="1:12">
      <c r="A2874" s="722" t="s">
        <v>627</v>
      </c>
      <c r="B2874" s="722">
        <v>290</v>
      </c>
      <c r="C2874" s="723">
        <v>16</v>
      </c>
      <c r="D2874" s="723">
        <v>3</v>
      </c>
      <c r="E2874" s="723">
        <v>0</v>
      </c>
      <c r="F2874" s="723">
        <v>0</v>
      </c>
      <c r="G2874" s="723">
        <v>19</v>
      </c>
      <c r="H2874" s="724">
        <v>1793.0590437562519</v>
      </c>
      <c r="I2874" s="724">
        <v>336.19857070429725</v>
      </c>
      <c r="J2874" s="724">
        <v>0</v>
      </c>
      <c r="K2874" s="724">
        <v>0</v>
      </c>
      <c r="L2874" s="724">
        <v>2129.2576144605491</v>
      </c>
    </row>
    <row r="2875" spans="1:12">
      <c r="A2875" s="722" t="s">
        <v>627</v>
      </c>
      <c r="B2875" s="722">
        <v>300</v>
      </c>
      <c r="C2875" s="723">
        <v>190</v>
      </c>
      <c r="D2875" s="723">
        <v>46</v>
      </c>
      <c r="E2875" s="723">
        <v>0</v>
      </c>
      <c r="F2875" s="723">
        <v>0</v>
      </c>
      <c r="G2875" s="723">
        <v>236</v>
      </c>
      <c r="H2875" s="724">
        <v>21292.576144605493</v>
      </c>
      <c r="I2875" s="724">
        <v>5155.0447507992239</v>
      </c>
      <c r="J2875" s="724">
        <v>0</v>
      </c>
      <c r="K2875" s="724">
        <v>0</v>
      </c>
      <c r="L2875" s="724">
        <v>26447.620895404714</v>
      </c>
    </row>
    <row r="2876" spans="1:12">
      <c r="A2876" s="722" t="s">
        <v>627</v>
      </c>
      <c r="B2876" s="722">
        <v>301</v>
      </c>
      <c r="C2876" s="723">
        <v>69</v>
      </c>
      <c r="D2876" s="723">
        <v>14</v>
      </c>
      <c r="E2876" s="723">
        <v>0</v>
      </c>
      <c r="F2876" s="723">
        <v>0</v>
      </c>
      <c r="G2876" s="723">
        <v>83</v>
      </c>
      <c r="H2876" s="724">
        <v>7732.5671261988373</v>
      </c>
      <c r="I2876" s="724">
        <v>1568.9266632867207</v>
      </c>
      <c r="J2876" s="724">
        <v>0</v>
      </c>
      <c r="K2876" s="724">
        <v>0</v>
      </c>
      <c r="L2876" s="724">
        <v>9301.4937894855575</v>
      </c>
    </row>
    <row r="2877" spans="1:12">
      <c r="A2877" s="722" t="s">
        <v>627</v>
      </c>
      <c r="B2877" s="722">
        <v>302</v>
      </c>
      <c r="C2877" s="723">
        <v>39</v>
      </c>
      <c r="D2877" s="723">
        <v>19</v>
      </c>
      <c r="E2877" s="723">
        <v>0</v>
      </c>
      <c r="F2877" s="723">
        <v>0</v>
      </c>
      <c r="G2877" s="723">
        <v>58</v>
      </c>
      <c r="H2877" s="724">
        <v>4370.5814191558638</v>
      </c>
      <c r="I2877" s="724">
        <v>2129.2576144605491</v>
      </c>
      <c r="J2877" s="724">
        <v>0</v>
      </c>
      <c r="K2877" s="724">
        <v>0</v>
      </c>
      <c r="L2877" s="724">
        <v>6499.839033616413</v>
      </c>
    </row>
    <row r="2878" spans="1:12">
      <c r="A2878" s="722" t="s">
        <v>627</v>
      </c>
      <c r="B2878" s="722">
        <v>303</v>
      </c>
      <c r="C2878" s="723">
        <v>82</v>
      </c>
      <c r="D2878" s="723">
        <v>7</v>
      </c>
      <c r="E2878" s="723">
        <v>0</v>
      </c>
      <c r="F2878" s="723">
        <v>0</v>
      </c>
      <c r="G2878" s="723">
        <v>89</v>
      </c>
      <c r="H2878" s="724">
        <v>9189.4275992507919</v>
      </c>
      <c r="I2878" s="724">
        <v>784.46333164336022</v>
      </c>
      <c r="J2878" s="724">
        <v>0</v>
      </c>
      <c r="K2878" s="724">
        <v>0</v>
      </c>
      <c r="L2878" s="724">
        <v>9973.8909308941511</v>
      </c>
    </row>
    <row r="2879" spans="1:12">
      <c r="A2879" s="722" t="s">
        <v>627</v>
      </c>
      <c r="B2879" s="722">
        <v>304</v>
      </c>
      <c r="C2879" s="723">
        <v>2</v>
      </c>
      <c r="D2879" s="723">
        <v>0</v>
      </c>
      <c r="E2879" s="723">
        <v>0</v>
      </c>
      <c r="F2879" s="723">
        <v>0</v>
      </c>
      <c r="G2879" s="723">
        <v>2</v>
      </c>
      <c r="H2879" s="724">
        <v>224.13238046953148</v>
      </c>
      <c r="I2879" s="724">
        <v>0</v>
      </c>
      <c r="J2879" s="724">
        <v>0</v>
      </c>
      <c r="K2879" s="724">
        <v>0</v>
      </c>
      <c r="L2879" s="724">
        <v>224.13238046953148</v>
      </c>
    </row>
    <row r="2880" spans="1:12">
      <c r="A2880" s="722" t="s">
        <v>627</v>
      </c>
      <c r="B2880" s="722">
        <v>306</v>
      </c>
      <c r="C2880" s="723">
        <v>53</v>
      </c>
      <c r="D2880" s="723">
        <v>4</v>
      </c>
      <c r="E2880" s="723">
        <v>0</v>
      </c>
      <c r="F2880" s="723">
        <v>0</v>
      </c>
      <c r="G2880" s="723">
        <v>57</v>
      </c>
      <c r="H2880" s="724">
        <v>5939.5080824425841</v>
      </c>
      <c r="I2880" s="724">
        <v>448.26476093906297</v>
      </c>
      <c r="J2880" s="724">
        <v>0</v>
      </c>
      <c r="K2880" s="724">
        <v>0</v>
      </c>
      <c r="L2880" s="724">
        <v>6387.7728433816474</v>
      </c>
    </row>
    <row r="2881" spans="1:12">
      <c r="A2881" s="722" t="s">
        <v>627</v>
      </c>
      <c r="B2881" s="722">
        <v>307</v>
      </c>
      <c r="C2881" s="723">
        <v>880</v>
      </c>
      <c r="D2881" s="723">
        <v>95</v>
      </c>
      <c r="E2881" s="723">
        <v>0</v>
      </c>
      <c r="F2881" s="723">
        <v>0</v>
      </c>
      <c r="G2881" s="723">
        <v>975</v>
      </c>
      <c r="H2881" s="724">
        <v>98618.247406593859</v>
      </c>
      <c r="I2881" s="724">
        <v>10646.288072302745</v>
      </c>
      <c r="J2881" s="724">
        <v>0</v>
      </c>
      <c r="K2881" s="724">
        <v>0</v>
      </c>
      <c r="L2881" s="724">
        <v>109264.53547889659</v>
      </c>
    </row>
    <row r="2882" spans="1:12">
      <c r="A2882" s="722" t="s">
        <v>627</v>
      </c>
      <c r="B2882" s="722">
        <v>308</v>
      </c>
      <c r="C2882" s="723">
        <v>0</v>
      </c>
      <c r="D2882" s="723">
        <v>2</v>
      </c>
      <c r="E2882" s="723">
        <v>0</v>
      </c>
      <c r="F2882" s="723">
        <v>0</v>
      </c>
      <c r="G2882" s="723">
        <v>2</v>
      </c>
      <c r="H2882" s="724">
        <v>0</v>
      </c>
      <c r="I2882" s="724">
        <v>224.13238046953148</v>
      </c>
      <c r="J2882" s="724">
        <v>0</v>
      </c>
      <c r="K2882" s="724">
        <v>0</v>
      </c>
      <c r="L2882" s="724">
        <v>224.13238046953148</v>
      </c>
    </row>
    <row r="2883" spans="1:12">
      <c r="A2883" s="722" t="s">
        <v>627</v>
      </c>
      <c r="B2883" s="722">
        <v>309</v>
      </c>
      <c r="C2883" s="723">
        <v>15</v>
      </c>
      <c r="D2883" s="723">
        <v>3</v>
      </c>
      <c r="E2883" s="723">
        <v>0</v>
      </c>
      <c r="F2883" s="723">
        <v>0</v>
      </c>
      <c r="G2883" s="723">
        <v>18</v>
      </c>
      <c r="H2883" s="724">
        <v>1680.992853521486</v>
      </c>
      <c r="I2883" s="724">
        <v>336.1985707042972</v>
      </c>
      <c r="J2883" s="724">
        <v>0</v>
      </c>
      <c r="K2883" s="724">
        <v>0</v>
      </c>
      <c r="L2883" s="724">
        <v>2017.1914242257833</v>
      </c>
    </row>
    <row r="2884" spans="1:12">
      <c r="A2884" s="722" t="s">
        <v>627</v>
      </c>
      <c r="B2884" s="722">
        <v>311</v>
      </c>
      <c r="C2884" s="723">
        <v>0</v>
      </c>
      <c r="D2884" s="723">
        <v>1</v>
      </c>
      <c r="E2884" s="723">
        <v>0</v>
      </c>
      <c r="F2884" s="723">
        <v>0</v>
      </c>
      <c r="G2884" s="723">
        <v>1</v>
      </c>
      <c r="H2884" s="724">
        <v>0</v>
      </c>
      <c r="I2884" s="724">
        <v>112.06619023476574</v>
      </c>
      <c r="J2884" s="724">
        <v>0</v>
      </c>
      <c r="K2884" s="724">
        <v>0</v>
      </c>
      <c r="L2884" s="724">
        <v>112.06619023476574</v>
      </c>
    </row>
    <row r="2885" spans="1:12">
      <c r="A2885" s="722" t="s">
        <v>627</v>
      </c>
      <c r="B2885" s="722">
        <v>313</v>
      </c>
      <c r="C2885" s="723">
        <v>18</v>
      </c>
      <c r="D2885" s="723">
        <v>0</v>
      </c>
      <c r="E2885" s="723">
        <v>0</v>
      </c>
      <c r="F2885" s="723">
        <v>0</v>
      </c>
      <c r="G2885" s="723">
        <v>18</v>
      </c>
      <c r="H2885" s="724">
        <v>2017.1914242257833</v>
      </c>
      <c r="I2885" s="724">
        <v>0</v>
      </c>
      <c r="J2885" s="724">
        <v>0</v>
      </c>
      <c r="K2885" s="724">
        <v>0</v>
      </c>
      <c r="L2885" s="724">
        <v>2017.1914242257833</v>
      </c>
    </row>
    <row r="2886" spans="1:12">
      <c r="A2886" s="722" t="s">
        <v>627</v>
      </c>
      <c r="B2886" s="722">
        <v>316</v>
      </c>
      <c r="C2886" s="723">
        <v>9</v>
      </c>
      <c r="D2886" s="723">
        <v>9</v>
      </c>
      <c r="E2886" s="723">
        <v>0</v>
      </c>
      <c r="F2886" s="723">
        <v>0</v>
      </c>
      <c r="G2886" s="723">
        <v>18</v>
      </c>
      <c r="H2886" s="724">
        <v>1008.5957121128916</v>
      </c>
      <c r="I2886" s="724">
        <v>1008.5957121128916</v>
      </c>
      <c r="J2886" s="724">
        <v>0</v>
      </c>
      <c r="K2886" s="724">
        <v>0</v>
      </c>
      <c r="L2886" s="724">
        <v>2017.1914242257833</v>
      </c>
    </row>
    <row r="2887" spans="1:12">
      <c r="A2887" s="722" t="s">
        <v>627</v>
      </c>
      <c r="B2887" s="722">
        <v>320</v>
      </c>
      <c r="C2887" s="723">
        <v>86</v>
      </c>
      <c r="D2887" s="723">
        <v>28</v>
      </c>
      <c r="E2887" s="723">
        <v>0</v>
      </c>
      <c r="F2887" s="723">
        <v>0</v>
      </c>
      <c r="G2887" s="723">
        <v>114</v>
      </c>
      <c r="H2887" s="724">
        <v>9637.6923601898543</v>
      </c>
      <c r="I2887" s="724">
        <v>3137.8533265734409</v>
      </c>
      <c r="J2887" s="724">
        <v>0</v>
      </c>
      <c r="K2887" s="724">
        <v>0</v>
      </c>
      <c r="L2887" s="724">
        <v>12775.545686763295</v>
      </c>
    </row>
    <row r="2888" spans="1:12">
      <c r="A2888" s="722" t="s">
        <v>627</v>
      </c>
      <c r="B2888" s="722">
        <v>321</v>
      </c>
      <c r="C2888" s="723">
        <v>14</v>
      </c>
      <c r="D2888" s="723">
        <v>6</v>
      </c>
      <c r="E2888" s="723">
        <v>0</v>
      </c>
      <c r="F2888" s="723">
        <v>0</v>
      </c>
      <c r="G2888" s="723">
        <v>20</v>
      </c>
      <c r="H2888" s="724">
        <v>1568.9266632867202</v>
      </c>
      <c r="I2888" s="724">
        <v>672.39714140859439</v>
      </c>
      <c r="J2888" s="724">
        <v>0</v>
      </c>
      <c r="K2888" s="724">
        <v>0</v>
      </c>
      <c r="L2888" s="724">
        <v>2241.3238046953147</v>
      </c>
    </row>
    <row r="2889" spans="1:12">
      <c r="A2889" s="722" t="s">
        <v>627</v>
      </c>
      <c r="B2889" s="722">
        <v>324</v>
      </c>
      <c r="C2889" s="723">
        <v>12</v>
      </c>
      <c r="D2889" s="723">
        <v>0</v>
      </c>
      <c r="E2889" s="723">
        <v>0</v>
      </c>
      <c r="F2889" s="723">
        <v>0</v>
      </c>
      <c r="G2889" s="723">
        <v>12</v>
      </c>
      <c r="H2889" s="724">
        <v>1344.794282817189</v>
      </c>
      <c r="I2889" s="724">
        <v>0</v>
      </c>
      <c r="J2889" s="724">
        <v>0</v>
      </c>
      <c r="K2889" s="724">
        <v>0</v>
      </c>
      <c r="L2889" s="724">
        <v>1344.794282817189</v>
      </c>
    </row>
    <row r="2890" spans="1:12">
      <c r="A2890" s="722" t="s">
        <v>627</v>
      </c>
      <c r="B2890" s="722">
        <v>330</v>
      </c>
      <c r="C2890" s="723">
        <v>169</v>
      </c>
      <c r="D2890" s="723">
        <v>65</v>
      </c>
      <c r="E2890" s="723">
        <v>0</v>
      </c>
      <c r="F2890" s="723">
        <v>0</v>
      </c>
      <c r="G2890" s="723">
        <v>234</v>
      </c>
      <c r="H2890" s="724">
        <v>18939.18614967541</v>
      </c>
      <c r="I2890" s="724">
        <v>7284.302365259774</v>
      </c>
      <c r="J2890" s="724">
        <v>0</v>
      </c>
      <c r="K2890" s="724">
        <v>0</v>
      </c>
      <c r="L2890" s="724">
        <v>26223.488514935187</v>
      </c>
    </row>
    <row r="2891" spans="1:12">
      <c r="A2891" s="722" t="s">
        <v>627</v>
      </c>
      <c r="B2891" s="722">
        <v>340</v>
      </c>
      <c r="C2891" s="723">
        <v>102</v>
      </c>
      <c r="D2891" s="723">
        <v>34</v>
      </c>
      <c r="E2891" s="723">
        <v>0</v>
      </c>
      <c r="F2891" s="723">
        <v>0</v>
      </c>
      <c r="G2891" s="723">
        <v>136</v>
      </c>
      <c r="H2891" s="724">
        <v>11430.751403946106</v>
      </c>
      <c r="I2891" s="724">
        <v>3810.2504679820354</v>
      </c>
      <c r="J2891" s="724">
        <v>0</v>
      </c>
      <c r="K2891" s="724">
        <v>0</v>
      </c>
      <c r="L2891" s="724">
        <v>15241.001871928142</v>
      </c>
    </row>
    <row r="2892" spans="1:12">
      <c r="A2892" s="722" t="s">
        <v>627</v>
      </c>
      <c r="B2892" s="722">
        <v>341</v>
      </c>
      <c r="C2892" s="723">
        <v>8</v>
      </c>
      <c r="D2892" s="723">
        <v>4</v>
      </c>
      <c r="E2892" s="723">
        <v>0</v>
      </c>
      <c r="F2892" s="723">
        <v>0</v>
      </c>
      <c r="G2892" s="723">
        <v>12</v>
      </c>
      <c r="H2892" s="724">
        <v>896.52952187812605</v>
      </c>
      <c r="I2892" s="724">
        <v>448.26476093906302</v>
      </c>
      <c r="J2892" s="724">
        <v>0</v>
      </c>
      <c r="K2892" s="724">
        <v>0</v>
      </c>
      <c r="L2892" s="724">
        <v>1344.794282817189</v>
      </c>
    </row>
    <row r="2893" spans="1:12">
      <c r="A2893" s="722" t="s">
        <v>627</v>
      </c>
      <c r="B2893" s="722">
        <v>350</v>
      </c>
      <c r="C2893" s="723">
        <v>20</v>
      </c>
      <c r="D2893" s="723">
        <v>11</v>
      </c>
      <c r="E2893" s="723">
        <v>0</v>
      </c>
      <c r="F2893" s="723">
        <v>0</v>
      </c>
      <c r="G2893" s="723">
        <v>31</v>
      </c>
      <c r="H2893" s="724">
        <v>2241.3238046953152</v>
      </c>
      <c r="I2893" s="724">
        <v>1232.7280925824232</v>
      </c>
      <c r="J2893" s="724">
        <v>0</v>
      </c>
      <c r="K2893" s="724">
        <v>0</v>
      </c>
      <c r="L2893" s="724">
        <v>3474.0518972777381</v>
      </c>
    </row>
    <row r="2894" spans="1:12">
      <c r="A2894" s="722" t="s">
        <v>627</v>
      </c>
      <c r="B2894" s="722">
        <v>361</v>
      </c>
      <c r="C2894" s="723">
        <v>87</v>
      </c>
      <c r="D2894" s="723">
        <v>7</v>
      </c>
      <c r="E2894" s="723">
        <v>0</v>
      </c>
      <c r="F2894" s="723">
        <v>0</v>
      </c>
      <c r="G2894" s="723">
        <v>94</v>
      </c>
      <c r="H2894" s="724">
        <v>9749.7585504246199</v>
      </c>
      <c r="I2894" s="724">
        <v>784.46333164336011</v>
      </c>
      <c r="J2894" s="724">
        <v>0</v>
      </c>
      <c r="K2894" s="724">
        <v>0</v>
      </c>
      <c r="L2894" s="724">
        <v>10534.221882067979</v>
      </c>
    </row>
    <row r="2895" spans="1:12">
      <c r="A2895" s="722" t="s">
        <v>627</v>
      </c>
      <c r="B2895" s="722">
        <v>370</v>
      </c>
      <c r="C2895" s="723">
        <v>35</v>
      </c>
      <c r="D2895" s="723">
        <v>5</v>
      </c>
      <c r="E2895" s="723">
        <v>0</v>
      </c>
      <c r="F2895" s="723">
        <v>0</v>
      </c>
      <c r="G2895" s="723">
        <v>40</v>
      </c>
      <c r="H2895" s="724">
        <v>3922.3166582168005</v>
      </c>
      <c r="I2895" s="724">
        <v>560.33095117382868</v>
      </c>
      <c r="J2895" s="724">
        <v>0</v>
      </c>
      <c r="K2895" s="724">
        <v>0</v>
      </c>
      <c r="L2895" s="724">
        <v>4482.6476093906294</v>
      </c>
    </row>
    <row r="2896" spans="1:12">
      <c r="A2896" s="722" t="s">
        <v>627</v>
      </c>
      <c r="B2896" s="722">
        <v>400</v>
      </c>
      <c r="C2896" s="723">
        <v>69</v>
      </c>
      <c r="D2896" s="723">
        <v>44</v>
      </c>
      <c r="E2896" s="723">
        <v>0</v>
      </c>
      <c r="F2896" s="723">
        <v>0</v>
      </c>
      <c r="G2896" s="723">
        <v>113</v>
      </c>
      <c r="H2896" s="724">
        <v>7732.5671261988364</v>
      </c>
      <c r="I2896" s="724">
        <v>4930.9123703296927</v>
      </c>
      <c r="J2896" s="724">
        <v>0</v>
      </c>
      <c r="K2896" s="724">
        <v>0</v>
      </c>
      <c r="L2896" s="724">
        <v>12663.479496528529</v>
      </c>
    </row>
    <row r="2897" spans="1:12">
      <c r="A2897" s="722" t="s">
        <v>627</v>
      </c>
      <c r="B2897" s="722">
        <v>410</v>
      </c>
      <c r="C2897" s="723">
        <v>205</v>
      </c>
      <c r="D2897" s="723">
        <v>17</v>
      </c>
      <c r="E2897" s="723">
        <v>0</v>
      </c>
      <c r="F2897" s="723">
        <v>0</v>
      </c>
      <c r="G2897" s="723">
        <v>222</v>
      </c>
      <c r="H2897" s="724">
        <v>22973.568998126979</v>
      </c>
      <c r="I2897" s="724">
        <v>1905.1252339910175</v>
      </c>
      <c r="J2897" s="724">
        <v>0</v>
      </c>
      <c r="K2897" s="724">
        <v>0</v>
      </c>
      <c r="L2897" s="724">
        <v>24878.694232117996</v>
      </c>
    </row>
    <row r="2898" spans="1:12">
      <c r="A2898" s="722" t="s">
        <v>627</v>
      </c>
      <c r="B2898" s="722">
        <v>420</v>
      </c>
      <c r="C2898" s="723">
        <v>63</v>
      </c>
      <c r="D2898" s="723">
        <v>16</v>
      </c>
      <c r="E2898" s="723">
        <v>0</v>
      </c>
      <c r="F2898" s="723">
        <v>0</v>
      </c>
      <c r="G2898" s="723">
        <v>79</v>
      </c>
      <c r="H2898" s="724">
        <v>7060.1699847902419</v>
      </c>
      <c r="I2898" s="724">
        <v>1793.0590437562519</v>
      </c>
      <c r="J2898" s="724">
        <v>0</v>
      </c>
      <c r="K2898" s="724">
        <v>0</v>
      </c>
      <c r="L2898" s="724">
        <v>8853.2290285464933</v>
      </c>
    </row>
    <row r="2899" spans="1:12">
      <c r="A2899" s="722" t="s">
        <v>627</v>
      </c>
      <c r="B2899" s="722">
        <v>421</v>
      </c>
      <c r="C2899" s="723">
        <v>11</v>
      </c>
      <c r="D2899" s="723">
        <v>4</v>
      </c>
      <c r="E2899" s="723">
        <v>0</v>
      </c>
      <c r="F2899" s="723">
        <v>0</v>
      </c>
      <c r="G2899" s="723">
        <v>15</v>
      </c>
      <c r="H2899" s="724">
        <v>1232.7280925824232</v>
      </c>
      <c r="I2899" s="724">
        <v>448.26476093906297</v>
      </c>
      <c r="J2899" s="724">
        <v>0</v>
      </c>
      <c r="K2899" s="724">
        <v>0</v>
      </c>
      <c r="L2899" s="724">
        <v>1680.992853521486</v>
      </c>
    </row>
    <row r="2900" spans="1:12">
      <c r="A2900" s="722" t="s">
        <v>627</v>
      </c>
      <c r="B2900" s="722">
        <v>422</v>
      </c>
      <c r="C2900" s="723">
        <v>3</v>
      </c>
      <c r="D2900" s="723">
        <v>1</v>
      </c>
      <c r="E2900" s="723">
        <v>0</v>
      </c>
      <c r="F2900" s="723">
        <v>0</v>
      </c>
      <c r="G2900" s="723">
        <v>4</v>
      </c>
      <c r="H2900" s="724">
        <v>336.19857070429725</v>
      </c>
      <c r="I2900" s="724">
        <v>112.06619023476574</v>
      </c>
      <c r="J2900" s="724">
        <v>0</v>
      </c>
      <c r="K2900" s="724">
        <v>0</v>
      </c>
      <c r="L2900" s="724">
        <v>448.26476093906297</v>
      </c>
    </row>
    <row r="2901" spans="1:12">
      <c r="A2901" s="722" t="s">
        <v>627</v>
      </c>
      <c r="B2901" s="722">
        <v>430</v>
      </c>
      <c r="C2901" s="723">
        <v>52</v>
      </c>
      <c r="D2901" s="723">
        <v>17</v>
      </c>
      <c r="E2901" s="723">
        <v>0</v>
      </c>
      <c r="F2901" s="723">
        <v>0</v>
      </c>
      <c r="G2901" s="723">
        <v>69</v>
      </c>
      <c r="H2901" s="724">
        <v>5827.4418922078185</v>
      </c>
      <c r="I2901" s="724">
        <v>1905.1252339910177</v>
      </c>
      <c r="J2901" s="724">
        <v>0</v>
      </c>
      <c r="K2901" s="724">
        <v>0</v>
      </c>
      <c r="L2901" s="724">
        <v>7732.5671261988364</v>
      </c>
    </row>
    <row r="2902" spans="1:12">
      <c r="A2902" s="722" t="s">
        <v>627</v>
      </c>
      <c r="B2902" s="722">
        <v>501</v>
      </c>
      <c r="C2902" s="723">
        <v>225815</v>
      </c>
      <c r="D2902" s="723">
        <v>145152</v>
      </c>
      <c r="E2902" s="723">
        <v>0</v>
      </c>
      <c r="F2902" s="723">
        <v>0</v>
      </c>
      <c r="G2902" s="723">
        <v>370967</v>
      </c>
      <c r="H2902" s="724">
        <v>25306226.747863628</v>
      </c>
      <c r="I2902" s="724">
        <v>16266631.644956717</v>
      </c>
      <c r="J2902" s="724">
        <v>0</v>
      </c>
      <c r="K2902" s="724">
        <v>0</v>
      </c>
      <c r="L2902" s="724">
        <v>41572858.392820343</v>
      </c>
    </row>
    <row r="2903" spans="1:12">
      <c r="A2903" s="722" t="s">
        <v>627</v>
      </c>
      <c r="B2903" s="722">
        <v>502</v>
      </c>
      <c r="C2903" s="723">
        <v>33201</v>
      </c>
      <c r="D2903" s="723">
        <v>71288</v>
      </c>
      <c r="E2903" s="723">
        <v>0</v>
      </c>
      <c r="F2903" s="723">
        <v>0</v>
      </c>
      <c r="G2903" s="723">
        <v>104489</v>
      </c>
      <c r="H2903" s="724">
        <v>3720709.5819844576</v>
      </c>
      <c r="I2903" s="724">
        <v>7988974.5694559813</v>
      </c>
      <c r="J2903" s="724">
        <v>0</v>
      </c>
      <c r="K2903" s="724">
        <v>0</v>
      </c>
      <c r="L2903" s="724">
        <v>11709684.151440438</v>
      </c>
    </row>
    <row r="2904" spans="1:12">
      <c r="A2904" s="722" t="s">
        <v>627</v>
      </c>
      <c r="B2904" s="722">
        <v>503</v>
      </c>
      <c r="C2904" s="723">
        <v>3</v>
      </c>
      <c r="D2904" s="723">
        <v>4</v>
      </c>
      <c r="E2904" s="723">
        <v>0</v>
      </c>
      <c r="F2904" s="723">
        <v>0</v>
      </c>
      <c r="G2904" s="723">
        <v>7</v>
      </c>
      <c r="H2904" s="724">
        <v>336.19857070429725</v>
      </c>
      <c r="I2904" s="724">
        <v>448.26476093906297</v>
      </c>
      <c r="J2904" s="724">
        <v>0</v>
      </c>
      <c r="K2904" s="724">
        <v>0</v>
      </c>
      <c r="L2904" s="724">
        <v>784.46333164336022</v>
      </c>
    </row>
    <row r="2905" spans="1:12">
      <c r="A2905" s="722" t="s">
        <v>627</v>
      </c>
      <c r="B2905" s="722">
        <v>560</v>
      </c>
      <c r="C2905" s="723">
        <v>80742</v>
      </c>
      <c r="D2905" s="723">
        <v>35555</v>
      </c>
      <c r="E2905" s="723">
        <v>0</v>
      </c>
      <c r="F2905" s="723">
        <v>0</v>
      </c>
      <c r="G2905" s="723">
        <v>116297</v>
      </c>
      <c r="H2905" s="724">
        <v>9048448.331935456</v>
      </c>
      <c r="I2905" s="724">
        <v>3984513.3937970963</v>
      </c>
      <c r="J2905" s="724">
        <v>0</v>
      </c>
      <c r="K2905" s="724">
        <v>0</v>
      </c>
      <c r="L2905" s="724">
        <v>13032961.725732552</v>
      </c>
    </row>
    <row r="2906" spans="1:12">
      <c r="A2906" s="722" t="s">
        <v>627</v>
      </c>
      <c r="B2906" s="722">
        <v>650</v>
      </c>
      <c r="C2906" s="723">
        <v>59</v>
      </c>
      <c r="D2906" s="723">
        <v>28</v>
      </c>
      <c r="E2906" s="723">
        <v>0</v>
      </c>
      <c r="F2906" s="723">
        <v>0</v>
      </c>
      <c r="G2906" s="723">
        <v>87</v>
      </c>
      <c r="H2906" s="724">
        <v>6611.9052238511795</v>
      </c>
      <c r="I2906" s="724">
        <v>3137.8533265734409</v>
      </c>
      <c r="J2906" s="724">
        <v>0</v>
      </c>
      <c r="K2906" s="724">
        <v>0</v>
      </c>
      <c r="L2906" s="724">
        <v>9749.7585504246199</v>
      </c>
    </row>
    <row r="2907" spans="1:12">
      <c r="A2907" s="722" t="s">
        <v>627</v>
      </c>
      <c r="B2907" s="722">
        <v>651</v>
      </c>
      <c r="C2907" s="723">
        <v>2</v>
      </c>
      <c r="D2907" s="723">
        <v>3</v>
      </c>
      <c r="E2907" s="723">
        <v>0</v>
      </c>
      <c r="F2907" s="723">
        <v>0</v>
      </c>
      <c r="G2907" s="723">
        <v>5</v>
      </c>
      <c r="H2907" s="724">
        <v>224.13238046953148</v>
      </c>
      <c r="I2907" s="724">
        <v>336.1985707042972</v>
      </c>
      <c r="J2907" s="724">
        <v>0</v>
      </c>
      <c r="K2907" s="724">
        <v>0</v>
      </c>
      <c r="L2907" s="724">
        <v>560.33095117382868</v>
      </c>
    </row>
    <row r="2908" spans="1:12">
      <c r="A2908" s="722" t="s">
        <v>627</v>
      </c>
      <c r="B2908" s="722">
        <v>654</v>
      </c>
      <c r="C2908" s="723">
        <v>2</v>
      </c>
      <c r="D2908" s="723">
        <v>1</v>
      </c>
      <c r="E2908" s="723">
        <v>0</v>
      </c>
      <c r="F2908" s="723">
        <v>0</v>
      </c>
      <c r="G2908" s="723">
        <v>3</v>
      </c>
      <c r="H2908" s="724">
        <v>224.13238046953151</v>
      </c>
      <c r="I2908" s="724">
        <v>112.06619023476576</v>
      </c>
      <c r="J2908" s="724">
        <v>0</v>
      </c>
      <c r="K2908" s="724">
        <v>0</v>
      </c>
      <c r="L2908" s="724">
        <v>336.19857070429725</v>
      </c>
    </row>
    <row r="2909" spans="1:12">
      <c r="A2909" s="722" t="s">
        <v>627</v>
      </c>
      <c r="B2909" s="722">
        <v>720</v>
      </c>
      <c r="C2909" s="723">
        <v>1</v>
      </c>
      <c r="D2909" s="723">
        <v>0</v>
      </c>
      <c r="E2909" s="723">
        <v>0</v>
      </c>
      <c r="F2909" s="723">
        <v>0</v>
      </c>
      <c r="G2909" s="723">
        <v>1</v>
      </c>
      <c r="H2909" s="724">
        <v>112.06619023476574</v>
      </c>
      <c r="I2909" s="724">
        <v>0</v>
      </c>
      <c r="J2909" s="724">
        <v>0</v>
      </c>
      <c r="K2909" s="724">
        <v>0</v>
      </c>
      <c r="L2909" s="724">
        <v>112.06619023476574</v>
      </c>
    </row>
    <row r="2910" spans="1:12">
      <c r="A2910" s="722" t="s">
        <v>627</v>
      </c>
      <c r="B2910" s="722">
        <v>800</v>
      </c>
      <c r="C2910" s="723">
        <v>52</v>
      </c>
      <c r="D2910" s="723">
        <v>4</v>
      </c>
      <c r="E2910" s="723">
        <v>0</v>
      </c>
      <c r="F2910" s="723">
        <v>0</v>
      </c>
      <c r="G2910" s="723">
        <v>56</v>
      </c>
      <c r="H2910" s="724">
        <v>5827.4418922078185</v>
      </c>
      <c r="I2910" s="724">
        <v>448.26476093906297</v>
      </c>
      <c r="J2910" s="724">
        <v>0</v>
      </c>
      <c r="K2910" s="724">
        <v>0</v>
      </c>
      <c r="L2910" s="724">
        <v>6275.7066531468818</v>
      </c>
    </row>
    <row r="2911" spans="1:12">
      <c r="A2911" s="722" t="s">
        <v>627</v>
      </c>
      <c r="B2911" s="722">
        <v>811</v>
      </c>
      <c r="C2911" s="723">
        <v>3</v>
      </c>
      <c r="D2911" s="723">
        <v>0</v>
      </c>
      <c r="E2911" s="723">
        <v>0</v>
      </c>
      <c r="F2911" s="723">
        <v>0</v>
      </c>
      <c r="G2911" s="723">
        <v>3</v>
      </c>
      <c r="H2911" s="724">
        <v>336.19857070429725</v>
      </c>
      <c r="I2911" s="724">
        <v>0</v>
      </c>
      <c r="J2911" s="724">
        <v>0</v>
      </c>
      <c r="K2911" s="724">
        <v>0</v>
      </c>
      <c r="L2911" s="724">
        <v>336.19857070429725</v>
      </c>
    </row>
    <row r="2912" spans="1:12">
      <c r="A2912" s="722" t="s">
        <v>627</v>
      </c>
      <c r="B2912" s="722">
        <v>812</v>
      </c>
      <c r="C2912" s="723">
        <v>34021</v>
      </c>
      <c r="D2912" s="723">
        <v>25180</v>
      </c>
      <c r="E2912" s="723">
        <v>0</v>
      </c>
      <c r="F2912" s="723">
        <v>0</v>
      </c>
      <c r="G2912" s="723">
        <v>59201</v>
      </c>
      <c r="H2912" s="724">
        <v>3812603.8579769656</v>
      </c>
      <c r="I2912" s="724">
        <v>2821826.6701114015</v>
      </c>
      <c r="J2912" s="724">
        <v>0</v>
      </c>
      <c r="K2912" s="724">
        <v>0</v>
      </c>
      <c r="L2912" s="724">
        <v>6634430.5280883666</v>
      </c>
    </row>
    <row r="2913" spans="1:12">
      <c r="A2913" s="722" t="s">
        <v>627</v>
      </c>
      <c r="B2913" s="722">
        <v>822</v>
      </c>
      <c r="C2913" s="723">
        <v>1</v>
      </c>
      <c r="D2913" s="723">
        <v>0</v>
      </c>
      <c r="E2913" s="723">
        <v>0</v>
      </c>
      <c r="F2913" s="723">
        <v>0</v>
      </c>
      <c r="G2913" s="723">
        <v>1</v>
      </c>
      <c r="H2913" s="724">
        <v>112.06619023476574</v>
      </c>
      <c r="I2913" s="724">
        <v>0</v>
      </c>
      <c r="J2913" s="724">
        <v>0</v>
      </c>
      <c r="K2913" s="724">
        <v>0</v>
      </c>
      <c r="L2913" s="724">
        <v>112.06619023476574</v>
      </c>
    </row>
    <row r="2914" spans="1:12">
      <c r="A2914" s="722" t="s">
        <v>627</v>
      </c>
      <c r="B2914" s="722">
        <v>840</v>
      </c>
      <c r="C2914" s="723">
        <v>0</v>
      </c>
      <c r="D2914" s="723">
        <v>1</v>
      </c>
      <c r="E2914" s="723">
        <v>0</v>
      </c>
      <c r="F2914" s="723">
        <v>0</v>
      </c>
      <c r="G2914" s="723">
        <v>1</v>
      </c>
      <c r="H2914" s="724">
        <v>0</v>
      </c>
      <c r="I2914" s="724">
        <v>112.06619023476574</v>
      </c>
      <c r="J2914" s="724">
        <v>0</v>
      </c>
      <c r="K2914" s="724">
        <v>0</v>
      </c>
      <c r="L2914" s="724">
        <v>112.06619023476574</v>
      </c>
    </row>
    <row r="2915" spans="1:12">
      <c r="A2915" s="722" t="s">
        <v>621</v>
      </c>
      <c r="B2915" s="722">
        <v>100</v>
      </c>
      <c r="C2915" s="723">
        <v>6</v>
      </c>
      <c r="D2915" s="723">
        <v>6</v>
      </c>
      <c r="E2915" s="723">
        <v>0</v>
      </c>
      <c r="F2915" s="723">
        <v>0</v>
      </c>
      <c r="G2915" s="723">
        <v>12</v>
      </c>
      <c r="H2915" s="724">
        <v>579.93224250637047</v>
      </c>
      <c r="I2915" s="724">
        <v>579.93224250637047</v>
      </c>
      <c r="J2915" s="724">
        <v>0</v>
      </c>
      <c r="K2915" s="724">
        <v>0</v>
      </c>
      <c r="L2915" s="724">
        <v>1159.8644850127409</v>
      </c>
    </row>
    <row r="2916" spans="1:12">
      <c r="A2916" s="722" t="s">
        <v>621</v>
      </c>
      <c r="B2916" s="722">
        <v>101</v>
      </c>
      <c r="C2916" s="723">
        <v>66</v>
      </c>
      <c r="D2916" s="723">
        <v>9</v>
      </c>
      <c r="E2916" s="723">
        <v>0</v>
      </c>
      <c r="F2916" s="723">
        <v>0</v>
      </c>
      <c r="G2916" s="723">
        <v>75</v>
      </c>
      <c r="H2916" s="724">
        <v>6379.2546675700751</v>
      </c>
      <c r="I2916" s="724">
        <v>869.89836375955565</v>
      </c>
      <c r="J2916" s="724">
        <v>0</v>
      </c>
      <c r="K2916" s="724">
        <v>0</v>
      </c>
      <c r="L2916" s="724">
        <v>7249.1530313296307</v>
      </c>
    </row>
    <row r="2917" spans="1:12">
      <c r="A2917" s="722" t="s">
        <v>621</v>
      </c>
      <c r="B2917" s="722">
        <v>103</v>
      </c>
      <c r="C2917" s="723">
        <v>2</v>
      </c>
      <c r="D2917" s="723">
        <v>0</v>
      </c>
      <c r="E2917" s="723">
        <v>0</v>
      </c>
      <c r="F2917" s="723">
        <v>0</v>
      </c>
      <c r="G2917" s="723">
        <v>2</v>
      </c>
      <c r="H2917" s="724">
        <v>193.31074750212349</v>
      </c>
      <c r="I2917" s="724">
        <v>0</v>
      </c>
      <c r="J2917" s="724">
        <v>0</v>
      </c>
      <c r="K2917" s="724">
        <v>0</v>
      </c>
      <c r="L2917" s="724">
        <v>193.31074750212349</v>
      </c>
    </row>
    <row r="2918" spans="1:12">
      <c r="A2918" s="722" t="s">
        <v>621</v>
      </c>
      <c r="B2918" s="722">
        <v>104</v>
      </c>
      <c r="C2918" s="723">
        <v>1</v>
      </c>
      <c r="D2918" s="723">
        <v>2</v>
      </c>
      <c r="E2918" s="723">
        <v>0</v>
      </c>
      <c r="F2918" s="723">
        <v>0</v>
      </c>
      <c r="G2918" s="723">
        <v>3</v>
      </c>
      <c r="H2918" s="724">
        <v>96.655373751061745</v>
      </c>
      <c r="I2918" s="724">
        <v>193.31074750212349</v>
      </c>
      <c r="J2918" s="724">
        <v>0</v>
      </c>
      <c r="K2918" s="724">
        <v>0</v>
      </c>
      <c r="L2918" s="724">
        <v>289.96612125318524</v>
      </c>
    </row>
    <row r="2919" spans="1:12">
      <c r="A2919" s="722" t="s">
        <v>621</v>
      </c>
      <c r="B2919" s="722">
        <v>107</v>
      </c>
      <c r="C2919" s="723">
        <v>3</v>
      </c>
      <c r="D2919" s="723">
        <v>2</v>
      </c>
      <c r="E2919" s="723">
        <v>0</v>
      </c>
      <c r="F2919" s="723">
        <v>0</v>
      </c>
      <c r="G2919" s="723">
        <v>5</v>
      </c>
      <c r="H2919" s="724">
        <v>289.96612125318518</v>
      </c>
      <c r="I2919" s="724">
        <v>193.31074750212346</v>
      </c>
      <c r="J2919" s="724">
        <v>0</v>
      </c>
      <c r="K2919" s="724">
        <v>0</v>
      </c>
      <c r="L2919" s="724">
        <v>483.27686875530867</v>
      </c>
    </row>
    <row r="2920" spans="1:12">
      <c r="A2920" s="722" t="s">
        <v>621</v>
      </c>
      <c r="B2920" s="722">
        <v>110</v>
      </c>
      <c r="C2920" s="723">
        <v>22</v>
      </c>
      <c r="D2920" s="723">
        <v>4</v>
      </c>
      <c r="E2920" s="723">
        <v>0</v>
      </c>
      <c r="F2920" s="723">
        <v>0</v>
      </c>
      <c r="G2920" s="723">
        <v>26</v>
      </c>
      <c r="H2920" s="724">
        <v>2126.4182225233581</v>
      </c>
      <c r="I2920" s="724">
        <v>386.62149500424698</v>
      </c>
      <c r="J2920" s="724">
        <v>0</v>
      </c>
      <c r="K2920" s="724">
        <v>0</v>
      </c>
      <c r="L2920" s="724">
        <v>2513.0397175276053</v>
      </c>
    </row>
    <row r="2921" spans="1:12">
      <c r="A2921" s="722" t="s">
        <v>621</v>
      </c>
      <c r="B2921" s="722">
        <v>120</v>
      </c>
      <c r="C2921" s="723">
        <v>14</v>
      </c>
      <c r="D2921" s="723">
        <v>6</v>
      </c>
      <c r="E2921" s="723">
        <v>0</v>
      </c>
      <c r="F2921" s="723">
        <v>0</v>
      </c>
      <c r="G2921" s="723">
        <v>20</v>
      </c>
      <c r="H2921" s="724">
        <v>1353.1752325148641</v>
      </c>
      <c r="I2921" s="724">
        <v>579.93224250637036</v>
      </c>
      <c r="J2921" s="724">
        <v>0</v>
      </c>
      <c r="K2921" s="724">
        <v>0</v>
      </c>
      <c r="L2921" s="724">
        <v>1933.1074750212347</v>
      </c>
    </row>
    <row r="2922" spans="1:12">
      <c r="A2922" s="722" t="s">
        <v>621</v>
      </c>
      <c r="B2922" s="722">
        <v>130</v>
      </c>
      <c r="C2922" s="723">
        <v>33</v>
      </c>
      <c r="D2922" s="723">
        <v>4</v>
      </c>
      <c r="E2922" s="723">
        <v>0</v>
      </c>
      <c r="F2922" s="723">
        <v>0</v>
      </c>
      <c r="G2922" s="723">
        <v>37</v>
      </c>
      <c r="H2922" s="724">
        <v>3189.6273337850371</v>
      </c>
      <c r="I2922" s="724">
        <v>386.62149500424692</v>
      </c>
      <c r="J2922" s="724">
        <v>0</v>
      </c>
      <c r="K2922" s="724">
        <v>0</v>
      </c>
      <c r="L2922" s="724">
        <v>3576.2488287892843</v>
      </c>
    </row>
    <row r="2923" spans="1:12">
      <c r="A2923" s="722" t="s">
        <v>621</v>
      </c>
      <c r="B2923" s="722">
        <v>140</v>
      </c>
      <c r="C2923" s="723">
        <v>11</v>
      </c>
      <c r="D2923" s="723">
        <v>0</v>
      </c>
      <c r="E2923" s="723">
        <v>0</v>
      </c>
      <c r="F2923" s="723">
        <v>0</v>
      </c>
      <c r="G2923" s="723">
        <v>11</v>
      </c>
      <c r="H2923" s="724">
        <v>1063.2091112616793</v>
      </c>
      <c r="I2923" s="724">
        <v>0</v>
      </c>
      <c r="J2923" s="724">
        <v>0</v>
      </c>
      <c r="K2923" s="724">
        <v>0</v>
      </c>
      <c r="L2923" s="724">
        <v>1063.2091112616793</v>
      </c>
    </row>
    <row r="2924" spans="1:12">
      <c r="A2924" s="722" t="s">
        <v>621</v>
      </c>
      <c r="B2924" s="722">
        <v>141</v>
      </c>
      <c r="C2924" s="723">
        <v>21</v>
      </c>
      <c r="D2924" s="723">
        <v>3</v>
      </c>
      <c r="E2924" s="723">
        <v>0</v>
      </c>
      <c r="F2924" s="723">
        <v>0</v>
      </c>
      <c r="G2924" s="723">
        <v>24</v>
      </c>
      <c r="H2924" s="724">
        <v>2029.7628487722966</v>
      </c>
      <c r="I2924" s="724">
        <v>289.96612125318524</v>
      </c>
      <c r="J2924" s="724">
        <v>0</v>
      </c>
      <c r="K2924" s="724">
        <v>0</v>
      </c>
      <c r="L2924" s="724">
        <v>2319.7289700254819</v>
      </c>
    </row>
    <row r="2925" spans="1:12">
      <c r="A2925" s="722" t="s">
        <v>621</v>
      </c>
      <c r="B2925" s="722">
        <v>142</v>
      </c>
      <c r="C2925" s="723">
        <v>6</v>
      </c>
      <c r="D2925" s="723">
        <v>2</v>
      </c>
      <c r="E2925" s="723">
        <v>0</v>
      </c>
      <c r="F2925" s="723">
        <v>0</v>
      </c>
      <c r="G2925" s="723">
        <v>8</v>
      </c>
      <c r="H2925" s="724">
        <v>579.93224250637047</v>
      </c>
      <c r="I2925" s="724">
        <v>193.31074750212349</v>
      </c>
      <c r="J2925" s="724">
        <v>0</v>
      </c>
      <c r="K2925" s="724">
        <v>0</v>
      </c>
      <c r="L2925" s="724">
        <v>773.24299000849396</v>
      </c>
    </row>
    <row r="2926" spans="1:12">
      <c r="A2926" s="722" t="s">
        <v>621</v>
      </c>
      <c r="B2926" s="722">
        <v>143</v>
      </c>
      <c r="C2926" s="723">
        <v>6</v>
      </c>
      <c r="D2926" s="723">
        <v>0</v>
      </c>
      <c r="E2926" s="723">
        <v>0</v>
      </c>
      <c r="F2926" s="723">
        <v>0</v>
      </c>
      <c r="G2926" s="723">
        <v>6</v>
      </c>
      <c r="H2926" s="724">
        <v>579.93224250637047</v>
      </c>
      <c r="I2926" s="724">
        <v>0</v>
      </c>
      <c r="J2926" s="724">
        <v>0</v>
      </c>
      <c r="K2926" s="724">
        <v>0</v>
      </c>
      <c r="L2926" s="724">
        <v>579.93224250637047</v>
      </c>
    </row>
    <row r="2927" spans="1:12">
      <c r="A2927" s="722" t="s">
        <v>621</v>
      </c>
      <c r="B2927" s="722">
        <v>144</v>
      </c>
      <c r="C2927" s="723">
        <v>1</v>
      </c>
      <c r="D2927" s="723">
        <v>1</v>
      </c>
      <c r="E2927" s="723">
        <v>0</v>
      </c>
      <c r="F2927" s="723">
        <v>0</v>
      </c>
      <c r="G2927" s="723">
        <v>2</v>
      </c>
      <c r="H2927" s="724">
        <v>96.655373751061745</v>
      </c>
      <c r="I2927" s="724">
        <v>96.655373751061745</v>
      </c>
      <c r="J2927" s="724">
        <v>0</v>
      </c>
      <c r="K2927" s="724">
        <v>0</v>
      </c>
      <c r="L2927" s="724">
        <v>193.31074750212349</v>
      </c>
    </row>
    <row r="2928" spans="1:12">
      <c r="A2928" s="722" t="s">
        <v>621</v>
      </c>
      <c r="B2928" s="722">
        <v>150</v>
      </c>
      <c r="C2928" s="723">
        <v>1</v>
      </c>
      <c r="D2928" s="723">
        <v>0</v>
      </c>
      <c r="E2928" s="723">
        <v>0</v>
      </c>
      <c r="F2928" s="723">
        <v>0</v>
      </c>
      <c r="G2928" s="723">
        <v>1</v>
      </c>
      <c r="H2928" s="724">
        <v>96.655373751061745</v>
      </c>
      <c r="I2928" s="724">
        <v>0</v>
      </c>
      <c r="J2928" s="724">
        <v>0</v>
      </c>
      <c r="K2928" s="724">
        <v>0</v>
      </c>
      <c r="L2928" s="724">
        <v>96.655373751061745</v>
      </c>
    </row>
    <row r="2929" spans="1:12">
      <c r="A2929" s="722" t="s">
        <v>621</v>
      </c>
      <c r="B2929" s="722">
        <v>160</v>
      </c>
      <c r="C2929" s="723">
        <v>24</v>
      </c>
      <c r="D2929" s="723">
        <v>3</v>
      </c>
      <c r="E2929" s="723">
        <v>0</v>
      </c>
      <c r="F2929" s="723">
        <v>0</v>
      </c>
      <c r="G2929" s="723">
        <v>27</v>
      </c>
      <c r="H2929" s="724">
        <v>2319.7289700254819</v>
      </c>
      <c r="I2929" s="724">
        <v>289.96612125318524</v>
      </c>
      <c r="J2929" s="724">
        <v>0</v>
      </c>
      <c r="K2929" s="724">
        <v>0</v>
      </c>
      <c r="L2929" s="724">
        <v>2609.695091278667</v>
      </c>
    </row>
    <row r="2930" spans="1:12">
      <c r="A2930" s="722" t="s">
        <v>621</v>
      </c>
      <c r="B2930" s="722">
        <v>171</v>
      </c>
      <c r="C2930" s="723">
        <v>4</v>
      </c>
      <c r="D2930" s="723">
        <v>2</v>
      </c>
      <c r="E2930" s="723">
        <v>0</v>
      </c>
      <c r="F2930" s="723">
        <v>0</v>
      </c>
      <c r="G2930" s="723">
        <v>6</v>
      </c>
      <c r="H2930" s="724">
        <v>386.62149500424698</v>
      </c>
      <c r="I2930" s="724">
        <v>193.31074750212349</v>
      </c>
      <c r="J2930" s="724">
        <v>0</v>
      </c>
      <c r="K2930" s="724">
        <v>0</v>
      </c>
      <c r="L2930" s="724">
        <v>579.93224250637047</v>
      </c>
    </row>
    <row r="2931" spans="1:12">
      <c r="A2931" s="722" t="s">
        <v>621</v>
      </c>
      <c r="B2931" s="722">
        <v>173</v>
      </c>
      <c r="C2931" s="723">
        <v>0</v>
      </c>
      <c r="D2931" s="723">
        <v>1</v>
      </c>
      <c r="E2931" s="723">
        <v>0</v>
      </c>
      <c r="F2931" s="723">
        <v>0</v>
      </c>
      <c r="G2931" s="723">
        <v>1</v>
      </c>
      <c r="H2931" s="724">
        <v>0</v>
      </c>
      <c r="I2931" s="724">
        <v>96.655373751061745</v>
      </c>
      <c r="J2931" s="724">
        <v>0</v>
      </c>
      <c r="K2931" s="724">
        <v>0</v>
      </c>
      <c r="L2931" s="724">
        <v>96.655373751061745</v>
      </c>
    </row>
    <row r="2932" spans="1:12">
      <c r="A2932" s="722" t="s">
        <v>621</v>
      </c>
      <c r="B2932" s="722">
        <v>180</v>
      </c>
      <c r="C2932" s="723">
        <v>2</v>
      </c>
      <c r="D2932" s="723">
        <v>2</v>
      </c>
      <c r="E2932" s="723">
        <v>0</v>
      </c>
      <c r="F2932" s="723">
        <v>0</v>
      </c>
      <c r="G2932" s="723">
        <v>4</v>
      </c>
      <c r="H2932" s="724">
        <v>193.31074750212349</v>
      </c>
      <c r="I2932" s="724">
        <v>193.31074750212349</v>
      </c>
      <c r="J2932" s="724">
        <v>0</v>
      </c>
      <c r="K2932" s="724">
        <v>0</v>
      </c>
      <c r="L2932" s="724">
        <v>386.62149500424698</v>
      </c>
    </row>
    <row r="2933" spans="1:12">
      <c r="A2933" s="722" t="s">
        <v>621</v>
      </c>
      <c r="B2933" s="722">
        <v>190</v>
      </c>
      <c r="C2933" s="723">
        <v>0</v>
      </c>
      <c r="D2933" s="723">
        <v>6</v>
      </c>
      <c r="E2933" s="723">
        <v>0</v>
      </c>
      <c r="F2933" s="723">
        <v>0</v>
      </c>
      <c r="G2933" s="723">
        <v>6</v>
      </c>
      <c r="H2933" s="724">
        <v>0</v>
      </c>
      <c r="I2933" s="724">
        <v>579.93224250637047</v>
      </c>
      <c r="J2933" s="724">
        <v>0</v>
      </c>
      <c r="K2933" s="724">
        <v>0</v>
      </c>
      <c r="L2933" s="724">
        <v>579.93224250637047</v>
      </c>
    </row>
    <row r="2934" spans="1:12">
      <c r="A2934" s="722" t="s">
        <v>621</v>
      </c>
      <c r="B2934" s="722">
        <v>251</v>
      </c>
      <c r="C2934" s="723">
        <v>1</v>
      </c>
      <c r="D2934" s="723">
        <v>0</v>
      </c>
      <c r="E2934" s="723">
        <v>0</v>
      </c>
      <c r="F2934" s="723">
        <v>0</v>
      </c>
      <c r="G2934" s="723">
        <v>1</v>
      </c>
      <c r="H2934" s="724">
        <v>96.655373751061745</v>
      </c>
      <c r="I2934" s="724">
        <v>0</v>
      </c>
      <c r="J2934" s="724">
        <v>0</v>
      </c>
      <c r="K2934" s="724">
        <v>0</v>
      </c>
      <c r="L2934" s="724">
        <v>96.655373751061745</v>
      </c>
    </row>
    <row r="2935" spans="1:12">
      <c r="A2935" s="722" t="s">
        <v>621</v>
      </c>
      <c r="B2935" s="722">
        <v>252</v>
      </c>
      <c r="C2935" s="723">
        <v>1</v>
      </c>
      <c r="D2935" s="723">
        <v>1</v>
      </c>
      <c r="E2935" s="723">
        <v>0</v>
      </c>
      <c r="F2935" s="723">
        <v>0</v>
      </c>
      <c r="G2935" s="723">
        <v>2</v>
      </c>
      <c r="H2935" s="724">
        <v>96.655373751061745</v>
      </c>
      <c r="I2935" s="724">
        <v>96.655373751061745</v>
      </c>
      <c r="J2935" s="724">
        <v>0</v>
      </c>
      <c r="K2935" s="724">
        <v>0</v>
      </c>
      <c r="L2935" s="724">
        <v>193.31074750212349</v>
      </c>
    </row>
    <row r="2936" spans="1:12">
      <c r="A2936" s="722" t="s">
        <v>621</v>
      </c>
      <c r="B2936" s="722">
        <v>258</v>
      </c>
      <c r="C2936" s="723">
        <v>1</v>
      </c>
      <c r="D2936" s="723">
        <v>1</v>
      </c>
      <c r="E2936" s="723">
        <v>0</v>
      </c>
      <c r="F2936" s="723">
        <v>0</v>
      </c>
      <c r="G2936" s="723">
        <v>2</v>
      </c>
      <c r="H2936" s="724">
        <v>96.655373751061745</v>
      </c>
      <c r="I2936" s="724">
        <v>96.655373751061745</v>
      </c>
      <c r="J2936" s="724">
        <v>0</v>
      </c>
      <c r="K2936" s="724">
        <v>0</v>
      </c>
      <c r="L2936" s="724">
        <v>193.31074750212349</v>
      </c>
    </row>
    <row r="2937" spans="1:12">
      <c r="A2937" s="722" t="s">
        <v>621</v>
      </c>
      <c r="B2937" s="722">
        <v>259</v>
      </c>
      <c r="C2937" s="723">
        <v>3</v>
      </c>
      <c r="D2937" s="723">
        <v>0</v>
      </c>
      <c r="E2937" s="723">
        <v>0</v>
      </c>
      <c r="F2937" s="723">
        <v>0</v>
      </c>
      <c r="G2937" s="723">
        <v>3</v>
      </c>
      <c r="H2937" s="724">
        <v>289.96612125318524</v>
      </c>
      <c r="I2937" s="724">
        <v>0</v>
      </c>
      <c r="J2937" s="724">
        <v>0</v>
      </c>
      <c r="K2937" s="724">
        <v>0</v>
      </c>
      <c r="L2937" s="724">
        <v>289.96612125318524</v>
      </c>
    </row>
    <row r="2938" spans="1:12">
      <c r="A2938" s="722" t="s">
        <v>621</v>
      </c>
      <c r="B2938" s="722">
        <v>262</v>
      </c>
      <c r="C2938" s="723">
        <v>1</v>
      </c>
      <c r="D2938" s="723">
        <v>0</v>
      </c>
      <c r="E2938" s="723">
        <v>0</v>
      </c>
      <c r="F2938" s="723">
        <v>0</v>
      </c>
      <c r="G2938" s="723">
        <v>1</v>
      </c>
      <c r="H2938" s="724">
        <v>96.655373751061745</v>
      </c>
      <c r="I2938" s="724">
        <v>0</v>
      </c>
      <c r="J2938" s="724">
        <v>0</v>
      </c>
      <c r="K2938" s="724">
        <v>0</v>
      </c>
      <c r="L2938" s="724">
        <v>96.655373751061745</v>
      </c>
    </row>
    <row r="2939" spans="1:12">
      <c r="A2939" s="722" t="s">
        <v>621</v>
      </c>
      <c r="B2939" s="722">
        <v>290</v>
      </c>
      <c r="C2939" s="723">
        <v>4</v>
      </c>
      <c r="D2939" s="723">
        <v>1</v>
      </c>
      <c r="E2939" s="723">
        <v>0</v>
      </c>
      <c r="F2939" s="723">
        <v>0</v>
      </c>
      <c r="G2939" s="723">
        <v>5</v>
      </c>
      <c r="H2939" s="724">
        <v>386.62149500424692</v>
      </c>
      <c r="I2939" s="724">
        <v>96.655373751061731</v>
      </c>
      <c r="J2939" s="724">
        <v>0</v>
      </c>
      <c r="K2939" s="724">
        <v>0</v>
      </c>
      <c r="L2939" s="724">
        <v>483.27686875530867</v>
      </c>
    </row>
    <row r="2940" spans="1:12">
      <c r="A2940" s="722" t="s">
        <v>621</v>
      </c>
      <c r="B2940" s="722">
        <v>300</v>
      </c>
      <c r="C2940" s="723">
        <v>5</v>
      </c>
      <c r="D2940" s="723">
        <v>2</v>
      </c>
      <c r="E2940" s="723">
        <v>0</v>
      </c>
      <c r="F2940" s="723">
        <v>0</v>
      </c>
      <c r="G2940" s="723">
        <v>7</v>
      </c>
      <c r="H2940" s="724">
        <v>483.27686875530873</v>
      </c>
      <c r="I2940" s="724">
        <v>193.31074750212346</v>
      </c>
      <c r="J2940" s="724">
        <v>0</v>
      </c>
      <c r="K2940" s="724">
        <v>0</v>
      </c>
      <c r="L2940" s="724">
        <v>676.58761625743216</v>
      </c>
    </row>
    <row r="2941" spans="1:12">
      <c r="A2941" s="722" t="s">
        <v>621</v>
      </c>
      <c r="B2941" s="722">
        <v>301</v>
      </c>
      <c r="C2941" s="723">
        <v>7</v>
      </c>
      <c r="D2941" s="723">
        <v>2</v>
      </c>
      <c r="E2941" s="723">
        <v>0</v>
      </c>
      <c r="F2941" s="723">
        <v>0</v>
      </c>
      <c r="G2941" s="723">
        <v>9</v>
      </c>
      <c r="H2941" s="724">
        <v>676.58761625743227</v>
      </c>
      <c r="I2941" s="724">
        <v>193.31074750212349</v>
      </c>
      <c r="J2941" s="724">
        <v>0</v>
      </c>
      <c r="K2941" s="724">
        <v>0</v>
      </c>
      <c r="L2941" s="724">
        <v>869.89836375955576</v>
      </c>
    </row>
    <row r="2942" spans="1:12">
      <c r="A2942" s="722" t="s">
        <v>621</v>
      </c>
      <c r="B2942" s="722">
        <v>302</v>
      </c>
      <c r="C2942" s="723">
        <v>5</v>
      </c>
      <c r="D2942" s="723">
        <v>2</v>
      </c>
      <c r="E2942" s="723">
        <v>0</v>
      </c>
      <c r="F2942" s="723">
        <v>0</v>
      </c>
      <c r="G2942" s="723">
        <v>7</v>
      </c>
      <c r="H2942" s="724">
        <v>483.27686875530873</v>
      </c>
      <c r="I2942" s="724">
        <v>193.31074750212346</v>
      </c>
      <c r="J2942" s="724">
        <v>0</v>
      </c>
      <c r="K2942" s="724">
        <v>0</v>
      </c>
      <c r="L2942" s="724">
        <v>676.58761625743216</v>
      </c>
    </row>
    <row r="2943" spans="1:12">
      <c r="A2943" s="722" t="s">
        <v>621</v>
      </c>
      <c r="B2943" s="722">
        <v>303</v>
      </c>
      <c r="C2943" s="723">
        <v>11</v>
      </c>
      <c r="D2943" s="723">
        <v>5</v>
      </c>
      <c r="E2943" s="723">
        <v>0</v>
      </c>
      <c r="F2943" s="723">
        <v>0</v>
      </c>
      <c r="G2943" s="723">
        <v>16</v>
      </c>
      <c r="H2943" s="724">
        <v>1063.2091112616793</v>
      </c>
      <c r="I2943" s="724">
        <v>483.27686875530873</v>
      </c>
      <c r="J2943" s="724">
        <v>0</v>
      </c>
      <c r="K2943" s="724">
        <v>0</v>
      </c>
      <c r="L2943" s="724">
        <v>1546.4859800169879</v>
      </c>
    </row>
    <row r="2944" spans="1:12">
      <c r="A2944" s="722" t="s">
        <v>621</v>
      </c>
      <c r="B2944" s="722">
        <v>304</v>
      </c>
      <c r="C2944" s="723">
        <v>0</v>
      </c>
      <c r="D2944" s="723">
        <v>1</v>
      </c>
      <c r="E2944" s="723">
        <v>0</v>
      </c>
      <c r="F2944" s="723">
        <v>0</v>
      </c>
      <c r="G2944" s="723">
        <v>1</v>
      </c>
      <c r="H2944" s="724">
        <v>0</v>
      </c>
      <c r="I2944" s="724">
        <v>96.655373751061745</v>
      </c>
      <c r="J2944" s="724">
        <v>0</v>
      </c>
      <c r="K2944" s="724">
        <v>0</v>
      </c>
      <c r="L2944" s="724">
        <v>96.655373751061745</v>
      </c>
    </row>
    <row r="2945" spans="1:12">
      <c r="A2945" s="722" t="s">
        <v>621</v>
      </c>
      <c r="B2945" s="722">
        <v>306</v>
      </c>
      <c r="C2945" s="723">
        <v>4</v>
      </c>
      <c r="D2945" s="723">
        <v>1</v>
      </c>
      <c r="E2945" s="723">
        <v>0</v>
      </c>
      <c r="F2945" s="723">
        <v>0</v>
      </c>
      <c r="G2945" s="723">
        <v>5</v>
      </c>
      <c r="H2945" s="724">
        <v>386.62149500424692</v>
      </c>
      <c r="I2945" s="724">
        <v>96.655373751061731</v>
      </c>
      <c r="J2945" s="724">
        <v>0</v>
      </c>
      <c r="K2945" s="724">
        <v>0</v>
      </c>
      <c r="L2945" s="724">
        <v>483.27686875530867</v>
      </c>
    </row>
    <row r="2946" spans="1:12">
      <c r="A2946" s="722" t="s">
        <v>621</v>
      </c>
      <c r="B2946" s="722">
        <v>307</v>
      </c>
      <c r="C2946" s="723">
        <v>53</v>
      </c>
      <c r="D2946" s="723">
        <v>10</v>
      </c>
      <c r="E2946" s="723">
        <v>0</v>
      </c>
      <c r="F2946" s="723">
        <v>0</v>
      </c>
      <c r="G2946" s="723">
        <v>63</v>
      </c>
      <c r="H2946" s="724">
        <v>5122.7348088062718</v>
      </c>
      <c r="I2946" s="724">
        <v>966.55373751061734</v>
      </c>
      <c r="J2946" s="724">
        <v>0</v>
      </c>
      <c r="K2946" s="724">
        <v>0</v>
      </c>
      <c r="L2946" s="724">
        <v>6089.2885463168896</v>
      </c>
    </row>
    <row r="2947" spans="1:12">
      <c r="A2947" s="722" t="s">
        <v>621</v>
      </c>
      <c r="B2947" s="722">
        <v>309</v>
      </c>
      <c r="C2947" s="723">
        <v>1</v>
      </c>
      <c r="D2947" s="723">
        <v>2</v>
      </c>
      <c r="E2947" s="723">
        <v>0</v>
      </c>
      <c r="F2947" s="723">
        <v>0</v>
      </c>
      <c r="G2947" s="723">
        <v>3</v>
      </c>
      <c r="H2947" s="724">
        <v>96.655373751061745</v>
      </c>
      <c r="I2947" s="724">
        <v>193.31074750212349</v>
      </c>
      <c r="J2947" s="724">
        <v>0</v>
      </c>
      <c r="K2947" s="724">
        <v>0</v>
      </c>
      <c r="L2947" s="724">
        <v>289.96612125318524</v>
      </c>
    </row>
    <row r="2948" spans="1:12">
      <c r="A2948" s="722" t="s">
        <v>621</v>
      </c>
      <c r="B2948" s="722">
        <v>313</v>
      </c>
      <c r="C2948" s="723">
        <v>4</v>
      </c>
      <c r="D2948" s="723">
        <v>0</v>
      </c>
      <c r="E2948" s="723">
        <v>0</v>
      </c>
      <c r="F2948" s="723">
        <v>0</v>
      </c>
      <c r="G2948" s="723">
        <v>4</v>
      </c>
      <c r="H2948" s="724">
        <v>386.62149500424698</v>
      </c>
      <c r="I2948" s="724">
        <v>0</v>
      </c>
      <c r="J2948" s="724">
        <v>0</v>
      </c>
      <c r="K2948" s="724">
        <v>0</v>
      </c>
      <c r="L2948" s="724">
        <v>386.62149500424698</v>
      </c>
    </row>
    <row r="2949" spans="1:12">
      <c r="A2949" s="722" t="s">
        <v>621</v>
      </c>
      <c r="B2949" s="722">
        <v>316</v>
      </c>
      <c r="C2949" s="723">
        <v>0</v>
      </c>
      <c r="D2949" s="723">
        <v>2</v>
      </c>
      <c r="E2949" s="723">
        <v>0</v>
      </c>
      <c r="F2949" s="723">
        <v>0</v>
      </c>
      <c r="G2949" s="723">
        <v>2</v>
      </c>
      <c r="H2949" s="724">
        <v>0</v>
      </c>
      <c r="I2949" s="724">
        <v>193.31074750212349</v>
      </c>
      <c r="J2949" s="724">
        <v>0</v>
      </c>
      <c r="K2949" s="724">
        <v>0</v>
      </c>
      <c r="L2949" s="724">
        <v>193.31074750212349</v>
      </c>
    </row>
    <row r="2950" spans="1:12">
      <c r="A2950" s="722" t="s">
        <v>621</v>
      </c>
      <c r="B2950" s="722">
        <v>320</v>
      </c>
      <c r="C2950" s="723">
        <v>7</v>
      </c>
      <c r="D2950" s="723">
        <v>4</v>
      </c>
      <c r="E2950" s="723">
        <v>0</v>
      </c>
      <c r="F2950" s="723">
        <v>0</v>
      </c>
      <c r="G2950" s="723">
        <v>11</v>
      </c>
      <c r="H2950" s="724">
        <v>676.58761625743227</v>
      </c>
      <c r="I2950" s="724">
        <v>386.62149500424698</v>
      </c>
      <c r="J2950" s="724">
        <v>0</v>
      </c>
      <c r="K2950" s="724">
        <v>0</v>
      </c>
      <c r="L2950" s="724">
        <v>1063.2091112616793</v>
      </c>
    </row>
    <row r="2951" spans="1:12">
      <c r="A2951" s="722" t="s">
        <v>621</v>
      </c>
      <c r="B2951" s="722">
        <v>321</v>
      </c>
      <c r="C2951" s="723">
        <v>1</v>
      </c>
      <c r="D2951" s="723">
        <v>4</v>
      </c>
      <c r="E2951" s="723">
        <v>0</v>
      </c>
      <c r="F2951" s="723">
        <v>0</v>
      </c>
      <c r="G2951" s="723">
        <v>5</v>
      </c>
      <c r="H2951" s="724">
        <v>96.655373751061731</v>
      </c>
      <c r="I2951" s="724">
        <v>386.62149500424692</v>
      </c>
      <c r="J2951" s="724">
        <v>0</v>
      </c>
      <c r="K2951" s="724">
        <v>0</v>
      </c>
      <c r="L2951" s="724">
        <v>483.27686875530867</v>
      </c>
    </row>
    <row r="2952" spans="1:12">
      <c r="A2952" s="722" t="s">
        <v>621</v>
      </c>
      <c r="B2952" s="722">
        <v>330</v>
      </c>
      <c r="C2952" s="723">
        <v>26</v>
      </c>
      <c r="D2952" s="723">
        <v>9</v>
      </c>
      <c r="E2952" s="723">
        <v>0</v>
      </c>
      <c r="F2952" s="723">
        <v>0</v>
      </c>
      <c r="G2952" s="723">
        <v>35</v>
      </c>
      <c r="H2952" s="724">
        <v>2513.0397175276053</v>
      </c>
      <c r="I2952" s="724">
        <v>869.89836375955565</v>
      </c>
      <c r="J2952" s="724">
        <v>0</v>
      </c>
      <c r="K2952" s="724">
        <v>0</v>
      </c>
      <c r="L2952" s="724">
        <v>3382.9380812871609</v>
      </c>
    </row>
    <row r="2953" spans="1:12">
      <c r="A2953" s="722" t="s">
        <v>621</v>
      </c>
      <c r="B2953" s="722">
        <v>340</v>
      </c>
      <c r="C2953" s="723">
        <v>10</v>
      </c>
      <c r="D2953" s="723">
        <v>4</v>
      </c>
      <c r="E2953" s="723">
        <v>0</v>
      </c>
      <c r="F2953" s="723">
        <v>0</v>
      </c>
      <c r="G2953" s="723">
        <v>14</v>
      </c>
      <c r="H2953" s="724">
        <v>966.55373751061745</v>
      </c>
      <c r="I2953" s="724">
        <v>386.62149500424692</v>
      </c>
      <c r="J2953" s="724">
        <v>0</v>
      </c>
      <c r="K2953" s="724">
        <v>0</v>
      </c>
      <c r="L2953" s="724">
        <v>1353.1752325148643</v>
      </c>
    </row>
    <row r="2954" spans="1:12">
      <c r="A2954" s="722" t="s">
        <v>621</v>
      </c>
      <c r="B2954" s="722">
        <v>350</v>
      </c>
      <c r="C2954" s="723">
        <v>5</v>
      </c>
      <c r="D2954" s="723">
        <v>0</v>
      </c>
      <c r="E2954" s="723">
        <v>0</v>
      </c>
      <c r="F2954" s="723">
        <v>0</v>
      </c>
      <c r="G2954" s="723">
        <v>5</v>
      </c>
      <c r="H2954" s="724">
        <v>483.27686875530873</v>
      </c>
      <c r="I2954" s="724">
        <v>0</v>
      </c>
      <c r="J2954" s="724">
        <v>0</v>
      </c>
      <c r="K2954" s="724">
        <v>0</v>
      </c>
      <c r="L2954" s="724">
        <v>483.27686875530867</v>
      </c>
    </row>
    <row r="2955" spans="1:12">
      <c r="A2955" s="722" t="s">
        <v>621</v>
      </c>
      <c r="B2955" s="722">
        <v>361</v>
      </c>
      <c r="C2955" s="723">
        <v>5</v>
      </c>
      <c r="D2955" s="723">
        <v>1</v>
      </c>
      <c r="E2955" s="723">
        <v>0</v>
      </c>
      <c r="F2955" s="723">
        <v>0</v>
      </c>
      <c r="G2955" s="723">
        <v>6</v>
      </c>
      <c r="H2955" s="724">
        <v>483.27686875530873</v>
      </c>
      <c r="I2955" s="724">
        <v>96.655373751061745</v>
      </c>
      <c r="J2955" s="724">
        <v>0</v>
      </c>
      <c r="K2955" s="724">
        <v>0</v>
      </c>
      <c r="L2955" s="724">
        <v>579.93224250637047</v>
      </c>
    </row>
    <row r="2956" spans="1:12">
      <c r="A2956" s="722" t="s">
        <v>621</v>
      </c>
      <c r="B2956" s="722">
        <v>370</v>
      </c>
      <c r="C2956" s="723">
        <v>6</v>
      </c>
      <c r="D2956" s="723">
        <v>0</v>
      </c>
      <c r="E2956" s="723">
        <v>0</v>
      </c>
      <c r="F2956" s="723">
        <v>0</v>
      </c>
      <c r="G2956" s="723">
        <v>6</v>
      </c>
      <c r="H2956" s="724">
        <v>579.93224250637047</v>
      </c>
      <c r="I2956" s="724">
        <v>0</v>
      </c>
      <c r="J2956" s="724">
        <v>0</v>
      </c>
      <c r="K2956" s="724">
        <v>0</v>
      </c>
      <c r="L2956" s="724">
        <v>579.93224250637047</v>
      </c>
    </row>
    <row r="2957" spans="1:12">
      <c r="A2957" s="722" t="s">
        <v>621</v>
      </c>
      <c r="B2957" s="722">
        <v>400</v>
      </c>
      <c r="C2957" s="723">
        <v>13</v>
      </c>
      <c r="D2957" s="723">
        <v>6</v>
      </c>
      <c r="E2957" s="723">
        <v>0</v>
      </c>
      <c r="F2957" s="723">
        <v>0</v>
      </c>
      <c r="G2957" s="723">
        <v>19</v>
      </c>
      <c r="H2957" s="724">
        <v>1256.5198587638024</v>
      </c>
      <c r="I2957" s="724">
        <v>579.93224250637036</v>
      </c>
      <c r="J2957" s="724">
        <v>0</v>
      </c>
      <c r="K2957" s="724">
        <v>0</v>
      </c>
      <c r="L2957" s="724">
        <v>1836.452101270173</v>
      </c>
    </row>
    <row r="2958" spans="1:12">
      <c r="A2958" s="722" t="s">
        <v>621</v>
      </c>
      <c r="B2958" s="722">
        <v>410</v>
      </c>
      <c r="C2958" s="723">
        <v>34</v>
      </c>
      <c r="D2958" s="723">
        <v>1</v>
      </c>
      <c r="E2958" s="723">
        <v>0</v>
      </c>
      <c r="F2958" s="723">
        <v>0</v>
      </c>
      <c r="G2958" s="723">
        <v>35</v>
      </c>
      <c r="H2958" s="724">
        <v>3286.2827075360992</v>
      </c>
      <c r="I2958" s="724">
        <v>96.655373751061745</v>
      </c>
      <c r="J2958" s="724">
        <v>0</v>
      </c>
      <c r="K2958" s="724">
        <v>0</v>
      </c>
      <c r="L2958" s="724">
        <v>3382.9380812871609</v>
      </c>
    </row>
    <row r="2959" spans="1:12">
      <c r="A2959" s="722" t="s">
        <v>621</v>
      </c>
      <c r="B2959" s="722">
        <v>420</v>
      </c>
      <c r="C2959" s="723">
        <v>2</v>
      </c>
      <c r="D2959" s="723">
        <v>3</v>
      </c>
      <c r="E2959" s="723">
        <v>0</v>
      </c>
      <c r="F2959" s="723">
        <v>0</v>
      </c>
      <c r="G2959" s="723">
        <v>5</v>
      </c>
      <c r="H2959" s="724">
        <v>193.31074750212346</v>
      </c>
      <c r="I2959" s="724">
        <v>289.96612125318518</v>
      </c>
      <c r="J2959" s="724">
        <v>0</v>
      </c>
      <c r="K2959" s="724">
        <v>0</v>
      </c>
      <c r="L2959" s="724">
        <v>483.27686875530867</v>
      </c>
    </row>
    <row r="2960" spans="1:12">
      <c r="A2960" s="722" t="s">
        <v>621</v>
      </c>
      <c r="B2960" s="722">
        <v>422</v>
      </c>
      <c r="C2960" s="723">
        <v>2</v>
      </c>
      <c r="D2960" s="723">
        <v>0</v>
      </c>
      <c r="E2960" s="723">
        <v>0</v>
      </c>
      <c r="F2960" s="723">
        <v>0</v>
      </c>
      <c r="G2960" s="723">
        <v>2</v>
      </c>
      <c r="H2960" s="724">
        <v>193.31074750212349</v>
      </c>
      <c r="I2960" s="724">
        <v>0</v>
      </c>
      <c r="J2960" s="724">
        <v>0</v>
      </c>
      <c r="K2960" s="724">
        <v>0</v>
      </c>
      <c r="L2960" s="724">
        <v>193.31074750212349</v>
      </c>
    </row>
    <row r="2961" spans="1:12">
      <c r="A2961" s="722" t="s">
        <v>621</v>
      </c>
      <c r="B2961" s="722">
        <v>430</v>
      </c>
      <c r="C2961" s="723">
        <v>2</v>
      </c>
      <c r="D2961" s="723">
        <v>1</v>
      </c>
      <c r="E2961" s="723">
        <v>0</v>
      </c>
      <c r="F2961" s="723">
        <v>0</v>
      </c>
      <c r="G2961" s="723">
        <v>3</v>
      </c>
      <c r="H2961" s="724">
        <v>193.31074750212349</v>
      </c>
      <c r="I2961" s="724">
        <v>96.655373751061745</v>
      </c>
      <c r="J2961" s="724">
        <v>0</v>
      </c>
      <c r="K2961" s="724">
        <v>0</v>
      </c>
      <c r="L2961" s="724">
        <v>289.96612125318524</v>
      </c>
    </row>
    <row r="2962" spans="1:12">
      <c r="A2962" s="722" t="s">
        <v>621</v>
      </c>
      <c r="B2962" s="722">
        <v>501</v>
      </c>
      <c r="C2962" s="723">
        <v>72424</v>
      </c>
      <c r="D2962" s="723">
        <v>15948</v>
      </c>
      <c r="E2962" s="723">
        <v>0</v>
      </c>
      <c r="F2962" s="723">
        <v>0</v>
      </c>
      <c r="G2962" s="723">
        <v>88372</v>
      </c>
      <c r="H2962" s="724">
        <v>7000168.7885468947</v>
      </c>
      <c r="I2962" s="724">
        <v>1541459.9005819324</v>
      </c>
      <c r="J2962" s="724">
        <v>0</v>
      </c>
      <c r="K2962" s="724">
        <v>0</v>
      </c>
      <c r="L2962" s="724">
        <v>8541628.6891288273</v>
      </c>
    </row>
    <row r="2963" spans="1:12">
      <c r="A2963" s="722" t="s">
        <v>621</v>
      </c>
      <c r="B2963" s="722">
        <v>502</v>
      </c>
      <c r="C2963" s="723">
        <v>307</v>
      </c>
      <c r="D2963" s="723">
        <v>144</v>
      </c>
      <c r="E2963" s="723">
        <v>0</v>
      </c>
      <c r="F2963" s="723">
        <v>0</v>
      </c>
      <c r="G2963" s="723">
        <v>451</v>
      </c>
      <c r="H2963" s="724">
        <v>29673.199741575954</v>
      </c>
      <c r="I2963" s="724">
        <v>13918.37382015289</v>
      </c>
      <c r="J2963" s="724">
        <v>0</v>
      </c>
      <c r="K2963" s="724">
        <v>0</v>
      </c>
      <c r="L2963" s="724">
        <v>43591.573561728845</v>
      </c>
    </row>
    <row r="2964" spans="1:12">
      <c r="A2964" s="722" t="s">
        <v>621</v>
      </c>
      <c r="B2964" s="722">
        <v>560</v>
      </c>
      <c r="C2964" s="723">
        <v>20865</v>
      </c>
      <c r="D2964" s="723">
        <v>4274</v>
      </c>
      <c r="E2964" s="723">
        <v>0</v>
      </c>
      <c r="F2964" s="723">
        <v>0</v>
      </c>
      <c r="G2964" s="723">
        <v>25139</v>
      </c>
      <c r="H2964" s="724">
        <v>2016714.3733159029</v>
      </c>
      <c r="I2964" s="724">
        <v>413105.06741203781</v>
      </c>
      <c r="J2964" s="724">
        <v>0</v>
      </c>
      <c r="K2964" s="724">
        <v>0</v>
      </c>
      <c r="L2964" s="724">
        <v>2429819.4407279408</v>
      </c>
    </row>
    <row r="2965" spans="1:12">
      <c r="A2965" s="722" t="s">
        <v>621</v>
      </c>
      <c r="B2965" s="722">
        <v>650</v>
      </c>
      <c r="C2965" s="723">
        <v>6</v>
      </c>
      <c r="D2965" s="723">
        <v>6</v>
      </c>
      <c r="E2965" s="723">
        <v>0</v>
      </c>
      <c r="F2965" s="723">
        <v>0</v>
      </c>
      <c r="G2965" s="723">
        <v>12</v>
      </c>
      <c r="H2965" s="724">
        <v>579.93224250637047</v>
      </c>
      <c r="I2965" s="724">
        <v>579.93224250637047</v>
      </c>
      <c r="J2965" s="724">
        <v>0</v>
      </c>
      <c r="K2965" s="724">
        <v>0</v>
      </c>
      <c r="L2965" s="724">
        <v>1159.8644850127409</v>
      </c>
    </row>
    <row r="2966" spans="1:12">
      <c r="A2966" s="722" t="s">
        <v>621</v>
      </c>
      <c r="B2966" s="722">
        <v>800</v>
      </c>
      <c r="C2966" s="723">
        <v>8</v>
      </c>
      <c r="D2966" s="723">
        <v>0</v>
      </c>
      <c r="E2966" s="723">
        <v>0</v>
      </c>
      <c r="F2966" s="723">
        <v>0</v>
      </c>
      <c r="G2966" s="723">
        <v>8</v>
      </c>
      <c r="H2966" s="724">
        <v>773.24299000849396</v>
      </c>
      <c r="I2966" s="724">
        <v>0</v>
      </c>
      <c r="J2966" s="724">
        <v>0</v>
      </c>
      <c r="K2966" s="724">
        <v>0</v>
      </c>
      <c r="L2966" s="724">
        <v>773.24299000849396</v>
      </c>
    </row>
    <row r="2967" spans="1:12">
      <c r="A2967" s="722" t="s">
        <v>621</v>
      </c>
      <c r="B2967" s="722">
        <v>812</v>
      </c>
      <c r="C2967" s="723">
        <v>16555</v>
      </c>
      <c r="D2967" s="723">
        <v>10470</v>
      </c>
      <c r="E2967" s="723">
        <v>0</v>
      </c>
      <c r="F2967" s="723">
        <v>0</v>
      </c>
      <c r="G2967" s="723">
        <v>27025</v>
      </c>
      <c r="H2967" s="724">
        <v>1600129.712448827</v>
      </c>
      <c r="I2967" s="724">
        <v>1011981.7631736164</v>
      </c>
      <c r="J2967" s="724">
        <v>0</v>
      </c>
      <c r="K2967" s="724">
        <v>0</v>
      </c>
      <c r="L2967" s="724">
        <v>2612111.4756224435</v>
      </c>
    </row>
    <row r="2968" spans="1:12">
      <c r="A2968" s="722" t="s">
        <v>648</v>
      </c>
      <c r="B2968" s="722">
        <v>100</v>
      </c>
      <c r="C2968" s="723">
        <v>3</v>
      </c>
      <c r="D2968" s="723">
        <v>10</v>
      </c>
      <c r="E2968" s="723">
        <v>0</v>
      </c>
      <c r="F2968" s="723">
        <v>0</v>
      </c>
      <c r="G2968" s="723">
        <v>13</v>
      </c>
      <c r="H2968" s="724">
        <v>1312.2914038001304</v>
      </c>
      <c r="I2968" s="724">
        <v>4374.3046793337671</v>
      </c>
      <c r="J2968" s="724">
        <v>0</v>
      </c>
      <c r="K2968" s="724">
        <v>0</v>
      </c>
      <c r="L2968" s="724">
        <v>5686.596083133898</v>
      </c>
    </row>
    <row r="2969" spans="1:12">
      <c r="A2969" s="722" t="s">
        <v>648</v>
      </c>
      <c r="B2969" s="722">
        <v>101</v>
      </c>
      <c r="C2969" s="723">
        <v>2</v>
      </c>
      <c r="D2969" s="723">
        <v>5</v>
      </c>
      <c r="E2969" s="723">
        <v>0</v>
      </c>
      <c r="F2969" s="723">
        <v>0</v>
      </c>
      <c r="G2969" s="723">
        <v>7</v>
      </c>
      <c r="H2969" s="724">
        <v>874.86093586675361</v>
      </c>
      <c r="I2969" s="724">
        <v>2187.152339666884</v>
      </c>
      <c r="J2969" s="724">
        <v>0</v>
      </c>
      <c r="K2969" s="724">
        <v>0</v>
      </c>
      <c r="L2969" s="724">
        <v>3062.0132755336376</v>
      </c>
    </row>
    <row r="2970" spans="1:12">
      <c r="A2970" s="722" t="s">
        <v>648</v>
      </c>
      <c r="B2970" s="722">
        <v>103</v>
      </c>
      <c r="C2970" s="723">
        <v>1</v>
      </c>
      <c r="D2970" s="723">
        <v>0</v>
      </c>
      <c r="E2970" s="723">
        <v>0</v>
      </c>
      <c r="F2970" s="723">
        <v>0</v>
      </c>
      <c r="G2970" s="723">
        <v>1</v>
      </c>
      <c r="H2970" s="724">
        <v>437.4304679333768</v>
      </c>
      <c r="I2970" s="724">
        <v>0</v>
      </c>
      <c r="J2970" s="724">
        <v>0</v>
      </c>
      <c r="K2970" s="724">
        <v>0</v>
      </c>
      <c r="L2970" s="724">
        <v>437.4304679333768</v>
      </c>
    </row>
    <row r="2971" spans="1:12">
      <c r="A2971" s="722" t="s">
        <v>648</v>
      </c>
      <c r="B2971" s="722">
        <v>104</v>
      </c>
      <c r="C2971" s="723">
        <v>0</v>
      </c>
      <c r="D2971" s="723">
        <v>1</v>
      </c>
      <c r="E2971" s="723">
        <v>0</v>
      </c>
      <c r="F2971" s="723">
        <v>0</v>
      </c>
      <c r="G2971" s="723">
        <v>1</v>
      </c>
      <c r="H2971" s="724">
        <v>0</v>
      </c>
      <c r="I2971" s="724">
        <v>437.4304679333768</v>
      </c>
      <c r="J2971" s="724">
        <v>0</v>
      </c>
      <c r="K2971" s="724">
        <v>0</v>
      </c>
      <c r="L2971" s="724">
        <v>437.4304679333768</v>
      </c>
    </row>
    <row r="2972" spans="1:12">
      <c r="A2972" s="722" t="s">
        <v>648</v>
      </c>
      <c r="B2972" s="722">
        <v>107</v>
      </c>
      <c r="C2972" s="723">
        <v>2</v>
      </c>
      <c r="D2972" s="723">
        <v>0</v>
      </c>
      <c r="E2972" s="723">
        <v>0</v>
      </c>
      <c r="F2972" s="723">
        <v>0</v>
      </c>
      <c r="G2972" s="723">
        <v>2</v>
      </c>
      <c r="H2972" s="724">
        <v>874.86093586675361</v>
      </c>
      <c r="I2972" s="724">
        <v>0</v>
      </c>
      <c r="J2972" s="724">
        <v>0</v>
      </c>
      <c r="K2972" s="724">
        <v>0</v>
      </c>
      <c r="L2972" s="724">
        <v>874.86093586675361</v>
      </c>
    </row>
    <row r="2973" spans="1:12">
      <c r="A2973" s="722" t="s">
        <v>648</v>
      </c>
      <c r="B2973" s="722">
        <v>110</v>
      </c>
      <c r="C2973" s="723">
        <v>3</v>
      </c>
      <c r="D2973" s="723">
        <v>0</v>
      </c>
      <c r="E2973" s="723">
        <v>0</v>
      </c>
      <c r="F2973" s="723">
        <v>0</v>
      </c>
      <c r="G2973" s="723">
        <v>3</v>
      </c>
      <c r="H2973" s="724">
        <v>1312.2914038001304</v>
      </c>
      <c r="I2973" s="724">
        <v>0</v>
      </c>
      <c r="J2973" s="724">
        <v>0</v>
      </c>
      <c r="K2973" s="724">
        <v>0</v>
      </c>
      <c r="L2973" s="724">
        <v>1312.2914038001304</v>
      </c>
    </row>
    <row r="2974" spans="1:12">
      <c r="A2974" s="722" t="s">
        <v>648</v>
      </c>
      <c r="B2974" s="722">
        <v>120</v>
      </c>
      <c r="C2974" s="723">
        <v>0</v>
      </c>
      <c r="D2974" s="723">
        <v>1</v>
      </c>
      <c r="E2974" s="723">
        <v>0</v>
      </c>
      <c r="F2974" s="723">
        <v>0</v>
      </c>
      <c r="G2974" s="723">
        <v>1</v>
      </c>
      <c r="H2974" s="724">
        <v>0</v>
      </c>
      <c r="I2974" s="724">
        <v>437.4304679333768</v>
      </c>
      <c r="J2974" s="724">
        <v>0</v>
      </c>
      <c r="K2974" s="724">
        <v>0</v>
      </c>
      <c r="L2974" s="724">
        <v>437.4304679333768</v>
      </c>
    </row>
    <row r="2975" spans="1:12">
      <c r="A2975" s="722" t="s">
        <v>648</v>
      </c>
      <c r="B2975" s="722">
        <v>130</v>
      </c>
      <c r="C2975" s="723">
        <v>1</v>
      </c>
      <c r="D2975" s="723">
        <v>1</v>
      </c>
      <c r="E2975" s="723">
        <v>0</v>
      </c>
      <c r="F2975" s="723">
        <v>0</v>
      </c>
      <c r="G2975" s="723">
        <v>2</v>
      </c>
      <c r="H2975" s="724">
        <v>437.4304679333768</v>
      </c>
      <c r="I2975" s="724">
        <v>437.4304679333768</v>
      </c>
      <c r="J2975" s="724">
        <v>0</v>
      </c>
      <c r="K2975" s="724">
        <v>0</v>
      </c>
      <c r="L2975" s="724">
        <v>874.86093586675361</v>
      </c>
    </row>
    <row r="2976" spans="1:12">
      <c r="A2976" s="722" t="s">
        <v>648</v>
      </c>
      <c r="B2976" s="722">
        <v>141</v>
      </c>
      <c r="C2976" s="723">
        <v>4</v>
      </c>
      <c r="D2976" s="723">
        <v>0</v>
      </c>
      <c r="E2976" s="723">
        <v>0</v>
      </c>
      <c r="F2976" s="723">
        <v>0</v>
      </c>
      <c r="G2976" s="723">
        <v>4</v>
      </c>
      <c r="H2976" s="724">
        <v>1749.7218717335072</v>
      </c>
      <c r="I2976" s="724">
        <v>0</v>
      </c>
      <c r="J2976" s="724">
        <v>0</v>
      </c>
      <c r="K2976" s="724">
        <v>0</v>
      </c>
      <c r="L2976" s="724">
        <v>1749.7218717335072</v>
      </c>
    </row>
    <row r="2977" spans="1:12">
      <c r="A2977" s="722" t="s">
        <v>648</v>
      </c>
      <c r="B2977" s="722">
        <v>142</v>
      </c>
      <c r="C2977" s="723">
        <v>1</v>
      </c>
      <c r="D2977" s="723">
        <v>0</v>
      </c>
      <c r="E2977" s="723">
        <v>0</v>
      </c>
      <c r="F2977" s="723">
        <v>0</v>
      </c>
      <c r="G2977" s="723">
        <v>1</v>
      </c>
      <c r="H2977" s="724">
        <v>437.4304679333768</v>
      </c>
      <c r="I2977" s="724">
        <v>0</v>
      </c>
      <c r="J2977" s="724">
        <v>0</v>
      </c>
      <c r="K2977" s="724">
        <v>0</v>
      </c>
      <c r="L2977" s="724">
        <v>437.4304679333768</v>
      </c>
    </row>
    <row r="2978" spans="1:12">
      <c r="A2978" s="722" t="s">
        <v>648</v>
      </c>
      <c r="B2978" s="722">
        <v>160</v>
      </c>
      <c r="C2978" s="723">
        <v>2</v>
      </c>
      <c r="D2978" s="723">
        <v>0</v>
      </c>
      <c r="E2978" s="723">
        <v>0</v>
      </c>
      <c r="F2978" s="723">
        <v>0</v>
      </c>
      <c r="G2978" s="723">
        <v>2</v>
      </c>
      <c r="H2978" s="724">
        <v>874.86093586675361</v>
      </c>
      <c r="I2978" s="724">
        <v>0</v>
      </c>
      <c r="J2978" s="724">
        <v>0</v>
      </c>
      <c r="K2978" s="724">
        <v>0</v>
      </c>
      <c r="L2978" s="724">
        <v>874.86093586675361</v>
      </c>
    </row>
    <row r="2979" spans="1:12">
      <c r="A2979" s="722" t="s">
        <v>648</v>
      </c>
      <c r="B2979" s="722">
        <v>251</v>
      </c>
      <c r="C2979" s="723">
        <v>2</v>
      </c>
      <c r="D2979" s="723">
        <v>0</v>
      </c>
      <c r="E2979" s="723">
        <v>0</v>
      </c>
      <c r="F2979" s="723">
        <v>0</v>
      </c>
      <c r="G2979" s="723">
        <v>2</v>
      </c>
      <c r="H2979" s="724">
        <v>874.86093586675361</v>
      </c>
      <c r="I2979" s="724">
        <v>0</v>
      </c>
      <c r="J2979" s="724">
        <v>0</v>
      </c>
      <c r="K2979" s="724">
        <v>0</v>
      </c>
      <c r="L2979" s="724">
        <v>874.86093586675361</v>
      </c>
    </row>
    <row r="2980" spans="1:12">
      <c r="A2980" s="722" t="s">
        <v>648</v>
      </c>
      <c r="B2980" s="722">
        <v>300</v>
      </c>
      <c r="C2980" s="723">
        <v>2</v>
      </c>
      <c r="D2980" s="723">
        <v>2</v>
      </c>
      <c r="E2980" s="723">
        <v>0</v>
      </c>
      <c r="F2980" s="723">
        <v>0</v>
      </c>
      <c r="G2980" s="723">
        <v>4</v>
      </c>
      <c r="H2980" s="724">
        <v>874.86093586675361</v>
      </c>
      <c r="I2980" s="724">
        <v>874.86093586675361</v>
      </c>
      <c r="J2980" s="724">
        <v>0</v>
      </c>
      <c r="K2980" s="724">
        <v>0</v>
      </c>
      <c r="L2980" s="724">
        <v>1749.7218717335072</v>
      </c>
    </row>
    <row r="2981" spans="1:12">
      <c r="A2981" s="722" t="s">
        <v>648</v>
      </c>
      <c r="B2981" s="722">
        <v>301</v>
      </c>
      <c r="C2981" s="723">
        <v>2</v>
      </c>
      <c r="D2981" s="723">
        <v>4</v>
      </c>
      <c r="E2981" s="723">
        <v>0</v>
      </c>
      <c r="F2981" s="723">
        <v>0</v>
      </c>
      <c r="G2981" s="723">
        <v>6</v>
      </c>
      <c r="H2981" s="724">
        <v>874.86093586675361</v>
      </c>
      <c r="I2981" s="724">
        <v>1749.7218717335072</v>
      </c>
      <c r="J2981" s="724">
        <v>0</v>
      </c>
      <c r="K2981" s="724">
        <v>0</v>
      </c>
      <c r="L2981" s="724">
        <v>2624.5828076002608</v>
      </c>
    </row>
    <row r="2982" spans="1:12">
      <c r="A2982" s="722" t="s">
        <v>648</v>
      </c>
      <c r="B2982" s="722">
        <v>302</v>
      </c>
      <c r="C2982" s="723">
        <v>3</v>
      </c>
      <c r="D2982" s="723">
        <v>0</v>
      </c>
      <c r="E2982" s="723">
        <v>0</v>
      </c>
      <c r="F2982" s="723">
        <v>0</v>
      </c>
      <c r="G2982" s="723">
        <v>3</v>
      </c>
      <c r="H2982" s="724">
        <v>1312.2914038001304</v>
      </c>
      <c r="I2982" s="724">
        <v>0</v>
      </c>
      <c r="J2982" s="724">
        <v>0</v>
      </c>
      <c r="K2982" s="724">
        <v>0</v>
      </c>
      <c r="L2982" s="724">
        <v>1312.2914038001304</v>
      </c>
    </row>
    <row r="2983" spans="1:12">
      <c r="A2983" s="722" t="s">
        <v>648</v>
      </c>
      <c r="B2983" s="722">
        <v>303</v>
      </c>
      <c r="C2983" s="723">
        <v>2</v>
      </c>
      <c r="D2983" s="723">
        <v>0</v>
      </c>
      <c r="E2983" s="723">
        <v>0</v>
      </c>
      <c r="F2983" s="723">
        <v>0</v>
      </c>
      <c r="G2983" s="723">
        <v>2</v>
      </c>
      <c r="H2983" s="724">
        <v>874.86093586675361</v>
      </c>
      <c r="I2983" s="724">
        <v>0</v>
      </c>
      <c r="J2983" s="724">
        <v>0</v>
      </c>
      <c r="K2983" s="724">
        <v>0</v>
      </c>
      <c r="L2983" s="724">
        <v>874.86093586675361</v>
      </c>
    </row>
    <row r="2984" spans="1:12">
      <c r="A2984" s="722" t="s">
        <v>648</v>
      </c>
      <c r="B2984" s="722">
        <v>306</v>
      </c>
      <c r="C2984" s="723">
        <v>0</v>
      </c>
      <c r="D2984" s="723">
        <v>1</v>
      </c>
      <c r="E2984" s="723">
        <v>0</v>
      </c>
      <c r="F2984" s="723">
        <v>0</v>
      </c>
      <c r="G2984" s="723">
        <v>1</v>
      </c>
      <c r="H2984" s="724">
        <v>0</v>
      </c>
      <c r="I2984" s="724">
        <v>437.4304679333768</v>
      </c>
      <c r="J2984" s="724">
        <v>0</v>
      </c>
      <c r="K2984" s="724">
        <v>0</v>
      </c>
      <c r="L2984" s="724">
        <v>437.4304679333768</v>
      </c>
    </row>
    <row r="2985" spans="1:12">
      <c r="A2985" s="722" t="s">
        <v>648</v>
      </c>
      <c r="B2985" s="722">
        <v>320</v>
      </c>
      <c r="C2985" s="723">
        <v>2</v>
      </c>
      <c r="D2985" s="723">
        <v>0</v>
      </c>
      <c r="E2985" s="723">
        <v>0</v>
      </c>
      <c r="F2985" s="723">
        <v>0</v>
      </c>
      <c r="G2985" s="723">
        <v>2</v>
      </c>
      <c r="H2985" s="724">
        <v>874.86093586675361</v>
      </c>
      <c r="I2985" s="724">
        <v>0</v>
      </c>
      <c r="J2985" s="724">
        <v>0</v>
      </c>
      <c r="K2985" s="724">
        <v>0</v>
      </c>
      <c r="L2985" s="724">
        <v>874.86093586675361</v>
      </c>
    </row>
    <row r="2986" spans="1:12">
      <c r="A2986" s="722" t="s">
        <v>648</v>
      </c>
      <c r="B2986" s="722">
        <v>330</v>
      </c>
      <c r="C2986" s="723">
        <v>2</v>
      </c>
      <c r="D2986" s="723">
        <v>1</v>
      </c>
      <c r="E2986" s="723">
        <v>0</v>
      </c>
      <c r="F2986" s="723">
        <v>0</v>
      </c>
      <c r="G2986" s="723">
        <v>3</v>
      </c>
      <c r="H2986" s="724">
        <v>874.86093586675361</v>
      </c>
      <c r="I2986" s="724">
        <v>437.4304679333768</v>
      </c>
      <c r="J2986" s="724">
        <v>0</v>
      </c>
      <c r="K2986" s="724">
        <v>0</v>
      </c>
      <c r="L2986" s="724">
        <v>1312.2914038001304</v>
      </c>
    </row>
    <row r="2987" spans="1:12">
      <c r="A2987" s="722" t="s">
        <v>648</v>
      </c>
      <c r="B2987" s="722">
        <v>340</v>
      </c>
      <c r="C2987" s="723">
        <v>3</v>
      </c>
      <c r="D2987" s="723">
        <v>0</v>
      </c>
      <c r="E2987" s="723">
        <v>0</v>
      </c>
      <c r="F2987" s="723">
        <v>0</v>
      </c>
      <c r="G2987" s="723">
        <v>3</v>
      </c>
      <c r="H2987" s="724">
        <v>1312.2914038001304</v>
      </c>
      <c r="I2987" s="724">
        <v>0</v>
      </c>
      <c r="J2987" s="724">
        <v>0</v>
      </c>
      <c r="K2987" s="724">
        <v>0</v>
      </c>
      <c r="L2987" s="724">
        <v>1312.2914038001304</v>
      </c>
    </row>
    <row r="2988" spans="1:12">
      <c r="A2988" s="722" t="s">
        <v>648</v>
      </c>
      <c r="B2988" s="722">
        <v>350</v>
      </c>
      <c r="C2988" s="723">
        <v>1</v>
      </c>
      <c r="D2988" s="723">
        <v>0</v>
      </c>
      <c r="E2988" s="723">
        <v>0</v>
      </c>
      <c r="F2988" s="723">
        <v>0</v>
      </c>
      <c r="G2988" s="723">
        <v>1</v>
      </c>
      <c r="H2988" s="724">
        <v>437.4304679333768</v>
      </c>
      <c r="I2988" s="724">
        <v>0</v>
      </c>
      <c r="J2988" s="724">
        <v>0</v>
      </c>
      <c r="K2988" s="724">
        <v>0</v>
      </c>
      <c r="L2988" s="724">
        <v>437.4304679333768</v>
      </c>
    </row>
    <row r="2989" spans="1:12">
      <c r="A2989" s="722" t="s">
        <v>648</v>
      </c>
      <c r="B2989" s="722">
        <v>361</v>
      </c>
      <c r="C2989" s="723">
        <v>0</v>
      </c>
      <c r="D2989" s="723">
        <v>1</v>
      </c>
      <c r="E2989" s="723">
        <v>0</v>
      </c>
      <c r="F2989" s="723">
        <v>0</v>
      </c>
      <c r="G2989" s="723">
        <v>1</v>
      </c>
      <c r="H2989" s="724">
        <v>0</v>
      </c>
      <c r="I2989" s="724">
        <v>437.4304679333768</v>
      </c>
      <c r="J2989" s="724">
        <v>0</v>
      </c>
      <c r="K2989" s="724">
        <v>0</v>
      </c>
      <c r="L2989" s="724">
        <v>437.4304679333768</v>
      </c>
    </row>
    <row r="2990" spans="1:12">
      <c r="A2990" s="722" t="s">
        <v>648</v>
      </c>
      <c r="B2990" s="722">
        <v>400</v>
      </c>
      <c r="C2990" s="723">
        <v>2</v>
      </c>
      <c r="D2990" s="723">
        <v>1</v>
      </c>
      <c r="E2990" s="723">
        <v>0</v>
      </c>
      <c r="F2990" s="723">
        <v>0</v>
      </c>
      <c r="G2990" s="723">
        <v>3</v>
      </c>
      <c r="H2990" s="724">
        <v>874.86093586675361</v>
      </c>
      <c r="I2990" s="724">
        <v>437.4304679333768</v>
      </c>
      <c r="J2990" s="724">
        <v>0</v>
      </c>
      <c r="K2990" s="724">
        <v>0</v>
      </c>
      <c r="L2990" s="724">
        <v>1312.2914038001304</v>
      </c>
    </row>
    <row r="2991" spans="1:12">
      <c r="A2991" s="722" t="s">
        <v>648</v>
      </c>
      <c r="B2991" s="722">
        <v>410</v>
      </c>
      <c r="C2991" s="723">
        <v>2</v>
      </c>
      <c r="D2991" s="723">
        <v>0</v>
      </c>
      <c r="E2991" s="723">
        <v>0</v>
      </c>
      <c r="F2991" s="723">
        <v>0</v>
      </c>
      <c r="G2991" s="723">
        <v>2</v>
      </c>
      <c r="H2991" s="724">
        <v>874.86093586675361</v>
      </c>
      <c r="I2991" s="724">
        <v>0</v>
      </c>
      <c r="J2991" s="724">
        <v>0</v>
      </c>
      <c r="K2991" s="724">
        <v>0</v>
      </c>
      <c r="L2991" s="724">
        <v>874.86093586675361</v>
      </c>
    </row>
    <row r="2992" spans="1:12">
      <c r="A2992" s="722" t="s">
        <v>648</v>
      </c>
      <c r="B2992" s="722">
        <v>420</v>
      </c>
      <c r="C2992" s="723">
        <v>1</v>
      </c>
      <c r="D2992" s="723">
        <v>1</v>
      </c>
      <c r="E2992" s="723">
        <v>0</v>
      </c>
      <c r="F2992" s="723">
        <v>0</v>
      </c>
      <c r="G2992" s="723">
        <v>2</v>
      </c>
      <c r="H2992" s="724">
        <v>437.4304679333768</v>
      </c>
      <c r="I2992" s="724">
        <v>437.4304679333768</v>
      </c>
      <c r="J2992" s="724">
        <v>0</v>
      </c>
      <c r="K2992" s="724">
        <v>0</v>
      </c>
      <c r="L2992" s="724">
        <v>874.86093586675361</v>
      </c>
    </row>
    <row r="2993" spans="1:12">
      <c r="A2993" s="722" t="s">
        <v>648</v>
      </c>
      <c r="B2993" s="722">
        <v>501</v>
      </c>
      <c r="C2993" s="723">
        <v>1927</v>
      </c>
      <c r="D2993" s="723">
        <v>2743</v>
      </c>
      <c r="E2993" s="723">
        <v>0</v>
      </c>
      <c r="F2993" s="723">
        <v>0</v>
      </c>
      <c r="G2993" s="723">
        <v>4670</v>
      </c>
      <c r="H2993" s="724">
        <v>842928.51170761697</v>
      </c>
      <c r="I2993" s="724">
        <v>1199871.7735412524</v>
      </c>
      <c r="J2993" s="724">
        <v>0</v>
      </c>
      <c r="K2993" s="724">
        <v>0</v>
      </c>
      <c r="L2993" s="724">
        <v>2042800.2852488696</v>
      </c>
    </row>
    <row r="2994" spans="1:12">
      <c r="A2994" s="722" t="s">
        <v>648</v>
      </c>
      <c r="B2994" s="722">
        <v>502</v>
      </c>
      <c r="C2994" s="723">
        <v>29</v>
      </c>
      <c r="D2994" s="723">
        <v>115</v>
      </c>
      <c r="E2994" s="723">
        <v>0</v>
      </c>
      <c r="F2994" s="723">
        <v>0</v>
      </c>
      <c r="G2994" s="723">
        <v>144</v>
      </c>
      <c r="H2994" s="724">
        <v>12685.483570067927</v>
      </c>
      <c r="I2994" s="724">
        <v>50304.503812338335</v>
      </c>
      <c r="J2994" s="724">
        <v>0</v>
      </c>
      <c r="K2994" s="724">
        <v>0</v>
      </c>
      <c r="L2994" s="724">
        <v>62989.98738240626</v>
      </c>
    </row>
    <row r="2995" spans="1:12">
      <c r="A2995" s="722" t="s">
        <v>648</v>
      </c>
      <c r="B2995" s="722">
        <v>560</v>
      </c>
      <c r="C2995" s="723">
        <v>234</v>
      </c>
      <c r="D2995" s="723">
        <v>38</v>
      </c>
      <c r="E2995" s="723">
        <v>0</v>
      </c>
      <c r="F2995" s="723">
        <v>0</v>
      </c>
      <c r="G2995" s="723">
        <v>272</v>
      </c>
      <c r="H2995" s="724">
        <v>102358.72949641017</v>
      </c>
      <c r="I2995" s="724">
        <v>16622.357781468319</v>
      </c>
      <c r="J2995" s="724">
        <v>0</v>
      </c>
      <c r="K2995" s="724">
        <v>0</v>
      </c>
      <c r="L2995" s="724">
        <v>118981.08727787848</v>
      </c>
    </row>
    <row r="2996" spans="1:12">
      <c r="A2996" s="722" t="s">
        <v>648</v>
      </c>
      <c r="B2996" s="722">
        <v>800</v>
      </c>
      <c r="C2996" s="723">
        <v>1</v>
      </c>
      <c r="D2996" s="723">
        <v>0</v>
      </c>
      <c r="E2996" s="723">
        <v>0</v>
      </c>
      <c r="F2996" s="723">
        <v>0</v>
      </c>
      <c r="G2996" s="723">
        <v>1</v>
      </c>
      <c r="H2996" s="724">
        <v>437.4304679333768</v>
      </c>
      <c r="I2996" s="724">
        <v>0</v>
      </c>
      <c r="J2996" s="724">
        <v>0</v>
      </c>
      <c r="K2996" s="724">
        <v>0</v>
      </c>
      <c r="L2996" s="724">
        <v>437.4304679333768</v>
      </c>
    </row>
    <row r="2997" spans="1:12">
      <c r="A2997" s="722" t="s">
        <v>648</v>
      </c>
      <c r="B2997" s="722">
        <v>812</v>
      </c>
      <c r="C2997" s="723">
        <v>17</v>
      </c>
      <c r="D2997" s="723">
        <v>36</v>
      </c>
      <c r="E2997" s="723">
        <v>0</v>
      </c>
      <c r="F2997" s="723">
        <v>0</v>
      </c>
      <c r="G2997" s="723">
        <v>53</v>
      </c>
      <c r="H2997" s="724">
        <v>7436.3179548674052</v>
      </c>
      <c r="I2997" s="724">
        <v>15747.496845601563</v>
      </c>
      <c r="J2997" s="724">
        <v>0</v>
      </c>
      <c r="K2997" s="724">
        <v>0</v>
      </c>
      <c r="L2997" s="724">
        <v>23183.814800468968</v>
      </c>
    </row>
    <row r="2998" spans="1:12">
      <c r="A2998" s="722" t="s">
        <v>596</v>
      </c>
      <c r="B2998" s="722">
        <v>100</v>
      </c>
      <c r="C2998" s="723">
        <v>1</v>
      </c>
      <c r="D2998" s="723">
        <v>0</v>
      </c>
      <c r="E2998" s="723">
        <v>0</v>
      </c>
      <c r="F2998" s="723">
        <v>0</v>
      </c>
      <c r="G2998" s="723">
        <v>1</v>
      </c>
      <c r="H2998" s="724">
        <v>84.855610107432085</v>
      </c>
      <c r="I2998" s="724">
        <v>0</v>
      </c>
      <c r="J2998" s="724">
        <v>0</v>
      </c>
      <c r="K2998" s="724">
        <v>0</v>
      </c>
      <c r="L2998" s="724">
        <v>84.855610107432085</v>
      </c>
    </row>
    <row r="2999" spans="1:12">
      <c r="A2999" s="722" t="s">
        <v>596</v>
      </c>
      <c r="B2999" s="722">
        <v>104</v>
      </c>
      <c r="C2999" s="723">
        <v>0</v>
      </c>
      <c r="D2999" s="723">
        <v>2</v>
      </c>
      <c r="E2999" s="723">
        <v>0</v>
      </c>
      <c r="F2999" s="723">
        <v>0</v>
      </c>
      <c r="G2999" s="723">
        <v>2</v>
      </c>
      <c r="H2999" s="724">
        <v>0</v>
      </c>
      <c r="I2999" s="724">
        <v>169.71122021486417</v>
      </c>
      <c r="J2999" s="724">
        <v>0</v>
      </c>
      <c r="K2999" s="724">
        <v>0</v>
      </c>
      <c r="L2999" s="724">
        <v>169.71122021486417</v>
      </c>
    </row>
    <row r="3000" spans="1:12">
      <c r="A3000" s="722" t="s">
        <v>596</v>
      </c>
      <c r="B3000" s="722">
        <v>130</v>
      </c>
      <c r="C3000" s="723">
        <v>1</v>
      </c>
      <c r="D3000" s="723">
        <v>0</v>
      </c>
      <c r="E3000" s="723">
        <v>0</v>
      </c>
      <c r="F3000" s="723">
        <v>0</v>
      </c>
      <c r="G3000" s="723">
        <v>1</v>
      </c>
      <c r="H3000" s="724">
        <v>84.855610107432085</v>
      </c>
      <c r="I3000" s="724">
        <v>0</v>
      </c>
      <c r="J3000" s="724">
        <v>0</v>
      </c>
      <c r="K3000" s="724">
        <v>0</v>
      </c>
      <c r="L3000" s="724">
        <v>84.855610107432085</v>
      </c>
    </row>
    <row r="3001" spans="1:12">
      <c r="A3001" s="722" t="s">
        <v>596</v>
      </c>
      <c r="B3001" s="722">
        <v>140</v>
      </c>
      <c r="C3001" s="723">
        <v>1</v>
      </c>
      <c r="D3001" s="723">
        <v>0</v>
      </c>
      <c r="E3001" s="723">
        <v>0</v>
      </c>
      <c r="F3001" s="723">
        <v>0</v>
      </c>
      <c r="G3001" s="723">
        <v>1</v>
      </c>
      <c r="H3001" s="724">
        <v>84.855610107432085</v>
      </c>
      <c r="I3001" s="724">
        <v>0</v>
      </c>
      <c r="J3001" s="724">
        <v>0</v>
      </c>
      <c r="K3001" s="724">
        <v>0</v>
      </c>
      <c r="L3001" s="724">
        <v>84.855610107432085</v>
      </c>
    </row>
    <row r="3002" spans="1:12">
      <c r="A3002" s="722" t="s">
        <v>596</v>
      </c>
      <c r="B3002" s="722">
        <v>143</v>
      </c>
      <c r="C3002" s="723">
        <v>3</v>
      </c>
      <c r="D3002" s="723">
        <v>0</v>
      </c>
      <c r="E3002" s="723">
        <v>0</v>
      </c>
      <c r="F3002" s="723">
        <v>0</v>
      </c>
      <c r="G3002" s="723">
        <v>3</v>
      </c>
      <c r="H3002" s="724">
        <v>254.56683032229623</v>
      </c>
      <c r="I3002" s="724">
        <v>0</v>
      </c>
      <c r="J3002" s="724">
        <v>0</v>
      </c>
      <c r="K3002" s="724">
        <v>0</v>
      </c>
      <c r="L3002" s="724">
        <v>254.56683032229623</v>
      </c>
    </row>
    <row r="3003" spans="1:12">
      <c r="A3003" s="722" t="s">
        <v>596</v>
      </c>
      <c r="B3003" s="722">
        <v>150</v>
      </c>
      <c r="C3003" s="723">
        <v>0</v>
      </c>
      <c r="D3003" s="723">
        <v>1</v>
      </c>
      <c r="E3003" s="723">
        <v>0</v>
      </c>
      <c r="F3003" s="723">
        <v>0</v>
      </c>
      <c r="G3003" s="723">
        <v>1</v>
      </c>
      <c r="H3003" s="724">
        <v>0</v>
      </c>
      <c r="I3003" s="724">
        <v>84.855610107432085</v>
      </c>
      <c r="J3003" s="724">
        <v>0</v>
      </c>
      <c r="K3003" s="724">
        <v>0</v>
      </c>
      <c r="L3003" s="724">
        <v>84.855610107432085</v>
      </c>
    </row>
    <row r="3004" spans="1:12">
      <c r="A3004" s="722" t="s">
        <v>596</v>
      </c>
      <c r="B3004" s="722">
        <v>192</v>
      </c>
      <c r="C3004" s="723">
        <v>1</v>
      </c>
      <c r="D3004" s="723">
        <v>0</v>
      </c>
      <c r="E3004" s="723">
        <v>0</v>
      </c>
      <c r="F3004" s="723">
        <v>0</v>
      </c>
      <c r="G3004" s="723">
        <v>1</v>
      </c>
      <c r="H3004" s="724">
        <v>84.855610107432085</v>
      </c>
      <c r="I3004" s="724">
        <v>0</v>
      </c>
      <c r="J3004" s="724">
        <v>0</v>
      </c>
      <c r="K3004" s="724">
        <v>0</v>
      </c>
      <c r="L3004" s="724">
        <v>84.855610107432085</v>
      </c>
    </row>
    <row r="3005" spans="1:12">
      <c r="A3005" s="722" t="s">
        <v>596</v>
      </c>
      <c r="B3005" s="722">
        <v>290</v>
      </c>
      <c r="C3005" s="723">
        <v>1</v>
      </c>
      <c r="D3005" s="723">
        <v>0</v>
      </c>
      <c r="E3005" s="723">
        <v>0</v>
      </c>
      <c r="F3005" s="723">
        <v>0</v>
      </c>
      <c r="G3005" s="723">
        <v>1</v>
      </c>
      <c r="H3005" s="724">
        <v>84.855610107432085</v>
      </c>
      <c r="I3005" s="724">
        <v>0</v>
      </c>
      <c r="J3005" s="724">
        <v>0</v>
      </c>
      <c r="K3005" s="724">
        <v>0</v>
      </c>
      <c r="L3005" s="724">
        <v>84.855610107432085</v>
      </c>
    </row>
    <row r="3006" spans="1:12">
      <c r="A3006" s="722" t="s">
        <v>596</v>
      </c>
      <c r="B3006" s="722">
        <v>307</v>
      </c>
      <c r="C3006" s="723">
        <v>1</v>
      </c>
      <c r="D3006" s="723">
        <v>0</v>
      </c>
      <c r="E3006" s="723">
        <v>0</v>
      </c>
      <c r="F3006" s="723">
        <v>0</v>
      </c>
      <c r="G3006" s="723">
        <v>1</v>
      </c>
      <c r="H3006" s="724">
        <v>84.855610107432085</v>
      </c>
      <c r="I3006" s="724">
        <v>0</v>
      </c>
      <c r="J3006" s="724">
        <v>0</v>
      </c>
      <c r="K3006" s="724">
        <v>0</v>
      </c>
      <c r="L3006" s="724">
        <v>84.855610107432085</v>
      </c>
    </row>
    <row r="3007" spans="1:12">
      <c r="A3007" s="722" t="s">
        <v>596</v>
      </c>
      <c r="B3007" s="722">
        <v>330</v>
      </c>
      <c r="C3007" s="723">
        <v>1</v>
      </c>
      <c r="D3007" s="723">
        <v>0</v>
      </c>
      <c r="E3007" s="723">
        <v>0</v>
      </c>
      <c r="F3007" s="723">
        <v>0</v>
      </c>
      <c r="G3007" s="723">
        <v>1</v>
      </c>
      <c r="H3007" s="724">
        <v>84.855610107432085</v>
      </c>
      <c r="I3007" s="724">
        <v>0</v>
      </c>
      <c r="J3007" s="724">
        <v>0</v>
      </c>
      <c r="K3007" s="724">
        <v>0</v>
      </c>
      <c r="L3007" s="724">
        <v>84.855610107432085</v>
      </c>
    </row>
    <row r="3008" spans="1:12">
      <c r="A3008" s="722" t="s">
        <v>596</v>
      </c>
      <c r="B3008" s="722">
        <v>501</v>
      </c>
      <c r="C3008" s="723">
        <v>1391</v>
      </c>
      <c r="D3008" s="723">
        <v>285</v>
      </c>
      <c r="E3008" s="723">
        <v>0</v>
      </c>
      <c r="F3008" s="723">
        <v>0</v>
      </c>
      <c r="G3008" s="723">
        <v>1676</v>
      </c>
      <c r="H3008" s="724">
        <v>118034.15365943802</v>
      </c>
      <c r="I3008" s="724">
        <v>24183.848880618138</v>
      </c>
      <c r="J3008" s="724">
        <v>0</v>
      </c>
      <c r="K3008" s="724">
        <v>0</v>
      </c>
      <c r="L3008" s="724">
        <v>142218.00254005616</v>
      </c>
    </row>
    <row r="3009" spans="1:12">
      <c r="A3009" s="722" t="s">
        <v>596</v>
      </c>
      <c r="B3009" s="722">
        <v>502</v>
      </c>
      <c r="C3009" s="723">
        <v>23</v>
      </c>
      <c r="D3009" s="723">
        <v>73</v>
      </c>
      <c r="E3009" s="723">
        <v>0</v>
      </c>
      <c r="F3009" s="723">
        <v>0</v>
      </c>
      <c r="G3009" s="723">
        <v>96</v>
      </c>
      <c r="H3009" s="724">
        <v>1951.679032470938</v>
      </c>
      <c r="I3009" s="724">
        <v>6194.4595378425411</v>
      </c>
      <c r="J3009" s="724">
        <v>0</v>
      </c>
      <c r="K3009" s="724">
        <v>0</v>
      </c>
      <c r="L3009" s="724">
        <v>8146.1385703134792</v>
      </c>
    </row>
    <row r="3010" spans="1:12">
      <c r="A3010" s="722" t="s">
        <v>596</v>
      </c>
      <c r="B3010" s="722">
        <v>560</v>
      </c>
      <c r="C3010" s="723">
        <v>903</v>
      </c>
      <c r="D3010" s="723">
        <v>408</v>
      </c>
      <c r="E3010" s="723">
        <v>0</v>
      </c>
      <c r="F3010" s="723">
        <v>0</v>
      </c>
      <c r="G3010" s="723">
        <v>1311</v>
      </c>
      <c r="H3010" s="724">
        <v>76624.615927011168</v>
      </c>
      <c r="I3010" s="724">
        <v>34621.088923832285</v>
      </c>
      <c r="J3010" s="724">
        <v>0</v>
      </c>
      <c r="K3010" s="724">
        <v>0</v>
      </c>
      <c r="L3010" s="724">
        <v>111245.70485084345</v>
      </c>
    </row>
    <row r="3011" spans="1:12">
      <c r="A3011" s="722" t="s">
        <v>596</v>
      </c>
      <c r="B3011" s="722">
        <v>650</v>
      </c>
      <c r="C3011" s="723">
        <v>1</v>
      </c>
      <c r="D3011" s="723">
        <v>0</v>
      </c>
      <c r="E3011" s="723">
        <v>0</v>
      </c>
      <c r="F3011" s="723">
        <v>0</v>
      </c>
      <c r="G3011" s="723">
        <v>1</v>
      </c>
      <c r="H3011" s="724">
        <v>84.855610107432085</v>
      </c>
      <c r="I3011" s="724">
        <v>0</v>
      </c>
      <c r="J3011" s="724">
        <v>0</v>
      </c>
      <c r="K3011" s="724">
        <v>0</v>
      </c>
      <c r="L3011" s="724">
        <v>84.855610107432085</v>
      </c>
    </row>
    <row r="3012" spans="1:12">
      <c r="A3012" s="722" t="s">
        <v>596</v>
      </c>
      <c r="B3012" s="722">
        <v>800</v>
      </c>
      <c r="C3012" s="723">
        <v>1</v>
      </c>
      <c r="D3012" s="723">
        <v>0</v>
      </c>
      <c r="E3012" s="723">
        <v>0</v>
      </c>
      <c r="F3012" s="723">
        <v>0</v>
      </c>
      <c r="G3012" s="723">
        <v>1</v>
      </c>
      <c r="H3012" s="724">
        <v>84.855610107432085</v>
      </c>
      <c r="I3012" s="724">
        <v>0</v>
      </c>
      <c r="J3012" s="724">
        <v>0</v>
      </c>
      <c r="K3012" s="724">
        <v>0</v>
      </c>
      <c r="L3012" s="724">
        <v>84.855610107432085</v>
      </c>
    </row>
    <row r="3013" spans="1:12">
      <c r="A3013" s="722" t="s">
        <v>596</v>
      </c>
      <c r="B3013" s="722">
        <v>812</v>
      </c>
      <c r="C3013" s="723">
        <v>1</v>
      </c>
      <c r="D3013" s="723">
        <v>0</v>
      </c>
      <c r="E3013" s="723">
        <v>0</v>
      </c>
      <c r="F3013" s="723">
        <v>0</v>
      </c>
      <c r="G3013" s="723">
        <v>1</v>
      </c>
      <c r="H3013" s="724">
        <v>84.855610107432085</v>
      </c>
      <c r="I3013" s="724">
        <v>0</v>
      </c>
      <c r="J3013" s="724">
        <v>0</v>
      </c>
      <c r="K3013" s="724">
        <v>0</v>
      </c>
      <c r="L3013" s="724">
        <v>84.855610107432085</v>
      </c>
    </row>
    <row r="3014" spans="1:12">
      <c r="A3014" s="722" t="s">
        <v>661</v>
      </c>
      <c r="B3014" s="722">
        <v>110</v>
      </c>
      <c r="C3014" s="723">
        <v>1</v>
      </c>
      <c r="D3014" s="723">
        <v>1</v>
      </c>
      <c r="E3014" s="723">
        <v>0</v>
      </c>
      <c r="F3014" s="723">
        <v>0</v>
      </c>
      <c r="G3014" s="723">
        <v>2</v>
      </c>
      <c r="H3014" s="724">
        <v>87.663118815999994</v>
      </c>
      <c r="I3014" s="724">
        <v>87.663118815999994</v>
      </c>
      <c r="J3014" s="724">
        <v>0</v>
      </c>
      <c r="K3014" s="724">
        <v>0</v>
      </c>
      <c r="L3014" s="724">
        <v>175.32623763199999</v>
      </c>
    </row>
    <row r="3015" spans="1:12">
      <c r="A3015" s="722" t="s">
        <v>661</v>
      </c>
      <c r="B3015" s="722">
        <v>300</v>
      </c>
      <c r="C3015" s="723">
        <v>0</v>
      </c>
      <c r="D3015" s="723">
        <v>8</v>
      </c>
      <c r="E3015" s="723">
        <v>0</v>
      </c>
      <c r="F3015" s="723">
        <v>0</v>
      </c>
      <c r="G3015" s="723">
        <v>8</v>
      </c>
      <c r="H3015" s="724">
        <v>0</v>
      </c>
      <c r="I3015" s="724">
        <v>701.30495052799995</v>
      </c>
      <c r="J3015" s="724">
        <v>0</v>
      </c>
      <c r="K3015" s="724">
        <v>0</v>
      </c>
      <c r="L3015" s="724">
        <v>701.30495052799995</v>
      </c>
    </row>
    <row r="3016" spans="1:12">
      <c r="A3016" s="722" t="s">
        <v>661</v>
      </c>
      <c r="B3016" s="722">
        <v>350</v>
      </c>
      <c r="C3016" s="723">
        <v>1</v>
      </c>
      <c r="D3016" s="723">
        <v>0</v>
      </c>
      <c r="E3016" s="723">
        <v>0</v>
      </c>
      <c r="F3016" s="723">
        <v>0</v>
      </c>
      <c r="G3016" s="723">
        <v>1</v>
      </c>
      <c r="H3016" s="724">
        <v>87.663118815999994</v>
      </c>
      <c r="I3016" s="724">
        <v>0</v>
      </c>
      <c r="J3016" s="724">
        <v>0</v>
      </c>
      <c r="K3016" s="724">
        <v>0</v>
      </c>
      <c r="L3016" s="724">
        <v>87.663118815999994</v>
      </c>
    </row>
    <row r="3017" spans="1:12">
      <c r="A3017" s="722" t="s">
        <v>661</v>
      </c>
      <c r="B3017" s="722">
        <v>410</v>
      </c>
      <c r="C3017" s="723">
        <v>11</v>
      </c>
      <c r="D3017" s="723">
        <v>14</v>
      </c>
      <c r="E3017" s="723">
        <v>0</v>
      </c>
      <c r="F3017" s="723">
        <v>0</v>
      </c>
      <c r="G3017" s="723">
        <v>25</v>
      </c>
      <c r="H3017" s="724">
        <v>964.29430697600003</v>
      </c>
      <c r="I3017" s="724">
        <v>1227.2836634240002</v>
      </c>
      <c r="J3017" s="724">
        <v>0</v>
      </c>
      <c r="K3017" s="724">
        <v>0</v>
      </c>
      <c r="L3017" s="724">
        <v>2191.5779704000001</v>
      </c>
    </row>
    <row r="3018" spans="1:12">
      <c r="A3018" s="722" t="s">
        <v>661</v>
      </c>
      <c r="B3018" s="722">
        <v>501</v>
      </c>
      <c r="C3018" s="723">
        <v>802</v>
      </c>
      <c r="D3018" s="723">
        <v>186</v>
      </c>
      <c r="E3018" s="723">
        <v>0</v>
      </c>
      <c r="F3018" s="723">
        <v>0</v>
      </c>
      <c r="G3018" s="723">
        <v>988</v>
      </c>
      <c r="H3018" s="724">
        <v>70305.82129043201</v>
      </c>
      <c r="I3018" s="724">
        <v>16305.340099776</v>
      </c>
      <c r="J3018" s="724">
        <v>0</v>
      </c>
      <c r="K3018" s="724">
        <v>0</v>
      </c>
      <c r="L3018" s="724">
        <v>86611.161390207999</v>
      </c>
    </row>
    <row r="3019" spans="1:12">
      <c r="A3019" s="722" t="s">
        <v>661</v>
      </c>
      <c r="B3019" s="722">
        <v>502</v>
      </c>
      <c r="C3019" s="723">
        <v>21</v>
      </c>
      <c r="D3019" s="723">
        <v>28</v>
      </c>
      <c r="E3019" s="723">
        <v>0</v>
      </c>
      <c r="F3019" s="723">
        <v>0</v>
      </c>
      <c r="G3019" s="723">
        <v>49</v>
      </c>
      <c r="H3019" s="724">
        <v>1840.9254951359999</v>
      </c>
      <c r="I3019" s="724">
        <v>2454.567326848</v>
      </c>
      <c r="J3019" s="724">
        <v>0</v>
      </c>
      <c r="K3019" s="724">
        <v>0</v>
      </c>
      <c r="L3019" s="724">
        <v>4295.4928219840003</v>
      </c>
    </row>
    <row r="3020" spans="1:12">
      <c r="A3020" s="722" t="s">
        <v>661</v>
      </c>
      <c r="B3020" s="722">
        <v>560</v>
      </c>
      <c r="C3020" s="723">
        <v>214</v>
      </c>
      <c r="D3020" s="723">
        <v>142</v>
      </c>
      <c r="E3020" s="723">
        <v>0</v>
      </c>
      <c r="F3020" s="723">
        <v>0</v>
      </c>
      <c r="G3020" s="723">
        <v>356</v>
      </c>
      <c r="H3020" s="724">
        <v>18759.907426624002</v>
      </c>
      <c r="I3020" s="724">
        <v>12448.162871871999</v>
      </c>
      <c r="J3020" s="724">
        <v>0</v>
      </c>
      <c r="K3020" s="724">
        <v>0</v>
      </c>
      <c r="L3020" s="724">
        <v>31208.070298496001</v>
      </c>
    </row>
    <row r="3021" spans="1:12">
      <c r="A3021" s="722" t="s">
        <v>661</v>
      </c>
      <c r="B3021" s="722">
        <v>812</v>
      </c>
      <c r="C3021" s="723">
        <v>5</v>
      </c>
      <c r="D3021" s="723">
        <v>0</v>
      </c>
      <c r="E3021" s="723">
        <v>0</v>
      </c>
      <c r="F3021" s="723">
        <v>0</v>
      </c>
      <c r="G3021" s="723">
        <v>5</v>
      </c>
      <c r="H3021" s="724">
        <v>438.31559407999993</v>
      </c>
      <c r="I3021" s="724">
        <v>0</v>
      </c>
      <c r="J3021" s="724">
        <v>0</v>
      </c>
      <c r="K3021" s="724">
        <v>0</v>
      </c>
      <c r="L3021" s="724">
        <v>438.31559407999998</v>
      </c>
    </row>
    <row r="3022" spans="1:12">
      <c r="A3022" s="722" t="s">
        <v>347</v>
      </c>
      <c r="B3022" s="722">
        <v>103</v>
      </c>
      <c r="C3022" s="723">
        <v>0</v>
      </c>
      <c r="D3022" s="723">
        <v>1</v>
      </c>
      <c r="E3022" s="723">
        <v>0</v>
      </c>
      <c r="F3022" s="723">
        <v>0</v>
      </c>
      <c r="G3022" s="723">
        <v>1</v>
      </c>
      <c r="H3022" s="724">
        <v>0</v>
      </c>
      <c r="I3022" s="724">
        <v>53.495945235665594</v>
      </c>
      <c r="J3022" s="724">
        <v>0</v>
      </c>
      <c r="K3022" s="724">
        <v>0</v>
      </c>
      <c r="L3022" s="724">
        <v>53.495945235665594</v>
      </c>
    </row>
    <row r="3023" spans="1:12">
      <c r="A3023" s="722" t="s">
        <v>347</v>
      </c>
      <c r="B3023" s="722">
        <v>107</v>
      </c>
      <c r="C3023" s="723">
        <v>1</v>
      </c>
      <c r="D3023" s="723">
        <v>1</v>
      </c>
      <c r="E3023" s="723">
        <v>0</v>
      </c>
      <c r="F3023" s="723">
        <v>0</v>
      </c>
      <c r="G3023" s="723">
        <v>2</v>
      </c>
      <c r="H3023" s="724">
        <v>53.495945235665594</v>
      </c>
      <c r="I3023" s="724">
        <v>53.495945235665594</v>
      </c>
      <c r="J3023" s="724">
        <v>0</v>
      </c>
      <c r="K3023" s="724">
        <v>0</v>
      </c>
      <c r="L3023" s="724">
        <v>106.99189047133119</v>
      </c>
    </row>
    <row r="3024" spans="1:12">
      <c r="A3024" s="722" t="s">
        <v>347</v>
      </c>
      <c r="B3024" s="722">
        <v>120</v>
      </c>
      <c r="C3024" s="723">
        <v>19</v>
      </c>
      <c r="D3024" s="723">
        <v>17</v>
      </c>
      <c r="E3024" s="723">
        <v>0</v>
      </c>
      <c r="F3024" s="723">
        <v>0</v>
      </c>
      <c r="G3024" s="723">
        <v>36</v>
      </c>
      <c r="H3024" s="724">
        <v>1016.4229594776464</v>
      </c>
      <c r="I3024" s="724">
        <v>909.43106900631517</v>
      </c>
      <c r="J3024" s="724">
        <v>0</v>
      </c>
      <c r="K3024" s="724">
        <v>0</v>
      </c>
      <c r="L3024" s="724">
        <v>1925.8540284839614</v>
      </c>
    </row>
    <row r="3025" spans="1:12">
      <c r="A3025" s="722" t="s">
        <v>347</v>
      </c>
      <c r="B3025" s="722">
        <v>221</v>
      </c>
      <c r="C3025" s="723">
        <v>4</v>
      </c>
      <c r="D3025" s="723">
        <v>0</v>
      </c>
      <c r="E3025" s="723">
        <v>0</v>
      </c>
      <c r="F3025" s="723">
        <v>0</v>
      </c>
      <c r="G3025" s="723">
        <v>4</v>
      </c>
      <c r="H3025" s="724">
        <v>213.98378094266238</v>
      </c>
      <c r="I3025" s="724">
        <v>0</v>
      </c>
      <c r="J3025" s="724">
        <v>0</v>
      </c>
      <c r="K3025" s="724">
        <v>0</v>
      </c>
      <c r="L3025" s="724">
        <v>213.98378094266238</v>
      </c>
    </row>
    <row r="3026" spans="1:12">
      <c r="A3026" s="722" t="s">
        <v>347</v>
      </c>
      <c r="B3026" s="722">
        <v>262</v>
      </c>
      <c r="C3026" s="723">
        <v>1</v>
      </c>
      <c r="D3026" s="723">
        <v>0</v>
      </c>
      <c r="E3026" s="723">
        <v>0</v>
      </c>
      <c r="F3026" s="723">
        <v>0</v>
      </c>
      <c r="G3026" s="723">
        <v>1</v>
      </c>
      <c r="H3026" s="724">
        <v>53.495945235665594</v>
      </c>
      <c r="I3026" s="724">
        <v>0</v>
      </c>
      <c r="J3026" s="724">
        <v>0</v>
      </c>
      <c r="K3026" s="724">
        <v>0</v>
      </c>
      <c r="L3026" s="724">
        <v>53.495945235665594</v>
      </c>
    </row>
    <row r="3027" spans="1:12">
      <c r="A3027" s="722" t="s">
        <v>347</v>
      </c>
      <c r="B3027" s="722">
        <v>300</v>
      </c>
      <c r="C3027" s="723">
        <v>8</v>
      </c>
      <c r="D3027" s="723">
        <v>0</v>
      </c>
      <c r="E3027" s="723">
        <v>0</v>
      </c>
      <c r="F3027" s="723">
        <v>0</v>
      </c>
      <c r="G3027" s="723">
        <v>8</v>
      </c>
      <c r="H3027" s="724">
        <v>427.96756188532476</v>
      </c>
      <c r="I3027" s="724">
        <v>0</v>
      </c>
      <c r="J3027" s="724">
        <v>0</v>
      </c>
      <c r="K3027" s="724">
        <v>0</v>
      </c>
      <c r="L3027" s="724">
        <v>427.96756188532476</v>
      </c>
    </row>
    <row r="3028" spans="1:12">
      <c r="A3028" s="722" t="s">
        <v>347</v>
      </c>
      <c r="B3028" s="722">
        <v>303</v>
      </c>
      <c r="C3028" s="723">
        <v>17</v>
      </c>
      <c r="D3028" s="723">
        <v>0</v>
      </c>
      <c r="E3028" s="723">
        <v>0</v>
      </c>
      <c r="F3028" s="723">
        <v>0</v>
      </c>
      <c r="G3028" s="723">
        <v>17</v>
      </c>
      <c r="H3028" s="724">
        <v>909.43106900631517</v>
      </c>
      <c r="I3028" s="724">
        <v>0</v>
      </c>
      <c r="J3028" s="724">
        <v>0</v>
      </c>
      <c r="K3028" s="724">
        <v>0</v>
      </c>
      <c r="L3028" s="724">
        <v>909.43106900631517</v>
      </c>
    </row>
    <row r="3029" spans="1:12">
      <c r="A3029" s="722" t="s">
        <v>347</v>
      </c>
      <c r="B3029" s="722">
        <v>330</v>
      </c>
      <c r="C3029" s="723">
        <v>5</v>
      </c>
      <c r="D3029" s="723">
        <v>3</v>
      </c>
      <c r="E3029" s="723">
        <v>0</v>
      </c>
      <c r="F3029" s="723">
        <v>0</v>
      </c>
      <c r="G3029" s="723">
        <v>8</v>
      </c>
      <c r="H3029" s="724">
        <v>267.47972617832795</v>
      </c>
      <c r="I3029" s="724">
        <v>160.48783570699678</v>
      </c>
      <c r="J3029" s="724">
        <v>0</v>
      </c>
      <c r="K3029" s="724">
        <v>0</v>
      </c>
      <c r="L3029" s="724">
        <v>427.96756188532476</v>
      </c>
    </row>
    <row r="3030" spans="1:12">
      <c r="A3030" s="722" t="s">
        <v>347</v>
      </c>
      <c r="B3030" s="722">
        <v>340</v>
      </c>
      <c r="C3030" s="723">
        <v>4</v>
      </c>
      <c r="D3030" s="723">
        <v>0</v>
      </c>
      <c r="E3030" s="723">
        <v>0</v>
      </c>
      <c r="F3030" s="723">
        <v>0</v>
      </c>
      <c r="G3030" s="723">
        <v>4</v>
      </c>
      <c r="H3030" s="724">
        <v>213.98378094266238</v>
      </c>
      <c r="I3030" s="724">
        <v>0</v>
      </c>
      <c r="J3030" s="724">
        <v>0</v>
      </c>
      <c r="K3030" s="724">
        <v>0</v>
      </c>
      <c r="L3030" s="724">
        <v>213.98378094266238</v>
      </c>
    </row>
    <row r="3031" spans="1:12">
      <c r="A3031" s="722" t="s">
        <v>347</v>
      </c>
      <c r="B3031" s="722">
        <v>420</v>
      </c>
      <c r="C3031" s="723">
        <v>1</v>
      </c>
      <c r="D3031" s="723">
        <v>0</v>
      </c>
      <c r="E3031" s="723">
        <v>0</v>
      </c>
      <c r="F3031" s="723">
        <v>0</v>
      </c>
      <c r="G3031" s="723">
        <v>1</v>
      </c>
      <c r="H3031" s="724">
        <v>53.495945235665594</v>
      </c>
      <c r="I3031" s="724">
        <v>0</v>
      </c>
      <c r="J3031" s="724">
        <v>0</v>
      </c>
      <c r="K3031" s="724">
        <v>0</v>
      </c>
      <c r="L3031" s="724">
        <v>53.495945235665594</v>
      </c>
    </row>
    <row r="3032" spans="1:12">
      <c r="A3032" s="722" t="s">
        <v>347</v>
      </c>
      <c r="B3032" s="722">
        <v>430</v>
      </c>
      <c r="C3032" s="723">
        <v>0</v>
      </c>
      <c r="D3032" s="723">
        <v>1</v>
      </c>
      <c r="E3032" s="723">
        <v>0</v>
      </c>
      <c r="F3032" s="723">
        <v>0</v>
      </c>
      <c r="G3032" s="723">
        <v>1</v>
      </c>
      <c r="H3032" s="724">
        <v>0</v>
      </c>
      <c r="I3032" s="724">
        <v>53.495945235665594</v>
      </c>
      <c r="J3032" s="724">
        <v>0</v>
      </c>
      <c r="K3032" s="724">
        <v>0</v>
      </c>
      <c r="L3032" s="724">
        <v>53.495945235665594</v>
      </c>
    </row>
    <row r="3033" spans="1:12">
      <c r="A3033" s="722" t="s">
        <v>347</v>
      </c>
      <c r="B3033" s="722">
        <v>560</v>
      </c>
      <c r="C3033" s="723">
        <v>1</v>
      </c>
      <c r="D3033" s="723">
        <v>0</v>
      </c>
      <c r="E3033" s="723">
        <v>0</v>
      </c>
      <c r="F3033" s="723">
        <v>0</v>
      </c>
      <c r="G3033" s="723">
        <v>1</v>
      </c>
      <c r="H3033" s="724">
        <v>53.495945235665594</v>
      </c>
      <c r="I3033" s="724">
        <v>0</v>
      </c>
      <c r="J3033" s="724">
        <v>0</v>
      </c>
      <c r="K3033" s="724">
        <v>0</v>
      </c>
      <c r="L3033" s="724">
        <v>53.495945235665594</v>
      </c>
    </row>
    <row r="3034" spans="1:12">
      <c r="A3034" s="722" t="s">
        <v>348</v>
      </c>
      <c r="B3034" s="722">
        <v>100</v>
      </c>
      <c r="C3034" s="723">
        <v>3</v>
      </c>
      <c r="D3034" s="723">
        <v>0</v>
      </c>
      <c r="E3034" s="723">
        <v>0</v>
      </c>
      <c r="F3034" s="723">
        <v>0</v>
      </c>
      <c r="G3034" s="723">
        <v>3</v>
      </c>
      <c r="H3034" s="724">
        <v>679.41884984870626</v>
      </c>
      <c r="I3034" s="724">
        <v>0</v>
      </c>
      <c r="J3034" s="724">
        <v>0</v>
      </c>
      <c r="K3034" s="724">
        <v>0</v>
      </c>
      <c r="L3034" s="724">
        <v>679.41884984870626</v>
      </c>
    </row>
    <row r="3035" spans="1:12">
      <c r="A3035" s="722" t="s">
        <v>348</v>
      </c>
      <c r="B3035" s="722">
        <v>107</v>
      </c>
      <c r="C3035" s="723">
        <v>1</v>
      </c>
      <c r="D3035" s="723">
        <v>2</v>
      </c>
      <c r="E3035" s="723">
        <v>0</v>
      </c>
      <c r="F3035" s="723">
        <v>0</v>
      </c>
      <c r="G3035" s="723">
        <v>3</v>
      </c>
      <c r="H3035" s="724">
        <v>226.47294994956874</v>
      </c>
      <c r="I3035" s="724">
        <v>452.94589989913749</v>
      </c>
      <c r="J3035" s="724">
        <v>0</v>
      </c>
      <c r="K3035" s="724">
        <v>0</v>
      </c>
      <c r="L3035" s="724">
        <v>679.41884984870626</v>
      </c>
    </row>
    <row r="3036" spans="1:12">
      <c r="A3036" s="722" t="s">
        <v>348</v>
      </c>
      <c r="B3036" s="722">
        <v>370</v>
      </c>
      <c r="C3036" s="723">
        <v>1</v>
      </c>
      <c r="D3036" s="723">
        <v>0</v>
      </c>
      <c r="E3036" s="723">
        <v>0</v>
      </c>
      <c r="F3036" s="723">
        <v>0</v>
      </c>
      <c r="G3036" s="723">
        <v>1</v>
      </c>
      <c r="H3036" s="724">
        <v>226.47294994956874</v>
      </c>
      <c r="I3036" s="724">
        <v>0</v>
      </c>
      <c r="J3036" s="724">
        <v>0</v>
      </c>
      <c r="K3036" s="724">
        <v>0</v>
      </c>
      <c r="L3036" s="724">
        <v>226.47294994956874</v>
      </c>
    </row>
    <row r="3037" spans="1:12">
      <c r="A3037" s="722" t="s">
        <v>348</v>
      </c>
      <c r="B3037" s="722">
        <v>420</v>
      </c>
      <c r="C3037" s="723">
        <v>1</v>
      </c>
      <c r="D3037" s="723">
        <v>0</v>
      </c>
      <c r="E3037" s="723">
        <v>0</v>
      </c>
      <c r="F3037" s="723">
        <v>0</v>
      </c>
      <c r="G3037" s="723">
        <v>1</v>
      </c>
      <c r="H3037" s="724">
        <v>226.47294994956874</v>
      </c>
      <c r="I3037" s="724">
        <v>0</v>
      </c>
      <c r="J3037" s="724">
        <v>0</v>
      </c>
      <c r="K3037" s="724">
        <v>0</v>
      </c>
      <c r="L3037" s="724">
        <v>226.47294994956874</v>
      </c>
    </row>
    <row r="3038" spans="1:12">
      <c r="A3038" s="722" t="s">
        <v>349</v>
      </c>
      <c r="B3038" s="722">
        <v>100</v>
      </c>
      <c r="C3038" s="723">
        <v>1</v>
      </c>
      <c r="D3038" s="723">
        <v>1</v>
      </c>
      <c r="E3038" s="723">
        <v>0</v>
      </c>
      <c r="F3038" s="723">
        <v>0</v>
      </c>
      <c r="G3038" s="723">
        <v>2</v>
      </c>
      <c r="H3038" s="724">
        <v>138.52011360719166</v>
      </c>
      <c r="I3038" s="724">
        <v>138.52011360719166</v>
      </c>
      <c r="J3038" s="724">
        <v>0</v>
      </c>
      <c r="K3038" s="724">
        <v>0</v>
      </c>
      <c r="L3038" s="724">
        <v>277.04022721438332</v>
      </c>
    </row>
    <row r="3039" spans="1:12">
      <c r="A3039" s="722" t="s">
        <v>349</v>
      </c>
      <c r="B3039" s="722">
        <v>107</v>
      </c>
      <c r="C3039" s="723">
        <v>0</v>
      </c>
      <c r="D3039" s="723">
        <v>1</v>
      </c>
      <c r="E3039" s="723">
        <v>0</v>
      </c>
      <c r="F3039" s="723">
        <v>0</v>
      </c>
      <c r="G3039" s="723">
        <v>1</v>
      </c>
      <c r="H3039" s="724">
        <v>0</v>
      </c>
      <c r="I3039" s="724">
        <v>138.52011360719166</v>
      </c>
      <c r="J3039" s="724">
        <v>0</v>
      </c>
      <c r="K3039" s="724">
        <v>0</v>
      </c>
      <c r="L3039" s="724">
        <v>138.52011360719166</v>
      </c>
    </row>
    <row r="3040" spans="1:12">
      <c r="A3040" s="722" t="s">
        <v>350</v>
      </c>
      <c r="B3040" s="722">
        <v>100</v>
      </c>
      <c r="C3040" s="723">
        <v>2</v>
      </c>
      <c r="D3040" s="723">
        <v>0</v>
      </c>
      <c r="E3040" s="723">
        <v>0</v>
      </c>
      <c r="F3040" s="723">
        <v>0</v>
      </c>
      <c r="G3040" s="723">
        <v>2</v>
      </c>
      <c r="H3040" s="724">
        <v>191.23550627008856</v>
      </c>
      <c r="I3040" s="724">
        <v>0</v>
      </c>
      <c r="J3040" s="724">
        <v>0</v>
      </c>
      <c r="K3040" s="724">
        <v>0</v>
      </c>
      <c r="L3040" s="724">
        <v>191.23550627008856</v>
      </c>
    </row>
    <row r="3041" spans="1:12">
      <c r="A3041" s="722" t="s">
        <v>350</v>
      </c>
      <c r="B3041" s="722">
        <v>130</v>
      </c>
      <c r="C3041" s="723">
        <v>1</v>
      </c>
      <c r="D3041" s="723">
        <v>0</v>
      </c>
      <c r="E3041" s="723">
        <v>0</v>
      </c>
      <c r="F3041" s="723">
        <v>0</v>
      </c>
      <c r="G3041" s="723">
        <v>1</v>
      </c>
      <c r="H3041" s="724">
        <v>95.617753135044282</v>
      </c>
      <c r="I3041" s="724">
        <v>0</v>
      </c>
      <c r="J3041" s="724">
        <v>0</v>
      </c>
      <c r="K3041" s="724">
        <v>0</v>
      </c>
      <c r="L3041" s="724">
        <v>95.617753135044282</v>
      </c>
    </row>
    <row r="3042" spans="1:12">
      <c r="A3042" s="722" t="s">
        <v>350</v>
      </c>
      <c r="B3042" s="722">
        <v>330</v>
      </c>
      <c r="C3042" s="723">
        <v>2</v>
      </c>
      <c r="D3042" s="723">
        <v>0</v>
      </c>
      <c r="E3042" s="723">
        <v>0</v>
      </c>
      <c r="F3042" s="723">
        <v>0</v>
      </c>
      <c r="G3042" s="723">
        <v>2</v>
      </c>
      <c r="H3042" s="724">
        <v>191.23550627008856</v>
      </c>
      <c r="I3042" s="724">
        <v>0</v>
      </c>
      <c r="J3042" s="724">
        <v>0</v>
      </c>
      <c r="K3042" s="724">
        <v>0</v>
      </c>
      <c r="L3042" s="724">
        <v>191.23550627008856</v>
      </c>
    </row>
    <row r="3043" spans="1:12">
      <c r="A3043" s="722" t="s">
        <v>350</v>
      </c>
      <c r="B3043" s="722">
        <v>420</v>
      </c>
      <c r="C3043" s="723">
        <v>1</v>
      </c>
      <c r="D3043" s="723">
        <v>0</v>
      </c>
      <c r="E3043" s="723">
        <v>0</v>
      </c>
      <c r="F3043" s="723">
        <v>0</v>
      </c>
      <c r="G3043" s="723">
        <v>1</v>
      </c>
      <c r="H3043" s="724">
        <v>95.617753135044282</v>
      </c>
      <c r="I3043" s="724">
        <v>0</v>
      </c>
      <c r="J3043" s="724">
        <v>0</v>
      </c>
      <c r="K3043" s="724">
        <v>0</v>
      </c>
      <c r="L3043" s="724">
        <v>95.617753135044282</v>
      </c>
    </row>
    <row r="3044" spans="1:12">
      <c r="A3044" s="722" t="s">
        <v>350</v>
      </c>
      <c r="B3044" s="722">
        <v>502</v>
      </c>
      <c r="C3044" s="723">
        <v>1</v>
      </c>
      <c r="D3044" s="723">
        <v>0</v>
      </c>
      <c r="E3044" s="723">
        <v>0</v>
      </c>
      <c r="F3044" s="723">
        <v>0</v>
      </c>
      <c r="G3044" s="723">
        <v>1</v>
      </c>
      <c r="H3044" s="724">
        <v>95.617753135044282</v>
      </c>
      <c r="I3044" s="724">
        <v>0</v>
      </c>
      <c r="J3044" s="724">
        <v>0</v>
      </c>
      <c r="K3044" s="724">
        <v>0</v>
      </c>
      <c r="L3044" s="724">
        <v>95.617753135044282</v>
      </c>
    </row>
    <row r="3045" spans="1:12">
      <c r="A3045" s="722" t="s">
        <v>351</v>
      </c>
      <c r="B3045" s="722">
        <v>101</v>
      </c>
      <c r="C3045" s="723">
        <v>1</v>
      </c>
      <c r="D3045" s="723">
        <v>0</v>
      </c>
      <c r="E3045" s="723">
        <v>0</v>
      </c>
      <c r="F3045" s="723">
        <v>0</v>
      </c>
      <c r="G3045" s="723">
        <v>1</v>
      </c>
      <c r="H3045" s="724">
        <v>136.12940847646249</v>
      </c>
      <c r="I3045" s="724">
        <v>0</v>
      </c>
      <c r="J3045" s="724">
        <v>0</v>
      </c>
      <c r="K3045" s="724">
        <v>0</v>
      </c>
      <c r="L3045" s="724">
        <v>136.12940847646249</v>
      </c>
    </row>
    <row r="3046" spans="1:12">
      <c r="A3046" s="722" t="s">
        <v>351</v>
      </c>
      <c r="B3046" s="722">
        <v>107</v>
      </c>
      <c r="C3046" s="723">
        <v>0</v>
      </c>
      <c r="D3046" s="723">
        <v>1</v>
      </c>
      <c r="E3046" s="723">
        <v>0</v>
      </c>
      <c r="F3046" s="723">
        <v>0</v>
      </c>
      <c r="G3046" s="723">
        <v>1</v>
      </c>
      <c r="H3046" s="724">
        <v>0</v>
      </c>
      <c r="I3046" s="724">
        <v>136.12940847646249</v>
      </c>
      <c r="J3046" s="724">
        <v>0</v>
      </c>
      <c r="K3046" s="724">
        <v>0</v>
      </c>
      <c r="L3046" s="724">
        <v>136.12940847646249</v>
      </c>
    </row>
    <row r="3047" spans="1:12">
      <c r="A3047" s="722" t="s">
        <v>351</v>
      </c>
      <c r="B3047" s="722">
        <v>130</v>
      </c>
      <c r="C3047" s="723">
        <v>1</v>
      </c>
      <c r="D3047" s="723">
        <v>0</v>
      </c>
      <c r="E3047" s="723">
        <v>0</v>
      </c>
      <c r="F3047" s="723">
        <v>0</v>
      </c>
      <c r="G3047" s="723">
        <v>1</v>
      </c>
      <c r="H3047" s="724">
        <v>136.12940847646249</v>
      </c>
      <c r="I3047" s="724">
        <v>0</v>
      </c>
      <c r="J3047" s="724">
        <v>0</v>
      </c>
      <c r="K3047" s="724">
        <v>0</v>
      </c>
      <c r="L3047" s="724">
        <v>136.12940847646249</v>
      </c>
    </row>
    <row r="3048" spans="1:12">
      <c r="A3048" s="722" t="s">
        <v>351</v>
      </c>
      <c r="B3048" s="722">
        <v>330</v>
      </c>
      <c r="C3048" s="723">
        <v>1</v>
      </c>
      <c r="D3048" s="723">
        <v>0</v>
      </c>
      <c r="E3048" s="723">
        <v>0</v>
      </c>
      <c r="F3048" s="723">
        <v>0</v>
      </c>
      <c r="G3048" s="723">
        <v>1</v>
      </c>
      <c r="H3048" s="724">
        <v>136.12940847646249</v>
      </c>
      <c r="I3048" s="724">
        <v>0</v>
      </c>
      <c r="J3048" s="724">
        <v>0</v>
      </c>
      <c r="K3048" s="724">
        <v>0</v>
      </c>
      <c r="L3048" s="724">
        <v>136.12940847646249</v>
      </c>
    </row>
    <row r="3049" spans="1:12">
      <c r="A3049" s="722" t="s">
        <v>351</v>
      </c>
      <c r="B3049" s="722">
        <v>502</v>
      </c>
      <c r="C3049" s="723">
        <v>2</v>
      </c>
      <c r="D3049" s="723">
        <v>0</v>
      </c>
      <c r="E3049" s="723">
        <v>0</v>
      </c>
      <c r="F3049" s="723">
        <v>0</v>
      </c>
      <c r="G3049" s="723">
        <v>2</v>
      </c>
      <c r="H3049" s="724">
        <v>272.25881695292497</v>
      </c>
      <c r="I3049" s="724">
        <v>0</v>
      </c>
      <c r="J3049" s="724">
        <v>0</v>
      </c>
      <c r="K3049" s="724">
        <v>0</v>
      </c>
      <c r="L3049" s="724">
        <v>272.25881695292497</v>
      </c>
    </row>
    <row r="3050" spans="1:12">
      <c r="A3050" s="722" t="s">
        <v>352</v>
      </c>
      <c r="B3050" s="722">
        <v>100</v>
      </c>
      <c r="C3050" s="723">
        <v>10</v>
      </c>
      <c r="D3050" s="723">
        <v>0</v>
      </c>
      <c r="E3050" s="723">
        <v>0</v>
      </c>
      <c r="F3050" s="723">
        <v>0</v>
      </c>
      <c r="G3050" s="723">
        <v>10</v>
      </c>
      <c r="H3050" s="724">
        <v>4056.3718434907837</v>
      </c>
      <c r="I3050" s="724">
        <v>0</v>
      </c>
      <c r="J3050" s="724">
        <v>0</v>
      </c>
      <c r="K3050" s="724">
        <v>0</v>
      </c>
      <c r="L3050" s="724">
        <v>4056.3718434907837</v>
      </c>
    </row>
    <row r="3051" spans="1:12">
      <c r="A3051" s="722" t="s">
        <v>352</v>
      </c>
      <c r="B3051" s="722">
        <v>101</v>
      </c>
      <c r="C3051" s="723">
        <v>1</v>
      </c>
      <c r="D3051" s="723">
        <v>3</v>
      </c>
      <c r="E3051" s="723">
        <v>0</v>
      </c>
      <c r="F3051" s="723">
        <v>0</v>
      </c>
      <c r="G3051" s="723">
        <v>4</v>
      </c>
      <c r="H3051" s="724">
        <v>405.63718434907832</v>
      </c>
      <c r="I3051" s="724">
        <v>1216.911553047235</v>
      </c>
      <c r="J3051" s="724">
        <v>0</v>
      </c>
      <c r="K3051" s="724">
        <v>0</v>
      </c>
      <c r="L3051" s="724">
        <v>1622.5487373963133</v>
      </c>
    </row>
    <row r="3052" spans="1:12">
      <c r="A3052" s="722" t="s">
        <v>352</v>
      </c>
      <c r="B3052" s="722">
        <v>102</v>
      </c>
      <c r="C3052" s="723">
        <v>1</v>
      </c>
      <c r="D3052" s="723">
        <v>0</v>
      </c>
      <c r="E3052" s="723">
        <v>0</v>
      </c>
      <c r="F3052" s="723">
        <v>0</v>
      </c>
      <c r="G3052" s="723">
        <v>1</v>
      </c>
      <c r="H3052" s="724">
        <v>405.63718434907832</v>
      </c>
      <c r="I3052" s="724">
        <v>0</v>
      </c>
      <c r="J3052" s="724">
        <v>0</v>
      </c>
      <c r="K3052" s="724">
        <v>0</v>
      </c>
      <c r="L3052" s="724">
        <v>405.63718434907832</v>
      </c>
    </row>
    <row r="3053" spans="1:12">
      <c r="A3053" s="722" t="s">
        <v>352</v>
      </c>
      <c r="B3053" s="722">
        <v>107</v>
      </c>
      <c r="C3053" s="723">
        <v>17</v>
      </c>
      <c r="D3053" s="723">
        <v>3</v>
      </c>
      <c r="E3053" s="723">
        <v>0</v>
      </c>
      <c r="F3053" s="723">
        <v>0</v>
      </c>
      <c r="G3053" s="723">
        <v>20</v>
      </c>
      <c r="H3053" s="724">
        <v>6895.8321339343329</v>
      </c>
      <c r="I3053" s="724">
        <v>1216.911553047235</v>
      </c>
      <c r="J3053" s="724">
        <v>0</v>
      </c>
      <c r="K3053" s="724">
        <v>0</v>
      </c>
      <c r="L3053" s="724">
        <v>8112.7436869815674</v>
      </c>
    </row>
    <row r="3054" spans="1:12">
      <c r="A3054" s="722" t="s">
        <v>352</v>
      </c>
      <c r="B3054" s="722">
        <v>110</v>
      </c>
      <c r="C3054" s="723">
        <v>1</v>
      </c>
      <c r="D3054" s="723">
        <v>0</v>
      </c>
      <c r="E3054" s="723">
        <v>0</v>
      </c>
      <c r="F3054" s="723">
        <v>0</v>
      </c>
      <c r="G3054" s="723">
        <v>1</v>
      </c>
      <c r="H3054" s="724">
        <v>405.63718434907832</v>
      </c>
      <c r="I3054" s="724">
        <v>0</v>
      </c>
      <c r="J3054" s="724">
        <v>0</v>
      </c>
      <c r="K3054" s="724">
        <v>0</v>
      </c>
      <c r="L3054" s="724">
        <v>405.63718434907832</v>
      </c>
    </row>
    <row r="3055" spans="1:12">
      <c r="A3055" s="722" t="s">
        <v>352</v>
      </c>
      <c r="B3055" s="722">
        <v>140</v>
      </c>
      <c r="C3055" s="723">
        <v>2</v>
      </c>
      <c r="D3055" s="723">
        <v>15</v>
      </c>
      <c r="E3055" s="723">
        <v>0</v>
      </c>
      <c r="F3055" s="723">
        <v>0</v>
      </c>
      <c r="G3055" s="723">
        <v>17</v>
      </c>
      <c r="H3055" s="724">
        <v>811.27436869815665</v>
      </c>
      <c r="I3055" s="724">
        <v>6084.5577652361744</v>
      </c>
      <c r="J3055" s="724">
        <v>0</v>
      </c>
      <c r="K3055" s="724">
        <v>0</v>
      </c>
      <c r="L3055" s="724">
        <v>6895.8321339343311</v>
      </c>
    </row>
    <row r="3056" spans="1:12">
      <c r="A3056" s="722" t="s">
        <v>352</v>
      </c>
      <c r="B3056" s="722">
        <v>141</v>
      </c>
      <c r="C3056" s="723">
        <v>3</v>
      </c>
      <c r="D3056" s="723">
        <v>1</v>
      </c>
      <c r="E3056" s="723">
        <v>0</v>
      </c>
      <c r="F3056" s="723">
        <v>0</v>
      </c>
      <c r="G3056" s="723">
        <v>4</v>
      </c>
      <c r="H3056" s="724">
        <v>1216.911553047235</v>
      </c>
      <c r="I3056" s="724">
        <v>405.63718434907832</v>
      </c>
      <c r="J3056" s="724">
        <v>0</v>
      </c>
      <c r="K3056" s="724">
        <v>0</v>
      </c>
      <c r="L3056" s="724">
        <v>1622.5487373963133</v>
      </c>
    </row>
    <row r="3057" spans="1:12">
      <c r="A3057" s="722" t="s">
        <v>352</v>
      </c>
      <c r="B3057" s="722">
        <v>142</v>
      </c>
      <c r="C3057" s="723">
        <v>1</v>
      </c>
      <c r="D3057" s="723">
        <v>0</v>
      </c>
      <c r="E3057" s="723">
        <v>0</v>
      </c>
      <c r="F3057" s="723">
        <v>0</v>
      </c>
      <c r="G3057" s="723">
        <v>1</v>
      </c>
      <c r="H3057" s="724">
        <v>405.63718434907832</v>
      </c>
      <c r="I3057" s="724">
        <v>0</v>
      </c>
      <c r="J3057" s="724">
        <v>0</v>
      </c>
      <c r="K3057" s="724">
        <v>0</v>
      </c>
      <c r="L3057" s="724">
        <v>405.63718434907832</v>
      </c>
    </row>
    <row r="3058" spans="1:12">
      <c r="A3058" s="722" t="s">
        <v>352</v>
      </c>
      <c r="B3058" s="722">
        <v>143</v>
      </c>
      <c r="C3058" s="723">
        <v>3</v>
      </c>
      <c r="D3058" s="723">
        <v>3</v>
      </c>
      <c r="E3058" s="723">
        <v>0</v>
      </c>
      <c r="F3058" s="723">
        <v>0</v>
      </c>
      <c r="G3058" s="723">
        <v>6</v>
      </c>
      <c r="H3058" s="724">
        <v>1216.911553047235</v>
      </c>
      <c r="I3058" s="724">
        <v>1216.911553047235</v>
      </c>
      <c r="J3058" s="724">
        <v>0</v>
      </c>
      <c r="K3058" s="724">
        <v>0</v>
      </c>
      <c r="L3058" s="724">
        <v>2433.8231060944699</v>
      </c>
    </row>
    <row r="3059" spans="1:12">
      <c r="A3059" s="722" t="s">
        <v>352</v>
      </c>
      <c r="B3059" s="722">
        <v>144</v>
      </c>
      <c r="C3059" s="723">
        <v>0</v>
      </c>
      <c r="D3059" s="723">
        <v>2</v>
      </c>
      <c r="E3059" s="723">
        <v>0</v>
      </c>
      <c r="F3059" s="723">
        <v>0</v>
      </c>
      <c r="G3059" s="723">
        <v>2</v>
      </c>
      <c r="H3059" s="724">
        <v>0</v>
      </c>
      <c r="I3059" s="724">
        <v>811.27436869815665</v>
      </c>
      <c r="J3059" s="724">
        <v>0</v>
      </c>
      <c r="K3059" s="724">
        <v>0</v>
      </c>
      <c r="L3059" s="724">
        <v>811.27436869815665</v>
      </c>
    </row>
    <row r="3060" spans="1:12">
      <c r="A3060" s="722" t="s">
        <v>352</v>
      </c>
      <c r="B3060" s="722">
        <v>171</v>
      </c>
      <c r="C3060" s="723">
        <v>1</v>
      </c>
      <c r="D3060" s="723">
        <v>0</v>
      </c>
      <c r="E3060" s="723">
        <v>0</v>
      </c>
      <c r="F3060" s="723">
        <v>0</v>
      </c>
      <c r="G3060" s="723">
        <v>1</v>
      </c>
      <c r="H3060" s="724">
        <v>405.63718434907832</v>
      </c>
      <c r="I3060" s="724">
        <v>0</v>
      </c>
      <c r="J3060" s="724">
        <v>0</v>
      </c>
      <c r="K3060" s="724">
        <v>0</v>
      </c>
      <c r="L3060" s="724">
        <v>405.63718434907832</v>
      </c>
    </row>
    <row r="3061" spans="1:12">
      <c r="A3061" s="722" t="s">
        <v>352</v>
      </c>
      <c r="B3061" s="722">
        <v>174</v>
      </c>
      <c r="C3061" s="723">
        <v>1</v>
      </c>
      <c r="D3061" s="723">
        <v>0</v>
      </c>
      <c r="E3061" s="723">
        <v>0</v>
      </c>
      <c r="F3061" s="723">
        <v>0</v>
      </c>
      <c r="G3061" s="723">
        <v>1</v>
      </c>
      <c r="H3061" s="724">
        <v>405.63718434907832</v>
      </c>
      <c r="I3061" s="724">
        <v>0</v>
      </c>
      <c r="J3061" s="724">
        <v>0</v>
      </c>
      <c r="K3061" s="724">
        <v>0</v>
      </c>
      <c r="L3061" s="724">
        <v>405.63718434907832</v>
      </c>
    </row>
    <row r="3062" spans="1:12">
      <c r="A3062" s="722" t="s">
        <v>352</v>
      </c>
      <c r="B3062" s="722">
        <v>211</v>
      </c>
      <c r="C3062" s="723">
        <v>2</v>
      </c>
      <c r="D3062" s="723">
        <v>0</v>
      </c>
      <c r="E3062" s="723">
        <v>0</v>
      </c>
      <c r="F3062" s="723">
        <v>0</v>
      </c>
      <c r="G3062" s="723">
        <v>2</v>
      </c>
      <c r="H3062" s="724">
        <v>811.27436869815665</v>
      </c>
      <c r="I3062" s="724">
        <v>0</v>
      </c>
      <c r="J3062" s="724">
        <v>0</v>
      </c>
      <c r="K3062" s="724">
        <v>0</v>
      </c>
      <c r="L3062" s="724">
        <v>811.27436869815665</v>
      </c>
    </row>
    <row r="3063" spans="1:12">
      <c r="A3063" s="722" t="s">
        <v>352</v>
      </c>
      <c r="B3063" s="722">
        <v>253</v>
      </c>
      <c r="C3063" s="723">
        <v>19</v>
      </c>
      <c r="D3063" s="723">
        <v>0</v>
      </c>
      <c r="E3063" s="723">
        <v>0</v>
      </c>
      <c r="F3063" s="723">
        <v>0</v>
      </c>
      <c r="G3063" s="723">
        <v>19</v>
      </c>
      <c r="H3063" s="724">
        <v>7707.1065026324877</v>
      </c>
      <c r="I3063" s="724">
        <v>0</v>
      </c>
      <c r="J3063" s="724">
        <v>0</v>
      </c>
      <c r="K3063" s="724">
        <v>0</v>
      </c>
      <c r="L3063" s="724">
        <v>7707.1065026324886</v>
      </c>
    </row>
    <row r="3064" spans="1:12">
      <c r="A3064" s="722" t="s">
        <v>352</v>
      </c>
      <c r="B3064" s="722">
        <v>258</v>
      </c>
      <c r="C3064" s="723">
        <v>4</v>
      </c>
      <c r="D3064" s="723">
        <v>0</v>
      </c>
      <c r="E3064" s="723">
        <v>0</v>
      </c>
      <c r="F3064" s="723">
        <v>0</v>
      </c>
      <c r="G3064" s="723">
        <v>4</v>
      </c>
      <c r="H3064" s="724">
        <v>1622.5487373963133</v>
      </c>
      <c r="I3064" s="724">
        <v>0</v>
      </c>
      <c r="J3064" s="724">
        <v>0</v>
      </c>
      <c r="K3064" s="724">
        <v>0</v>
      </c>
      <c r="L3064" s="724">
        <v>1622.5487373963133</v>
      </c>
    </row>
    <row r="3065" spans="1:12">
      <c r="A3065" s="722" t="s">
        <v>352</v>
      </c>
      <c r="B3065" s="722">
        <v>260</v>
      </c>
      <c r="C3065" s="723">
        <v>10</v>
      </c>
      <c r="D3065" s="723">
        <v>0</v>
      </c>
      <c r="E3065" s="723">
        <v>0</v>
      </c>
      <c r="F3065" s="723">
        <v>0</v>
      </c>
      <c r="G3065" s="723">
        <v>10</v>
      </c>
      <c r="H3065" s="724">
        <v>4056.3718434907837</v>
      </c>
      <c r="I3065" s="724">
        <v>0</v>
      </c>
      <c r="J3065" s="724">
        <v>0</v>
      </c>
      <c r="K3065" s="724">
        <v>0</v>
      </c>
      <c r="L3065" s="724">
        <v>4056.3718434907837</v>
      </c>
    </row>
    <row r="3066" spans="1:12">
      <c r="A3066" s="722" t="s">
        <v>352</v>
      </c>
      <c r="B3066" s="722">
        <v>262</v>
      </c>
      <c r="C3066" s="723">
        <v>1</v>
      </c>
      <c r="D3066" s="723">
        <v>0</v>
      </c>
      <c r="E3066" s="723">
        <v>0</v>
      </c>
      <c r="F3066" s="723">
        <v>0</v>
      </c>
      <c r="G3066" s="723">
        <v>1</v>
      </c>
      <c r="H3066" s="724">
        <v>405.63718434907832</v>
      </c>
      <c r="I3066" s="724">
        <v>0</v>
      </c>
      <c r="J3066" s="724">
        <v>0</v>
      </c>
      <c r="K3066" s="724">
        <v>0</v>
      </c>
      <c r="L3066" s="724">
        <v>405.63718434907832</v>
      </c>
    </row>
    <row r="3067" spans="1:12">
      <c r="A3067" s="722" t="s">
        <v>352</v>
      </c>
      <c r="B3067" s="722">
        <v>300</v>
      </c>
      <c r="C3067" s="723">
        <v>347</v>
      </c>
      <c r="D3067" s="723">
        <v>256</v>
      </c>
      <c r="E3067" s="723">
        <v>0</v>
      </c>
      <c r="F3067" s="723">
        <v>0</v>
      </c>
      <c r="G3067" s="723">
        <v>603</v>
      </c>
      <c r="H3067" s="724">
        <v>140756.10296913018</v>
      </c>
      <c r="I3067" s="724">
        <v>103843.11919336405</v>
      </c>
      <c r="J3067" s="724">
        <v>0</v>
      </c>
      <c r="K3067" s="724">
        <v>0</v>
      </c>
      <c r="L3067" s="724">
        <v>244599.22216249423</v>
      </c>
    </row>
    <row r="3068" spans="1:12">
      <c r="A3068" s="722" t="s">
        <v>352</v>
      </c>
      <c r="B3068" s="722">
        <v>301</v>
      </c>
      <c r="C3068" s="723">
        <v>7</v>
      </c>
      <c r="D3068" s="723">
        <v>2</v>
      </c>
      <c r="E3068" s="723">
        <v>0</v>
      </c>
      <c r="F3068" s="723">
        <v>0</v>
      </c>
      <c r="G3068" s="723">
        <v>9</v>
      </c>
      <c r="H3068" s="724">
        <v>2839.4602904435487</v>
      </c>
      <c r="I3068" s="724">
        <v>811.27436869815676</v>
      </c>
      <c r="J3068" s="724">
        <v>0</v>
      </c>
      <c r="K3068" s="724">
        <v>0</v>
      </c>
      <c r="L3068" s="724">
        <v>3650.7346591417054</v>
      </c>
    </row>
    <row r="3069" spans="1:12">
      <c r="A3069" s="722" t="s">
        <v>352</v>
      </c>
      <c r="B3069" s="722">
        <v>303</v>
      </c>
      <c r="C3069" s="723">
        <v>62</v>
      </c>
      <c r="D3069" s="723">
        <v>3</v>
      </c>
      <c r="E3069" s="723">
        <v>0</v>
      </c>
      <c r="F3069" s="723">
        <v>0</v>
      </c>
      <c r="G3069" s="723">
        <v>65</v>
      </c>
      <c r="H3069" s="724">
        <v>25149.505429642857</v>
      </c>
      <c r="I3069" s="724">
        <v>1216.9115530472352</v>
      </c>
      <c r="J3069" s="724">
        <v>0</v>
      </c>
      <c r="K3069" s="724">
        <v>0</v>
      </c>
      <c r="L3069" s="724">
        <v>26366.416982690094</v>
      </c>
    </row>
    <row r="3070" spans="1:12">
      <c r="A3070" s="722" t="s">
        <v>352</v>
      </c>
      <c r="B3070" s="722">
        <v>308</v>
      </c>
      <c r="C3070" s="723">
        <v>57</v>
      </c>
      <c r="D3070" s="723">
        <v>4</v>
      </c>
      <c r="E3070" s="723">
        <v>0</v>
      </c>
      <c r="F3070" s="723">
        <v>0</v>
      </c>
      <c r="G3070" s="723">
        <v>61</v>
      </c>
      <c r="H3070" s="724">
        <v>23121.319507897464</v>
      </c>
      <c r="I3070" s="724">
        <v>1622.5487373963133</v>
      </c>
      <c r="J3070" s="724">
        <v>0</v>
      </c>
      <c r="K3070" s="724">
        <v>0</v>
      </c>
      <c r="L3070" s="724">
        <v>24743.868245293779</v>
      </c>
    </row>
    <row r="3071" spans="1:12">
      <c r="A3071" s="722" t="s">
        <v>352</v>
      </c>
      <c r="B3071" s="722">
        <v>320</v>
      </c>
      <c r="C3071" s="723">
        <v>1</v>
      </c>
      <c r="D3071" s="723">
        <v>0</v>
      </c>
      <c r="E3071" s="723">
        <v>0</v>
      </c>
      <c r="F3071" s="723">
        <v>0</v>
      </c>
      <c r="G3071" s="723">
        <v>1</v>
      </c>
      <c r="H3071" s="724">
        <v>405.63718434907832</v>
      </c>
      <c r="I3071" s="724">
        <v>0</v>
      </c>
      <c r="J3071" s="724">
        <v>0</v>
      </c>
      <c r="K3071" s="724">
        <v>0</v>
      </c>
      <c r="L3071" s="724">
        <v>405.63718434907832</v>
      </c>
    </row>
    <row r="3072" spans="1:12">
      <c r="A3072" s="722" t="s">
        <v>352</v>
      </c>
      <c r="B3072" s="722">
        <v>330</v>
      </c>
      <c r="C3072" s="723">
        <v>1</v>
      </c>
      <c r="D3072" s="723">
        <v>1</v>
      </c>
      <c r="E3072" s="723">
        <v>0</v>
      </c>
      <c r="F3072" s="723">
        <v>0</v>
      </c>
      <c r="G3072" s="723">
        <v>2</v>
      </c>
      <c r="H3072" s="724">
        <v>405.63718434907832</v>
      </c>
      <c r="I3072" s="724">
        <v>405.63718434907832</v>
      </c>
      <c r="J3072" s="724">
        <v>0</v>
      </c>
      <c r="K3072" s="724">
        <v>0</v>
      </c>
      <c r="L3072" s="724">
        <v>811.27436869815665</v>
      </c>
    </row>
    <row r="3073" spans="1:12">
      <c r="A3073" s="722" t="s">
        <v>352</v>
      </c>
      <c r="B3073" s="722">
        <v>340</v>
      </c>
      <c r="C3073" s="723">
        <v>46</v>
      </c>
      <c r="D3073" s="723">
        <v>60</v>
      </c>
      <c r="E3073" s="723">
        <v>0</v>
      </c>
      <c r="F3073" s="723">
        <v>0</v>
      </c>
      <c r="G3073" s="723">
        <v>106</v>
      </c>
      <c r="H3073" s="724">
        <v>18659.310480057604</v>
      </c>
      <c r="I3073" s="724">
        <v>24338.231060944701</v>
      </c>
      <c r="J3073" s="724">
        <v>0</v>
      </c>
      <c r="K3073" s="724">
        <v>0</v>
      </c>
      <c r="L3073" s="724">
        <v>42997.541541002305</v>
      </c>
    </row>
    <row r="3074" spans="1:12">
      <c r="A3074" s="722" t="s">
        <v>352</v>
      </c>
      <c r="B3074" s="722">
        <v>361</v>
      </c>
      <c r="C3074" s="723">
        <v>1</v>
      </c>
      <c r="D3074" s="723">
        <v>0</v>
      </c>
      <c r="E3074" s="723">
        <v>0</v>
      </c>
      <c r="F3074" s="723">
        <v>0</v>
      </c>
      <c r="G3074" s="723">
        <v>1</v>
      </c>
      <c r="H3074" s="724">
        <v>405.63718434907832</v>
      </c>
      <c r="I3074" s="724">
        <v>0</v>
      </c>
      <c r="J3074" s="724">
        <v>0</v>
      </c>
      <c r="K3074" s="724">
        <v>0</v>
      </c>
      <c r="L3074" s="724">
        <v>405.63718434907832</v>
      </c>
    </row>
    <row r="3075" spans="1:12">
      <c r="A3075" s="722" t="s">
        <v>352</v>
      </c>
      <c r="B3075" s="722">
        <v>370</v>
      </c>
      <c r="C3075" s="723">
        <v>361</v>
      </c>
      <c r="D3075" s="723">
        <v>4</v>
      </c>
      <c r="E3075" s="723">
        <v>0</v>
      </c>
      <c r="F3075" s="723">
        <v>0</v>
      </c>
      <c r="G3075" s="723">
        <v>365</v>
      </c>
      <c r="H3075" s="724">
        <v>146435.02355001727</v>
      </c>
      <c r="I3075" s="724">
        <v>1622.5487373963133</v>
      </c>
      <c r="J3075" s="724">
        <v>0</v>
      </c>
      <c r="K3075" s="724">
        <v>0</v>
      </c>
      <c r="L3075" s="724">
        <v>148057.57228741358</v>
      </c>
    </row>
    <row r="3076" spans="1:12">
      <c r="A3076" s="722" t="s">
        <v>352</v>
      </c>
      <c r="B3076" s="722">
        <v>410</v>
      </c>
      <c r="C3076" s="723">
        <v>2</v>
      </c>
      <c r="D3076" s="723">
        <v>0</v>
      </c>
      <c r="E3076" s="723">
        <v>0</v>
      </c>
      <c r="F3076" s="723">
        <v>0</v>
      </c>
      <c r="G3076" s="723">
        <v>2</v>
      </c>
      <c r="H3076" s="724">
        <v>811.27436869815665</v>
      </c>
      <c r="I3076" s="724">
        <v>0</v>
      </c>
      <c r="J3076" s="724">
        <v>0</v>
      </c>
      <c r="K3076" s="724">
        <v>0</v>
      </c>
      <c r="L3076" s="724">
        <v>811.27436869815665</v>
      </c>
    </row>
    <row r="3077" spans="1:12">
      <c r="A3077" s="722" t="s">
        <v>352</v>
      </c>
      <c r="B3077" s="722">
        <v>420</v>
      </c>
      <c r="C3077" s="723">
        <v>6</v>
      </c>
      <c r="D3077" s="723">
        <v>7</v>
      </c>
      <c r="E3077" s="723">
        <v>0</v>
      </c>
      <c r="F3077" s="723">
        <v>0</v>
      </c>
      <c r="G3077" s="723">
        <v>13</v>
      </c>
      <c r="H3077" s="724">
        <v>2433.8231060944699</v>
      </c>
      <c r="I3077" s="724">
        <v>2839.4602904435483</v>
      </c>
      <c r="J3077" s="724">
        <v>0</v>
      </c>
      <c r="K3077" s="724">
        <v>0</v>
      </c>
      <c r="L3077" s="724">
        <v>5273.2833965380187</v>
      </c>
    </row>
    <row r="3078" spans="1:12">
      <c r="A3078" s="722" t="s">
        <v>352</v>
      </c>
      <c r="B3078" s="722">
        <v>422</v>
      </c>
      <c r="C3078" s="723">
        <v>1</v>
      </c>
      <c r="D3078" s="723">
        <v>0</v>
      </c>
      <c r="E3078" s="723">
        <v>0</v>
      </c>
      <c r="F3078" s="723">
        <v>0</v>
      </c>
      <c r="G3078" s="723">
        <v>1</v>
      </c>
      <c r="H3078" s="724">
        <v>405.63718434907832</v>
      </c>
      <c r="I3078" s="724">
        <v>0</v>
      </c>
      <c r="J3078" s="724">
        <v>0</v>
      </c>
      <c r="K3078" s="724">
        <v>0</v>
      </c>
      <c r="L3078" s="724">
        <v>405.63718434907832</v>
      </c>
    </row>
    <row r="3079" spans="1:12">
      <c r="A3079" s="722" t="s">
        <v>352</v>
      </c>
      <c r="B3079" s="722">
        <v>430</v>
      </c>
      <c r="C3079" s="723">
        <v>476</v>
      </c>
      <c r="D3079" s="723">
        <v>729</v>
      </c>
      <c r="E3079" s="723">
        <v>0</v>
      </c>
      <c r="F3079" s="723">
        <v>0</v>
      </c>
      <c r="G3079" s="723">
        <v>1205</v>
      </c>
      <c r="H3079" s="724">
        <v>193083.2997501613</v>
      </c>
      <c r="I3079" s="724">
        <v>295709.5073904781</v>
      </c>
      <c r="J3079" s="724">
        <v>0</v>
      </c>
      <c r="K3079" s="724">
        <v>0</v>
      </c>
      <c r="L3079" s="724">
        <v>488792.8071406394</v>
      </c>
    </row>
    <row r="3080" spans="1:12">
      <c r="A3080" s="722" t="s">
        <v>352</v>
      </c>
      <c r="B3080" s="722">
        <v>501</v>
      </c>
      <c r="C3080" s="723">
        <v>1</v>
      </c>
      <c r="D3080" s="723">
        <v>1</v>
      </c>
      <c r="E3080" s="723">
        <v>0</v>
      </c>
      <c r="F3080" s="723">
        <v>0</v>
      </c>
      <c r="G3080" s="723">
        <v>2</v>
      </c>
      <c r="H3080" s="724">
        <v>405.63718434907832</v>
      </c>
      <c r="I3080" s="724">
        <v>405.63718434907832</v>
      </c>
      <c r="J3080" s="724">
        <v>0</v>
      </c>
      <c r="K3080" s="724">
        <v>0</v>
      </c>
      <c r="L3080" s="724">
        <v>811.27436869815665</v>
      </c>
    </row>
    <row r="3081" spans="1:12">
      <c r="A3081" s="722" t="s">
        <v>352</v>
      </c>
      <c r="B3081" s="722">
        <v>502</v>
      </c>
      <c r="C3081" s="723">
        <v>1</v>
      </c>
      <c r="D3081" s="723">
        <v>5</v>
      </c>
      <c r="E3081" s="723">
        <v>0</v>
      </c>
      <c r="F3081" s="723">
        <v>0</v>
      </c>
      <c r="G3081" s="723">
        <v>6</v>
      </c>
      <c r="H3081" s="724">
        <v>405.63718434907832</v>
      </c>
      <c r="I3081" s="724">
        <v>2028.1859217453919</v>
      </c>
      <c r="J3081" s="724">
        <v>0</v>
      </c>
      <c r="K3081" s="724">
        <v>0</v>
      </c>
      <c r="L3081" s="724">
        <v>2433.8231060944699</v>
      </c>
    </row>
    <row r="3082" spans="1:12">
      <c r="A3082" s="722" t="s">
        <v>352</v>
      </c>
      <c r="B3082" s="722">
        <v>800</v>
      </c>
      <c r="C3082" s="723">
        <v>5</v>
      </c>
      <c r="D3082" s="723">
        <v>0</v>
      </c>
      <c r="E3082" s="723">
        <v>0</v>
      </c>
      <c r="F3082" s="723">
        <v>0</v>
      </c>
      <c r="G3082" s="723">
        <v>5</v>
      </c>
      <c r="H3082" s="724">
        <v>2028.1859217453919</v>
      </c>
      <c r="I3082" s="724">
        <v>0</v>
      </c>
      <c r="J3082" s="724">
        <v>0</v>
      </c>
      <c r="K3082" s="724">
        <v>0</v>
      </c>
      <c r="L3082" s="724">
        <v>2028.1859217453919</v>
      </c>
    </row>
    <row r="3083" spans="1:12">
      <c r="A3083" s="722" t="s">
        <v>352</v>
      </c>
      <c r="B3083" s="722">
        <v>811</v>
      </c>
      <c r="C3083" s="723">
        <v>2</v>
      </c>
      <c r="D3083" s="723">
        <v>16</v>
      </c>
      <c r="E3083" s="723">
        <v>0</v>
      </c>
      <c r="F3083" s="723">
        <v>0</v>
      </c>
      <c r="G3083" s="723">
        <v>18</v>
      </c>
      <c r="H3083" s="724">
        <v>811.27436869815676</v>
      </c>
      <c r="I3083" s="724">
        <v>6490.1949495852541</v>
      </c>
      <c r="J3083" s="724">
        <v>0</v>
      </c>
      <c r="K3083" s="724">
        <v>0</v>
      </c>
      <c r="L3083" s="724">
        <v>7301.4693182834108</v>
      </c>
    </row>
    <row r="3084" spans="1:12">
      <c r="A3084" s="722" t="s">
        <v>352</v>
      </c>
      <c r="B3084" s="722">
        <v>812</v>
      </c>
      <c r="C3084" s="723">
        <v>38</v>
      </c>
      <c r="D3084" s="723">
        <v>73</v>
      </c>
      <c r="E3084" s="723">
        <v>0</v>
      </c>
      <c r="F3084" s="723">
        <v>0</v>
      </c>
      <c r="G3084" s="723">
        <v>111</v>
      </c>
      <c r="H3084" s="724">
        <v>15414.213005264979</v>
      </c>
      <c r="I3084" s="724">
        <v>29611.514457482725</v>
      </c>
      <c r="J3084" s="724">
        <v>0</v>
      </c>
      <c r="K3084" s="724">
        <v>0</v>
      </c>
      <c r="L3084" s="724">
        <v>45025.727462747702</v>
      </c>
    </row>
    <row r="3085" spans="1:12">
      <c r="A3085" s="722" t="s">
        <v>353</v>
      </c>
      <c r="B3085" s="722">
        <v>100</v>
      </c>
      <c r="C3085" s="723">
        <v>68</v>
      </c>
      <c r="D3085" s="723">
        <v>334</v>
      </c>
      <c r="E3085" s="723">
        <v>0</v>
      </c>
      <c r="F3085" s="723">
        <v>0</v>
      </c>
      <c r="G3085" s="723">
        <v>402</v>
      </c>
      <c r="H3085" s="724">
        <v>28988.197324197852</v>
      </c>
      <c r="I3085" s="724">
        <v>142383.20450414825</v>
      </c>
      <c r="J3085" s="724">
        <v>0</v>
      </c>
      <c r="K3085" s="724">
        <v>0</v>
      </c>
      <c r="L3085" s="724">
        <v>171371.4018283461</v>
      </c>
    </row>
    <row r="3086" spans="1:12">
      <c r="A3086" s="722" t="s">
        <v>353</v>
      </c>
      <c r="B3086" s="722">
        <v>101</v>
      </c>
      <c r="C3086" s="723">
        <v>2</v>
      </c>
      <c r="D3086" s="723">
        <v>0</v>
      </c>
      <c r="E3086" s="723">
        <v>0</v>
      </c>
      <c r="F3086" s="723">
        <v>0</v>
      </c>
      <c r="G3086" s="723">
        <v>2</v>
      </c>
      <c r="H3086" s="724">
        <v>852.59403894699551</v>
      </c>
      <c r="I3086" s="724">
        <v>0</v>
      </c>
      <c r="J3086" s="724">
        <v>0</v>
      </c>
      <c r="K3086" s="724">
        <v>0</v>
      </c>
      <c r="L3086" s="724">
        <v>852.59403894699551</v>
      </c>
    </row>
    <row r="3087" spans="1:12">
      <c r="A3087" s="722" t="s">
        <v>353</v>
      </c>
      <c r="B3087" s="722">
        <v>103</v>
      </c>
      <c r="C3087" s="723">
        <v>2</v>
      </c>
      <c r="D3087" s="723">
        <v>1</v>
      </c>
      <c r="E3087" s="723">
        <v>0</v>
      </c>
      <c r="F3087" s="723">
        <v>0</v>
      </c>
      <c r="G3087" s="723">
        <v>3</v>
      </c>
      <c r="H3087" s="724">
        <v>852.59403894699551</v>
      </c>
      <c r="I3087" s="724">
        <v>426.29701947349776</v>
      </c>
      <c r="J3087" s="724">
        <v>0</v>
      </c>
      <c r="K3087" s="724">
        <v>0</v>
      </c>
      <c r="L3087" s="724">
        <v>1278.8910584204932</v>
      </c>
    </row>
    <row r="3088" spans="1:12">
      <c r="A3088" s="722" t="s">
        <v>353</v>
      </c>
      <c r="B3088" s="722">
        <v>105</v>
      </c>
      <c r="C3088" s="723">
        <v>7</v>
      </c>
      <c r="D3088" s="723">
        <v>0</v>
      </c>
      <c r="E3088" s="723">
        <v>0</v>
      </c>
      <c r="F3088" s="723">
        <v>0</v>
      </c>
      <c r="G3088" s="723">
        <v>7</v>
      </c>
      <c r="H3088" s="724">
        <v>2984.079136314484</v>
      </c>
      <c r="I3088" s="724">
        <v>0</v>
      </c>
      <c r="J3088" s="724">
        <v>0</v>
      </c>
      <c r="K3088" s="724">
        <v>0</v>
      </c>
      <c r="L3088" s="724">
        <v>2984.079136314484</v>
      </c>
    </row>
    <row r="3089" spans="1:12">
      <c r="A3089" s="722" t="s">
        <v>353</v>
      </c>
      <c r="B3089" s="722">
        <v>107</v>
      </c>
      <c r="C3089" s="723">
        <v>170</v>
      </c>
      <c r="D3089" s="723">
        <v>342</v>
      </c>
      <c r="E3089" s="723">
        <v>0</v>
      </c>
      <c r="F3089" s="723">
        <v>0</v>
      </c>
      <c r="G3089" s="723">
        <v>512</v>
      </c>
      <c r="H3089" s="724">
        <v>72470.493310494625</v>
      </c>
      <c r="I3089" s="724">
        <v>145793.58065993624</v>
      </c>
      <c r="J3089" s="724">
        <v>0</v>
      </c>
      <c r="K3089" s="724">
        <v>0</v>
      </c>
      <c r="L3089" s="724">
        <v>218264.07397043085</v>
      </c>
    </row>
    <row r="3090" spans="1:12">
      <c r="A3090" s="722" t="s">
        <v>353</v>
      </c>
      <c r="B3090" s="722">
        <v>110</v>
      </c>
      <c r="C3090" s="723">
        <v>3</v>
      </c>
      <c r="D3090" s="723">
        <v>1</v>
      </c>
      <c r="E3090" s="723">
        <v>0</v>
      </c>
      <c r="F3090" s="723">
        <v>0</v>
      </c>
      <c r="G3090" s="723">
        <v>4</v>
      </c>
      <c r="H3090" s="724">
        <v>1278.8910584204932</v>
      </c>
      <c r="I3090" s="724">
        <v>426.29701947349776</v>
      </c>
      <c r="J3090" s="724">
        <v>0</v>
      </c>
      <c r="K3090" s="724">
        <v>0</v>
      </c>
      <c r="L3090" s="724">
        <v>1705.188077893991</v>
      </c>
    </row>
    <row r="3091" spans="1:12">
      <c r="A3091" s="722" t="s">
        <v>353</v>
      </c>
      <c r="B3091" s="722">
        <v>120</v>
      </c>
      <c r="C3091" s="723">
        <v>0</v>
      </c>
      <c r="D3091" s="723">
        <v>2</v>
      </c>
      <c r="E3091" s="723">
        <v>0</v>
      </c>
      <c r="F3091" s="723">
        <v>0</v>
      </c>
      <c r="G3091" s="723">
        <v>2</v>
      </c>
      <c r="H3091" s="724">
        <v>0</v>
      </c>
      <c r="I3091" s="724">
        <v>852.59403894699551</v>
      </c>
      <c r="J3091" s="724">
        <v>0</v>
      </c>
      <c r="K3091" s="724">
        <v>0</v>
      </c>
      <c r="L3091" s="724">
        <v>852.59403894699551</v>
      </c>
    </row>
    <row r="3092" spans="1:12">
      <c r="A3092" s="722" t="s">
        <v>353</v>
      </c>
      <c r="B3092" s="722">
        <v>130</v>
      </c>
      <c r="C3092" s="723">
        <v>3</v>
      </c>
      <c r="D3092" s="723">
        <v>2</v>
      </c>
      <c r="E3092" s="723">
        <v>0</v>
      </c>
      <c r="F3092" s="723">
        <v>0</v>
      </c>
      <c r="G3092" s="723">
        <v>5</v>
      </c>
      <c r="H3092" s="724">
        <v>1278.891058420493</v>
      </c>
      <c r="I3092" s="724">
        <v>852.5940389469954</v>
      </c>
      <c r="J3092" s="724">
        <v>0</v>
      </c>
      <c r="K3092" s="724">
        <v>0</v>
      </c>
      <c r="L3092" s="724">
        <v>2131.4850973674884</v>
      </c>
    </row>
    <row r="3093" spans="1:12">
      <c r="A3093" s="722" t="s">
        <v>353</v>
      </c>
      <c r="B3093" s="722">
        <v>140</v>
      </c>
      <c r="C3093" s="723">
        <v>1</v>
      </c>
      <c r="D3093" s="723">
        <v>1</v>
      </c>
      <c r="E3093" s="723">
        <v>0</v>
      </c>
      <c r="F3093" s="723">
        <v>0</v>
      </c>
      <c r="G3093" s="723">
        <v>2</v>
      </c>
      <c r="H3093" s="724">
        <v>426.29701947349776</v>
      </c>
      <c r="I3093" s="724">
        <v>426.29701947349776</v>
      </c>
      <c r="J3093" s="724">
        <v>0</v>
      </c>
      <c r="K3093" s="724">
        <v>0</v>
      </c>
      <c r="L3093" s="724">
        <v>852.59403894699551</v>
      </c>
    </row>
    <row r="3094" spans="1:12">
      <c r="A3094" s="722" t="s">
        <v>353</v>
      </c>
      <c r="B3094" s="722">
        <v>160</v>
      </c>
      <c r="C3094" s="723">
        <v>9</v>
      </c>
      <c r="D3094" s="723">
        <v>3</v>
      </c>
      <c r="E3094" s="723">
        <v>0</v>
      </c>
      <c r="F3094" s="723">
        <v>0</v>
      </c>
      <c r="G3094" s="723">
        <v>12</v>
      </c>
      <c r="H3094" s="724">
        <v>3836.6731752614796</v>
      </c>
      <c r="I3094" s="724">
        <v>1278.8910584204932</v>
      </c>
      <c r="J3094" s="724">
        <v>0</v>
      </c>
      <c r="K3094" s="724">
        <v>0</v>
      </c>
      <c r="L3094" s="724">
        <v>5115.5642336819728</v>
      </c>
    </row>
    <row r="3095" spans="1:12">
      <c r="A3095" s="722" t="s">
        <v>353</v>
      </c>
      <c r="B3095" s="722">
        <v>191</v>
      </c>
      <c r="C3095" s="723">
        <v>7</v>
      </c>
      <c r="D3095" s="723">
        <v>4</v>
      </c>
      <c r="E3095" s="723">
        <v>0</v>
      </c>
      <c r="F3095" s="723">
        <v>0</v>
      </c>
      <c r="G3095" s="723">
        <v>11</v>
      </c>
      <c r="H3095" s="724">
        <v>2984.0791363144835</v>
      </c>
      <c r="I3095" s="724">
        <v>1705.1880778939908</v>
      </c>
      <c r="J3095" s="724">
        <v>0</v>
      </c>
      <c r="K3095" s="724">
        <v>0</v>
      </c>
      <c r="L3095" s="724">
        <v>4689.2672142084748</v>
      </c>
    </row>
    <row r="3096" spans="1:12">
      <c r="A3096" s="722" t="s">
        <v>353</v>
      </c>
      <c r="B3096" s="722">
        <v>211</v>
      </c>
      <c r="C3096" s="723">
        <v>13</v>
      </c>
      <c r="D3096" s="723">
        <v>0</v>
      </c>
      <c r="E3096" s="723">
        <v>0</v>
      </c>
      <c r="F3096" s="723">
        <v>0</v>
      </c>
      <c r="G3096" s="723">
        <v>13</v>
      </c>
      <c r="H3096" s="724">
        <v>5541.86125315547</v>
      </c>
      <c r="I3096" s="724">
        <v>0</v>
      </c>
      <c r="J3096" s="724">
        <v>0</v>
      </c>
      <c r="K3096" s="724">
        <v>0</v>
      </c>
      <c r="L3096" s="724">
        <v>5541.8612531554709</v>
      </c>
    </row>
    <row r="3097" spans="1:12">
      <c r="A3097" s="722" t="s">
        <v>353</v>
      </c>
      <c r="B3097" s="722">
        <v>212</v>
      </c>
      <c r="C3097" s="723">
        <v>18</v>
      </c>
      <c r="D3097" s="723">
        <v>0</v>
      </c>
      <c r="E3097" s="723">
        <v>0</v>
      </c>
      <c r="F3097" s="723">
        <v>0</v>
      </c>
      <c r="G3097" s="723">
        <v>18</v>
      </c>
      <c r="H3097" s="724">
        <v>7673.3463505229593</v>
      </c>
      <c r="I3097" s="724">
        <v>0</v>
      </c>
      <c r="J3097" s="724">
        <v>0</v>
      </c>
      <c r="K3097" s="724">
        <v>0</v>
      </c>
      <c r="L3097" s="724">
        <v>7673.3463505229593</v>
      </c>
    </row>
    <row r="3098" spans="1:12">
      <c r="A3098" s="722" t="s">
        <v>353</v>
      </c>
      <c r="B3098" s="722">
        <v>251</v>
      </c>
      <c r="C3098" s="723">
        <v>1</v>
      </c>
      <c r="D3098" s="723">
        <v>1</v>
      </c>
      <c r="E3098" s="723">
        <v>0</v>
      </c>
      <c r="F3098" s="723">
        <v>0</v>
      </c>
      <c r="G3098" s="723">
        <v>2</v>
      </c>
      <c r="H3098" s="724">
        <v>426.29701947349776</v>
      </c>
      <c r="I3098" s="724">
        <v>426.29701947349776</v>
      </c>
      <c r="J3098" s="724">
        <v>0</v>
      </c>
      <c r="K3098" s="724">
        <v>0</v>
      </c>
      <c r="L3098" s="724">
        <v>852.59403894699551</v>
      </c>
    </row>
    <row r="3099" spans="1:12">
      <c r="A3099" s="722" t="s">
        <v>353</v>
      </c>
      <c r="B3099" s="722">
        <v>252</v>
      </c>
      <c r="C3099" s="723">
        <v>15</v>
      </c>
      <c r="D3099" s="723">
        <v>2</v>
      </c>
      <c r="E3099" s="723">
        <v>0</v>
      </c>
      <c r="F3099" s="723">
        <v>0</v>
      </c>
      <c r="G3099" s="723">
        <v>17</v>
      </c>
      <c r="H3099" s="724">
        <v>6394.455292102466</v>
      </c>
      <c r="I3099" s="724">
        <v>852.59403894699551</v>
      </c>
      <c r="J3099" s="724">
        <v>0</v>
      </c>
      <c r="K3099" s="724">
        <v>0</v>
      </c>
      <c r="L3099" s="724">
        <v>7247.0493310494621</v>
      </c>
    </row>
    <row r="3100" spans="1:12">
      <c r="A3100" s="722" t="s">
        <v>353</v>
      </c>
      <c r="B3100" s="722">
        <v>257</v>
      </c>
      <c r="C3100" s="723">
        <v>14</v>
      </c>
      <c r="D3100" s="723">
        <v>0</v>
      </c>
      <c r="E3100" s="723">
        <v>0</v>
      </c>
      <c r="F3100" s="723">
        <v>0</v>
      </c>
      <c r="G3100" s="723">
        <v>14</v>
      </c>
      <c r="H3100" s="724">
        <v>5968.158272628968</v>
      </c>
      <c r="I3100" s="724">
        <v>0</v>
      </c>
      <c r="J3100" s="724">
        <v>0</v>
      </c>
      <c r="K3100" s="724">
        <v>0</v>
      </c>
      <c r="L3100" s="724">
        <v>5968.158272628968</v>
      </c>
    </row>
    <row r="3101" spans="1:12">
      <c r="A3101" s="722" t="s">
        <v>353</v>
      </c>
      <c r="B3101" s="722">
        <v>259</v>
      </c>
      <c r="C3101" s="723">
        <v>97</v>
      </c>
      <c r="D3101" s="723">
        <v>14</v>
      </c>
      <c r="E3101" s="723">
        <v>0</v>
      </c>
      <c r="F3101" s="723">
        <v>0</v>
      </c>
      <c r="G3101" s="723">
        <v>111</v>
      </c>
      <c r="H3101" s="724">
        <v>41350.810888929285</v>
      </c>
      <c r="I3101" s="724">
        <v>5968.158272628968</v>
      </c>
      <c r="J3101" s="724">
        <v>0</v>
      </c>
      <c r="K3101" s="724">
        <v>0</v>
      </c>
      <c r="L3101" s="724">
        <v>47318.969161558249</v>
      </c>
    </row>
    <row r="3102" spans="1:12">
      <c r="A3102" s="722" t="s">
        <v>353</v>
      </c>
      <c r="B3102" s="722">
        <v>262</v>
      </c>
      <c r="C3102" s="723">
        <v>206</v>
      </c>
      <c r="D3102" s="723">
        <v>105</v>
      </c>
      <c r="E3102" s="723">
        <v>0</v>
      </c>
      <c r="F3102" s="723">
        <v>0</v>
      </c>
      <c r="G3102" s="723">
        <v>311</v>
      </c>
      <c r="H3102" s="724">
        <v>87817.186011540514</v>
      </c>
      <c r="I3102" s="724">
        <v>44761.187044717255</v>
      </c>
      <c r="J3102" s="724">
        <v>0</v>
      </c>
      <c r="K3102" s="724">
        <v>0</v>
      </c>
      <c r="L3102" s="724">
        <v>132578.37305625778</v>
      </c>
    </row>
    <row r="3103" spans="1:12">
      <c r="A3103" s="722" t="s">
        <v>353</v>
      </c>
      <c r="B3103" s="722">
        <v>300</v>
      </c>
      <c r="C3103" s="723">
        <v>15</v>
      </c>
      <c r="D3103" s="723">
        <v>23</v>
      </c>
      <c r="E3103" s="723">
        <v>0</v>
      </c>
      <c r="F3103" s="723">
        <v>0</v>
      </c>
      <c r="G3103" s="723">
        <v>38</v>
      </c>
      <c r="H3103" s="724">
        <v>6394.455292102466</v>
      </c>
      <c r="I3103" s="724">
        <v>9804.8314478904467</v>
      </c>
      <c r="J3103" s="724">
        <v>0</v>
      </c>
      <c r="K3103" s="724">
        <v>0</v>
      </c>
      <c r="L3103" s="724">
        <v>16199.286739992913</v>
      </c>
    </row>
    <row r="3104" spans="1:12">
      <c r="A3104" s="722" t="s">
        <v>353</v>
      </c>
      <c r="B3104" s="722">
        <v>301</v>
      </c>
      <c r="C3104" s="723">
        <v>3</v>
      </c>
      <c r="D3104" s="723">
        <v>4</v>
      </c>
      <c r="E3104" s="723">
        <v>0</v>
      </c>
      <c r="F3104" s="723">
        <v>0</v>
      </c>
      <c r="G3104" s="723">
        <v>7</v>
      </c>
      <c r="H3104" s="724">
        <v>1278.8910584204932</v>
      </c>
      <c r="I3104" s="724">
        <v>1705.1880778939908</v>
      </c>
      <c r="J3104" s="724">
        <v>0</v>
      </c>
      <c r="K3104" s="724">
        <v>0</v>
      </c>
      <c r="L3104" s="724">
        <v>2984.079136314484</v>
      </c>
    </row>
    <row r="3105" spans="1:12">
      <c r="A3105" s="722" t="s">
        <v>353</v>
      </c>
      <c r="B3105" s="722">
        <v>304</v>
      </c>
      <c r="C3105" s="723">
        <v>17</v>
      </c>
      <c r="D3105" s="723">
        <v>259</v>
      </c>
      <c r="E3105" s="723">
        <v>0</v>
      </c>
      <c r="F3105" s="723">
        <v>0</v>
      </c>
      <c r="G3105" s="723">
        <v>276</v>
      </c>
      <c r="H3105" s="724">
        <v>7247.0493310494621</v>
      </c>
      <c r="I3105" s="724">
        <v>110410.92804363591</v>
      </c>
      <c r="J3105" s="724">
        <v>0</v>
      </c>
      <c r="K3105" s="724">
        <v>0</v>
      </c>
      <c r="L3105" s="724">
        <v>117657.97737468538</v>
      </c>
    </row>
    <row r="3106" spans="1:12">
      <c r="A3106" s="722" t="s">
        <v>353</v>
      </c>
      <c r="B3106" s="722">
        <v>305</v>
      </c>
      <c r="C3106" s="723">
        <v>1</v>
      </c>
      <c r="D3106" s="723">
        <v>0</v>
      </c>
      <c r="E3106" s="723">
        <v>0</v>
      </c>
      <c r="F3106" s="723">
        <v>0</v>
      </c>
      <c r="G3106" s="723">
        <v>1</v>
      </c>
      <c r="H3106" s="724">
        <v>426.29701947349776</v>
      </c>
      <c r="I3106" s="724">
        <v>0</v>
      </c>
      <c r="J3106" s="724">
        <v>0</v>
      </c>
      <c r="K3106" s="724">
        <v>0</v>
      </c>
      <c r="L3106" s="724">
        <v>426.29701947349776</v>
      </c>
    </row>
    <row r="3107" spans="1:12">
      <c r="A3107" s="722" t="s">
        <v>353</v>
      </c>
      <c r="B3107" s="722">
        <v>306</v>
      </c>
      <c r="C3107" s="723">
        <v>423</v>
      </c>
      <c r="D3107" s="723">
        <v>42</v>
      </c>
      <c r="E3107" s="723">
        <v>0</v>
      </c>
      <c r="F3107" s="723">
        <v>0</v>
      </c>
      <c r="G3107" s="723">
        <v>465</v>
      </c>
      <c r="H3107" s="724">
        <v>180323.63923728955</v>
      </c>
      <c r="I3107" s="724">
        <v>17904.474817886905</v>
      </c>
      <c r="J3107" s="724">
        <v>0</v>
      </c>
      <c r="K3107" s="724">
        <v>0</v>
      </c>
      <c r="L3107" s="724">
        <v>198228.11405517647</v>
      </c>
    </row>
    <row r="3108" spans="1:12">
      <c r="A3108" s="722" t="s">
        <v>353</v>
      </c>
      <c r="B3108" s="722">
        <v>307</v>
      </c>
      <c r="C3108" s="723">
        <v>4</v>
      </c>
      <c r="D3108" s="723">
        <v>0</v>
      </c>
      <c r="E3108" s="723">
        <v>0</v>
      </c>
      <c r="F3108" s="723">
        <v>0</v>
      </c>
      <c r="G3108" s="723">
        <v>4</v>
      </c>
      <c r="H3108" s="724">
        <v>1705.188077893991</v>
      </c>
      <c r="I3108" s="724">
        <v>0</v>
      </c>
      <c r="J3108" s="724">
        <v>0</v>
      </c>
      <c r="K3108" s="724">
        <v>0</v>
      </c>
      <c r="L3108" s="724">
        <v>1705.188077893991</v>
      </c>
    </row>
    <row r="3109" spans="1:12">
      <c r="A3109" s="722" t="s">
        <v>353</v>
      </c>
      <c r="B3109" s="722">
        <v>314</v>
      </c>
      <c r="C3109" s="723">
        <v>5</v>
      </c>
      <c r="D3109" s="723">
        <v>0</v>
      </c>
      <c r="E3109" s="723">
        <v>0</v>
      </c>
      <c r="F3109" s="723">
        <v>0</v>
      </c>
      <c r="G3109" s="723">
        <v>5</v>
      </c>
      <c r="H3109" s="724">
        <v>2131.4850973674884</v>
      </c>
      <c r="I3109" s="724">
        <v>0</v>
      </c>
      <c r="J3109" s="724">
        <v>0</v>
      </c>
      <c r="K3109" s="724">
        <v>0</v>
      </c>
      <c r="L3109" s="724">
        <v>2131.4850973674884</v>
      </c>
    </row>
    <row r="3110" spans="1:12">
      <c r="A3110" s="722" t="s">
        <v>353</v>
      </c>
      <c r="B3110" s="722">
        <v>320</v>
      </c>
      <c r="C3110" s="723">
        <v>4</v>
      </c>
      <c r="D3110" s="723">
        <v>4</v>
      </c>
      <c r="E3110" s="723">
        <v>0</v>
      </c>
      <c r="F3110" s="723">
        <v>0</v>
      </c>
      <c r="G3110" s="723">
        <v>8</v>
      </c>
      <c r="H3110" s="724">
        <v>1705.188077893991</v>
      </c>
      <c r="I3110" s="724">
        <v>1705.188077893991</v>
      </c>
      <c r="J3110" s="724">
        <v>0</v>
      </c>
      <c r="K3110" s="724">
        <v>0</v>
      </c>
      <c r="L3110" s="724">
        <v>3410.376155787982</v>
      </c>
    </row>
    <row r="3111" spans="1:12">
      <c r="A3111" s="722" t="s">
        <v>353</v>
      </c>
      <c r="B3111" s="722">
        <v>324</v>
      </c>
      <c r="C3111" s="723">
        <v>1</v>
      </c>
      <c r="D3111" s="723">
        <v>0</v>
      </c>
      <c r="E3111" s="723">
        <v>0</v>
      </c>
      <c r="F3111" s="723">
        <v>0</v>
      </c>
      <c r="G3111" s="723">
        <v>1</v>
      </c>
      <c r="H3111" s="724">
        <v>426.29701947349776</v>
      </c>
      <c r="I3111" s="724">
        <v>0</v>
      </c>
      <c r="J3111" s="724">
        <v>0</v>
      </c>
      <c r="K3111" s="724">
        <v>0</v>
      </c>
      <c r="L3111" s="724">
        <v>426.29701947349776</v>
      </c>
    </row>
    <row r="3112" spans="1:12">
      <c r="A3112" s="722" t="s">
        <v>353</v>
      </c>
      <c r="B3112" s="722">
        <v>340</v>
      </c>
      <c r="C3112" s="723">
        <v>3</v>
      </c>
      <c r="D3112" s="723">
        <v>4</v>
      </c>
      <c r="E3112" s="723">
        <v>0</v>
      </c>
      <c r="F3112" s="723">
        <v>0</v>
      </c>
      <c r="G3112" s="723">
        <v>7</v>
      </c>
      <c r="H3112" s="724">
        <v>1278.8910584204932</v>
      </c>
      <c r="I3112" s="724">
        <v>1705.1880778939908</v>
      </c>
      <c r="J3112" s="724">
        <v>0</v>
      </c>
      <c r="K3112" s="724">
        <v>0</v>
      </c>
      <c r="L3112" s="724">
        <v>2984.079136314484</v>
      </c>
    </row>
    <row r="3113" spans="1:12">
      <c r="A3113" s="722" t="s">
        <v>353</v>
      </c>
      <c r="B3113" s="722">
        <v>350</v>
      </c>
      <c r="C3113" s="723">
        <v>147</v>
      </c>
      <c r="D3113" s="723">
        <v>38</v>
      </c>
      <c r="E3113" s="723">
        <v>0</v>
      </c>
      <c r="F3113" s="723">
        <v>0</v>
      </c>
      <c r="G3113" s="723">
        <v>185</v>
      </c>
      <c r="H3113" s="724">
        <v>62665.661862604167</v>
      </c>
      <c r="I3113" s="724">
        <v>16199.286739992915</v>
      </c>
      <c r="J3113" s="724">
        <v>0</v>
      </c>
      <c r="K3113" s="724">
        <v>0</v>
      </c>
      <c r="L3113" s="724">
        <v>78864.948602597084</v>
      </c>
    </row>
    <row r="3114" spans="1:12">
      <c r="A3114" s="722" t="s">
        <v>353</v>
      </c>
      <c r="B3114" s="722">
        <v>361</v>
      </c>
      <c r="C3114" s="723">
        <v>3</v>
      </c>
      <c r="D3114" s="723">
        <v>0</v>
      </c>
      <c r="E3114" s="723">
        <v>0</v>
      </c>
      <c r="F3114" s="723">
        <v>0</v>
      </c>
      <c r="G3114" s="723">
        <v>3</v>
      </c>
      <c r="H3114" s="724">
        <v>1278.8910584204932</v>
      </c>
      <c r="I3114" s="724">
        <v>0</v>
      </c>
      <c r="J3114" s="724">
        <v>0</v>
      </c>
      <c r="K3114" s="724">
        <v>0</v>
      </c>
      <c r="L3114" s="724">
        <v>1278.8910584204932</v>
      </c>
    </row>
    <row r="3115" spans="1:12">
      <c r="A3115" s="722" t="s">
        <v>353</v>
      </c>
      <c r="B3115" s="722">
        <v>370</v>
      </c>
      <c r="C3115" s="723">
        <v>7</v>
      </c>
      <c r="D3115" s="723">
        <v>0</v>
      </c>
      <c r="E3115" s="723">
        <v>0</v>
      </c>
      <c r="F3115" s="723">
        <v>0</v>
      </c>
      <c r="G3115" s="723">
        <v>7</v>
      </c>
      <c r="H3115" s="724">
        <v>2984.079136314484</v>
      </c>
      <c r="I3115" s="724">
        <v>0</v>
      </c>
      <c r="J3115" s="724">
        <v>0</v>
      </c>
      <c r="K3115" s="724">
        <v>0</v>
      </c>
      <c r="L3115" s="724">
        <v>2984.079136314484</v>
      </c>
    </row>
    <row r="3116" spans="1:12">
      <c r="A3116" s="722" t="s">
        <v>353</v>
      </c>
      <c r="B3116" s="722">
        <v>400</v>
      </c>
      <c r="C3116" s="723">
        <v>2</v>
      </c>
      <c r="D3116" s="723">
        <v>2</v>
      </c>
      <c r="E3116" s="723">
        <v>0</v>
      </c>
      <c r="F3116" s="723">
        <v>0</v>
      </c>
      <c r="G3116" s="723">
        <v>4</v>
      </c>
      <c r="H3116" s="724">
        <v>852.59403894699551</v>
      </c>
      <c r="I3116" s="724">
        <v>852.59403894699551</v>
      </c>
      <c r="J3116" s="724">
        <v>0</v>
      </c>
      <c r="K3116" s="724">
        <v>0</v>
      </c>
      <c r="L3116" s="724">
        <v>1705.188077893991</v>
      </c>
    </row>
    <row r="3117" spans="1:12">
      <c r="A3117" s="722" t="s">
        <v>353</v>
      </c>
      <c r="B3117" s="722">
        <v>420</v>
      </c>
      <c r="C3117" s="723">
        <v>16</v>
      </c>
      <c r="D3117" s="723">
        <v>15</v>
      </c>
      <c r="E3117" s="723">
        <v>0</v>
      </c>
      <c r="F3117" s="723">
        <v>0</v>
      </c>
      <c r="G3117" s="723">
        <v>31</v>
      </c>
      <c r="H3117" s="724">
        <v>6820.7523115759641</v>
      </c>
      <c r="I3117" s="724">
        <v>6394.455292102467</v>
      </c>
      <c r="J3117" s="724">
        <v>0</v>
      </c>
      <c r="K3117" s="724">
        <v>0</v>
      </c>
      <c r="L3117" s="724">
        <v>13215.207603678431</v>
      </c>
    </row>
    <row r="3118" spans="1:12">
      <c r="A3118" s="722" t="s">
        <v>353</v>
      </c>
      <c r="B3118" s="722">
        <v>421</v>
      </c>
      <c r="C3118" s="723">
        <v>6</v>
      </c>
      <c r="D3118" s="723">
        <v>7</v>
      </c>
      <c r="E3118" s="723">
        <v>0</v>
      </c>
      <c r="F3118" s="723">
        <v>0</v>
      </c>
      <c r="G3118" s="723">
        <v>13</v>
      </c>
      <c r="H3118" s="724">
        <v>2557.7821168409864</v>
      </c>
      <c r="I3118" s="724">
        <v>2984.0791363144845</v>
      </c>
      <c r="J3118" s="724">
        <v>0</v>
      </c>
      <c r="K3118" s="724">
        <v>0</v>
      </c>
      <c r="L3118" s="724">
        <v>5541.8612531554709</v>
      </c>
    </row>
    <row r="3119" spans="1:12">
      <c r="A3119" s="722" t="s">
        <v>353</v>
      </c>
      <c r="B3119" s="722">
        <v>430</v>
      </c>
      <c r="C3119" s="723">
        <v>8</v>
      </c>
      <c r="D3119" s="723">
        <v>13</v>
      </c>
      <c r="E3119" s="723">
        <v>0</v>
      </c>
      <c r="F3119" s="723">
        <v>0</v>
      </c>
      <c r="G3119" s="723">
        <v>21</v>
      </c>
      <c r="H3119" s="724">
        <v>3410.376155787982</v>
      </c>
      <c r="I3119" s="724">
        <v>5541.86125315547</v>
      </c>
      <c r="J3119" s="724">
        <v>0</v>
      </c>
      <c r="K3119" s="724">
        <v>0</v>
      </c>
      <c r="L3119" s="724">
        <v>8952.2374089434525</v>
      </c>
    </row>
    <row r="3120" spans="1:12">
      <c r="A3120" s="722" t="s">
        <v>353</v>
      </c>
      <c r="B3120" s="722">
        <v>501</v>
      </c>
      <c r="C3120" s="723">
        <v>184</v>
      </c>
      <c r="D3120" s="723">
        <v>383</v>
      </c>
      <c r="E3120" s="723">
        <v>0</v>
      </c>
      <c r="F3120" s="723">
        <v>0</v>
      </c>
      <c r="G3120" s="723">
        <v>567</v>
      </c>
      <c r="H3120" s="724">
        <v>78438.651583123588</v>
      </c>
      <c r="I3120" s="724">
        <v>163271.75845834965</v>
      </c>
      <c r="J3120" s="724">
        <v>0</v>
      </c>
      <c r="K3120" s="724">
        <v>0</v>
      </c>
      <c r="L3120" s="724">
        <v>241710.41004147322</v>
      </c>
    </row>
    <row r="3121" spans="1:12">
      <c r="A3121" s="722" t="s">
        <v>353</v>
      </c>
      <c r="B3121" s="722">
        <v>502</v>
      </c>
      <c r="C3121" s="723">
        <v>8</v>
      </c>
      <c r="D3121" s="723">
        <v>21</v>
      </c>
      <c r="E3121" s="723">
        <v>0</v>
      </c>
      <c r="F3121" s="723">
        <v>0</v>
      </c>
      <c r="G3121" s="723">
        <v>29</v>
      </c>
      <c r="H3121" s="724">
        <v>3410.376155787982</v>
      </c>
      <c r="I3121" s="724">
        <v>8952.2374089434525</v>
      </c>
      <c r="J3121" s="724">
        <v>0</v>
      </c>
      <c r="K3121" s="724">
        <v>0</v>
      </c>
      <c r="L3121" s="724">
        <v>12362.613564731435</v>
      </c>
    </row>
    <row r="3122" spans="1:12">
      <c r="A3122" s="722" t="s">
        <v>353</v>
      </c>
      <c r="B3122" s="722">
        <v>503</v>
      </c>
      <c r="C3122" s="723">
        <v>1</v>
      </c>
      <c r="D3122" s="723">
        <v>0</v>
      </c>
      <c r="E3122" s="723">
        <v>0</v>
      </c>
      <c r="F3122" s="723">
        <v>0</v>
      </c>
      <c r="G3122" s="723">
        <v>1</v>
      </c>
      <c r="H3122" s="724">
        <v>426.29701947349776</v>
      </c>
      <c r="I3122" s="724">
        <v>0</v>
      </c>
      <c r="J3122" s="724">
        <v>0</v>
      </c>
      <c r="K3122" s="724">
        <v>0</v>
      </c>
      <c r="L3122" s="724">
        <v>426.29701947349776</v>
      </c>
    </row>
    <row r="3123" spans="1:12">
      <c r="A3123" s="722" t="s">
        <v>353</v>
      </c>
      <c r="B3123" s="722">
        <v>560</v>
      </c>
      <c r="C3123" s="723">
        <v>48</v>
      </c>
      <c r="D3123" s="723">
        <v>1336</v>
      </c>
      <c r="E3123" s="723">
        <v>0</v>
      </c>
      <c r="F3123" s="723">
        <v>0</v>
      </c>
      <c r="G3123" s="723">
        <v>1384</v>
      </c>
      <c r="H3123" s="724">
        <v>20462.256934727891</v>
      </c>
      <c r="I3123" s="724">
        <v>569532.818016593</v>
      </c>
      <c r="J3123" s="724">
        <v>0</v>
      </c>
      <c r="K3123" s="724">
        <v>0</v>
      </c>
      <c r="L3123" s="724">
        <v>589995.07495132089</v>
      </c>
    </row>
    <row r="3124" spans="1:12">
      <c r="A3124" s="722" t="s">
        <v>353</v>
      </c>
      <c r="B3124" s="722">
        <v>800</v>
      </c>
      <c r="C3124" s="723">
        <v>1</v>
      </c>
      <c r="D3124" s="723">
        <v>0</v>
      </c>
      <c r="E3124" s="723">
        <v>0</v>
      </c>
      <c r="F3124" s="723">
        <v>0</v>
      </c>
      <c r="G3124" s="723">
        <v>1</v>
      </c>
      <c r="H3124" s="724">
        <v>426.29701947349776</v>
      </c>
      <c r="I3124" s="724">
        <v>0</v>
      </c>
      <c r="J3124" s="724">
        <v>0</v>
      </c>
      <c r="K3124" s="724">
        <v>0</v>
      </c>
      <c r="L3124" s="724">
        <v>426.29701947349776</v>
      </c>
    </row>
    <row r="3125" spans="1:12">
      <c r="A3125" s="722" t="s">
        <v>353</v>
      </c>
      <c r="B3125" s="722">
        <v>811</v>
      </c>
      <c r="C3125" s="723">
        <v>146</v>
      </c>
      <c r="D3125" s="723">
        <v>478</v>
      </c>
      <c r="E3125" s="723">
        <v>0</v>
      </c>
      <c r="F3125" s="723">
        <v>0</v>
      </c>
      <c r="G3125" s="723">
        <v>624</v>
      </c>
      <c r="H3125" s="724">
        <v>62239.364843130672</v>
      </c>
      <c r="I3125" s="724">
        <v>203769.97530833192</v>
      </c>
      <c r="J3125" s="724">
        <v>0</v>
      </c>
      <c r="K3125" s="724">
        <v>0</v>
      </c>
      <c r="L3125" s="724">
        <v>266009.34015146259</v>
      </c>
    </row>
    <row r="3126" spans="1:12">
      <c r="A3126" s="722" t="s">
        <v>353</v>
      </c>
      <c r="B3126" s="722">
        <v>812</v>
      </c>
      <c r="C3126" s="723">
        <v>502</v>
      </c>
      <c r="D3126" s="723">
        <v>124</v>
      </c>
      <c r="E3126" s="723">
        <v>0</v>
      </c>
      <c r="F3126" s="723">
        <v>0</v>
      </c>
      <c r="G3126" s="723">
        <v>626</v>
      </c>
      <c r="H3126" s="724">
        <v>214001.1037756959</v>
      </c>
      <c r="I3126" s="724">
        <v>52860.830414713724</v>
      </c>
      <c r="J3126" s="724">
        <v>0</v>
      </c>
      <c r="K3126" s="724">
        <v>0</v>
      </c>
      <c r="L3126" s="724">
        <v>266861.93419040961</v>
      </c>
    </row>
    <row r="3127" spans="1:12">
      <c r="A3127" s="722" t="s">
        <v>353</v>
      </c>
      <c r="B3127" s="722">
        <v>822</v>
      </c>
      <c r="C3127" s="723">
        <v>2</v>
      </c>
      <c r="D3127" s="723">
        <v>0</v>
      </c>
      <c r="E3127" s="723">
        <v>0</v>
      </c>
      <c r="F3127" s="723">
        <v>0</v>
      </c>
      <c r="G3127" s="723">
        <v>2</v>
      </c>
      <c r="H3127" s="724">
        <v>852.59403894699551</v>
      </c>
      <c r="I3127" s="724">
        <v>0</v>
      </c>
      <c r="J3127" s="724">
        <v>0</v>
      </c>
      <c r="K3127" s="724">
        <v>0</v>
      </c>
      <c r="L3127" s="724">
        <v>852.59403894699551</v>
      </c>
    </row>
    <row r="3128" spans="1:12">
      <c r="A3128" s="722" t="s">
        <v>604</v>
      </c>
      <c r="B3128" s="722">
        <v>100</v>
      </c>
      <c r="C3128" s="723">
        <v>1</v>
      </c>
      <c r="D3128" s="723">
        <v>0</v>
      </c>
      <c r="E3128" s="723">
        <v>0</v>
      </c>
      <c r="F3128" s="723">
        <v>0</v>
      </c>
      <c r="G3128" s="723">
        <v>1</v>
      </c>
      <c r="H3128" s="724">
        <v>7038.1013838818999</v>
      </c>
      <c r="I3128" s="724">
        <v>0</v>
      </c>
      <c r="J3128" s="724">
        <v>0</v>
      </c>
      <c r="K3128" s="724">
        <v>0</v>
      </c>
      <c r="L3128" s="724">
        <v>7038.1013838818999</v>
      </c>
    </row>
    <row r="3129" spans="1:12">
      <c r="A3129" s="722" t="s">
        <v>604</v>
      </c>
      <c r="B3129" s="722">
        <v>320</v>
      </c>
      <c r="C3129" s="723">
        <v>1</v>
      </c>
      <c r="D3129" s="723">
        <v>0</v>
      </c>
      <c r="E3129" s="723">
        <v>0</v>
      </c>
      <c r="F3129" s="723">
        <v>0</v>
      </c>
      <c r="G3129" s="723">
        <v>1</v>
      </c>
      <c r="H3129" s="724">
        <v>7038.1013838818999</v>
      </c>
      <c r="I3129" s="724">
        <v>0</v>
      </c>
      <c r="J3129" s="724">
        <v>0</v>
      </c>
      <c r="K3129" s="724">
        <v>0</v>
      </c>
      <c r="L3129" s="724">
        <v>7038.1013838818999</v>
      </c>
    </row>
    <row r="3130" spans="1:12">
      <c r="A3130" s="722" t="s">
        <v>559</v>
      </c>
      <c r="B3130" s="722">
        <v>100</v>
      </c>
      <c r="C3130" s="723">
        <v>710</v>
      </c>
      <c r="D3130" s="723">
        <v>37</v>
      </c>
      <c r="E3130" s="723">
        <v>0</v>
      </c>
      <c r="F3130" s="723">
        <v>0</v>
      </c>
      <c r="G3130" s="723">
        <v>747</v>
      </c>
      <c r="H3130" s="724">
        <v>114995.53348911765</v>
      </c>
      <c r="I3130" s="724">
        <v>5992.7249846441591</v>
      </c>
      <c r="J3130" s="724">
        <v>0</v>
      </c>
      <c r="K3130" s="724">
        <v>0</v>
      </c>
      <c r="L3130" s="724">
        <v>120988.2584737618</v>
      </c>
    </row>
    <row r="3131" spans="1:12">
      <c r="A3131" s="722" t="s">
        <v>559</v>
      </c>
      <c r="B3131" s="722">
        <v>104</v>
      </c>
      <c r="C3131" s="723">
        <v>0</v>
      </c>
      <c r="D3131" s="723">
        <v>2</v>
      </c>
      <c r="E3131" s="723">
        <v>0</v>
      </c>
      <c r="F3131" s="723">
        <v>0</v>
      </c>
      <c r="G3131" s="723">
        <v>2</v>
      </c>
      <c r="H3131" s="724">
        <v>0</v>
      </c>
      <c r="I3131" s="724">
        <v>323.93108025103561</v>
      </c>
      <c r="J3131" s="724">
        <v>0</v>
      </c>
      <c r="K3131" s="724">
        <v>0</v>
      </c>
      <c r="L3131" s="724">
        <v>323.93108025103561</v>
      </c>
    </row>
    <row r="3132" spans="1:12">
      <c r="A3132" s="722" t="s">
        <v>559</v>
      </c>
      <c r="B3132" s="722">
        <v>106</v>
      </c>
      <c r="C3132" s="723">
        <v>0</v>
      </c>
      <c r="D3132" s="723">
        <v>2</v>
      </c>
      <c r="E3132" s="723">
        <v>0</v>
      </c>
      <c r="F3132" s="723">
        <v>0</v>
      </c>
      <c r="G3132" s="723">
        <v>2</v>
      </c>
      <c r="H3132" s="724">
        <v>0</v>
      </c>
      <c r="I3132" s="724">
        <v>323.93108025103561</v>
      </c>
      <c r="J3132" s="724">
        <v>0</v>
      </c>
      <c r="K3132" s="724">
        <v>0</v>
      </c>
      <c r="L3132" s="724">
        <v>323.93108025103561</v>
      </c>
    </row>
    <row r="3133" spans="1:12">
      <c r="A3133" s="722" t="s">
        <v>559</v>
      </c>
      <c r="B3133" s="722">
        <v>107</v>
      </c>
      <c r="C3133" s="723">
        <v>1708</v>
      </c>
      <c r="D3133" s="723">
        <v>198</v>
      </c>
      <c r="E3133" s="723">
        <v>0</v>
      </c>
      <c r="F3133" s="723">
        <v>0</v>
      </c>
      <c r="G3133" s="723">
        <v>1906</v>
      </c>
      <c r="H3133" s="724">
        <v>276637.14253438445</v>
      </c>
      <c r="I3133" s="724">
        <v>32069.176944852527</v>
      </c>
      <c r="J3133" s="724">
        <v>0</v>
      </c>
      <c r="K3133" s="724">
        <v>0</v>
      </c>
      <c r="L3133" s="724">
        <v>308706.31947923696</v>
      </c>
    </row>
    <row r="3134" spans="1:12">
      <c r="A3134" s="722" t="s">
        <v>559</v>
      </c>
      <c r="B3134" s="722">
        <v>110</v>
      </c>
      <c r="C3134" s="723">
        <v>1</v>
      </c>
      <c r="D3134" s="723">
        <v>0</v>
      </c>
      <c r="E3134" s="723">
        <v>0</v>
      </c>
      <c r="F3134" s="723">
        <v>0</v>
      </c>
      <c r="G3134" s="723">
        <v>1</v>
      </c>
      <c r="H3134" s="724">
        <v>161.9655401255178</v>
      </c>
      <c r="I3134" s="724">
        <v>0</v>
      </c>
      <c r="J3134" s="724">
        <v>0</v>
      </c>
      <c r="K3134" s="724">
        <v>0</v>
      </c>
      <c r="L3134" s="724">
        <v>161.9655401255178</v>
      </c>
    </row>
    <row r="3135" spans="1:12">
      <c r="A3135" s="722" t="s">
        <v>559</v>
      </c>
      <c r="B3135" s="722">
        <v>130</v>
      </c>
      <c r="C3135" s="723">
        <v>1</v>
      </c>
      <c r="D3135" s="723">
        <v>0</v>
      </c>
      <c r="E3135" s="723">
        <v>0</v>
      </c>
      <c r="F3135" s="723">
        <v>0</v>
      </c>
      <c r="G3135" s="723">
        <v>1</v>
      </c>
      <c r="H3135" s="724">
        <v>161.9655401255178</v>
      </c>
      <c r="I3135" s="724">
        <v>0</v>
      </c>
      <c r="J3135" s="724">
        <v>0</v>
      </c>
      <c r="K3135" s="724">
        <v>0</v>
      </c>
      <c r="L3135" s="724">
        <v>161.9655401255178</v>
      </c>
    </row>
    <row r="3136" spans="1:12">
      <c r="A3136" s="722" t="s">
        <v>559</v>
      </c>
      <c r="B3136" s="722">
        <v>171</v>
      </c>
      <c r="C3136" s="723">
        <v>2</v>
      </c>
      <c r="D3136" s="723">
        <v>0</v>
      </c>
      <c r="E3136" s="723">
        <v>0</v>
      </c>
      <c r="F3136" s="723">
        <v>0</v>
      </c>
      <c r="G3136" s="723">
        <v>2</v>
      </c>
      <c r="H3136" s="724">
        <v>323.93108025103561</v>
      </c>
      <c r="I3136" s="724">
        <v>0</v>
      </c>
      <c r="J3136" s="724">
        <v>0</v>
      </c>
      <c r="K3136" s="724">
        <v>0</v>
      </c>
      <c r="L3136" s="724">
        <v>323.93108025103561</v>
      </c>
    </row>
    <row r="3137" spans="1:12">
      <c r="A3137" s="722" t="s">
        <v>559</v>
      </c>
      <c r="B3137" s="722">
        <v>190</v>
      </c>
      <c r="C3137" s="723">
        <v>1</v>
      </c>
      <c r="D3137" s="723">
        <v>0</v>
      </c>
      <c r="E3137" s="723">
        <v>0</v>
      </c>
      <c r="F3137" s="723">
        <v>0</v>
      </c>
      <c r="G3137" s="723">
        <v>1</v>
      </c>
      <c r="H3137" s="724">
        <v>161.9655401255178</v>
      </c>
      <c r="I3137" s="724">
        <v>0</v>
      </c>
      <c r="J3137" s="724">
        <v>0</v>
      </c>
      <c r="K3137" s="724">
        <v>0</v>
      </c>
      <c r="L3137" s="724">
        <v>161.9655401255178</v>
      </c>
    </row>
    <row r="3138" spans="1:12">
      <c r="A3138" s="722" t="s">
        <v>559</v>
      </c>
      <c r="B3138" s="722">
        <v>251</v>
      </c>
      <c r="C3138" s="723">
        <v>2</v>
      </c>
      <c r="D3138" s="723">
        <v>0</v>
      </c>
      <c r="E3138" s="723">
        <v>0</v>
      </c>
      <c r="F3138" s="723">
        <v>0</v>
      </c>
      <c r="G3138" s="723">
        <v>2</v>
      </c>
      <c r="H3138" s="724">
        <v>323.93108025103561</v>
      </c>
      <c r="I3138" s="724">
        <v>0</v>
      </c>
      <c r="J3138" s="724">
        <v>0</v>
      </c>
      <c r="K3138" s="724">
        <v>0</v>
      </c>
      <c r="L3138" s="724">
        <v>323.93108025103561</v>
      </c>
    </row>
    <row r="3139" spans="1:12">
      <c r="A3139" s="722" t="s">
        <v>559</v>
      </c>
      <c r="B3139" s="722">
        <v>307</v>
      </c>
      <c r="C3139" s="723">
        <v>1</v>
      </c>
      <c r="D3139" s="723">
        <v>0</v>
      </c>
      <c r="E3139" s="723">
        <v>0</v>
      </c>
      <c r="F3139" s="723">
        <v>0</v>
      </c>
      <c r="G3139" s="723">
        <v>1</v>
      </c>
      <c r="H3139" s="724">
        <v>161.9655401255178</v>
      </c>
      <c r="I3139" s="724">
        <v>0</v>
      </c>
      <c r="J3139" s="724">
        <v>0</v>
      </c>
      <c r="K3139" s="724">
        <v>0</v>
      </c>
      <c r="L3139" s="724">
        <v>161.9655401255178</v>
      </c>
    </row>
    <row r="3140" spans="1:12">
      <c r="A3140" s="722" t="s">
        <v>559</v>
      </c>
      <c r="B3140" s="722">
        <v>330</v>
      </c>
      <c r="C3140" s="723">
        <v>1</v>
      </c>
      <c r="D3140" s="723">
        <v>0</v>
      </c>
      <c r="E3140" s="723">
        <v>0</v>
      </c>
      <c r="F3140" s="723">
        <v>0</v>
      </c>
      <c r="G3140" s="723">
        <v>1</v>
      </c>
      <c r="H3140" s="724">
        <v>161.9655401255178</v>
      </c>
      <c r="I3140" s="724">
        <v>0</v>
      </c>
      <c r="J3140" s="724">
        <v>0</v>
      </c>
      <c r="K3140" s="724">
        <v>0</v>
      </c>
      <c r="L3140" s="724">
        <v>161.9655401255178</v>
      </c>
    </row>
    <row r="3141" spans="1:12">
      <c r="A3141" s="722" t="s">
        <v>559</v>
      </c>
      <c r="B3141" s="722">
        <v>361</v>
      </c>
      <c r="C3141" s="723">
        <v>1</v>
      </c>
      <c r="D3141" s="723">
        <v>0</v>
      </c>
      <c r="E3141" s="723">
        <v>0</v>
      </c>
      <c r="F3141" s="723">
        <v>0</v>
      </c>
      <c r="G3141" s="723">
        <v>1</v>
      </c>
      <c r="H3141" s="724">
        <v>161.9655401255178</v>
      </c>
      <c r="I3141" s="724">
        <v>0</v>
      </c>
      <c r="J3141" s="724">
        <v>0</v>
      </c>
      <c r="K3141" s="724">
        <v>0</v>
      </c>
      <c r="L3141" s="724">
        <v>161.9655401255178</v>
      </c>
    </row>
    <row r="3142" spans="1:12">
      <c r="A3142" s="722" t="s">
        <v>585</v>
      </c>
      <c r="B3142" s="722">
        <v>174</v>
      </c>
      <c r="C3142" s="723">
        <v>1</v>
      </c>
      <c r="D3142" s="723">
        <v>0</v>
      </c>
      <c r="E3142" s="723">
        <v>0</v>
      </c>
      <c r="F3142" s="723">
        <v>0</v>
      </c>
      <c r="G3142" s="723">
        <v>1</v>
      </c>
      <c r="H3142" s="724">
        <v>69.46851205864175</v>
      </c>
      <c r="I3142" s="724">
        <v>0</v>
      </c>
      <c r="J3142" s="724">
        <v>0</v>
      </c>
      <c r="K3142" s="724">
        <v>0</v>
      </c>
      <c r="L3142" s="724">
        <v>69.46851205864175</v>
      </c>
    </row>
    <row r="3143" spans="1:12">
      <c r="A3143" s="722" t="s">
        <v>585</v>
      </c>
      <c r="B3143" s="722">
        <v>304</v>
      </c>
      <c r="C3143" s="723">
        <v>1</v>
      </c>
      <c r="D3143" s="723">
        <v>0</v>
      </c>
      <c r="E3143" s="723">
        <v>0</v>
      </c>
      <c r="F3143" s="723">
        <v>0</v>
      </c>
      <c r="G3143" s="723">
        <v>1</v>
      </c>
      <c r="H3143" s="724">
        <v>69.46851205864175</v>
      </c>
      <c r="I3143" s="724">
        <v>0</v>
      </c>
      <c r="J3143" s="724">
        <v>0</v>
      </c>
      <c r="K3143" s="724">
        <v>0</v>
      </c>
      <c r="L3143" s="724">
        <v>69.46851205864175</v>
      </c>
    </row>
    <row r="3144" spans="1:12">
      <c r="A3144" s="722" t="s">
        <v>585</v>
      </c>
      <c r="B3144" s="722">
        <v>370</v>
      </c>
      <c r="C3144" s="723">
        <v>1</v>
      </c>
      <c r="D3144" s="723">
        <v>0</v>
      </c>
      <c r="E3144" s="723">
        <v>0</v>
      </c>
      <c r="F3144" s="723">
        <v>0</v>
      </c>
      <c r="G3144" s="723">
        <v>1</v>
      </c>
      <c r="H3144" s="724">
        <v>69.46851205864175</v>
      </c>
      <c r="I3144" s="724">
        <v>0</v>
      </c>
      <c r="J3144" s="724">
        <v>0</v>
      </c>
      <c r="K3144" s="724">
        <v>0</v>
      </c>
      <c r="L3144" s="724">
        <v>69.46851205864175</v>
      </c>
    </row>
    <row r="3145" spans="1:12">
      <c r="A3145" s="722" t="s">
        <v>585</v>
      </c>
      <c r="B3145" s="722">
        <v>800</v>
      </c>
      <c r="C3145" s="723">
        <v>1</v>
      </c>
      <c r="D3145" s="723">
        <v>0</v>
      </c>
      <c r="E3145" s="723">
        <v>0</v>
      </c>
      <c r="F3145" s="723">
        <v>0</v>
      </c>
      <c r="G3145" s="723">
        <v>1</v>
      </c>
      <c r="H3145" s="724">
        <v>69.46851205864175</v>
      </c>
      <c r="I3145" s="724">
        <v>0</v>
      </c>
      <c r="J3145" s="724">
        <v>0</v>
      </c>
      <c r="K3145" s="724">
        <v>0</v>
      </c>
      <c r="L3145" s="724">
        <v>69.46851205864175</v>
      </c>
    </row>
    <row r="3146" spans="1:12">
      <c r="A3146" s="722" t="s">
        <v>354</v>
      </c>
      <c r="B3146" s="722">
        <v>101</v>
      </c>
      <c r="C3146" s="723">
        <v>2</v>
      </c>
      <c r="D3146" s="723">
        <v>0</v>
      </c>
      <c r="E3146" s="723">
        <v>0</v>
      </c>
      <c r="F3146" s="723">
        <v>0</v>
      </c>
      <c r="G3146" s="723">
        <v>2</v>
      </c>
      <c r="H3146" s="724">
        <v>2.109188399134247</v>
      </c>
      <c r="I3146" s="724">
        <v>0</v>
      </c>
      <c r="J3146" s="724">
        <v>0</v>
      </c>
      <c r="K3146" s="724">
        <v>0</v>
      </c>
      <c r="L3146" s="724">
        <v>2.109188399134247</v>
      </c>
    </row>
    <row r="3147" spans="1:12">
      <c r="A3147" s="722" t="s">
        <v>354</v>
      </c>
      <c r="B3147" s="722">
        <v>361</v>
      </c>
      <c r="C3147" s="723">
        <v>1</v>
      </c>
      <c r="D3147" s="723">
        <v>0</v>
      </c>
      <c r="E3147" s="723">
        <v>0</v>
      </c>
      <c r="F3147" s="723">
        <v>0</v>
      </c>
      <c r="G3147" s="723">
        <v>1</v>
      </c>
      <c r="H3147" s="724">
        <v>1.0545941995671235</v>
      </c>
      <c r="I3147" s="724">
        <v>0</v>
      </c>
      <c r="J3147" s="724">
        <v>0</v>
      </c>
      <c r="K3147" s="724">
        <v>0</v>
      </c>
      <c r="L3147" s="724">
        <v>1.0545941995671235</v>
      </c>
    </row>
    <row r="3148" spans="1:12">
      <c r="A3148" s="722" t="s">
        <v>354</v>
      </c>
      <c r="B3148" s="722">
        <v>811</v>
      </c>
      <c r="C3148" s="723">
        <v>1</v>
      </c>
      <c r="D3148" s="723">
        <v>2</v>
      </c>
      <c r="E3148" s="723">
        <v>0</v>
      </c>
      <c r="F3148" s="723">
        <v>0</v>
      </c>
      <c r="G3148" s="723">
        <v>3</v>
      </c>
      <c r="H3148" s="724">
        <v>1.0545941995671235</v>
      </c>
      <c r="I3148" s="724">
        <v>2.109188399134247</v>
      </c>
      <c r="J3148" s="724">
        <v>0</v>
      </c>
      <c r="K3148" s="724">
        <v>0</v>
      </c>
      <c r="L3148" s="724">
        <v>3.1637825987013706</v>
      </c>
    </row>
    <row r="3149" spans="1:12">
      <c r="A3149" s="722" t="s">
        <v>354</v>
      </c>
      <c r="B3149" s="722">
        <v>812</v>
      </c>
      <c r="C3149" s="723">
        <v>19</v>
      </c>
      <c r="D3149" s="723">
        <v>9</v>
      </c>
      <c r="E3149" s="723">
        <v>0</v>
      </c>
      <c r="F3149" s="723">
        <v>0</v>
      </c>
      <c r="G3149" s="723">
        <v>28</v>
      </c>
      <c r="H3149" s="724">
        <v>20.037289791775347</v>
      </c>
      <c r="I3149" s="724">
        <v>9.4913477961041117</v>
      </c>
      <c r="J3149" s="724">
        <v>0</v>
      </c>
      <c r="K3149" s="724">
        <v>0</v>
      </c>
      <c r="L3149" s="724">
        <v>29.528637587879459</v>
      </c>
    </row>
    <row r="3150" spans="1:12">
      <c r="A3150" s="722" t="s">
        <v>356</v>
      </c>
      <c r="B3150" s="722">
        <v>107</v>
      </c>
      <c r="C3150" s="723">
        <v>0</v>
      </c>
      <c r="D3150" s="723">
        <v>1</v>
      </c>
      <c r="E3150" s="723">
        <v>0</v>
      </c>
      <c r="F3150" s="723">
        <v>0</v>
      </c>
      <c r="G3150" s="723">
        <v>1</v>
      </c>
      <c r="H3150" s="724">
        <v>0</v>
      </c>
      <c r="I3150" s="724">
        <v>299.47225719334722</v>
      </c>
      <c r="J3150" s="724">
        <v>0</v>
      </c>
      <c r="K3150" s="724">
        <v>0</v>
      </c>
      <c r="L3150" s="724">
        <v>299.47225719334722</v>
      </c>
    </row>
    <row r="3151" spans="1:12">
      <c r="A3151" s="722" t="s">
        <v>356</v>
      </c>
      <c r="B3151" s="722">
        <v>110</v>
      </c>
      <c r="C3151" s="723">
        <v>1</v>
      </c>
      <c r="D3151" s="723">
        <v>0</v>
      </c>
      <c r="E3151" s="723">
        <v>0</v>
      </c>
      <c r="F3151" s="723">
        <v>0</v>
      </c>
      <c r="G3151" s="723">
        <v>1</v>
      </c>
      <c r="H3151" s="724">
        <v>299.47225719334722</v>
      </c>
      <c r="I3151" s="724">
        <v>0</v>
      </c>
      <c r="J3151" s="724">
        <v>0</v>
      </c>
      <c r="K3151" s="724">
        <v>0</v>
      </c>
      <c r="L3151" s="724">
        <v>299.47225719334722</v>
      </c>
    </row>
    <row r="3152" spans="1:12">
      <c r="A3152" s="722" t="s">
        <v>356</v>
      </c>
      <c r="B3152" s="722">
        <v>191</v>
      </c>
      <c r="C3152" s="723">
        <v>0</v>
      </c>
      <c r="D3152" s="723">
        <v>1</v>
      </c>
      <c r="E3152" s="723">
        <v>0</v>
      </c>
      <c r="F3152" s="723">
        <v>0</v>
      </c>
      <c r="G3152" s="723">
        <v>1</v>
      </c>
      <c r="H3152" s="724">
        <v>0</v>
      </c>
      <c r="I3152" s="724">
        <v>299.47225719334722</v>
      </c>
      <c r="J3152" s="724">
        <v>0</v>
      </c>
      <c r="K3152" s="724">
        <v>0</v>
      </c>
      <c r="L3152" s="724">
        <v>299.47225719334722</v>
      </c>
    </row>
    <row r="3153" spans="1:12">
      <c r="A3153" s="722" t="s">
        <v>356</v>
      </c>
      <c r="B3153" s="722">
        <v>300</v>
      </c>
      <c r="C3153" s="723">
        <v>0</v>
      </c>
      <c r="D3153" s="723">
        <v>1</v>
      </c>
      <c r="E3153" s="723">
        <v>0</v>
      </c>
      <c r="F3153" s="723">
        <v>0</v>
      </c>
      <c r="G3153" s="723">
        <v>1</v>
      </c>
      <c r="H3153" s="724">
        <v>0</v>
      </c>
      <c r="I3153" s="724">
        <v>299.47225719334722</v>
      </c>
      <c r="J3153" s="724">
        <v>0</v>
      </c>
      <c r="K3153" s="724">
        <v>0</v>
      </c>
      <c r="L3153" s="724">
        <v>299.47225719334722</v>
      </c>
    </row>
    <row r="3154" spans="1:12">
      <c r="A3154" s="722" t="s">
        <v>356</v>
      </c>
      <c r="B3154" s="722">
        <v>502</v>
      </c>
      <c r="C3154" s="723">
        <v>6</v>
      </c>
      <c r="D3154" s="723">
        <v>0</v>
      </c>
      <c r="E3154" s="723">
        <v>0</v>
      </c>
      <c r="F3154" s="723">
        <v>0</v>
      </c>
      <c r="G3154" s="723">
        <v>6</v>
      </c>
      <c r="H3154" s="724">
        <v>1796.8335431600833</v>
      </c>
      <c r="I3154" s="724">
        <v>0</v>
      </c>
      <c r="J3154" s="724">
        <v>0</v>
      </c>
      <c r="K3154" s="724">
        <v>0</v>
      </c>
      <c r="L3154" s="724">
        <v>1796.8335431600833</v>
      </c>
    </row>
    <row r="3155" spans="1:12">
      <c r="A3155" s="722" t="s">
        <v>356</v>
      </c>
      <c r="B3155" s="722">
        <v>811</v>
      </c>
      <c r="C3155" s="723">
        <v>0</v>
      </c>
      <c r="D3155" s="723">
        <v>1</v>
      </c>
      <c r="E3155" s="723">
        <v>0</v>
      </c>
      <c r="F3155" s="723">
        <v>0</v>
      </c>
      <c r="G3155" s="723">
        <v>1</v>
      </c>
      <c r="H3155" s="724">
        <v>0</v>
      </c>
      <c r="I3155" s="724">
        <v>299.47225719334722</v>
      </c>
      <c r="J3155" s="724">
        <v>0</v>
      </c>
      <c r="K3155" s="724">
        <v>0</v>
      </c>
      <c r="L3155" s="724">
        <v>299.47225719334722</v>
      </c>
    </row>
    <row r="3156" spans="1:12">
      <c r="A3156" s="722" t="s">
        <v>356</v>
      </c>
      <c r="B3156" s="722">
        <v>812</v>
      </c>
      <c r="C3156" s="723">
        <v>1</v>
      </c>
      <c r="D3156" s="723">
        <v>24</v>
      </c>
      <c r="E3156" s="723">
        <v>0</v>
      </c>
      <c r="F3156" s="723">
        <v>0</v>
      </c>
      <c r="G3156" s="723">
        <v>25</v>
      </c>
      <c r="H3156" s="724">
        <v>299.47225719334716</v>
      </c>
      <c r="I3156" s="724">
        <v>7187.3341726403323</v>
      </c>
      <c r="J3156" s="724">
        <v>0</v>
      </c>
      <c r="K3156" s="724">
        <v>0</v>
      </c>
      <c r="L3156" s="724">
        <v>7486.8064298336794</v>
      </c>
    </row>
    <row r="3157" spans="1:12">
      <c r="A3157" s="722" t="s">
        <v>357</v>
      </c>
      <c r="B3157" s="722">
        <v>100</v>
      </c>
      <c r="C3157" s="723">
        <v>1</v>
      </c>
      <c r="D3157" s="723">
        <v>0</v>
      </c>
      <c r="E3157" s="723">
        <v>0</v>
      </c>
      <c r="F3157" s="723">
        <v>0</v>
      </c>
      <c r="G3157" s="723">
        <v>1</v>
      </c>
      <c r="H3157" s="724">
        <v>76.226448245195812</v>
      </c>
      <c r="I3157" s="724">
        <v>0</v>
      </c>
      <c r="J3157" s="724">
        <v>0</v>
      </c>
      <c r="K3157" s="724">
        <v>0</v>
      </c>
      <c r="L3157" s="724">
        <v>76.226448245195812</v>
      </c>
    </row>
    <row r="3158" spans="1:12">
      <c r="A3158" s="722" t="s">
        <v>357</v>
      </c>
      <c r="B3158" s="722">
        <v>103</v>
      </c>
      <c r="C3158" s="723">
        <v>1</v>
      </c>
      <c r="D3158" s="723">
        <v>0</v>
      </c>
      <c r="E3158" s="723">
        <v>0</v>
      </c>
      <c r="F3158" s="723">
        <v>0</v>
      </c>
      <c r="G3158" s="723">
        <v>1</v>
      </c>
      <c r="H3158" s="724">
        <v>76.226448245195812</v>
      </c>
      <c r="I3158" s="724">
        <v>0</v>
      </c>
      <c r="J3158" s="724">
        <v>0</v>
      </c>
      <c r="K3158" s="724">
        <v>0</v>
      </c>
      <c r="L3158" s="724">
        <v>76.226448245195812</v>
      </c>
    </row>
    <row r="3159" spans="1:12">
      <c r="A3159" s="722" t="s">
        <v>357</v>
      </c>
      <c r="B3159" s="722">
        <v>104</v>
      </c>
      <c r="C3159" s="723">
        <v>1</v>
      </c>
      <c r="D3159" s="723">
        <v>0</v>
      </c>
      <c r="E3159" s="723">
        <v>0</v>
      </c>
      <c r="F3159" s="723">
        <v>0</v>
      </c>
      <c r="G3159" s="723">
        <v>1</v>
      </c>
      <c r="H3159" s="724">
        <v>76.226448245195812</v>
      </c>
      <c r="I3159" s="724">
        <v>0</v>
      </c>
      <c r="J3159" s="724">
        <v>0</v>
      </c>
      <c r="K3159" s="724">
        <v>0</v>
      </c>
      <c r="L3159" s="724">
        <v>76.226448245195812</v>
      </c>
    </row>
    <row r="3160" spans="1:12">
      <c r="A3160" s="722" t="s">
        <v>357</v>
      </c>
      <c r="B3160" s="722">
        <v>110</v>
      </c>
      <c r="C3160" s="723">
        <v>2</v>
      </c>
      <c r="D3160" s="723">
        <v>0</v>
      </c>
      <c r="E3160" s="723">
        <v>0</v>
      </c>
      <c r="F3160" s="723">
        <v>0</v>
      </c>
      <c r="G3160" s="723">
        <v>2</v>
      </c>
      <c r="H3160" s="724">
        <v>152.45289649039162</v>
      </c>
      <c r="I3160" s="724">
        <v>0</v>
      </c>
      <c r="J3160" s="724">
        <v>0</v>
      </c>
      <c r="K3160" s="724">
        <v>0</v>
      </c>
      <c r="L3160" s="724">
        <v>152.45289649039162</v>
      </c>
    </row>
    <row r="3161" spans="1:12">
      <c r="A3161" s="722" t="s">
        <v>357</v>
      </c>
      <c r="B3161" s="722">
        <v>191</v>
      </c>
      <c r="C3161" s="723">
        <v>5</v>
      </c>
      <c r="D3161" s="723">
        <v>39</v>
      </c>
      <c r="E3161" s="723">
        <v>0</v>
      </c>
      <c r="F3161" s="723">
        <v>0</v>
      </c>
      <c r="G3161" s="723">
        <v>44</v>
      </c>
      <c r="H3161" s="724">
        <v>381.13224122597899</v>
      </c>
      <c r="I3161" s="724">
        <v>2972.8314815626368</v>
      </c>
      <c r="J3161" s="724">
        <v>0</v>
      </c>
      <c r="K3161" s="724">
        <v>0</v>
      </c>
      <c r="L3161" s="724">
        <v>3353.9637227886155</v>
      </c>
    </row>
    <row r="3162" spans="1:12">
      <c r="A3162" s="722" t="s">
        <v>357</v>
      </c>
      <c r="B3162" s="722">
        <v>301</v>
      </c>
      <c r="C3162" s="723">
        <v>1</v>
      </c>
      <c r="D3162" s="723">
        <v>1</v>
      </c>
      <c r="E3162" s="723">
        <v>0</v>
      </c>
      <c r="F3162" s="723">
        <v>0</v>
      </c>
      <c r="G3162" s="723">
        <v>2</v>
      </c>
      <c r="H3162" s="724">
        <v>76.226448245195812</v>
      </c>
      <c r="I3162" s="724">
        <v>76.226448245195812</v>
      </c>
      <c r="J3162" s="724">
        <v>0</v>
      </c>
      <c r="K3162" s="724">
        <v>0</v>
      </c>
      <c r="L3162" s="724">
        <v>152.45289649039162</v>
      </c>
    </row>
    <row r="3163" spans="1:12">
      <c r="A3163" s="722" t="s">
        <v>357</v>
      </c>
      <c r="B3163" s="722">
        <v>303</v>
      </c>
      <c r="C3163" s="723">
        <v>5</v>
      </c>
      <c r="D3163" s="723">
        <v>0</v>
      </c>
      <c r="E3163" s="723">
        <v>0</v>
      </c>
      <c r="F3163" s="723">
        <v>0</v>
      </c>
      <c r="G3163" s="723">
        <v>5</v>
      </c>
      <c r="H3163" s="724">
        <v>381.1322412259791</v>
      </c>
      <c r="I3163" s="724">
        <v>0</v>
      </c>
      <c r="J3163" s="724">
        <v>0</v>
      </c>
      <c r="K3163" s="724">
        <v>0</v>
      </c>
      <c r="L3163" s="724">
        <v>381.1322412259791</v>
      </c>
    </row>
    <row r="3164" spans="1:12">
      <c r="A3164" s="722" t="s">
        <v>357</v>
      </c>
      <c r="B3164" s="722">
        <v>340</v>
      </c>
      <c r="C3164" s="723">
        <v>3</v>
      </c>
      <c r="D3164" s="723">
        <v>0</v>
      </c>
      <c r="E3164" s="723">
        <v>0</v>
      </c>
      <c r="F3164" s="723">
        <v>0</v>
      </c>
      <c r="G3164" s="723">
        <v>3</v>
      </c>
      <c r="H3164" s="724">
        <v>228.67934473558742</v>
      </c>
      <c r="I3164" s="724">
        <v>0</v>
      </c>
      <c r="J3164" s="724">
        <v>0</v>
      </c>
      <c r="K3164" s="724">
        <v>0</v>
      </c>
      <c r="L3164" s="724">
        <v>228.67934473558742</v>
      </c>
    </row>
    <row r="3165" spans="1:12">
      <c r="A3165" s="722" t="s">
        <v>357</v>
      </c>
      <c r="B3165" s="722">
        <v>370</v>
      </c>
      <c r="C3165" s="723">
        <v>3</v>
      </c>
      <c r="D3165" s="723">
        <v>0</v>
      </c>
      <c r="E3165" s="723">
        <v>0</v>
      </c>
      <c r="F3165" s="723">
        <v>0</v>
      </c>
      <c r="G3165" s="723">
        <v>3</v>
      </c>
      <c r="H3165" s="724">
        <v>228.67934473558742</v>
      </c>
      <c r="I3165" s="724">
        <v>0</v>
      </c>
      <c r="J3165" s="724">
        <v>0</v>
      </c>
      <c r="K3165" s="724">
        <v>0</v>
      </c>
      <c r="L3165" s="724">
        <v>228.67934473558742</v>
      </c>
    </row>
    <row r="3166" spans="1:12">
      <c r="A3166" s="722" t="s">
        <v>357</v>
      </c>
      <c r="B3166" s="722">
        <v>800</v>
      </c>
      <c r="C3166" s="723">
        <v>1</v>
      </c>
      <c r="D3166" s="723">
        <v>0</v>
      </c>
      <c r="E3166" s="723">
        <v>0</v>
      </c>
      <c r="F3166" s="723">
        <v>0</v>
      </c>
      <c r="G3166" s="723">
        <v>1</v>
      </c>
      <c r="H3166" s="724">
        <v>76.226448245195812</v>
      </c>
      <c r="I3166" s="724">
        <v>0</v>
      </c>
      <c r="J3166" s="724">
        <v>0</v>
      </c>
      <c r="K3166" s="724">
        <v>0</v>
      </c>
      <c r="L3166" s="724">
        <v>76.226448245195812</v>
      </c>
    </row>
    <row r="3167" spans="1:12">
      <c r="A3167" s="722" t="s">
        <v>357</v>
      </c>
      <c r="B3167" s="722">
        <v>811</v>
      </c>
      <c r="C3167" s="723">
        <v>4</v>
      </c>
      <c r="D3167" s="723">
        <v>45</v>
      </c>
      <c r="E3167" s="723">
        <v>0</v>
      </c>
      <c r="F3167" s="723">
        <v>0</v>
      </c>
      <c r="G3167" s="723">
        <v>49</v>
      </c>
      <c r="H3167" s="724">
        <v>304.90579298078325</v>
      </c>
      <c r="I3167" s="724">
        <v>3430.1901710338116</v>
      </c>
      <c r="J3167" s="724">
        <v>0</v>
      </c>
      <c r="K3167" s="724">
        <v>0</v>
      </c>
      <c r="L3167" s="724">
        <v>3735.0959640145948</v>
      </c>
    </row>
    <row r="3168" spans="1:12">
      <c r="A3168" s="722" t="s">
        <v>357</v>
      </c>
      <c r="B3168" s="722">
        <v>812</v>
      </c>
      <c r="C3168" s="723">
        <v>0</v>
      </c>
      <c r="D3168" s="723">
        <v>79</v>
      </c>
      <c r="E3168" s="723">
        <v>0</v>
      </c>
      <c r="F3168" s="723">
        <v>0</v>
      </c>
      <c r="G3168" s="723">
        <v>79</v>
      </c>
      <c r="H3168" s="724">
        <v>0</v>
      </c>
      <c r="I3168" s="724">
        <v>6021.8894113704682</v>
      </c>
      <c r="J3168" s="724">
        <v>0</v>
      </c>
      <c r="K3168" s="724">
        <v>0</v>
      </c>
      <c r="L3168" s="724">
        <v>6021.8894113704682</v>
      </c>
    </row>
    <row r="3169" spans="1:12">
      <c r="A3169" s="722" t="s">
        <v>358</v>
      </c>
      <c r="B3169" s="722">
        <v>502</v>
      </c>
      <c r="C3169" s="723">
        <v>1</v>
      </c>
      <c r="D3169" s="723">
        <v>0</v>
      </c>
      <c r="E3169" s="723">
        <v>0</v>
      </c>
      <c r="F3169" s="723">
        <v>0</v>
      </c>
      <c r="G3169" s="723">
        <v>1</v>
      </c>
      <c r="H3169" s="724">
        <v>56.924647385135671</v>
      </c>
      <c r="I3169" s="724">
        <v>0</v>
      </c>
      <c r="J3169" s="724">
        <v>0</v>
      </c>
      <c r="K3169" s="724">
        <v>0</v>
      </c>
      <c r="L3169" s="724">
        <v>56.924647385135671</v>
      </c>
    </row>
    <row r="3170" spans="1:12">
      <c r="A3170" s="722" t="s">
        <v>358</v>
      </c>
      <c r="B3170" s="722">
        <v>811</v>
      </c>
      <c r="C3170" s="723">
        <v>2</v>
      </c>
      <c r="D3170" s="723">
        <v>3</v>
      </c>
      <c r="E3170" s="723">
        <v>0</v>
      </c>
      <c r="F3170" s="723">
        <v>0</v>
      </c>
      <c r="G3170" s="723">
        <v>5</v>
      </c>
      <c r="H3170" s="724">
        <v>113.84929477027133</v>
      </c>
      <c r="I3170" s="724">
        <v>170.77394215540698</v>
      </c>
      <c r="J3170" s="724">
        <v>0</v>
      </c>
      <c r="K3170" s="724">
        <v>0</v>
      </c>
      <c r="L3170" s="724">
        <v>284.62323692567833</v>
      </c>
    </row>
    <row r="3171" spans="1:12">
      <c r="A3171" s="722" t="s">
        <v>359</v>
      </c>
      <c r="B3171" s="722">
        <v>501</v>
      </c>
      <c r="C3171" s="723">
        <v>3</v>
      </c>
      <c r="D3171" s="723">
        <v>0</v>
      </c>
      <c r="E3171" s="723">
        <v>0</v>
      </c>
      <c r="F3171" s="723">
        <v>0</v>
      </c>
      <c r="G3171" s="723">
        <v>3</v>
      </c>
      <c r="H3171" s="724">
        <v>364.05083244868348</v>
      </c>
      <c r="I3171" s="724">
        <v>0</v>
      </c>
      <c r="J3171" s="724">
        <v>0</v>
      </c>
      <c r="K3171" s="724">
        <v>0</v>
      </c>
      <c r="L3171" s="724">
        <v>364.05083244868348</v>
      </c>
    </row>
    <row r="3172" spans="1:12">
      <c r="A3172" s="722" t="s">
        <v>359</v>
      </c>
      <c r="B3172" s="722">
        <v>502</v>
      </c>
      <c r="C3172" s="723">
        <v>0</v>
      </c>
      <c r="D3172" s="723">
        <v>1</v>
      </c>
      <c r="E3172" s="723">
        <v>0</v>
      </c>
      <c r="F3172" s="723">
        <v>0</v>
      </c>
      <c r="G3172" s="723">
        <v>1</v>
      </c>
      <c r="H3172" s="724">
        <v>0</v>
      </c>
      <c r="I3172" s="724">
        <v>121.3502774828945</v>
      </c>
      <c r="J3172" s="724">
        <v>0</v>
      </c>
      <c r="K3172" s="724">
        <v>0</v>
      </c>
      <c r="L3172" s="724">
        <v>121.3502774828945</v>
      </c>
    </row>
    <row r="3173" spans="1:12">
      <c r="A3173" s="722" t="s">
        <v>360</v>
      </c>
      <c r="B3173" s="722">
        <v>101</v>
      </c>
      <c r="C3173" s="723">
        <v>3</v>
      </c>
      <c r="D3173" s="723">
        <v>0</v>
      </c>
      <c r="E3173" s="723">
        <v>0</v>
      </c>
      <c r="F3173" s="723">
        <v>0</v>
      </c>
      <c r="G3173" s="723">
        <v>3</v>
      </c>
      <c r="H3173" s="724">
        <v>288.08759188672298</v>
      </c>
      <c r="I3173" s="724">
        <v>0</v>
      </c>
      <c r="J3173" s="724">
        <v>0</v>
      </c>
      <c r="K3173" s="724">
        <v>0</v>
      </c>
      <c r="L3173" s="724">
        <v>288.08759188672298</v>
      </c>
    </row>
    <row r="3174" spans="1:12">
      <c r="A3174" s="722" t="s">
        <v>361</v>
      </c>
      <c r="B3174" s="722">
        <v>110</v>
      </c>
      <c r="C3174" s="723">
        <v>0</v>
      </c>
      <c r="D3174" s="723">
        <v>6</v>
      </c>
      <c r="E3174" s="723">
        <v>0</v>
      </c>
      <c r="F3174" s="723">
        <v>0</v>
      </c>
      <c r="G3174" s="723">
        <v>6</v>
      </c>
      <c r="H3174" s="724">
        <v>0</v>
      </c>
      <c r="I3174" s="724">
        <v>1393.9000301986762</v>
      </c>
      <c r="J3174" s="724">
        <v>0</v>
      </c>
      <c r="K3174" s="724">
        <v>0</v>
      </c>
      <c r="L3174" s="724">
        <v>1393.9000301986762</v>
      </c>
    </row>
    <row r="3175" spans="1:12">
      <c r="A3175" s="722" t="s">
        <v>361</v>
      </c>
      <c r="B3175" s="722">
        <v>160</v>
      </c>
      <c r="C3175" s="723">
        <v>1</v>
      </c>
      <c r="D3175" s="723">
        <v>0</v>
      </c>
      <c r="E3175" s="723">
        <v>0</v>
      </c>
      <c r="F3175" s="723">
        <v>0</v>
      </c>
      <c r="G3175" s="723">
        <v>1</v>
      </c>
      <c r="H3175" s="724">
        <v>232.31667169977936</v>
      </c>
      <c r="I3175" s="724">
        <v>0</v>
      </c>
      <c r="J3175" s="724">
        <v>0</v>
      </c>
      <c r="K3175" s="724">
        <v>0</v>
      </c>
      <c r="L3175" s="724">
        <v>232.31667169977936</v>
      </c>
    </row>
    <row r="3176" spans="1:12">
      <c r="A3176" s="722" t="s">
        <v>361</v>
      </c>
      <c r="B3176" s="722">
        <v>161</v>
      </c>
      <c r="C3176" s="723">
        <v>1</v>
      </c>
      <c r="D3176" s="723">
        <v>0</v>
      </c>
      <c r="E3176" s="723">
        <v>0</v>
      </c>
      <c r="F3176" s="723">
        <v>0</v>
      </c>
      <c r="G3176" s="723">
        <v>1</v>
      </c>
      <c r="H3176" s="724">
        <v>232.31667169977936</v>
      </c>
      <c r="I3176" s="724">
        <v>0</v>
      </c>
      <c r="J3176" s="724">
        <v>0</v>
      </c>
      <c r="K3176" s="724">
        <v>0</v>
      </c>
      <c r="L3176" s="724">
        <v>232.31667169977936</v>
      </c>
    </row>
    <row r="3177" spans="1:12">
      <c r="A3177" s="722" t="s">
        <v>361</v>
      </c>
      <c r="B3177" s="722">
        <v>307</v>
      </c>
      <c r="C3177" s="723">
        <v>1</v>
      </c>
      <c r="D3177" s="723">
        <v>0</v>
      </c>
      <c r="E3177" s="723">
        <v>0</v>
      </c>
      <c r="F3177" s="723">
        <v>0</v>
      </c>
      <c r="G3177" s="723">
        <v>1</v>
      </c>
      <c r="H3177" s="724">
        <v>232.31667169977936</v>
      </c>
      <c r="I3177" s="724">
        <v>0</v>
      </c>
      <c r="J3177" s="724">
        <v>0</v>
      </c>
      <c r="K3177" s="724">
        <v>0</v>
      </c>
      <c r="L3177" s="724">
        <v>232.31667169977936</v>
      </c>
    </row>
    <row r="3178" spans="1:12">
      <c r="A3178" s="722" t="s">
        <v>361</v>
      </c>
      <c r="B3178" s="722">
        <v>370</v>
      </c>
      <c r="C3178" s="723">
        <v>69</v>
      </c>
      <c r="D3178" s="723">
        <v>14</v>
      </c>
      <c r="E3178" s="723">
        <v>0</v>
      </c>
      <c r="F3178" s="723">
        <v>0</v>
      </c>
      <c r="G3178" s="723">
        <v>83</v>
      </c>
      <c r="H3178" s="724">
        <v>16029.850347284775</v>
      </c>
      <c r="I3178" s="724">
        <v>3252.4334037969111</v>
      </c>
      <c r="J3178" s="724">
        <v>0</v>
      </c>
      <c r="K3178" s="724">
        <v>0</v>
      </c>
      <c r="L3178" s="724">
        <v>19282.283751081686</v>
      </c>
    </row>
    <row r="3179" spans="1:12">
      <c r="A3179" s="722" t="s">
        <v>364</v>
      </c>
      <c r="B3179" s="722">
        <v>100</v>
      </c>
      <c r="C3179" s="723">
        <v>2</v>
      </c>
      <c r="D3179" s="723">
        <v>2</v>
      </c>
      <c r="E3179" s="723">
        <v>0</v>
      </c>
      <c r="F3179" s="723">
        <v>0</v>
      </c>
      <c r="G3179" s="723">
        <v>4</v>
      </c>
      <c r="H3179" s="724">
        <v>459.82670552375293</v>
      </c>
      <c r="I3179" s="724">
        <v>459.82670552375293</v>
      </c>
      <c r="J3179" s="724">
        <v>0</v>
      </c>
      <c r="K3179" s="724">
        <v>0</v>
      </c>
      <c r="L3179" s="724">
        <v>919.65341104750587</v>
      </c>
    </row>
    <row r="3180" spans="1:12">
      <c r="A3180" s="722" t="s">
        <v>364</v>
      </c>
      <c r="B3180" s="722">
        <v>103</v>
      </c>
      <c r="C3180" s="723">
        <v>0</v>
      </c>
      <c r="D3180" s="723">
        <v>1</v>
      </c>
      <c r="E3180" s="723">
        <v>0</v>
      </c>
      <c r="F3180" s="723">
        <v>0</v>
      </c>
      <c r="G3180" s="723">
        <v>1</v>
      </c>
      <c r="H3180" s="724">
        <v>0</v>
      </c>
      <c r="I3180" s="724">
        <v>229.91335276187647</v>
      </c>
      <c r="J3180" s="724">
        <v>0</v>
      </c>
      <c r="K3180" s="724">
        <v>0</v>
      </c>
      <c r="L3180" s="724">
        <v>229.91335276187647</v>
      </c>
    </row>
    <row r="3181" spans="1:12">
      <c r="A3181" s="722" t="s">
        <v>364</v>
      </c>
      <c r="B3181" s="722">
        <v>120</v>
      </c>
      <c r="C3181" s="723">
        <v>1</v>
      </c>
      <c r="D3181" s="723">
        <v>0</v>
      </c>
      <c r="E3181" s="723">
        <v>0</v>
      </c>
      <c r="F3181" s="723">
        <v>0</v>
      </c>
      <c r="G3181" s="723">
        <v>1</v>
      </c>
      <c r="H3181" s="724">
        <v>229.91335276187647</v>
      </c>
      <c r="I3181" s="724">
        <v>0</v>
      </c>
      <c r="J3181" s="724">
        <v>0</v>
      </c>
      <c r="K3181" s="724">
        <v>0</v>
      </c>
      <c r="L3181" s="724">
        <v>229.91335276187647</v>
      </c>
    </row>
    <row r="3182" spans="1:12">
      <c r="A3182" s="722" t="s">
        <v>364</v>
      </c>
      <c r="B3182" s="722">
        <v>160</v>
      </c>
      <c r="C3182" s="723">
        <v>1</v>
      </c>
      <c r="D3182" s="723">
        <v>0</v>
      </c>
      <c r="E3182" s="723">
        <v>0</v>
      </c>
      <c r="F3182" s="723">
        <v>0</v>
      </c>
      <c r="G3182" s="723">
        <v>1</v>
      </c>
      <c r="H3182" s="724">
        <v>229.91335276187647</v>
      </c>
      <c r="I3182" s="724">
        <v>0</v>
      </c>
      <c r="J3182" s="724">
        <v>0</v>
      </c>
      <c r="K3182" s="724">
        <v>0</v>
      </c>
      <c r="L3182" s="724">
        <v>229.91335276187647</v>
      </c>
    </row>
    <row r="3183" spans="1:12">
      <c r="A3183" s="722" t="s">
        <v>364</v>
      </c>
      <c r="B3183" s="722">
        <v>191</v>
      </c>
      <c r="C3183" s="723">
        <v>1</v>
      </c>
      <c r="D3183" s="723">
        <v>0</v>
      </c>
      <c r="E3183" s="723">
        <v>0</v>
      </c>
      <c r="F3183" s="723">
        <v>0</v>
      </c>
      <c r="G3183" s="723">
        <v>1</v>
      </c>
      <c r="H3183" s="724">
        <v>229.91335276187647</v>
      </c>
      <c r="I3183" s="724">
        <v>0</v>
      </c>
      <c r="J3183" s="724">
        <v>0</v>
      </c>
      <c r="K3183" s="724">
        <v>0</v>
      </c>
      <c r="L3183" s="724">
        <v>229.91335276187647</v>
      </c>
    </row>
    <row r="3184" spans="1:12">
      <c r="A3184" s="722" t="s">
        <v>364</v>
      </c>
      <c r="B3184" s="722">
        <v>253</v>
      </c>
      <c r="C3184" s="723">
        <v>6</v>
      </c>
      <c r="D3184" s="723">
        <v>0</v>
      </c>
      <c r="E3184" s="723">
        <v>0</v>
      </c>
      <c r="F3184" s="723">
        <v>0</v>
      </c>
      <c r="G3184" s="723">
        <v>6</v>
      </c>
      <c r="H3184" s="724">
        <v>1379.4801165712586</v>
      </c>
      <c r="I3184" s="724">
        <v>0</v>
      </c>
      <c r="J3184" s="724">
        <v>0</v>
      </c>
      <c r="K3184" s="724">
        <v>0</v>
      </c>
      <c r="L3184" s="724">
        <v>1379.4801165712586</v>
      </c>
    </row>
    <row r="3185" spans="1:12">
      <c r="A3185" s="722" t="s">
        <v>364</v>
      </c>
      <c r="B3185" s="722">
        <v>300</v>
      </c>
      <c r="C3185" s="723">
        <v>3</v>
      </c>
      <c r="D3185" s="723">
        <v>3</v>
      </c>
      <c r="E3185" s="723">
        <v>0</v>
      </c>
      <c r="F3185" s="723">
        <v>0</v>
      </c>
      <c r="G3185" s="723">
        <v>6</v>
      </c>
      <c r="H3185" s="724">
        <v>689.74005828562929</v>
      </c>
      <c r="I3185" s="724">
        <v>689.74005828562929</v>
      </c>
      <c r="J3185" s="724">
        <v>0</v>
      </c>
      <c r="K3185" s="724">
        <v>0</v>
      </c>
      <c r="L3185" s="724">
        <v>1379.4801165712586</v>
      </c>
    </row>
    <row r="3186" spans="1:12">
      <c r="A3186" s="722" t="s">
        <v>364</v>
      </c>
      <c r="B3186" s="722">
        <v>302</v>
      </c>
      <c r="C3186" s="723">
        <v>1</v>
      </c>
      <c r="D3186" s="723">
        <v>0</v>
      </c>
      <c r="E3186" s="723">
        <v>0</v>
      </c>
      <c r="F3186" s="723">
        <v>0</v>
      </c>
      <c r="G3186" s="723">
        <v>1</v>
      </c>
      <c r="H3186" s="724">
        <v>229.91335276187647</v>
      </c>
      <c r="I3186" s="724">
        <v>0</v>
      </c>
      <c r="J3186" s="724">
        <v>0</v>
      </c>
      <c r="K3186" s="724">
        <v>0</v>
      </c>
      <c r="L3186" s="724">
        <v>229.91335276187647</v>
      </c>
    </row>
    <row r="3187" spans="1:12">
      <c r="A3187" s="722" t="s">
        <v>364</v>
      </c>
      <c r="B3187" s="722">
        <v>303</v>
      </c>
      <c r="C3187" s="723">
        <v>2799</v>
      </c>
      <c r="D3187" s="723">
        <v>321</v>
      </c>
      <c r="E3187" s="723">
        <v>0</v>
      </c>
      <c r="F3187" s="723">
        <v>0</v>
      </c>
      <c r="G3187" s="723">
        <v>3120</v>
      </c>
      <c r="H3187" s="724">
        <v>643527.47438049212</v>
      </c>
      <c r="I3187" s="724">
        <v>73802.186236562338</v>
      </c>
      <c r="J3187" s="724">
        <v>0</v>
      </c>
      <c r="K3187" s="724">
        <v>0</v>
      </c>
      <c r="L3187" s="724">
        <v>717329.66061705444</v>
      </c>
    </row>
    <row r="3188" spans="1:12">
      <c r="A3188" s="722" t="s">
        <v>364</v>
      </c>
      <c r="B3188" s="722">
        <v>305</v>
      </c>
      <c r="C3188" s="723">
        <v>2</v>
      </c>
      <c r="D3188" s="723">
        <v>0</v>
      </c>
      <c r="E3188" s="723">
        <v>0</v>
      </c>
      <c r="F3188" s="723">
        <v>0</v>
      </c>
      <c r="G3188" s="723">
        <v>2</v>
      </c>
      <c r="H3188" s="724">
        <v>459.82670552375293</v>
      </c>
      <c r="I3188" s="724">
        <v>0</v>
      </c>
      <c r="J3188" s="724">
        <v>0</v>
      </c>
      <c r="K3188" s="724">
        <v>0</v>
      </c>
      <c r="L3188" s="724">
        <v>459.82670552375293</v>
      </c>
    </row>
    <row r="3189" spans="1:12">
      <c r="A3189" s="722" t="s">
        <v>364</v>
      </c>
      <c r="B3189" s="722">
        <v>308</v>
      </c>
      <c r="C3189" s="723">
        <v>131</v>
      </c>
      <c r="D3189" s="723">
        <v>12</v>
      </c>
      <c r="E3189" s="723">
        <v>0</v>
      </c>
      <c r="F3189" s="723">
        <v>0</v>
      </c>
      <c r="G3189" s="723">
        <v>143</v>
      </c>
      <c r="H3189" s="724">
        <v>30118.649211805809</v>
      </c>
      <c r="I3189" s="724">
        <v>2758.9602331425172</v>
      </c>
      <c r="J3189" s="724">
        <v>0</v>
      </c>
      <c r="K3189" s="724">
        <v>0</v>
      </c>
      <c r="L3189" s="724">
        <v>32877.609444948328</v>
      </c>
    </row>
    <row r="3190" spans="1:12">
      <c r="A3190" s="722" t="s">
        <v>364</v>
      </c>
      <c r="B3190" s="722">
        <v>324</v>
      </c>
      <c r="C3190" s="723">
        <v>1</v>
      </c>
      <c r="D3190" s="723">
        <v>0</v>
      </c>
      <c r="E3190" s="723">
        <v>0</v>
      </c>
      <c r="F3190" s="723">
        <v>0</v>
      </c>
      <c r="G3190" s="723">
        <v>1</v>
      </c>
      <c r="H3190" s="724">
        <v>229.91335276187647</v>
      </c>
      <c r="I3190" s="724">
        <v>0</v>
      </c>
      <c r="J3190" s="724">
        <v>0</v>
      </c>
      <c r="K3190" s="724">
        <v>0</v>
      </c>
      <c r="L3190" s="724">
        <v>229.91335276187647</v>
      </c>
    </row>
    <row r="3191" spans="1:12">
      <c r="A3191" s="722" t="s">
        <v>364</v>
      </c>
      <c r="B3191" s="722">
        <v>370</v>
      </c>
      <c r="C3191" s="723">
        <v>59</v>
      </c>
      <c r="D3191" s="723">
        <v>9</v>
      </c>
      <c r="E3191" s="723">
        <v>0</v>
      </c>
      <c r="F3191" s="723">
        <v>0</v>
      </c>
      <c r="G3191" s="723">
        <v>68</v>
      </c>
      <c r="H3191" s="724">
        <v>13564.88781295071</v>
      </c>
      <c r="I3191" s="724">
        <v>2069.2201748568878</v>
      </c>
      <c r="J3191" s="724">
        <v>0</v>
      </c>
      <c r="K3191" s="724">
        <v>0</v>
      </c>
      <c r="L3191" s="724">
        <v>15634.107987807598</v>
      </c>
    </row>
    <row r="3192" spans="1:12">
      <c r="A3192" s="722" t="s">
        <v>364</v>
      </c>
      <c r="B3192" s="722">
        <v>800</v>
      </c>
      <c r="C3192" s="723">
        <v>68</v>
      </c>
      <c r="D3192" s="723">
        <v>1</v>
      </c>
      <c r="E3192" s="723">
        <v>0</v>
      </c>
      <c r="F3192" s="723">
        <v>0</v>
      </c>
      <c r="G3192" s="723">
        <v>69</v>
      </c>
      <c r="H3192" s="724">
        <v>15634.107987807598</v>
      </c>
      <c r="I3192" s="724">
        <v>229.91335276187644</v>
      </c>
      <c r="J3192" s="724">
        <v>0</v>
      </c>
      <c r="K3192" s="724">
        <v>0</v>
      </c>
      <c r="L3192" s="724">
        <v>15864.021340569474</v>
      </c>
    </row>
    <row r="3193" spans="1:12">
      <c r="A3193" s="722" t="s">
        <v>368</v>
      </c>
      <c r="B3193" s="722">
        <v>100</v>
      </c>
      <c r="C3193" s="723">
        <v>2</v>
      </c>
      <c r="D3193" s="723">
        <v>1</v>
      </c>
      <c r="E3193" s="723">
        <v>0</v>
      </c>
      <c r="F3193" s="723">
        <v>0</v>
      </c>
      <c r="G3193" s="723">
        <v>3</v>
      </c>
      <c r="H3193" s="724">
        <v>49.314104111363179</v>
      </c>
      <c r="I3193" s="724">
        <v>24.657052055681589</v>
      </c>
      <c r="J3193" s="724">
        <v>0</v>
      </c>
      <c r="K3193" s="724">
        <v>0</v>
      </c>
      <c r="L3193" s="724">
        <v>73.971156167044768</v>
      </c>
    </row>
    <row r="3194" spans="1:12">
      <c r="A3194" s="722" t="s">
        <v>368</v>
      </c>
      <c r="B3194" s="722">
        <v>103</v>
      </c>
      <c r="C3194" s="723">
        <v>4</v>
      </c>
      <c r="D3194" s="723">
        <v>2</v>
      </c>
      <c r="E3194" s="723">
        <v>0</v>
      </c>
      <c r="F3194" s="723">
        <v>0</v>
      </c>
      <c r="G3194" s="723">
        <v>6</v>
      </c>
      <c r="H3194" s="724">
        <v>98.628208222726357</v>
      </c>
      <c r="I3194" s="724">
        <v>49.314104111363179</v>
      </c>
      <c r="J3194" s="724">
        <v>0</v>
      </c>
      <c r="K3194" s="724">
        <v>0</v>
      </c>
      <c r="L3194" s="724">
        <v>147.94231233408954</v>
      </c>
    </row>
    <row r="3195" spans="1:12">
      <c r="A3195" s="722" t="s">
        <v>368</v>
      </c>
      <c r="B3195" s="722">
        <v>110</v>
      </c>
      <c r="C3195" s="723">
        <v>0</v>
      </c>
      <c r="D3195" s="723">
        <v>1</v>
      </c>
      <c r="E3195" s="723">
        <v>0</v>
      </c>
      <c r="F3195" s="723">
        <v>0</v>
      </c>
      <c r="G3195" s="723">
        <v>1</v>
      </c>
      <c r="H3195" s="724">
        <v>0</v>
      </c>
      <c r="I3195" s="724">
        <v>24.657052055681586</v>
      </c>
      <c r="J3195" s="724">
        <v>0</v>
      </c>
      <c r="K3195" s="724">
        <v>0</v>
      </c>
      <c r="L3195" s="724">
        <v>24.657052055681586</v>
      </c>
    </row>
    <row r="3196" spans="1:12">
      <c r="A3196" s="722" t="s">
        <v>368</v>
      </c>
      <c r="B3196" s="722">
        <v>120</v>
      </c>
      <c r="C3196" s="723">
        <v>1</v>
      </c>
      <c r="D3196" s="723">
        <v>3</v>
      </c>
      <c r="E3196" s="723">
        <v>0</v>
      </c>
      <c r="F3196" s="723">
        <v>0</v>
      </c>
      <c r="G3196" s="723">
        <v>4</v>
      </c>
      <c r="H3196" s="724">
        <v>24.657052055681586</v>
      </c>
      <c r="I3196" s="724">
        <v>73.971156167044754</v>
      </c>
      <c r="J3196" s="724">
        <v>0</v>
      </c>
      <c r="K3196" s="724">
        <v>0</v>
      </c>
      <c r="L3196" s="724">
        <v>98.628208222726343</v>
      </c>
    </row>
    <row r="3197" spans="1:12">
      <c r="A3197" s="722" t="s">
        <v>368</v>
      </c>
      <c r="B3197" s="722">
        <v>160</v>
      </c>
      <c r="C3197" s="723">
        <v>1</v>
      </c>
      <c r="D3197" s="723">
        <v>0</v>
      </c>
      <c r="E3197" s="723">
        <v>0</v>
      </c>
      <c r="F3197" s="723">
        <v>0</v>
      </c>
      <c r="G3197" s="723">
        <v>1</v>
      </c>
      <c r="H3197" s="724">
        <v>24.657052055681586</v>
      </c>
      <c r="I3197" s="724">
        <v>0</v>
      </c>
      <c r="J3197" s="724">
        <v>0</v>
      </c>
      <c r="K3197" s="724">
        <v>0</v>
      </c>
      <c r="L3197" s="724">
        <v>24.657052055681586</v>
      </c>
    </row>
    <row r="3198" spans="1:12">
      <c r="A3198" s="722" t="s">
        <v>368</v>
      </c>
      <c r="B3198" s="722">
        <v>191</v>
      </c>
      <c r="C3198" s="723">
        <v>1</v>
      </c>
      <c r="D3198" s="723">
        <v>0</v>
      </c>
      <c r="E3198" s="723">
        <v>0</v>
      </c>
      <c r="F3198" s="723">
        <v>0</v>
      </c>
      <c r="G3198" s="723">
        <v>1</v>
      </c>
      <c r="H3198" s="724">
        <v>24.657052055681586</v>
      </c>
      <c r="I3198" s="724">
        <v>0</v>
      </c>
      <c r="J3198" s="724">
        <v>0</v>
      </c>
      <c r="K3198" s="724">
        <v>0</v>
      </c>
      <c r="L3198" s="724">
        <v>24.657052055681586</v>
      </c>
    </row>
    <row r="3199" spans="1:12">
      <c r="A3199" s="722" t="s">
        <v>368</v>
      </c>
      <c r="B3199" s="722">
        <v>300</v>
      </c>
      <c r="C3199" s="723">
        <v>1</v>
      </c>
      <c r="D3199" s="723">
        <v>0</v>
      </c>
      <c r="E3199" s="723">
        <v>0</v>
      </c>
      <c r="F3199" s="723">
        <v>0</v>
      </c>
      <c r="G3199" s="723">
        <v>1</v>
      </c>
      <c r="H3199" s="724">
        <v>24.657052055681586</v>
      </c>
      <c r="I3199" s="724">
        <v>0</v>
      </c>
      <c r="J3199" s="724">
        <v>0</v>
      </c>
      <c r="K3199" s="724">
        <v>0</v>
      </c>
      <c r="L3199" s="724">
        <v>24.657052055681586</v>
      </c>
    </row>
    <row r="3200" spans="1:12">
      <c r="A3200" s="722" t="s">
        <v>368</v>
      </c>
      <c r="B3200" s="722">
        <v>303</v>
      </c>
      <c r="C3200" s="723">
        <v>2</v>
      </c>
      <c r="D3200" s="723">
        <v>0</v>
      </c>
      <c r="E3200" s="723">
        <v>0</v>
      </c>
      <c r="F3200" s="723">
        <v>0</v>
      </c>
      <c r="G3200" s="723">
        <v>2</v>
      </c>
      <c r="H3200" s="724">
        <v>49.314104111363172</v>
      </c>
      <c r="I3200" s="724">
        <v>0</v>
      </c>
      <c r="J3200" s="724">
        <v>0</v>
      </c>
      <c r="K3200" s="724">
        <v>0</v>
      </c>
      <c r="L3200" s="724">
        <v>49.314104111363172</v>
      </c>
    </row>
    <row r="3201" spans="1:12">
      <c r="A3201" s="722" t="s">
        <v>368</v>
      </c>
      <c r="B3201" s="722">
        <v>305</v>
      </c>
      <c r="C3201" s="723">
        <v>1</v>
      </c>
      <c r="D3201" s="723">
        <v>0</v>
      </c>
      <c r="E3201" s="723">
        <v>0</v>
      </c>
      <c r="F3201" s="723">
        <v>0</v>
      </c>
      <c r="G3201" s="723">
        <v>1</v>
      </c>
      <c r="H3201" s="724">
        <v>24.657052055681586</v>
      </c>
      <c r="I3201" s="724">
        <v>0</v>
      </c>
      <c r="J3201" s="724">
        <v>0</v>
      </c>
      <c r="K3201" s="724">
        <v>0</v>
      </c>
      <c r="L3201" s="724">
        <v>24.657052055681586</v>
      </c>
    </row>
    <row r="3202" spans="1:12">
      <c r="A3202" s="722" t="s">
        <v>368</v>
      </c>
      <c r="B3202" s="722">
        <v>330</v>
      </c>
      <c r="C3202" s="723">
        <v>2</v>
      </c>
      <c r="D3202" s="723">
        <v>0</v>
      </c>
      <c r="E3202" s="723">
        <v>0</v>
      </c>
      <c r="F3202" s="723">
        <v>0</v>
      </c>
      <c r="G3202" s="723">
        <v>2</v>
      </c>
      <c r="H3202" s="724">
        <v>49.314104111363172</v>
      </c>
      <c r="I3202" s="724">
        <v>0</v>
      </c>
      <c r="J3202" s="724">
        <v>0</v>
      </c>
      <c r="K3202" s="724">
        <v>0</v>
      </c>
      <c r="L3202" s="724">
        <v>49.314104111363172</v>
      </c>
    </row>
    <row r="3203" spans="1:12">
      <c r="A3203" s="722" t="s">
        <v>368</v>
      </c>
      <c r="B3203" s="722">
        <v>370</v>
      </c>
      <c r="C3203" s="723">
        <v>3</v>
      </c>
      <c r="D3203" s="723">
        <v>1</v>
      </c>
      <c r="E3203" s="723">
        <v>0</v>
      </c>
      <c r="F3203" s="723">
        <v>0</v>
      </c>
      <c r="G3203" s="723">
        <v>4</v>
      </c>
      <c r="H3203" s="724">
        <v>73.971156167044754</v>
      </c>
      <c r="I3203" s="724">
        <v>24.657052055681586</v>
      </c>
      <c r="J3203" s="724">
        <v>0</v>
      </c>
      <c r="K3203" s="724">
        <v>0</v>
      </c>
      <c r="L3203" s="724">
        <v>98.628208222726343</v>
      </c>
    </row>
    <row r="3204" spans="1:12">
      <c r="A3204" s="722" t="s">
        <v>368</v>
      </c>
      <c r="B3204" s="722">
        <v>502</v>
      </c>
      <c r="C3204" s="723">
        <v>8</v>
      </c>
      <c r="D3204" s="723">
        <v>5</v>
      </c>
      <c r="E3204" s="723">
        <v>0</v>
      </c>
      <c r="F3204" s="723">
        <v>0</v>
      </c>
      <c r="G3204" s="723">
        <v>13</v>
      </c>
      <c r="H3204" s="724">
        <v>197.25641644545269</v>
      </c>
      <c r="I3204" s="724">
        <v>123.28526027840795</v>
      </c>
      <c r="J3204" s="724">
        <v>0</v>
      </c>
      <c r="K3204" s="724">
        <v>0</v>
      </c>
      <c r="L3204" s="724">
        <v>320.54167672386063</v>
      </c>
    </row>
    <row r="3205" spans="1:12">
      <c r="A3205" s="722" t="s">
        <v>368</v>
      </c>
      <c r="B3205" s="722">
        <v>560</v>
      </c>
      <c r="C3205" s="723">
        <v>1</v>
      </c>
      <c r="D3205" s="723">
        <v>1</v>
      </c>
      <c r="E3205" s="723">
        <v>0</v>
      </c>
      <c r="F3205" s="723">
        <v>0</v>
      </c>
      <c r="G3205" s="723">
        <v>2</v>
      </c>
      <c r="H3205" s="724">
        <v>24.657052055681586</v>
      </c>
      <c r="I3205" s="724">
        <v>24.657052055681586</v>
      </c>
      <c r="J3205" s="724">
        <v>0</v>
      </c>
      <c r="K3205" s="724">
        <v>0</v>
      </c>
      <c r="L3205" s="724">
        <v>49.314104111363172</v>
      </c>
    </row>
    <row r="3206" spans="1:12">
      <c r="A3206" s="722" t="s">
        <v>368</v>
      </c>
      <c r="B3206" s="722">
        <v>800</v>
      </c>
      <c r="C3206" s="723">
        <v>1</v>
      </c>
      <c r="D3206" s="723">
        <v>2</v>
      </c>
      <c r="E3206" s="723">
        <v>0</v>
      </c>
      <c r="F3206" s="723">
        <v>0</v>
      </c>
      <c r="G3206" s="723">
        <v>3</v>
      </c>
      <c r="H3206" s="724">
        <v>24.657052055681589</v>
      </c>
      <c r="I3206" s="724">
        <v>49.314104111363179</v>
      </c>
      <c r="J3206" s="724">
        <v>0</v>
      </c>
      <c r="K3206" s="724">
        <v>0</v>
      </c>
      <c r="L3206" s="724">
        <v>73.971156167044768</v>
      </c>
    </row>
    <row r="3207" spans="1:12">
      <c r="A3207" s="722" t="s">
        <v>368</v>
      </c>
      <c r="B3207" s="722">
        <v>812</v>
      </c>
      <c r="C3207" s="723">
        <v>158</v>
      </c>
      <c r="D3207" s="723">
        <v>6</v>
      </c>
      <c r="E3207" s="723">
        <v>0</v>
      </c>
      <c r="F3207" s="723">
        <v>0</v>
      </c>
      <c r="G3207" s="723">
        <v>164</v>
      </c>
      <c r="H3207" s="724">
        <v>3895.8142247976907</v>
      </c>
      <c r="I3207" s="724">
        <v>147.94231233408954</v>
      </c>
      <c r="J3207" s="724">
        <v>0</v>
      </c>
      <c r="K3207" s="724">
        <v>0</v>
      </c>
      <c r="L3207" s="724">
        <v>4043.7565371317805</v>
      </c>
    </row>
    <row r="3208" spans="1:12">
      <c r="A3208" s="722" t="s">
        <v>369</v>
      </c>
      <c r="B3208" s="722">
        <v>100</v>
      </c>
      <c r="C3208" s="723">
        <v>6</v>
      </c>
      <c r="D3208" s="723">
        <v>13</v>
      </c>
      <c r="E3208" s="723">
        <v>0</v>
      </c>
      <c r="F3208" s="723">
        <v>0</v>
      </c>
      <c r="G3208" s="723">
        <v>19</v>
      </c>
      <c r="H3208" s="724">
        <v>923.25760230755373</v>
      </c>
      <c r="I3208" s="724">
        <v>2000.3914716663667</v>
      </c>
      <c r="J3208" s="724">
        <v>0</v>
      </c>
      <c r="K3208" s="724">
        <v>0</v>
      </c>
      <c r="L3208" s="724">
        <v>2923.6490739739202</v>
      </c>
    </row>
    <row r="3209" spans="1:12">
      <c r="A3209" s="722" t="s">
        <v>369</v>
      </c>
      <c r="B3209" s="722">
        <v>101</v>
      </c>
      <c r="C3209" s="723">
        <v>1</v>
      </c>
      <c r="D3209" s="723">
        <v>0</v>
      </c>
      <c r="E3209" s="723">
        <v>0</v>
      </c>
      <c r="F3209" s="723">
        <v>0</v>
      </c>
      <c r="G3209" s="723">
        <v>1</v>
      </c>
      <c r="H3209" s="724">
        <v>153.87626705125894</v>
      </c>
      <c r="I3209" s="724">
        <v>0</v>
      </c>
      <c r="J3209" s="724">
        <v>0</v>
      </c>
      <c r="K3209" s="724">
        <v>0</v>
      </c>
      <c r="L3209" s="724">
        <v>153.87626705125894</v>
      </c>
    </row>
    <row r="3210" spans="1:12">
      <c r="A3210" s="722" t="s">
        <v>369</v>
      </c>
      <c r="B3210" s="722">
        <v>103</v>
      </c>
      <c r="C3210" s="723">
        <v>7</v>
      </c>
      <c r="D3210" s="723">
        <v>10</v>
      </c>
      <c r="E3210" s="723">
        <v>0</v>
      </c>
      <c r="F3210" s="723">
        <v>0</v>
      </c>
      <c r="G3210" s="723">
        <v>17</v>
      </c>
      <c r="H3210" s="724">
        <v>1077.1338693588125</v>
      </c>
      <c r="I3210" s="724">
        <v>1538.7626705125895</v>
      </c>
      <c r="J3210" s="724">
        <v>0</v>
      </c>
      <c r="K3210" s="724">
        <v>0</v>
      </c>
      <c r="L3210" s="724">
        <v>2615.8965398714017</v>
      </c>
    </row>
    <row r="3211" spans="1:12">
      <c r="A3211" s="722" t="s">
        <v>369</v>
      </c>
      <c r="B3211" s="722">
        <v>104</v>
      </c>
      <c r="C3211" s="723">
        <v>0</v>
      </c>
      <c r="D3211" s="723">
        <v>1</v>
      </c>
      <c r="E3211" s="723">
        <v>0</v>
      </c>
      <c r="F3211" s="723">
        <v>0</v>
      </c>
      <c r="G3211" s="723">
        <v>1</v>
      </c>
      <c r="H3211" s="724">
        <v>0</v>
      </c>
      <c r="I3211" s="724">
        <v>153.87626705125894</v>
      </c>
      <c r="J3211" s="724">
        <v>0</v>
      </c>
      <c r="K3211" s="724">
        <v>0</v>
      </c>
      <c r="L3211" s="724">
        <v>153.87626705125894</v>
      </c>
    </row>
    <row r="3212" spans="1:12">
      <c r="A3212" s="722" t="s">
        <v>369</v>
      </c>
      <c r="B3212" s="722">
        <v>107</v>
      </c>
      <c r="C3212" s="723">
        <v>1</v>
      </c>
      <c r="D3212" s="723">
        <v>0</v>
      </c>
      <c r="E3212" s="723">
        <v>0</v>
      </c>
      <c r="F3212" s="723">
        <v>0</v>
      </c>
      <c r="G3212" s="723">
        <v>1</v>
      </c>
      <c r="H3212" s="724">
        <v>153.87626705125894</v>
      </c>
      <c r="I3212" s="724">
        <v>0</v>
      </c>
      <c r="J3212" s="724">
        <v>0</v>
      </c>
      <c r="K3212" s="724">
        <v>0</v>
      </c>
      <c r="L3212" s="724">
        <v>153.87626705125894</v>
      </c>
    </row>
    <row r="3213" spans="1:12">
      <c r="A3213" s="722" t="s">
        <v>369</v>
      </c>
      <c r="B3213" s="722">
        <v>110</v>
      </c>
      <c r="C3213" s="723">
        <v>5</v>
      </c>
      <c r="D3213" s="723">
        <v>0</v>
      </c>
      <c r="E3213" s="723">
        <v>0</v>
      </c>
      <c r="F3213" s="723">
        <v>0</v>
      </c>
      <c r="G3213" s="723">
        <v>5</v>
      </c>
      <c r="H3213" s="724">
        <v>769.38133525629473</v>
      </c>
      <c r="I3213" s="724">
        <v>0</v>
      </c>
      <c r="J3213" s="724">
        <v>0</v>
      </c>
      <c r="K3213" s="724">
        <v>0</v>
      </c>
      <c r="L3213" s="724">
        <v>769.38133525629473</v>
      </c>
    </row>
    <row r="3214" spans="1:12">
      <c r="A3214" s="722" t="s">
        <v>369</v>
      </c>
      <c r="B3214" s="722">
        <v>120</v>
      </c>
      <c r="C3214" s="723">
        <v>49</v>
      </c>
      <c r="D3214" s="723">
        <v>184</v>
      </c>
      <c r="E3214" s="723">
        <v>0</v>
      </c>
      <c r="F3214" s="723">
        <v>0</v>
      </c>
      <c r="G3214" s="723">
        <v>233</v>
      </c>
      <c r="H3214" s="724">
        <v>7539.9370855116877</v>
      </c>
      <c r="I3214" s="724">
        <v>28313.233137431642</v>
      </c>
      <c r="J3214" s="724">
        <v>0</v>
      </c>
      <c r="K3214" s="724">
        <v>0</v>
      </c>
      <c r="L3214" s="724">
        <v>35853.170222943329</v>
      </c>
    </row>
    <row r="3215" spans="1:12">
      <c r="A3215" s="722" t="s">
        <v>369</v>
      </c>
      <c r="B3215" s="722">
        <v>130</v>
      </c>
      <c r="C3215" s="723">
        <v>0</v>
      </c>
      <c r="D3215" s="723">
        <v>1</v>
      </c>
      <c r="E3215" s="723">
        <v>0</v>
      </c>
      <c r="F3215" s="723">
        <v>0</v>
      </c>
      <c r="G3215" s="723">
        <v>1</v>
      </c>
      <c r="H3215" s="724">
        <v>0</v>
      </c>
      <c r="I3215" s="724">
        <v>153.87626705125894</v>
      </c>
      <c r="J3215" s="724">
        <v>0</v>
      </c>
      <c r="K3215" s="724">
        <v>0</v>
      </c>
      <c r="L3215" s="724">
        <v>153.87626705125894</v>
      </c>
    </row>
    <row r="3216" spans="1:12">
      <c r="A3216" s="722" t="s">
        <v>369</v>
      </c>
      <c r="B3216" s="722">
        <v>140</v>
      </c>
      <c r="C3216" s="723">
        <v>1</v>
      </c>
      <c r="D3216" s="723">
        <v>8</v>
      </c>
      <c r="E3216" s="723">
        <v>0</v>
      </c>
      <c r="F3216" s="723">
        <v>0</v>
      </c>
      <c r="G3216" s="723">
        <v>9</v>
      </c>
      <c r="H3216" s="724">
        <v>153.87626705125894</v>
      </c>
      <c r="I3216" s="724">
        <v>1231.0101364100715</v>
      </c>
      <c r="J3216" s="724">
        <v>0</v>
      </c>
      <c r="K3216" s="724">
        <v>0</v>
      </c>
      <c r="L3216" s="724">
        <v>1384.8864034613305</v>
      </c>
    </row>
    <row r="3217" spans="1:12">
      <c r="A3217" s="722" t="s">
        <v>369</v>
      </c>
      <c r="B3217" s="722">
        <v>144</v>
      </c>
      <c r="C3217" s="723">
        <v>4</v>
      </c>
      <c r="D3217" s="723">
        <v>1</v>
      </c>
      <c r="E3217" s="723">
        <v>0</v>
      </c>
      <c r="F3217" s="723">
        <v>0</v>
      </c>
      <c r="G3217" s="723">
        <v>5</v>
      </c>
      <c r="H3217" s="724">
        <v>615.50506820503574</v>
      </c>
      <c r="I3217" s="724">
        <v>153.87626705125894</v>
      </c>
      <c r="J3217" s="724">
        <v>0</v>
      </c>
      <c r="K3217" s="724">
        <v>0</v>
      </c>
      <c r="L3217" s="724">
        <v>769.38133525629473</v>
      </c>
    </row>
    <row r="3218" spans="1:12">
      <c r="A3218" s="722" t="s">
        <v>369</v>
      </c>
      <c r="B3218" s="722">
        <v>160</v>
      </c>
      <c r="C3218" s="723">
        <v>41</v>
      </c>
      <c r="D3218" s="723">
        <v>4</v>
      </c>
      <c r="E3218" s="723">
        <v>0</v>
      </c>
      <c r="F3218" s="723">
        <v>0</v>
      </c>
      <c r="G3218" s="723">
        <v>45</v>
      </c>
      <c r="H3218" s="724">
        <v>6308.9269491016166</v>
      </c>
      <c r="I3218" s="724">
        <v>615.50506820503574</v>
      </c>
      <c r="J3218" s="724">
        <v>0</v>
      </c>
      <c r="K3218" s="724">
        <v>0</v>
      </c>
      <c r="L3218" s="724">
        <v>6924.4320173066526</v>
      </c>
    </row>
    <row r="3219" spans="1:12">
      <c r="A3219" s="722" t="s">
        <v>369</v>
      </c>
      <c r="B3219" s="722">
        <v>173</v>
      </c>
      <c r="C3219" s="723">
        <v>0</v>
      </c>
      <c r="D3219" s="723">
        <v>1</v>
      </c>
      <c r="E3219" s="723">
        <v>0</v>
      </c>
      <c r="F3219" s="723">
        <v>0</v>
      </c>
      <c r="G3219" s="723">
        <v>1</v>
      </c>
      <c r="H3219" s="724">
        <v>0</v>
      </c>
      <c r="I3219" s="724">
        <v>153.87626705125894</v>
      </c>
      <c r="J3219" s="724">
        <v>0</v>
      </c>
      <c r="K3219" s="724">
        <v>0</v>
      </c>
      <c r="L3219" s="724">
        <v>153.87626705125894</v>
      </c>
    </row>
    <row r="3220" spans="1:12">
      <c r="A3220" s="722" t="s">
        <v>369</v>
      </c>
      <c r="B3220" s="722">
        <v>190</v>
      </c>
      <c r="C3220" s="723">
        <v>2</v>
      </c>
      <c r="D3220" s="723">
        <v>0</v>
      </c>
      <c r="E3220" s="723">
        <v>0</v>
      </c>
      <c r="F3220" s="723">
        <v>0</v>
      </c>
      <c r="G3220" s="723">
        <v>2</v>
      </c>
      <c r="H3220" s="724">
        <v>307.75253410251787</v>
      </c>
      <c r="I3220" s="724">
        <v>0</v>
      </c>
      <c r="J3220" s="724">
        <v>0</v>
      </c>
      <c r="K3220" s="724">
        <v>0</v>
      </c>
      <c r="L3220" s="724">
        <v>307.75253410251787</v>
      </c>
    </row>
    <row r="3221" spans="1:12">
      <c r="A3221" s="722" t="s">
        <v>369</v>
      </c>
      <c r="B3221" s="722">
        <v>215</v>
      </c>
      <c r="C3221" s="723">
        <v>1</v>
      </c>
      <c r="D3221" s="723">
        <v>0</v>
      </c>
      <c r="E3221" s="723">
        <v>0</v>
      </c>
      <c r="F3221" s="723">
        <v>0</v>
      </c>
      <c r="G3221" s="723">
        <v>1</v>
      </c>
      <c r="H3221" s="724">
        <v>153.87626705125894</v>
      </c>
      <c r="I3221" s="724">
        <v>0</v>
      </c>
      <c r="J3221" s="724">
        <v>0</v>
      </c>
      <c r="K3221" s="724">
        <v>0</v>
      </c>
      <c r="L3221" s="724">
        <v>153.87626705125894</v>
      </c>
    </row>
    <row r="3222" spans="1:12">
      <c r="A3222" s="722" t="s">
        <v>369</v>
      </c>
      <c r="B3222" s="722">
        <v>302</v>
      </c>
      <c r="C3222" s="723">
        <v>0</v>
      </c>
      <c r="D3222" s="723">
        <v>1</v>
      </c>
      <c r="E3222" s="723">
        <v>0</v>
      </c>
      <c r="F3222" s="723">
        <v>0</v>
      </c>
      <c r="G3222" s="723">
        <v>1</v>
      </c>
      <c r="H3222" s="724">
        <v>0</v>
      </c>
      <c r="I3222" s="724">
        <v>153.87626705125894</v>
      </c>
      <c r="J3222" s="724">
        <v>0</v>
      </c>
      <c r="K3222" s="724">
        <v>0</v>
      </c>
      <c r="L3222" s="724">
        <v>153.87626705125894</v>
      </c>
    </row>
    <row r="3223" spans="1:12">
      <c r="A3223" s="722" t="s">
        <v>369</v>
      </c>
      <c r="B3223" s="722">
        <v>307</v>
      </c>
      <c r="C3223" s="723">
        <v>1</v>
      </c>
      <c r="D3223" s="723">
        <v>0</v>
      </c>
      <c r="E3223" s="723">
        <v>0</v>
      </c>
      <c r="F3223" s="723">
        <v>0</v>
      </c>
      <c r="G3223" s="723">
        <v>1</v>
      </c>
      <c r="H3223" s="724">
        <v>153.87626705125894</v>
      </c>
      <c r="I3223" s="724">
        <v>0</v>
      </c>
      <c r="J3223" s="724">
        <v>0</v>
      </c>
      <c r="K3223" s="724">
        <v>0</v>
      </c>
      <c r="L3223" s="724">
        <v>153.87626705125894</v>
      </c>
    </row>
    <row r="3224" spans="1:12">
      <c r="A3224" s="722" t="s">
        <v>369</v>
      </c>
      <c r="B3224" s="722">
        <v>317</v>
      </c>
      <c r="C3224" s="723">
        <v>0</v>
      </c>
      <c r="D3224" s="723">
        <v>2</v>
      </c>
      <c r="E3224" s="723">
        <v>0</v>
      </c>
      <c r="F3224" s="723">
        <v>0</v>
      </c>
      <c r="G3224" s="723">
        <v>2</v>
      </c>
      <c r="H3224" s="724">
        <v>0</v>
      </c>
      <c r="I3224" s="724">
        <v>307.75253410251787</v>
      </c>
      <c r="J3224" s="724">
        <v>0</v>
      </c>
      <c r="K3224" s="724">
        <v>0</v>
      </c>
      <c r="L3224" s="724">
        <v>307.75253410251787</v>
      </c>
    </row>
    <row r="3225" spans="1:12">
      <c r="A3225" s="722" t="s">
        <v>369</v>
      </c>
      <c r="B3225" s="722">
        <v>330</v>
      </c>
      <c r="C3225" s="723">
        <v>1</v>
      </c>
      <c r="D3225" s="723">
        <v>0</v>
      </c>
      <c r="E3225" s="723">
        <v>0</v>
      </c>
      <c r="F3225" s="723">
        <v>0</v>
      </c>
      <c r="G3225" s="723">
        <v>1</v>
      </c>
      <c r="H3225" s="724">
        <v>153.87626705125894</v>
      </c>
      <c r="I3225" s="724">
        <v>0</v>
      </c>
      <c r="J3225" s="724">
        <v>0</v>
      </c>
      <c r="K3225" s="724">
        <v>0</v>
      </c>
      <c r="L3225" s="724">
        <v>153.87626705125894</v>
      </c>
    </row>
    <row r="3226" spans="1:12">
      <c r="A3226" s="722" t="s">
        <v>369</v>
      </c>
      <c r="B3226" s="722">
        <v>340</v>
      </c>
      <c r="C3226" s="723">
        <v>4</v>
      </c>
      <c r="D3226" s="723">
        <v>7</v>
      </c>
      <c r="E3226" s="723">
        <v>0</v>
      </c>
      <c r="F3226" s="723">
        <v>0</v>
      </c>
      <c r="G3226" s="723">
        <v>11</v>
      </c>
      <c r="H3226" s="724">
        <v>615.50506820503574</v>
      </c>
      <c r="I3226" s="724">
        <v>1077.1338693588125</v>
      </c>
      <c r="J3226" s="724">
        <v>0</v>
      </c>
      <c r="K3226" s="724">
        <v>0</v>
      </c>
      <c r="L3226" s="724">
        <v>1692.6389375638482</v>
      </c>
    </row>
    <row r="3227" spans="1:12">
      <c r="A3227" s="722" t="s">
        <v>369</v>
      </c>
      <c r="B3227" s="722">
        <v>350</v>
      </c>
      <c r="C3227" s="723">
        <v>11</v>
      </c>
      <c r="D3227" s="723">
        <v>2</v>
      </c>
      <c r="E3227" s="723">
        <v>0</v>
      </c>
      <c r="F3227" s="723">
        <v>0</v>
      </c>
      <c r="G3227" s="723">
        <v>13</v>
      </c>
      <c r="H3227" s="724">
        <v>1692.6389375638485</v>
      </c>
      <c r="I3227" s="724">
        <v>307.75253410251787</v>
      </c>
      <c r="J3227" s="724">
        <v>0</v>
      </c>
      <c r="K3227" s="724">
        <v>0</v>
      </c>
      <c r="L3227" s="724">
        <v>2000.3914716663662</v>
      </c>
    </row>
    <row r="3228" spans="1:12">
      <c r="A3228" s="722" t="s">
        <v>369</v>
      </c>
      <c r="B3228" s="722">
        <v>370</v>
      </c>
      <c r="C3228" s="723">
        <v>1</v>
      </c>
      <c r="D3228" s="723">
        <v>0</v>
      </c>
      <c r="E3228" s="723">
        <v>0</v>
      </c>
      <c r="F3228" s="723">
        <v>0</v>
      </c>
      <c r="G3228" s="723">
        <v>1</v>
      </c>
      <c r="H3228" s="724">
        <v>153.87626705125894</v>
      </c>
      <c r="I3228" s="724">
        <v>0</v>
      </c>
      <c r="J3228" s="724">
        <v>0</v>
      </c>
      <c r="K3228" s="724">
        <v>0</v>
      </c>
      <c r="L3228" s="724">
        <v>153.87626705125894</v>
      </c>
    </row>
    <row r="3229" spans="1:12">
      <c r="A3229" s="722" t="s">
        <v>369</v>
      </c>
      <c r="B3229" s="722">
        <v>410</v>
      </c>
      <c r="C3229" s="723">
        <v>2</v>
      </c>
      <c r="D3229" s="723">
        <v>0</v>
      </c>
      <c r="E3229" s="723">
        <v>0</v>
      </c>
      <c r="F3229" s="723">
        <v>0</v>
      </c>
      <c r="G3229" s="723">
        <v>2</v>
      </c>
      <c r="H3229" s="724">
        <v>307.75253410251787</v>
      </c>
      <c r="I3229" s="724">
        <v>0</v>
      </c>
      <c r="J3229" s="724">
        <v>0</v>
      </c>
      <c r="K3229" s="724">
        <v>0</v>
      </c>
      <c r="L3229" s="724">
        <v>307.75253410251787</v>
      </c>
    </row>
    <row r="3230" spans="1:12">
      <c r="A3230" s="722" t="s">
        <v>369</v>
      </c>
      <c r="B3230" s="722">
        <v>420</v>
      </c>
      <c r="C3230" s="723">
        <v>0</v>
      </c>
      <c r="D3230" s="723">
        <v>1</v>
      </c>
      <c r="E3230" s="723">
        <v>0</v>
      </c>
      <c r="F3230" s="723">
        <v>0</v>
      </c>
      <c r="G3230" s="723">
        <v>1</v>
      </c>
      <c r="H3230" s="724">
        <v>0</v>
      </c>
      <c r="I3230" s="724">
        <v>153.87626705125894</v>
      </c>
      <c r="J3230" s="724">
        <v>0</v>
      </c>
      <c r="K3230" s="724">
        <v>0</v>
      </c>
      <c r="L3230" s="724">
        <v>153.87626705125894</v>
      </c>
    </row>
    <row r="3231" spans="1:12">
      <c r="A3231" s="722" t="s">
        <v>369</v>
      </c>
      <c r="B3231" s="722">
        <v>502</v>
      </c>
      <c r="C3231" s="723">
        <v>2</v>
      </c>
      <c r="D3231" s="723">
        <v>0</v>
      </c>
      <c r="E3231" s="723">
        <v>0</v>
      </c>
      <c r="F3231" s="723">
        <v>0</v>
      </c>
      <c r="G3231" s="723">
        <v>2</v>
      </c>
      <c r="H3231" s="724">
        <v>307.75253410251787</v>
      </c>
      <c r="I3231" s="724">
        <v>0</v>
      </c>
      <c r="J3231" s="724">
        <v>0</v>
      </c>
      <c r="K3231" s="724">
        <v>0</v>
      </c>
      <c r="L3231" s="724">
        <v>307.75253410251787</v>
      </c>
    </row>
    <row r="3232" spans="1:12">
      <c r="A3232" s="722" t="s">
        <v>369</v>
      </c>
      <c r="B3232" s="722">
        <v>503</v>
      </c>
      <c r="C3232" s="723">
        <v>3</v>
      </c>
      <c r="D3232" s="723">
        <v>0</v>
      </c>
      <c r="E3232" s="723">
        <v>0</v>
      </c>
      <c r="F3232" s="723">
        <v>0</v>
      </c>
      <c r="G3232" s="723">
        <v>3</v>
      </c>
      <c r="H3232" s="724">
        <v>461.62880115377681</v>
      </c>
      <c r="I3232" s="724">
        <v>0</v>
      </c>
      <c r="J3232" s="724">
        <v>0</v>
      </c>
      <c r="K3232" s="724">
        <v>0</v>
      </c>
      <c r="L3232" s="724">
        <v>461.62880115377681</v>
      </c>
    </row>
    <row r="3233" spans="1:12">
      <c r="A3233" s="722" t="s">
        <v>369</v>
      </c>
      <c r="B3233" s="722">
        <v>650</v>
      </c>
      <c r="C3233" s="723">
        <v>0</v>
      </c>
      <c r="D3233" s="723">
        <v>1</v>
      </c>
      <c r="E3233" s="723">
        <v>0</v>
      </c>
      <c r="F3233" s="723">
        <v>0</v>
      </c>
      <c r="G3233" s="723">
        <v>1</v>
      </c>
      <c r="H3233" s="724">
        <v>0</v>
      </c>
      <c r="I3233" s="724">
        <v>153.87626705125894</v>
      </c>
      <c r="J3233" s="724">
        <v>0</v>
      </c>
      <c r="K3233" s="724">
        <v>0</v>
      </c>
      <c r="L3233" s="724">
        <v>153.87626705125894</v>
      </c>
    </row>
    <row r="3234" spans="1:12">
      <c r="A3234" s="722" t="s">
        <v>369</v>
      </c>
      <c r="B3234" s="722">
        <v>800</v>
      </c>
      <c r="C3234" s="723">
        <v>2</v>
      </c>
      <c r="D3234" s="723">
        <v>1</v>
      </c>
      <c r="E3234" s="723">
        <v>0</v>
      </c>
      <c r="F3234" s="723">
        <v>0</v>
      </c>
      <c r="G3234" s="723">
        <v>3</v>
      </c>
      <c r="H3234" s="724">
        <v>307.75253410251787</v>
      </c>
      <c r="I3234" s="724">
        <v>153.87626705125894</v>
      </c>
      <c r="J3234" s="724">
        <v>0</v>
      </c>
      <c r="K3234" s="724">
        <v>0</v>
      </c>
      <c r="L3234" s="724">
        <v>461.62880115377681</v>
      </c>
    </row>
    <row r="3235" spans="1:12">
      <c r="A3235" s="722" t="s">
        <v>369</v>
      </c>
      <c r="B3235" s="722">
        <v>811</v>
      </c>
      <c r="C3235" s="723">
        <v>9</v>
      </c>
      <c r="D3235" s="723">
        <v>0</v>
      </c>
      <c r="E3235" s="723">
        <v>0</v>
      </c>
      <c r="F3235" s="723">
        <v>0</v>
      </c>
      <c r="G3235" s="723">
        <v>9</v>
      </c>
      <c r="H3235" s="724">
        <v>1384.8864034613305</v>
      </c>
      <c r="I3235" s="724">
        <v>0</v>
      </c>
      <c r="J3235" s="724">
        <v>0</v>
      </c>
      <c r="K3235" s="724">
        <v>0</v>
      </c>
      <c r="L3235" s="724">
        <v>1384.8864034613305</v>
      </c>
    </row>
  </sheetData>
  <autoFilter ref="A2:L3235"/>
  <sortState ref="A2:L1021">
    <sortCondition ref="A2:A1021"/>
    <sortCondition ref="B2:B1021"/>
  </sortState>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TTeamSiteDocumentTypeTaxHTField0 xmlns="2f70ccb4-f3d4-4d81-9031-85f8babee243">
      <Terms xmlns="http://schemas.microsoft.com/office/infopath/2007/PartnerControls"/>
    </WTTeamSiteDocumentTypeTaxHTField0>
    <TaxKeywordTaxHTField xmlns="336c2581-6a7f-4686-9e24-c87fdedf996e">
      <Terms xmlns="http://schemas.microsoft.com/office/infopath/2007/PartnerControls"/>
    </TaxKeywordTaxHTField>
    <TaxCatchAll xmlns="824b9e12-2d1b-4f77-9736-60357fca002d"/>
  </documentManagement>
</p:properties>
</file>

<file path=customXml/item2.xml><?xml version="1.0" encoding="utf-8"?>
<ct:contentTypeSchema xmlns:ct="http://schemas.microsoft.com/office/2006/metadata/contentType" xmlns:ma="http://schemas.microsoft.com/office/2006/metadata/properties/metaAttributes" ct:_="" ma:_="" ma:contentTypeName="Monitor Excel Document" ma:contentTypeID="0x0101002F675E6CA4AA4A26A7D08035EFD3BFBF00EC273D66EDC3E14BB611BA98B63F3421" ma:contentTypeVersion="2" ma:contentTypeDescription="Monitor Excel Document" ma:contentTypeScope="" ma:versionID="8686576a77f235b34d38e40051ed5068">
  <xsd:schema xmlns:xsd="http://www.w3.org/2001/XMLSchema" xmlns:xs="http://www.w3.org/2001/XMLSchema" xmlns:p="http://schemas.microsoft.com/office/2006/metadata/properties" xmlns:ns2="2f70ccb4-f3d4-4d81-9031-85f8babee243" xmlns:ns3="336c2581-6a7f-4686-9e24-c87fdedf996e" xmlns:ns4="824b9e12-2d1b-4f77-9736-60357fca002d" targetNamespace="http://schemas.microsoft.com/office/2006/metadata/properties" ma:root="true" ma:fieldsID="3a89d4d71bd2b499718f5c05d771acb4" ns2:_="" ns3:_="" ns4:_="">
    <xsd:import namespace="2f70ccb4-f3d4-4d81-9031-85f8babee243"/>
    <xsd:import namespace="336c2581-6a7f-4686-9e24-c87fdedf996e"/>
    <xsd:import namespace="824b9e12-2d1b-4f77-9736-60357fca002d"/>
    <xsd:element name="properties">
      <xsd:complexType>
        <xsd:sequence>
          <xsd:element name="documentManagement">
            <xsd:complexType>
              <xsd:all>
                <xsd:element ref="ns2:WTTeamSiteDocumentTypeTaxHTField0" minOccurs="0"/>
                <xsd:element ref="ns3:TaxKeywordTaxHTField"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70ccb4-f3d4-4d81-9031-85f8babee243" elementFormDefault="qualified">
    <xsd:import namespace="http://schemas.microsoft.com/office/2006/documentManagement/types"/>
    <xsd:import namespace="http://schemas.microsoft.com/office/infopath/2007/PartnerControls"/>
    <xsd:element name="WTTeamSiteDocumentTypeTaxHTField0" ma:index="9" nillable="true" ma:taxonomy="true" ma:internalName="WTTeamSiteDocumentTypeTaxHTField0" ma:taxonomyFieldName="WTTeamSiteDocumentType" ma:displayName="Monitor Document Type" ma:readOnly="false" ma:fieldId="{1ec7bd53-8ab7-4734-9ba1-c4ffdb97af2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6c2581-6a7f-4686-9e24-c87fdedf996e"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74443016-06ef-4b3c-8cfa-4f416ab9db03}" ma:internalName="TaxCatchAll" ma:showField="CatchAllData" ma:web="336c2581-6a7f-4686-9e24-c87fdedf99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821206-5F57-4263-B287-D3DA58749B1D}">
  <ds:schemaRefs>
    <ds:schemaRef ds:uri="http://schemas.microsoft.com/office/2006/metadata/properties"/>
    <ds:schemaRef ds:uri="http://schemas.microsoft.com/office/2006/documentManagement/types"/>
    <ds:schemaRef ds:uri="2f70ccb4-f3d4-4d81-9031-85f8babee243"/>
    <ds:schemaRef ds:uri="http://purl.org/dc/elements/1.1/"/>
    <ds:schemaRef ds:uri="http://purl.org/dc/dcmitype/"/>
    <ds:schemaRef ds:uri="http://schemas.microsoft.com/office/infopath/2007/PartnerControls"/>
    <ds:schemaRef ds:uri="336c2581-6a7f-4686-9e24-c87fdedf996e"/>
    <ds:schemaRef ds:uri="http://purl.org/dc/terms/"/>
    <ds:schemaRef ds:uri="http://schemas.openxmlformats.org/package/2006/metadata/core-properties"/>
    <ds:schemaRef ds:uri="824b9e12-2d1b-4f77-9736-60357fca002d"/>
    <ds:schemaRef ds:uri="http://www.w3.org/XML/1998/namespace"/>
  </ds:schemaRefs>
</ds:datastoreItem>
</file>

<file path=customXml/itemProps2.xml><?xml version="1.0" encoding="utf-8"?>
<ds:datastoreItem xmlns:ds="http://schemas.openxmlformats.org/officeDocument/2006/customXml" ds:itemID="{78FD9D6D-B4E6-4480-BFF5-9CEC991CD3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70ccb4-f3d4-4d81-9031-85f8babee243"/>
    <ds:schemaRef ds:uri="336c2581-6a7f-4686-9e24-c87fdedf996e"/>
    <ds:schemaRef ds:uri="824b9e12-2d1b-4f77-9736-60357fca00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7BEE8C-6BFC-402A-9D26-E15DB31CC7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vt:i4>
      </vt:variant>
    </vt:vector>
  </HeadingPairs>
  <TitlesOfParts>
    <vt:vector size="27" baseType="lpstr">
      <vt:lpstr>Disclaimer</vt:lpstr>
      <vt:lpstr>Navigation</vt:lpstr>
      <vt:lpstr>TED OP Attendances</vt:lpstr>
      <vt:lpstr>OPATT_Cost_Quantum</vt:lpstr>
      <vt:lpstr>OPATT_Activities</vt:lpstr>
      <vt:lpstr>Non-mandatory OPROC HRGs</vt:lpstr>
      <vt:lpstr>Price Adjustments</vt:lpstr>
      <vt:lpstr>Mandatory</vt:lpstr>
      <vt:lpstr>Mapping HRGs to TFCs</vt:lpstr>
      <vt:lpstr>Expert &amp; Final Monitor comments</vt:lpstr>
      <vt:lpstr>14-15 tariff</vt:lpstr>
      <vt:lpstr>HRGs to TFCs 1</vt:lpstr>
      <vt:lpstr>HRGs to TFCs 2</vt:lpstr>
      <vt:lpstr>HRGs to TFCs % Split</vt:lpstr>
      <vt:lpstr>Allocate OPROC cost</vt:lpstr>
      <vt:lpstr>Front-loading</vt:lpstr>
      <vt:lpstr>Further adjustment</vt:lpstr>
      <vt:lpstr>Manual adjustments</vt:lpstr>
      <vt:lpstr>PRICES</vt:lpstr>
      <vt:lpstr>Linked Sheet</vt:lpstr>
      <vt:lpstr>Post manual recon</vt:lpstr>
      <vt:lpstr>'Post manual recon'!Print_Area</vt:lpstr>
      <vt:lpstr>'Price Adjustments'!Print_Area</vt:lpstr>
      <vt:lpstr>'TED OP Attendances'!Print_Area</vt:lpstr>
      <vt:lpstr>'Linked Sheet'!Print_Titles</vt:lpstr>
      <vt:lpstr>'Post manual recon'!Print_Titles</vt:lpstr>
      <vt:lpstr>'TED OP Attendances'!Print_Titles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Chona Labor</dc:creator>
  <cp:lastModifiedBy>Milton Salas-Martinez</cp:lastModifiedBy>
  <cp:lastPrinted>2014-07-15T14:33:30Z</cp:lastPrinted>
  <dcterms:created xsi:type="dcterms:W3CDTF">2013-11-19T07:38:08Z</dcterms:created>
  <dcterms:modified xsi:type="dcterms:W3CDTF">2014-07-17T13:55:54Z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0x0101002F675E6CA4AA4A26A7D08035EFD3BFBF00EC273D66EDC3E14BB611BA98B63F3421</vt:lpwstr>
  </property>
  <property fmtid="{D5CDD505-2E9C-101B-9397-08002B2CF9AE}" pid="3" name="TaxKeyword">
    <vt:lpwstr/>
  </property>
  <property fmtid="{D5CDD505-2E9C-101B-9397-08002B2CF9AE}" pid="4" name="WTTeamSiteDocumentType">
    <vt:lpwstr/>
  </property>
</Properties>
</file>